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927" firstSheet="3" activeTab="4"/>
  </bookViews>
  <sheets>
    <sheet name="Информация JSON" sheetId="1" state="hidden" r:id="rId2"/>
    <sheet name="Инструкция" sheetId="2" r:id="rId3"/>
    <sheet name="Пояснения" sheetId="3" state="hidden" r:id="rId4"/>
    <sheet name="Список листов" sheetId="4" r:id="rId5"/>
    <sheet name="Общие сведения" sheetId="5" r:id="rId6"/>
    <sheet name="Список территорий" sheetId="6" r:id="rId7"/>
    <sheet name="Перечень объектов" sheetId="7" r:id="rId8"/>
    <sheet name="Список объектов" sheetId="8" r:id="rId9"/>
    <sheet name="Сценарии" sheetId="9" state="hidden" r:id="rId10"/>
    <sheet name="ИИКА" sheetId="10" state="hidden" r:id="rId11"/>
    <sheet name="Баланс" sheetId="11" r:id="rId12"/>
    <sheet name="Условные метры" sheetId="12" r:id="rId13"/>
    <sheet name="Сырье и материалы" sheetId="13" state="hidden" r:id="rId14"/>
    <sheet name="ЭЭ" sheetId="14" state="hidden" r:id="rId15"/>
    <sheet name="Амортизация" sheetId="15" state="hidden" r:id="rId16"/>
    <sheet name="Аренда" sheetId="16" state="hidden" r:id="rId17"/>
    <sheet name="Амортизация (аналог)" sheetId="17" r:id="rId18"/>
    <sheet name="Покупка" sheetId="18" state="hidden" r:id="rId19"/>
    <sheet name="ФОТ" sheetId="19" state="hidden" r:id="rId20"/>
    <sheet name="Административные" sheetId="20" state="hidden" r:id="rId21"/>
    <sheet name="Сбытовые расходы ГО" sheetId="21" state="hidden" r:id="rId22"/>
    <sheet name="Налоги" sheetId="22" state="hidden" r:id="rId23"/>
    <sheet name="ИП + источники" sheetId="23" state="hidden" r:id="rId24"/>
    <sheet name="Экономия_корр" sheetId="24" state="hidden" r:id="rId25"/>
    <sheet name="Плата за негативное возд" sheetId="25" state="hidden" r:id="rId26"/>
    <sheet name="Корректировка НВВ" sheetId="26" state="hidden" r:id="rId27"/>
    <sheet name="ТМ" sheetId="27" state="hidden" r:id="rId28"/>
    <sheet name="Калькуляция (МЭОР)" sheetId="28" state="hidden" r:id="rId29"/>
    <sheet name="Калькуляция (МИ)" sheetId="29" state="hidden" r:id="rId30"/>
    <sheet name="Калькуляция (МИ корр)" sheetId="30" state="hidden" r:id="rId31"/>
    <sheet name="ДПР" sheetId="31" state="hidden" r:id="rId32"/>
    <sheet name="ДПР (концессии)" sheetId="32" state="hidden" r:id="rId33"/>
    <sheet name="ГО" sheetId="33" r:id="rId34"/>
    <sheet name="Калькуляция (МСА)" sheetId="34" r:id="rId35"/>
    <sheet name="Комментарии" sheetId="35" r:id="rId36"/>
    <sheet name="REESTR_MO" sheetId="36" state="hidden" r:id="rId37"/>
    <sheet name="REESTR_ORG" sheetId="37" state="hidden" r:id="rId38"/>
    <sheet name="REESTR_OBJECT" sheetId="38" state="hidden" r:id="rId39"/>
    <sheet name="REESTR_ROIV_OMS" sheetId="39" state="hidden" r:id="rId40"/>
    <sheet name="REESTR_TARIFF" sheetId="40" state="hidden" r:id="rId41"/>
    <sheet name="DICTIONARIES" sheetId="41" state="hidden" r:id="rId42"/>
    <sheet name="TEHSHEET" sheetId="42" state="hidden" r:id="rId43"/>
    <sheet name="REESTR_SEP_DIV" sheetId="43" state="hidden" r:id="rId44"/>
    <sheet name="REESTR_DOP" sheetId="44" state="hidden" r:id="rId45"/>
  </sheets>
  <definedNames>
    <definedName name="AdminExpenses_LOAD_2">Административные!$AK$24:$AK$25</definedName>
    <definedName name="AdminExpenses_pIns_comm">Административные!$AB$69</definedName>
    <definedName name="AdminExpenses_vis_flags">Административные!$AE$17:$AJ$17</definedName>
    <definedName name="AdminiExpenses_LOAD_1">Административные!$AE$25:$AJ$25</definedName>
    <definedName name="Amortization_LOAD_1">Амортизация!$AE$25:$BB$25</definedName>
    <definedName name="Amortization_LOAD_2">Амортизация!$BC$24:$BC$25</definedName>
    <definedName name="Amortization_pIns_comm">Амортизация!$AB$129</definedName>
    <definedName name="Amortization_vis_flags">Амортизация!$AI$2:$BB$2</definedName>
    <definedName name="AUTHORIZED_PERSON_EMAIL">'Общие сведения'!$AE$213</definedName>
    <definedName name="AUTHORIZED_PERSON_FIO">'Общие сведения'!$AE$210</definedName>
    <definedName name="AUTHORIZED_PERSON_PHONE">'Общие сведения'!$AE$212</definedName>
    <definedName name="AUTHORIZED_PERSON_POSITION">'Общие сведения'!$AE$211</definedName>
    <definedName name="Balance_vis_flags">Баланс!$AI$2:$BB$2</definedName>
    <definedName name="Calculation_LOAD_1">'Калькуляция (МИ)'!$AE$25:$BC$25</definedName>
    <definedName name="Calculation_LOAD_2">'Калькуляция (МИ)'!$BN$24:$BP$25</definedName>
    <definedName name="Calculation_pIns_comm">'Калькуляция (МИ)'!$AB$319</definedName>
    <definedName name="Calculation_vis_flags">'Калькуляция (МИ)'!$AJ$2:$BM$2</definedName>
    <definedName name="Calculation_vis_flags2">'Калькуляция (МИ)'!$S$25:$S$25</definedName>
    <definedName name="code">Инструкция!$B$2</definedName>
    <definedName name="COLDVSNA_TRANSP_VTOV">TEHSHEET!$V$2:$V$4</definedName>
    <definedName name="COLDVSNA_VDET_LIST">TEHSHEET!$K$20:$K$24</definedName>
    <definedName name="COLDVSNA_VTARIFF">TEHSHEET!$W$2:$W$3</definedName>
    <definedName name="COLDVSNA_VTOV">TEHSHEET!$V$2:$V$3</definedName>
    <definedName name="diametr_list">TEHSHEET!$AB$2:$AB$22</definedName>
    <definedName name="diametr_list_vo">TEHSHEET!$AG$2:$AG$140</definedName>
    <definedName name="diametr_list_vs">TEHSHEET!$AF$2:$AF$55</definedName>
    <definedName name="DOCUMENT_TYPES">TEHSHEET!$K$46:$K$52</definedName>
    <definedName name="DPR_check_range1">ДПР!$AG$28:$AG$28</definedName>
    <definedName name="DPR_ee_divide">ДПР!$AF$24</definedName>
    <definedName name="dpr_list">DICTIONARIES!$C$2:$C$43</definedName>
    <definedName name="DPR_LOAD_1">ДПР!$AC$28:$AK$28</definedName>
    <definedName name="DPR_pIns_comm">ДПР!$AB$136</definedName>
    <definedName name="DPR_vis_flags">ДПР!$W$28:$W$28</definedName>
    <definedName name="DPR_vis_flags2">ДПР!$AG$2:$AK$2</definedName>
    <definedName name="DPRConcessions_LOAD_1">'ДПР (концессии)'!$AC$26:$AK$26</definedName>
    <definedName name="DPRConcessions_pIns_comm">'ДПР (концессии)'!$AB$138</definedName>
    <definedName name="DPRConcessions_vis_flags">'ДПР (концессии)'!$W$26:$W$26</definedName>
    <definedName name="DPRConcessions_vis_flags2">'ДПР (концессии)'!$AG$2:$AK$2</definedName>
    <definedName name="Electricity_LOAD_1">ЭЭ!$AE$25:$BB$67</definedName>
    <definedName name="Electricity_vis_flags">ЭЭ!$AI$2:$BB$2</definedName>
    <definedName name="entityName">'Общие сведения'!$AI$24</definedName>
    <definedName name="et_AdminExpenses_tariff">Административные!$32:$69</definedName>
    <definedName name="et_Amortization_tariff">Амортизация!$27:$75</definedName>
    <definedName name="et_Balance_tariff_vo">Баланс!$81:$105</definedName>
    <definedName name="et_Balance_tariff_vo_transp">Баланс!$107:$117</definedName>
    <definedName name="et_Balance_tariff_vs">Баланс!$27:$62</definedName>
    <definedName name="et_Balance_tariff_vs_transp">Баланс!$65:$78</definedName>
    <definedName name="et_Calculation_tariff">'Калькуляция (МИ)'!$27:$166</definedName>
    <definedName name="et_DPR_tariff_vs">ДПР!$30:$80</definedName>
    <definedName name="et_DPRConcessions_block">'ДПР (концессии)'!$29:$79</definedName>
    <definedName name="et_DPRConcessions_tariff">'ДПР (концессии)'!$28:$28</definedName>
    <definedName name="et_GeneralInfo_fio">'Общие сведения'!$222:$222</definedName>
    <definedName name="et_GeneralInfo_tariff">'Общие сведения'!$180:$193</definedName>
    <definedName name="et_InvestmentSources_tariff">'ИП + источники'!$29:$57</definedName>
    <definedName name="et_NegativeImpactFee_tariff">'Плата за негативное возд'!$26:$28</definedName>
    <definedName name="et_NVVCorrection_tariff">'Корректировка НВВ'!$27:$77</definedName>
    <definedName name="et_ObjectList_obj">'Список объектов'!$28:$28</definedName>
    <definedName name="et_ObjectList_tariff_vs">'Список объектов'!$26:$26</definedName>
    <definedName name="et_Purchase_org2">Покупка!$35:$36</definedName>
    <definedName name="et_Purchase_org3">Покупка!$40:$41</definedName>
    <definedName name="et_Purchase_org4">Покупка!$45:$46</definedName>
    <definedName name="et_Purchase_org5">Покупка!$50:$51</definedName>
    <definedName name="et_Purchase_tariff">Покупка!$27:$52</definedName>
    <definedName name="et_Reagents_reagent">'Сырье и материалы'!$29:$29</definedName>
    <definedName name="et_Reagents_tariff">'Сырье и материалы'!$27:$30</definedName>
    <definedName name="et_Rent_tariff">Аренда!$27:$34</definedName>
    <definedName name="et_SalesExpensesGO_1">'Сбытовые расходы ГО'!$57:$57</definedName>
    <definedName name="et_SalesExpensesGO_tariff">'Сбытовые расходы ГО'!$32:$55</definedName>
    <definedName name="et_SavingsCorrection_tariff">Экономия_корр!$32:$47</definedName>
    <definedName name="et_Scenarios_tariff">Сценарии!$28:$54</definedName>
    <definedName name="et_tariff_Iika">ИИКА!$27:$31</definedName>
    <definedName name="et_Taxes_tariff">Налоги!$27:$40</definedName>
    <definedName name="et_TerritoryList_tariff">'Список территорий'!$26:$28</definedName>
    <definedName name="et_TM_tariff">ТМ!$29:$76</definedName>
    <definedName name="et_TM_tariff_transp">ТМ!$78:$83</definedName>
    <definedName name="et_WageFund_dolj">ФОТ!$29:$31</definedName>
    <definedName name="et_WageFund_tariff">ФОТ!$27:$51</definedName>
    <definedName name="FIRST_TIME_REG">'Общие сведения'!$AE$175</definedName>
    <definedName name="first_year">'Общие сведения'!$AE$25</definedName>
    <definedName name="flag_end_AdminExpenses">Административные!$AL$70</definedName>
    <definedName name="flag_end_AmorAnalog">'Амортизация (аналог)'!$AG$47</definedName>
    <definedName name="flag_end_Amortization">Амортизация!$BD$130</definedName>
    <definedName name="flag_end_Balance">Баланс!$BD$216</definedName>
    <definedName name="flag_end_CalcMeor">'Калькуляция (МЭОР)'!$AP$202</definedName>
    <definedName name="flag_end_CalcMiCorr">'Калькуляция (МИ корр)'!$BQ$320</definedName>
    <definedName name="flag_end_Calculation">'Калькуляция (МИ)'!$BQ$320</definedName>
    <definedName name="flag_end_Comments">Комментарии!$AC$34</definedName>
    <definedName name="flag_end_DPR">ДПР!$AL$137</definedName>
    <definedName name="flag_end_DPRConcessions">'ДПР (концессии)'!$AL$139</definedName>
    <definedName name="flag_end_Electricity">ЭЭ!$BD$72</definedName>
    <definedName name="flag_end_Explanations">Пояснения!$AE$27</definedName>
    <definedName name="flag_end_GeneralInfo">'Общие сведения'!$AF$223</definedName>
    <definedName name="flag_end_GO">ГО!$AF$220</definedName>
    <definedName name="flag_end_iika">ИИКА!$BB$37</definedName>
    <definedName name="flag_end_InvestmentSources">'ИП + источники'!$BF$92</definedName>
    <definedName name="flag_end_NegativeImpactFee">'Плата за негативное возд'!$AM$37</definedName>
    <definedName name="flag_end_NVVCorrection">'Корректировка НВВ'!$AI$134</definedName>
    <definedName name="flag_end_ObjectList">'Список объектов'!$AI$35</definedName>
    <definedName name="flag_end_Objects">'Перечень объектов'!$AK$58</definedName>
    <definedName name="flag_end_Purchase">Покупка!$BD$92</definedName>
    <definedName name="flag_end_Reagents">'Сырье и материалы'!$BD$41</definedName>
    <definedName name="flag_end_Rent">Аренда!$BD$52</definedName>
    <definedName name="flag_end_SalesExpensesGO">'Сбытовые расходы ГО'!$AL$56</definedName>
    <definedName name="flag_end_SavingsCorrection">Экономия_корр!$AZ$48</definedName>
    <definedName name="flag_end_Scenarios">Сценарии!$BG$82</definedName>
    <definedName name="flag_end_SheetList">'Список листов'!$AE$54</definedName>
    <definedName name="flag_end_TariffCalcMsa">'Калькуляция (МСА)'!$AG$74</definedName>
    <definedName name="flag_end_Taxes">Налоги!$BD$60</definedName>
    <definedName name="flag_end_TerritoryList">'Список территорий'!$AH$33</definedName>
    <definedName name="flag_end_TM">ТМ!$FX$146</definedName>
    <definedName name="flag_end_uslmetr">'Условные метры'!$AQ$48</definedName>
    <definedName name="flag_end_WageFund">ФОТ!$AL$82</definedName>
    <definedName name="flag_size_AdminExpenses">Административные!$E$5</definedName>
    <definedName name="flag_size_AmorAnalog">'Амортизация (аналог)'!$E$5</definedName>
    <definedName name="flag_size_Amortization">Амортизация!$E$5</definedName>
    <definedName name="flag_size_Balance">Баланс!$E$5</definedName>
    <definedName name="flag_size_CalcMeor">'Калькуляция (МЭОР)'!$E$5</definedName>
    <definedName name="flag_size_CalcMiCorr">'Калькуляция (МИ корр)'!$E$5</definedName>
    <definedName name="flag_size_Calculation">'Калькуляция (МИ)'!$E$5</definedName>
    <definedName name="flag_size_Comments">Комментарии!$E$5</definedName>
    <definedName name="flag_size_DPR">ДПР!$E$5</definedName>
    <definedName name="flag_size_DPRConcessions">'ДПР (концессии)'!$E$5</definedName>
    <definedName name="flag_size_Electricity">ЭЭ!$E$5</definedName>
    <definedName name="flag_size_Explanations">Пояснения!$E$5</definedName>
    <definedName name="flag_size_GeneralInfo">'Общие сведения'!$E$5</definedName>
    <definedName name="flag_size_GO">ГО!$E$5</definedName>
    <definedName name="flag_size_iika">ИИКА!$E$5</definedName>
    <definedName name="flag_size_InvestmentSources">'ИП + источники'!$E$5</definedName>
    <definedName name="flag_size_NegativeImpactFee">'Плата за негативное возд'!$E$5</definedName>
    <definedName name="flag_size_NVVCorrection">'Корректировка НВВ'!$E$5</definedName>
    <definedName name="flag_size_ObjectList">'Список объектов'!$E$5</definedName>
    <definedName name="flag_size_Objects">'Перечень объектов'!$E$5</definedName>
    <definedName name="flag_size_Purchase">Покупка!$E$5</definedName>
    <definedName name="flag_size_Reagents">'Сырье и материалы'!$E$5</definedName>
    <definedName name="flag_size_Rent">Аренда!$E$5</definedName>
    <definedName name="flag_size_SalesExpensesGO">'Сбытовые расходы ГО'!$E$5</definedName>
    <definedName name="flag_size_SavingsCorrection">Экономия_корр!$E$5</definedName>
    <definedName name="flag_size_Scenarios">Сценарии!$E$5</definedName>
    <definedName name="flag_size_SheetList">'Список листов'!$E$5</definedName>
    <definedName name="flag_size_TariffCalcMsa">'Калькуляция (МСА)'!$E$5</definedName>
    <definedName name="flag_size_Taxes">Налоги!$E$5</definedName>
    <definedName name="flag_size_TerritoryList">'Список территорий'!$E$5</definedName>
    <definedName name="flag_size_TM">ТМ!$E$5</definedName>
    <definedName name="flag_size_uslmetr">'Условные метры'!$E$5</definedName>
    <definedName name="flag_size_WageFund">ФОТ!$E$5</definedName>
    <definedName name="flag_start_AdminExpenses">Административные!$AA$21</definedName>
    <definedName name="flag_start_AmorAnalog">'Амортизация (аналог)'!$AA$21</definedName>
    <definedName name="flag_start_Amortization">Амортизация!$AA$21</definedName>
    <definedName name="flag_start_Balance">Баланс!$AA$21</definedName>
    <definedName name="flag_start_CalcMeor">'Калькуляция (МЭОР)'!$AA$21</definedName>
    <definedName name="flag_start_CalcMiCorr">'Калькуляция (МИ корр)'!$AA$21</definedName>
    <definedName name="flag_start_Calculation">'Калькуляция (МИ)'!$AA$21</definedName>
    <definedName name="flag_start_Comments">Комментарии!$AA$21</definedName>
    <definedName name="flag_start_DPR">ДПР!$AA$21</definedName>
    <definedName name="flag_start_DPRConcessions">'ДПР (концессии)'!$AA$21</definedName>
    <definedName name="flag_start_Electricity">ЭЭ!$AA$21</definedName>
    <definedName name="flag_start_Explanations">Пояснения!$AA$21</definedName>
    <definedName name="flag_start_GeneralInfo">'Общие сведения'!$AA$21</definedName>
    <definedName name="flag_start_GO">ГО!$AA$21</definedName>
    <definedName name="flag_start_iika">ИИКА!$AA$21</definedName>
    <definedName name="flag_start_InvestmentSources">'ИП + источники'!$AA$21</definedName>
    <definedName name="flag_start_NegativeImpactFee">'Плата за негативное возд'!$AA$21</definedName>
    <definedName name="flag_start_NVVCorrection">'Корректировка НВВ'!$AA$21</definedName>
    <definedName name="flag_start_ObjectList">'Список объектов'!$AA$21</definedName>
    <definedName name="flag_start_Objects">'Перечень объектов'!$AB$21</definedName>
    <definedName name="flag_start_Purchase">Покупка!$AA$21</definedName>
    <definedName name="flag_start_Reagents">'Сырье и материалы'!$AA$21</definedName>
    <definedName name="flag_start_Rent">Аренда!$AA$21</definedName>
    <definedName name="flag_start_SalesExpensesGO">'Сбытовые расходы ГО'!$AA$21</definedName>
    <definedName name="flag_start_SavingsCorrection">Экономия_корр!$AA$21</definedName>
    <definedName name="flag_start_Scenarios">Сценарии!$AA$21</definedName>
    <definedName name="flag_start_SheetList">'Список листов'!$AA$21</definedName>
    <definedName name="flag_start_TariffCalcMsa">'Калькуляция (МСА)'!$AA$21</definedName>
    <definedName name="flag_start_Taxes">Налоги!$AA$21</definedName>
    <definedName name="flag_start_TerritoryList">'Список территорий'!$AA$21</definedName>
    <definedName name="flag_start_TM">ТМ!$AA$21</definedName>
    <definedName name="flag_start_uslmetr">'Условные метры'!$AA$21</definedName>
    <definedName name="flag_start_WageFund">ФОТ!$AA$21</definedName>
    <definedName name="flag_vis_AdminExpenses">Административные!$B$2</definedName>
    <definedName name="flag_vis_AmorAnalog">'Амортизация (аналог)'!$B$2</definedName>
    <definedName name="flag_vis_Amortization">Амортизация!$B$2</definedName>
    <definedName name="flag_vis_Balance">Баланс!$B$2</definedName>
    <definedName name="flag_vis_CalcMeor">'Калькуляция (МЭОР)'!$B$2</definedName>
    <definedName name="flag_vis_CalcMiCorr">'Калькуляция (МИ корр)'!$B$2</definedName>
    <definedName name="flag_vis_Calculation">'Калькуляция (МИ)'!$B$2</definedName>
    <definedName name="flag_vis_Comments">Комментарии!$B$2</definedName>
    <definedName name="flag_vis_DPR">ДПР!$B$2</definedName>
    <definedName name="flag_vis_DPRConcessions">'ДПР (концессии)'!$B$2</definedName>
    <definedName name="flag_vis_Electricity">ЭЭ!$B$2</definedName>
    <definedName name="flag_vis_Explanations">Пояснения!$B$2</definedName>
    <definedName name="flag_vis_GeneralInfo">'Общие сведения'!$B$2</definedName>
    <definedName name="flag_vis_GO">ГО!$B$2</definedName>
    <definedName name="flag_vis_iika">ИИКА!$B$2</definedName>
    <definedName name="flag_vis_Instruction">Инструкция!$B$2</definedName>
    <definedName name="flag_vis_InvestmentSources">'ИП + источники'!$B$2</definedName>
    <definedName name="flag_vis_NegativeImpactFee">'Плата за негативное возд'!$B$2</definedName>
    <definedName name="flag_vis_NVVCorrection">'Корректировка НВВ'!$B$2</definedName>
    <definedName name="flag_vis_ObjectList">'Список объектов'!$B$2</definedName>
    <definedName name="flag_vis_Objects">'Перечень объектов'!$B$2</definedName>
    <definedName name="flag_vis_Purchase">Покупка!$B$2</definedName>
    <definedName name="flag_vis_Reagents">'Сырье и материалы'!$B$2</definedName>
    <definedName name="flag_vis_Rent">Аренда!$B$2</definedName>
    <definedName name="flag_vis_SalesExpensesGO">'Сбытовые расходы ГО'!$B$2</definedName>
    <definedName name="flag_vis_SavingsCorrection">Экономия_корр!$B$2</definedName>
    <definedName name="flag_vis_Scenarios">Сценарии!$B$2</definedName>
    <definedName name="flag_vis_SheetList">'Список листов'!$B$2</definedName>
    <definedName name="flag_vis_TariffCalcMsa">'Калькуляция (МСА)'!$B$2</definedName>
    <definedName name="flag_vis_Taxes">Налоги!$B$2</definedName>
    <definedName name="flag_vis_TerritoryList">'Список территорий'!$B$2</definedName>
    <definedName name="flag_vis_TM">ТМ!$B$2</definedName>
    <definedName name="flag_vis_uslmetr">'Условные метры'!$B$2</definedName>
    <definedName name="flag_vis_WageFund">ФОТ!$B$2</definedName>
    <definedName name="GeneralInfo_check_area">'Общие сведения'!$AE$22:$AE$221</definedName>
    <definedName name="GeneralInfo_LOAD_1">'Общие сведения'!$AE$44:$AE$219</definedName>
    <definedName name="GeneralInfo_pIns1">'Общие сведения'!$AE$63</definedName>
    <definedName name="GeneralInfo_pIns2">'Общие сведения'!$AE$83</definedName>
    <definedName name="GeneralInfo_pIns3">'Общие сведения'!$AE$95</definedName>
    <definedName name="GeneralInfo_pIns4">'Общие сведения'!$AE$107</definedName>
    <definedName name="GeneralInfo_pIns5">'Общие сведения'!$AE$121</definedName>
    <definedName name="GeneralInfo_pIns6">'Общие сведения'!$AE$135</definedName>
    <definedName name="GeneralInfo_pIns7">'Общие сведения'!$AE$149</definedName>
    <definedName name="GeneralInfo_tariff_start">'Общие сведения'!$AA$178</definedName>
    <definedName name="GeneralInfo_vis_flags">'Общие сведения'!$Y$178:$Y$178</definedName>
    <definedName name="glubina_list">TEHSHEET!$AE$2:$AE$6</definedName>
    <definedName name="GO_INN">'Общие сведения'!$AE$66</definedName>
    <definedName name="GO_KPP">'Общие сведения'!$AE$67</definedName>
    <definedName name="GO_ORG">'Общие сведения'!$AE$65</definedName>
    <definedName name="god">'Общие сведения'!$AE$24</definedName>
    <definedName name="grunt_list">TEHSHEET!$AD$2:$AD$3</definedName>
    <definedName name="HAS_DOC2">'Общие сведения'!$AE$72</definedName>
    <definedName name="HAS_DOC2_block">'Общие сведения'!$AE$78:$AE$83</definedName>
    <definedName name="HAS_DOC3">'Общие сведения'!$AE$84</definedName>
    <definedName name="HAS_DOC3_block">'Общие сведения'!$AE$85:$AE$95</definedName>
    <definedName name="HAS_DOC4">'Общие сведения'!$AE$96</definedName>
    <definedName name="HAS_DOC4_block">'Общие сведения'!$AE$97:$AE$107</definedName>
    <definedName name="HAS_DOC5">'Общие сведения'!$AE$108</definedName>
    <definedName name="HAS_DOC5_block">'Общие сведения'!$AE$109:$AE$121</definedName>
    <definedName name="HAS_DOC6">'Общие сведения'!$AE$122</definedName>
    <definedName name="HAS_DOC6_block">'Общие сведения'!$AE$123:$AE$135</definedName>
    <definedName name="HAS_DOC7">'Общие сведения'!$AE$136</definedName>
    <definedName name="HAS_DOC7_block">'Общие сведения'!$AE$137:$AE$149</definedName>
    <definedName name="hasTranspVO">'Общие сведения'!$AG$173</definedName>
    <definedName name="hasTranspVS">'Общие сведения'!$AF$173</definedName>
    <definedName name="hasVO">'Общие сведения'!$AE$173</definedName>
    <definedName name="hasVS">'Общие сведения'!$AD$173</definedName>
    <definedName name="inn">'Общие сведения'!$AE$42</definedName>
    <definedName name="InsB_GeneralInfo_tariff">'Общие сведения'!$AD$208</definedName>
    <definedName name="InvestmentSources_is_one_block">'ИП + источники'!$AD$24</definedName>
    <definedName name="InvestmentSources_LOAD_1">'ИП + источники'!$AE$27:$BD$87</definedName>
    <definedName name="InvestmentSources_LOAD_2">'ИП + источники'!$BE$26:$BE$87</definedName>
    <definedName name="InvestmentSources_pIns_comm">'ИП + источники'!$AB$91</definedName>
    <definedName name="InvestmentSources_vis_flags">'ИП + источники'!$AK$2:$BD$2</definedName>
    <definedName name="InvestmentSources_vis_flags2">'ИП + источники'!$R$27:$R$27</definedName>
    <definedName name="isBlocked_CalcMiCorr">'Калькуляция (МИ корр)'!$R$3</definedName>
    <definedName name="ist_info_build_list">TEHSHEET!$AA$2:$AA$3</definedName>
    <definedName name="kpp">'Общие сведения'!$AE$43</definedName>
    <definedName name="last_year">'Общие сведения'!$AF$25</definedName>
    <definedName name="last_year_vis">'Общие сведения'!$AG$25</definedName>
    <definedName name="LIST_MR_MO_OKTMO">REESTR_MO!$A$2:$E$263</definedName>
    <definedName name="List04_LOAD_1">'Условные метры'!$AC$24:$AP$36</definedName>
    <definedName name="List04_pIns_comm">'Условные метры'!$AB$47</definedName>
    <definedName name="List05_LOAD_1">'Амортизация (аналог)'!$AE$25:$AF$41</definedName>
    <definedName name="List05_pIns_comm">'Амортизация (аналог)'!$AB$46</definedName>
    <definedName name="List06_LOAD_1">ГО!$AE$25:$AE$115</definedName>
    <definedName name="List06_pIns_comm">ГО!$AB$219</definedName>
    <definedName name="List07_LOAD_1">'Калькуляция (МСА)'!$AE$25:$AF$65</definedName>
    <definedName name="List07_pIns_comm">'Калькуляция (МСА)'!$AB$73</definedName>
    <definedName name="List15_LOAD_1">'Калькуляция (МЭОР)'!$AE$25:$AK$197</definedName>
    <definedName name="List15_LOAD_2">'Калькуляция (МЭОР)'!$AM$24:$AO$197</definedName>
    <definedName name="List15_pIns_comm">'Калькуляция (МЭОР)'!$AB$201</definedName>
    <definedName name="List15_vis_flags">'Калькуляция (МЭОР)'!$AE$17:$AL$17</definedName>
    <definedName name="List15_vis_flags2">'Калькуляция (МЭОР)'!$H$25:$H$197</definedName>
    <definedName name="material_list">TEHSHEET!$AC$2:$AC$5</definedName>
    <definedName name="method_list">TEHSHEET!$K$14:$K$17</definedName>
    <definedName name="method_reg">'Общие сведения'!$AE$23</definedName>
    <definedName name="metod_list">TEHSHEET!$K$14:$K$17</definedName>
    <definedName name="MO_END_DATE">TEHSHEET!$M$20</definedName>
    <definedName name="MO_LIST_10">REESTR_MO!$B$58:$B$70</definedName>
    <definedName name="MO_LIST_11">REESTR_MO!$B$71:$B$81</definedName>
    <definedName name="MO_LIST_12">REESTR_MO!$B$82:$B$92</definedName>
    <definedName name="MO_LIST_13">REESTR_MO!$B$93:$B$110</definedName>
    <definedName name="MO_LIST_14">REESTR_MO!$B$111:$B$116</definedName>
    <definedName name="MO_LIST_15">REESTR_MO!$B$117:$B$125</definedName>
    <definedName name="MO_LIST_16">REESTR_MO!$B$126</definedName>
    <definedName name="MO_LIST_17">REESTR_MO!$B$127:$B$140</definedName>
    <definedName name="MO_LIST_18">REESTR_MO!$B$141</definedName>
    <definedName name="MO_LIST_19">REESTR_MO!$B$142:$B$160</definedName>
    <definedName name="MO_LIST_2">REESTR_MO!$B$2:$B$8</definedName>
    <definedName name="MO_LIST_20">REESTR_MO!$B$161:$B$166</definedName>
    <definedName name="MO_LIST_21">REESTR_MO!$B$167:$B$181</definedName>
    <definedName name="MO_LIST_22">REESTR_MO!$B$182</definedName>
    <definedName name="MO_LIST_23">REESTR_MO!$B$183:$B$192</definedName>
    <definedName name="MO_LIST_24">REESTR_MO!$B$193:$B$209</definedName>
    <definedName name="MO_LIST_25">REESTR_MO!$B$210:$B$217</definedName>
    <definedName name="MO_LIST_26">REESTR_MO!$B$218:$B$223</definedName>
    <definedName name="MO_LIST_27">REESTR_MO!$B$224:$B$230</definedName>
    <definedName name="MO_LIST_28">REESTR_MO!$B$231:$B$248</definedName>
    <definedName name="MO_LIST_29">REESTR_MO!$B$249:$B$263</definedName>
    <definedName name="MO_LIST_3">REESTR_MO!$B$9</definedName>
    <definedName name="MO_LIST_4">REESTR_MO!$B$10</definedName>
    <definedName name="MO_LIST_5">REESTR_MO!$B$11</definedName>
    <definedName name="MO_LIST_6">REESTR_MO!$B$12:$B$18</definedName>
    <definedName name="MO_LIST_7">REESTR_MO!$B$19:$B$26</definedName>
    <definedName name="MO_LIST_8">REESTR_MO!$B$27:$B$32</definedName>
    <definedName name="MO_LIST_9">REESTR_MO!$B$33:$B$57</definedName>
    <definedName name="MO_START_DATE">TEHSHEET!$M$19</definedName>
    <definedName name="MONTH_LIST">TEHSHEET!$R$2:$R$13</definedName>
    <definedName name="MR_LIST">REESTR_MO!$F$2:$F$29</definedName>
    <definedName name="NALOG_SYSTEM_LIST">TEHSHEET!$G$19:$G$20</definedName>
    <definedName name="NDS">TEHSHEET!$M$5</definedName>
    <definedName name="NegativeImpactFee_LOAD_1">'Плата за негативное возд'!$AE$24:$AL$24</definedName>
    <definedName name="NegativeImpactFee_pIns_comm">'Плата за негативное возд'!$AB$36</definedName>
    <definedName name="NONPRIVATE_OWNERSHIP_TYPE">TEHSHEET!$G$13:$G$15</definedName>
    <definedName name="NVVCorrection_LOAD_1">'Корректировка НВВ'!$AF$25:$AG$25</definedName>
    <definedName name="NVVCorrection_LOAD_2">'Корректировка НВВ'!$AH$24:$AH$25</definedName>
    <definedName name="NVVCorrection_pIns_comm">'Корректировка НВВ'!$AB$133</definedName>
    <definedName name="NVVCorrection_vis_flags">'Корректировка НВВ'!$S$25:$S$25</definedName>
    <definedName name="ObjectList_LOAD_1">'Список объектов'!$AE$24:$AH$24</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TEHSHEET!$A$94:$B$183</definedName>
    <definedName name="okopf">'Общие сведения'!$AE$45</definedName>
    <definedName name="okopf_list">DICTIONARIES!$A$2:$A$97</definedName>
    <definedName name="okpo">'Общие сведения'!$AE$44</definedName>
    <definedName name="OKTMO_VS_TYPE_LIST">REESTR_MO!$C$2:$E$263</definedName>
    <definedName name="onlyOneYear">'Общие сведения'!$AE$222</definedName>
    <definedName name="org">'Общие сведения'!$AB$33</definedName>
    <definedName name="org_declaration">'Общие сведения'!$AB$179</definedName>
    <definedName name="ORG_DIRECTOR_POSITION">'Общие сведения'!$AE$51</definedName>
    <definedName name="ORG_EMAIL">'Общие сведения'!$AE$49</definedName>
    <definedName name="ORG_END_DATE">TEHSHEET!$M$12</definedName>
    <definedName name="ORG_EXECUTOR_EMAIL">'Общие сведения'!$AE$156</definedName>
    <definedName name="ORG_EXECUTOR_FIO">'Общие сведения'!$AE$153</definedName>
    <definedName name="ORG_EXECUTOR_PHONE">'Общие сведения'!$AE$155</definedName>
    <definedName name="ORG_EXECUTOR_POSITION">'Общие сведения'!$AE$154</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сведения'!$AE$151</definedName>
    <definedName name="PERIOD">TEHSHEET!$M$8</definedName>
    <definedName name="PERIOD_LENGTH">'Общие сведения'!$AE$26</definedName>
    <definedName name="period_list">TEHSHEET!$S$2:$S$49</definedName>
    <definedName name="pIns_AdminExpenses_1">Административные!$AC:$AC</definedName>
    <definedName name="pIns_Electricity_tariff">ЭЭ!$AB$67</definedName>
    <definedName name="pIns_Electricity_voltage">ЭЭ!$AC:$AC</definedName>
    <definedName name="pIns_Iika">ИИКА!$AB$37</definedName>
    <definedName name="pIns_InvestmentSources_tariff">'ИП + источники'!$AB$87</definedName>
    <definedName name="pIns_List04_tariff">'Условные метры'!$AB$36</definedName>
    <definedName name="pIns_List05_tariff">'Амортизация (аналог)'!$AB$41</definedName>
    <definedName name="pIns_List07_tariff">'Калькуляция (МСА)'!$AB$65</definedName>
    <definedName name="pIns_List15_1">'Калькуляция (МЭОР)'!$AC:$AC</definedName>
    <definedName name="pIns_List15_tariff">'Калькуляция (МЭОР)'!$AB$197</definedName>
    <definedName name="pIns_ObjectList_obj">'Список объектов'!$AC$29</definedName>
    <definedName name="pIns_Purchase_postav">Покупка!$AC:$AC</definedName>
    <definedName name="pIns_Reagents_reagent">'Сырье и материалы'!$AC:$AC</definedName>
    <definedName name="pIns_Reagents_tariff">'Сырье и материалы'!$AB$36</definedName>
    <definedName name="pIns_SalesExpensesGO_1">'Сбытовые расходы ГО'!$AC:$AC</definedName>
    <definedName name="pIns_Taxes_nalog">Налоги!$AC:$AC</definedName>
    <definedName name="pIns_TM_tariff">ТМ!$AB$27</definedName>
    <definedName name="pIns_WageFund_dolj">ФОТ!$AC:$AC</definedName>
    <definedName name="plat_nds">'Общие сведения'!$AE$58</definedName>
    <definedName name="Purchase_LOAD_1">Покупка!$AE$25:$BB$25</definedName>
    <definedName name="Purchase_LOAD_2">Покупка!$BC$24:$BC$25</definedName>
    <definedName name="Purchase_pIns_comm">Покупка!$AB$91</definedName>
    <definedName name="Purchase_vis_flags">Покупка!$AI$17:$BB$17</definedName>
    <definedName name="Reagents_LOAD_1">'Сырье и материалы'!$AE$25:$BB$36</definedName>
    <definedName name="Reagents_LOAD_2">'Сырье и материалы'!$BC$24:$BC$36</definedName>
    <definedName name="Reagents_pIns_comm">'Сырье и материалы'!$AB$40</definedName>
    <definedName name="Reagents_vis_flags">'Сырье и материалы'!$AI$2:$BB$2</definedName>
    <definedName name="REESTR_OBJECT_LIST">REESTR_OBJECT!$A$2:$I$7</definedName>
    <definedName name="REESTR_ORG_RANGE">REESTR_ORG!$A$2:$J$316</definedName>
    <definedName name="REGION">TEHSHEET!$A$1:$A$90</definedName>
    <definedName name="region_id">'Общие сведения'!$AF$22</definedName>
    <definedName name="region_name">'Общие сведения'!$AE$22</definedName>
    <definedName name="Rent_LOAD_1">Аренда!$AE$25:$BB$25</definedName>
    <definedName name="Rent_LOAD_2">Аренда!$BC$24:$BC$25</definedName>
    <definedName name="Rent_pIns_comm">Аренда!$AB$51</definedName>
    <definedName name="Rent_vis_flags">Аренда!$AI$17:$BB$17</definedName>
    <definedName name="roiv_oms">'Общие сведения'!$AB$31</definedName>
    <definedName name="roiv_oms_list">REESTR_ROIV_OMS!$A$2</definedName>
    <definedName name="rst_org_id">'Общие сведения'!$AA$33</definedName>
    <definedName name="SalesExpensesGO_LOAD_1">'Сбытовые расходы ГО'!$AE$25:$AJ$25</definedName>
    <definedName name="SalesExpensesGO_LOAD_2">'Сбытовые расходы ГО'!$AK$24:$AK$25</definedName>
    <definedName name="SalesExpensesGO_pIns_comm">'Сбытовые расходы ГО'!$AB$55</definedName>
    <definedName name="SalesExpensesGO_vis_flags">'Сбытовые расходы ГО'!$AE$17:$AJ$17</definedName>
    <definedName name="SavingsCorrection_LOAD_1">Экономия_корр!$AE$25:$AX$25</definedName>
    <definedName name="SavingsCorrection_LOAD_2">Экономия_корр!$AY$24:$AY$25</definedName>
    <definedName name="SavingsCorrection_pIns_comm">Экономия_корр!$AB$47</definedName>
    <definedName name="SavingsCorrection_vis_flags">Экономия_корр!$AE$2:$AX$2</definedName>
    <definedName name="SAX_PARSER_FEATURE">TEHSHEET!$K$2</definedName>
    <definedName name="Scenarios_LOAD_1">Сценарии!$AO$25:$BF$25</definedName>
    <definedName name="Scenarios_LOAD_2">Сценарии!$AI$25:$AK$25</definedName>
    <definedName name="Scenarios_LOAD_3">Сценарии!$AE$25:$AG$25</definedName>
    <definedName name="Scenarios_LOAD_COM_1">Сценарии!$AH$25:$AH$25</definedName>
    <definedName name="Scenarios_LOAD_COM_2">Сценарии!$AN$25:$AN$25</definedName>
    <definedName name="Scenarios_vis_flags">Сценарии!$AO$2:$BF$2</definedName>
    <definedName name="Scenarios_vis_flags2">Сценарии!$W$25:$W$25</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GO">'Общие сведения'!$AE$60</definedName>
    <definedName name="STATUS_GO_block">'Общие сведения'!$AE$62:$AE$63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del">'Общие сведения'!$AF$180:$AF$208</definedName>
    <definedName name="tariff_type_list">TEHSHEET!$U$2:$U$3</definedName>
    <definedName name="tax_system">'Общие сведения'!$AE$57</definedName>
    <definedName name="Taxes_LOAD_1">Налоги!$AE$25:$BB$25</definedName>
    <definedName name="Taxes_LOAD_2">Налоги!$BC$24:$BC$25</definedName>
    <definedName name="Taxes_pIns_comm">Налоги!$AB$59</definedName>
    <definedName name="Taxes_vis_flags">Налоги!$AI$2:$BB$2</definedName>
    <definedName name="TemplateState">TEHSHEET!$D$2</definedName>
    <definedName name="TerritoryList_mo_column">'Список территорий'!$AD$24:$AD$24</definedName>
    <definedName name="TerritoryList_mr_column">'Список территорий'!$AC$24:$AC$24</definedName>
    <definedName name="TM_LOAD_1">ТМ!$AD$26:$EM$27</definedName>
    <definedName name="TM_pIns_comm">ТМ!$AB$145</definedName>
    <definedName name="TM_vis_flags">ТМ!$AG$2:$FW$2</definedName>
    <definedName name="TM_vis_flags2">ТМ!$T$24:$T$27</definedName>
    <definedName name="tpl_title">'Общие сведения'!$AL$33</definedName>
    <definedName name="tplCode">'Общие сведения'!$AI$23</definedName>
    <definedName name="VALUABLE_STATE_SHARE">TEHSHEET!$G$7:$G$9</definedName>
    <definedName name="VDET_END_DATE">TEHSHEET!$M$16</definedName>
    <definedName name="VDET_START_DATE">TEHSHEET!$M$15</definedName>
    <definedName name="version">Инструкция!$B$3</definedName>
    <definedName name="VOLTAGE_LEVEL_list">TEHSHEET!$Y$2:$Y$7</definedName>
    <definedName name="VOLTAGE_LEVEL2_list">TEHSHEET!$Z$2:$Z$8</definedName>
    <definedName name="VOTV_VDET_LIST">TEHSHEET!$K$27:$K$29</definedName>
    <definedName name="VOTV_VTARIFF">TEHSHEET!$W$6:$W$6</definedName>
    <definedName name="VOTV_VTOV">TEHSHEET!$V$6:$V$11</definedName>
    <definedName name="WageFund_LOAD_1">ФОТ!$AE$25:$AJ$25</definedName>
    <definedName name="WageFund_LOAD_2">ФОТ!$AK$24:$AK$25</definedName>
    <definedName name="WageFund_pIns_comm">ФОТ!$AB$81</definedName>
    <definedName name="WageFund_vis_flags">ФОТ!$AE$17:$AJ$17</definedName>
    <definedName name="wsAdmins_json_coms">Административные!$AC$67:$AC$69</definedName>
    <definedName name="wsAdmins_preload">Административные!$AE$28:$AH$65</definedName>
    <definedName name="wsAdmins_preload_coms">Административные!$AK$28:$AK$65</definedName>
    <definedName name="wsAdmins_preload_full">Административные!$AE$28:$AJ$65</definedName>
    <definedName name="wsAdmins_preload_json">Административные!$AE$28:$AK$65</definedName>
    <definedName name="wsAmor_json_coms">Амортизация!$AC$127:$AC$129</definedName>
    <definedName name="wsAmor_preload">Амортизация!$AE$28:$AH$125</definedName>
    <definedName name="wsAmor_preload_coms">Амортизация!$BC$28:$BC$125</definedName>
    <definedName name="wsAmor_preload_full">Амортизация!$AE$28:$BB$125</definedName>
    <definedName name="wsAmor_preload_json">Амортизация!$AE$28:$BC$125</definedName>
    <definedName name="wsAmorAnalog_json_coms">'Амортизация (аналог)'!$AC$43:$AC$46</definedName>
    <definedName name="wsAmorAnalog_preload">'Амортизация (аналог)'!$AE$28:$AF$41</definedName>
    <definedName name="wsAmorAnalog_preload_json">'Амортизация (аналог)'!$AE$28:$AF$41</definedName>
    <definedName name="wsBalance_json_coms">Баланс!$AC$211:$AC$215</definedName>
    <definedName name="wsBalance_preload">Баланс!$AE$28:$AH$209</definedName>
    <definedName name="wsBalance_preload_coms">Баланс!$BC$28:$BC$209</definedName>
    <definedName name="wsBalance_preload_full">Баланс!$AE$28:$BB$209</definedName>
    <definedName name="wsBalance_preload_json">Баланс!$AE$28:$BC$209</definedName>
    <definedName name="wsComments_json_coms">Комментарии!$AB$24:$AB$33</definedName>
    <definedName name="wsDPR_json_coms">ДПР!$AC$134:$AC$136</definedName>
    <definedName name="wsDPR_preload">ДПР!$AC$31:$AK$132</definedName>
    <definedName name="wsDPR_preload_json">ДПР!$AC$31:$AK$132</definedName>
    <definedName name="wsDPRconc_json_coms">'ДПР (концессии)'!$AC$136:$AC$138</definedName>
    <definedName name="wsDPRconc_preload">'ДПР (концессии)'!$AC$30:$AK$134</definedName>
    <definedName name="wsDPRconc_preload_json">'ДПР (концессии)'!$AC$30:$AK$134</definedName>
    <definedName name="wsEE_json_coms">ЭЭ!$AC$69:$AC$71</definedName>
    <definedName name="wsEe_preload">ЭЭ!$AE$28:$AH$67</definedName>
    <definedName name="wsEE_preload_coms">ЭЭ!$BC$28:$BC$67</definedName>
    <definedName name="wsEE_preload_full">ЭЭ!$AE$28:$BB$67</definedName>
    <definedName name="wsEE_preload_json">ЭЭ!$AE$28:$BC$67</definedName>
    <definedName name="wsGO_json_coms">ГО!$AC$207:$AC$219</definedName>
    <definedName name="wsGO_preload">ГО!$AE$28:$AE$205</definedName>
    <definedName name="wsGO_preload_json">ГО!$AE$28:$AE$205</definedName>
    <definedName name="wsIika_preload_json">ИИКА!$AE$28:$BA$37</definedName>
    <definedName name="wsIPSources_json_coms">'ИП + источники'!$AC$89:$AC$91</definedName>
    <definedName name="wsIPSources_preload">'ИП + источники'!$AE$30:$AJ$87</definedName>
    <definedName name="wsIPSources_preload_coms">'ИП + источники'!$BE$30:$BE$87</definedName>
    <definedName name="wsIPSources_preload_full">'ИП + источники'!$AE$30:$BD$87</definedName>
    <definedName name="wsIPSources_preload_json">'ИП + источники'!$AE$30:$BE$87</definedName>
    <definedName name="wsMeorCalc_json_coms">'Калькуляция (МЭОР)'!$AC$199:$AC$201</definedName>
    <definedName name="wsMeorCalc_preload">'Калькуляция (МЭОР)'!$AE$28:$AI$197</definedName>
    <definedName name="wsMeorCalc_preload_coms">'Калькуляция (МЭОР)'!$AM$28:$AO$197</definedName>
    <definedName name="wsMeorCalc_preload_full">'Калькуляция (МЭОР)'!$AE$28:$AL$197</definedName>
    <definedName name="wsMeorCalc_preload_json">'Калькуляция (МЭОР)'!$AE$28:$AO$197</definedName>
    <definedName name="wsMiCalc_json_coms">'Калькуляция (МИ)'!$AC$317:$AC$319</definedName>
    <definedName name="wsMiCalc_preload">'Калькуляция (МИ)'!$AE$28:$AI$315</definedName>
    <definedName name="wsMiCalc_preload_coms">'Калькуляция (МИ)'!$BN$28:$BP$315</definedName>
    <definedName name="wsMiCalc_preload_full">'Калькуляция (МИ)'!$AE$28:$BM$315</definedName>
    <definedName name="wsMiCalc_preload_json">'Калькуляция (МИ)'!$AE$28:$BP$315</definedName>
    <definedName name="wsMiCalcCorr_json_coms">'Калькуляция (МИ корр)'!$AC$317:$AC$319</definedName>
    <definedName name="wsMiCalcCorr_preload">'Калькуляция (МИ корр)'!$AE$28:$AI$315</definedName>
    <definedName name="wsMiCalcCorr_preload_coms">'Калькуляция (МИ корр)'!$BN$28:$BP$315</definedName>
    <definedName name="wsMiCalcCorr_preload_full">'Калькуляция (МИ корр)'!$AE$28:$BM$315</definedName>
    <definedName name="wsMiCalcCorr_preload_json">'Калькуляция (МИ корр)'!$AE$28:$BP$315</definedName>
    <definedName name="wsMsaCalc_json_coms">'Калькуляция (МСА)'!$AC$69:$AC$73</definedName>
    <definedName name="wsMsaCalc_preload">'Калькуляция (МСА)'!$AE$25</definedName>
    <definedName name="wsMsaCalc_preload_full">'Калькуляция (МСА)'!$AE$28:$AF$65</definedName>
    <definedName name="wsMsaCalc_preload_json">'Калькуляция (МСА)'!$AE$28:$AF$65</definedName>
    <definedName name="wsNegativePays_json_coms">'Плата за негативное возд'!$AC$34:$AC$36</definedName>
    <definedName name="wsNegativePays_preload">'Плата за негативное возд'!$AE$27:$AL$32</definedName>
    <definedName name="wsNegativePays_preload_json">'Плата за негативное возд'!$AE$27:$AL$32</definedName>
    <definedName name="wsNvvCorr_json_coms">'Корректировка НВВ'!$AC$131:$AC$133</definedName>
    <definedName name="wsNvvCorr_preload">'Корректировка НВВ'!$AF$28:$AG$129</definedName>
    <definedName name="wsNvvCorr_preload_coms">'Корректировка НВВ'!$AH$28:$AH$129</definedName>
    <definedName name="wsNvvCorr_preload_json">'Корректировка НВВ'!$AF$28:$AH$129</definedName>
    <definedName name="wsObjectList_preload_json">'Список объектов'!$AH$28:$AH$35</definedName>
    <definedName name="wsObjects_json_coms">'Перечень объектов'!$AC$53:$AC$57</definedName>
    <definedName name="wsObjects_preload">'Перечень объектов'!$AF$28:$AG$51</definedName>
    <definedName name="wsObjects_preload_full">'Перечень объектов'!$AF$28:$AJ$51</definedName>
    <definedName name="wsObjects_preload_json">'Перечень объектов'!$AF$28:$AJ$51</definedName>
    <definedName name="wsPurchase_json_coms">Покупка!$AC$89:$AC$91</definedName>
    <definedName name="wsPurchase_preload">Покупка!$AE$28:$AH$87</definedName>
    <definedName name="wsPurchase_preload_coms">Покупка!$BC$28:$BC$87</definedName>
    <definedName name="wsPurchase_preload_full">Покупка!$AE$28:$BB$87</definedName>
    <definedName name="wsPurchase_preload_json">Покупка!$AE$28:$BC$87</definedName>
    <definedName name="wsReagents_json_coms">'Сырье и материалы'!$AC$38:$AC$40</definedName>
    <definedName name="wsReagents_preload">'Сырье и материалы'!$AE$28:$AH$35</definedName>
    <definedName name="wsReagents_preload_coms">'Сырье и материалы'!$BC$28:$BC$35</definedName>
    <definedName name="wsReagents_preload_full">'Сырье и материалы'!$AE$28:$BB$35</definedName>
    <definedName name="wsReagents_preload_json">'Сырье и материалы'!$AE$28:$BC$35</definedName>
    <definedName name="wsRent_json_coms">Аренда!$AC$49:$AC$51</definedName>
    <definedName name="wsRent_preload">Аренда!$AE$28:$AH$47</definedName>
    <definedName name="wsRent_preload_coms">Аренда!$BC$28:$BC$47</definedName>
    <definedName name="wsRent_preload_full">Аренда!$AE$28:$BB$47</definedName>
    <definedName name="wsRent_preload_json">Аренда!$AE$28:$BC$47</definedName>
    <definedName name="wsSavingsCorr_json_coms">Экономия_корр!$AC$45:$AC$47</definedName>
    <definedName name="wsSavingsCorr_preload">Экономия_корр!$AE$25</definedName>
    <definedName name="wsSavingsCorr_preload_coms">Экономия_корр!$AY$28:$AY$43</definedName>
    <definedName name="wsSavingsCorr_preload_full">Экономия_корр!$AE$28:$AX$43</definedName>
    <definedName name="wsSavingsCorr_preload_json">Экономия_корр!$AE$28:$AY$43</definedName>
    <definedName name="wsScenarios_preload">Сценарии!$AE$29:$AI$82</definedName>
    <definedName name="wsScenarios_preload_coms">Сценарии!$AH$29:$AN$82</definedName>
    <definedName name="wsScenarios_preload_full">Сценарии!$AE$29:$BF$82</definedName>
    <definedName name="wsScenarios_preload_json">Сценарии!$AE$29:$BF$82</definedName>
    <definedName name="wsSellingCosts_json_coms">'Сбытовые расходы ГО'!$AC$53:$AC$55</definedName>
    <definedName name="wsSellingCosts_preload">'Сбытовые расходы ГО'!$AE$28:$AH$51</definedName>
    <definedName name="wsSellingCosts_preload_coms">'Сбытовые расходы ГО'!$AK$28:$AK$51</definedName>
    <definedName name="wsSellingCosts_preload_full">'Сбытовые расходы ГО'!$AE$28:$AJ$51</definedName>
    <definedName name="wsSellingCosts_preload_json">'Сбытовые расходы ГО'!$AE$28:$AK$51</definedName>
    <definedName name="wsTaxes_json_coms">Налоги!$AC$57:$AC$59</definedName>
    <definedName name="wsTaxes_preload">Налоги!$AE$28:$AH$55</definedName>
    <definedName name="wsTaxes_preload_coms">Налоги!$BC$28:$BC$55</definedName>
    <definedName name="wsTaxes_preload_full">Налоги!$AE$28:$BB$55</definedName>
    <definedName name="wsTaxes_preload_json">Налоги!$AE$28:$BC$55</definedName>
    <definedName name="wsTerritoryList_preload">'Список территорий'!$AC$27:$AG$33</definedName>
    <definedName name="wsTerritoryList_preload_json">'Список территорий'!$AF$27:$AG$33</definedName>
    <definedName name="wsTM_json_coms">ТМ!$AC$143:$AC$145</definedName>
    <definedName name="wsTM_preload">ТМ!$AD$26:$AD$26</definedName>
    <definedName name="wsTM_preload_full">ТМ!$AD$34:$FW$141</definedName>
    <definedName name="wsTM_preload_json">ТМ!$AD$34:$FW$141</definedName>
    <definedName name="wsUslMetr_json_coms">'Условные метры'!$AC$38:$AC$47</definedName>
    <definedName name="wsUslMetr_preload">'Условные метры'!$AC$30:$AP$36</definedName>
    <definedName name="wsUslMetr_preload_json">'Условные метры'!$AD$30:$AP$36</definedName>
    <definedName name="wsWageFund_json_coms">ФОТ!$AC$79:$AC$81</definedName>
    <definedName name="wsWageFund_preload">ФОТ!$AE$28:$AH$77</definedName>
    <definedName name="wsWageFund_preload_coms">ФОТ!$AK$28:$AK$77</definedName>
    <definedName name="wsWageFund_preload_full">ФОТ!$AE$28:$AJ$77</definedName>
    <definedName name="wsWageFund_preload_json">ФОТ!$AE$28:$AK$77</definedName>
    <definedName name="XML_MR_MO_OKTMO_LIST_TAG_NAMES">TEHSHEET!$K$5:$K$11</definedName>
    <definedName name="YEAR_LIST">TEHSHEET!$Q$2:$Q$20</definedName>
    <definedName name="year_list2">TEHSHEET!$Q$11:$Q$20</definedName>
    <definedName name="YES_NO">TEHSHEET!$G$2:$G$3</definedName>
    <definedName name="_xlnm._FilterDatabase" localSheetId="4">'Общие сведения'!#REF!</definedName>
    <definedName name="_xlnm._FilterDatabase" localSheetId="5">'Список территорий'!$AA$21:$AG$22</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<sst xmlns="http://schemas.openxmlformats.org/spreadsheetml/2006/main" count="105869" uniqueCount="6476">
  <si>
    <t>Расположение</t>
  </si>
  <si>
    <t>Тип</t>
  </si>
  <si>
    <t>Комментарий</t>
  </si>
  <si>
    <t xml:space="preserve"> (требуется обновление)</t>
  </si>
  <si>
    <t>Код отчёта: EXPERT.VSVO.2026.EIAS</t>
  </si>
  <si>
    <t>Версия отчёта: 1.0.11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</si>
  <si>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</si>
  <si>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</si>
  <si>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</si>
  <si>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</si>
  <si>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</si>
  <si>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</si>
  <si>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</si>
  <si>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</si>
  <si>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</si>
  <si>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ФГИС «ТАРИФ».</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</si>
  <si>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</si>
  <si>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</si>
  <si>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</si>
  <si>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</si>
  <si>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Понятия, используемые в Типовом экспертном заключении</t>
  </si>
  <si>
    <t>№ п/п</t>
  </si>
  <si>
    <t>Используемое понятие</t>
  </si>
  <si>
    <t>Расшифровка (пояснения)</t>
  </si>
  <si>
    <t>факт по данным организации</t>
  </si>
  <si>
    <t>фактические значения расходов в соответствии с данными раздельного учета затрат по видам деятельности организаций, осуществляющих горячее водоснабжение, холодное водоснабжение и (или) водоотведение</t>
  </si>
  <si>
    <t>факт, принятый органом регулирования</t>
  </si>
  <si>
    <r>
      <t xml:space="preserve">фактические значения расходов в соответствии с данными бухгалтерской и статистической отчетности регулируемой организации за соответствующий период, с учетом данных, полученных по результатам проведенных органом регулирования тарифов мероприятий по контролю, предусмотренных Постановление Правительства РФ </t>
    </r>
    <r>
      <rPr>
        <b/>
        <charset val="204"/>
        <color rgb="FFFF0000"/>
        <family val="2"/>
        <rFont val="Tahoma"/>
        <sz val="9"/>
        <u/>
      </rPr>
      <t>от 27.06.2013 N 543 (ред. от 17.08.2020)</t>
    </r>
    <r>
      <rPr>
        <charset val="204"/>
        <family val="2"/>
        <rFont val="Tahoma"/>
        <sz val="9"/>
      </rPr>
      <t xml:space="preserve"> "О государственном контроле (надзоре) в области регулируемых государством цен (тарифов).</t>
    </r>
  </si>
  <si>
    <t>Список листов</t>
  </si>
  <si>
    <t>* для перехода на лист дважды кликните по названию</t>
  </si>
  <si>
    <t>скрыть</t>
  </si>
  <si>
    <t>Общие сведения</t>
  </si>
  <si>
    <t xml:space="preserve"> Сведения о регулируемой организации_x000D_
 Информация о рассмотрении дела об установлении тарифов</t>
  </si>
  <si>
    <t>Список территорий</t>
  </si>
  <si>
    <t xml:space="preserve"> Перечень муниципальных образований, на территории которых организация оказывает услуги холодного водоснабжения / водоотведения</t>
  </si>
  <si>
    <t>Перечень объектов</t>
  </si>
  <si>
    <t xml:space="preserve"> Перечень объектов организации, с помощью которых организация оказывает услуги холодного водоснабжения/ водоотведения</t>
  </si>
  <si>
    <t>Список объектов</t>
  </si>
  <si>
    <t xml:space="preserve"> Правоустанавливающие и подтверждающие документы на объекты коммунальной инфраструктуры</t>
  </si>
  <si>
    <t>отобразить</t>
  </si>
  <si>
    <t>Сценарии</t>
  </si>
  <si>
    <t xml:space="preserve"> Ключевые сценарные показатели</t>
  </si>
  <si>
    <t>ИИКА</t>
  </si>
  <si>
    <t xml:space="preserve"> Индекс изменения количества активов</t>
  </si>
  <si>
    <t>Баланс</t>
  </si>
  <si>
    <t xml:space="preserve"> Баланс водоснабжения / водоотведения</t>
  </si>
  <si>
    <t>Условные метры</t>
  </si>
  <si>
    <t xml:space="preserve"> Расчет условных метров водопроводной (канализационной) сети</t>
  </si>
  <si>
    <t>Сырье и материалы</t>
  </si>
  <si>
    <t xml:space="preserve"> Расходы на реагенты</t>
  </si>
  <si>
    <t>ЭЭ</t>
  </si>
  <si>
    <t xml:space="preserve"> Расходы на электрическую энергию</t>
  </si>
  <si>
    <t>Амортизация</t>
  </si>
  <si>
    <t xml:space="preserve"> Амортизация основных средств и нематериальных активов, относимых к объектам централизованной системы        водоснабжения/водоотведения</t>
  </si>
  <si>
    <t>Амортизация (аналог)</t>
  </si>
  <si>
    <t xml:space="preserve"> Нормативный уровень расходов на амортизацию основных средств и нематериальных активов, относимых к объектам централизованой системы водоснабжения / водоотведения, используемым для транспортировки воды / сточных вод</t>
  </si>
  <si>
    <t>Аренда</t>
  </si>
  <si>
    <t xml:space="preserve"> Аренда</t>
  </si>
  <si>
    <t>Покупка</t>
  </si>
  <si>
    <t xml:space="preserve"> Расходы на оплату товаров (услуг, работ), приобретаемых у других организаций</t>
  </si>
  <si>
    <t>ФОТ</t>
  </si>
  <si>
    <t xml:space="preserve"> Расходы на оплату труда и страховые взносы на обязательное социальное страхование основного производственного персонала, в том числе налоги и сборы с фонда оплаты труда</t>
  </si>
  <si>
    <t>Административные</t>
  </si>
  <si>
    <t xml:space="preserve"> Административные расходы</t>
  </si>
  <si>
    <t>Сбытовые расходы ГО</t>
  </si>
  <si>
    <t xml:space="preserve"> Сбытовые расходы гарантирующей организации</t>
  </si>
  <si>
    <t>Налоги</t>
  </si>
  <si>
    <t xml:space="preserve"> Расшифровка по налогам и платежам</t>
  </si>
  <si>
    <t>ИП + источники</t>
  </si>
  <si>
    <t xml:space="preserve"> План и факт по источникам финансирования инвестиционной программы</t>
  </si>
  <si>
    <t>Экономия_корр</t>
  </si>
  <si>
    <t xml:space="preserve"> Расчет экономии средств, достигнутой в результате снижения расходов предыдущего долгосрочного периода регулирования</t>
  </si>
  <si>
    <t>Плата за негативное возд</t>
  </si>
  <si>
    <t xml:space="preserve"> Плата за негативное воздействие на работу централизованных систем водоотведения</t>
  </si>
  <si>
    <t>Корректировка НВВ</t>
  </si>
  <si>
    <t xml:space="preserve"> Расчет показателей корректировки необходимой валовой выручки</t>
  </si>
  <si>
    <t>Калькуляция (МЭОР)</t>
  </si>
  <si>
    <t xml:space="preserve"> Расчет тарифа методом экономически обоснованных расходов</t>
  </si>
  <si>
    <t>Калькуляция (МИ)</t>
  </si>
  <si>
    <t xml:space="preserve"> Расчет тарифа методом индексации</t>
  </si>
  <si>
    <t>Калькуляция (МИ корр)</t>
  </si>
  <si>
    <t>ТМ</t>
  </si>
  <si>
    <t xml:space="preserve"> Тарифное меню</t>
  </si>
  <si>
    <t>ДПР</t>
  </si>
  <si>
    <t xml:space="preserve"> Долгосрочные параметры регулирования тарифов</t>
  </si>
  <si>
    <t>ДПР (концессии)</t>
  </si>
  <si>
    <t xml:space="preserve"> Долгосрочные параметры регулирования тарифов (концессии)</t>
  </si>
  <si>
    <t>ГО</t>
  </si>
  <si>
    <t xml:space="preserve"> Калькуляция расходов гарантирующей организации</t>
  </si>
  <si>
    <t>Калькуляция (МСА)</t>
  </si>
  <si>
    <t xml:space="preserve"> Расчет тарифа на транспортировку холодной воды / сточных вод методом сравнения аналогов</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</si>
  <si>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</si>
  <si>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</si>
  <si>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</si>
  <si>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</si>
  <si>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</si>
  <si>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</si>
  <si>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</si>
  <si>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</si>
  <si>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</si>
  <si>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</si>
  <si>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</si>
  <si>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</si>
  <si>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сравнения аналогов</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</si>
  <si>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</si>
  <si>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</si>
  <si>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</si>
  <si>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</si>
  <si>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</si>
  <si>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</si>
  <si>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</si>
  <si>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</si>
  <si>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</si>
  <si>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</si>
  <si>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</si>
  <si>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</si>
  <si>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</si>
  <si>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ОГРН</t>
  </si>
  <si>
    <t>1084205006600</t>
  </si>
  <si>
    <t>ИНН</t>
  </si>
  <si>
    <t>4205153492</t>
  </si>
  <si>
    <t>КПП</t>
  </si>
  <si>
    <t>420501001</t>
  </si>
  <si>
    <t>Код по ОКПО</t>
  </si>
  <si>
    <t>26623916</t>
  </si>
  <si>
    <t>L2_7</t>
  </si>
  <si>
    <t>Организационно-правовая форма</t>
  </si>
  <si>
    <t>1 22 47 | Публичные акционерные общества</t>
  </si>
  <si>
    <t>L2_8</t>
  </si>
  <si>
    <t>Юридический адрес</t>
  </si>
  <si>
    <t>650000, Россия, Кемеровская область, г. Кемерово, ул. Кузбасская, 6</t>
  </si>
  <si>
    <t>L2_9</t>
  </si>
  <si>
    <t>Фактический адрес</t>
  </si>
  <si>
    <t>L2_10</t>
  </si>
  <si>
    <t>Телефон организации</t>
  </si>
  <si>
    <t>8 (384-2)36-26-83</t>
  </si>
  <si>
    <t>L2_11</t>
  </si>
  <si>
    <t>e-mail</t>
  </si>
  <si>
    <t>krupov@skek.ru</t>
  </si>
  <si>
    <t>L2_12</t>
  </si>
  <si>
    <t>ФИО руководителя</t>
  </si>
  <si>
    <t>Волков Дмитрий Иванович</t>
  </si>
  <si>
    <t>L2_13</t>
  </si>
  <si>
    <t>Должность руководителя</t>
  </si>
  <si>
    <t>Генеральный директор</t>
  </si>
  <si>
    <t>L2_14</t>
  </si>
  <si>
    <t>Официальный сайт регулируемой организации в сети "Интернет"</t>
  </si>
  <si>
    <t>www.skek.ru</t>
  </si>
  <si>
    <t>L2_15</t>
  </si>
  <si>
    <t>Государственное и (или) муниципальное участие в юридическом лице</t>
  </si>
  <si>
    <t>Наличие</t>
  </si>
  <si>
    <t>нет</t>
  </si>
  <si>
    <t>L3_1</t>
  </si>
  <si>
    <t>Сведения о доле, %</t>
  </si>
  <si>
    <t>0 %</t>
  </si>
  <si>
    <t>L3_2</t>
  </si>
  <si>
    <t>Преобладающий тип собственности в юридическом лице</t>
  </si>
  <si>
    <t>частная</t>
  </si>
  <si>
    <t>L3_3</t>
  </si>
  <si>
    <t>Наличие раздельного учёта затрат по регулируемым видам деятельности в сфере холодного водоснабжения / водоотведения</t>
  </si>
  <si>
    <t>да</t>
  </si>
  <si>
    <t>L4_1</t>
  </si>
  <si>
    <t>Система налогообложения</t>
  </si>
  <si>
    <t>ОСНО</t>
  </si>
  <si>
    <t>Плательщик НДС</t>
  </si>
  <si>
    <t>L4_2</t>
  </si>
  <si>
    <t>Является ли деятельность в сфере холодного водоснабжения / водоотведения профильным видом деятельности</t>
  </si>
  <si>
    <t>L4_3</t>
  </si>
  <si>
    <t>STATUS_GO</t>
  </si>
  <si>
    <t>Наличие статуса гарантирующей организации (ГО)</t>
  </si>
  <si>
    <t>L4_4</t>
  </si>
  <si>
    <t>URL-ссылка на документ, подтверждающий статус ГО</t>
  </si>
  <si>
    <t>et_2</t>
  </si>
  <si>
    <t>×</t>
  </si>
  <si>
    <t>go</t>
  </si>
  <si>
    <t>{                  _x000D_
         funcDyn: 'msgone',_x000D_
         blok: '',_x000D_
         wsCross: '',_x000D_
         linkFormula: '',_x000D_
         levelDyn: ''_x000D_
}</t>
  </si>
  <si>
    <t>Добавить</t>
  </si>
  <si>
    <t>Наименование гарантирующей организации (ГО)</t>
  </si>
  <si>
    <t>АО "СУЭК-Кузбасс"</t>
  </si>
  <si>
    <t>L9_1</t>
  </si>
  <si>
    <t>ИНН ГО</t>
  </si>
  <si>
    <t>4212024138</t>
  </si>
  <si>
    <t>L9_2</t>
  </si>
  <si>
    <t>КПП ГО</t>
  </si>
  <si>
    <t>421201001</t>
  </si>
  <si>
    <t>L9_3</t>
  </si>
  <si>
    <t>Реквизиты письма ГО о направлении данных для расчета</t>
  </si>
  <si>
    <t xml:space="preserve">25.06.2025 вх. № 3917 </t>
  </si>
  <si>
    <t>L9_4</t>
  </si>
  <si>
    <t>ГО плательщик НДС</t>
  </si>
  <si>
    <t>L9_5</t>
  </si>
  <si>
    <t>Наличие программы в области энергосбережения и повышения энергетической эффективности</t>
  </si>
  <si>
    <t>L4_6</t>
  </si>
  <si>
    <t>HAS_DOC2</t>
  </si>
  <si>
    <t>Наличие программы комплексного развития</t>
  </si>
  <si>
    <t>L4_7</t>
  </si>
  <si>
    <t>Реквизиты решения</t>
  </si>
  <si>
    <t>Наименование</t>
  </si>
  <si>
    <t>Об утверждении муниципальной программы Ленинск-Кузнецкого городского округа "Жилищно-коммунальный и дорожный комплекс, благоустройство, энергосбережение и повышение энергоэффективности" на 2024 - 2026 годы</t>
  </si>
  <si>
    <t>Вид</t>
  </si>
  <si>
    <t>постановление</t>
  </si>
  <si>
    <t>Номер</t>
  </si>
  <si>
    <t>2136</t>
  </si>
  <si>
    <t>Дата принятия</t>
  </si>
  <si>
    <t>09.11.2023  (ред. от 29.02.2024)</t>
  </si>
  <si>
    <t>URL-ссылка на решение</t>
  </si>
  <si>
    <t>HAS_DOC3</t>
  </si>
  <si>
    <t>Наличие схемы холодного водоснабжения / водоотведения</t>
  </si>
  <si>
    <t>L4_8</t>
  </si>
  <si>
    <t>Об актуализации схемы водоснабжения и водоотведения на территории Полысаевского городского округа</t>
  </si>
  <si>
    <t>1745</t>
  </si>
  <si>
    <t>HAS_DOC4</t>
  </si>
  <si>
    <t>Наличие закона субъекта по льготным тарифам</t>
  </si>
  <si>
    <t>L4_9</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</si>
  <si>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</si>
  <si>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</si>
  <si>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</si>
  <si>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</si>
  <si>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</si>
  <si>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</si>
  <si>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</si>
  <si>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</si>
  <si>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</si>
  <si>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</si>
  <si>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</si>
  <si>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</si>
  <si>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Полезный отпуск рассчитывается с учётом собственных нужд предприятия _x000D_
(п.8.1 баланса ВС и п.3 баланса ВО)</t>
  </si>
  <si>
    <t>L4_14</t>
  </si>
  <si>
    <t/>
  </si>
  <si>
    <t>Данные об ответственном исполнителе от организации</t>
  </si>
  <si>
    <t>ФИО исполнителя</t>
  </si>
  <si>
    <t>Жулега Светлана Михайловна</t>
  </si>
  <si>
    <t>L5_1</t>
  </si>
  <si>
    <t>Должность исполнителя</t>
  </si>
  <si>
    <t>руководитель группы тарифного регулирования</t>
  </si>
  <si>
    <t>L5_2</t>
  </si>
  <si>
    <t>Контактный телефон исполнителя</t>
  </si>
  <si>
    <t>8 (3842) 68-18-95</t>
  </si>
  <si>
    <t>L5_3</t>
  </si>
  <si>
    <t>e-mail исполнителя</t>
  </si>
  <si>
    <t>julega@skek.ru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</si>
  <si>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</si>
  <si>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</si>
  <si>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</si>
  <si>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</si>
  <si>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</si>
  <si>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</si>
  <si>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5. Федеральный закон от 07.12.2011 № 416-ФЗ "О водоснабжении и водоотведении";</t>
  </si>
  <si>
    <t>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</si>
  <si>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7. Постановление Правительства Российской Федерации от 13.05.2013 № 406 "О государственном регулировании тарифов в сфере водоснабжения и водоотведения";</t>
  </si>
  <si>
    <t>8. Постановление Правительства Российской Федерации от 29.07.2013 № 641 "Об инвестиционных и производственных программах организаций, осуществляющих деятельность в сфере водоснабжения и водоотведения";</t>
  </si>
  <si>
    <t>9. Методические указания по расчету регулируемых тарифов в сфере водоснабжения и водоотведения, утвержденные приказом ФСТ России от 27.12.2013 № 1746-э;</t>
  </si>
  <si>
    <t>10. Регламент установления регулируемых тарифов в сфере водоснабжения и водоотведения, утвержденный приказом ФСТ России от 16.07.2014 № 1154-э;</t>
  </si>
  <si>
    <t>11. Приказ Минстроя России от 29.07.2022 № 623/пр "Об утверждении Порядка ведения раздельного учета затрат по видам деятельности организаций, осуществляющих горячее водоснабжение, холодное водоснабжение и (или) водоотведение, и единой системы классификации таких затрат";</t>
  </si>
  <si>
    <t>12. Приказ Минстроя России от 04.04.2014 № 162/пр "Об утверждении перечня показателей надежности, качества, энергетической эффективности объектов централизованных систем горячего водоснабжения, холодного водоснабжения и (или) водоотведения, порядка и правил определения плановых значений и фактических значений таких показателей";</t>
  </si>
  <si>
    <t>13. Приказ Минстроя России от 23.03.2020 №154/пр "Об утверждении типовых отраслевых норм численности работников водопроводно-канализационного хозяйства";</t>
  </si>
  <si>
    <t>2. Информация о рассмотрении дела об установлении тарифов</t>
  </si>
  <si>
    <t>Организация регулируется впервые</t>
  </si>
  <si>
    <t>L6_1</t>
  </si>
  <si>
    <t>Реквизиты решения, которым установлены действующие тарифы</t>
  </si>
  <si>
    <t>L6_2</t>
  </si>
  <si>
    <t>356</t>
  </si>
  <si>
    <t>L6_3</t>
  </si>
  <si>
    <t>L6_4</t>
  </si>
  <si>
    <t>et_GeneralInfo_tariff</t>
  </si>
  <si>
    <t>Заявление организации</t>
  </si>
  <si>
    <t>isTransp</t>
  </si>
  <si>
    <t>et_1</t>
  </si>
  <si>
    <t>Номер тарифа (идентификатор)</t>
  </si>
  <si>
    <t>Вид тарифа</t>
  </si>
  <si>
    <t>тариф на транспортировку сточных вод</t>
  </si>
  <si>
    <t>Тип тарифа</t>
  </si>
  <si>
    <t>одноставочный</t>
  </si>
  <si>
    <t>Вид(-ы) деятельности</t>
  </si>
  <si>
    <t>Транспортировка сточных вод</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</si>
  <si>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</si>
  <si>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</si>
  <si>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</si>
  <si>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</si>
  <si>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</si>
  <si>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</si>
  <si>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</si>
  <si>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Водоотведение</t>
  </si>
  <si>
    <t>ВО.42.26322895.0022</t>
  </si>
  <si>
    <t>без дифференциации</t>
  </si>
  <si>
    <t>et_GeneralInfo_go</t>
  </si>
  <si>
    <t>{                  _x000D_
         funcDyn: 'tariff',_x000D_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</si>
  <si>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</si>
  <si>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</si>
  <si>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</si>
  <si>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36-ВО</t>
  </si>
  <si>
    <t>L7_2</t>
  </si>
  <si>
    <t>ФИО уполномоченного по делу</t>
  </si>
  <si>
    <t>Белоусова Ирина Анатольевна</t>
  </si>
  <si>
    <t>L7_3</t>
  </si>
  <si>
    <t>Должность уполномоченного по делу</t>
  </si>
  <si>
    <t>Главный консультант</t>
  </si>
  <si>
    <t>L7_4</t>
  </si>
  <si>
    <t>Контактный телефон уполномоченного по делу</t>
  </si>
  <si>
    <t>8 (3842) 34-94-52</t>
  </si>
  <si>
    <t>L7_5</t>
  </si>
  <si>
    <t>e-mail уполномоченного по делу</t>
  </si>
  <si>
    <t>belousova-ia@recko.ako.ru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</si>
  <si>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</si>
  <si>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</si>
  <si>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</si>
  <si>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</si>
  <si>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</si>
  <si>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L9</t>
  </si>
  <si>
    <t>tariffNum</t>
  </si>
  <si>
    <t>nomer_name</t>
  </si>
  <si>
    <t>ren_2</t>
  </si>
  <si>
    <t>pok_js</t>
  </si>
  <si>
    <t>PJ_DYN</t>
  </si>
  <si>
    <t>PJ_NAME</t>
  </si>
  <si>
    <t>PJ_NAME_MO</t>
  </si>
  <si>
    <t>PJ_NAME_OKTMO</t>
  </si>
  <si>
    <t>dyn_add</t>
  </si>
  <si>
    <t>dyn_fill</t>
  </si>
  <si>
    <t>3</t>
  </si>
  <si>
    <t>pok</t>
  </si>
  <si>
    <t>l1</t>
  </si>
  <si>
    <t>l2</t>
  </si>
  <si>
    <t>l3</t>
  </si>
  <si>
    <t>l5</t>
  </si>
  <si>
    <t>l4</t>
  </si>
  <si>
    <t>PJ_TERR</t>
  </si>
  <si>
    <t>dyn_names</t>
  </si>
  <si>
    <t>Муниципальный район</t>
  </si>
  <si>
    <t>Муниципальное образование</t>
  </si>
  <si>
    <t>15</t>
  </si>
  <si>
    <t>30</t>
  </si>
  <si>
    <t>11,25</t>
  </si>
  <si>
    <t>28,5</t>
  </si>
  <si>
    <t>ОКТМО</t>
  </si>
  <si>
    <t xml:space="preserve">Тип муниципального образования </t>
  </si>
  <si>
    <t>P_TERR</t>
  </si>
  <si>
    <t>DYN_MRMO</t>
  </si>
  <si>
    <t>!== 0</t>
  </si>
  <si>
    <t>{                  _x000D_
         funcDyn: 'mrmo',_x000D_
         blok: '',_x000D_
         wsCross: '',_x000D_
         linkFormula: '',_x000D_
         levelDyn: '1'_x000D_
}</t>
  </si>
  <si>
    <t>Добавить территорию</t>
  </si>
  <si>
    <t>город Полысаево</t>
  </si>
  <si>
    <t>32732000</t>
  </si>
  <si>
    <t>городской округ</t>
  </si>
  <si>
    <t>В границах ул. Техническая, ул. Токарева</t>
  </si>
  <si>
    <t>{                  _x000D_
         funcDyn: 'msg1',_x000D_
         blok: 'blok_1',_x000D_
         wsCross: 'Перечень объектов',_x000D_
         linkFormula: 'AC-AB',_x000D_
         levelDyn: ''_x000D_
}</t>
  </si>
  <si>
    <t>det_name</t>
  </si>
  <si>
    <t>frmls</t>
  </si>
  <si>
    <t>PJ_NAME_ED_IZM</t>
  </si>
  <si>
    <t>prd2_name</t>
  </si>
  <si>
    <t>pf_name</t>
  </si>
  <si>
    <t>Принято органом регулирования</t>
  </si>
  <si>
    <t>Предложение организации</t>
  </si>
  <si>
    <t>Не определено</t>
  </si>
  <si>
    <t>PJ_YEAR</t>
  </si>
  <si>
    <t>PJ_PF</t>
  </si>
  <si>
    <t>PJ_DOP</t>
  </si>
  <si>
    <t>checkUnique</t>
  </si>
  <si>
    <t>Наименование показателя</t>
  </si>
  <si>
    <t>Единица измерения</t>
  </si>
  <si>
    <t>Комментарии</t>
  </si>
  <si>
    <t>t</t>
  </si>
  <si>
    <t>0</t>
  </si>
  <si>
    <t>VS/VO</t>
  </si>
  <si>
    <t>L3</t>
  </si>
  <si>
    <t>Водонасосные станции (водозаборные узлы)</t>
  </si>
  <si>
    <t>ед.</t>
  </si>
  <si>
    <t>P_WATER_PUMP</t>
  </si>
  <si>
    <t>Скважины</t>
  </si>
  <si>
    <t>P_WELLS</t>
  </si>
  <si>
    <t>Подкачивающие насосные станции</t>
  </si>
  <si>
    <t>P_PUMP_STATION</t>
  </si>
  <si>
    <t>Водонапорные башни</t>
  </si>
  <si>
    <t>P_WATER_TOWERS</t>
  </si>
  <si>
    <t>SUMIFS('Условные метры'!$AK$29:$AK$lastRow,'Условные метры'!$F$29:$F$lastRow, $FcurrRow,'Условные метры'!$G$29:$G$lastRow,"Итог")</t>
  </si>
  <si>
    <t>SUMIFS('Условные метры'!$AM$29:$AM$lastRow,'Условные метры'!$F$29:$F$lastRow, $FcurrRow,'Условные метры'!$G$29:$G$lastRow,"Итог")</t>
  </si>
  <si>
    <t>Водопроводные сети</t>
  </si>
  <si>
    <t>км</t>
  </si>
  <si>
    <t>P_WATER_NETS</t>
  </si>
  <si>
    <t>Биологические очистные сооружения</t>
  </si>
  <si>
    <t>P_BIO_CLEAN</t>
  </si>
  <si>
    <t>Канализационные насосные станции</t>
  </si>
  <si>
    <t>P_SEWER_PUMP</t>
  </si>
  <si>
    <t>Канализационные сети</t>
  </si>
  <si>
    <t>P_SEWER_NETS</t>
  </si>
  <si>
    <t>P_OTHER</t>
  </si>
  <si>
    <t>DYN_OBJ_LIST</t>
  </si>
  <si>
    <t>!== 'Водонасосные станции (водозаборные узлы)::ед.' &amp;&amp; row.det_name.toLowerCase() !== 'Скважины::ед.' &amp;&amp; row.det_name.toLowerCase() !== 'Подкачивающие насосные станции::ед.' &amp;&amp; row.det_name.toLowerCase() !== 'Водонапорные башни::ед.' &amp;&amp; row.det_name.toLowerCase() !== 'Водопроводные сети::км' &amp;&amp; row.det_name.toLowerCase() !== 'Биологические очистные сооружения::ед.' &amp;&amp; row.det_name.toLowerCase() !== 'Канализационные насосные станции::ед.' &amp;&amp; row.det_name.toLowerCase() !== 'Канализационные сети::км' &amp;&amp; row.det_name.toLowerCase() !== 'Краткое описание технологического процесса'</t>
  </si>
  <si>
    <t>{                  _x000D_
         funcDyn: 'msg',_x000D_
         blok: '',_x000D_
         wsCross: '',_x000D_
         linkFormula: '',_x000D_
         levelDyn: '1',_x000D_
         addDynValue: 'det_name|AC|0'_x000D_
}</t>
  </si>
  <si>
    <t>Краткое описание технологического процесса</t>
  </si>
  <si>
    <t>P_TEH_PROC</t>
  </si>
  <si>
    <t>{                  _x000D_
         funcDyn: 'msg1',_x000D_
         blok: 'blok_1',_x000D_
         wsCross: 'Список объектов',_x000D_
         linkFormula: 'AB-AC',_x000D_
         levelDyn: ''_x000D_
}</t>
  </si>
  <si>
    <t>Комментарии и обоснования к разделу</t>
  </si>
  <si>
    <t xml:space="preserve">Канализационные сети с реестровым номером 101031000847 (кадастровый номер 42:38:0101002:21176, № 60 в Перечне Иного имущества, передаваемого по  Концессионному соглашению от  14.11.2019 №3),  в отношении которых устанавливается тариф на транспортировку сточных вод, расположены в поселке шахты Полысаевская, удаленном от центральной части города Полысаево. </t>
  </si>
  <si>
    <t xml:space="preserve">Сети состоят из безнапорных трубопроводов канализации. Сбор канализационных сточных вод производится по разветвленной сети, начиная от выпусков из зданий по внутриквартальным сетям, которые собирают стоки в коллектор. По коллекторам стоки транспортируются на очистные сооружения АО «СУЭК-Кузбасс» (до 2020 г. - Шахтопроходческое управление, Обогатительная фабрика).  Согласно данным Приложения № 2 к Концессионнному соглашению, суммарная протяженность канализационной сети составляет 1,053 км, величина первоначальной стоимости – 1500,20 тыс. руб. </t>
  </si>
  <si>
    <t>Постановлением Администрации Полысаевского городского округа от 02.09.2013 № 1443 «Об определении гарантирующих организаций,  осуществляющих водоснабжение и водоотведение на территории Полысаевского городского округа»  статусом гарантирующего поставщика услуг водоотведения на территории Полысаевского городского округа в границах улиц Техническая и Токарева  наделено Акционерное общество  «СУЭК-Кузбасс».</t>
  </si>
  <si>
    <t>{                  _x000D_
         funcDyn: 'msg',_x000D_
         blok: '',_x000D_
         wsCross: '',_x000D_
         linkFormula: '',_x000D_
         levelDyn: ''_x000D_
}</t>
  </si>
  <si>
    <t>Добавить комментарий</t>
  </si>
  <si>
    <t>PJ_NAME_EXP</t>
  </si>
  <si>
    <t>PJ_NAME_DOC_TYPE</t>
  </si>
  <si>
    <t>PJ_NAME_DOC_NUM</t>
  </si>
  <si>
    <t>PJ_NAME_DOC_DATE</t>
  </si>
  <si>
    <t>PJ_OBJ_LIST</t>
  </si>
  <si>
    <t>Правоустанавливающие и подтверждающие документы на объекты коммунальной инфраструктуры</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</si>
  <si>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</si>
  <si>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</si>
  <si>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</si>
  <si>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</si>
  <si>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</si>
  <si>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</si>
  <si>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</si>
  <si>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</si>
  <si>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P_OBJ_LIST_PROPS</t>
  </si>
  <si>
    <t>DYN_OBJ</t>
  </si>
  <si>
    <t>{                  _x000D_
         funcDyn: 'obj',_x000D_
         blok: '',_x000D_
         wsCross: '',_x000D_
         linkFormula: '',_x000D_
         levelDyn: '1'_x000D_
}</t>
  </si>
  <si>
    <t>Добавить объект</t>
  </si>
  <si>
    <t>Сети водоотведения (транспортировка)</t>
  </si>
  <si>
    <t>г Полысаево, г. Полысаево, б/н</t>
  </si>
  <si>
    <t>концессионное соглашение</t>
  </si>
  <si>
    <t>соглашение</t>
  </si>
  <si>
    <t>14.11.2019</t>
  </si>
  <si>
    <t>До 31.12.2028</t>
  </si>
  <si>
    <t>{                  _x000D_
         funcDyn: 'msg1',_x000D_
         blok: 'blok_1',_x000D_
         wsCross: 'Сценарии',_x000D_
         linkFormula: 'AB-AB',_x000D_
         levelDyn: ''_x000D_
}</t>
  </si>
  <si>
    <t>Наименование параметра</t>
  </si>
  <si>
    <t>Факт по данным организации</t>
  </si>
  <si>
    <t>Факт, принятый органом регулирования</t>
  </si>
  <si>
    <t>% роста / снижения</t>
  </si>
  <si>
    <t>Отклонение (принято органом регулирования - заявлено организацией)</t>
  </si>
  <si>
    <t>et_Scenarios_tariff</t>
  </si>
  <si>
    <t>Ставка НДС</t>
  </si>
  <si>
    <t>%</t>
  </si>
  <si>
    <t>ИОР</t>
  </si>
  <si>
    <t>Индексы</t>
  </si>
  <si>
    <t>ИЭР</t>
  </si>
  <si>
    <t>l1_1</t>
  </si>
  <si>
    <t>Индекс эффективности операционных расходов</t>
  </si>
  <si>
    <t>P_IND_OP</t>
  </si>
  <si>
    <t>ИПЦ</t>
  </si>
  <si>
    <t>l1_2</t>
  </si>
  <si>
    <t>Индекс потребительских цен</t>
  </si>
  <si>
    <t>P_IND_PRICE</t>
  </si>
  <si>
    <t>l1_3</t>
  </si>
  <si>
    <t>Индекс роста цен на электроэнергию</t>
  </si>
  <si>
    <t>P_IND_PRICE_GROW</t>
  </si>
  <si>
    <t>ИКА</t>
  </si>
  <si>
    <t>l1_4</t>
  </si>
  <si>
    <t>Индекс изменения количества активов</t>
  </si>
  <si>
    <t>P_IND_ACT</t>
  </si>
  <si>
    <t>Индекс роста номинальной заработной платы</t>
  </si>
  <si>
    <t>P_IND_FOT</t>
  </si>
  <si>
    <t>Налоговые ставки</t>
  </si>
  <si>
    <t>СВФОТ</t>
  </si>
  <si>
    <t>l2_1</t>
  </si>
  <si>
    <t>Ставка страховых взносов с ФОТ</t>
  </si>
  <si>
    <t>P_INS_FOT</t>
  </si>
  <si>
    <t>l2_2</t>
  </si>
  <si>
    <t>P_NDS</t>
  </si>
  <si>
    <t>Ставка водного налога</t>
  </si>
  <si>
    <t>P_WAT_TAX</t>
  </si>
  <si>
    <t>l3_1_1</t>
  </si>
  <si>
    <t>2.1.1</t>
  </si>
  <si>
    <t>Ставка водного налога из поверхностных источников для населения</t>
  </si>
  <si>
    <t>руб./тыс.куб.м.</t>
  </si>
  <si>
    <t>P_SURF_PEOPLE</t>
  </si>
  <si>
    <t>DYN_SURF_PEOPLE</t>
  </si>
  <si>
    <t>l3_1_2</t>
  </si>
  <si>
    <t>2.2.1</t>
  </si>
  <si>
    <t>Ставка водного налога из поверхностных источников для прочих потребителей</t>
  </si>
  <si>
    <t>P_SURF_OTHER</t>
  </si>
  <si>
    <t>DYN_SURF_OTHER</t>
  </si>
  <si>
    <t>l3_2_1</t>
  </si>
  <si>
    <t>2.3.1</t>
  </si>
  <si>
    <t>Ставка водного налога из подземных источников для населения</t>
  </si>
  <si>
    <t>P_UND_PEOPLE</t>
  </si>
  <si>
    <t>DYN_UND_PEOPLE</t>
  </si>
  <si>
    <t>l3_2_2</t>
  </si>
  <si>
    <t>2.4.1</t>
  </si>
  <si>
    <t>Ставка водного налога из подземных источников для прочих потребителей</t>
  </si>
  <si>
    <t>P_UND_OTHER</t>
  </si>
  <si>
    <t>DYN_UND_OTHER</t>
  </si>
  <si>
    <t>Ставки налога на имущество</t>
  </si>
  <si>
    <t>P_RENT_TAX</t>
  </si>
  <si>
    <t>Ставка налога при УСН</t>
  </si>
  <si>
    <t>P_USN_TAX</t>
  </si>
  <si>
    <t>l6</t>
  </si>
  <si>
    <t>5</t>
  </si>
  <si>
    <t>Доля общехозяйственных расходов</t>
  </si>
  <si>
    <t>P_HOZ_EXP</t>
  </si>
  <si>
    <t>l7</t>
  </si>
  <si>
    <t>6</t>
  </si>
  <si>
    <t>Доля общепроизводственных расходов</t>
  </si>
  <si>
    <t>P_PROD_EXP</t>
  </si>
  <si>
    <t>{                  _x000D_
         funcDyn: 'msg1',_x000D_
         blok: 'blok_1',_x000D_
         wsCross: 'ИИКА',_x000D_
         linkFormula: 'AB-AB',_x000D_
         levelDyn: ''_x000D_
}</t>
  </si>
  <si>
    <t>P_IND_ACTIVE</t>
  </si>
  <si>
    <t>Изменение количества условных километров водопроводной (канализационной) сети</t>
  </si>
  <si>
    <t>P_IND_KM</t>
  </si>
  <si>
    <t>Изменение операционных расходов на_x000D_
водоподготовку, очистку сточных вод, связанное с вводом в эксплуатацию нового объекта водоподготовки, включая резервуары воды, очистки сточных вод в году i</t>
  </si>
  <si>
    <t>P_OPER</t>
  </si>
  <si>
    <t>P_IND_EFFECTIVE</t>
  </si>
  <si>
    <t>{                  _x000D_
         funcDyn: 'msg1',_x000D_
         blok: 'blok_1',_x000D_
         wsCross: 'Баланс',_x000D_
         linkFormula: 'AB-AB',_x000D_
         levelDyn: ''_x000D_
}</t>
  </si>
  <si>
    <t>Ссылка на правовую норму (основание для принятия показателя в расчет тарифа)</t>
  </si>
  <si>
    <t>VO/VS</t>
  </si>
  <si>
    <t>Вид воды</t>
  </si>
  <si>
    <t>P_VS_WATER_TYPE</t>
  </si>
  <si>
    <t>2</t>
  </si>
  <si>
    <t>Объём воды из источников водоснабжения, всего</t>
  </si>
  <si>
    <t>тыс.куб.м</t>
  </si>
  <si>
    <t>P_VS_VOL_SOURCES</t>
  </si>
  <si>
    <t>l4_1</t>
  </si>
  <si>
    <t>2.1</t>
  </si>
  <si>
    <t>Поднято воды из поверхностных источников</t>
  </si>
  <si>
    <t>P_VS_VOL_SOURCES_SURF</t>
  </si>
  <si>
    <t>l4_2</t>
  </si>
  <si>
    <t>2.2</t>
  </si>
  <si>
    <t>Поднято воды из подземных источников</t>
  </si>
  <si>
    <t>P_VS_VOL_SOURCES_UND</t>
  </si>
  <si>
    <t>l4_3</t>
  </si>
  <si>
    <t>2.3</t>
  </si>
  <si>
    <t>Доочищенная сточная вода для нужд технического водоснабжения</t>
  </si>
  <si>
    <t>P_VS_STOCK_CLEAN</t>
  </si>
  <si>
    <t>Расход воды на технологические нужды всего</t>
  </si>
  <si>
    <t>P_VS_TEH_USE</t>
  </si>
  <si>
    <t>l5_1</t>
  </si>
  <si>
    <t>3.1</t>
  </si>
  <si>
    <t>Расход воды на собственные нужды водоподготовки</t>
  </si>
  <si>
    <t>P_VS_TEH_USE_SELF</t>
  </si>
  <si>
    <t>l5_2</t>
  </si>
  <si>
    <t>3.2</t>
  </si>
  <si>
    <t>Расход воды на промывку сетей</t>
  </si>
  <si>
    <t>P_VS_TEH_USE_CLEAN</t>
  </si>
  <si>
    <t>4</t>
  </si>
  <si>
    <t>Получено воды со стороны</t>
  </si>
  <si>
    <t>P_VS_WATER_FROM_OTHER</t>
  </si>
  <si>
    <t>Объём воды, прошедшей водоподготовку (справочно)</t>
  </si>
  <si>
    <t>P_VS_VOL_PREPAIRED</t>
  </si>
  <si>
    <t>l8</t>
  </si>
  <si>
    <t>Объём воды, поданной в сеть всего</t>
  </si>
  <si>
    <t>P_VS_VOL_NETS</t>
  </si>
  <si>
    <t>l8_1</t>
  </si>
  <si>
    <t>6.1</t>
  </si>
  <si>
    <t>Объём воды, поданной в сеть из собственных источников</t>
  </si>
  <si>
    <t>P_VS_VOL_NETS_SELF</t>
  </si>
  <si>
    <t>l8_2</t>
  </si>
  <si>
    <t>6.2</t>
  </si>
  <si>
    <t>Объём воды, поданной в сеть от других операторов</t>
  </si>
  <si>
    <t>P_VS_VOL_NETS_OTHER</t>
  </si>
  <si>
    <t>l8_3</t>
  </si>
  <si>
    <t>6.3</t>
  </si>
  <si>
    <t>Получено от других территорий, дифференцированных по тарифу</t>
  </si>
  <si>
    <t>P_VS_VOL_NETS_OTHER_TERR</t>
  </si>
  <si>
    <t>l9</t>
  </si>
  <si>
    <t>7</t>
  </si>
  <si>
    <t>Потери воды</t>
  </si>
  <si>
    <t>P_VS_LOSS</t>
  </si>
  <si>
    <t>l9_1</t>
  </si>
  <si>
    <t>7.1</t>
  </si>
  <si>
    <t>Уровень потерь воды</t>
  </si>
  <si>
    <t>P_VS_LOSS_PERCENT</t>
  </si>
  <si>
    <t>l10</t>
  </si>
  <si>
    <t>8</t>
  </si>
  <si>
    <t>Отпущено воды, всего</t>
  </si>
  <si>
    <t>P_VS_RELEASE</t>
  </si>
  <si>
    <t>l10_1</t>
  </si>
  <si>
    <t>8.1</t>
  </si>
  <si>
    <t>Расход воды на нужды предприятия</t>
  </si>
  <si>
    <t>P_VS_RELEASE_SELF</t>
  </si>
  <si>
    <t>l10_1_1</t>
  </si>
  <si>
    <t>8.1.1</t>
  </si>
  <si>
    <t>хозяйственные нужды</t>
  </si>
  <si>
    <t>P_VS_RELEASE_SELF_HOZ</t>
  </si>
  <si>
    <t>l10_1_2</t>
  </si>
  <si>
    <t>8.1.2</t>
  </si>
  <si>
    <t>на основное производство</t>
  </si>
  <si>
    <t>P_VS_RELEASE_SELF_PROD</t>
  </si>
  <si>
    <t>l10_1_3</t>
  </si>
  <si>
    <t>8.1.3</t>
  </si>
  <si>
    <t>прочие</t>
  </si>
  <si>
    <t>P_VS_RELEASE_SELF_OTHER</t>
  </si>
  <si>
    <t>ПО</t>
  </si>
  <si>
    <t>l10_2</t>
  </si>
  <si>
    <t>8.2</t>
  </si>
  <si>
    <t>Отпущено воды другим водопроводам</t>
  </si>
  <si>
    <t>P_VS_RELEASE_OTHER_PIPES</t>
  </si>
  <si>
    <t>l10_2_1</t>
  </si>
  <si>
    <t>8.2.1</t>
  </si>
  <si>
    <t>по приборам учёта</t>
  </si>
  <si>
    <t>P_VS_RELEASE_OTHER_PIPES_METERS</t>
  </si>
  <si>
    <t>l10_2_2</t>
  </si>
  <si>
    <t>8.2.2</t>
  </si>
  <si>
    <t>по нормативам</t>
  </si>
  <si>
    <t>P_VS_RELEASE_OTHER_PIPES_NORMS</t>
  </si>
  <si>
    <t>l10_3</t>
  </si>
  <si>
    <t>8.3</t>
  </si>
  <si>
    <t>Отпущено воды по категориям потребителей</t>
  </si>
  <si>
    <t>P_VS_RELEASE_CONS</t>
  </si>
  <si>
    <t>l10_3_1</t>
  </si>
  <si>
    <t>8.3.1</t>
  </si>
  <si>
    <t>Финансируемые из бюджетов всех уровней</t>
  </si>
  <si>
    <t>P_VS_RELEASE_CONS_BUDJ</t>
  </si>
  <si>
    <t>l10_3_1_1</t>
  </si>
  <si>
    <t>8.3.1.1</t>
  </si>
  <si>
    <t>P_VS_RELEASE_CONS_BUDJ_METERS</t>
  </si>
  <si>
    <t>l10_3_1_2</t>
  </si>
  <si>
    <t>8.3.1.2</t>
  </si>
  <si>
    <t>P_VS_RELEASE_CONS_BUDJ_NORMS</t>
  </si>
  <si>
    <t>население</t>
  </si>
  <si>
    <t>l10_3_2</t>
  </si>
  <si>
    <t>8.3.2</t>
  </si>
  <si>
    <t>Население</t>
  </si>
  <si>
    <t>P_VS_RELEASE_CONS_PEOPLE</t>
  </si>
  <si>
    <t>l10_3_2_1</t>
  </si>
  <si>
    <t>8.3.2.1</t>
  </si>
  <si>
    <t>P_VS_RELEASE_CONS_PEOPLE_METERS</t>
  </si>
  <si>
    <t>l10_3_2_2</t>
  </si>
  <si>
    <t>8.3.2.2</t>
  </si>
  <si>
    <t>P_VS_RELEASE_CONS_PEOPLE_NORMS</t>
  </si>
  <si>
    <t>l10_3_3</t>
  </si>
  <si>
    <t>8.3.3</t>
  </si>
  <si>
    <t>Прочие потребители</t>
  </si>
  <si>
    <t>P_VS_RELEASE_CONS_OTHER</t>
  </si>
  <si>
    <t>l10_3_3_1</t>
  </si>
  <si>
    <t>8.3.3.1</t>
  </si>
  <si>
    <t>P_VS_RELEASE_CONS_OTHER_METERS</t>
  </si>
  <si>
    <t>l10_3_3_2</t>
  </si>
  <si>
    <t>8.3.3.2</t>
  </si>
  <si>
    <t>P_VS_RELEASE_CONS_OTHER_NORMS</t>
  </si>
  <si>
    <t>l10_4</t>
  </si>
  <si>
    <t>8.4</t>
  </si>
  <si>
    <t>Передано на другие территории, дифференцированные по тарифу</t>
  </si>
  <si>
    <t>P_VS_RELEASE_OTHER_TERR</t>
  </si>
  <si>
    <t>8.5</t>
  </si>
  <si>
    <t>Для приготовления горячей воды (справочно)</t>
  </si>
  <si>
    <t>P_VS_RELEASE_HOT</t>
  </si>
  <si>
    <t>P_VS_TR_WATER_TYPE</t>
  </si>
  <si>
    <t>Объём воды, поступившей в сеть</t>
  </si>
  <si>
    <t>P_VS_TR_VOL_NETS</t>
  </si>
  <si>
    <t>из собственных источников</t>
  </si>
  <si>
    <t>P_VS_TR_VOL_NETS_SELF</t>
  </si>
  <si>
    <t>от других операторов</t>
  </si>
  <si>
    <t>P_VS_TR_VOL_NETS_OTHER</t>
  </si>
  <si>
    <t>получено от других территорий, дифференцированных по тарифу</t>
  </si>
  <si>
    <t>P_VS_TR_VOL_NETS_OTHER_TERR</t>
  </si>
  <si>
    <t>P_VS_TR_LOSS</t>
  </si>
  <si>
    <t>P_VS_TR_LOSS_PERCENT</t>
  </si>
  <si>
    <t>P_VS_TR_RELEASE_SELF</t>
  </si>
  <si>
    <t>l6_1</t>
  </si>
  <si>
    <t>4.1</t>
  </si>
  <si>
    <t>P_VS_TR_RELEASE_SELF_HOZ</t>
  </si>
  <si>
    <t>l6_2</t>
  </si>
  <si>
    <t>4.2</t>
  </si>
  <si>
    <t>P_VS_TR_RELEASE_SELF_PROD</t>
  </si>
  <si>
    <t>P_VS_TR_RELEASE_OTHER_PIPES</t>
  </si>
  <si>
    <t>l7_1</t>
  </si>
  <si>
    <t>5.1</t>
  </si>
  <si>
    <t>P_VS_TR_RELEASE_OTHER_PIPES_METERS</t>
  </si>
  <si>
    <t>l7_2</t>
  </si>
  <si>
    <t>5.2</t>
  </si>
  <si>
    <t>P_VS_TR_RELEASE_OTHER_PIPES_NORMS</t>
  </si>
  <si>
    <t>P_VS_TR_RELEASE_OTHER_TERR</t>
  </si>
  <si>
    <t>P_VS_TR_RELEASE_HOT</t>
  </si>
  <si>
    <t>Вид стоков</t>
  </si>
  <si>
    <t>P_VO_STOK_TYPE</t>
  </si>
  <si>
    <t>Принято сточных вод, всего</t>
  </si>
  <si>
    <t>P_VO_STOK_ACCEPT</t>
  </si>
  <si>
    <t>Хозяйственные нужды предприятия</t>
  </si>
  <si>
    <t>P_VO_STOK_SELF</t>
  </si>
  <si>
    <t>Принято по категориям потребителей</t>
  </si>
  <si>
    <t>P_VO_ACCEPT_CONS</t>
  </si>
  <si>
    <t>P_VO_ACCEPT_CONS_BUDJ</t>
  </si>
  <si>
    <t>l6_1_1</t>
  </si>
  <si>
    <t>4.1.1</t>
  </si>
  <si>
    <t>P_VO_ACCEPT_CONS_BUDJ_METERS</t>
  </si>
  <si>
    <t>l6_1_2</t>
  </si>
  <si>
    <t>4.1.2</t>
  </si>
  <si>
    <t>P_VO_ACCEPT_CONS_BUDJ_NORMS</t>
  </si>
  <si>
    <t>P_VO_ACCEPT_CONS_PEOPLE</t>
  </si>
  <si>
    <t>l6_2_1</t>
  </si>
  <si>
    <t>4.2.1</t>
  </si>
  <si>
    <t>P_VO_ACCEPT_CONS_PEOPLE_METERS</t>
  </si>
  <si>
    <t>l6_2_2</t>
  </si>
  <si>
    <t>4.2.2</t>
  </si>
  <si>
    <t>P_VO_ACCEPT_CONS_PEOPLE_NORMS</t>
  </si>
  <si>
    <t>l6_3</t>
  </si>
  <si>
    <t>4.3</t>
  </si>
  <si>
    <t>P_VO_ACCEPT_CONS_OTHER</t>
  </si>
  <si>
    <t>l6_3_1</t>
  </si>
  <si>
    <t>4.3.1</t>
  </si>
  <si>
    <t>P_VO_ACCEPT_CONS_OTHER_METERS</t>
  </si>
  <si>
    <t>l6_3_2</t>
  </si>
  <si>
    <t>4.3.2</t>
  </si>
  <si>
    <t>P_VO_ACCEPT_CONS_OTHER_NORMS</t>
  </si>
  <si>
    <t>l6_4</t>
  </si>
  <si>
    <t>4.4</t>
  </si>
  <si>
    <t>Принято сточных вод от других канализационных сетей</t>
  </si>
  <si>
    <t>P_VO_ACCEPT_CONS_OTHER_SEWER</t>
  </si>
  <si>
    <t>l6_4_1</t>
  </si>
  <si>
    <t>4.4.1</t>
  </si>
  <si>
    <t>P_VO_ACCEPT_CONS_OTHER_SEWER_METERS</t>
  </si>
  <si>
    <t>l6_4_2</t>
  </si>
  <si>
    <t>4.4.2</t>
  </si>
  <si>
    <t>P_VO_ACCEPT_CONS_OTHER_SEWER_NORMS</t>
  </si>
  <si>
    <t>l6_5</t>
  </si>
  <si>
    <t>4.5</t>
  </si>
  <si>
    <t>P_VO_ACCEPT_OTHER_TERR</t>
  </si>
  <si>
    <t>Неучтённый приток сточных вод</t>
  </si>
  <si>
    <t>P_VO_STOK_UNACC</t>
  </si>
  <si>
    <t>Объём сточных вод, прошедших очистку (справочно)</t>
  </si>
  <si>
    <t>P_VO_STOK_VOL_CLEAN</t>
  </si>
  <si>
    <t>Пропущено через собственные очистные сооружения</t>
  </si>
  <si>
    <t>P_VO_STOK_SELF_STATIONS</t>
  </si>
  <si>
    <t>Передано сточных вод другим канализациям</t>
  </si>
  <si>
    <t>P_VO_STOK_OTHER_SEWERS</t>
  </si>
  <si>
    <t>На очистные сооружения</t>
  </si>
  <si>
    <t>P_VO_STOK_OTHER_SEWERS_CLEAN</t>
  </si>
  <si>
    <t>В канализационную сеть</t>
  </si>
  <si>
    <t>P_VO_STOK_OTHER_SEWERS_NETS</t>
  </si>
  <si>
    <t>l11</t>
  </si>
  <si>
    <t>9</t>
  </si>
  <si>
    <t>P_VO_RELEASE_OTHER_TERR</t>
  </si>
  <si>
    <t>l12</t>
  </si>
  <si>
    <t>10</t>
  </si>
  <si>
    <t>Сброшенные воды без очистки</t>
  </si>
  <si>
    <t>P_VO_STOK_UNCLEAN</t>
  </si>
  <si>
    <t>P_VO_TR_STOK_TYPE</t>
  </si>
  <si>
    <t>Объём транспортируемых сточных вод</t>
  </si>
  <si>
    <t>P_VO_TR_STOK_VOL</t>
  </si>
  <si>
    <t>на собственные очистные сооружения</t>
  </si>
  <si>
    <t>P_VO_TR_STOK_VOL_SELF</t>
  </si>
  <si>
    <t>другим организациям</t>
  </si>
  <si>
    <t>P_VO_TR_STOK_VOL_OTHER_ORG</t>
  </si>
  <si>
    <t>P_VO_TR_STOK_VOL_OTHER_TERR</t>
  </si>
  <si>
    <t>Приём сточных вод, поступающих на очистные сооружения</t>
  </si>
  <si>
    <t>P_VO_TR_STOK_ACCEPT_CLEAN</t>
  </si>
  <si>
    <t>от собственных нужд</t>
  </si>
  <si>
    <t>P_VO_TR_STOK_ACCEPT_CLEAN_SELF</t>
  </si>
  <si>
    <t>от других канализаций или отдельных канализационных сетей</t>
  </si>
  <si>
    <t>P_VO_TR_STOK_ACCEPT_CLEAN_OTHER_SEWER</t>
  </si>
  <si>
    <t>l5_2_1</t>
  </si>
  <si>
    <t>3.2.1</t>
  </si>
  <si>
    <t>P_VO_TR_STOK_ACCEPT_CLEAN_OTHER_SEWER_METER</t>
  </si>
  <si>
    <t>l5_2_2</t>
  </si>
  <si>
    <t>3.2.2</t>
  </si>
  <si>
    <t>P_VO_TR_STOK_ACCEPT_CLEAN_OTHER_SEWER_NORMS</t>
  </si>
  <si>
    <t>l5_3</t>
  </si>
  <si>
    <t>3.3</t>
  </si>
  <si>
    <t>P_VO_TR_ACCEPT_OTHER_TERR</t>
  </si>
  <si>
    <t>п. 5, п. 8 Методических указаний ФСТ № 1746-э.</t>
  </si>
  <si>
    <t>{                  _x000D_
         funcDyn: 'msg1',_x000D_
         blok: 'blok_1',_x000D_
         wsCross: 'Условные метры',_x000D_
         linkFormula: 'AB-AB',_x000D_
         levelDyn: ''_x000D_
}</t>
  </si>
  <si>
    <t>Фактические объемы реализации услуги транспортировки сточных вод за 2024 год определены на основании  представленных в деле копий  счетов-фактур на оплату услуг  ОАО "СКЭК" по транспортировке сточных вод ,предъявленных гарантирующему поставщику (АО "СУЭК-Кузбасс").</t>
  </si>
  <si>
    <t>Расчеты между гарантирующим поставщиком  регулируемой организацией (ОАО "СКЭК") осуществляются в соответствии с Договором по транспортировке сточных вод от 01.01.2020 № 300.</t>
  </si>
  <si>
    <t>При расчете плановых объемов  реализации на 2026 год  использованы имеющиеся у регулятора данные о фактических объемах реализации за 2021, 2022 и 2023 г. ,   в соответствии с Формулами (1), (1.1) Методических указаний.</t>
  </si>
  <si>
    <t>l9_2</t>
  </si>
  <si>
    <t>l9_3</t>
  </si>
  <si>
    <t>l9_4</t>
  </si>
  <si>
    <t>l13</t>
  </si>
  <si>
    <t>l14</t>
  </si>
  <si>
    <t>PJ_UM</t>
  </si>
  <si>
    <t>Диаметр трубопровода</t>
  </si>
  <si>
    <t>№_x000D_
п/п</t>
  </si>
  <si>
    <t>Размер диаметра трубопровода, мм</t>
  </si>
  <si>
    <t>Тип материала трубопровода</t>
  </si>
  <si>
    <t>Тип грунта</t>
  </si>
  <si>
    <t>Глубина грунта, м</t>
  </si>
  <si>
    <t>Средняя стоимость строительства 1 км трубопровода, _x000D_
тыс. руб.</t>
  </si>
  <si>
    <t>Средняя стоимость строительства 1 км трубопровода диаметром 500 мм, тыс.руб.</t>
  </si>
  <si>
    <t>Источник информации по средней стоимости строительства</t>
  </si>
  <si>
    <t>Kd</t>
  </si>
  <si>
    <t>Протяженность</t>
  </si>
  <si>
    <t>усл.км</t>
  </si>
  <si>
    <t>Итог</t>
  </si>
  <si>
    <t>P_UM</t>
  </si>
  <si>
    <t>DYN_UM</t>
  </si>
  <si>
    <t>{                  _x000D_
         funcDyn: 'msg',_x000D_
         blok: '',_x000D_
         wsCross: '',_x000D_
         linkFormula: '',_x000D_
         levelDyn: '1'_x000D_
}</t>
  </si>
  <si>
    <t>196-205</t>
  </si>
  <si>
    <t>чугун</t>
  </si>
  <si>
    <t>сухой</t>
  </si>
  <si>
    <t>Утверждённые укрупнённые НЦС</t>
  </si>
  <si>
    <t>П. 38 Методических указаний  ФСТ № 1746-э.</t>
  </si>
  <si>
    <t>{                  _x000D_
         funcDyn: 'msg1',_x000D_
         blok: 'blok_1',_x000D_
         wsCross: 'Сырье и материалы',_x000D_
         linkFormula: 'AB-AB',_x000D_
         levelDyn: ''_x000D_
}</t>
  </si>
  <si>
    <t>При расчете показателя условной протяженности канализационных сетей регулируемой организацией (ОАО "СКЭК") использованы "НЦС 81-02-14-2023. Укрупненные нормативы цены строительства. Сборник N 14. Наружные сети водоснабжения и канализации" (утв. Приказом Минстроя России от 06.03.2023 N 159/пр).</t>
  </si>
  <si>
    <t>За основу взят расчет стоимости строительства 1 км канализационной сети  Ду 200 мм из материала "ПОЛИЭТИЛЕН", открытым способом прокладки, с разработкой СУХОГО грунта в отвал без креплений  (группа грунтов 1-3)  ГЛУБИНОЙ 3,0 м  (еод норматива   14-07-001-06);  в стоимость строительства  включены работы  по восстановлению благоустройства тротуаров и дорог ( нормативы 16-06-001-01 и 16-06-002-02)  и озеленением придомовых территорий  (17-01-002-02), применены  предусмотренные справочником коэффициенты  1,09; 1,00;  1,02 и 1,053.   Итоговая стоимость строительства 1 км сети Ду 200   -   22162,30 тыс. руб.;   расчетный коэффициента дифференциации  для  эксплуатируемого ОАО "СКЭК"  в г. Полысаево  трубопровода канализации   (Ду 150-200 мм)   составил   0,677331.</t>
  </si>
  <si>
    <t>В ответ на запрос специалиста РЭК Кузбасса  от 14.05.2025 № М-10-61/1659-02 ГАРАНТИРУЮЩЕЙ ОРГАНИЗАЦИЕЙ (АО "СУЭК-Кузбасс")   была представлена актуализированная  по состоянию на  31.12.2024  информация о технических характеристиках  обслуживаемых  канализационных сетей, согласно которой   общая протяженность трубопроводов  канализации  составляет   5,245 км, в том числе  из материала "СТАЛЬ" (глубиной 2,0- 3,0 м) -  4,205 км;  из материала "КЕРАМИКА"  (глубиной 2,0 м)  - 1,04 км.</t>
  </si>
  <si>
    <t xml:space="preserve">В процессе экспертизы представленных материалов  специалист  РЭК Кузбасса  руководствовался ОБНОВЛЕННЫМ  справочником  "НЦС 81-02-14-2025. Укрупненные нормативы цены строительства. Сборник N 14. Наружные сети водоснабжения и канализации" (утв. Приказом Минстроя России   от 05.03.2025 N 131/пр).   При этом: </t>
  </si>
  <si>
    <t>1)  в связи с тем, что нормативы для  канализационных труб, изготовленных  из видов материала "СТАЛЬ"  и  "КЕРАМИКА",  в  указанных справочниках  ОТСУТСТВУЮТ, в качестве используемого  материала труб   условно принят наиболее близкий  по своим характеристикам,  по мнению  специалиста РЭК,   материал -   "высокопрочные чугунные трубы с шаровидным графитом (ВЧШГ)" , использована в   РАЗДЕЛЕ 2. "НАРУЖНЫЕ ИНЖЕНЕРНЫЕ СЕТИ КАНАЛИЗАЦИИ ИЗ ЧУГУННЫХ ТРУБ"   Таблица 14-02-001  " Наружные инженерные сети канализации из высокопрочных чугунных труб с шаровидным графитом (ВЧШГ), разработка сухого грунта в отвал, без креплений (группа грунтов 1 - 3)";</t>
  </si>
  <si>
    <t>2) из расчета исключена протяженность сетей, расположенных ВНУТРИ зданий (Ду 300-350 мм протяженностью 0,33 км).</t>
  </si>
  <si>
    <t>Таким образом,  ФИЗИЧЕСКАЯ ПРОТЯЖЕННОСТЬ сетей гарантирующей организации составила 4,915 км ,   УСЛОВНАЯ ПРОТЯЖЕННОСТЬ  -   3,2776 км.</t>
  </si>
  <si>
    <t>Указанная выше средняя стоимость строительства 1 км трубопровода диаметром 500 мм  (34509,32 тыс. руб.)  соответствует указанному в  таблице нормативу с кодом  14-02-001-17 ;  стоимость строительства 1 км сети с  характеристик ами, близкими   характеристикам    сети,  по которой осуществляется транспортировка сточных вод ,   на территории  г. Полысаево, - 14633,23 тыс. руб. (код норматива -  14-02-001-06);   коэффициент дифференциации:  14633,23 / 34509,32 = 0,424037.</t>
  </si>
  <si>
    <t xml:space="preserve"> Расходы на сырье и материалы</t>
  </si>
  <si>
    <t>Всего по тарифу</t>
  </si>
  <si>
    <t>тыс.руб.</t>
  </si>
  <si>
    <t>PJ_REAG_TOTAL</t>
  </si>
  <si>
    <t>PJ_REAG</t>
  </si>
  <si>
    <t>DYN_REAG</t>
  </si>
  <si>
    <t>{                  _x000D_
         funcDyn: 'msg',_x000D_
         blok: '',_x000D_
         wsCross: '',_x000D_
         linkFormula: '',_x000D_
         levelDyn: '',_x000D_
         addDynValue: 'det_name|AC|0'_x000D_
}</t>
  </si>
  <si>
    <t>{                  _x000D_
         funcDyn: 'msg1',_x000D_
         blok: 'blok_1',_x000D_
         wsCross: 'ЭЭ',_x000D_
         linkFormula: 'AB-AB',_x000D_
         levelDyn: ''_x000D_
}</t>
  </si>
  <si>
    <t>P_TOTAL_MONEY</t>
  </si>
  <si>
    <t>Объём покупаемой электроэнергии всего</t>
  </si>
  <si>
    <t>тыс.кВтч</t>
  </si>
  <si>
    <t>P_VOL_EE</t>
  </si>
  <si>
    <t>Объём воды/сточных вод</t>
  </si>
  <si>
    <t>тыс.куб.м.</t>
  </si>
  <si>
    <t>P_VOL_WATER</t>
  </si>
  <si>
    <t>Средний (расчетный) тариф</t>
  </si>
  <si>
    <t>руб./кВтч</t>
  </si>
  <si>
    <t>P_AVG_TAR</t>
  </si>
  <si>
    <t>Удельный расход электроэнергии</t>
  </si>
  <si>
    <t>кВтч/куб.м.</t>
  </si>
  <si>
    <t>P_EE_CONS</t>
  </si>
  <si>
    <t>Одноставочный тариф</t>
  </si>
  <si>
    <t>P_ONE_MONEY</t>
  </si>
  <si>
    <t>DYN_ONE</t>
  </si>
  <si>
    <t>Тариф на электроэнергию</t>
  </si>
  <si>
    <t>P_ONE_TAR</t>
  </si>
  <si>
    <t>Объём покупной электроэнергии</t>
  </si>
  <si>
    <t>P_ONE_VOL</t>
  </si>
  <si>
    <t>!== 'не определено' &amp;&amp; row.l6 !== null</t>
  </si>
  <si>
    <t>Двухставочный тариф</t>
  </si>
  <si>
    <t>P_DBL_MONEY</t>
  </si>
  <si>
    <t>DYN_DBL</t>
  </si>
  <si>
    <t>Затраты на электроэнергию</t>
  </si>
  <si>
    <t xml:space="preserve">тыс.руб. </t>
  </si>
  <si>
    <t>P_DBL_EE</t>
  </si>
  <si>
    <t>l7_1_1</t>
  </si>
  <si>
    <t>P_DBL_EE_TAR</t>
  </si>
  <si>
    <t>l7_1_2</t>
  </si>
  <si>
    <t>P_DBL_EE_VOL</t>
  </si>
  <si>
    <t>Затраты на электрическую мощность</t>
  </si>
  <si>
    <t>P_DBL_POWER_MONEY</t>
  </si>
  <si>
    <t>l7_2_1</t>
  </si>
  <si>
    <t>Тариф на электрическую мощность</t>
  </si>
  <si>
    <t>руб./МВт в мес</t>
  </si>
  <si>
    <t>P_DBL_POWER_TAR</t>
  </si>
  <si>
    <t>l7_2_2</t>
  </si>
  <si>
    <t>Объём покупной мощности</t>
  </si>
  <si>
    <t>МВт в мес.</t>
  </si>
  <si>
    <t>P_DBL_POWER_VOL</t>
  </si>
  <si>
    <t>!== 'не определено' &amp;&amp; row.l7 !== null</t>
  </si>
  <si>
    <t>{                  _x000D_
         funcDyn: 'msg',_x000D_
         blok: '',_x000D_
         wsCross: '',_x000D_
         linkFormula: '',_x000D_
         levelDyn: '2',_x000D_
         addDynValue: 'det_name|AC|0'_x000D_
}</t>
  </si>
  <si>
    <t xml:space="preserve">Добавить </t>
  </si>
  <si>
    <t>{                  _x000D_
         funcDyn: 'msg1',_x000D_
         blok: 'blok_1',_x000D_
         wsCross: 'Амортизация',_x000D_
         linkFormula: 'AB-AB',_x000D_
         levelDyn: ''_x000D_
}</t>
  </si>
  <si>
    <t xml:space="preserve"> Амортизация основных средств и нематериальных активов, относимых к объектам централизованной системы водоснабжения/водоотведения</t>
  </si>
  <si>
    <t>et_Amortization_tariff</t>
  </si>
  <si>
    <t>Первоначальная (восстановительная) стоимость на начало периода</t>
  </si>
  <si>
    <t>P_FUNDS_INIT_TOTAL</t>
  </si>
  <si>
    <t>1.1</t>
  </si>
  <si>
    <t>Здания</t>
  </si>
  <si>
    <t>P_FUNDS_INIT_BUILD</t>
  </si>
  <si>
    <t>1.2</t>
  </si>
  <si>
    <t>Сооружения и передаточные устройства</t>
  </si>
  <si>
    <t>P_FUNDS_INIT_STRUCT</t>
  </si>
  <si>
    <t>1.3</t>
  </si>
  <si>
    <t>Машины и оборудование</t>
  </si>
  <si>
    <t>P_FUNDS_INIT_MACHINES</t>
  </si>
  <si>
    <t>1.4</t>
  </si>
  <si>
    <t>Транспорт</t>
  </si>
  <si>
    <t>P_FUNDS_INIT_TRANSPORT</t>
  </si>
  <si>
    <t>l1_5</t>
  </si>
  <si>
    <t>1.5</t>
  </si>
  <si>
    <t>Прочее</t>
  </si>
  <si>
    <t>P_FUNDS_INIT_OTHER</t>
  </si>
  <si>
    <t>Ввод основных фондов</t>
  </si>
  <si>
    <t>P_FUNDS_ENTRY_TOTAL</t>
  </si>
  <si>
    <t>P_FUNDS_ENTRY_BUILD</t>
  </si>
  <si>
    <t>P_FUNDS_ENTRY_STRUCT</t>
  </si>
  <si>
    <t>l2_3</t>
  </si>
  <si>
    <t>P_FUNDS_ENTRY_MACHINES</t>
  </si>
  <si>
    <t>l2_4</t>
  </si>
  <si>
    <t>2.4</t>
  </si>
  <si>
    <t>P_FUNDS_ENTRY_TRANSPORT</t>
  </si>
  <si>
    <t>l2_5</t>
  </si>
  <si>
    <t>2.5</t>
  </si>
  <si>
    <t>P_FUNDS_ENTRY_OTHER</t>
  </si>
  <si>
    <t>Выбытие основных фондов</t>
  </si>
  <si>
    <t>P_FUNDS_OUT_TOTAL</t>
  </si>
  <si>
    <t>l3_1</t>
  </si>
  <si>
    <t>P_FUNDS_OUT_BUILD</t>
  </si>
  <si>
    <t>l3_2</t>
  </si>
  <si>
    <t>P_FUNDS_OUT_STRUCT</t>
  </si>
  <si>
    <t>l3_3</t>
  </si>
  <si>
    <t>P_FUNDS_OUT_MACHINES</t>
  </si>
  <si>
    <t>l3_4</t>
  </si>
  <si>
    <t>3.4</t>
  </si>
  <si>
    <t>P_FUNDS_OUT_TRANSPORT</t>
  </si>
  <si>
    <t>l3_5</t>
  </si>
  <si>
    <t>3.5</t>
  </si>
  <si>
    <t>P_FUNDS_OUT_OTHER</t>
  </si>
  <si>
    <t>Первоначальная (восстановительная) стоимость на конец периода</t>
  </si>
  <si>
    <t>P_INIT_PRICE_TOTAL</t>
  </si>
  <si>
    <t>P_INIT_PRICE_BUILD</t>
  </si>
  <si>
    <t>P_INIT_PRICE_STRUCT</t>
  </si>
  <si>
    <t>P_INIT_PRICE_MACHINES</t>
  </si>
  <si>
    <t>l4_4</t>
  </si>
  <si>
    <t>P_INIT_PRICE_TRANSPORT</t>
  </si>
  <si>
    <t>l4_5</t>
  </si>
  <si>
    <t>P_INIT_PRICE_OTHER</t>
  </si>
  <si>
    <t>Среднегодовая стоимость</t>
  </si>
  <si>
    <t>P_AVG_YEAR_PRICE_TOTAL</t>
  </si>
  <si>
    <t>P_AVG_YEAR_PRICE_BUILD</t>
  </si>
  <si>
    <t>P_AVG_YEAR_PRICE_STRUCT</t>
  </si>
  <si>
    <t>5.3</t>
  </si>
  <si>
    <t>P_AVG_YEAR_PRICE_MACHINES</t>
  </si>
  <si>
    <t>l5_4</t>
  </si>
  <si>
    <t>5.4</t>
  </si>
  <si>
    <t>P_AVG_YEAR_PRICE_TRANSPORT</t>
  </si>
  <si>
    <t>l5_5</t>
  </si>
  <si>
    <t>5.5</t>
  </si>
  <si>
    <t>P_AVG_YEAR_PRICE_OTHER</t>
  </si>
  <si>
    <t>Средняя норма амортизационных отчислений</t>
  </si>
  <si>
    <t>P_AVG_AMOR_TOTAL</t>
  </si>
  <si>
    <t>P_AVG_AMOR_BUILD</t>
  </si>
  <si>
    <t>P_AVG_AMOR_STRUCT</t>
  </si>
  <si>
    <t>P_AVG_AMOR_MACHINES</t>
  </si>
  <si>
    <t>6.4</t>
  </si>
  <si>
    <t>P_AVG_AMOR_TRANSPORT</t>
  </si>
  <si>
    <t>6.5</t>
  </si>
  <si>
    <t>P_AVG_AMOR_OTHER</t>
  </si>
  <si>
    <t>Сумма амортизационных отчислений</t>
  </si>
  <si>
    <t>P_SUM_AMOR_TOTAL</t>
  </si>
  <si>
    <t>P_SUM_AMOR_BUILD</t>
  </si>
  <si>
    <t>7.2</t>
  </si>
  <si>
    <t>P_SUM_AMOR_STRUCT</t>
  </si>
  <si>
    <t>l7_3</t>
  </si>
  <si>
    <t>7.3</t>
  </si>
  <si>
    <t>P_SUM_AMOR_MACHINES</t>
  </si>
  <si>
    <t>l7_4</t>
  </si>
  <si>
    <t>7.4</t>
  </si>
  <si>
    <t>P_SUM_AMOR_TRANSPORT</t>
  </si>
  <si>
    <t>l7_5</t>
  </si>
  <si>
    <t>7.5</t>
  </si>
  <si>
    <t>P_SUM_AMOR_OTHER</t>
  </si>
  <si>
    <t>Переоценка на 31.12.XX</t>
  </si>
  <si>
    <t>P_REPRICE_TOTAL</t>
  </si>
  <si>
    <t>P_REPRICE_BUILD</t>
  </si>
  <si>
    <t>P_REPRICE_STRUCT</t>
  </si>
  <si>
    <t>P_REPRICE_MACHINES</t>
  </si>
  <si>
    <t>l8_4</t>
  </si>
  <si>
    <t>P_REPRICE_TRANSPORT</t>
  </si>
  <si>
    <t>l8_5</t>
  </si>
  <si>
    <t>P_REPRICE_OTHER</t>
  </si>
  <si>
    <t>{                  _x000D_
         funcDyn: 'msg1',_x000D_
         blok: 'blok_1',_x000D_
         wsCross: 'Амортизация (аналог)',_x000D_
         linkFormula: 'AB-AB',_x000D_
         levelDyn: ''_x000D_
}</t>
  </si>
  <si>
    <t>Единица измерений</t>
  </si>
  <si>
    <t>et_Rent_tariff</t>
  </si>
  <si>
    <t>Арендная и концессионная плата, лизинговые платежи</t>
  </si>
  <si>
    <t>Арендная и концессионная плата. Лизинговые платежи в отношении централизованных систем водоснабжения и (или) водоотведения либо объектов, входящих в состав таких систем</t>
  </si>
  <si>
    <t>P_RENT_CONC</t>
  </si>
  <si>
    <t>Аренда имущества</t>
  </si>
  <si>
    <t>P_RENT_PROPERTY</t>
  </si>
  <si>
    <t>l1_1_1</t>
  </si>
  <si>
    <t>1.1.1</t>
  </si>
  <si>
    <t>Аренда муниципальной или государственной собственности</t>
  </si>
  <si>
    <t>P_RENT_GOS</t>
  </si>
  <si>
    <t>l1_1_2</t>
  </si>
  <si>
    <t>1.1.2</t>
  </si>
  <si>
    <t>Аренда частной собственности</t>
  </si>
  <si>
    <t>P_RENT_PRIV</t>
  </si>
  <si>
    <t>Концессия</t>
  </si>
  <si>
    <t>Концессионная плата</t>
  </si>
  <si>
    <t>P_CONC</t>
  </si>
  <si>
    <t>Лизинг</t>
  </si>
  <si>
    <t>Лизинговые платежи</t>
  </si>
  <si>
    <t>P_LEASE</t>
  </si>
  <si>
    <t>Аренда зем. Участков</t>
  </si>
  <si>
    <t>Аренда земельных участков</t>
  </si>
  <si>
    <t>P_RENT_LAND</t>
  </si>
  <si>
    <t>1.4.1</t>
  </si>
  <si>
    <t>Аренда земельных участков, находяцихся в государственной или муниципальной собственности</t>
  </si>
  <si>
    <t>P_RENT_LAND_GOS</t>
  </si>
  <si>
    <t>1.4.2</t>
  </si>
  <si>
    <t>Аренда земельных участков, находящихся в собственности граждан и юридических лиц</t>
  </si>
  <si>
    <t>P_RENT_LAND_PRIV</t>
  </si>
  <si>
    <t>{                  _x000D_
         funcDyn: 'msg1',_x000D_
         blok: 'blok_1',_x000D_
         wsCross: 'Покупка',_x000D_
         linkFormula: 'AB-AB',_x000D_
         levelDyn: ''_x000D_
}</t>
  </si>
  <si>
    <t>11</t>
  </si>
  <si>
    <t>Удельная величина амортизации</t>
  </si>
  <si>
    <t>тыс.руб./усл.км</t>
  </si>
  <si>
    <t>P_AMOR_UD</t>
  </si>
  <si>
    <t>Годовая сумма амортизации</t>
  </si>
  <si>
    <t>P_AMOR_YEAR</t>
  </si>
  <si>
    <t>Протяженность водопроводной / канализационной сети в сопоставимых величинах</t>
  </si>
  <si>
    <t>P_LENGTH</t>
  </si>
  <si>
    <t>Нормативный уровень расходов на амортизацию в расчете на протяженность сети</t>
  </si>
  <si>
    <t>P_AMOR_NORMS</t>
  </si>
  <si>
    <t>Удельные текущие расходы гарантирующей организации (ГО) (УТР)</t>
  </si>
  <si>
    <t>P_UD_EXP</t>
  </si>
  <si>
    <t>15% УТР</t>
  </si>
  <si>
    <t>P_UTR</t>
  </si>
  <si>
    <t>{                  _x000D_
         funcDyn: 'msg1',_x000D_
         blok: 'blok_1',_x000D_
         wsCross: 'Аренда',_x000D_
         linkFormula: 'AB-AB',_x000D_
         levelDyn: ''_x000D_
}</t>
  </si>
  <si>
    <t>П. 36 Методических указаний ФСТ № 1746-э определяет, что нормативный уровень расходов на амортизацию основных средств и нематериальных активов, относимых к объектам централизованной системы (централизованных систем) водоснабжения и (или) водоотведения, используемым для транспортировки воды (сточных вод), определяется органом регулирования тарифов в соответствии с формулой (2.2) исходя из величины расходов регулируемой организации на амортизацию основных средств и нематериальных активов, определенной в соответствии с пунктом 28 настоящих Методических указаний, в расчете на километр протяженности водопроводной (канализационной) сети, определенной в сопоставимых величинах, в размере, не превышающем 15 процентов удельных текущих расходов гарантирующей организации.</t>
  </si>
  <si>
    <t>Однако, расходы на амортизацию основных средств   НЕ УЧТЕНЫ  регулятором  в составе необходимой валовой выручки на 2026 год, так как имущество, переданное по концессионному соглашению, учитывается на забалансовых счетах и в бухгалтерском учете амортизационные отчисления по такому имуществу не включаются в расходы по обычной деятельности (см.  действующую  Учетную политику ОАО "СКЭК"  и данные регистров бухгалтерского учета).</t>
  </si>
  <si>
    <t>Поставщик</t>
  </si>
  <si>
    <t>et_Purchase_tariff</t>
  </si>
  <si>
    <t>Итого_пок_усл</t>
  </si>
  <si>
    <t>Затраты на холодную воду</t>
  </si>
  <si>
    <t>P_VS_TOTAL</t>
  </si>
  <si>
    <t>Перечень организаций ВС</t>
  </si>
  <si>
    <t>P_MONEY</t>
  </si>
  <si>
    <t>DYN_ORG_VS</t>
  </si>
  <si>
    <t>Объём холодной воды (покупка)</t>
  </si>
  <si>
    <t>P_VOL</t>
  </si>
  <si>
    <t>{                  _x000D_
         funcDyn: 'org',_x000D_
         blok: '',_x000D_
         wsCross: '',_x000D_
         linkFormula: '',_x000D_
         levelDyn: 1,_x000D_
         sphere: 'VS',_x000D_
         addDynValue: 'det_name|AC|0'_x000D_
}</t>
  </si>
  <si>
    <t>Добавить поставщика</t>
  </si>
  <si>
    <t>Затраты на транспортировку холодной воды</t>
  </si>
  <si>
    <t>P_VS_TR_TOTAL</t>
  </si>
  <si>
    <t>Перечень организаций ВС трансп</t>
  </si>
  <si>
    <t>DYN_ORG_VS_TR</t>
  </si>
  <si>
    <t>Объём холодной воды (транспортировка)</t>
  </si>
  <si>
    <t>Затраты на водоотведение</t>
  </si>
  <si>
    <t>P_VO_TOTAL</t>
  </si>
  <si>
    <t>Перечень организаций ВО</t>
  </si>
  <si>
    <t>DYN_ORG_VO</t>
  </si>
  <si>
    <t>Объём пропущенных стоков (водоотведение)</t>
  </si>
  <si>
    <t>{                  _x000D_
         funcDyn: 'org',_x000D_
         blok: '',_x000D_
         wsCross: '',_x000D_
         linkFormula: '',_x000D_
         levelDyn: 2,_x000D_
         sphere: 'VO',_x000D_
         addDynValue: 'det_name|AC|0'_x000D_
}</t>
  </si>
  <si>
    <t>Затраты на транспортировку сточных вод</t>
  </si>
  <si>
    <t>P_VO_TR_TOTAL</t>
  </si>
  <si>
    <t>Перечень организаций ВО трансп</t>
  </si>
  <si>
    <t>DYN_ORG_VO_TR</t>
  </si>
  <si>
    <t>Объём пропущенных стоков (транспортировка)</t>
  </si>
  <si>
    <t>{                  _x000D_
         funcDyn: 'org',_x000D_
         blok: '',_x000D_
         wsCross: '',_x000D_
         linkFormula: '',_x000D_
         levelDyn: 3,_x000D_
         sphere: 'VO',_x000D_
         addDynValue: 'det_name|AC|0'_x000D_
}</t>
  </si>
  <si>
    <t>Затраты на очистку сточных вод</t>
  </si>
  <si>
    <t>P_VO_CLEAN_TOTAL</t>
  </si>
  <si>
    <t>Перечень организаций очистка стоков</t>
  </si>
  <si>
    <t>DYN_ORG_VO_CLEAN</t>
  </si>
  <si>
    <t>Объём пропущенных стоков (очистка)</t>
  </si>
  <si>
    <t>{                  _x000D_
         funcDyn: 'org',_x000D_
         blok: '',_x000D_
         wsCross: '',_x000D_
         linkFormula: '',_x000D_
         levelDyn: 4,_x000D_
         sphere: 'VO',_x000D_
         addDynValue: 'det_name|AC|0'_x000D_
}</t>
  </si>
  <si>
    <t>Затраты на тепловую энергию</t>
  </si>
  <si>
    <t>P_TE</t>
  </si>
  <si>
    <t>Затраты на теплоноситель</t>
  </si>
  <si>
    <t>P_TN</t>
  </si>
  <si>
    <t>Затраты на горячую воду</t>
  </si>
  <si>
    <t>P_GVS</t>
  </si>
  <si>
    <t>Затраты на топливо</t>
  </si>
  <si>
    <t>P_FUEL</t>
  </si>
  <si>
    <t>{                  _x000D_
         funcDyn: 'msg1',_x000D_
         blok: 'blok_1',_x000D_
         wsCross: 'ФОТ',_x000D_
         linkFormula: 'AB-AB',_x000D_
         levelDyn: ''_x000D_
}</t>
  </si>
  <si>
    <t xml:space="preserve"> Расходы на оплату труда и страховые взносы на обязательное социальное страхование производственного персонала, в том числе налоги и сборы с фонда оплаты труда</t>
  </si>
  <si>
    <t>ПП</t>
  </si>
  <si>
    <t>Расходы на оплату труда производственного персонала</t>
  </si>
  <si>
    <t>P_PROD_TOTAL</t>
  </si>
  <si>
    <t>P_SUM</t>
  </si>
  <si>
    <t>DYN_PROD</t>
  </si>
  <si>
    <t>ЧИСЛ_ПП</t>
  </si>
  <si>
    <t>численность</t>
  </si>
  <si>
    <t>чел.</t>
  </si>
  <si>
    <t>P_COUNT</t>
  </si>
  <si>
    <t>среднемесячная заработная плата</t>
  </si>
  <si>
    <t>руб./чел.</t>
  </si>
  <si>
    <t>P_AVG</t>
  </si>
  <si>
    <t>СОЦ_ПП</t>
  </si>
  <si>
    <t>Страховые взносы на обязательное социальное страхование производственного персонала</t>
  </si>
  <si>
    <t>P_SOC_INS_PROD</t>
  </si>
  <si>
    <t>РП</t>
  </si>
  <si>
    <t>Расходы на оплату труда ремонтного персонала</t>
  </si>
  <si>
    <t>P_REPAIR_TOTAL</t>
  </si>
  <si>
    <t>DYN_REPAIR</t>
  </si>
  <si>
    <t>ЧИСЛ_РЕМ</t>
  </si>
  <si>
    <t>СОЦ_РП</t>
  </si>
  <si>
    <t>Страховые взносы на обязательное социальное страхование ремонтного персонала</t>
  </si>
  <si>
    <t>P_SOC_INS_REPAIR</t>
  </si>
  <si>
    <t>АУП</t>
  </si>
  <si>
    <t>Расходы на оплату труда административно-управленческого персонала</t>
  </si>
  <si>
    <t>P_ADM_TOTAL</t>
  </si>
  <si>
    <t>DYN_ADM</t>
  </si>
  <si>
    <t>{                  _x000D_
         funcDyn: 'msg',_x000D_
         blok: '',_x000D_
         wsCross: '',_x000D_
         linkFormula: '',_x000D_
         levelDyn: '3',_x000D_
         addDynValue: 'det_name|AC|0'_x000D_
}</t>
  </si>
  <si>
    <t>СОЦ_АУП</t>
  </si>
  <si>
    <t>Страховые взносы на обязательное социальное страхование административно-управленческого персонала</t>
  </si>
  <si>
    <t>P_SOC_INS_ADM</t>
  </si>
  <si>
    <t>СП</t>
  </si>
  <si>
    <t>Расходы на оплату труда сбытового персонала</t>
  </si>
  <si>
    <t>P_SBYT_TOTAL</t>
  </si>
  <si>
    <t>DYN_SBYT</t>
  </si>
  <si>
    <t>{                  _x000D_
         funcDyn: 'msg',_x000D_
         blok: '',_x000D_
         wsCross: '',_x000D_
         linkFormula: '',_x000D_
         levelDyn: '4',_x000D_
         addDynValue: 'det_name|AC|0'_x000D_
}</t>
  </si>
  <si>
    <t>СОЦ_СП</t>
  </si>
  <si>
    <t>Страховые взносы на обязательное социальное страхование сбытового персонала</t>
  </si>
  <si>
    <t>P_SOC_INS_SBYT</t>
  </si>
  <si>
    <t>{                  _x000D_
         funcDyn: 'msg1',_x000D_
         blok: 'blok_1',_x000D_
         wsCross: 'Административные',_x000D_
         linkFormula: 'AB-AB',_x000D_
         levelDyn: ''_x000D_
}</t>
  </si>
  <si>
    <t>P_FOT_ADM</t>
  </si>
  <si>
    <t>p3</t>
  </si>
  <si>
    <t>Оплата работ и (или) услуг, выполняемых по договорам сторонними организациями или индивидуальными предпринимателями:</t>
  </si>
  <si>
    <t>P_OTHER_ORG</t>
  </si>
  <si>
    <t>p3_1</t>
  </si>
  <si>
    <t>услуги связи и интернет</t>
  </si>
  <si>
    <t>P_COMMS</t>
  </si>
  <si>
    <t>p3_2</t>
  </si>
  <si>
    <t>юридические услуги</t>
  </si>
  <si>
    <t>P_LEGAL</t>
  </si>
  <si>
    <t>p3_3</t>
  </si>
  <si>
    <t>аудиторские услуги</t>
  </si>
  <si>
    <t>P_AUDIT</t>
  </si>
  <si>
    <t>p3_4</t>
  </si>
  <si>
    <t>консультационные услуги</t>
  </si>
  <si>
    <t>P_CONSULT</t>
  </si>
  <si>
    <t>p3_5</t>
  </si>
  <si>
    <t>услуги по вневедомственной охране объектов и территорий</t>
  </si>
  <si>
    <t>P_SEQ</t>
  </si>
  <si>
    <t>p3_6</t>
  </si>
  <si>
    <t>l3_6</t>
  </si>
  <si>
    <t>3.6</t>
  </si>
  <si>
    <t>информационные услуги</t>
  </si>
  <si>
    <t>P_INFO</t>
  </si>
  <si>
    <t>p3_7</t>
  </si>
  <si>
    <t>l3_7</t>
  </si>
  <si>
    <t>3.7</t>
  </si>
  <si>
    <t>иные работы и (или) услуги</t>
  </si>
  <si>
    <t>P_OTHER_SERV</t>
  </si>
  <si>
    <t>p4</t>
  </si>
  <si>
    <t>Арендная плата, лизинговые платежи, не связанные с арендой (лизингом) централизованных систем водоснабжения (водоотведения) либо объектов, входящих в состав таких систем</t>
  </si>
  <si>
    <t>P_RENT</t>
  </si>
  <si>
    <t>p5</t>
  </si>
  <si>
    <t>Служебные командировки</t>
  </si>
  <si>
    <t>P_TRIPS</t>
  </si>
  <si>
    <t>p6</t>
  </si>
  <si>
    <t>Обучение персонала</t>
  </si>
  <si>
    <t>P_EDU</t>
  </si>
  <si>
    <t>p7</t>
  </si>
  <si>
    <t>Страхование производственных объектов</t>
  </si>
  <si>
    <t>P_OBJ_INS</t>
  </si>
  <si>
    <t>p8</t>
  </si>
  <si>
    <t>Прочие расходы, всего:</t>
  </si>
  <si>
    <t>p8_1</t>
  </si>
  <si>
    <t>амортизация непроизводственных активов</t>
  </si>
  <si>
    <t>P_AMOR</t>
  </si>
  <si>
    <t>p8_2</t>
  </si>
  <si>
    <t>расходы по охране объектов и территорий</t>
  </si>
  <si>
    <t>P_OBJ_SEQ</t>
  </si>
  <si>
    <t>p8_3</t>
  </si>
  <si>
    <t>иные расходы</t>
  </si>
  <si>
    <t>P_OTHER_EXP</t>
  </si>
  <si>
    <t>{                  _x000D_
         funcDyn: 'msg1',_x000D_
         blok: 'blok_1',_x000D_
         wsCross: 'Сбытовые расходы ГО',_x000D_
         linkFormula: 'AB-AB',_x000D_
         levelDyn: ''_x000D_
}</t>
  </si>
  <si>
    <t>Добавить комментарии</t>
  </si>
  <si>
    <t>l0</t>
  </si>
  <si>
    <t>Расходы на формирование резервов по сомнительным долгам (дебиторской задолженности)</t>
  </si>
  <si>
    <t>P_DEBTS</t>
  </si>
  <si>
    <t>Расходы на приобретение материалов, связанные со сбытовой деятельностью</t>
  </si>
  <si>
    <t>P_MATERIALS</t>
  </si>
  <si>
    <t>Расходы на содержание помещений, используемых при осуществлении сбытовой деятельности</t>
  </si>
  <si>
    <t>P_ROOMS</t>
  </si>
  <si>
    <t>Расходы на оплату труда, страховые взносы на обязательное социальное страхование, выплачиваемые из фонда оплаты труда сбытового персонала</t>
  </si>
  <si>
    <t>P_FOT</t>
  </si>
  <si>
    <t>Расходы на амортизацию основных средств и нематериальных активов, используемых при осуществлении сбытовой деятельности</t>
  </si>
  <si>
    <t>Расходы на аренду, лизинг имущества, используемого при осуществлении сбытовой деятельности</t>
  </si>
  <si>
    <t>Расходы на уплату процентов по займам и кредитам, привлечение которых обосновано ростом дебиторской задолженности абонентов за регулируемые услуги водоснабжения (водоотведения)</t>
  </si>
  <si>
    <t>P_CREDIT</t>
  </si>
  <si>
    <t>Расходы на оплату работ и (или) услуг, выполняемых сторонними организациями или индивидуальными предпринимателями, связанных со сбытовой деятельностью</t>
  </si>
  <si>
    <t>P_ORGS</t>
  </si>
  <si>
    <t>Прочие расходы, связанные со сбытовой деятельностью</t>
  </si>
  <si>
    <t>DYN_GO</t>
  </si>
  <si>
    <t>{                  _x000D_
         funcDyn: 'msg1',_x000D_
         blok: 'blok_1',_x000D_
         wsCross: 'Налоги',_x000D_
         linkFormula: 'AB-AB',_x000D_
         levelDyn: ''_x000D_
}</t>
  </si>
  <si>
    <t>Налоги и платежи, относимые на указанный вид деятельности</t>
  </si>
  <si>
    <t>P_TAXES</t>
  </si>
  <si>
    <t>Транспортный налог</t>
  </si>
  <si>
    <t>P_TR_TAX</t>
  </si>
  <si>
    <t>Земельный налог и арендная плата за землю</t>
  </si>
  <si>
    <t>P_LAND_TAX</t>
  </si>
  <si>
    <t>негативное воздействие</t>
  </si>
  <si>
    <t>Плата за негативное воздействие на окружающую среду</t>
  </si>
  <si>
    <t>P_NEG_TAX</t>
  </si>
  <si>
    <t>Водный налог</t>
  </si>
  <si>
    <t>P_WATER_TAX</t>
  </si>
  <si>
    <t>Плата за пользование водным объектом</t>
  </si>
  <si>
    <t>P_WATER_PAY</t>
  </si>
  <si>
    <t>Налог на имущество</t>
  </si>
  <si>
    <t>P_PROP_TAX</t>
  </si>
  <si>
    <t>налог на прибыль</t>
  </si>
  <si>
    <t>Налог на прибыль</t>
  </si>
  <si>
    <t>P_INCOME_TAX</t>
  </si>
  <si>
    <t>Единый налог при упрощенной системе налогообложения</t>
  </si>
  <si>
    <t>P_USN</t>
  </si>
  <si>
    <t>Обязательное страхование, предусмотренное Законодательством РФ</t>
  </si>
  <si>
    <t>P_INS</t>
  </si>
  <si>
    <t>Прочие налоги и сборы</t>
  </si>
  <si>
    <t>P_OTHER_TAX</t>
  </si>
  <si>
    <t>DYN_TAXES</t>
  </si>
  <si>
    <t>{                  _x000D_
         funcDyn: 'msg1',_x000D_
         blok: 'blok_1',_x000D_
         wsCross: 'ИП +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</si>
  <si>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</si>
  <si>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</si>
  <si>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Плановый размер финансирования утвержденной инвестиционной программы</t>
  </si>
  <si>
    <t>Объем фактического ввода объектов системы водоснабжения и водоотведения в эксплуатацию по данным организации</t>
  </si>
  <si>
    <t>Объем фактического ввода объектов системы водоснабжения и водоотведения в эксплуатацию, принятый органом регулирования</t>
  </si>
  <si>
    <t>Источники финансирования инвестиционной программы, всего</t>
  </si>
  <si>
    <t>P_INV_TOTAL</t>
  </si>
  <si>
    <t>Собственные средства</t>
  </si>
  <si>
    <t>P_SELF_FUNDS</t>
  </si>
  <si>
    <t>Амортизационные отчисления</t>
  </si>
  <si>
    <t>Прибыль на капвложения</t>
  </si>
  <si>
    <t>P_INCOME_KAP</t>
  </si>
  <si>
    <t>l1_1_3</t>
  </si>
  <si>
    <t>1.1.3</t>
  </si>
  <si>
    <t>Прочие собственные средства</t>
  </si>
  <si>
    <t>P_OTHER_SELF_FUNDS</t>
  </si>
  <si>
    <t>l1_1_4</t>
  </si>
  <si>
    <t>1.1.4</t>
  </si>
  <si>
    <t>За счет платы за технологическое присоединение</t>
  </si>
  <si>
    <t>P_TEH</t>
  </si>
  <si>
    <t>1.1.5</t>
  </si>
  <si>
    <t>Экономия расходов в результате реализации мероприятий инвестиционной программы</t>
  </si>
  <si>
    <t>P_ECO_TOTAL</t>
  </si>
  <si>
    <t>1.1.5.1</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</si>
  <si>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</si>
  <si>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P_ECO_AMOR</t>
  </si>
  <si>
    <t>1.1.5.2</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</si>
  <si>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</si>
  <si>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P_ECO_INCOME_KAP</t>
  </si>
  <si>
    <t>1.1.5.3</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</si>
  <si>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</si>
  <si>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P_ECO_OTHER_FUNDS</t>
  </si>
  <si>
    <t>1.1.5.4</t>
  </si>
  <si>
    <t>Экономия средств, достигнутая регулируемой организацией в результате снижения расходов</t>
  </si>
  <si>
    <t>P_ECO_EXP_REDUCT</t>
  </si>
  <si>
    <t>Привлеченные средства</t>
  </si>
  <si>
    <t>P_RAISED_FUNDS</t>
  </si>
  <si>
    <t>l1_2_1</t>
  </si>
  <si>
    <t>1.2.1</t>
  </si>
  <si>
    <t>Кредиты</t>
  </si>
  <si>
    <t>l1_2_2</t>
  </si>
  <si>
    <t>1.2.2</t>
  </si>
  <si>
    <t>Займы</t>
  </si>
  <si>
    <t>P_LOANS</t>
  </si>
  <si>
    <t>l1_2_3</t>
  </si>
  <si>
    <t>1.2.3</t>
  </si>
  <si>
    <t>Прочие привлеченные средства</t>
  </si>
  <si>
    <t>P_OTHER_RAISED_FUNDS</t>
  </si>
  <si>
    <t>Бюджетное финансирование</t>
  </si>
  <si>
    <t>P_BUDJ_TOTAL</t>
  </si>
  <si>
    <t>l1_3_1</t>
  </si>
  <si>
    <t>1.3.1</t>
  </si>
  <si>
    <t>Федеральный бюджет</t>
  </si>
  <si>
    <t>P_FED_BUDJ</t>
  </si>
  <si>
    <t>l1_3_2</t>
  </si>
  <si>
    <t>1.3.2</t>
  </si>
  <si>
    <t>Бюджет субъекта РФ</t>
  </si>
  <si>
    <t>P_SUBJ_BUDJ</t>
  </si>
  <si>
    <t>l1_3_3</t>
  </si>
  <si>
    <t>1.3.3</t>
  </si>
  <si>
    <t>Бюджет муниципального образования</t>
  </si>
  <si>
    <t>P_MYN_BUDJ</t>
  </si>
  <si>
    <t>Прочие источники финансирования</t>
  </si>
  <si>
    <t>P_OTHER_FUNDS</t>
  </si>
  <si>
    <t>l1_4_1</t>
  </si>
  <si>
    <t>l1_4_2</t>
  </si>
  <si>
    <t>Доход от взимания платы за нарушение нормативов по объёму и (или) составу сточных вод</t>
  </si>
  <si>
    <t>P_INCOME_BREAK_NORMS</t>
  </si>
  <si>
    <t>l1_4_3</t>
  </si>
  <si>
    <t>1.4.3</t>
  </si>
  <si>
    <t>Доход от взимания платы за негативное воздействие на работу централизованной системы водоотведения</t>
  </si>
  <si>
    <t>P_INCOME_NEG</t>
  </si>
  <si>
    <t>l1_4_4</t>
  </si>
  <si>
    <t>1.4.4</t>
  </si>
  <si>
    <t>Прочие</t>
  </si>
  <si>
    <t>P_OTHER_FUNDS_OTHER</t>
  </si>
  <si>
    <t>График возврата и обслуживания заемных средств из тарифной выручки</t>
  </si>
  <si>
    <t>P_TAR_GAIN</t>
  </si>
  <si>
    <t>погашение займов и кредитов из нормативной прибыли</t>
  </si>
  <si>
    <t>P_CREDIT_PAY</t>
  </si>
  <si>
    <t>уплата процентов по кредитам из нормативной прибыли</t>
  </si>
  <si>
    <t>P_CREDIT_PERC_PAY</t>
  </si>
  <si>
    <t>погашение займов и кредитов из амортизации</t>
  </si>
  <si>
    <t>P_CREDIT_PAY_AMOR</t>
  </si>
  <si>
    <t>{                  _x000D_
         funcDyn: 'msg1',_x000D_
         blok: 'blok_1',_x000D_
         wsCross: 'Экономия_корр',_x000D_
         linkFormula: 'AB-AB',_x000D_
         levelDyn: ''_x000D_
}</t>
  </si>
  <si>
    <t>* данные без НДС</t>
  </si>
  <si>
    <t>Показатели</t>
  </si>
  <si>
    <t>Предложения организации</t>
  </si>
  <si>
    <t>Экономия расходов всего</t>
  </si>
  <si>
    <t>Экономия операционных расходов</t>
  </si>
  <si>
    <t>P_ECO_OPER</t>
  </si>
  <si>
    <t>Экономия от снижения потребления электрической энергии (мощности)</t>
  </si>
  <si>
    <t>P_ECO_POWER_RED</t>
  </si>
  <si>
    <t>Экономия от снижения потребления прочих энергетических ресурсов, холодной воды, теплоносителя</t>
  </si>
  <si>
    <t>P_ECO_OTHER_RED</t>
  </si>
  <si>
    <t>Значение индекса потребительских цен</t>
  </si>
  <si>
    <t>P_PRICE_IND</t>
  </si>
  <si>
    <t>Кумулятивное значение индекса потребительских цен</t>
  </si>
  <si>
    <t>P_IND_KUM</t>
  </si>
  <si>
    <t>Экономия</t>
  </si>
  <si>
    <t>Экономия расходов с учетом ИПЦ</t>
  </si>
  <si>
    <t>P_ECO_IPC</t>
  </si>
  <si>
    <t>{                  _x000D_
         funcDyn: 'msg1',_x000D_
         blok: 'blok_1',_x000D_
         wsCross: 'Плата за негативное возд',_x000D_
         linkFormula: 'AB-AB',_x000D_
         levelDyn: ''_x000D_
}</t>
  </si>
  <si>
    <t xml:space="preserve"> Плата за негативное воздействие на работу централизованных систем водоотведения (принято органом регулирования)</t>
  </si>
  <si>
    <t>№</t>
  </si>
  <si>
    <t>Начислено в соответствии с пунктом 26(1) Основ ценообразования в сфере водоснабжения и водоотведения</t>
  </si>
  <si>
    <t>Направлено на внесение платы за негативное воздействие на окружающую среду</t>
  </si>
  <si>
    <t>Направлено на компенсацию вреда, причиненного водному объекту</t>
  </si>
  <si>
    <t>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t>
  </si>
  <si>
    <t>Предусмотрено на финансирование мероприятий производственной программы регулируемой организации</t>
  </si>
  <si>
    <t>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t>
  </si>
  <si>
    <t>Подлежит к исключению</t>
  </si>
  <si>
    <t>Доходы регулируемой организации от взимания платы за нарушение нормативов по объёму и (или) составу сточных вод</t>
  </si>
  <si>
    <t>Доходы от взимания платы за негативное воздействие на работу централизованной системы водоотведения</t>
  </si>
  <si>
    <t>{                  _x000D_
         funcDyn: 'msg1',_x000D_
         blok: 'blok_1',_x000D_
         wsCross: 'Корректировка НВВ',_x000D_
         linkFormula: 'AB-AB',_x000D_
         levelDyn: ''_x000D_
}</t>
  </si>
  <si>
    <t>Условное обозначение</t>
  </si>
  <si>
    <t>et_NVVCorrection_tariff</t>
  </si>
  <si>
    <t>isVO</t>
  </si>
  <si>
    <t>I</t>
  </si>
  <si>
    <t>Расчет размера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</si>
  <si>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r>
      <t>ΔHBB</t>
    </r>
    <r>
      <rPr>
        <b/>
        <charset val="204"/>
        <family val="2"/>
        <rFont val="Tahoma"/>
        <sz val="9"/>
        <vertAlign val="superscript"/>
      </rPr>
      <t>K</t>
    </r>
    <r>
      <rPr>
        <b/>
        <charset val="204"/>
        <family val="2"/>
        <rFont val="Tahoma"/>
        <sz val="9"/>
        <vertAlign val="subscript"/>
      </rPr>
      <t>i-2</t>
    </r>
  </si>
  <si>
    <t>P_NVV_CORR_AMOUNT</t>
  </si>
  <si>
    <t>Товарная выручка</t>
  </si>
  <si>
    <r>
      <t>ТВ</t>
    </r>
    <r>
      <rPr>
        <b/>
        <charset val="204"/>
        <family val="2"/>
        <rFont val="Tahoma"/>
        <sz val="9"/>
        <vertAlign val="superscript"/>
      </rPr>
      <t>Ф</t>
    </r>
    <r>
      <rPr>
        <b/>
        <charset val="204"/>
        <family val="2"/>
        <rFont val="Tahoma"/>
        <sz val="9"/>
        <vertAlign val="subscript"/>
      </rPr>
      <t>i-2</t>
    </r>
  </si>
  <si>
    <t>P_GOODS_INCOME</t>
  </si>
  <si>
    <t>Скорректированная фактическая величина необходимой валовой выручки</t>
  </si>
  <si>
    <r>
      <t>HBB</t>
    </r>
    <r>
      <rPr>
        <b/>
        <charset val="204"/>
        <family val="2"/>
        <rFont val="Tahoma"/>
        <sz val="9"/>
        <vertAlign val="superscript"/>
      </rPr>
      <t>Ф</t>
    </r>
    <r>
      <rPr>
        <b/>
        <charset val="204"/>
        <family val="2"/>
        <rFont val="Tahoma"/>
        <sz val="9"/>
        <vertAlign val="subscript"/>
      </rPr>
      <t>i-2</t>
    </r>
  </si>
  <si>
    <t>P_NVV_CORR_FACT</t>
  </si>
  <si>
    <t>Операц_расходы</t>
  </si>
  <si>
    <t>Операционные расходы, определенные на (i-2)-й год исходя из фактических значений параметров расчета тарифов</t>
  </si>
  <si>
    <r>
      <t>ОР</t>
    </r>
    <r>
      <rPr>
        <charset val="204"/>
        <family val="2"/>
        <rFont val="Tahoma"/>
        <sz val="9"/>
        <vertAlign val="superscript"/>
      </rPr>
      <t>Ф</t>
    </r>
    <r>
      <rPr>
        <charset val="204"/>
        <family val="2"/>
        <rFont val="Tahoma"/>
        <sz val="9"/>
        <vertAlign val="subscript"/>
      </rPr>
      <t>i-2</t>
    </r>
  </si>
  <si>
    <t>P_EXP_FROM_FACT</t>
  </si>
  <si>
    <t>фактические документально подтвержденные неподконтрольные расходы, в том числе:</t>
  </si>
  <si>
    <r>
      <t>Н Р</t>
    </r>
    <r>
      <rPr>
        <charset val="204"/>
        <family val="2"/>
        <rFont val="Tahoma"/>
        <sz val="9"/>
        <vertAlign val="superscript"/>
      </rPr>
      <t>Ф</t>
    </r>
    <r>
      <rPr>
        <charset val="204"/>
        <family val="2"/>
        <rFont val="Tahoma"/>
        <sz val="9"/>
        <vertAlign val="subscript"/>
      </rPr>
      <t>i-2</t>
    </r>
  </si>
  <si>
    <t>P_FACT_EXP</t>
  </si>
  <si>
    <t>l1_2_2_1</t>
  </si>
  <si>
    <t>расходы на оплату товаров (услуг, работ), приобретаемых у других организаций, осуществляющих регулируемые виды деятельности;</t>
  </si>
  <si>
    <t>P_FACT_EXP_FROM_ORG</t>
  </si>
  <si>
    <t>l1_2_2_2</t>
  </si>
  <si>
    <t>2.2.2</t>
  </si>
  <si>
    <t>расходы на реагенты</t>
  </si>
  <si>
    <t>P_FACT_EXP_REAG</t>
  </si>
  <si>
    <t>l1_2_2_3</t>
  </si>
  <si>
    <t>2.2.3</t>
  </si>
  <si>
    <t>расходы на уплату налогов, сборов и других обязательных платежей</t>
  </si>
  <si>
    <t>P_FACT_EXP_TAX</t>
  </si>
  <si>
    <t>Расходы на мероприятия по защите централизованных систем водоснабжения</t>
  </si>
  <si>
    <t>l1_2_2_4</t>
  </si>
  <si>
    <t>2.2.4</t>
  </si>
  <si>
    <t>Расходы на мероприятия по защите централизованных систем водоснабжения и (или) водоотведения и их отдельных объектов от угроз техногенного, природного характера и террористических актов, по предотвращению возникновения аварийных ситуаций, снижению риска и смягчению последствий чрезвычайных ситуаций (за исключением мероприятий, включенных в инвестиционную программу)</t>
  </si>
  <si>
    <t>P_FACT_EXP_SEQ</t>
  </si>
  <si>
    <t>l1_2_2_5</t>
  </si>
  <si>
    <t>2.2.5</t>
  </si>
  <si>
    <t>расходы на арендную и концессионную плату, лизинговые платежи</t>
  </si>
  <si>
    <t>P_FACT_EXP_RENT</t>
  </si>
  <si>
    <t>резерв по сомнительным долгам гарантирующей организации</t>
  </si>
  <si>
    <t>l1_2_2_6</t>
  </si>
  <si>
    <t>2.2.6</t>
  </si>
  <si>
    <t>расходы по сомнительным долгам для гарантирующей организации</t>
  </si>
  <si>
    <t>P_FACT_EXP_DEBTS</t>
  </si>
  <si>
    <t>Экономия расходов</t>
  </si>
  <si>
    <t>l1_2_2_7</t>
  </si>
  <si>
    <t>2.2.7</t>
  </si>
  <si>
    <t>экономия средств, достигнутая в результате снижения расходов предыдущего долгосрочного периода регулирования</t>
  </si>
  <si>
    <t>P_FACT_EXP_ECO</t>
  </si>
  <si>
    <t>Расходы на обслуживание бесхозяйных сетей</t>
  </si>
  <si>
    <t>l1_2_2_8</t>
  </si>
  <si>
    <t>2.2.8</t>
  </si>
  <si>
    <t>расходы на обслуживание бесхозяйных сетей, эксплуатируемых регулируемой организацией</t>
  </si>
  <si>
    <t>P_FACT_EXP_OWNERLESS</t>
  </si>
  <si>
    <t>Расходы на компенсацию экономически обоснованных расходов</t>
  </si>
  <si>
    <t>l1_2_2_9</t>
  </si>
  <si>
    <t>2.2.9</t>
  </si>
  <si>
    <t>расходы на компенсацию экономически обоснованных расходов (выпадающих доходов прошлых периодов)</t>
  </si>
  <si>
    <t>P_FACT_EXP_EOR</t>
  </si>
  <si>
    <t>Займы и кредиты (для метода индексации)</t>
  </si>
  <si>
    <t>l1_2_2_10</t>
  </si>
  <si>
    <t>2.2.10</t>
  </si>
  <si>
    <t>расходы на займы и кредиты (для метода индексации)</t>
  </si>
  <si>
    <t>P_FACT_EXP_CREDIT</t>
  </si>
  <si>
    <t>Расходы концессионера на осуществление государственного кадастрового учета</t>
  </si>
  <si>
    <t>l1_2_2_11</t>
  </si>
  <si>
    <t>2.2.11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</si>
  <si>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</si>
  <si>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P_FACT_EXP_CONS</t>
  </si>
  <si>
    <t>расходы на электрическую энергию</t>
  </si>
  <si>
    <r>
      <t>РТ</t>
    </r>
    <r>
      <rPr>
        <charset val="204"/>
        <family val="2"/>
        <rFont val="Tahoma"/>
        <sz val="9"/>
        <vertAlign val="superscript"/>
      </rPr>
      <t>Ф</t>
    </r>
    <r>
      <rPr>
        <charset val="204"/>
        <family val="2"/>
        <rFont val="Tahoma"/>
        <sz val="9"/>
        <vertAlign val="subscript"/>
      </rPr>
      <t>i-2</t>
    </r>
  </si>
  <si>
    <t>P_EE_EXP</t>
  </si>
  <si>
    <t>l1_2_3_1</t>
  </si>
  <si>
    <t>удельное потребление электрической энергии, установленное на соответствующий год</t>
  </si>
  <si>
    <t>УПЭФi-2</t>
  </si>
  <si>
    <t>P_EE_YEAR</t>
  </si>
  <si>
    <t>l1_2_3_2</t>
  </si>
  <si>
    <t>2.3.2</t>
  </si>
  <si>
    <t>фактический объём поданной воды (принятых сточных вод)</t>
  </si>
  <si>
    <t>Q ф i-2</t>
  </si>
  <si>
    <t>P_WATER_VOL_FACT</t>
  </si>
  <si>
    <t>l1_2_3_3</t>
  </si>
  <si>
    <t>2.3.3</t>
  </si>
  <si>
    <t>фактическая (расчетная) цена на электрическую энергию, определяемая в i-2 году</t>
  </si>
  <si>
    <t>ЦТ ф i-2</t>
  </si>
  <si>
    <t>P_EE_PRICE</t>
  </si>
  <si>
    <t>амортизация</t>
  </si>
  <si>
    <t>l1_2_4</t>
  </si>
  <si>
    <t>расходы на амортизацию в (i-2)-м году, определенные исходя из фактического состава имущества в (i-2)-м году</t>
  </si>
  <si>
    <r>
      <t>А</t>
    </r>
    <r>
      <rPr>
        <charset val="204"/>
        <family val="2"/>
        <rFont val="Tahoma"/>
        <sz val="9"/>
        <vertAlign val="superscript"/>
      </rPr>
      <t>Ф</t>
    </r>
    <r>
      <rPr>
        <charset val="204"/>
        <family val="2"/>
        <rFont val="Tahoma"/>
        <sz val="9"/>
        <vertAlign val="subscript"/>
      </rPr>
      <t>i-2</t>
    </r>
  </si>
  <si>
    <t>Нормативная прибыль</t>
  </si>
  <si>
    <t>l1_2_5</t>
  </si>
  <si>
    <t>величина нормативной прибыли</t>
  </si>
  <si>
    <r>
      <t>ПР</t>
    </r>
    <r>
      <rPr>
        <charset val="204"/>
        <family val="2"/>
        <rFont val="Tahoma"/>
        <sz val="9"/>
        <vertAlign val="subscript"/>
      </rPr>
      <t>i-2</t>
    </r>
  </si>
  <si>
    <t>P_NORM_INCOME</t>
  </si>
  <si>
    <t>РПП</t>
  </si>
  <si>
    <t>l1_2_6</t>
  </si>
  <si>
    <t>2.6</t>
  </si>
  <si>
    <t>расчетная предпринимательская прибыль гарантирующей организации</t>
  </si>
  <si>
    <r>
      <t>ПР</t>
    </r>
    <r>
      <rPr>
        <charset val="204"/>
        <family val="2"/>
        <rFont val="Tahoma"/>
        <sz val="9"/>
        <vertAlign val="superscript"/>
      </rPr>
      <t>ГО Ф</t>
    </r>
    <r>
      <rPr>
        <charset val="204"/>
        <family val="2"/>
        <rFont val="Tahoma"/>
        <sz val="9"/>
        <vertAlign val="subscript"/>
      </rPr>
      <t>i-2</t>
    </r>
  </si>
  <si>
    <t>P_INCOME_GO</t>
  </si>
  <si>
    <t>l1_2_7_0</t>
  </si>
  <si>
    <t>2.7</t>
  </si>
  <si>
    <t>размер корректировки необходимой валовой выручки, учтенной при регулирования на год i-2</t>
  </si>
  <si>
    <t>P_NVV_CORR_YEAR</t>
  </si>
  <si>
    <t>l1_2_7</t>
  </si>
  <si>
    <t>2.7.1</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</si>
  <si>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</si>
  <si>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charset val="204"/>
        <family val="2"/>
        <rFont val="Tahoma"/>
        <sz val="9"/>
        <vertAlign val="subscript"/>
      </rPr>
      <t>i-4</t>
    </r>
  </si>
  <si>
    <t>P_WATER_OBJ_IN</t>
  </si>
  <si>
    <t>l1_2_8</t>
  </si>
  <si>
    <t>2.7.2</t>
  </si>
  <si>
    <t>степень исполнения регулируемой организацией производственной программы</t>
  </si>
  <si>
    <r>
      <t>ΔЦП</t>
    </r>
    <r>
      <rPr>
        <charset val="204"/>
        <family val="2"/>
        <rFont val="Tahoma"/>
        <sz val="9"/>
        <vertAlign val="subscript"/>
      </rPr>
      <t>i-4</t>
    </r>
  </si>
  <si>
    <t>P_PROIZ_PROG</t>
  </si>
  <si>
    <t>l1_2_10</t>
  </si>
  <si>
    <t>2.7.3</t>
  </si>
  <si>
    <t>размер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</si>
  <si>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t>ΔHBBKi-4</t>
  </si>
  <si>
    <t>P_NVV_CORR_LAST_PERIOD</t>
  </si>
  <si>
    <t>l1_2_9</t>
  </si>
  <si>
    <t>2.9</t>
  </si>
  <si>
    <t>величина изменения необходимой валовой выручки в году i-2, проводимого в целях сглаживания</t>
  </si>
  <si>
    <t xml:space="preserve"> ΔHBBСi-2</t>
  </si>
  <si>
    <t>P_NVV_CORR_SMOOTH</t>
  </si>
  <si>
    <t>2.10</t>
  </si>
  <si>
    <t>Доходы от взимания платы за нарушение нормативов по объему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 26(1) Основ ценообразования в сфере водоснабжения и водоотведения)</t>
  </si>
  <si>
    <t>P_INCOME_VOL_STOK</t>
  </si>
  <si>
    <t>2.11</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</si>
  <si>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 26(1) Основ ценообразования в сфере водоснабжения и водоотведения)</t>
  </si>
  <si>
    <t>Избыток средств, полученный за отчётные периоды регулирования</t>
  </si>
  <si>
    <t>НВВфi-2</t>
  </si>
  <si>
    <t>P_SURPLUS</t>
  </si>
  <si>
    <t>Экономически не обоснованные доходы / расходы прошлых периодов регулирования</t>
  </si>
  <si>
    <t>P_NOT_EOR</t>
  </si>
  <si>
    <t>Бюджетные субсидии, полученные на финансирование расходов, учтенных в тарифах</t>
  </si>
  <si>
    <t>P_BUDJ</t>
  </si>
  <si>
    <t>Величина отклонения по результатам досудебного рассмотрения споров</t>
  </si>
  <si>
    <t>P_PRE_TRIAL</t>
  </si>
  <si>
    <t>Величина отклонения по результатам рассмотрения разногласий</t>
  </si>
  <si>
    <t>P_DISPUTE</t>
  </si>
  <si>
    <t>II</t>
  </si>
  <si>
    <t>Расчет размера корректировки необходимой валовой выручки, в случае если на i-2 год применялся метод экономически обоснованных расходов</t>
  </si>
  <si>
    <t>P_NVV_COR_EOR</t>
  </si>
  <si>
    <t>Величина, определяющая результаты деятельности регулируемой организации до перехода к регулированию цен (тарифов) на основе долгосрочных параметров регулирования</t>
  </si>
  <si>
    <r>
      <t>ΔРЕЗ</t>
    </r>
    <r>
      <rPr>
        <charset val="204"/>
        <family val="2"/>
        <rFont val="Tahoma"/>
        <sz val="9"/>
        <vertAlign val="subscript"/>
      </rPr>
      <t>i-2</t>
    </r>
  </si>
  <si>
    <t>P_ORG_VALUE</t>
  </si>
  <si>
    <t>l2_1_1</t>
  </si>
  <si>
    <t>экономически обоснованные расходы регулируемой организации, понесенные в периоды регулирования, предшествовавшие переходу к регулированию цен (тарифов) на основе долгосрочных параметров регулирования и не возмещенные регулируемой организации (не учтенные в тарифах)</t>
  </si>
  <si>
    <r>
      <t>ΔРЕЗ</t>
    </r>
    <r>
      <rPr>
        <charset val="204"/>
        <family val="2"/>
        <rFont val="Tahoma"/>
        <sz val="9"/>
        <vertAlign val="superscript"/>
      </rPr>
      <t>+</t>
    </r>
    <r>
      <rPr>
        <charset val="204"/>
        <family val="2"/>
        <rFont val="Tahoma"/>
        <sz val="9"/>
        <vertAlign val="subscript"/>
      </rPr>
      <t>i-2</t>
    </r>
  </si>
  <si>
    <t>P_EOR_NOT_TARIFF</t>
  </si>
  <si>
    <t>l2_1_2</t>
  </si>
  <si>
    <t>доходы регулируемой организации, необоснованно полученные в периоды регулирования, предшествовавшие переходу к регулированию цен (тарифов) на основе долгосрочных параметров регулирования</t>
  </si>
  <si>
    <r>
      <t>ΔРЕЗ</t>
    </r>
    <r>
      <rPr>
        <charset val="204"/>
        <family val="2"/>
        <rFont val="Tahoma"/>
        <sz val="9"/>
        <vertAlign val="superscript"/>
      </rPr>
      <t>-</t>
    </r>
    <r>
      <rPr>
        <charset val="204"/>
        <family val="2"/>
        <rFont val="Tahoma"/>
        <sz val="9"/>
        <vertAlign val="subscript"/>
      </rPr>
      <t>i-2</t>
    </r>
  </si>
  <si>
    <t>P_INCOME_PAST</t>
  </si>
  <si>
    <t>III</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</si>
  <si>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</si>
  <si>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b/>
        <charset val="204"/>
        <family val="2"/>
        <rFont val="Tahoma"/>
        <sz val="9"/>
        <vertAlign val="subscript"/>
      </rPr>
      <t>i-2</t>
    </r>
  </si>
  <si>
    <t>P_WATER_INVEST</t>
  </si>
  <si>
    <t>IV</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</si>
  <si>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 (корректировка по показателям надежности и качества)</t>
  </si>
  <si>
    <r>
      <t>ΔЦП</t>
    </r>
    <r>
      <rPr>
        <b/>
        <charset val="204"/>
        <family val="2"/>
        <rFont val="Tahoma"/>
        <sz val="9"/>
        <vertAlign val="subscript"/>
      </rPr>
      <t>i-2</t>
    </r>
  </si>
  <si>
    <t>V</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</si>
  <si>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п.14 Методических указаний)</t>
  </si>
  <si>
    <t>P_INCOME_STOK_VO</t>
  </si>
  <si>
    <t>VI</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</si>
  <si>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п.14 Методических указаний)</t>
  </si>
  <si>
    <t>P_INCOME_NEG_METHODIC</t>
  </si>
  <si>
    <t>Недополученные доходы / Выпадающие расходы</t>
  </si>
  <si>
    <t>P_INCOME_NOT_RECIEVED</t>
  </si>
  <si>
    <t>P_SURPLUS_PAST</t>
  </si>
  <si>
    <t>P_NOT_EOR_PAST</t>
  </si>
  <si>
    <t>P_BUDJ_PAST</t>
  </si>
  <si>
    <t>P_PRE_TRIAL_VIII</t>
  </si>
  <si>
    <t>P_DISPUTE_IX</t>
  </si>
  <si>
    <t>Показатели корректировки необходимой валовой выручки</t>
  </si>
  <si>
    <t>P_CORR_TOTAL</t>
  </si>
  <si>
    <t>{                  _x000D_
         funcDyn: 'msg1',_x000D_
         blok: 'blok_1',_x000D_
         wsCross: 'ТМ',_x000D_
         linkFormula: 'AD-AB',_x000D_
         levelDyn: ''_x000D_
}</t>
  </si>
  <si>
    <t>* по показателям могут быть положительные и отрицательные значения в результате финансово-хозяйственной деятельности</t>
  </si>
  <si>
    <t>Отклонение, %</t>
  </si>
  <si>
    <t>et_TM_tariff</t>
  </si>
  <si>
    <t>sphere</t>
  </si>
  <si>
    <t>type</t>
  </si>
  <si>
    <t>Утверждаемый тариф</t>
  </si>
  <si>
    <t>Дополнительные признаки дифференциации тарифов</t>
  </si>
  <si>
    <t>Одноставочный тариф:</t>
  </si>
  <si>
    <t>тариф.прочие.I</t>
  </si>
  <si>
    <t>для прочих потребителей с 01.01 по 30.06 без НДС</t>
  </si>
  <si>
    <t xml:space="preserve">Тариф с 01.01 по 30.06 (в рамках 2026 г. - с 01.01. по 30.09.) для прочих потребителей без НДС </t>
  </si>
  <si>
    <t>руб./куб.м</t>
  </si>
  <si>
    <t>P_SNGL_1_OTHER</t>
  </si>
  <si>
    <t>тариф.прочие.II</t>
  </si>
  <si>
    <t>для прочих потребителей с 01.07 по 31.12 без НДС</t>
  </si>
  <si>
    <t>Тариф с 01.07 по 31.12 (в рамках 2026 г. - с 01.10. по 31.12.) для прочих потребителей без НДС</t>
  </si>
  <si>
    <t>P_SNGL_2_OTHER</t>
  </si>
  <si>
    <t>для прочих потребителей без НДС</t>
  </si>
  <si>
    <r>
      <t xml:space="preserve">Темп роста тарифов с 01.07  </t>
    </r>
    <r>
      <rPr>
        <charset val="204"/>
        <family val="2"/>
        <rFont val="Tahoma"/>
        <sz val="9"/>
      </rPr>
      <t>(в рамках 2026 г. - с 01.10.)</t>
    </r>
  </si>
  <si>
    <t>P_SNGL_GROW_OTHER</t>
  </si>
  <si>
    <t>ПО.прочие</t>
  </si>
  <si>
    <t>Объём реализации услуги с 01.01 по 31.12</t>
  </si>
  <si>
    <t>P_SNGL_VOL_OTHER</t>
  </si>
  <si>
    <t>тариф.население.I</t>
  </si>
  <si>
    <t>для населения с 01.01 по 30.06 с НДС</t>
  </si>
  <si>
    <t>Тариф с 01.01 по 30.06 (в рамках 2026 г. - с 01.01. по 30.09.) для населения с НДС</t>
  </si>
  <si>
    <t>P_SNGL_1_PPL</t>
  </si>
  <si>
    <t>тариф.население.II</t>
  </si>
  <si>
    <t>для населения с 01.07 по 31.12 с НДС</t>
  </si>
  <si>
    <t>Тариф с 01.07 по 31.12 (в рамках 2026 г. - с 01.10. по 31.12.)  для населения с НДС</t>
  </si>
  <si>
    <t>P_SNGL_2_PPL</t>
  </si>
  <si>
    <t>для населения с НДС</t>
  </si>
  <si>
    <t>P_SNGL_GROW_PPL</t>
  </si>
  <si>
    <t>ПО.население</t>
  </si>
  <si>
    <t>Объём реализации услуги для населения с 01.01 по 31.12</t>
  </si>
  <si>
    <t>P_SNGL_VOL_PPL</t>
  </si>
  <si>
    <t>P_SNGL_EXTRA_TARIFF</t>
  </si>
  <si>
    <t>DYN_SNGL</t>
  </si>
  <si>
    <t>Объём реализации услуги</t>
  </si>
  <si>
    <t>P_SNGL_EXTRA_VOL</t>
  </si>
  <si>
    <t>!== 'для прочих потребителей с 01.01 по 30.06 без НДС' &amp;&amp; row.det_name.toLowerCase() !== 'для прочих потребителей с 01.07 по 31.12 без НДС' &amp;&amp; row.det_name.toLowerCase() !== 'для прочих потребителей без НДС' &amp;&amp; row.det_name.toLowerCase() !== 'для населения с 01.01 по 30.06 с НДС' &amp;&amp; row.det_name.toLowerCase() !== 'для населения с 01.07 по 31.12 с НДС' &amp;&amp; row.det_name.toLowerCase() !== 'для населения с НДС' &amp;&amp; row.l1_1 !== null &amp;&amp; row.det_name.toLowerCase() !== 'не определено'</t>
  </si>
  <si>
    <t>{                  _x000D_
         funcDyn: 'msg',_x000D_
         blok: '',_x000D_
         wsCross: '',_x000D_
         linkFormula: '',_x000D_
         levelDyn: '',_x000D_
         addDynValue: 'det_name|AB|0'_x000D_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</si>
  <si>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</si>
  <si>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</si>
  <si>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t>
  </si>
  <si>
    <t>P_DBL_1_OTHER_TRANSF</t>
  </si>
  <si>
    <t>P_DBL_1_OTHER_RATE</t>
  </si>
  <si>
    <t>ПО.прочие.I</t>
  </si>
  <si>
    <t>l2_1_3</t>
  </si>
  <si>
    <t>P_DBL_1_OTHER_VOL</t>
  </si>
  <si>
    <t>l2_1_4</t>
  </si>
  <si>
    <t>тыс.руб./куб.м*час/в месяц</t>
  </si>
  <si>
    <t>P_DBL_1_OTHER_RATE_MAINTAN</t>
  </si>
  <si>
    <t>l2_1_5</t>
  </si>
  <si>
    <t>величина присоединённой мощности</t>
  </si>
  <si>
    <t>куб.м*час</t>
  </si>
  <si>
    <t>P_DBL_1_OTHER_POWER</t>
  </si>
  <si>
    <t>Тариф с 01.07 по 31.12 (в рамках 2026 г. - с 01.10. по 31.12.) для прочих потребителей без НДС:</t>
  </si>
  <si>
    <t>P_DBL_2_OTHER_TRANSF</t>
  </si>
  <si>
    <t>P_DBL_2_OTHER_RATE</t>
  </si>
  <si>
    <t>ПО.прочие.II</t>
  </si>
  <si>
    <t>P_DBL_2_OTHER_VOL</t>
  </si>
  <si>
    <t>P_DBL_2_OTHER_RATE_MAINTAN</t>
  </si>
  <si>
    <t>P_DBL_2_OTHER_POWER</t>
  </si>
  <si>
    <t>Тариф с 01.01 по 30.06  (в рамках 2026 г. - с 01.01. по 30.09.) для населения с НДС:</t>
  </si>
  <si>
    <t>P_DBL_1_PPL_TRANSF</t>
  </si>
  <si>
    <t>P_DBL_1_PPL_RATE</t>
  </si>
  <si>
    <t>ПО.население.I</t>
  </si>
  <si>
    <t>P_DBL_1_PPL_VOL</t>
  </si>
  <si>
    <t>P_DBL_1_PPL_RATE_MAINTAN</t>
  </si>
  <si>
    <t>P_DBL_1_PPL_POWER</t>
  </si>
  <si>
    <t>Тариф с 01.07 по 31.12 (в рамках 2026 г. - с 01.10. по 31.12.) для населения с НДС:</t>
  </si>
  <si>
    <t>P_DBL_2_PPL_TRANSF</t>
  </si>
  <si>
    <t>P_DBL_2_PPL_RATE</t>
  </si>
  <si>
    <t>ПО.население.II</t>
  </si>
  <si>
    <t>P_DBL_2_PPL_VOL</t>
  </si>
  <si>
    <t>P_DBL_2_PPL_RATE_MAINTAN</t>
  </si>
  <si>
    <t>P_DBL_2_PPL_POWER</t>
  </si>
  <si>
    <t>P_DBL_EXTRA_TRANSF</t>
  </si>
  <si>
    <t>P_DBL_EXTRA_RATE</t>
  </si>
  <si>
    <t>P_DBL_EXTRA_VOL</t>
  </si>
  <si>
    <t>P_DBL_EXTRA_RATE_MAINTAN</t>
  </si>
  <si>
    <t>P_DBL_EXTRA_POWER</t>
  </si>
  <si>
    <t>!== 'для прочих потребителей с 01.01 по 30.06 без НДС' &amp;&amp; row.det_name.toLowerCase() !== 'для прочих потребителей с 01.07 по 31.12 без НДС' &amp;&amp; row.det_name.toLowerCase() !== 'для населения с 01.01 по 30.06 с НДС' &amp;&amp; row.det_name.toLowerCase() !== 'для населения с 01.07 по 31.12 с НДС' row.l2_1 !== null &amp;&amp; row.det_name.toLowerCase() !== 'не определено'</t>
  </si>
  <si>
    <t>с 01.01 по 30.06 без НДС</t>
  </si>
  <si>
    <t>Тариф с 01.01 по 30.06  (в рамках 2026 г. - с 01.01. по 30.09.) без НДС</t>
  </si>
  <si>
    <t>P_TR_1</t>
  </si>
  <si>
    <t>с 01.07 по 31.12 без НДС</t>
  </si>
  <si>
    <t>Тариф с 01.07 по 31.12 (в рамках 2026 г. - с 01.10. по 31.12.) без НДС</t>
  </si>
  <si>
    <t>P_TR_2</t>
  </si>
  <si>
    <r>
      <t xml:space="preserve">Темп роста тарифов с 01.07 </t>
    </r>
    <r>
      <rPr>
        <charset val="204"/>
        <family val="2"/>
        <rFont val="Tahoma"/>
        <sz val="9"/>
      </rPr>
      <t>(в рамках 2026 г. - с 01.10.)</t>
    </r>
  </si>
  <si>
    <t>P_TR_GROW</t>
  </si>
  <si>
    <t>P_TR_VOL</t>
  </si>
  <si>
    <t>P_TR_EXTRA</t>
  </si>
  <si>
    <t>DYN_TR</t>
  </si>
  <si>
    <t>!== 'с 01.01 по 30.06 без НДС' &amp;&amp; row.det_name.toLowerCase() !== 'с 01.07 по 31.12 без НДС' &amp;&amp; row.l1_1 !== null &amp;&amp; row.det_name.toLowerCase() !== 'не определено'</t>
  </si>
  <si>
    <t>{                  _x000D_
         funcDyn: 'msg1',_x000D_
         blok: 'blok_1',_x000D_
         wsCross: 'Калькуляция (МЭОР)',_x000D_
         linkFormula: 'AB-AD',_x000D_
         levelDyn: ''_x000D_
}</t>
  </si>
  <si>
    <t>det2_name</t>
  </si>
  <si>
    <t xml:space="preserve"> Расчет тарифа методом экономически обоснованных расходов (затрат)</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</si>
  <si>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</si>
  <si>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</si>
  <si>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</si>
  <si>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</si>
  <si>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Производственные расходы:</t>
  </si>
  <si>
    <t>Расходы на приобретение сырья и материалов и их хранение, в том числе:</t>
  </si>
  <si>
    <t>P_MATERIALS_EXP</t>
  </si>
  <si>
    <t>реагенты</t>
  </si>
  <si>
    <t>P_REAG</t>
  </si>
  <si>
    <t>горюче-смазочные материалы</t>
  </si>
  <si>
    <t>P_GSM</t>
  </si>
  <si>
    <t>материалы и малоценные основные средства</t>
  </si>
  <si>
    <t>P_OTHER_MATS</t>
  </si>
  <si>
    <t>Расходы на энергетические ресурсы и холодную воду, в том числе:</t>
  </si>
  <si>
    <t>P_ER_EXP</t>
  </si>
  <si>
    <t>электроэнергия</t>
  </si>
  <si>
    <t>P_EE</t>
  </si>
  <si>
    <t>теплоэнергия</t>
  </si>
  <si>
    <t>теплоноситель</t>
  </si>
  <si>
    <t>1.2.4</t>
  </si>
  <si>
    <t>топливо</t>
  </si>
  <si>
    <t>1.2.5</t>
  </si>
  <si>
    <t>холодная вода</t>
  </si>
  <si>
    <t>P_HVS</t>
  </si>
  <si>
    <t>1.2.6</t>
  </si>
  <si>
    <t>транспортировка холодной воды</t>
  </si>
  <si>
    <t>P_HVS_TR</t>
  </si>
  <si>
    <t>1.2.7</t>
  </si>
  <si>
    <t>водоотведение</t>
  </si>
  <si>
    <t>P_VO</t>
  </si>
  <si>
    <t>1.2.8</t>
  </si>
  <si>
    <t>транспортировка сточных вод</t>
  </si>
  <si>
    <t>P_VO_TR</t>
  </si>
  <si>
    <t>1.2.9</t>
  </si>
  <si>
    <t>очистка сточных вод</t>
  </si>
  <si>
    <t>P_VO_CLEAN</t>
  </si>
  <si>
    <t>Расходы на оплату работ и услуг, выполняемых сторонними организациями и индивидуальными предпринимателями, связанные с эксплуатацией централизованных систем либо объектов в составе таких систем</t>
  </si>
  <si>
    <t>P_SERVICES</t>
  </si>
  <si>
    <t>Расходы на оплату труда и страховые взносы на обязательное социальное страхование производственного персонала, в том числе налоги и сборы, в том числе:</t>
  </si>
  <si>
    <t>P_FOT_TOTAL_PROD</t>
  </si>
  <si>
    <t>расходы на оплату труда производственного персонала</t>
  </si>
  <si>
    <t>P_FOT_PROD</t>
  </si>
  <si>
    <t>страховые взносы на обязательное социальное страхование производственного персонала, в том числе налоги и сборы</t>
  </si>
  <si>
    <t>P_FOT_INS_PROD</t>
  </si>
  <si>
    <t>Расходы на уплату процентов по займам и кредитам</t>
  </si>
  <si>
    <t>l1_6</t>
  </si>
  <si>
    <t>1.6</t>
  </si>
  <si>
    <t>Общехозяйственные расходы</t>
  </si>
  <si>
    <t>P_HOZ</t>
  </si>
  <si>
    <t>l1_7</t>
  </si>
  <si>
    <t>1.7</t>
  </si>
  <si>
    <t>Прочие производственные расходы, в том числе:</t>
  </si>
  <si>
    <t>P_OTHER_PROD</t>
  </si>
  <si>
    <t>услуги по обращению с осадком сточных вод, тыс.руб.</t>
  </si>
  <si>
    <t>1.7.1</t>
  </si>
  <si>
    <t>услуги по обращению с осадком сточных вод</t>
  </si>
  <si>
    <t>P_STOK</t>
  </si>
  <si>
    <t>расходы на амортизацию автотранспорта, тыс.руб.</t>
  </si>
  <si>
    <t>1.7.2</t>
  </si>
  <si>
    <t>расходы на амортизацию автотранспорта</t>
  </si>
  <si>
    <t>P_TRANSP_AMOR</t>
  </si>
  <si>
    <t>контроль качества воды и сточных вод, тыс.руб.</t>
  </si>
  <si>
    <t>1.7.3</t>
  </si>
  <si>
    <t>контроль качества воды и сточных вод</t>
  </si>
  <si>
    <t>P_QUALITY_WATER</t>
  </si>
  <si>
    <t>расходы на аварийно-диспетчерское обслуживание, тыс.руб.</t>
  </si>
  <si>
    <t>1.7.4</t>
  </si>
  <si>
    <t>расходы на аварийно-диспетчерское обслуживание</t>
  </si>
  <si>
    <t>P_DISP</t>
  </si>
  <si>
    <t>P_OTHER_EXTRA</t>
  </si>
  <si>
    <t>DYN_OTHER</t>
  </si>
  <si>
    <t>!== 'услуги по обращению с осадком сточных вод, тыс.руб.' &amp;&amp; row.det_name.toLowerCase() !== 'расходы на амортизацию автотранспорта, тыс.руб.' &amp;&amp; row.det_name.toLowerCase() !== 'контроль качества воды и сточных вод, тыс.руб.' &amp;&amp; row.det_name.toLowerCase() !== 'расходы на аварийно-диспетчерское обслуживание, тыс.руб.' &amp;&amp; row.det_name.toLowerCase() !== 'не определено'</t>
  </si>
  <si>
    <t>Ремонтные расходы:</t>
  </si>
  <si>
    <t>P_REPAIR</t>
  </si>
  <si>
    <t>Расходы на ремонт централизованных систем водоснабжения и (или) водоотведения либо объектов, входящих в состав таких систем</t>
  </si>
  <si>
    <t>P_REPAIR_SYSTEM</t>
  </si>
  <si>
    <t>Расходы на оплату труда и страховые взносы на обязательное социальное страхование ремонтного персонала, в том числе налоги и сборы, в том числе:</t>
  </si>
  <si>
    <t>P_FOT_TOTAL_REPAIR</t>
  </si>
  <si>
    <t>l2_2_1</t>
  </si>
  <si>
    <t>расходы на оплату труда ремонтного персонала</t>
  </si>
  <si>
    <t>P_FOT_REPAIR</t>
  </si>
  <si>
    <t>l2_2_2</t>
  </si>
  <si>
    <t>страховые взносы на обязательное социальное страхование ремонтного персонала, в том числе налоги и сборы</t>
  </si>
  <si>
    <t>P_FOT_INS_REPAIR</t>
  </si>
  <si>
    <t>Административные расходы:</t>
  </si>
  <si>
    <t>P_ADM</t>
  </si>
  <si>
    <t>Расходы на оплату работ и услуг, выполняемых сторонними организациями</t>
  </si>
  <si>
    <t>Расходы на оплату труда и страховые взносы на обязательное социальное страхование административно-управленческого персонала, в том числе налоги и сборы, в том числе:</t>
  </si>
  <si>
    <t>P_FOT_ADM_TOTAL</t>
  </si>
  <si>
    <t>расходы на оплату труда административно-управленческого персонала</t>
  </si>
  <si>
    <t>страховые взносы на обязательное социальное страхование административно-управленческого персонала, в том числе налоги и сборы</t>
  </si>
  <si>
    <t>P_FOT_INS_ADM</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</si>
  <si>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</si>
  <si>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P_INSUR</t>
  </si>
  <si>
    <t>Прочие административные расходы, в том числе:</t>
  </si>
  <si>
    <t>P_OTHER_ADM_TOTAL</t>
  </si>
  <si>
    <t>l3_7_1</t>
  </si>
  <si>
    <t>3.7.1</t>
  </si>
  <si>
    <t>расходы на амортизацию непроизводственных активов</t>
  </si>
  <si>
    <t>P_NON_PROD_AMOR</t>
  </si>
  <si>
    <t>l3_7_2</t>
  </si>
  <si>
    <t>3.7.2</t>
  </si>
  <si>
    <t>P_SEQ_OBJ</t>
  </si>
  <si>
    <t>l3_7_3</t>
  </si>
  <si>
    <t>3.7.3</t>
  </si>
  <si>
    <t>P_OTHER_ADM</t>
  </si>
  <si>
    <t>Сбытовые расходы гарантирующих организаций</t>
  </si>
  <si>
    <t>P_SBYT_GO</t>
  </si>
  <si>
    <t>Амортизация основных средств и нематериальных активов</t>
  </si>
  <si>
    <t>в том числе инвестиционная (справочно)</t>
  </si>
  <si>
    <t>P_AMOR_INV</t>
  </si>
  <si>
    <t>Расходы на арендную плату, лизинговые платежи, концессионную плату</t>
  </si>
  <si>
    <t>P_RENT_LEASE_CONC</t>
  </si>
  <si>
    <t>Расходы, связанные с уплатой налогов и сборов</t>
  </si>
  <si>
    <t>Нормативная прибыль:</t>
  </si>
  <si>
    <t>средства на возврат займов и кредитов и процентов по ним</t>
  </si>
  <si>
    <t>расходы на капитальные вложения</t>
  </si>
  <si>
    <t>P_CAP</t>
  </si>
  <si>
    <t>расходы на социальные нужды, предусмотренные коллективными договорами</t>
  </si>
  <si>
    <t>P_SOC</t>
  </si>
  <si>
    <t>Расчетная предпринимательская прибыль гарантирующей организации</t>
  </si>
  <si>
    <t>P_RPP_GO</t>
  </si>
  <si>
    <t>P_OWNERLESS</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</si>
  <si>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пунктом 26(1) Основ ценообразования в сфере водоснабжения и водоотведения)</t>
  </si>
  <si>
    <t>12</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</si>
  <si>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организации (в соответствии с пунктом 26(1) Основ ценообразования в сфере водоснабжения и водоотведения)</t>
  </si>
  <si>
    <t>13</t>
  </si>
  <si>
    <t>Недополученные доходы, выпадающие расходы</t>
  </si>
  <si>
    <t>14</t>
  </si>
  <si>
    <t>Избыток средств, полученный за отчётные периоды регулирования, в том числе:</t>
  </si>
  <si>
    <t>l14_1</t>
  </si>
  <si>
    <t>14.1</t>
  </si>
  <si>
    <t>l14_2</t>
  </si>
  <si>
    <t>14.2</t>
  </si>
  <si>
    <t>P_BUDJ_SUBS</t>
  </si>
  <si>
    <t>l15</t>
  </si>
  <si>
    <t>l16</t>
  </si>
  <si>
    <t>16</t>
  </si>
  <si>
    <t>l17</t>
  </si>
  <si>
    <t>17</t>
  </si>
  <si>
    <t>Необходимая валовая выручка</t>
  </si>
  <si>
    <t>P_NVV</t>
  </si>
  <si>
    <t>l17_1</t>
  </si>
  <si>
    <t>17.1</t>
  </si>
  <si>
    <t>в части условно-переменных расходов</t>
  </si>
  <si>
    <t>P_NVV_VAR</t>
  </si>
  <si>
    <t>l17_2</t>
  </si>
  <si>
    <t>17.2</t>
  </si>
  <si>
    <t>в части условно-постоянных расходов</t>
  </si>
  <si>
    <t>P_NVV_CONST</t>
  </si>
  <si>
    <t>l18</t>
  </si>
  <si>
    <t>18</t>
  </si>
  <si>
    <t>Полезный отпуск без разбивки по группам потребителей</t>
  </si>
  <si>
    <t>P_USEFULL_TOTAL</t>
  </si>
  <si>
    <t>l18_1</t>
  </si>
  <si>
    <t>18.1</t>
  </si>
  <si>
    <t>I полугодие: объём реализации (в рамках 2026 г. - с 01.01. по 30.09.)</t>
  </si>
  <si>
    <t>P_USEFULL_1_VOL</t>
  </si>
  <si>
    <t>l18_2</t>
  </si>
  <si>
    <t>18.2</t>
  </si>
  <si>
    <t>I полугодие: тариф (в рамках 2026 г. - с 01.01. по 30.09.)</t>
  </si>
  <si>
    <t>P_USEFULL_1_TARIFF</t>
  </si>
  <si>
    <t>l18_3</t>
  </si>
  <si>
    <t>18.3</t>
  </si>
  <si>
    <t>II полугодие: объём реализации по населению (в рамках 2026 г. - с 01.10. по 31.12.)</t>
  </si>
  <si>
    <t>P_USEFULL_2_VOL</t>
  </si>
  <si>
    <t>l18_4</t>
  </si>
  <si>
    <t>18.4</t>
  </si>
  <si>
    <t>II полугодие: тариф (в рамках 2026 г. - с 01.10. по 31.12.)</t>
  </si>
  <si>
    <t>P_USEFULL_2_TARIFF</t>
  </si>
  <si>
    <t>l18_5</t>
  </si>
  <si>
    <t>18.5</t>
  </si>
  <si>
    <t>темп роста тарифа</t>
  </si>
  <si>
    <t>P_GROW_TARIFF</t>
  </si>
  <si>
    <t>l18_6</t>
  </si>
  <si>
    <t>18.6</t>
  </si>
  <si>
    <t>средневзвешенный тариф</t>
  </si>
  <si>
    <t>P_AVG_TARIFF</t>
  </si>
  <si>
    <t>l19</t>
  </si>
  <si>
    <t>19</t>
  </si>
  <si>
    <t>Итого НВВ для населения</t>
  </si>
  <si>
    <t>P_NVV_PPL</t>
  </si>
  <si>
    <t>l20</t>
  </si>
  <si>
    <t>20</t>
  </si>
  <si>
    <t>Полезный отпуск для населения:</t>
  </si>
  <si>
    <t>P_USEFULL_PPL_TOTAL</t>
  </si>
  <si>
    <t>l20_1</t>
  </si>
  <si>
    <t>20.1</t>
  </si>
  <si>
    <t>I полугодие: объём реализации по населению (в рамках 2026 г. - с 01.01. по 30.09.)</t>
  </si>
  <si>
    <t>P_USEFULL_PPL_1_VOL</t>
  </si>
  <si>
    <t>l20_2</t>
  </si>
  <si>
    <t>20.2</t>
  </si>
  <si>
    <t>I полугодие: тариф для населения (в рамках 2026 г. - с 01.01. по 30.09.)</t>
  </si>
  <si>
    <t>P_USEFULL_PPL_1_TARIFF</t>
  </si>
  <si>
    <t>l20_3</t>
  </si>
  <si>
    <t>20.3</t>
  </si>
  <si>
    <t>P_USEFULL_PPL_2_VOL</t>
  </si>
  <si>
    <t>l20_4</t>
  </si>
  <si>
    <t>20.4</t>
  </si>
  <si>
    <t>II полугодие: тариф для населения (в рамках 2026 г. - с 01.10. по 31.12.)</t>
  </si>
  <si>
    <t>P_USEFULL_PPL_2_TARIFF</t>
  </si>
  <si>
    <t>21</t>
  </si>
  <si>
    <t>Справочные показатели:</t>
  </si>
  <si>
    <t>P_SPRAV</t>
  </si>
  <si>
    <t>21.1</t>
  </si>
  <si>
    <t>Размер компенсации за счёт средств бюджетов бюджетной системы Российской Федерации (при наличии)</t>
  </si>
  <si>
    <t>P_BUDJ_COMP</t>
  </si>
  <si>
    <t>22.2</t>
  </si>
  <si>
    <t>Бюджетные субсидии, полученные в целях возмещения затрат в связи с выполнением работ, оказанием услуг, необходимых для осуществления регулируемых видов деятельности, за исключением субсидий, полученных регулируемой организацией на компенсацию недополученных доходов, возникающих в результате установления льготных цен (тарифов) (при наличии)</t>
  </si>
  <si>
    <t>P_BUDJ_SUBS_WORKS</t>
  </si>
  <si>
    <t>{                  _x000D_
         funcDyn: 'msg1',_x000D_
         blok: 'blok_1',_x000D_
         wsCross: 'Калькуляция (МИ)',_x000D_
         linkFormula: 'AB-AB',_x000D_
         levelDyn: ''_x000D_
}</t>
  </si>
  <si>
    <t>pok_indx</t>
  </si>
  <si>
    <t>pok_rab</t>
  </si>
  <si>
    <t>pok_eor</t>
  </si>
  <si>
    <t>det_name_eor</t>
  </si>
  <si>
    <t>et_Calculation_tariff</t>
  </si>
  <si>
    <t>Операционные расходы</t>
  </si>
  <si>
    <t>коэффициент изменения операционных расходов</t>
  </si>
  <si>
    <t>P_OPER_KOEF</t>
  </si>
  <si>
    <t>расходы на приобретение сырья и материалов и их хранение, в том числе:</t>
  </si>
  <si>
    <t>l1_2_1_1</t>
  </si>
  <si>
    <t>1.2.1.1</t>
  </si>
  <si>
    <t>l1_2_1_2</t>
  </si>
  <si>
    <t>1.2.1.2</t>
  </si>
  <si>
    <t>расходы на оплату регулируемыми организациями выполняемых сторонними организациями работ и (или) услуг</t>
  </si>
  <si>
    <t>расходы на оплату труда и страховые взносы на обязательное социальное страхование производственного персонала, в том числе:</t>
  </si>
  <si>
    <t>P_FOT_TOTAL</t>
  </si>
  <si>
    <t>1.2.3.1</t>
  </si>
  <si>
    <t>1.2.3.2</t>
  </si>
  <si>
    <t>страховые взносы на обязательное социальное страхование производственного персонала</t>
  </si>
  <si>
    <t>общехозяйственные расходы</t>
  </si>
  <si>
    <t>прочие производственные расходы</t>
  </si>
  <si>
    <t>P_OTHER_PROD_TOTAL</t>
  </si>
  <si>
    <t>l1_2_5_1</t>
  </si>
  <si>
    <t>1.2.5.1</t>
  </si>
  <si>
    <t>амортизация автотранспорта</t>
  </si>
  <si>
    <t>l1_2_5_2</t>
  </si>
  <si>
    <t>1.2.5.2</t>
  </si>
  <si>
    <t>расходы на обезвоживание, обезвреживание и захоронение осадка сточных вод</t>
  </si>
  <si>
    <t>P_DRY</t>
  </si>
  <si>
    <t>l1_2_5_3</t>
  </si>
  <si>
    <t>1.2.5.3</t>
  </si>
  <si>
    <t>расходы на приобретение (использование) вспомогательных материалов, запасных частей</t>
  </si>
  <si>
    <t>P_SPARE_PARTS</t>
  </si>
  <si>
    <t>l1_2_5_4</t>
  </si>
  <si>
    <t>1.2.5.4</t>
  </si>
  <si>
    <t>расходы на эксплуатацию, техническое обслуживание и ремонт автотранспорта</t>
  </si>
  <si>
    <t>P_TRANSP_REPAIR</t>
  </si>
  <si>
    <t>l1_2_5_5</t>
  </si>
  <si>
    <t>1.2.5.5</t>
  </si>
  <si>
    <t>расходы на осуществление производственного контроля качества воды и производственного контроля состава и свойств сточных вод расходы на осуществление производственного контроля качества воды и производственного контроля состава и свойств сточных вод</t>
  </si>
  <si>
    <t>l1_2_5_6</t>
  </si>
  <si>
    <t>1.2.5.6</t>
  </si>
  <si>
    <t>l1_2_5_7</t>
  </si>
  <si>
    <t>1.2.5.7</t>
  </si>
  <si>
    <t>иные производственные расходы</t>
  </si>
  <si>
    <t>расходы на текущий ремонт централизованных систем водоснабжения и (или) водоотведения либо объектов, входящих в состав таких систем</t>
  </si>
  <si>
    <t>расходы на капитальный ремонт централизованных систем водоснабжения и (или) водоотведения либо объектов, входящих в состав таких систем</t>
  </si>
  <si>
    <t>P_REPAIR_SYSTEM_CAP</t>
  </si>
  <si>
    <t>расходы на оплату труда и страховые взносы на обязательное социальное страхование ремонтного персонала, в том числе:</t>
  </si>
  <si>
    <t>l1_3_3_1</t>
  </si>
  <si>
    <t>1.3.3.1</t>
  </si>
  <si>
    <t>l1_3_3_2</t>
  </si>
  <si>
    <t>1.3.3.2</t>
  </si>
  <si>
    <t>страховые взносы на обязательное социальное страхование ремонтного персонала</t>
  </si>
  <si>
    <t>Административные расходы</t>
  </si>
  <si>
    <t>расходы на оплату работ и услуг, выполняемых сторонними организациями, в том числе:</t>
  </si>
  <si>
    <t>l1_4_1_1</t>
  </si>
  <si>
    <t>1.4.1.1</t>
  </si>
  <si>
    <t>l1_4_1_2</t>
  </si>
  <si>
    <t>1.4.1.2</t>
  </si>
  <si>
    <t>l1_4_1_3</t>
  </si>
  <si>
    <t>1.4.1.3</t>
  </si>
  <si>
    <t>l1_4_1_4</t>
  </si>
  <si>
    <t>1.4.1.4</t>
  </si>
  <si>
    <t>l1_4_1_5</t>
  </si>
  <si>
    <t>1.4.1.5</t>
  </si>
  <si>
    <t>P_SEQURITY_OBJ</t>
  </si>
  <si>
    <t>l1_4_1_6</t>
  </si>
  <si>
    <t>1.4.1.6</t>
  </si>
  <si>
    <t>l1_4_1_7</t>
  </si>
  <si>
    <t>1.4.1.7</t>
  </si>
  <si>
    <t>P_OTHER_ORG_EXTRA</t>
  </si>
  <si>
    <t>расходы на оплату труда и страховые взносы на обязательное социальное страхование административно-управленческого персонала, в том числе:</t>
  </si>
  <si>
    <t>l1_4_2_1</t>
  </si>
  <si>
    <t>1.4.2.1</t>
  </si>
  <si>
    <t>l1_4_2_2</t>
  </si>
  <si>
    <t>1.4.2.2</t>
  </si>
  <si>
    <t>страховые взносы на обязательное социальное страхование административно-управленческого персонала</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</si>
  <si>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</si>
  <si>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служебные командировки</t>
  </si>
  <si>
    <t>l1_4_5</t>
  </si>
  <si>
    <t>1.4.5</t>
  </si>
  <si>
    <t>обучение персонала</t>
  </si>
  <si>
    <t>l1_4_6</t>
  </si>
  <si>
    <t>1.4.6</t>
  </si>
  <si>
    <t>страхование производственных объектов</t>
  </si>
  <si>
    <t>l1_4_7</t>
  </si>
  <si>
    <t>1.4.7</t>
  </si>
  <si>
    <t>прочие административные расходы</t>
  </si>
  <si>
    <t>l1_4_7_1</t>
  </si>
  <si>
    <t>1.4.7.1</t>
  </si>
  <si>
    <t>l1_4_7_2</t>
  </si>
  <si>
    <t>1.4.7.2</t>
  </si>
  <si>
    <t>l1_4_7_3</t>
  </si>
  <si>
    <t>1.4.7.3</t>
  </si>
  <si>
    <t>Сбытовые расходы гарантирующих организаций (за исключением указанных в п.2.6)</t>
  </si>
  <si>
    <t>Реагенты до 2020 года</t>
  </si>
  <si>
    <t>P_REAG_2020</t>
  </si>
  <si>
    <t>Операционные расходы по концессионным соглашениям</t>
  </si>
  <si>
    <t>P_OPER_CONC</t>
  </si>
  <si>
    <t>DYN_CONC</t>
  </si>
  <si>
    <t>!== 'не определено'</t>
  </si>
  <si>
    <t>Неподконтрольные расходы</t>
  </si>
  <si>
    <t>P_UNCONTOLL</t>
  </si>
  <si>
    <t>Расходы на оплату товаров (услуг, работ), приобретаемых у других организаций</t>
  </si>
  <si>
    <t>P_SERVICES_2</t>
  </si>
  <si>
    <t>расходы на тепловую энергию</t>
  </si>
  <si>
    <t>2.1.2</t>
  </si>
  <si>
    <t>расходы на теплоноситель</t>
  </si>
  <si>
    <t>2.1.3</t>
  </si>
  <si>
    <t>расходы на транспортировку воды</t>
  </si>
  <si>
    <t>P_TR</t>
  </si>
  <si>
    <t>2.1.4</t>
  </si>
  <si>
    <t>расходы на покупку воды</t>
  </si>
  <si>
    <t>P_WATER</t>
  </si>
  <si>
    <t>2.1.5</t>
  </si>
  <si>
    <t>услуги по горячему водоснабжению</t>
  </si>
  <si>
    <t>l2_1_6</t>
  </si>
  <si>
    <t>2.1.6</t>
  </si>
  <si>
    <t>услуги по приготовлению воды на нужды горячего водоснабжения</t>
  </si>
  <si>
    <t>P_GVS_PREP</t>
  </si>
  <si>
    <t>l2_1_7</t>
  </si>
  <si>
    <t>2.1.7</t>
  </si>
  <si>
    <t>услуги по транспортировке горячей воды</t>
  </si>
  <si>
    <t>P_GVS_TR</t>
  </si>
  <si>
    <t>l2_1_8</t>
  </si>
  <si>
    <t>2.1.8</t>
  </si>
  <si>
    <t>услуги по водоотведению</t>
  </si>
  <si>
    <t>l2_1_9</t>
  </si>
  <si>
    <t>2.1.9</t>
  </si>
  <si>
    <t>услуги по транспортировке сточных вод</t>
  </si>
  <si>
    <t>l2_1_10</t>
  </si>
  <si>
    <t>2.1.10</t>
  </si>
  <si>
    <t>услуги по очистке сточных вод</t>
  </si>
  <si>
    <t>2.1.11</t>
  </si>
  <si>
    <t>расходы на топливо</t>
  </si>
  <si>
    <t>Расходы на реагенты</t>
  </si>
  <si>
    <t>Налоги и сборы и другие обязательные платежи</t>
  </si>
  <si>
    <t>l2_3_1</t>
  </si>
  <si>
    <t>P_TAX_INCOME</t>
  </si>
  <si>
    <t>l2_3_2</t>
  </si>
  <si>
    <t>налог на имущество организаций</t>
  </si>
  <si>
    <t>P_TAX_PROP</t>
  </si>
  <si>
    <t>l2_3_3</t>
  </si>
  <si>
    <t>земельный налог и арендная плата за землю</t>
  </si>
  <si>
    <t>P_TAX_LAND</t>
  </si>
  <si>
    <t>l2_3_4</t>
  </si>
  <si>
    <t>2.3.4</t>
  </si>
  <si>
    <t>водный налог</t>
  </si>
  <si>
    <t>P_TAX_WATER</t>
  </si>
  <si>
    <t>l2_3_5</t>
  </si>
  <si>
    <t>2.3.5</t>
  </si>
  <si>
    <t>плата за пользование водным объектом</t>
  </si>
  <si>
    <t>P_WATER_OBJ</t>
  </si>
  <si>
    <t>l2_3_6</t>
  </si>
  <si>
    <t>2.3.6</t>
  </si>
  <si>
    <t>транспортный налог</t>
  </si>
  <si>
    <t>P_TAX_TRANSP</t>
  </si>
  <si>
    <t>l2_3_7</t>
  </si>
  <si>
    <t>2.3.7</t>
  </si>
  <si>
    <t>плата за негативное воздействие на окружающую среду</t>
  </si>
  <si>
    <t>P_TAX_NEG</t>
  </si>
  <si>
    <t>l2_3_8</t>
  </si>
  <si>
    <t>2.3.8</t>
  </si>
  <si>
    <t>единый налог при УСН</t>
  </si>
  <si>
    <t>2.3.9</t>
  </si>
  <si>
    <t>обязательное страхование, предусмотренное Законодательством РФ</t>
  </si>
  <si>
    <t>P_TAX_INS</t>
  </si>
  <si>
    <t>l2_3_9</t>
  </si>
  <si>
    <t>2.3.10</t>
  </si>
  <si>
    <t>прочие налоги и сборы</t>
  </si>
  <si>
    <t>P_OTHER_TAXES</t>
  </si>
  <si>
    <t>P_SEQ_SYSTEM</t>
  </si>
  <si>
    <t>P_RENT_CONC_LEASE</t>
  </si>
  <si>
    <t>l2_6</t>
  </si>
  <si>
    <t>Сбытовые расходы гарантирующей организации</t>
  </si>
  <si>
    <t>P_SBYT_GO_2</t>
  </si>
  <si>
    <t>l2_6_1</t>
  </si>
  <si>
    <t>2.6.1</t>
  </si>
  <si>
    <t>P_DOUBT_DEBT</t>
  </si>
  <si>
    <t>l2_7</t>
  </si>
  <si>
    <t>P_ECONOMY</t>
  </si>
  <si>
    <t>l2_8</t>
  </si>
  <si>
    <t>2.8</t>
  </si>
  <si>
    <t>l2_9</t>
  </si>
  <si>
    <t>P_EOR_COMP</t>
  </si>
  <si>
    <t>l2_10</t>
  </si>
  <si>
    <t>P_CREDIT_TOTAL</t>
  </si>
  <si>
    <t>l2_10_1</t>
  </si>
  <si>
    <t>2.10.1</t>
  </si>
  <si>
    <t>возврат займов и кредитов</t>
  </si>
  <si>
    <t>l2_10_2</t>
  </si>
  <si>
    <t>2.10.2</t>
  </si>
  <si>
    <t>проценты по займам и кредитам</t>
  </si>
  <si>
    <t>P_CREDIT_PERCENT</t>
  </si>
  <si>
    <t>l2_11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</si>
  <si>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</si>
  <si>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P_CONC_KADASTR</t>
  </si>
  <si>
    <t>ээ</t>
  </si>
  <si>
    <t>Расходы на электрическую энергию</t>
  </si>
  <si>
    <t>Амортизация основных средств и нематериальных активов, относимых к объектам централизованной системы водоснабжения (водоотведения)</t>
  </si>
  <si>
    <t>средства на возврат инвестиционных займов</t>
  </si>
  <si>
    <t>P_NORM_INCOME_INVEST</t>
  </si>
  <si>
    <t>средства на уплату процентов по инвестиционным займам</t>
  </si>
  <si>
    <t>P_LEASE_PERCENT</t>
  </si>
  <si>
    <t>капитальные расходы</t>
  </si>
  <si>
    <t>иные экономически обоснованные расходы на социальные нужды</t>
  </si>
  <si>
    <t>иные экономически обоснованные расходы на социальные нужды в соответствии с пунктом 86 настоящих Методических указаний</t>
  </si>
  <si>
    <t>P_OTHER_EOR</t>
  </si>
  <si>
    <t>Возврат инвестированного капитала</t>
  </si>
  <si>
    <t>P_INVEST_RET</t>
  </si>
  <si>
    <t>Полная величина инвестированного капитала</t>
  </si>
  <si>
    <t>P_INVEST_VOL</t>
  </si>
  <si>
    <t>Срок возврата инвестированного капитала</t>
  </si>
  <si>
    <t>лет</t>
  </si>
  <si>
    <t>P_INVEST_PERIOD</t>
  </si>
  <si>
    <t>Доход на инвестированный капитал</t>
  </si>
  <si>
    <t>P_INVEST_INCOME</t>
  </si>
  <si>
    <t>Первоначальный размер инвестированного капитала</t>
  </si>
  <si>
    <t>P_INVEST_FIRST_PAY</t>
  </si>
  <si>
    <t>Доходность первоначального размера инвестированного капитала</t>
  </si>
  <si>
    <t>P_INVEST_FIRST_INCOME</t>
  </si>
  <si>
    <t>База инвестированного капитала</t>
  </si>
  <si>
    <t>P_INVEST_BASE</t>
  </si>
  <si>
    <t>Чистый оборотный капитал</t>
  </si>
  <si>
    <t>P_INVEST_CLEAN_FUND</t>
  </si>
  <si>
    <t>l5_4_1</t>
  </si>
  <si>
    <t>5.4.1</t>
  </si>
  <si>
    <t>Норматив чистого оборотного капитала</t>
  </si>
  <si>
    <t>P_CLEAN_FUND_NORM</t>
  </si>
  <si>
    <t>Норма доходности</t>
  </si>
  <si>
    <t>P_INCOME_NORM</t>
  </si>
  <si>
    <t>l5_5_1</t>
  </si>
  <si>
    <t>5.5.1</t>
  </si>
  <si>
    <t>Норма доходности нового капитала</t>
  </si>
  <si>
    <t>P_INCOME_NORM_NEW</t>
  </si>
  <si>
    <t>l5_5_2</t>
  </si>
  <si>
    <t>5.5.2</t>
  </si>
  <si>
    <t>Норма доходности старого капитала</t>
  </si>
  <si>
    <t>P_INCOME_NORM_OLD</t>
  </si>
  <si>
    <t>L11</t>
  </si>
  <si>
    <t>l7_0</t>
  </si>
  <si>
    <t>P_NVV_CORR</t>
  </si>
  <si>
    <t>Справочно в том числе:</t>
  </si>
  <si>
    <t>Ввод объектов системы водоснабжения и (или) водоотведения в эксплуатацию и изменение утверждённой инвестиционной программы</t>
  </si>
  <si>
    <t>P_WATER_EXPLOIT</t>
  </si>
  <si>
    <t>L4</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</si>
  <si>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t>
  </si>
  <si>
    <t>P_STEPEN_REG</t>
  </si>
  <si>
    <t>Размер корректировки НВВ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 тарифов</t>
  </si>
  <si>
    <t>P_NVV_PAST</t>
  </si>
  <si>
    <t>L5</t>
  </si>
  <si>
    <t>L6</t>
  </si>
  <si>
    <t>L7</t>
  </si>
  <si>
    <t>P_OTHER_INCOME</t>
  </si>
  <si>
    <t>L8</t>
  </si>
  <si>
    <t>L8_1</t>
  </si>
  <si>
    <t>l15_1</t>
  </si>
  <si>
    <t>L8_2</t>
  </si>
  <si>
    <t>l15_2</t>
  </si>
  <si>
    <t>P_PRE_TIRAL</t>
  </si>
  <si>
    <t>L10</t>
  </si>
  <si>
    <t>Величина сглаживания НВВ</t>
  </si>
  <si>
    <t>P_NVV_SMOOTH</t>
  </si>
  <si>
    <t>% сглаживания НВВ</t>
  </si>
  <si>
    <t>P_NVV_SMOOTH_PERCENT</t>
  </si>
  <si>
    <t>Итого НВВ для расчёта тарифа</t>
  </si>
  <si>
    <t>P_NVV_TARIFF</t>
  </si>
  <si>
    <t>l19_1</t>
  </si>
  <si>
    <t>l19_2</t>
  </si>
  <si>
    <t>l19_3</t>
  </si>
  <si>
    <t>II полугодие: объём реализации (в рамках 2026 г. - с 01.10. по 31.12.)</t>
  </si>
  <si>
    <t>l19_4</t>
  </si>
  <si>
    <t>l19_5</t>
  </si>
  <si>
    <t>l19_6</t>
  </si>
  <si>
    <t>l21</t>
  </si>
  <si>
    <t>l21_1</t>
  </si>
  <si>
    <t>l21_2</t>
  </si>
  <si>
    <t>l21_3</t>
  </si>
  <si>
    <t>l21_4</t>
  </si>
  <si>
    <t>Финансовый результат по данным раздельного учета (указывается фактическая(ий) прибыль / убыток, как результат операционной деятельности организации в бухгалтерском учёте по регулируемому виду деятельности)</t>
  </si>
  <si>
    <t>P_FIN_RESULT</t>
  </si>
  <si>
    <t>{                  _x000D_
         funcDyn: 'msg1',_x000D_
         blok: 'blok_1',_x000D_
         wsCross: 'Калькуляция (МИ корр)',_x000D_
         linkFormula: 'AB-AB',_x000D_
         levelDyn: ''_x000D_
}</t>
  </si>
  <si>
    <t>rePaint</t>
  </si>
  <si>
    <t>{                  _x000D_
         funcDyn: 'msg',_x000D_
         blok: '',_x000D_
         wsCross: '',_x000D_
         linkFormula: '',_x000D_
         levelDyn: '1',_x000D_
        addDynValue: 'det_name|AC|0'_x000D_
}</t>
  </si>
  <si>
    <t>{                  _x000D_
         funcDyn: 'msg1',_x000D_
         blok: 'blok_1',_x000D_
         wsCross: 'ДПР',_x000D_
         linkFormula: 'AB-AB',_x000D_
         levelDyn: ''_x000D_
}</t>
  </si>
  <si>
    <t>checkEE</t>
  </si>
  <si>
    <t>l4_2_1</t>
  </si>
  <si>
    <t>l4_2_2</t>
  </si>
  <si>
    <t>l4_2_3</t>
  </si>
  <si>
    <t>l4_2_4</t>
  </si>
  <si>
    <t>P_BASE</t>
  </si>
  <si>
    <t>P_IND</t>
  </si>
  <si>
    <t>P_NORM</t>
  </si>
  <si>
    <t>P_WATER_LOSS</t>
  </si>
  <si>
    <t>P_EE_TOTAL</t>
  </si>
  <si>
    <t>P_EE_VS_PREP</t>
  </si>
  <si>
    <t>P_EE_VS_TR</t>
  </si>
  <si>
    <t>P_EE_VO_CLEAN</t>
  </si>
  <si>
    <t>P_EE_VO_TR</t>
  </si>
  <si>
    <t>Удельный расход ЭЭ делится по технологическим процессам</t>
  </si>
  <si>
    <t>Год</t>
  </si>
  <si>
    <t>Базовый уровень операционных расходов</t>
  </si>
  <si>
    <t>Нормативный уровень прибыли</t>
  </si>
  <si>
    <t>Показатели энергетической эффективности</t>
  </si>
  <si>
    <t>Удельный расход электрической энергии</t>
  </si>
  <si>
    <t>удельный расход ЭЭ, потребляемой в процессе подготовки воды</t>
  </si>
  <si>
    <t>удельный расход ЭЭ, потребляемой в процессе транспортировки воды</t>
  </si>
  <si>
    <t>удельный расход ЭЭ, потребляемой в процессе очистки сточных вод</t>
  </si>
  <si>
    <t>удельный расход ЭЭ, потребляемой в процессе транспортировки сточных вод</t>
  </si>
  <si>
    <t>кВтч/куб.м</t>
  </si>
  <si>
    <t>check</t>
  </si>
  <si>
    <t>{                  _x000D_
         funcDyn: 'msg1',_x000D_
         blok: 'blok_1',_x000D_
         wsCross: 'ДПР (концессии)',_x000D_
         linkFormula: 'AB-AB',_x000D_
         levelDyn: ''_x000D_
}</t>
  </si>
  <si>
    <t>DYN_DPR</t>
  </si>
  <si>
    <t>{                  _x000D_
         funcDyn: 'msg',_x000D_
         blok: '',_x000D_
         wsCross: '',_x000D_
         linkFormula: '',_x000D_
         levelDyn: '1',_x000D_
         addDynValue: 'det_name|AB|0'_x000D_
}</t>
  </si>
  <si>
    <t>{                  _x000D_
         funcDyn: 'msg1',_x000D_
         blok: 'blok_1',_x000D_
         wsCross: 'ГО',_x000D_
         linkFormula: 'AB-AB',_x000D_
         levelDyn: ''_x000D_
}</t>
  </si>
  <si>
    <t>Величина, принятая органом регулирования</t>
  </si>
  <si>
    <t>расходы на приобретение сырья и материалов и их хранение</t>
  </si>
  <si>
    <t>расходы на оплату труда и страховые взносы на обязательное социальное страхование основного производственного персонала</t>
  </si>
  <si>
    <t>l1_1_3_1</t>
  </si>
  <si>
    <t>1.1.3.1</t>
  </si>
  <si>
    <t>расходы на оплату труда основного производственного персонала</t>
  </si>
  <si>
    <t>l1_1_3_1_1</t>
  </si>
  <si>
    <t>1.1.3.1.1</t>
  </si>
  <si>
    <t>численность персонала основного производственного персонала</t>
  </si>
  <si>
    <t>чел</t>
  </si>
  <si>
    <t>P_PROD_COUNT</t>
  </si>
  <si>
    <t>l1_1_3_1_2</t>
  </si>
  <si>
    <t>1.1.3.1.2</t>
  </si>
  <si>
    <t>средняя заработная плата основного производственного персонала</t>
  </si>
  <si>
    <t>руб./мес</t>
  </si>
  <si>
    <t>P_PROD_AVG</t>
  </si>
  <si>
    <t>l1_1_3_2</t>
  </si>
  <si>
    <t>1.1.3.2</t>
  </si>
  <si>
    <t>страховые взносы на обязательное социальное страхование основного производственного персонала</t>
  </si>
  <si>
    <t>расходы на уплату процентов по займам и кредитам</t>
  </si>
  <si>
    <t>l1_1_5</t>
  </si>
  <si>
    <t>l1_1_6</t>
  </si>
  <si>
    <t>1.1.6</t>
  </si>
  <si>
    <t>прочие производственные расходы:</t>
  </si>
  <si>
    <t>l1_1_6_1</t>
  </si>
  <si>
    <t>1.1.6.1</t>
  </si>
  <si>
    <t>P_AMOR_TRANSP</t>
  </si>
  <si>
    <t>l1_1_6_2</t>
  </si>
  <si>
    <t>1.1.6.2</t>
  </si>
  <si>
    <t>l1_1_6_3</t>
  </si>
  <si>
    <t>1.1.6.3</t>
  </si>
  <si>
    <t>l1_1_6_4</t>
  </si>
  <si>
    <t>1.1.6.4</t>
  </si>
  <si>
    <t>расходы на эксплуатацию, техническое обслуживание и ремонт автотранспорт</t>
  </si>
  <si>
    <t>l1_1_6_5</t>
  </si>
  <si>
    <t>1.1.6.5</t>
  </si>
  <si>
    <t>l1_1_6_6</t>
  </si>
  <si>
    <t>1.1.6.6</t>
  </si>
  <si>
    <t>l1_1_6_7</t>
  </si>
  <si>
    <t>1.1.6.7</t>
  </si>
  <si>
    <t>Ремонтные расходы</t>
  </si>
  <si>
    <t>расходы на текущий ремонт производственных фондов</t>
  </si>
  <si>
    <t>расходы на капитальный ремонт производственных фондов</t>
  </si>
  <si>
    <t>расходы на оплату труда и страховые взносы на обязательное социальное страхование ремонтного персонала</t>
  </si>
  <si>
    <t>l1_2_3_1_1</t>
  </si>
  <si>
    <t>1.2.3.1.1</t>
  </si>
  <si>
    <t>численность персонала ремонтного персонала</t>
  </si>
  <si>
    <t>P_REPAIR_COUNT</t>
  </si>
  <si>
    <t>l1_2_3_1_2</t>
  </si>
  <si>
    <t>1.2.3.1.2</t>
  </si>
  <si>
    <t>средняя заработная плата ремонтного персонала</t>
  </si>
  <si>
    <t>P_REPAIR_AVG</t>
  </si>
  <si>
    <t>l1_3_1_1</t>
  </si>
  <si>
    <t>1.3.1.1</t>
  </si>
  <si>
    <t>l1_3_1_2</t>
  </si>
  <si>
    <t>1.3.1.2</t>
  </si>
  <si>
    <t>l1_3_1_3</t>
  </si>
  <si>
    <t>1.3.1.3</t>
  </si>
  <si>
    <t>l1_3_1_4</t>
  </si>
  <si>
    <t>1.3.1.4</t>
  </si>
  <si>
    <t>l1_3_1_5</t>
  </si>
  <si>
    <t>1.3.1.5</t>
  </si>
  <si>
    <t>расходы на оплату труда и страховые взносы на обязательное социальное страхование административно-управленческого персонала</t>
  </si>
  <si>
    <t>l1_3_2_1</t>
  </si>
  <si>
    <t>1.3.2.1</t>
  </si>
  <si>
    <t>l1_3_2_1_1</t>
  </si>
  <si>
    <t>1.3.2.1.1</t>
  </si>
  <si>
    <t>численность административно-управленческого персонала</t>
  </si>
  <si>
    <t>P_ADM_COUNT</t>
  </si>
  <si>
    <t>l1_3_2_1_2</t>
  </si>
  <si>
    <t>1.3.2.1.2</t>
  </si>
  <si>
    <t>средняя заработная плата административно-управленческого персонала</t>
  </si>
  <si>
    <t>P_ADM_AVG</t>
  </si>
  <si>
    <t>l1_3_2_2</t>
  </si>
  <si>
    <t>1.3.2.2</t>
  </si>
  <si>
    <t>Арендная плата, лизинговые платежи, не связанные с арендой (лизингом) основных производственных фондов</t>
  </si>
  <si>
    <t>l1_3_4</t>
  </si>
  <si>
    <t>1.3.4</t>
  </si>
  <si>
    <t>l1_3_5</t>
  </si>
  <si>
    <t>1.3.5</t>
  </si>
  <si>
    <t>l1_3_6</t>
  </si>
  <si>
    <t>1.3.6</t>
  </si>
  <si>
    <t>Страхование производственных_x000D_
объектов</t>
  </si>
  <si>
    <t>l1_3_7</t>
  </si>
  <si>
    <t>1.3.7</t>
  </si>
  <si>
    <t>Прочие административные расходы</t>
  </si>
  <si>
    <t>l1_3_7_1</t>
  </si>
  <si>
    <t>1.3.7.1</t>
  </si>
  <si>
    <t>Расходы на амортизацию непроизводственных активов</t>
  </si>
  <si>
    <t>l1_3_7_2</t>
  </si>
  <si>
    <t>1.3.7.2</t>
  </si>
  <si>
    <t>Расходы по охране объектов и территорий</t>
  </si>
  <si>
    <t>l1_3_7_3</t>
  </si>
  <si>
    <t>1.3.7.3</t>
  </si>
  <si>
    <t>Прочие операционные расходы</t>
  </si>
  <si>
    <t>P_OPER_EXTRA</t>
  </si>
  <si>
    <t>DYN_OPER</t>
  </si>
  <si>
    <t>P_UNCONTROLL</t>
  </si>
  <si>
    <t>P_OTHER_EXP_TE</t>
  </si>
  <si>
    <t>P_OTHER_EXP_TN</t>
  </si>
  <si>
    <t>P_OTHER_EXP_TRANSP_WATER</t>
  </si>
  <si>
    <t>P_OTHER_EXP_WATER</t>
  </si>
  <si>
    <t>P_OTHER_EXP_GVS</t>
  </si>
  <si>
    <t>P_OTHER_EXP_GVS_PREP</t>
  </si>
  <si>
    <t>P_OTHER_EXP_GVS_TRANSP</t>
  </si>
  <si>
    <t>P_OTHER_EXP_VO</t>
  </si>
  <si>
    <t>P_OTHER_EXP_TRANSP_STOCK</t>
  </si>
  <si>
    <t>P_OTHER_EXP_WATER_CLEAN</t>
  </si>
  <si>
    <t>P_OTHER_EXP_FUEL</t>
  </si>
  <si>
    <t>P_REAGENTS</t>
  </si>
  <si>
    <t>Налоги и сборы</t>
  </si>
  <si>
    <t>Налог на имущество организаций</t>
  </si>
  <si>
    <t>l2_2_3</t>
  </si>
  <si>
    <t>Земельный налог</t>
  </si>
  <si>
    <t>l2_2_4</t>
  </si>
  <si>
    <t>l2_2_5</t>
  </si>
  <si>
    <t>l2_2_6</t>
  </si>
  <si>
    <t>Единый налог при УСН</t>
  </si>
  <si>
    <t>P_INSURANCE</t>
  </si>
  <si>
    <t>l2_2_8</t>
  </si>
  <si>
    <t>l2_8_1</t>
  </si>
  <si>
    <t>Возврат займов и кредитов</t>
  </si>
  <si>
    <t>l2_8_2</t>
  </si>
  <si>
    <t>2.6.2</t>
  </si>
  <si>
    <t>Проценты по займам и кредитам (на обслуживание займов и кредитов, привлекаемых на пополнение оборотных средств)</t>
  </si>
  <si>
    <t>P_ECO_EXP</t>
  </si>
  <si>
    <t>l2_12</t>
  </si>
  <si>
    <t>Расходы на оплату услуг банков</t>
  </si>
  <si>
    <t>P_BANKS</t>
  </si>
  <si>
    <t>P_CONC_KADR</t>
  </si>
  <si>
    <t>l2_13</t>
  </si>
  <si>
    <t>2.12</t>
  </si>
  <si>
    <t>Прочие неподконтрольные расходы</t>
  </si>
  <si>
    <t>P_UNCONTROLL_EXTRA</t>
  </si>
  <si>
    <t>DYN_UNC</t>
  </si>
  <si>
    <t>{                  _x000D_
         funcDyn: 'msg1',_x000D_
         blok: 'blok_1',_x000D_
         wsCross: 'Калькуляция (МСА)',_x000D_
         linkFormula: 'AB-AB',_x000D_
         levelDyn: ''_x000D_
}</t>
  </si>
  <si>
    <t>Текущие расходы гарантирующей организации на транспортировку воды (сточных вод) по соответствующей централизованной системе водоснабжения и (или) водоотведения определяются согласно п. 37, с учетом положений главы VI.I Методических указаний ФСТ № 1746-э.</t>
  </si>
  <si>
    <t>ТЕКУЩИЕ РАСХОДЫ ГАРАНТИРУЮЩЕЙ ОРГАНИЗАЦИИ (АО "СУЭК-Кузбасс") НА ТРАНСПОРТИРОВКУ СТОЧНЫХ ВОД   определены  регулирующим органом, исходя из утвержденной плановой сметы расзодов по ВОДООТВЕДЕНИЮ на 2026 год для данной организации, с учетом корректировок, предусмотренных  пунктом 37 Методических указаний № 1746-э.</t>
  </si>
  <si>
    <t>Общая величина плановых затрат АО "СУЭК-Кузбасс"  по ВОДООТВЕДЕНИЮ на 2026 год составляет 4442,07 тыс. руб., в том числе: реагенты - 15,51 тыс. руб., материалы и запчасти - 56,63 тыс. руб., затраты на покупную электрическую энергию - 457,50 тыс. руб., затраты на покупную тепловую энергию - 171,66 тыс. руб., услуги по транспортировке сточных вод - 82,12 тыс. руб., покупка питьевой воды- 70,08 тыс. руб.,   расходы на оплату труда основного производственного персонала - 2517,40 тыс. руб. (при численности 9,0 чел.)</t>
  </si>
  <si>
    <t xml:space="preserve">отчисления на социальные нужды - 760,25 тыс. руб., лабораторные исследования качества сточных вод - 61,44 тыс. руб., ГСМ - 20,04 тыс. руб., экологический мониторинг - 186,71 тыс. руб., вывоз и утилизация отходов - 6,09 тыс. руб., спецодежда - 70,65 тыс. руб., текущий ремонт основных средств - 446,67 тыс. руб.,  услуги расчетно-кассовых центров - 11,68 тыс. руб., амортизация основных средств - 89,53 тыс. руб., ,плата за негативное воздействие на окружающую среду - 2,03 тыс. руб., налог на землю - 12,59 тыс. руб., налог на имущество - 12,69 тыс. руб., корректировки НВВ - (-609,21 ) тыс. руб. </t>
  </si>
  <si>
    <t>В процессе экспертизы специалистом РЭК Кузбасса  ТЕКУЩИЕ РАСХОДЫ ГАРАНТА НА ТРАНСПОРТИРОВКУ  определены в размере 634,44 тыс. руб./год следующим образом:</t>
  </si>
  <si>
    <t xml:space="preserve">1) ФОТ  основного производственного персонала определен, исходя из  указанного размера средней заработной платы (23309,26 руб./чел./мес.) и  нормативной численности 1,47 чел.,  определенной  на основании   пункта 11 (12)  (Таблица 28)  "Типовых отраслевых нормах численности работников водопроводно-канализационного хозяйства" (утверждены Приказом Минстроя России от 23.03.2020 N 154/пр):                   3 чел. / 10 км * 4,915 км = 1,47 чел. </t>
  </si>
  <si>
    <t xml:space="preserve">2) отчисления на социальные нужды - в размере 30,2% от расчетного ФОТ; </t>
  </si>
  <si>
    <t xml:space="preserve">3)  Затраты на материалы и запчасти (9,25 тыс. руб.), ГСМ (3,27 тыс. руб.), спецодежду (11,54 тыс. руб.), текущий ремонт (72,96 тыс. руб.) и налог на имущество (2,07 тыс. руб)  определены в размере 16,33% от соответствующих плановых затрат по каждой статье  - пропорционально  нормативной численности  персонала,  обслуживающего  канализационную сеть протяженностью 4,9 км (1,47 чел. / 9,0 чел. = 0,1633). </t>
  </si>
  <si>
    <t>Затраты на Реагенты, покупную тепловую энергию (отапливаются хлораторная, насосная станция и песколовка Очистных сооружений),  лабораторные исследования качества сточных вод, экологический мониторинг, вывоз и утилизацию отходов, а также налог на землю (участок занят насосной станцией, хлораторной, песколовкой и трансформаторной) - ИСКЛЮЧЕНЫ как НЕ ОТНОСЯЩИЕСЯ К ТЕХНОЛОГИЧЕСКОЙ СТАДИИ  ПРОИЗВОДСТВА "ТРАНСПОРТИРОВКА СТОЧНЫХ ВОД".</t>
  </si>
  <si>
    <t>Затраты на ПОКУПНУЮ ЭЛЕКТРОЭНЕРГИЮ ИСКЛЮЧЕНЫ в связи с тем, что  в границах зоны обслуживания  "Ул. Техническая, ул. Токарева" НЕ ИМЕЕТСЯ  КАНАЛИЗАЦИОННЫХ НАСОСНЫХ СТАНЦИЙ и иных энергопотребляющих объектов (п. 35 Методических указаний ФСТ России № 1746-э).</t>
  </si>
  <si>
    <t>Прочие затраты  (услуги по транспортировке сточных вод , покупка питьевой воды,  услуги расчетно-кассового центра,  амортизация основных средств,  плата за негативное воздействие на окружающую среду) ИСКЛЮЧЕНЫ на основании  п. 37,  п. 43 с  Методических указаний ФСТ № 1746-э.</t>
  </si>
  <si>
    <t>Необходимая валовая выручка транзитной организации</t>
  </si>
  <si>
    <t>P_NVV_TRANZ</t>
  </si>
  <si>
    <t>УТР</t>
  </si>
  <si>
    <t>P_UD_EXP_GO</t>
  </si>
  <si>
    <t>текущие расходы ГО, отнесенные на вид деятельности по транспортировке воды/сточных вод</t>
  </si>
  <si>
    <t>P_CURR_EXP_GO</t>
  </si>
  <si>
    <t xml:space="preserve">в т.ч. расходы на электрическую энергию* </t>
  </si>
  <si>
    <t>P_PRICE_IND_LAST</t>
  </si>
  <si>
    <t>P_PRICE_IND_CURR</t>
  </si>
  <si>
    <t>протяженность сети ГО, определенная в сопоставимых величинах</t>
  </si>
  <si>
    <t>P_GO_LENGTH</t>
  </si>
  <si>
    <t>Протяженность сети транзитной организации</t>
  </si>
  <si>
    <t>P_TRANZ_LENGTH</t>
  </si>
  <si>
    <t xml:space="preserve">фактическая протяженность сетей </t>
  </si>
  <si>
    <t>P_LENGTH_FACT</t>
  </si>
  <si>
    <t>Нормативный уровень расходов на амортизацию</t>
  </si>
  <si>
    <t>P_AMOR_NORM_EXP</t>
  </si>
  <si>
    <t>норматив амортизации</t>
  </si>
  <si>
    <t>P_AMOR_NORM</t>
  </si>
  <si>
    <t>Объем транспортируемой холодной воды / сточных вод</t>
  </si>
  <si>
    <t>тыс.м3</t>
  </si>
  <si>
    <t>1 полугодие (в рамках 2026 г. - с 01.01. по 30.09.)</t>
  </si>
  <si>
    <t>P_VOL_1</t>
  </si>
  <si>
    <t>2 полугодие (в рамках 2026 г. - с 01.10. по 31.12.)</t>
  </si>
  <si>
    <t>P_VOL_2</t>
  </si>
  <si>
    <t>Среднегодовой тариф</t>
  </si>
  <si>
    <t>6.1.1</t>
  </si>
  <si>
    <t>Тариф с 1.01 по 30.06 (в рамках 2026 г. - с 01.01. по 30.09.)</t>
  </si>
  <si>
    <t>P_AVG_1</t>
  </si>
  <si>
    <t>6.1.2</t>
  </si>
  <si>
    <t>Тариф с 1.07 по 31.12 (в рамках 2026 г. - с 01.10. по 31.12.)</t>
  </si>
  <si>
    <t>P_AVG_2</t>
  </si>
  <si>
    <t xml:space="preserve">Темп рост тарифа </t>
  </si>
  <si>
    <t>P_GROW</t>
  </si>
  <si>
    <t>{                  _x000D_
         funcDyn: 'msg1',_x000D_
         blok: '',_x000D_
         wsCross: '',_x000D_
         linkFormula: '',_x000D_
         levelDyn: ''_x000D_
}</t>
  </si>
  <si>
    <t>* - не учитываются в текущих расходах ГО в случае, если ТО не владеет на законных основаниях насосными станциями, канализационными насосными станциями, насосным оборудованием, иным оборудованием, потребляющим электрическую энергию, затрачиваемую в технологическом процессе транспортировки воды и (или) транспортировки сточных вод</t>
  </si>
  <si>
    <t>П. 35 Методических указаний ФСТ № 176-э: При установлении тарифов с применением метода сравнения аналогов величина необходимой валовой выручки регулируемой организации на очередной период регулирования рассчитывается по формулам (2), (2.1), (2.2).</t>
  </si>
  <si>
    <t xml:space="preserve">В границах зоны обслуживания  "Ул. Техническая, ул. Токарева"  КАНАЛИЗАЦИОННЫХ НАСОСНЫХ СТАНЦИЙ и иных энергопотребляющих объектов НЕ ИМЕЕТСЯ. </t>
  </si>
  <si>
    <t>Индексы потребительских цен (ИПЦ) на 2025 и 2026 годы определены в соответствии с основными параметрами базового варианта "Прогноза социально-экономического развития Российской Федерации на 2026 год и на плановый период 2027 и 2028 годов", опубликованному на официальном сайте Минэкономразвития России 26.09.2025.</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</si>
  <si>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</si>
  <si>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</si>
  <si>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</si>
  <si>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</si>
  <si>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</si>
  <si>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</si>
  <si>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</si>
  <si>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</si>
  <si>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</si>
  <si>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</si>
  <si>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</si>
  <si>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</si>
  <si>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</si>
  <si>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</si>
  <si>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</si>
  <si>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</si>
  <si>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</si>
  <si>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</si>
  <si>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</si>
  <si>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</si>
  <si>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</si>
  <si>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</si>
  <si>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</si>
  <si>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</si>
  <si>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</si>
  <si>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</si>
  <si>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</si>
  <si>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</si>
  <si>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</si>
  <si>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</si>
  <si>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</si>
  <si>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</si>
  <si>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</si>
  <si>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</si>
  <si>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</si>
  <si>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</si>
  <si>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</si>
  <si>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</si>
  <si>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</si>
  <si>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</si>
  <si>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</si>
  <si>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</si>
  <si>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</si>
  <si>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</si>
  <si>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</si>
  <si>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</si>
  <si>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</si>
  <si>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</si>
  <si>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</si>
  <si>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</si>
  <si>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</si>
  <si>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</si>
  <si>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</si>
  <si>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</si>
  <si>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</si>
  <si>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</si>
  <si>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</si>
  <si>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</si>
  <si>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</si>
  <si>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</si>
  <si>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</si>
  <si>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</si>
  <si>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</si>
  <si>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</si>
  <si>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</si>
  <si>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</si>
  <si>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</si>
  <si>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</si>
  <si>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</si>
  <si>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</si>
  <si>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</si>
  <si>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</si>
  <si>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</si>
  <si>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</si>
  <si>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</si>
  <si>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</si>
  <si>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</si>
  <si>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</si>
  <si>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</si>
  <si>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</si>
  <si>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</si>
  <si>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</si>
  <si>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</si>
  <si>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</si>
  <si>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</si>
  <si>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</si>
  <si>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</si>
  <si>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</si>
  <si>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</si>
  <si>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</si>
  <si>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</si>
  <si>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</si>
  <si>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</si>
  <si>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</si>
  <si>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</si>
  <si>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</si>
  <si>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</si>
  <si>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</si>
  <si>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</si>
  <si>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</si>
  <si>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</si>
  <si>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</si>
  <si>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</si>
  <si>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</si>
  <si>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</si>
  <si>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</si>
  <si>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</si>
  <si>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</si>
  <si>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</si>
  <si>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</si>
  <si>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</si>
  <si>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</si>
  <si>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</si>
  <si>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</si>
  <si>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</si>
  <si>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</si>
  <si>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</si>
  <si>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</si>
  <si>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</si>
  <si>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</si>
  <si>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</si>
  <si>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</si>
  <si>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</si>
  <si>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</si>
  <si>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</si>
  <si>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</si>
  <si>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</si>
  <si>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</si>
  <si>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</si>
  <si>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</si>
  <si>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</si>
  <si>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</si>
  <si>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</si>
  <si>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</si>
  <si>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</si>
  <si>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</si>
  <si>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</si>
  <si>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</si>
  <si>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</si>
  <si>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</si>
  <si>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</si>
  <si>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</si>
  <si>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</si>
  <si>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</si>
  <si>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</si>
  <si>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</si>
  <si>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</si>
  <si>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</si>
  <si>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</si>
  <si>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</si>
  <si>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</si>
  <si>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</si>
  <si>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</si>
  <si>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</si>
  <si>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</si>
  <si>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</si>
  <si>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</si>
  <si>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</si>
  <si>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</si>
  <si>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</si>
  <si>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</si>
  <si>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</si>
  <si>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</si>
  <si>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</si>
  <si>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</si>
  <si>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</si>
  <si>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</si>
  <si>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</si>
  <si>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</si>
  <si>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</si>
  <si>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</si>
  <si>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</si>
  <si>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</si>
  <si>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</si>
  <si>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</si>
  <si>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</si>
  <si>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</si>
  <si>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</si>
  <si>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</si>
  <si>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</si>
  <si>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</si>
  <si>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</si>
  <si>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</si>
  <si>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</si>
  <si>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</si>
  <si>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</si>
  <si>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</si>
  <si>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</si>
  <si>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</si>
  <si>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</si>
  <si>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</si>
  <si>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</si>
  <si>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</si>
  <si>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</si>
  <si>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</si>
  <si>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</si>
  <si>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</si>
  <si>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</si>
  <si>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</si>
  <si>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</si>
  <si>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</si>
  <si>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</si>
  <si>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</si>
  <si>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</si>
  <si>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</si>
  <si>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</si>
  <si>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</si>
  <si>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</si>
  <si>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</si>
  <si>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</si>
  <si>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</si>
  <si>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</si>
  <si>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</si>
  <si>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</si>
  <si>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</si>
  <si>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</si>
  <si>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</si>
  <si>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</si>
  <si>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</si>
  <si>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</si>
  <si>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</si>
  <si>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</si>
  <si>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</si>
  <si>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</si>
  <si>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</si>
  <si>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</si>
  <si>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</si>
  <si>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</si>
  <si>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</si>
  <si>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</si>
  <si>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</si>
  <si>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</si>
  <si>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</si>
  <si>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</si>
  <si>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</si>
  <si>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</si>
  <si>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</si>
  <si>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</si>
  <si>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</si>
  <si>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</si>
  <si>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</si>
  <si>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</si>
  <si>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</si>
  <si>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</si>
  <si>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</si>
  <si>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</si>
  <si>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</si>
  <si>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</si>
  <si>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</si>
  <si>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</si>
  <si>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</si>
  <si>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</si>
  <si>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</si>
  <si>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</si>
  <si>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</si>
  <si>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</si>
  <si>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</si>
  <si>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</si>
  <si>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</si>
  <si>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</si>
  <si>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</si>
  <si>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</si>
  <si>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</si>
  <si>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</si>
  <si>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</si>
  <si>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</si>
  <si>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</si>
  <si>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</si>
  <si>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</si>
  <si>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</si>
  <si>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</si>
  <si>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</si>
  <si>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</si>
  <si>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</si>
  <si>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</si>
  <si>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</si>
  <si>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</si>
  <si>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</si>
  <si>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</si>
  <si>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</si>
  <si>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</si>
  <si>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</si>
  <si>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</si>
  <si>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</si>
  <si>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</si>
  <si>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</si>
  <si>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</si>
  <si>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</si>
  <si>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</si>
  <si>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</si>
  <si>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</si>
  <si>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</si>
  <si>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</si>
  <si>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</si>
  <si>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</si>
  <si>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</si>
  <si>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</si>
  <si>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</si>
  <si>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</si>
  <si>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</si>
  <si>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</si>
  <si>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</si>
  <si>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</si>
  <si>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</si>
  <si>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</si>
  <si>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</si>
  <si>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</si>
  <si>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</si>
  <si>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</si>
  <si>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</si>
  <si>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</si>
  <si>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</si>
  <si>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</si>
  <si>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</si>
  <si>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</si>
  <si>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</si>
  <si>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</si>
  <si>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</si>
  <si>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</si>
  <si>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</si>
  <si>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</si>
  <si>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</si>
  <si>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</si>
  <si>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</si>
  <si>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</si>
  <si>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</si>
  <si>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</si>
  <si>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</si>
  <si>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</si>
  <si>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</si>
  <si>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</si>
  <si>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</si>
  <si>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</si>
  <si>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</si>
  <si>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</si>
  <si>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</si>
  <si>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</si>
  <si>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</si>
  <si>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</si>
  <si>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</si>
  <si>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</si>
  <si>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</si>
  <si>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</si>
  <si>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</si>
  <si>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</si>
  <si>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</si>
  <si>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</si>
  <si>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</si>
  <si>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</si>
  <si>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</si>
  <si>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</si>
  <si>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</si>
  <si>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</si>
  <si>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</si>
  <si>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</si>
  <si>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</si>
  <si>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</si>
  <si>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</si>
  <si>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</si>
  <si>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</si>
  <si>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</si>
  <si>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</si>
  <si>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</si>
  <si>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</si>
  <si>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</si>
  <si>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</si>
  <si>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</si>
  <si>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</si>
  <si>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</si>
  <si>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</si>
  <si>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</si>
  <si>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</si>
  <si>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</si>
  <si>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</si>
  <si>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</si>
  <si>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</si>
  <si>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</si>
  <si>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</si>
  <si>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</si>
  <si>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</si>
  <si>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</si>
  <si>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</si>
  <si>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</si>
  <si>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</si>
  <si>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</si>
  <si>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</si>
  <si>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</si>
  <si>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</si>
  <si>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</si>
  <si>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</si>
  <si>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</si>
  <si>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</si>
  <si>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</si>
  <si>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</si>
  <si>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</si>
  <si>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</si>
  <si>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</si>
  <si>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</si>
  <si>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</si>
  <si>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</si>
  <si>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</si>
  <si>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</si>
  <si>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</si>
  <si>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</si>
  <si>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</si>
  <si>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</si>
  <si>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</si>
  <si>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</si>
  <si>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</si>
  <si>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</si>
  <si>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</si>
  <si>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</si>
  <si>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</si>
  <si>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</si>
  <si>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</si>
  <si>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</si>
  <si>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</si>
  <si>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</si>
  <si>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</si>
  <si>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</si>
  <si>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</si>
  <si>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</si>
  <si>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</si>
  <si>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</si>
  <si>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</si>
  <si>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</si>
  <si>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</si>
  <si>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</si>
  <si>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</si>
  <si>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</si>
  <si>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</si>
  <si>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</si>
  <si>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</si>
  <si>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</si>
  <si>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</si>
  <si>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</si>
  <si>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</si>
  <si>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</si>
  <si>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</si>
  <si>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</si>
  <si>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</si>
  <si>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</si>
  <si>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</si>
  <si>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</si>
  <si>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</si>
  <si>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</si>
  <si>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</si>
  <si>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</si>
  <si>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</si>
  <si>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</si>
  <si>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</si>
  <si>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</si>
  <si>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</si>
  <si>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</si>
  <si>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</si>
  <si>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</si>
  <si>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</si>
  <si>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</si>
  <si>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</si>
  <si>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</si>
  <si>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</si>
  <si>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</si>
  <si>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</si>
  <si>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</si>
  <si>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</si>
  <si>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</si>
  <si>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</si>
  <si>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</si>
  <si>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</si>
  <si>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</si>
  <si>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</si>
  <si>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</si>
  <si>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</si>
  <si>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</si>
  <si>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</si>
  <si>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</si>
  <si>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</si>
  <si>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</si>
  <si>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</si>
  <si>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</si>
  <si>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</si>
  <si>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</si>
  <si>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</si>
  <si>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</si>
  <si>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</si>
  <si>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</si>
  <si>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</si>
  <si>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</si>
  <si>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</si>
  <si>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</si>
  <si>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</si>
  <si>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</si>
  <si>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</si>
  <si>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</si>
  <si>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</si>
  <si>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</si>
  <si>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</si>
  <si>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</si>
  <si>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</si>
  <si>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</si>
  <si>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</si>
  <si>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</si>
  <si>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</si>
  <si>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</si>
  <si>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</si>
  <si>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</si>
  <si>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</si>
  <si>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</si>
  <si>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</si>
  <si>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</si>
  <si>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</si>
  <si>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</si>
  <si>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</si>
  <si>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</si>
  <si>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</si>
  <si>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</si>
  <si>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</si>
  <si>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</si>
  <si>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</si>
  <si>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</si>
  <si>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</si>
  <si>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</si>
  <si>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</si>
  <si>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</si>
  <si>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</si>
  <si>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</si>
  <si>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</si>
  <si>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</si>
  <si>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</si>
  <si>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</si>
  <si>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</si>
  <si>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</si>
  <si>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</si>
  <si>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</si>
  <si>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</si>
  <si>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</si>
  <si>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</si>
  <si>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</si>
  <si>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</si>
  <si>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</si>
  <si>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</si>
  <si>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</si>
  <si>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</si>
  <si>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</si>
  <si>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</si>
  <si>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</si>
  <si>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</si>
  <si>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</si>
  <si>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</si>
  <si>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</si>
  <si>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</si>
  <si>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</si>
  <si>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</si>
  <si>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</si>
  <si>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</si>
  <si>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</si>
  <si>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</si>
  <si>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</si>
  <si>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</si>
  <si>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</si>
  <si>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</si>
  <si>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</si>
  <si>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</si>
  <si>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</si>
  <si>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</si>
  <si>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</si>
  <si>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</si>
  <si>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</si>
  <si>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</si>
  <si>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</si>
  <si>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</si>
  <si>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</si>
  <si>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</si>
  <si>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</si>
  <si>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</si>
  <si>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</si>
  <si>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</si>
  <si>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</si>
  <si>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</si>
  <si>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</si>
  <si>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</si>
  <si>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</si>
  <si>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</si>
  <si>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</si>
  <si>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</si>
  <si>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</si>
  <si>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</si>
  <si>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</si>
  <si>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</si>
  <si>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</si>
  <si>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</si>
  <si>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</si>
  <si>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</si>
  <si>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</si>
  <si>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</si>
  <si>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</si>
  <si>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</si>
  <si>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</si>
  <si>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</si>
  <si>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</si>
  <si>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</si>
  <si>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</si>
  <si>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</si>
  <si>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</si>
  <si>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</si>
  <si>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</si>
  <si>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</si>
  <si>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</si>
  <si>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</si>
  <si>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</si>
  <si>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</si>
  <si>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</si>
  <si>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</si>
  <si>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</si>
  <si>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</si>
  <si>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</si>
  <si>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</si>
  <si>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</si>
  <si>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</si>
  <si>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</si>
  <si>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</si>
  <si>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</si>
  <si>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</si>
  <si>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</si>
  <si>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</si>
  <si>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</si>
  <si>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</si>
  <si>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</si>
  <si>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</si>
  <si>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</si>
  <si>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</si>
  <si>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</si>
  <si>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</si>
  <si>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</si>
  <si>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</si>
  <si>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</si>
  <si>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</si>
  <si>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</si>
  <si>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</si>
  <si>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</si>
  <si>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</si>
  <si>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</si>
  <si>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</si>
  <si>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</si>
  <si>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</si>
  <si>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</si>
  <si>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</si>
  <si>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</si>
  <si>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</si>
  <si>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</si>
  <si>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</si>
  <si>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</si>
  <si>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</si>
  <si>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</si>
  <si>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</si>
  <si>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</si>
  <si>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</si>
  <si>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</si>
  <si>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</si>
  <si>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</si>
  <si>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</si>
  <si>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</si>
  <si>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</si>
  <si>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</si>
  <si>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</si>
  <si>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</si>
  <si>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</si>
  <si>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</si>
  <si>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</si>
  <si>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</si>
  <si>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</si>
  <si>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</si>
  <si>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</si>
  <si>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</si>
  <si>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</si>
  <si>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</si>
  <si>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</si>
  <si>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</si>
  <si>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</si>
  <si>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</si>
  <si>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</si>
  <si>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</si>
  <si>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</si>
  <si>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</si>
  <si>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</si>
  <si>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</si>
  <si>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</si>
  <si>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</si>
  <si>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</si>
  <si>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</si>
  <si>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</si>
  <si>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</si>
  <si>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</si>
  <si>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</si>
  <si>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</si>
  <si>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</si>
  <si>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</si>
  <si>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</si>
  <si>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</si>
  <si>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</si>
  <si>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</si>
  <si>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</si>
  <si>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</si>
  <si>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</si>
  <si>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</si>
  <si>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</si>
  <si>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</si>
  <si>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</si>
  <si>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</si>
  <si>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</si>
  <si>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</si>
  <si>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</si>
  <si>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</si>
  <si>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</si>
  <si>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</si>
  <si>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</si>
  <si>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</si>
  <si>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</si>
  <si>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</si>
  <si>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</si>
  <si>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</si>
  <si>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</si>
  <si>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</si>
  <si>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</si>
  <si>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</si>
  <si>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</si>
  <si>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</si>
  <si>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</si>
  <si>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</si>
  <si>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</si>
  <si>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</si>
  <si>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</si>
  <si>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</si>
  <si>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</si>
  <si>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</si>
  <si>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</si>
  <si>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</si>
  <si>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</si>
  <si>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</si>
  <si>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</si>
  <si>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</si>
  <si>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</si>
  <si>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</si>
  <si>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</si>
  <si>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</si>
  <si>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</si>
  <si>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</si>
  <si>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</si>
  <si>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</si>
  <si>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</si>
  <si>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</si>
  <si>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</si>
  <si>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</si>
  <si>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</si>
  <si>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</si>
  <si>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</si>
  <si>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</si>
  <si>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</si>
  <si>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</si>
  <si>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</si>
  <si>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</si>
  <si>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</si>
  <si>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</si>
  <si>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</si>
  <si>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</si>
  <si>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</si>
  <si>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</si>
  <si>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</si>
  <si>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</si>
  <si>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</si>
  <si>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</si>
  <si>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</si>
  <si>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</si>
  <si>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</si>
  <si>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</si>
  <si>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</si>
  <si>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</si>
  <si>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</si>
  <si>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</si>
  <si>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</si>
  <si>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</si>
  <si>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</si>
  <si>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</si>
  <si>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(384-2)36-26-83</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</si>
  <si>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</si>
  <si>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</si>
  <si>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</si>
  <si>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</si>
  <si>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</si>
  <si>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</si>
  <si>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</si>
  <si>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</si>
  <si>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</si>
  <si>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</si>
  <si>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</si>
  <si>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</si>
  <si>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</si>
  <si>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</si>
  <si>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</si>
  <si>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</si>
  <si>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</si>
  <si>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</si>
  <si>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</si>
  <si>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</si>
  <si>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</si>
  <si>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</si>
  <si>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</si>
  <si>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</si>
  <si>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</si>
  <si>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</si>
  <si>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</si>
  <si>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</si>
  <si>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</si>
  <si>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</si>
  <si>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</si>
  <si>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</si>
  <si>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</si>
  <si>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</si>
  <si>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</si>
  <si>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</si>
  <si>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</si>
  <si>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</si>
  <si>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</si>
  <si>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</si>
  <si>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</si>
  <si>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</si>
  <si>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</si>
  <si>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</si>
  <si>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</si>
  <si>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</si>
  <si>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</si>
  <si>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</si>
  <si>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</si>
  <si>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</si>
  <si>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</si>
  <si>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</si>
  <si>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</si>
  <si>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</si>
  <si>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</si>
  <si>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</si>
  <si>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</si>
  <si>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</si>
  <si>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</si>
  <si>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</si>
  <si>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</si>
  <si>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</si>
  <si>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</si>
  <si>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</si>
  <si>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</si>
  <si>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</si>
  <si>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</si>
  <si>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</si>
  <si>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</si>
  <si>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</si>
  <si>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</si>
  <si>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</si>
  <si>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</si>
  <si>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</si>
  <si>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</si>
  <si>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</si>
  <si>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</si>
  <si>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</si>
  <si>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</si>
  <si>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</si>
  <si>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</si>
  <si>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</si>
  <si>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</si>
  <si>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</si>
  <si>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</si>
  <si>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</si>
  <si>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</si>
  <si>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</si>
  <si>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</si>
  <si>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</si>
  <si>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</si>
  <si>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</si>
  <si>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</si>
  <si>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</si>
  <si>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</si>
  <si>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</si>
  <si>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</si>
  <si>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</si>
  <si>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</si>
  <si>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</si>
  <si>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</si>
  <si>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</si>
  <si>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</si>
  <si>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</si>
  <si>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</si>
  <si>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</si>
  <si>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</si>
  <si>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</si>
  <si>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</si>
  <si>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</si>
  <si>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</si>
  <si>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</si>
  <si>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</si>
  <si>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</si>
  <si>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</si>
  <si>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</si>
  <si>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</si>
  <si>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</si>
  <si>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</si>
  <si>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</si>
  <si>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</si>
  <si>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</si>
  <si>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</si>
  <si>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</si>
  <si>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</si>
  <si>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</si>
  <si>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</si>
  <si>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</si>
  <si>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</si>
  <si>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</si>
  <si>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</si>
  <si>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</si>
  <si>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</si>
  <si>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</si>
  <si>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</si>
  <si>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</si>
  <si>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</si>
  <si>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</si>
  <si>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</si>
  <si>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</si>
  <si>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</si>
  <si>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</si>
  <si>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</si>
  <si>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</si>
  <si>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</si>
  <si>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</si>
  <si>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</si>
  <si>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</si>
  <si>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</si>
  <si>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</si>
  <si>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</si>
  <si>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</si>
  <si>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</si>
  <si>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</si>
  <si>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</si>
  <si>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</si>
  <si>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</si>
  <si>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</si>
  <si>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</si>
  <si>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</si>
  <si>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</si>
  <si>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</si>
  <si>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</si>
  <si>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</si>
  <si>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</si>
  <si>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</si>
  <si>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</si>
  <si>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</si>
  <si>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</si>
  <si>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</si>
  <si>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</si>
  <si>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</si>
  <si>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</si>
  <si>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</si>
  <si>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</si>
  <si>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</si>
  <si>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</si>
  <si>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</si>
  <si>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</si>
  <si>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</si>
  <si>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</si>
  <si>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</si>
  <si>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</si>
  <si>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</si>
  <si>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</si>
  <si>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</si>
  <si>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</si>
  <si>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</si>
  <si>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</si>
  <si>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</si>
  <si>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</si>
  <si>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</si>
  <si>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</si>
  <si>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</si>
  <si>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</si>
  <si>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</si>
  <si>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</si>
  <si>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</si>
  <si>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</si>
  <si>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</si>
  <si>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</si>
  <si>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</si>
  <si>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</si>
  <si>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</si>
  <si>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</si>
  <si>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</si>
  <si>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</si>
  <si>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</si>
  <si>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</si>
  <si>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</si>
  <si>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</si>
  <si>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</si>
  <si>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</si>
  <si>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</si>
  <si>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</si>
  <si>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</si>
  <si>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</si>
  <si>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</si>
  <si>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</si>
  <si>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</si>
  <si>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</si>
  <si>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</si>
  <si>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</si>
  <si>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</si>
  <si>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</si>
  <si>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</si>
  <si>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</si>
  <si>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</si>
  <si>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</si>
  <si>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</si>
  <si>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</si>
  <si>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</si>
  <si>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</si>
  <si>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</si>
  <si>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</si>
  <si>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</si>
  <si>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</si>
  <si>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</si>
  <si>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</si>
  <si>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</si>
  <si>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</si>
  <si>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</si>
  <si>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</si>
  <si>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</si>
  <si>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</si>
  <si>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</si>
  <si>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</si>
  <si>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</si>
  <si>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</si>
  <si>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</si>
  <si>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</si>
  <si>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</si>
  <si>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</si>
  <si>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</si>
  <si>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</si>
  <si>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</si>
  <si>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</si>
  <si>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</si>
  <si>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</si>
  <si>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</si>
  <si>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</si>
  <si>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</si>
  <si>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</si>
  <si>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</si>
  <si>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</si>
  <si>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</si>
  <si>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</si>
  <si>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</si>
  <si>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</si>
  <si>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</si>
  <si>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</si>
  <si>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</si>
  <si>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</si>
  <si>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</si>
  <si>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</si>
  <si>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</si>
  <si>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Акционерное общество  "СУЭК-Кузбасс"</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</si>
  <si>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</si>
  <si>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</si>
  <si>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</si>
  <si>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</si>
  <si>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</si>
  <si>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</si>
  <si>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</si>
  <si>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</si>
  <si>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</si>
  <si>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</si>
  <si>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</si>
  <si>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</si>
  <si>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</si>
  <si>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</si>
  <si>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</si>
  <si>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</si>
  <si>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</si>
  <si>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</si>
  <si>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</si>
  <si>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</si>
  <si>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</si>
  <si>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</si>
  <si>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</si>
  <si>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</si>
  <si>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</si>
  <si>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</si>
  <si>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</si>
  <si>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</si>
  <si>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</si>
  <si>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</si>
  <si>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</si>
  <si>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</si>
  <si>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</si>
  <si>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</si>
  <si>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</si>
  <si>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</si>
  <si>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</si>
  <si>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</si>
  <si>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</si>
  <si>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</si>
  <si>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</si>
  <si>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</si>
  <si>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</si>
  <si>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</si>
  <si>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</si>
  <si>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</si>
  <si>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</si>
  <si>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</si>
  <si>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</si>
  <si>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</si>
  <si>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</si>
  <si>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</si>
  <si>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</si>
  <si>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</si>
  <si>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</si>
  <si>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</si>
  <si>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</si>
  <si>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</si>
  <si>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</si>
  <si>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</si>
  <si>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</si>
  <si>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</si>
  <si>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</si>
  <si>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</si>
  <si>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</si>
  <si>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</si>
  <si>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</si>
  <si>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</si>
  <si>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</si>
  <si>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</si>
  <si>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</si>
  <si>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</si>
  <si>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</si>
  <si>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</si>
  <si>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</si>
  <si>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</si>
  <si>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</si>
  <si>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</si>
  <si>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</si>
  <si>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</si>
  <si>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</si>
  <si>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</si>
  <si>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</si>
  <si>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</si>
  <si>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</si>
  <si>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</si>
  <si>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</si>
  <si>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</si>
  <si>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</si>
  <si>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</si>
  <si>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</si>
  <si>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</si>
  <si>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</si>
  <si>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</si>
  <si>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</si>
  <si>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</si>
  <si>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</si>
  <si>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</si>
  <si>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</si>
  <si>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</si>
  <si>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</si>
  <si>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</si>
  <si>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</si>
  <si>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</si>
  <si>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</si>
  <si>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</si>
  <si>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</si>
  <si>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</si>
  <si>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</si>
  <si>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</si>
  <si>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form</t>
  </si>
  <si>
    <t>start_date</t>
  </si>
  <si>
    <t>end_date</t>
  </si>
  <si>
    <t>report_date</t>
  </si>
  <si>
    <t>entity_id</t>
  </si>
  <si>
    <t>entity_code</t>
  </si>
  <si>
    <t>entity_name</t>
  </si>
  <si>
    <t>scenario_id</t>
  </si>
  <si>
    <t>scenario_name</t>
  </si>
  <si>
    <t>fil_id</t>
  </si>
  <si>
    <t>fil_code</t>
  </si>
  <si>
    <t>fil_name</t>
  </si>
  <si>
    <t>nomer2_id</t>
  </si>
  <si>
    <t>nomer2_code</t>
  </si>
  <si>
    <t>nomer2_name</t>
  </si>
  <si>
    <t>nmob_id</t>
  </si>
  <si>
    <t>nmob_code</t>
  </si>
  <si>
    <t>nmob_name</t>
  </si>
  <si>
    <t>nsrf_id</t>
  </si>
  <si>
    <t>nsrf_code</t>
  </si>
  <si>
    <t>nsrf_name</t>
  </si>
  <si>
    <t>det_id</t>
  </si>
  <si>
    <t>det_code</t>
  </si>
  <si>
    <t>lgl_id</t>
  </si>
  <si>
    <t>l_base_service_production</t>
  </si>
  <si>
    <t>l_base_service_cleaning</t>
  </si>
  <si>
    <t>l_base_service_transmission</t>
  </si>
  <si>
    <t>l_address_mr</t>
  </si>
  <si>
    <t>l_address_mo</t>
  </si>
  <si>
    <t>l_address_oktmo</t>
  </si>
  <si>
    <t>l_address_location</t>
  </si>
  <si>
    <t>l_address_loc_oktmo</t>
  </si>
  <si>
    <t>l_address_street</t>
  </si>
  <si>
    <t>l_address_building</t>
  </si>
  <si>
    <t>l_pr_ic</t>
  </si>
  <si>
    <t>l_pr_cl</t>
  </si>
  <si>
    <t>l_pr_station_type</t>
  </si>
  <si>
    <t>l_pr_water_type</t>
  </si>
  <si>
    <t>l_pr_depreciation</t>
  </si>
  <si>
    <t>l_pr_start_exploit_date</t>
  </si>
  <si>
    <t>l_cln_ic</t>
  </si>
  <si>
    <t>l_cln_cl</t>
  </si>
  <si>
    <t>l_cln_org</t>
  </si>
  <si>
    <t>l_cln_inn</t>
  </si>
  <si>
    <t>l_cln_kpp</t>
  </si>
  <si>
    <t>l_cln_fil</t>
  </si>
  <si>
    <t>l_cln_source_name</t>
  </si>
  <si>
    <t>l_cln_mr</t>
  </si>
  <si>
    <t>l_cln_mo</t>
  </si>
  <si>
    <t>l_cln_oktmo</t>
  </si>
  <si>
    <t>l_cln_location</t>
  </si>
  <si>
    <t>l_cln_loc_oktmo</t>
  </si>
  <si>
    <t>l_cln_street</t>
  </si>
  <si>
    <t>l_cln_building</t>
  </si>
  <si>
    <t>l_cln_depreciation</t>
  </si>
  <si>
    <t>l_tr_ic</t>
  </si>
  <si>
    <t>l_tr_cl</t>
  </si>
  <si>
    <t>l_tr_org</t>
  </si>
  <si>
    <t>l_tr_inn</t>
  </si>
  <si>
    <t>l_tr_kpp</t>
  </si>
  <si>
    <t>l_tr_fil</t>
  </si>
  <si>
    <t>l_tr_source_name</t>
  </si>
  <si>
    <t>l_tr_mr</t>
  </si>
  <si>
    <t>l_tr_mo</t>
  </si>
  <si>
    <t>l_tr_oktmo</t>
  </si>
  <si>
    <t>l_tr_location</t>
  </si>
  <si>
    <t>l_tr_loc_oktmo</t>
  </si>
  <si>
    <t>l_tr_street</t>
  </si>
  <si>
    <t>l_tr_building</t>
  </si>
  <si>
    <t>l_tr_net_type</t>
  </si>
  <si>
    <t>l_</t>
  </si>
  <si>
    <t>l_tr_l_vsna_total</t>
  </si>
  <si>
    <t>l_tr_l_vsna_50_250</t>
  </si>
  <si>
    <t>l_tr_l_vsna_251_400</t>
  </si>
  <si>
    <t>l_tr_l_vsna_401_550</t>
  </si>
  <si>
    <t>l_tr_l_vsna_551_700</t>
  </si>
  <si>
    <t>l_tr_l_vsna_701</t>
  </si>
  <si>
    <t>l_tr_l_vsna_over_total</t>
  </si>
  <si>
    <t>l_tr_l_vsna_over_50_250</t>
  </si>
  <si>
    <t>l_tr_l_vsna_over_251_400</t>
  </si>
  <si>
    <t>l_tr_l_vsna_over_401_550</t>
  </si>
  <si>
    <t>l_tr_l_vsna_over_551_700</t>
  </si>
  <si>
    <t>l_tr_l_vsna_over_701</t>
  </si>
  <si>
    <t>l_tr_l_vsna_u_ch_total</t>
  </si>
  <si>
    <t>l_tr_l_vsna_u_ch_50_250</t>
  </si>
  <si>
    <t>l_tr_l_vsna_u_ch_251_400</t>
  </si>
  <si>
    <t>l_tr_l_vsna_u_ch_401_550</t>
  </si>
  <si>
    <t>l_tr_l_vsna_u_ch_551_700</t>
  </si>
  <si>
    <t>l_tr_l_vsna_u_ch_701</t>
  </si>
  <si>
    <t>l_tr_l_vsna_u_nonch_total</t>
  </si>
  <si>
    <t>l_tr_l_vsna_u_nonch_50_250</t>
  </si>
  <si>
    <t>l_tr_l_vsna_u_nonch_251_400</t>
  </si>
  <si>
    <t>l_tr_l_vsna_u_nonch_401_550</t>
  </si>
  <si>
    <t>l_tr_l_vsna_u_nonch_551_700</t>
  </si>
  <si>
    <t>l_tr_l_vsna_u_nonch_701</t>
  </si>
  <si>
    <t>l_tr_depreciation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</si>
  <si>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</si>
  <si>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</si>
  <si>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</si>
  <si>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</si>
  <si>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</si>
  <si>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</si>
  <si>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</si>
  <si>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</si>
  <si>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</si>
  <si>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</si>
  <si>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</si>
  <si>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sce:REESTR.VSNA.SOURCE.2025</t>
  </si>
  <si>
    <t>Насосная станция  Гидроузел №4</t>
  </si>
  <si>
    <t>НС</t>
  </si>
  <si>
    <t>г Ленинск-Кузнецкий</t>
  </si>
  <si>
    <t>32514000001</t>
  </si>
  <si>
    <t>ул. Суворова</t>
  </si>
  <si>
    <t>209</t>
  </si>
  <si>
    <t>150.0000000000</t>
  </si>
  <si>
    <t>50.0000000000</t>
  </si>
  <si>
    <t>4 подъёма</t>
  </si>
  <si>
    <t>питьевая</t>
  </si>
  <si>
    <t>40.0000000000</t>
  </si>
  <si>
    <t>01.01.1961</t>
  </si>
  <si>
    <t>эксплуатируется</t>
  </si>
  <si>
    <t>муниципальное имущество</t>
  </si>
  <si>
    <t>https://portal.eias.ru/Portal/DownloadPage.aspx?type=12&amp;guid=0e8b6c7e-49cc-44a2-8029-ccdb01b64371</t>
  </si>
  <si>
    <t>1/Л-К</t>
  </si>
  <si>
    <t>Водоснабжение</t>
  </si>
  <si>
    <t>г Ленинск-Кузнецкий, ул. Суворова, 209</t>
  </si>
  <si>
    <t>Скважина №1</t>
  </si>
  <si>
    <t>д Михайловка</t>
  </si>
  <si>
    <t>32537000126</t>
  </si>
  <si>
    <t>ул Школьная</t>
  </si>
  <si>
    <t>1"б"</t>
  </si>
  <si>
    <t>10.0000000000</t>
  </si>
  <si>
    <t>8.0000000000</t>
  </si>
  <si>
    <t>артезианская скважина</t>
  </si>
  <si>
    <t>80.0000000000</t>
  </si>
  <si>
    <t>01.01.1980</t>
  </si>
  <si>
    <t>https://portal.eias.ru/Portal/DownloadPage.aspx?type=12&amp;guid=e280bcd3-8022-49df-9a12-d5a58e8cfe66</t>
  </si>
  <si>
    <t>2019/ЧМР</t>
  </si>
  <si>
    <t>13.11.2019</t>
  </si>
  <si>
    <t>д Михайловка, ул Школьная, 1"б"</t>
  </si>
  <si>
    <t>скважина №2</t>
  </si>
  <si>
    <t>ул Молодежная</t>
  </si>
  <si>
    <t>1"а"</t>
  </si>
  <si>
    <t>01.01.1982</t>
  </si>
  <si>
    <t>д Михайловка, ул Молодежная, 1"а"</t>
  </si>
  <si>
    <t>Правобережная НС [нет]</t>
  </si>
  <si>
    <t>г Кемерово</t>
  </si>
  <si>
    <t>32701000001</t>
  </si>
  <si>
    <t>ул. Терешковой</t>
  </si>
  <si>
    <t>3750.0000000000</t>
  </si>
  <si>
    <t>1714.6331967213</t>
  </si>
  <si>
    <t>3 подъёма</t>
  </si>
  <si>
    <t>43.7500000000</t>
  </si>
  <si>
    <t>01.02.2007</t>
  </si>
  <si>
    <t>https://portal.eias.ru/Portal/DownloadPage.aspx?type=12&amp;guid=5157f90c-9253-41fb-a824-d1052072a661</t>
  </si>
  <si>
    <t>договор</t>
  </si>
  <si>
    <t>28.12.2018</t>
  </si>
  <si>
    <t>г Кемерово, ул. Терешковой, 14</t>
  </si>
  <si>
    <t>Гидроузел "Рудник" [нет]</t>
  </si>
  <si>
    <t>ул. Мамонтова</t>
  </si>
  <si>
    <t>б/н</t>
  </si>
  <si>
    <t>1875.0000000000</t>
  </si>
  <si>
    <t>480.5943761384</t>
  </si>
  <si>
    <t>21.3300000000</t>
  </si>
  <si>
    <t>12.05.2009</t>
  </si>
  <si>
    <t>г Кемерово, ул. Мамонтова, б/н</t>
  </si>
  <si>
    <t>скважина №14</t>
  </si>
  <si>
    <t>п Акация</t>
  </si>
  <si>
    <t>32546000251</t>
  </si>
  <si>
    <t>ул.Мира</t>
  </si>
  <si>
    <t>25</t>
  </si>
  <si>
    <t>2.0000000000</t>
  </si>
  <si>
    <t>60.0000000000</t>
  </si>
  <si>
    <t>01.01.1990</t>
  </si>
  <si>
    <t>https://portal.eias.ru/Portal/DownloadPage.aspx?type=12&amp;guid=1af1e839-9786-4b0d-9507-dfe76311e92c</t>
  </si>
  <si>
    <t>№7/ЯМО</t>
  </si>
  <si>
    <t>28.09.2021</t>
  </si>
  <si>
    <t>п Акация, ул.Мира, 25</t>
  </si>
  <si>
    <t>1а</t>
  </si>
  <si>
    <t>6.0000000000</t>
  </si>
  <si>
    <t>70.0000000000</t>
  </si>
  <si>
    <t>01.01.1960</t>
  </si>
  <si>
    <t>п Акация, ул.Мира, 1а</t>
  </si>
  <si>
    <t>Скважина №10</t>
  </si>
  <si>
    <t>п Акация, ул.Мира, 21</t>
  </si>
  <si>
    <t>ПНС 52 [нет]</t>
  </si>
  <si>
    <t>ул. Пролетарская</t>
  </si>
  <si>
    <t>22</t>
  </si>
  <si>
    <t>41.6000000000</t>
  </si>
  <si>
    <t>14.3400000000</t>
  </si>
  <si>
    <t>26.3000000000</t>
  </si>
  <si>
    <t>31.10.2008</t>
  </si>
  <si>
    <t>г Кемерово, ул. Пролетарская, 22</t>
  </si>
  <si>
    <t>НС-2 подъема НФС-2 [нет]</t>
  </si>
  <si>
    <t>ул. Советская</t>
  </si>
  <si>
    <t>38</t>
  </si>
  <si>
    <t>10000.0000000000</t>
  </si>
  <si>
    <t>6214.0691029144</t>
  </si>
  <si>
    <t>2 подъёма</t>
  </si>
  <si>
    <t>г Кемерово, ул. Советская, 38</t>
  </si>
  <si>
    <t>Скважина б/н</t>
  </si>
  <si>
    <t>п Новостройка</t>
  </si>
  <si>
    <t>32543000216</t>
  </si>
  <si>
    <t>-</t>
  </si>
  <si>
    <t>6.5000000000</t>
  </si>
  <si>
    <t>0.5800000000</t>
  </si>
  <si>
    <t>100.0000000000</t>
  </si>
  <si>
    <t>01.01.1992</t>
  </si>
  <si>
    <t>https://portal.eias.ru/Portal/DownloadPage.aspx?type=12&amp;guid=150fcd94-7654-4533-9165-48c46bc5f5eb</t>
  </si>
  <si>
    <t>№2023/ЯЯ</t>
  </si>
  <si>
    <t>11.11.2024</t>
  </si>
  <si>
    <t>п Новостройка, -, -</t>
  </si>
  <si>
    <t>Ягуновский водозабор НС-2 подъема [нет]</t>
  </si>
  <si>
    <t>сеть</t>
  </si>
  <si>
    <t>1 км южнее г. Кемерово и 1 км восточнее автодороги Кемерово-Промышленная</t>
  </si>
  <si>
    <t>125.0000000000</t>
  </si>
  <si>
    <t>128.1484517304</t>
  </si>
  <si>
    <t>4205153492.0</t>
  </si>
  <si>
    <t>НС-2 подъема</t>
  </si>
  <si>
    <t>32701000.0</t>
  </si>
  <si>
    <t>32701000001.0</t>
  </si>
  <si>
    <t>без адреса</t>
  </si>
  <si>
    <t>магистральная</t>
  </si>
  <si>
    <t>31.0835000000</t>
  </si>
  <si>
    <t>30.8335000000</t>
  </si>
  <si>
    <t>0.2500000000</t>
  </si>
  <si>
    <t>0.0000000000</t>
  </si>
  <si>
    <t>42.0000000000</t>
  </si>
  <si>
    <t>https://portal.eias.ru/Portal/DownloadPage.aspx?type=12&amp;guid=e60adf38-a8cc-447d-acb0-3634e0bb8ad4</t>
  </si>
  <si>
    <t>г Кемерово, 1 км южнее г. Кемерово и 1 км восточнее автодороги Кемерово-Промышленная, б/н</t>
  </si>
  <si>
    <t>НС-2 подъема Бердовского водозабора</t>
  </si>
  <si>
    <t>666.6000000000</t>
  </si>
  <si>
    <t>385.0324453552</t>
  </si>
  <si>
    <t>1 подъёма</t>
  </si>
  <si>
    <t>31.12.1996</t>
  </si>
  <si>
    <t>г Кемерово, без адреса, б/н</t>
  </si>
  <si>
    <t>Скважина</t>
  </si>
  <si>
    <t>п 1-й</t>
  </si>
  <si>
    <t>32537000156</t>
  </si>
  <si>
    <t>ул. Воронова</t>
  </si>
  <si>
    <t>8а</t>
  </si>
  <si>
    <t>01.01.1973</t>
  </si>
  <si>
    <t>п 1-й, ул. Воронова, 8а</t>
  </si>
  <si>
    <t>с Усть-Чебула</t>
  </si>
  <si>
    <t>32537000236</t>
  </si>
  <si>
    <t>ул. Школьная</t>
  </si>
  <si>
    <t>1в</t>
  </si>
  <si>
    <t>01.01.1989</t>
  </si>
  <si>
    <t>с Усть-Чебула, ул. Школьная, 1в</t>
  </si>
  <si>
    <t>д Курск-Смоленка</t>
  </si>
  <si>
    <t>32537000121</t>
  </si>
  <si>
    <t>ул Советская</t>
  </si>
  <si>
    <t>2"а"</t>
  </si>
  <si>
    <t>01.01.1970</t>
  </si>
  <si>
    <t>д Курск-Смоленка, ул Советская, 2"а"</t>
  </si>
  <si>
    <t>НС-3 ж.р. Кедровка (подача на ж.р. Кедровка) [нет]</t>
  </si>
  <si>
    <t>ж.р. Кедровка, ул. Павленко</t>
  </si>
  <si>
    <t>306.5079690346</t>
  </si>
  <si>
    <t>45.9600000000</t>
  </si>
  <si>
    <t>г Кемерово, ж.р. Кедровка, ул. Павленко, б/н</t>
  </si>
  <si>
    <t>с Алчедат</t>
  </si>
  <si>
    <t>32537000211</t>
  </si>
  <si>
    <t>ул Октябрьская</t>
  </si>
  <si>
    <t>43"в"</t>
  </si>
  <si>
    <t>01.01.1986</t>
  </si>
  <si>
    <t>с Алчедат, ул Октябрьская, 43"в"</t>
  </si>
  <si>
    <t>Скважиная (резервная)</t>
  </si>
  <si>
    <t>ул Юбилейная</t>
  </si>
  <si>
    <t>34"а"</t>
  </si>
  <si>
    <t>с Алчедат, ул Юбилейная, 34"а"</t>
  </si>
  <si>
    <t>сети водоснабжения</t>
  </si>
  <si>
    <t>д Дмитриевка</t>
  </si>
  <si>
    <t>32537000106</t>
  </si>
  <si>
    <t>_</t>
  </si>
  <si>
    <t>13.9200000000</t>
  </si>
  <si>
    <t>32537000.0</t>
  </si>
  <si>
    <t>32537000106.0</t>
  </si>
  <si>
    <t>ул Набережная</t>
  </si>
  <si>
    <t>16а</t>
  </si>
  <si>
    <t>магистральная и разводящая</t>
  </si>
  <si>
    <t>5.3680000000</t>
  </si>
  <si>
    <t>д Дмитриевка, д Дмитриевка, _</t>
  </si>
  <si>
    <t>ПНС 14 [нет]</t>
  </si>
  <si>
    <t>пр. Ленина</t>
  </si>
  <si>
    <t>132 Б</t>
  </si>
  <si>
    <t>20.2100000000</t>
  </si>
  <si>
    <t>69.0000000000</t>
  </si>
  <si>
    <t>30.12.1985</t>
  </si>
  <si>
    <t>г Кемерово, пр. Ленина, 132 Б</t>
  </si>
  <si>
    <t>Сети водоснабжения     д. Юрты-Константиновы</t>
  </si>
  <si>
    <t>д Юрты-Константиновы</t>
  </si>
  <si>
    <t>32546000246</t>
  </si>
  <si>
    <t>32546000.0</t>
  </si>
  <si>
    <t>32546000246.0</t>
  </si>
  <si>
    <t>2.6610000000</t>
  </si>
  <si>
    <t>75.0000000000</t>
  </si>
  <si>
    <t>д Юрты-Константиновы, -, -</t>
  </si>
  <si>
    <t>д Дауровка</t>
  </si>
  <si>
    <t>32546000131</t>
  </si>
  <si>
    <t>ул.Центральная</t>
  </si>
  <si>
    <t>15а</t>
  </si>
  <si>
    <t>1.0000000000</t>
  </si>
  <si>
    <t>д Дауровка, ул.Центральная, 15а</t>
  </si>
  <si>
    <t>Сети водоснабжения     д. Дауровка</t>
  </si>
  <si>
    <t>32546000131.0</t>
  </si>
  <si>
    <t>0.7830000000</t>
  </si>
  <si>
    <t>д Дауровка, -, -</t>
  </si>
  <si>
    <t>д Усть-Сосновка</t>
  </si>
  <si>
    <t>32546000241</t>
  </si>
  <si>
    <t>01.01.1978</t>
  </si>
  <si>
    <t>д Усть-Сосновка, ул.Центральная, 8а</t>
  </si>
  <si>
    <t>д Северная</t>
  </si>
  <si>
    <t>32546000226</t>
  </si>
  <si>
    <t>ул.Молодежная</t>
  </si>
  <si>
    <t>д Северная, ул.Молодежная, 12</t>
  </si>
  <si>
    <t>д Мелково</t>
  </si>
  <si>
    <t>32546000186</t>
  </si>
  <si>
    <t>ул.Речная</t>
  </si>
  <si>
    <t>д Мелково, ул.Речная, 8а</t>
  </si>
  <si>
    <t>Скважина №14/4290</t>
  </si>
  <si>
    <t>с Поломошное</t>
  </si>
  <si>
    <t>32546000351</t>
  </si>
  <si>
    <t>пер.Школьный</t>
  </si>
  <si>
    <t>2б</t>
  </si>
  <si>
    <t>01.01.1985</t>
  </si>
  <si>
    <t>с Поломошное, пер.Школьный, 2б</t>
  </si>
  <si>
    <t>д Курск-Смоленка, ул Советская, 34"а"</t>
  </si>
  <si>
    <t>Зона А [нет]</t>
  </si>
  <si>
    <t>46</t>
  </si>
  <si>
    <t>2083.3000000000</t>
  </si>
  <si>
    <t>1221.3836520947</t>
  </si>
  <si>
    <t>23.5500000000</t>
  </si>
  <si>
    <t>01.09.2008</t>
  </si>
  <si>
    <t>г Кемерово, ул. Терешковой, 46</t>
  </si>
  <si>
    <t>сеть водоснабжения</t>
  </si>
  <si>
    <t>д Шестаково</t>
  </si>
  <si>
    <t>32537000151</t>
  </si>
  <si>
    <t>32537000151.0</t>
  </si>
  <si>
    <t>ул Оренбургская</t>
  </si>
  <si>
    <t>2в</t>
  </si>
  <si>
    <t>0.8250000000</t>
  </si>
  <si>
    <t>д Шестаково, ул Школьная, _</t>
  </si>
  <si>
    <t>Зона Б [нет]</t>
  </si>
  <si>
    <t>ул. Космическая</t>
  </si>
  <si>
    <t>нечётная сторона</t>
  </si>
  <si>
    <t>625.0000000000</t>
  </si>
  <si>
    <t>338.1351320583</t>
  </si>
  <si>
    <t>51.2000000000</t>
  </si>
  <si>
    <t>01.02.1973</t>
  </si>
  <si>
    <t>г Кемерово, ул. Космическая, нечётная сторона</t>
  </si>
  <si>
    <t>Сети водоснабжения     д. Крылово</t>
  </si>
  <si>
    <t>д Крылово</t>
  </si>
  <si>
    <t>32546000171</t>
  </si>
  <si>
    <t>32546000171.0</t>
  </si>
  <si>
    <t>0.7090000000</t>
  </si>
  <si>
    <t>д Крылово, -, -</t>
  </si>
  <si>
    <t>п Яшкинский</t>
  </si>
  <si>
    <t>32546000311</t>
  </si>
  <si>
    <t>ул.Спортивная</t>
  </si>
  <si>
    <t>2а</t>
  </si>
  <si>
    <t>3.0000000000</t>
  </si>
  <si>
    <t>п Яшкинский, ул.Спортивная, 2а</t>
  </si>
  <si>
    <t>ул.Окрайняя</t>
  </si>
  <si>
    <t>24</t>
  </si>
  <si>
    <t>01.01.2003</t>
  </si>
  <si>
    <t>п Яшкинский, ул.Окрайняя, 24</t>
  </si>
  <si>
    <t>ВНС "Лесная поляна" [нет]</t>
  </si>
  <si>
    <t>автодорога г. Кемерово-Лесная поляна</t>
  </si>
  <si>
    <t>120.6303506375</t>
  </si>
  <si>
    <t>15.7000000000</t>
  </si>
  <si>
    <t>30.11.2007</t>
  </si>
  <si>
    <t>г Кемерово, автодорога г. Кемерово-Лесная поляна, б/н</t>
  </si>
  <si>
    <t>д Ольговка</t>
  </si>
  <si>
    <t>32543000146</t>
  </si>
  <si>
    <t>0.7000000000</t>
  </si>
  <si>
    <t>01.01.1975</t>
  </si>
  <si>
    <t>д Ольговка, -, -</t>
  </si>
  <si>
    <t>Скважина №11/4130</t>
  </si>
  <si>
    <t>пгт Яшкино</t>
  </si>
  <si>
    <t>32546000051</t>
  </si>
  <si>
    <t>ул.Ленинская</t>
  </si>
  <si>
    <t>01.01.1965</t>
  </si>
  <si>
    <t>пгт Яшкино, ул.Ленинская, 2а</t>
  </si>
  <si>
    <t>Скважина №5</t>
  </si>
  <si>
    <t>ул.Железнодорожная</t>
  </si>
  <si>
    <t>5.0000000000</t>
  </si>
  <si>
    <t>01.01.1958</t>
  </si>
  <si>
    <t>пгт Яшкино, ул.Железнодорожная, 1а</t>
  </si>
  <si>
    <t>Гидроузел №4 [нет]</t>
  </si>
  <si>
    <t>ул. Мартемьянова</t>
  </si>
  <si>
    <t>291.6000000000</t>
  </si>
  <si>
    <t>171.7312158470</t>
  </si>
  <si>
    <t>19.3900000000</t>
  </si>
  <si>
    <t>31.12.2009</t>
  </si>
  <si>
    <t>г Кемерово, ул. Мартемьянова, б/н</t>
  </si>
  <si>
    <t>Скважина №1           КМ-65</t>
  </si>
  <si>
    <t>р.Яя</t>
  </si>
  <si>
    <t>01.01.1988</t>
  </si>
  <si>
    <t>пгт Яшкино, р.Яя, -</t>
  </si>
  <si>
    <t>Скважина №2           КМ-66</t>
  </si>
  <si>
    <t>Скважина №2/4076</t>
  </si>
  <si>
    <t>с Колмогорово</t>
  </si>
  <si>
    <t>32546000316</t>
  </si>
  <si>
    <t>ул.Мирная</t>
  </si>
  <si>
    <t>108б</t>
  </si>
  <si>
    <t>4.0000000000</t>
  </si>
  <si>
    <t>01.01.1981</t>
  </si>
  <si>
    <t>с Колмогорово, ул.Мирная, 108б</t>
  </si>
  <si>
    <t>ПНС Боровой [нет]</t>
  </si>
  <si>
    <t>п-к Боровой, ул. 2-ая Парковая</t>
  </si>
  <si>
    <t>208.3000000000</t>
  </si>
  <si>
    <t>126.0093351548</t>
  </si>
  <si>
    <t>г Кемерово, п-к Боровой, ул. 2-ая Парковая, б/н</t>
  </si>
  <si>
    <t>Скважина №1/2058</t>
  </si>
  <si>
    <t>108а</t>
  </si>
  <si>
    <t>01.01.1968</t>
  </si>
  <si>
    <t>государственное имущество</t>
  </si>
  <si>
    <t>с Колмогорово, ул.Мирная, 108а</t>
  </si>
  <si>
    <t>Скважина №13/2366</t>
  </si>
  <si>
    <t>ул.70-лет Октября</t>
  </si>
  <si>
    <t>01.01.1969</t>
  </si>
  <si>
    <t>с Поломошное, ул.70-лет Октября, 2б</t>
  </si>
  <si>
    <t>Сети водоснабжения д. Марьевка</t>
  </si>
  <si>
    <t>д Марьевка</t>
  </si>
  <si>
    <t>32543000126</t>
  </si>
  <si>
    <t>17.0000000000</t>
  </si>
  <si>
    <t>2.8000000000</t>
  </si>
  <si>
    <t>32543000.0</t>
  </si>
  <si>
    <t>32543000126.0</t>
  </si>
  <si>
    <t>6.5070000000</t>
  </si>
  <si>
    <t>д Марьевка, -, -</t>
  </si>
  <si>
    <t>Сети водоснабжения с. Новониколаевка</t>
  </si>
  <si>
    <t>с Новониколаевка</t>
  </si>
  <si>
    <t>32543000281</t>
  </si>
  <si>
    <t>19.5000000000</t>
  </si>
  <si>
    <t>2.4100000000</t>
  </si>
  <si>
    <t>32543000281.0</t>
  </si>
  <si>
    <t>10.4920000000</t>
  </si>
  <si>
    <t>с Новониколаевка, -, -</t>
  </si>
  <si>
    <t>с Судженка</t>
  </si>
  <si>
    <t>32543000286</t>
  </si>
  <si>
    <t>ул. Заречная</t>
  </si>
  <si>
    <t>за домом №45</t>
  </si>
  <si>
    <t>0.6000000000</t>
  </si>
  <si>
    <t>с Судженка, ул. Заречная, за домом №45</t>
  </si>
  <si>
    <t>94а</t>
  </si>
  <si>
    <t>2.7000000000</t>
  </si>
  <si>
    <t>с Судженка, ул. Советская, 94а</t>
  </si>
  <si>
    <t>насосная станция  №17</t>
  </si>
  <si>
    <t>пр.Ленина</t>
  </si>
  <si>
    <t>86"б"</t>
  </si>
  <si>
    <t>20.0000000000</t>
  </si>
  <si>
    <t>30.0000000000</t>
  </si>
  <si>
    <t>17.01.1995</t>
  </si>
  <si>
    <t>г Ленинск-Кузнецкий, пр.Ленина, 86"б"</t>
  </si>
  <si>
    <t>ул.65 лет Октября</t>
  </si>
  <si>
    <t>31</t>
  </si>
  <si>
    <t>п Яшкинский, ул.65 лет Октября, 31</t>
  </si>
  <si>
    <t>Сети водоснабжения     с. Красноселка</t>
  </si>
  <si>
    <t>с Красноселка</t>
  </si>
  <si>
    <t>32546000326</t>
  </si>
  <si>
    <t>3.5000000000</t>
  </si>
  <si>
    <t>32546000326.0</t>
  </si>
  <si>
    <t>6.1180000000</t>
  </si>
  <si>
    <t>с Красноселка, -, -</t>
  </si>
  <si>
    <t>д Балахнино</t>
  </si>
  <si>
    <t>32546000106</t>
  </si>
  <si>
    <t>01.01.1979</t>
  </si>
  <si>
    <t>д Балахнино, ул.Центральная, 1а</t>
  </si>
  <si>
    <t>Сети водоснабжения     п. Шахтер</t>
  </si>
  <si>
    <t>п Шахтер</t>
  </si>
  <si>
    <t>32546000306</t>
  </si>
  <si>
    <t>32546000306.0</t>
  </si>
  <si>
    <t>7.2220000000</t>
  </si>
  <si>
    <t>п Шахтер, -, -</t>
  </si>
  <si>
    <t>д Ботьево</t>
  </si>
  <si>
    <t>32546000111</t>
  </si>
  <si>
    <t>ул.Школьная</t>
  </si>
  <si>
    <t>13а</t>
  </si>
  <si>
    <t>д Ботьево, ул.Школьная, 13а</t>
  </si>
  <si>
    <t>Сети водоснабжения п. Новостройка</t>
  </si>
  <si>
    <t>32543000216.0</t>
  </si>
  <si>
    <t>2.6700000000</t>
  </si>
  <si>
    <t>п.ст Судженка</t>
  </si>
  <si>
    <t>32543000231</t>
  </si>
  <si>
    <t>пер. Садовый</t>
  </si>
  <si>
    <t>01.01.1999</t>
  </si>
  <si>
    <t>п.ст Судженка, пер. Садовый, 6</t>
  </si>
  <si>
    <t>водозабор д. Петровка [нет]</t>
  </si>
  <si>
    <t>п. Петровка</t>
  </si>
  <si>
    <t>ул. Красина</t>
  </si>
  <si>
    <t>3.6000000000</t>
  </si>
  <si>
    <t>0.5562386157</t>
  </si>
  <si>
    <t>31.12.1992</t>
  </si>
  <si>
    <t>г Кемерово, п. Петровка, ул. Красина</t>
  </si>
  <si>
    <t>с Нижнеяшкино</t>
  </si>
  <si>
    <t>32546000336</t>
  </si>
  <si>
    <t>ул.Комарова</t>
  </si>
  <si>
    <t>01.01.1967</t>
  </si>
  <si>
    <t>с Нижнеяшкино, ул.Комарова, 12</t>
  </si>
  <si>
    <t>ПНС 17/2 [нет]</t>
  </si>
  <si>
    <t>б-р Строителей</t>
  </si>
  <si>
    <t>4 А</t>
  </si>
  <si>
    <t>33.3000000000</t>
  </si>
  <si>
    <t>4.4700000000</t>
  </si>
  <si>
    <t>87.7100000000</t>
  </si>
  <si>
    <t>01.09.1980</t>
  </si>
  <si>
    <t>г Кемерово, б-р Строителей, 4 А</t>
  </si>
  <si>
    <t>01.01.1971</t>
  </si>
  <si>
    <t>с Нижнеяшкино, -, -</t>
  </si>
  <si>
    <t>ул.Коммунистическая</t>
  </si>
  <si>
    <t>с Нижнеяшкино, ул.Коммунистическая, -</t>
  </si>
  <si>
    <t>Сети водоснабжения     с. Нижнеяшкино</t>
  </si>
  <si>
    <t>32546000336.0</t>
  </si>
  <si>
    <t>3.4560000000</t>
  </si>
  <si>
    <t>с Пача</t>
  </si>
  <si>
    <t>32546000341</t>
  </si>
  <si>
    <t>ул.Лесная</t>
  </si>
  <si>
    <t>01.01.1991</t>
  </si>
  <si>
    <t>с Пача, ул.Лесная, 2в</t>
  </si>
  <si>
    <t>ПНС Лапичево [нет]</t>
  </si>
  <si>
    <t>п. Лапичево, ул. Гвардейская</t>
  </si>
  <si>
    <t>возле дома №22</t>
  </si>
  <si>
    <t>2.9930555556</t>
  </si>
  <si>
    <t>18.0000000000</t>
  </si>
  <si>
    <t>11.08.2011</t>
  </si>
  <si>
    <t>г Кемерово, п. Лапичево, ул. Гвардейская, возле дома №22</t>
  </si>
  <si>
    <t>Скважина №6/2865</t>
  </si>
  <si>
    <t>9б</t>
  </si>
  <si>
    <t>с Колмогорово, ул.Ленинская, 9б</t>
  </si>
  <si>
    <t>Насосная станция №16</t>
  </si>
  <si>
    <t>82"б"</t>
  </si>
  <si>
    <t>г Ленинск-Кузнецкий, пр.Ленина, 82"б"</t>
  </si>
  <si>
    <t>насосная станция</t>
  </si>
  <si>
    <t>ул. Розы Люксембург</t>
  </si>
  <si>
    <t>47"б"</t>
  </si>
  <si>
    <t>15.0000000000</t>
  </si>
  <si>
    <t>25.0000000000</t>
  </si>
  <si>
    <t>г Ленинск-Кузнецкий, ул. Розы Люксембург, 47"б"</t>
  </si>
  <si>
    <t>НФС-2 [нет]</t>
  </si>
  <si>
    <t>ОС</t>
  </si>
  <si>
    <t>8333.3000000000</t>
  </si>
  <si>
    <t>6482.5752504554</t>
  </si>
  <si>
    <t>Насосно-фильтровальная станция (НФС-2)</t>
  </si>
  <si>
    <t>32507000.0</t>
  </si>
  <si>
    <t>п Металлплощадка</t>
  </si>
  <si>
    <t>32507000311.0</t>
  </si>
  <si>
    <t>60.8300000000</t>
  </si>
  <si>
    <t>с Усманка</t>
  </si>
  <si>
    <t>32537000226</t>
  </si>
  <si>
    <t>от скважины по ул.Молодежная,16 в районе  котельной детского сада №13</t>
  </si>
  <si>
    <t>32537000226.0</t>
  </si>
  <si>
    <t>ул Молодежная, в районе котельной детского сада №13</t>
  </si>
  <si>
    <t>3.7280000000</t>
  </si>
  <si>
    <t>с Усманка, от скважины по ул.Молодежная,16 в районе  котельной детского сада №13, _</t>
  </si>
  <si>
    <t>от скважины по ул.Молодежная,16 в районе  центральной котельной  №12</t>
  </si>
  <si>
    <t>ул Молодежная в районе центральной котельной №12</t>
  </si>
  <si>
    <t>2.0630000000</t>
  </si>
  <si>
    <t>с Усманка, от скважины по ул.Молодежная,16 в районе  центральной котельной  №12, _</t>
  </si>
  <si>
    <t>скважина №13</t>
  </si>
  <si>
    <t>23</t>
  </si>
  <si>
    <t>п Акация, ул.Мира, 23</t>
  </si>
  <si>
    <t>Скважина №15/4692а</t>
  </si>
  <si>
    <t>27</t>
  </si>
  <si>
    <t>п Акация, ул.Мира, 27</t>
  </si>
  <si>
    <t>НФС-2, НС-2 подъема (Правый берег)</t>
  </si>
  <si>
    <t>5912.5000000000</t>
  </si>
  <si>
    <t>Правобережная НС, гидроузел "Рудник", НС-3 Рудничного р-на, НС-3 Кировского р-на, ВНС "Лесная поляна", ПНС Боровой</t>
  </si>
  <si>
    <t>Советская</t>
  </si>
  <si>
    <t>567.6464700000</t>
  </si>
  <si>
    <t>420.8364700000</t>
  </si>
  <si>
    <t>83.6000000000</t>
  </si>
  <si>
    <t>26.3800000000</t>
  </si>
  <si>
    <t>15.5700000000</t>
  </si>
  <si>
    <t>21.2600000000</t>
  </si>
  <si>
    <t>Насосная станция 2-ого подъема долина р. Каменушка</t>
  </si>
  <si>
    <t>г Березовский</t>
  </si>
  <si>
    <t>32710000001</t>
  </si>
  <si>
    <t>ул. Н.Барзас</t>
  </si>
  <si>
    <t>180.0000000000</t>
  </si>
  <si>
    <t>120.0000000000</t>
  </si>
  <si>
    <t>01.12.1970</t>
  </si>
  <si>
    <t>аренда</t>
  </si>
  <si>
    <t>https://portal.eias.ru/Portal/DownloadPage.aspx?type=12&amp;guid=1e47cac2-138b-4f0a-8e2d-28ab6d5fc9c4</t>
  </si>
  <si>
    <t>20.06.2002</t>
  </si>
  <si>
    <t>г Березовский, ул. Н.Барзас, нет</t>
  </si>
  <si>
    <t>пгт Верх-Чебула</t>
  </si>
  <si>
    <t>32537000051</t>
  </si>
  <si>
    <t>от скважины №1231 по ул. 40 лет Победы</t>
  </si>
  <si>
    <t>Скважина №1231</t>
  </si>
  <si>
    <t>32537000051.0</t>
  </si>
  <si>
    <t>ул. 40 лет Победы</t>
  </si>
  <si>
    <t>6.1100000000</t>
  </si>
  <si>
    <t>пгт Верх-Чебула, от скважины №1231 по ул. 40 лет Победы, _</t>
  </si>
  <si>
    <t>7.8510000000</t>
  </si>
  <si>
    <t>пгт Верх-Чебула, пгт Верх-Чебула, _</t>
  </si>
  <si>
    <t>НС-3 ж.р. Кедровка [нет]</t>
  </si>
  <si>
    <t>383.2862021858</t>
  </si>
  <si>
    <t>Станция обезжелезивания</t>
  </si>
  <si>
    <t>ул. Павленко</t>
  </si>
  <si>
    <t>ул. Пасова</t>
  </si>
  <si>
    <t>4а</t>
  </si>
  <si>
    <t>пгт Верх-Чебула, ул. Пасова, 4а</t>
  </si>
  <si>
    <t>2"в"</t>
  </si>
  <si>
    <t>д Шестаково, ул Оренбургская, 2"в"</t>
  </si>
  <si>
    <t>п Ленинский</t>
  </si>
  <si>
    <t>32546000261</t>
  </si>
  <si>
    <t>ул.Юбилейная</t>
  </si>
  <si>
    <t>п Ленинский, ул.Юбилейная, 2а</t>
  </si>
  <si>
    <t>Поселковый водозабор</t>
  </si>
  <si>
    <t>пгт Яя</t>
  </si>
  <si>
    <t>32543000051</t>
  </si>
  <si>
    <t>01.12.1900</t>
  </si>
  <si>
    <t>пгт Яя, ул.Юбилейная, 1</t>
  </si>
  <si>
    <t>с Вознесенка</t>
  </si>
  <si>
    <t>32543000261</t>
  </si>
  <si>
    <t>ул. Молодежная</t>
  </si>
  <si>
    <t>около дома №2</t>
  </si>
  <si>
    <t>с Вознесенка, ул. Молодежная, около дома №2</t>
  </si>
  <si>
    <t>ул. Центральная</t>
  </si>
  <si>
    <t>80 метров от дома №18</t>
  </si>
  <si>
    <t>1.1700000000</t>
  </si>
  <si>
    <t>с Вознесенка, ул. Центральная, 80 метров от дома №18</t>
  </si>
  <si>
    <t>Ягуновский водозабор, НС-2 подъема [нет]</t>
  </si>
  <si>
    <t>41.3900000000</t>
  </si>
  <si>
    <t>01.06.2003</t>
  </si>
  <si>
    <t>Сети водоснабжения с. Вознесенка</t>
  </si>
  <si>
    <t>13.0000000000</t>
  </si>
  <si>
    <t>32543000261.0</t>
  </si>
  <si>
    <t>7.0700000000</t>
  </si>
  <si>
    <t>с Вознесенка, -, -</t>
  </si>
  <si>
    <t>Станция подготовки питьевой воды п. Петровский [нет]</t>
  </si>
  <si>
    <t>п. Петровский</t>
  </si>
  <si>
    <t>7.0258424408</t>
  </si>
  <si>
    <t>Станция подготовки питьевой воды п. Петровский</t>
  </si>
  <si>
    <t>г Кемерово, п. Петровский, б/н</t>
  </si>
  <si>
    <t>Сети водоснабжения     д. Усть-Сосновка</t>
  </si>
  <si>
    <t>32546000241.0</t>
  </si>
  <si>
    <t>1.0250000000</t>
  </si>
  <si>
    <t>д Усть-Сосновка, -, -</t>
  </si>
  <si>
    <t>д Кулаково</t>
  </si>
  <si>
    <t>32546000176</t>
  </si>
  <si>
    <t>ул.Животноводов</t>
  </si>
  <si>
    <t>д Кулаково, ул.Животноводов, 1а</t>
  </si>
  <si>
    <t>Скважина №12/4268</t>
  </si>
  <si>
    <t>ул.Бениваленского</t>
  </si>
  <si>
    <t>41а</t>
  </si>
  <si>
    <t>с Поломошное, ул.Бениваленского, 41а</t>
  </si>
  <si>
    <t>42</t>
  </si>
  <si>
    <t>с Поломошное, ул.Центральная, 42</t>
  </si>
  <si>
    <t>НФС-2 НС Пугачёвского водозабора [нет]</t>
  </si>
  <si>
    <t>1791.6000000000</t>
  </si>
  <si>
    <t>303.4157559199</t>
  </si>
  <si>
    <t>01.01.2007</t>
  </si>
  <si>
    <t>Сети водоснабжения     с. Поломошное</t>
  </si>
  <si>
    <t>32546000351.0</t>
  </si>
  <si>
    <t>17.5670000000</t>
  </si>
  <si>
    <t>с Поломошное, -, -</t>
  </si>
  <si>
    <t>Сети водоснабжения д. Ольговка</t>
  </si>
  <si>
    <t>32543000146.0</t>
  </si>
  <si>
    <t>3.4490000000</t>
  </si>
  <si>
    <t>д Сергеевка</t>
  </si>
  <si>
    <t>32543000156</t>
  </si>
  <si>
    <t>0.1200000000</t>
  </si>
  <si>
    <t>д Сергеевка, -, -</t>
  </si>
  <si>
    <t>32537000236.0</t>
  </si>
  <si>
    <t>4.8760000000</t>
  </si>
  <si>
    <t>с Усть-Чебула, с Усть-Чебула, _</t>
  </si>
  <si>
    <t>с Чумай</t>
  </si>
  <si>
    <t>32537000241</t>
  </si>
  <si>
    <t>Скважина №2</t>
  </si>
  <si>
    <t>32537000241.0</t>
  </si>
  <si>
    <t>ул Ленинская</t>
  </si>
  <si>
    <t>125</t>
  </si>
  <si>
    <t>6.4110000000</t>
  </si>
  <si>
    <t>с Чумай, с Чумай, _</t>
  </si>
  <si>
    <t>Сети водоснабжения     п. Яшкинский</t>
  </si>
  <si>
    <t>32546000311.0</t>
  </si>
  <si>
    <t>9.7530000000</t>
  </si>
  <si>
    <t>п Яшкинский, -, -</t>
  </si>
  <si>
    <t>НФС-2 НС руслового водозабора [нет]</t>
  </si>
  <si>
    <t>5000.0000000000</t>
  </si>
  <si>
    <t>865.0941484517</t>
  </si>
  <si>
    <t>61.6800000000</t>
  </si>
  <si>
    <t>01.01.1962</t>
  </si>
  <si>
    <t>д Корчуганово</t>
  </si>
  <si>
    <t>32546000161</t>
  </si>
  <si>
    <t>ул.Клубная</t>
  </si>
  <si>
    <t>2и</t>
  </si>
  <si>
    <t>д Корчуганово, ул.Клубная, 2и</t>
  </si>
  <si>
    <t>Сети водоснабжения     д. Корчуганово</t>
  </si>
  <si>
    <t>32546000161.0</t>
  </si>
  <si>
    <t>1.9500000000</t>
  </si>
  <si>
    <t>д Корчуганово, -, -</t>
  </si>
  <si>
    <t>Петровский водозабор [нет]</t>
  </si>
  <si>
    <t>33.0000000000</t>
  </si>
  <si>
    <t>31.12.1975</t>
  </si>
  <si>
    <t>п.ш. "Южная"</t>
  </si>
  <si>
    <t>г. Березовский</t>
  </si>
  <si>
    <t>63.8000000000</t>
  </si>
  <si>
    <t>Насосная станция №1,2,12 п.ш. "Южная"</t>
  </si>
  <si>
    <t>32710000.0</t>
  </si>
  <si>
    <t>32710000001.0</t>
  </si>
  <si>
    <t>1,2-я НС ул. Таежная, 12-я НС в лесу</t>
  </si>
  <si>
    <t>97.8610000000</t>
  </si>
  <si>
    <t>96.4130000000</t>
  </si>
  <si>
    <t>1.4480000000</t>
  </si>
  <si>
    <t>81.0000000000</t>
  </si>
  <si>
    <t>г Березовский, г. Березовский, нет</t>
  </si>
  <si>
    <t>01.01.1972</t>
  </si>
  <si>
    <t>д Дмитриевка, ул Набережная, 16а</t>
  </si>
  <si>
    <t>32537000156.0</t>
  </si>
  <si>
    <t>ул Воронова</t>
  </si>
  <si>
    <t>3.6940000000</t>
  </si>
  <si>
    <t>п 1-й, п 1-й, _</t>
  </si>
  <si>
    <t>ул.Заречная</t>
  </si>
  <si>
    <t>28.09.202</t>
  </si>
  <si>
    <t>пгт Яшкино, ул.Заречная, 16а</t>
  </si>
  <si>
    <t>ул.Рабочая</t>
  </si>
  <si>
    <t>14б</t>
  </si>
  <si>
    <t>01.01.2004</t>
  </si>
  <si>
    <t>пгт Яшкино, ул.Рабочая, 14б</t>
  </si>
  <si>
    <t>ул.Советская</t>
  </si>
  <si>
    <t>136в</t>
  </si>
  <si>
    <t>пгт Яшкино, ул.Советская, 136в</t>
  </si>
  <si>
    <t>Сети водоснабжения с. Судженка</t>
  </si>
  <si>
    <t>3.3000000000</t>
  </si>
  <si>
    <t>32543000286.0</t>
  </si>
  <si>
    <t>10.5640000000</t>
  </si>
  <si>
    <t>с Судженка, -, -</t>
  </si>
  <si>
    <t>с Улановка</t>
  </si>
  <si>
    <t>32543000291</t>
  </si>
  <si>
    <t>ул. Советская, на въезде в с. Улановка</t>
  </si>
  <si>
    <t>с Улановка, ул. Советская, на въезде в с. Улановка, -</t>
  </si>
  <si>
    <t>ул. Ленина, территория КФХ Цыганков</t>
  </si>
  <si>
    <t>2.2000000000</t>
  </si>
  <si>
    <t>01.01.1976</t>
  </si>
  <si>
    <t>с Улановка, ул. Ленина, территория КФХ Цыганков, -</t>
  </si>
  <si>
    <t>Скважина №2а</t>
  </si>
  <si>
    <t>в 800 м (слева) на северо-запад от 261 км автомобильной дороги Новосибирск-Ленинск-Кузнецкий-Кемерово-Юрга</t>
  </si>
  <si>
    <t>65.0000000000</t>
  </si>
  <si>
    <t>45.0000000000</t>
  </si>
  <si>
    <t>15.07.1966</t>
  </si>
  <si>
    <t>г Ленинск-Кузнецкий, в 800 м (слева) на северо-запад от 261 км автомобильной дороги Новосибирск-Ленинск-Кузнецкий-Кемерово-Юрга, б/н</t>
  </si>
  <si>
    <t>Скважина №4а</t>
  </si>
  <si>
    <t>в 950 м (справа) на северо-запад от 261 км автомобильной дороги Новосибирск-Ленинск-Кузнецкий-Кемерово-Юрга</t>
  </si>
  <si>
    <t>07.05.1957</t>
  </si>
  <si>
    <t>г Ленинск-Кузнецкий, в 950 м (справа) на северо-запад от 261 км автомобильной дороги Новосибирск-Ленинск-Кузнецкий-Кемерово-Юрга, б/н</t>
  </si>
  <si>
    <t>подкачивающая станция</t>
  </si>
  <si>
    <t>с Усманка, ул Молодежная, 16</t>
  </si>
  <si>
    <t>5в</t>
  </si>
  <si>
    <t>с Усманка, ул Молодежная, 5в</t>
  </si>
  <si>
    <t>д Каленово</t>
  </si>
  <si>
    <t>32546000146</t>
  </si>
  <si>
    <t>д Каленово, ул.Мирная, 2а</t>
  </si>
  <si>
    <t>ул.Строительная</t>
  </si>
  <si>
    <t>д Ботьево, ул.Строительная, 24</t>
  </si>
  <si>
    <t>49</t>
  </si>
  <si>
    <t>д Юрты-Константиновы, ул.Мира, 49</t>
  </si>
  <si>
    <t>ул.Новая</t>
  </si>
  <si>
    <t>с Красноселка, ул.Новая, 2а</t>
  </si>
  <si>
    <t>НС-4 ж.р. Промышленновский [нет]</t>
  </si>
  <si>
    <t>ж.р. Промышленновский, ул. Промшоссе</t>
  </si>
  <si>
    <t>57.7400000000</t>
  </si>
  <si>
    <t>01.10.2014</t>
  </si>
  <si>
    <t>г Кемерово, ж.р. Промышленновский, ул. Промшоссе, б/н</t>
  </si>
  <si>
    <t>ул. Механическая</t>
  </si>
  <si>
    <t>44</t>
  </si>
  <si>
    <t>п.ст Судженка, ул. Механическая, 44</t>
  </si>
  <si>
    <t>Сети водоснабжения п.ст. Судженка</t>
  </si>
  <si>
    <t>1.2000000000</t>
  </si>
  <si>
    <t>32543000231.0</t>
  </si>
  <si>
    <t>11.0870000000</t>
  </si>
  <si>
    <t>п.ст Судженка, -, -</t>
  </si>
  <si>
    <t>п Турат</t>
  </si>
  <si>
    <t>32543000236</t>
  </si>
  <si>
    <t>ул. Лесная</t>
  </si>
  <si>
    <t>п Турат, ул. Лесная, 5</t>
  </si>
  <si>
    <t>ПНС 9 [нет]</t>
  </si>
  <si>
    <t>пр. Октябрьский</t>
  </si>
  <si>
    <t>61</t>
  </si>
  <si>
    <t>7.8500000000</t>
  </si>
  <si>
    <t>71.0400000000</t>
  </si>
  <si>
    <t>01.05.1987</t>
  </si>
  <si>
    <t>г Кемерово, пр. Октябрьский, 61</t>
  </si>
  <si>
    <t>Сети водоснабжения     с. Колмогорово</t>
  </si>
  <si>
    <t>32546000316.0</t>
  </si>
  <si>
    <t>13.2320000000</t>
  </si>
  <si>
    <t>с Колмогорово, -, -</t>
  </si>
  <si>
    <t>Врезки в водопроводну сеть с. Колмогорово</t>
  </si>
  <si>
    <t>уличная</t>
  </si>
  <si>
    <t>2.3920000000</t>
  </si>
  <si>
    <t>Наружние сети водоснабжения         с. Колмогорово</t>
  </si>
  <si>
    <t>пер.Ленинский</t>
  </si>
  <si>
    <t>От дома№6 до участка №9</t>
  </si>
  <si>
    <t>0.2170000000</t>
  </si>
  <si>
    <t>с Колмогорово, пер.Ленинский, От дома№6 до участка №9</t>
  </si>
  <si>
    <t>д Морковкино</t>
  </si>
  <si>
    <t>32546000196</t>
  </si>
  <si>
    <t>д Морковкино, ул.Молодежная, 1а</t>
  </si>
  <si>
    <t>ВОС Поселкового водозабора</t>
  </si>
  <si>
    <t>32543000051.0</t>
  </si>
  <si>
    <t>ПНС Греческая деревня [нет]</t>
  </si>
  <si>
    <t>ж.р. Кедровка, ул. Греческая деревня</t>
  </si>
  <si>
    <t>восточнее дома  №118</t>
  </si>
  <si>
    <t>6.9500000000</t>
  </si>
  <si>
    <t>17.3000000000</t>
  </si>
  <si>
    <t>13.07.2012</t>
  </si>
  <si>
    <t>г Кемерово, ж.р. Кедровка, ул. Греческая деревня, восточнее дома  №118</t>
  </si>
  <si>
    <t>5"г"</t>
  </si>
  <si>
    <t>с Усманка, ул Молодежная, 5"г"</t>
  </si>
  <si>
    <t>НС-3 Рудничного р-на [нет]</t>
  </si>
  <si>
    <t>пер. Бакинский</t>
  </si>
  <si>
    <t>15 А</t>
  </si>
  <si>
    <t>527.9696038251</t>
  </si>
  <si>
    <t>60.3700000000</t>
  </si>
  <si>
    <t>01.03.1980</t>
  </si>
  <si>
    <t>г Кемерово, пер. Бакинский, 15 А</t>
  </si>
  <si>
    <t>Сети водоснабжения     п. Акация</t>
  </si>
  <si>
    <t>32546000251.0</t>
  </si>
  <si>
    <t>10.2970000000</t>
  </si>
  <si>
    <t>п Акация, -, -</t>
  </si>
  <si>
    <t>скважина №3</t>
  </si>
  <si>
    <t>д Зырянка</t>
  </si>
  <si>
    <t>32546000136</t>
  </si>
  <si>
    <t>14а</t>
  </si>
  <si>
    <t>д Зырянка, ул.Центральная, 14а</t>
  </si>
  <si>
    <t>Скважина №3661(1)</t>
  </si>
  <si>
    <t>6а</t>
  </si>
  <si>
    <t>01.01.1977</t>
  </si>
  <si>
    <t>д Зырянка, ул.Юбилейная, 6а</t>
  </si>
  <si>
    <t>Сети водоснабжения     д. Кулаково</t>
  </si>
  <si>
    <t>32546000176.0</t>
  </si>
  <si>
    <t>3.1760000000</t>
  </si>
  <si>
    <t>д Кулаково, -, -</t>
  </si>
  <si>
    <t>ст Тутальская</t>
  </si>
  <si>
    <t>32546000361</t>
  </si>
  <si>
    <t>ул.Линейная</t>
  </si>
  <si>
    <t>39а</t>
  </si>
  <si>
    <t>16.0000000000</t>
  </si>
  <si>
    <t>ст Тутальская, ул.Линейная, 39а</t>
  </si>
  <si>
    <t>Ковшевой водозабор с насосной станцией 1-ого подъема долина р. Барзас</t>
  </si>
  <si>
    <t>860.0000000000</t>
  </si>
  <si>
    <t>231.0000000000</t>
  </si>
  <si>
    <t>водозабор</t>
  </si>
  <si>
    <t>68.0000000000</t>
  </si>
  <si>
    <t>01.12.1990</t>
  </si>
  <si>
    <t>Насосная станция №2 п.ш. "Березовская"</t>
  </si>
  <si>
    <t>76.0000000000</t>
  </si>
  <si>
    <t>46.0000000000</t>
  </si>
  <si>
    <t>01.11.1975</t>
  </si>
  <si>
    <t>Насосная станция №1 п.ш. "Южная"</t>
  </si>
  <si>
    <t>ул. Гвардейская</t>
  </si>
  <si>
    <t>14.7100000000</t>
  </si>
  <si>
    <t>01.09.1966</t>
  </si>
  <si>
    <t>г Березовский, ул. Гвардейская, нет</t>
  </si>
  <si>
    <t>Насосная станция №2 п.ш. "Южная"</t>
  </si>
  <si>
    <t>ул. Калинина</t>
  </si>
  <si>
    <t>39.0000000000</t>
  </si>
  <si>
    <t>01.09.2004</t>
  </si>
  <si>
    <t>г Березовский, ул. Калинина, нет</t>
  </si>
  <si>
    <t>Cети водоснабжения</t>
  </si>
  <si>
    <t>ул. Ленина</t>
  </si>
  <si>
    <t>160а</t>
  </si>
  <si>
    <t>26.8500000000</t>
  </si>
  <si>
    <t>д Покровка</t>
  </si>
  <si>
    <t>32537000146</t>
  </si>
  <si>
    <t>32537000146.0</t>
  </si>
  <si>
    <t>ул. Зеленая</t>
  </si>
  <si>
    <t>2.8070000000</t>
  </si>
  <si>
    <t>д Покровка, д Покровка, _</t>
  </si>
  <si>
    <t>пгт Верх-Чебула, ул. Советская, 8</t>
  </si>
  <si>
    <t>пгт Верх-Чебула, ул. 40 лет Победы, 1"б"</t>
  </si>
  <si>
    <t>Сети водоснабжения     пгт. Яя</t>
  </si>
  <si>
    <t>75.6095000000</t>
  </si>
  <si>
    <t>пгт Яя, -, -</t>
  </si>
  <si>
    <t>с Ишим</t>
  </si>
  <si>
    <t>32543000266</t>
  </si>
  <si>
    <t>ул. Декабристов, на въезде в с. Ишим</t>
  </si>
  <si>
    <t>с Ишим, ул. Декабристов, на въезде в с. Ишим, -</t>
  </si>
  <si>
    <t>Сети водоснабжения с. Ишим</t>
  </si>
  <si>
    <t>32543000266.0</t>
  </si>
  <si>
    <t>9.8900000000</t>
  </si>
  <si>
    <t>с Ишим, -, -</t>
  </si>
  <si>
    <t>с Кайла</t>
  </si>
  <si>
    <t>32543000271</t>
  </si>
  <si>
    <t>10а</t>
  </si>
  <si>
    <t>с Кайла, ул. Центральная, 10а</t>
  </si>
  <si>
    <t>п. Барзас, ст. Барзас</t>
  </si>
  <si>
    <t>43.0000000000</t>
  </si>
  <si>
    <t>5.0900000000</t>
  </si>
  <si>
    <t>артезианские скважины</t>
  </si>
  <si>
    <t>ул. Мира, пер. Восточный, ул. ст. Барзас</t>
  </si>
  <si>
    <t>33.6445000000</t>
  </si>
  <si>
    <t>94.0000000000</t>
  </si>
  <si>
    <t>д Соболинка</t>
  </si>
  <si>
    <t>32543000161</t>
  </si>
  <si>
    <t>ул. Таежная</t>
  </si>
  <si>
    <t>около дома №55</t>
  </si>
  <si>
    <t>0.0500000000</t>
  </si>
  <si>
    <t>д Соболинка, ул. Таежная, около дома №55</t>
  </si>
  <si>
    <t>Насосно-фильтровальная станция (НФС)</t>
  </si>
  <si>
    <t>520.0000000000</t>
  </si>
  <si>
    <t>230.9200000000</t>
  </si>
  <si>
    <t>НФС</t>
  </si>
  <si>
    <t>Артезианская скважина</t>
  </si>
  <si>
    <t>2"д"</t>
  </si>
  <si>
    <t>4.5000000000</t>
  </si>
  <si>
    <t>п 1-й, ул Школьная, 2"д"</t>
  </si>
  <si>
    <t>Сети водоснабжения     ст. Тутальская</t>
  </si>
  <si>
    <t>32546000361.0</t>
  </si>
  <si>
    <t>7.6940000000</t>
  </si>
  <si>
    <t>ст Тутальская, -, -</t>
  </si>
  <si>
    <t>ПНС ул. Антипова [нет]</t>
  </si>
  <si>
    <t>ул. Антипова</t>
  </si>
  <si>
    <t>67.5111566485</t>
  </si>
  <si>
    <t>22.9900000000</t>
  </si>
  <si>
    <t>30.11.2008</t>
  </si>
  <si>
    <t>г Кемерово, ул. Антипова, б/н</t>
  </si>
  <si>
    <t>ПНС 11 ЦТП [нет]</t>
  </si>
  <si>
    <t>ул. Аврора</t>
  </si>
  <si>
    <t>47.2600000000</t>
  </si>
  <si>
    <t>39.5000000000</t>
  </si>
  <si>
    <t>30.08.2004</t>
  </si>
  <si>
    <t>г Кемерово, ул. Аврора, 6</t>
  </si>
  <si>
    <t>Сети водоснабжения д. Сергеевка</t>
  </si>
  <si>
    <t>32543000156.0</t>
  </si>
  <si>
    <t>3.5100000000</t>
  </si>
  <si>
    <t>Сети водоснабжения с. Улановка</t>
  </si>
  <si>
    <t>32543000291.0</t>
  </si>
  <si>
    <t>7.5110000000</t>
  </si>
  <si>
    <t>с Улановка, -, -</t>
  </si>
  <si>
    <t>с Яя-Борик</t>
  </si>
  <si>
    <t>32543000296</t>
  </si>
  <si>
    <t>около дома № 1В</t>
  </si>
  <si>
    <t>1.5600000000</t>
  </si>
  <si>
    <t>с Яя-Борик, ул. Центральная, около дома № 1В</t>
  </si>
  <si>
    <t>Скважина м-н Южный</t>
  </si>
  <si>
    <t>мкр Южный</t>
  </si>
  <si>
    <t>20"к"</t>
  </si>
  <si>
    <t>01.01.1995</t>
  </si>
  <si>
    <t>пгт Верх-Чебула, мкр Южный, 20"к"</t>
  </si>
  <si>
    <t>Скважина №2 в пойме р. Кия</t>
  </si>
  <si>
    <t>с Чумай, ул Ленинская, 125</t>
  </si>
  <si>
    <t>нфс</t>
  </si>
  <si>
    <t>11а</t>
  </si>
  <si>
    <t>пгт Яшкино, ул.Молодежная, 11а</t>
  </si>
  <si>
    <t>д Ботьево, ул.Новая, 15</t>
  </si>
  <si>
    <t>Сети водоснабжения     д. Ботьево</t>
  </si>
  <si>
    <t>32546000111.0</t>
  </si>
  <si>
    <t>7.2300000000</t>
  </si>
  <si>
    <t>д Ботьево, -, -</t>
  </si>
  <si>
    <t>Скважина №4027</t>
  </si>
  <si>
    <t>п Дубровка</t>
  </si>
  <si>
    <t>32546000256</t>
  </si>
  <si>
    <t>28а</t>
  </si>
  <si>
    <t>п Дубровка, ул.Мира, 28а</t>
  </si>
  <si>
    <t>Сети водоснабжения     д. Каленово</t>
  </si>
  <si>
    <t>32546000146.0</t>
  </si>
  <si>
    <t>1.0730000000</t>
  </si>
  <si>
    <t>д Каленово, -, -</t>
  </si>
  <si>
    <t>сети водоснабжения (техническая вода)</t>
  </si>
  <si>
    <t>п Новоивановский 4-й</t>
  </si>
  <si>
    <t>32537000206</t>
  </si>
  <si>
    <t>ул Трактовая</t>
  </si>
  <si>
    <t>1ж</t>
  </si>
  <si>
    <t>32537000206.0</t>
  </si>
  <si>
    <t>ул Садовая</t>
  </si>
  <si>
    <t>1г</t>
  </si>
  <si>
    <t>0.9860000000</t>
  </si>
  <si>
    <t>п Новоивановский 4-й, ул Трактовая, 1ж</t>
  </si>
  <si>
    <t>НС-3 ж.р. Кедровка (подача на ж.р. Промышленновский) [нет]</t>
  </si>
  <si>
    <t>61.6026867031</t>
  </si>
  <si>
    <t>46.3700000000</t>
  </si>
  <si>
    <t>09.04.1996</t>
  </si>
  <si>
    <t>п Новоивановский 3-й</t>
  </si>
  <si>
    <t>32537000201</t>
  </si>
  <si>
    <t>ул Крымская</t>
  </si>
  <si>
    <t>1н</t>
  </si>
  <si>
    <t>32537000201.0</t>
  </si>
  <si>
    <t>0.6060000000</t>
  </si>
  <si>
    <t>п Новоивановский 3-й, ул Крымская, 1н</t>
  </si>
  <si>
    <t>ул.Сибирская</t>
  </si>
  <si>
    <t>пгт Яшкино, ул.Сибирская, 2</t>
  </si>
  <si>
    <t>ул.Солнечная</t>
  </si>
  <si>
    <t>01.01.1987</t>
  </si>
  <si>
    <t>пгт Яшкино, ул.Солнечная, 4а</t>
  </si>
  <si>
    <t>ул.Дружбы народов</t>
  </si>
  <si>
    <t>пгт Яшкино, ул.Дружбы народов, 13а</t>
  </si>
  <si>
    <t>ул.Гагарина</t>
  </si>
  <si>
    <t>п Ленинский, ул.Гагарина, 2а</t>
  </si>
  <si>
    <t>Сети водоснабжения с. Яя-Борик</t>
  </si>
  <si>
    <t>32543000296.0</t>
  </si>
  <si>
    <t>6.1620000000</t>
  </si>
  <si>
    <t>с Яя-Борик, -, -</t>
  </si>
  <si>
    <t>Скважина №6а</t>
  </si>
  <si>
    <t>в 1200 м на юг от водонапорной башни в пос.Озеровка по ул.Центральной</t>
  </si>
  <si>
    <t>06.04.1967</t>
  </si>
  <si>
    <t>г Ленинск-Кузнецкий, в 1200 м на юг от водонапорной башни в пос.Озеровка по ул.Центральной, б/н</t>
  </si>
  <si>
    <t>Скважина №7а</t>
  </si>
  <si>
    <t>за придорожной полосой автомобильной дороги Новосибирск-Ленинск-Кузнецкий-Кемерово-Юрга, 259 км+500м(справа)</t>
  </si>
  <si>
    <t>корпус 9</t>
  </si>
  <si>
    <t>24.06.1966</t>
  </si>
  <si>
    <t>г Ленинск-Кузнецкий, за придорожной полосой автомобильной дороги Новосибирск-Ленинск-Кузнецкий-Кемерово-Юрга, 259 км+500м(справа), корпус 9</t>
  </si>
  <si>
    <t>Скважина Никитинская 602</t>
  </si>
  <si>
    <t>п Никитинский</t>
  </si>
  <si>
    <t>32514000256</t>
  </si>
  <si>
    <t>ул. Никитинская</t>
  </si>
  <si>
    <t>2"в" сооружение 1</t>
  </si>
  <si>
    <t>15.11.1994</t>
  </si>
  <si>
    <t>п Никитинский, ул. Никитинская, 2"в" сооружение 1</t>
  </si>
  <si>
    <t>Ягуновский водозабор [нет]</t>
  </si>
  <si>
    <t>139.6958105647</t>
  </si>
  <si>
    <t>Водоподготовительная станция</t>
  </si>
  <si>
    <t>с Ягуново</t>
  </si>
  <si>
    <t>32507000456.0</t>
  </si>
  <si>
    <t>с Николаевка</t>
  </si>
  <si>
    <t>32537000221</t>
  </si>
  <si>
    <t>32537000221.0</t>
  </si>
  <si>
    <t>ул Осипова</t>
  </si>
  <si>
    <t>6.2450000000</t>
  </si>
  <si>
    <t>с Николаевка, с Николаевка, _</t>
  </si>
  <si>
    <t>13"а"</t>
  </si>
  <si>
    <t>с Николаевка, ул Осипова, 13"а"</t>
  </si>
  <si>
    <t>ул.Ленина</t>
  </si>
  <si>
    <t>01.01.2005</t>
  </si>
  <si>
    <t>с Пача, ул.Ленина, 1в</t>
  </si>
  <si>
    <t>Насосная станция №12 п.ш. "Южная"</t>
  </si>
  <si>
    <t>10.0900000000</t>
  </si>
  <si>
    <t>56.0000000000</t>
  </si>
  <si>
    <t>01.02.1992</t>
  </si>
  <si>
    <t>г Березовский, ул. Таежная, нет</t>
  </si>
  <si>
    <t>Скважина №1/4076</t>
  </si>
  <si>
    <t>с Пача, ул.Ленина, 2б</t>
  </si>
  <si>
    <t>Скважина №3/1777</t>
  </si>
  <si>
    <t>с Красноселка, ул.Лесная, 2б</t>
  </si>
  <si>
    <t>Скважина №2/3837</t>
  </si>
  <si>
    <t>1б</t>
  </si>
  <si>
    <t>с Красноселка, ул.Лесная, 1б</t>
  </si>
  <si>
    <t>с Пашково</t>
  </si>
  <si>
    <t>32546000346</t>
  </si>
  <si>
    <t>ул.Зеленая</t>
  </si>
  <si>
    <t>с Пашково, ул.Зеленая, 6а</t>
  </si>
  <si>
    <t>ул. Речная</t>
  </si>
  <si>
    <t>п Турат, ул. Речная, 2</t>
  </si>
  <si>
    <t>Сети водоснабжения п. Турат</t>
  </si>
  <si>
    <t>1.8000000000</t>
  </si>
  <si>
    <t>32543000236.0</t>
  </si>
  <si>
    <t>6.1160000000</t>
  </si>
  <si>
    <t>п Турат, -, -</t>
  </si>
  <si>
    <t>д Арышево</t>
  </si>
  <si>
    <t>32543000106</t>
  </si>
  <si>
    <t>0.2000000000</t>
  </si>
  <si>
    <t>д Арышево, -, -</t>
  </si>
  <si>
    <t>Сети водоснабжения     п. Ленинский</t>
  </si>
  <si>
    <t>32546000261.0</t>
  </si>
  <si>
    <t>6.2680000000</t>
  </si>
  <si>
    <t>п Ленинский, -, -</t>
  </si>
  <si>
    <t>Сети водоснабжения     д. Морковкино</t>
  </si>
  <si>
    <t>32546000196.0</t>
  </si>
  <si>
    <t>1.6360000000</t>
  </si>
  <si>
    <t>д Морковкино, -, -</t>
  </si>
  <si>
    <t>Бывшая деревня Ивановка ул.Лесная</t>
  </si>
  <si>
    <t>д Морковкино, Бывшая деревня Ивановка ул.Лесная, 1г</t>
  </si>
  <si>
    <t>ул.Роза-Люксембург</t>
  </si>
  <si>
    <t>18а</t>
  </si>
  <si>
    <t>2.5000000000</t>
  </si>
  <si>
    <t>0.5000000000</t>
  </si>
  <si>
    <t>с Пашково, ул.Роза-Люксембург, 18а</t>
  </si>
  <si>
    <t>Сети водоснабжения д. Арышево</t>
  </si>
  <si>
    <t>32543000106.0</t>
  </si>
  <si>
    <t>3.4850000000</t>
  </si>
  <si>
    <t>с Усть-Серта</t>
  </si>
  <si>
    <t>32537000231</t>
  </si>
  <si>
    <t>32537000231.0</t>
  </si>
  <si>
    <t>ул Кирова</t>
  </si>
  <si>
    <t>9.3420000000</t>
  </si>
  <si>
    <t>с Усть-Серта, с Усть-Серта, _</t>
  </si>
  <si>
    <t>скважина №6 д.Власково</t>
  </si>
  <si>
    <t>д Власково</t>
  </si>
  <si>
    <t>32546000121</t>
  </si>
  <si>
    <t>ул.Нагорная</t>
  </si>
  <si>
    <t>01.01.1984</t>
  </si>
  <si>
    <t>д Власково, ул.Нагорная, 11а</t>
  </si>
  <si>
    <t>скважина №7 д.Власково</t>
  </si>
  <si>
    <t>01.01.1996</t>
  </si>
  <si>
    <t>д Власково, ул.Центральная, 2а</t>
  </si>
  <si>
    <t>НС-3 Кировского р-на [нет]</t>
  </si>
  <si>
    <t>1250.0000000000</t>
  </si>
  <si>
    <t>703.5878870674</t>
  </si>
  <si>
    <t>д Сосновый Острог</t>
  </si>
  <si>
    <t>32546000236</t>
  </si>
  <si>
    <t>ул.Весенняя</t>
  </si>
  <si>
    <t>0.4000000000</t>
  </si>
  <si>
    <t>д Сосновый Острог, ул.Весенняя, 1а</t>
  </si>
  <si>
    <t>Скважина №20/3671</t>
  </si>
  <si>
    <t>п.ст Литвиново</t>
  </si>
  <si>
    <t>32546000281</t>
  </si>
  <si>
    <t>п.ст Литвиново, ул.Молодежная, 14а</t>
  </si>
  <si>
    <t>ПНС 16 [нет]</t>
  </si>
  <si>
    <t>ул. Волгоградская</t>
  </si>
  <si>
    <t>8 А</t>
  </si>
  <si>
    <t>5.8400000000</t>
  </si>
  <si>
    <t>80.4200000000</t>
  </si>
  <si>
    <t>01.08.1983</t>
  </si>
  <si>
    <t>г Кемерово, ул. Волгоградская, 8 А</t>
  </si>
  <si>
    <t>Скважина №429/2813</t>
  </si>
  <si>
    <t>ул.Октябрьская</t>
  </si>
  <si>
    <t>31а</t>
  </si>
  <si>
    <t>п.ст Литвиново, ул.Октябрьская, 31а</t>
  </si>
  <si>
    <t>Барзасский водоподъем долина р. Барзас (в резерве)</t>
  </si>
  <si>
    <t>249.0000000000</t>
  </si>
  <si>
    <t>92.0000000000</t>
  </si>
  <si>
    <t>п. Барзас</t>
  </si>
  <si>
    <t>ул. Мира, пер. Восточный</t>
  </si>
  <si>
    <t>23.0000000000</t>
  </si>
  <si>
    <t>2.8900000000</t>
  </si>
  <si>
    <t>01.12.1968</t>
  </si>
  <si>
    <t>г Березовский, ул. Мира, пер. Восточный, нет</t>
  </si>
  <si>
    <t>д Орлово-Розово</t>
  </si>
  <si>
    <t>32537000136</t>
  </si>
  <si>
    <t>32537000136.0</t>
  </si>
  <si>
    <t>2.6750000000</t>
  </si>
  <si>
    <t>д Орлово-Розово, д Орлово-Розово, _</t>
  </si>
  <si>
    <t>ул Губернаторская</t>
  </si>
  <si>
    <t>23"а"</t>
  </si>
  <si>
    <t>01.01.2012</t>
  </si>
  <si>
    <t>пгт Верх-Чебула, ул Губернаторская, 23"а"</t>
  </si>
  <si>
    <t>станция повышения давления</t>
  </si>
  <si>
    <t>ул Ленина</t>
  </si>
  <si>
    <t>01.01.2013</t>
  </si>
  <si>
    <t>пгт Верх-Чебула, ул Ленина, 160а</t>
  </si>
  <si>
    <t>ул Зеленая</t>
  </si>
  <si>
    <t>14"а"</t>
  </si>
  <si>
    <t>д Покровка, ул Зеленая, 14"а"</t>
  </si>
  <si>
    <t>НС-2</t>
  </si>
  <si>
    <t>В 150м на север от ж.д. №14 по ул.1-я Осиновка</t>
  </si>
  <si>
    <t>01.01.1955</t>
  </si>
  <si>
    <t>пгт Яшкино, В 150м на север от ж.д. №14 по ул.1-я Осиновка, -</t>
  </si>
  <si>
    <t>д Данковка</t>
  </si>
  <si>
    <t>32543000111</t>
  </si>
  <si>
    <t>д Данковка, ул. Молодежная, -</t>
  </si>
  <si>
    <t>ул. Красная Горка</t>
  </si>
  <si>
    <t>с Кайла, ул. Красная Горка, -</t>
  </si>
  <si>
    <t>Сети водоснабжения с. Кайла</t>
  </si>
  <si>
    <t>32543000271.0</t>
  </si>
  <si>
    <t>7.1300000000</t>
  </si>
  <si>
    <t>с Кайла, -, -</t>
  </si>
  <si>
    <t>с Мальцево</t>
  </si>
  <si>
    <t>32543000276</t>
  </si>
  <si>
    <t>0.1700000000</t>
  </si>
  <si>
    <t>с Мальцево, -, -</t>
  </si>
  <si>
    <t>п. Октябрьский (техническая вода)</t>
  </si>
  <si>
    <t>5.5000000000</t>
  </si>
  <si>
    <t>насосная станция 1</t>
  </si>
  <si>
    <t>НС 1 в лесу</t>
  </si>
  <si>
    <t>технологическая</t>
  </si>
  <si>
    <t>3.1090000000</t>
  </si>
  <si>
    <t>98.0000000000</t>
  </si>
  <si>
    <t>Водозабор- насосная станция 1-го подъема</t>
  </si>
  <si>
    <t>пгт Крапивинский</t>
  </si>
  <si>
    <t>32510000051</t>
  </si>
  <si>
    <t>пгт. Крапивинский</t>
  </si>
  <si>
    <t>корпус 1</t>
  </si>
  <si>
    <t>9600.0000000000</t>
  </si>
  <si>
    <t>2237.0000000000</t>
  </si>
  <si>
    <t>техническая</t>
  </si>
  <si>
    <t>72.0000000000</t>
  </si>
  <si>
    <t>пгт Крапивинский, пгт. Крапивинский, корпус 1</t>
  </si>
  <si>
    <t>п Новоивановский 2-й</t>
  </si>
  <si>
    <t>32537000196</t>
  </si>
  <si>
    <t>ул Весенняя</t>
  </si>
  <si>
    <t>11н</t>
  </si>
  <si>
    <t>32537000196.0</t>
  </si>
  <si>
    <t>0.4440000000</t>
  </si>
  <si>
    <t>п Новоивановский 2-й, ул Весенняя, 11н</t>
  </si>
  <si>
    <t>Скважина №16/433</t>
  </si>
  <si>
    <t>ул.Больничная</t>
  </si>
  <si>
    <t>7а</t>
  </si>
  <si>
    <t>п.ст Литвиново, ул.Больничная, 7а</t>
  </si>
  <si>
    <t>п.ст Литвиново, ул.Железнодорожная, 17</t>
  </si>
  <si>
    <t>п Октябрьский</t>
  </si>
  <si>
    <t>32546000266</t>
  </si>
  <si>
    <t>п Октябрьский, ул.Октябрьская, 20</t>
  </si>
  <si>
    <t>Сети водоснабжения     п. Октябрьский</t>
  </si>
  <si>
    <t>32546000266.0</t>
  </si>
  <si>
    <t>1.3750000000</t>
  </si>
  <si>
    <t>п Октябрьский, -, -</t>
  </si>
  <si>
    <t>Сети водоснабжения д. Соболинка</t>
  </si>
  <si>
    <t>32543000161.0</t>
  </si>
  <si>
    <t>1.2100000000</t>
  </si>
  <si>
    <t>д Соболинка, -, -</t>
  </si>
  <si>
    <t>п Безлесный</t>
  </si>
  <si>
    <t>32543000176</t>
  </si>
  <si>
    <t>1.4700000000</t>
  </si>
  <si>
    <t>п Безлесный, -, -</t>
  </si>
  <si>
    <t>Скважина п - 1-й</t>
  </si>
  <si>
    <t>ул. Филина</t>
  </si>
  <si>
    <t>2г</t>
  </si>
  <si>
    <t>0.4100000000</t>
  </si>
  <si>
    <t>бесхозное имущество</t>
  </si>
  <si>
    <t>передаточный акт</t>
  </si>
  <si>
    <t>https://portal.eias.ru/Portal/DownloadPage.aspx?type=12&amp;guid=f8ca966d-7520-49d6-a936-854e235aa50b</t>
  </si>
  <si>
    <t>бесхозяйный объект</t>
  </si>
  <si>
    <t>736-п</t>
  </si>
  <si>
    <t>09.11.2022</t>
  </si>
  <si>
    <t>п 1-й, ул. Филина, 2г</t>
  </si>
  <si>
    <t>НС-3</t>
  </si>
  <si>
    <t>ул.Куйбышева</t>
  </si>
  <si>
    <t>9а</t>
  </si>
  <si>
    <t>пгт Яшкино, ул.Куйбышева, 9а</t>
  </si>
  <si>
    <t>Сети водоснабжения     п. Дубровка</t>
  </si>
  <si>
    <t>32546000256.0</t>
  </si>
  <si>
    <t>5.7540000000</t>
  </si>
  <si>
    <t>п Дубровка, -, -</t>
  </si>
  <si>
    <t>п.ст Хопкино</t>
  </si>
  <si>
    <t>32546000291</t>
  </si>
  <si>
    <t>33а</t>
  </si>
  <si>
    <t>п.ст Хопкино, ул.Железнодорожная, 33а</t>
  </si>
  <si>
    <t>Сети водоснабжения     п/ст. Хопкино</t>
  </si>
  <si>
    <t>32546000291.0</t>
  </si>
  <si>
    <t>2.7320000000</t>
  </si>
  <si>
    <t>п.ст Хопкино, -, -</t>
  </si>
  <si>
    <t>с Пача, ул.Ленина, 2г</t>
  </si>
  <si>
    <t>ПНС 17/1 [нет]</t>
  </si>
  <si>
    <t>пр. Московский</t>
  </si>
  <si>
    <t>26.4500000000</t>
  </si>
  <si>
    <t>68.5400000000</t>
  </si>
  <si>
    <t>01.05.1988</t>
  </si>
  <si>
    <t>г Кемерово, пр. Московский, 27</t>
  </si>
  <si>
    <t>Скважина №1/4077</t>
  </si>
  <si>
    <t>с Пача, ул.Ленина, 2в</t>
  </si>
  <si>
    <t>ул.Лесоводов</t>
  </si>
  <si>
    <t>29а</t>
  </si>
  <si>
    <t>пгт Яшкино, ул.Лесоводов, 29а</t>
  </si>
  <si>
    <t>ул.Энтузиастов</t>
  </si>
  <si>
    <t>26а</t>
  </si>
  <si>
    <t>6.3000000000</t>
  </si>
  <si>
    <t>пгт Яшкино, ул.Энтузиастов, 26а</t>
  </si>
  <si>
    <t>Скважина №9/4546</t>
  </si>
  <si>
    <t>ул.Колхозная</t>
  </si>
  <si>
    <t>22а</t>
  </si>
  <si>
    <t>пгт Яшкино, ул.Колхозная, 22а</t>
  </si>
  <si>
    <t>Скважина №8/4422</t>
  </si>
  <si>
    <t>ул.Коллективная</t>
  </si>
  <si>
    <t>34а</t>
  </si>
  <si>
    <t>пгт Яшкино, ул.Коллективная, 34а</t>
  </si>
  <si>
    <t>д Саломатово</t>
  </si>
  <si>
    <t>32546000221</t>
  </si>
  <si>
    <t>д Саломатово, ул.Весенняя, 2а</t>
  </si>
  <si>
    <t>Сети водоснабжения     д. Саломатово</t>
  </si>
  <si>
    <t>32546000221.0</t>
  </si>
  <si>
    <t>4.1350000000</t>
  </si>
  <si>
    <t>д Саломатово, -, -</t>
  </si>
  <si>
    <t>пер.Мирный</t>
  </si>
  <si>
    <t>с Пашково, пер.Мирный, 7а</t>
  </si>
  <si>
    <t>ул.Леонова</t>
  </si>
  <si>
    <t>43</t>
  </si>
  <si>
    <t>01.01.1956</t>
  </si>
  <si>
    <t>с Пашково, ул.Леонова, 43</t>
  </si>
  <si>
    <t>Скважина п - Новоивановский</t>
  </si>
  <si>
    <t>п Новоивановский</t>
  </si>
  <si>
    <t>32537000191</t>
  </si>
  <si>
    <t>6.2500000000</t>
  </si>
  <si>
    <t>https://portal.eias.ru/Portal/DownloadPage.aspx?type=12&amp;guid=8b62a477-99cd-4972-94b5-5e89683290da</t>
  </si>
  <si>
    <t>№369-п</t>
  </si>
  <si>
    <t>01.06.2022</t>
  </si>
  <si>
    <t>п Новоивановский, ул. Школьная, 18</t>
  </si>
  <si>
    <t>Скважина Никитинская 534</t>
  </si>
  <si>
    <t>2"б"</t>
  </si>
  <si>
    <t>п Никитинский, ул. Никитинская, 2"б"</t>
  </si>
  <si>
    <t>г. Ленинск-Кузнецкий</t>
  </si>
  <si>
    <t>32510000.0</t>
  </si>
  <si>
    <t>32510000051.0</t>
  </si>
  <si>
    <t>555.1600000000</t>
  </si>
  <si>
    <t>292.4000000000</t>
  </si>
  <si>
    <t>52.6000000000</t>
  </si>
  <si>
    <t>37.2500000000</t>
  </si>
  <si>
    <t>132.9100000000</t>
  </si>
  <si>
    <t>79.9000000000</t>
  </si>
  <si>
    <t>г Ленинск-Кузнецкий, г. Ленинск-Кузнецкий, -</t>
  </si>
  <si>
    <t>ул 60 лет ВЛКСМ</t>
  </si>
  <si>
    <t>19"а"</t>
  </si>
  <si>
    <t>с Усть-Серта, ул 60 лет ВЛКСМ, 19"а"</t>
  </si>
  <si>
    <t>ул Сибирская</t>
  </si>
  <si>
    <t>26"а"</t>
  </si>
  <si>
    <t>с Усть-Серта, ул Сибирская, 26"а"</t>
  </si>
  <si>
    <t>п Чиндатский</t>
  </si>
  <si>
    <t>32543000241</t>
  </si>
  <si>
    <t>ул. Возрождения</t>
  </si>
  <si>
    <t>около дома №13</t>
  </si>
  <si>
    <t>0.1500000000</t>
  </si>
  <si>
    <t>п Чиндатский, ул. Возрождения, около дома №13</t>
  </si>
  <si>
    <t>Сети водоснабжения     д. Власково</t>
  </si>
  <si>
    <t>32546000121.0</t>
  </si>
  <si>
    <t>2.6430000000</t>
  </si>
  <si>
    <t>д Власково, -, -</t>
  </si>
  <si>
    <t>д Нижняя Тайменка</t>
  </si>
  <si>
    <t>32546000206</t>
  </si>
  <si>
    <t>ул.Кирпичная</t>
  </si>
  <si>
    <t>5а</t>
  </si>
  <si>
    <t>д Нижняя Тайменка, ул.Кирпичная, 5а</t>
  </si>
  <si>
    <t>пер.Кедровый</t>
  </si>
  <si>
    <t>1.5000000000</t>
  </si>
  <si>
    <t>с Пашково, пер.Кедровый, 6а</t>
  </si>
  <si>
    <t>Сети водоснабжения     д. Зырянка</t>
  </si>
  <si>
    <t>32546000136.0</t>
  </si>
  <si>
    <t>4.0970000000</t>
  </si>
  <si>
    <t>д Зырянка, -, -</t>
  </si>
  <si>
    <t>Сети водоснабжения     д. Балахнино</t>
  </si>
  <si>
    <t>32546000106.0</t>
  </si>
  <si>
    <t>1.6690000000</t>
  </si>
  <si>
    <t>д Балахнино, -, -</t>
  </si>
  <si>
    <t>Сети водоснабжения п. Чиндатский</t>
  </si>
  <si>
    <t>32543000241.0</t>
  </si>
  <si>
    <t>0.9200000000</t>
  </si>
  <si>
    <t>п Чиндатский, -, -</t>
  </si>
  <si>
    <t>с Бекет</t>
  </si>
  <si>
    <t>32543000251</t>
  </si>
  <si>
    <t>бывший скотный двор</t>
  </si>
  <si>
    <t>0.5700000000</t>
  </si>
  <si>
    <t>с Бекет, бывший скотный двор, -</t>
  </si>
  <si>
    <t>ст. Барзас</t>
  </si>
  <si>
    <t>ул. Станция Барзас</t>
  </si>
  <si>
    <t>01.12.1998</t>
  </si>
  <si>
    <t>г Березовский, ул. Станция Барзас, нет</t>
  </si>
  <si>
    <t>Насосная станция 3-ого подъема</t>
  </si>
  <si>
    <t>ул. Строителей</t>
  </si>
  <si>
    <t>630.0000000000</t>
  </si>
  <si>
    <t>354.3700000000</t>
  </si>
  <si>
    <t>01.12.1971</t>
  </si>
  <si>
    <t>г Березовский, ул. Строителей, 6</t>
  </si>
  <si>
    <t>с Пашково, ул.Коммунистическая, 13а</t>
  </si>
  <si>
    <t>с Пашково, ул.Леонова, 4а</t>
  </si>
  <si>
    <t>Сети водоснабжения д. Данковка</t>
  </si>
  <si>
    <t>32543000111.0</t>
  </si>
  <si>
    <t>3.5700000000</t>
  </si>
  <si>
    <t>д Данковка, -, -</t>
  </si>
  <si>
    <t>Скважина №3588</t>
  </si>
  <si>
    <t>д Емельяновка</t>
  </si>
  <si>
    <t>32543000116</t>
  </si>
  <si>
    <t>за домом 28</t>
  </si>
  <si>
    <t>0.5600000000</t>
  </si>
  <si>
    <t>д Емельяновка, ул. Центральная, за домом 28</t>
  </si>
  <si>
    <t>Сети водоснабжения с. Мальцево</t>
  </si>
  <si>
    <t>32543000276.0</t>
  </si>
  <si>
    <t>2.8500000000</t>
  </si>
  <si>
    <t>Насосная станция 2-го подъема</t>
  </si>
  <si>
    <t>1 км автомобильной дороги Крапивинский-Панфилово</t>
  </si>
  <si>
    <t>8000.0000000000</t>
  </si>
  <si>
    <t>пгт Крапивинский, 1 км автомобильной дороги Крапивинский-Панфилово, б/н</t>
  </si>
  <si>
    <t>Насосная станция 3-го подъема</t>
  </si>
  <si>
    <t>8 км автомобильной дороги Крапивинский-Панфилово</t>
  </si>
  <si>
    <t>8600.0000000000</t>
  </si>
  <si>
    <t>пгт Крапивинский, 8 км автомобильной дороги Крапивинский-Панфилово, б/н</t>
  </si>
  <si>
    <t>Скважина №3662(4750)</t>
  </si>
  <si>
    <t>д Нижняя Тайменка, ул.Центральная, 7а</t>
  </si>
  <si>
    <t>ул.Строителей (АБЗ)</t>
  </si>
  <si>
    <t>п.ст Литвиново, ул.Строителей (АБЗ), 2б</t>
  </si>
  <si>
    <t>Скважина №2382</t>
  </si>
  <si>
    <t>д Литвиново</t>
  </si>
  <si>
    <t>32546000181</t>
  </si>
  <si>
    <t>д Литвиново, ул.Центральная, 5а</t>
  </si>
  <si>
    <t>Сети водоснабжения     п/ст. Литвиново</t>
  </si>
  <si>
    <t>32546000281.0</t>
  </si>
  <si>
    <t>11.9980000000</t>
  </si>
  <si>
    <t>п.ст Литвиново, -, -</t>
  </si>
  <si>
    <t>с Таловка</t>
  </si>
  <si>
    <t>32546000356</t>
  </si>
  <si>
    <t>с Таловка, ул.Молодежная, -</t>
  </si>
  <si>
    <t>ул.Тайгинская</t>
  </si>
  <si>
    <t>01.01.1966</t>
  </si>
  <si>
    <t>с Таловка, ул.Тайгинская, -</t>
  </si>
  <si>
    <t>п Воскресенка (Суровка)</t>
  </si>
  <si>
    <t>32543000181</t>
  </si>
  <si>
    <t>ул. Весенняя</t>
  </si>
  <si>
    <t>п Воскресенка (Суровка), ул. Весенняя, -</t>
  </si>
  <si>
    <t>НФС-2 НС ковшевого водозабора [нет]</t>
  </si>
  <si>
    <t>5671.3300000000</t>
  </si>
  <si>
    <t>35.0000000000</t>
  </si>
  <si>
    <t>01.10.1980</t>
  </si>
  <si>
    <t>ул Центральная 200м на восток от дома №65</t>
  </si>
  <si>
    <t>д Орлово-Розово, ул Центральная 200м на восток от дома №65, _</t>
  </si>
  <si>
    <t>32537000211.0</t>
  </si>
  <si>
    <t>43в</t>
  </si>
  <si>
    <t>5.4610000000</t>
  </si>
  <si>
    <t>с Алчедат, с Алчедат, _</t>
  </si>
  <si>
    <t>Скважина №7/9_54</t>
  </si>
  <si>
    <t>пер. Базарный</t>
  </si>
  <si>
    <t>пгт Яшкино, пер. Базарный, 11а</t>
  </si>
  <si>
    <t>Скважина №12/4627</t>
  </si>
  <si>
    <t>ул.Фестивальная</t>
  </si>
  <si>
    <t>пгт Яшкино, ул.Фестивальная, 7а</t>
  </si>
  <si>
    <t>с Колмогорово, ул.Ленинская, 9а</t>
  </si>
  <si>
    <t>Скважина №3/2865</t>
  </si>
  <si>
    <t>63а</t>
  </si>
  <si>
    <t>01.01.1983</t>
  </si>
  <si>
    <t>с Колмогорово, ул.Мирная, 63а</t>
  </si>
  <si>
    <t>НФС               Насосная станция 5-го подъема</t>
  </si>
  <si>
    <t>п Демьяновка</t>
  </si>
  <si>
    <t>32514000181</t>
  </si>
  <si>
    <t>пер. Новый</t>
  </si>
  <si>
    <t>18, корпус 8</t>
  </si>
  <si>
    <t>п Демьяновка, пер. Новый, 18, корпус 8</t>
  </si>
  <si>
    <t>Насосная станция Демьяновский ГУ Гидроузел №1</t>
  </si>
  <si>
    <t>за придорожной полосой автомобильной дороги Новосибирск-Ленинск-Кузнецкий-Кемерово-Юрга, 259 км+500м(справа) корпус 5</t>
  </si>
  <si>
    <t>корпус 5</t>
  </si>
  <si>
    <t>1600.0000000000</t>
  </si>
  <si>
    <t>10.03.1981</t>
  </si>
  <si>
    <t>п Демьяновка, за придорожной полосой автомобильной дороги Новосибирск-Ленинск-Кузнецкий-Кемерово-Юрга, 259 км+500м(справа) корпус 5, корпус 5</t>
  </si>
  <si>
    <t>3а</t>
  </si>
  <si>
    <t>32537000191.0</t>
  </si>
  <si>
    <t>3.8670000000</t>
  </si>
  <si>
    <t>п Новоивановский, ул Трактовая, 3а</t>
  </si>
  <si>
    <t>Буровая водозаборная разведочно-эксплуатационная скважина</t>
  </si>
  <si>
    <t>1"г"</t>
  </si>
  <si>
    <t>01.01.2018</t>
  </si>
  <si>
    <t>п Новоивановский, ул Садовая, 1"г"</t>
  </si>
  <si>
    <t>32537000126.0</t>
  </si>
  <si>
    <t>1.3630000000</t>
  </si>
  <si>
    <t>ул.Шоссейная</t>
  </si>
  <si>
    <t>23б</t>
  </si>
  <si>
    <t>пгт Яшкино, ул.Шоссейная, 23б</t>
  </si>
  <si>
    <t>136г</t>
  </si>
  <si>
    <t>пгт Яшкино, ул.Советская, 136г</t>
  </si>
  <si>
    <t>Сети водоснабжения п. Безлесный</t>
  </si>
  <si>
    <t>32543000176.0</t>
  </si>
  <si>
    <t>6.2430000000</t>
  </si>
  <si>
    <t>Сети водоснабжения п. Воскресенка</t>
  </si>
  <si>
    <t>32543000181.0</t>
  </si>
  <si>
    <t>1.6500000000</t>
  </si>
  <si>
    <t>п Воскресенка (Суровка), -, -</t>
  </si>
  <si>
    <t>Скважина с - Чумай</t>
  </si>
  <si>
    <t>ул. Подгорная</t>
  </si>
  <si>
    <t>с Чумай, ул. Подгорная, 13а</t>
  </si>
  <si>
    <t>НФС-2, НС-2 подъема (Левый берег)</t>
  </si>
  <si>
    <t>7837.5000000000</t>
  </si>
  <si>
    <t>4499.4359061931</t>
  </si>
  <si>
    <t>зона А, зона Б, гидроузел №4, ПНС 9, ПНС 14, ПНС 16, ПНС 17/1, ПНС 17/2, ПНС 19, ПНС 54, ПНС 11 ЦТП, ПНС 52</t>
  </si>
  <si>
    <t>911.4967000000</t>
  </si>
  <si>
    <t>694.4603000000</t>
  </si>
  <si>
    <t>121.7644000000</t>
  </si>
  <si>
    <t>44.7460000000</t>
  </si>
  <si>
    <t>21.5800000000</t>
  </si>
  <si>
    <t>28.9460000000</t>
  </si>
  <si>
    <t>3.6800000000</t>
  </si>
  <si>
    <t>6.5100000000</t>
  </si>
  <si>
    <t>901.3067000000</t>
  </si>
  <si>
    <t>687.9503000000</t>
  </si>
  <si>
    <t>25.2660000000</t>
  </si>
  <si>
    <t>Барзасский водозабор НС 2-го подъема [нет]</t>
  </si>
  <si>
    <t>369.8568989071</t>
  </si>
  <si>
    <t>НС-3 ж.р. Кедровка, НС-4 ж.р. Промышленновский, ПНС Лапичево, ПНС Греческая деревня</t>
  </si>
  <si>
    <t>231.1645000000</t>
  </si>
  <si>
    <t>197.2350000000</t>
  </si>
  <si>
    <t>33.7995000000</t>
  </si>
  <si>
    <t>0.1300000000</t>
  </si>
  <si>
    <t>21.3600000000</t>
  </si>
  <si>
    <t>209.8045000000</t>
  </si>
  <si>
    <t>12.4395000000</t>
  </si>
  <si>
    <t>1 км южнее г Кемерово и 1 км восточнее автодороги Кемерово-Промышленная</t>
  </si>
  <si>
    <t>158.3000000000</t>
  </si>
  <si>
    <t>62.0800000000</t>
  </si>
  <si>
    <t>г Кемерово, 1 км южнее г Кемерово и 1 км восточнее автодороги Кемерово-Промышленная, б/н</t>
  </si>
  <si>
    <t>г Полысаево</t>
  </si>
  <si>
    <t>32514000006</t>
  </si>
  <si>
    <t>г. Полысаево</t>
  </si>
  <si>
    <t>4000.0000000000</t>
  </si>
  <si>
    <t>1150.0000000000</t>
  </si>
  <si>
    <t>32514000.0</t>
  </si>
  <si>
    <t>32514000006.0</t>
  </si>
  <si>
    <t>167.9900000000</t>
  </si>
  <si>
    <t>156.7000000000</t>
  </si>
  <si>
    <t>3.7900000000</t>
  </si>
  <si>
    <t>7.5000000000</t>
  </si>
  <si>
    <t>https://portal.eias.ru/Portal/DownloadPage.aspx?type=12&amp;guid=b5abaa24-f7b1-46b0-816a-a02115bbccbe</t>
  </si>
  <si>
    <t>https://portal.eias.ru/Portal/DownloadPage.aspx?type=12&amp;guid=e2dfbb37-35b0-4f34-be6b-c51be3651fd2</t>
  </si>
  <si>
    <t>г Полысаево, г. Полысаево, -</t>
  </si>
  <si>
    <t>Сети водоснабжения     с. Пача</t>
  </si>
  <si>
    <t>32546000341.0</t>
  </si>
  <si>
    <t>12.0700000000</t>
  </si>
  <si>
    <t>с Пача, -, -</t>
  </si>
  <si>
    <t>Врезки в водопроводну сеть с. Пача</t>
  </si>
  <si>
    <t>0.5630000000</t>
  </si>
  <si>
    <t>Сети водоснабжения с. Бекет</t>
  </si>
  <si>
    <t>32543000251.0</t>
  </si>
  <si>
    <t>5.6220000000</t>
  </si>
  <si>
    <t>с Бекет, -, -</t>
  </si>
  <si>
    <t>п. Октябрьский</t>
  </si>
  <si>
    <t>1040.0000000000</t>
  </si>
  <si>
    <t>360.0000000000</t>
  </si>
  <si>
    <t>насосные станции 1,2,3-го подъема, Барзасский подъем</t>
  </si>
  <si>
    <t>3-я НС ул. Строителей, 1, 2-я НС в лесу</t>
  </si>
  <si>
    <t>113.5929100000</t>
  </si>
  <si>
    <t>98.5840100000</t>
  </si>
  <si>
    <t>2.9219000000</t>
  </si>
  <si>
    <t>12.0870000000</t>
  </si>
  <si>
    <t>п.ш. "Березовская"</t>
  </si>
  <si>
    <t>в лесу</t>
  </si>
  <si>
    <t>84.6090000000</t>
  </si>
  <si>
    <t>83.5030000000</t>
  </si>
  <si>
    <t>1.1060000000</t>
  </si>
  <si>
    <t>97.0000000000</t>
  </si>
  <si>
    <t>Водопроводные сети пгт Яшкино</t>
  </si>
  <si>
    <t>Насоосная станция</t>
  </si>
  <si>
    <t>32546000051.0</t>
  </si>
  <si>
    <t>65.1940000000</t>
  </si>
  <si>
    <t>пгт Яшкино, -, -</t>
  </si>
  <si>
    <t>ул. Братьев Сидельниковых</t>
  </si>
  <si>
    <t>д Юрты-Константиновы, ул. Братьев Сидельниковых, 1а</t>
  </si>
  <si>
    <t>ПНС 19 [нет]</t>
  </si>
  <si>
    <t>142 А</t>
  </si>
  <si>
    <t>11.9300000000</t>
  </si>
  <si>
    <t>г Кемерово, пр. Ленина, 142 А</t>
  </si>
  <si>
    <t>Скважина №1174</t>
  </si>
  <si>
    <t>Ближе к двум домам по ул. Советская,1а</t>
  </si>
  <si>
    <t>пгт Верх-Чебула, ул. 40 лет Победы, Ближе к двум домам по ул. Советская,1а</t>
  </si>
  <si>
    <t>Сети водоснабжения     с. Пашково</t>
  </si>
  <si>
    <t>32546000346.0</t>
  </si>
  <si>
    <t>9.3620000000</t>
  </si>
  <si>
    <t>с Пашково, -, -</t>
  </si>
  <si>
    <t>ПНС 54 (не работает) [нет]</t>
  </si>
  <si>
    <t>ул. Сибиряков-Гвардейцев</t>
  </si>
  <si>
    <t>19 А</t>
  </si>
  <si>
    <t>87.0800000000</t>
  </si>
  <si>
    <t>01.12.1980</t>
  </si>
  <si>
    <t>г Кемерово, ул. Сибиряков-Гвардейцев, 19 А</t>
  </si>
  <si>
    <t>ул.Верхняя</t>
  </si>
  <si>
    <t>12б</t>
  </si>
  <si>
    <t>д Северная, ул.Верхняя, 12б</t>
  </si>
  <si>
    <t>Сети водоснабжения д. Емельяновка</t>
  </si>
  <si>
    <t>32543000116.0</t>
  </si>
  <si>
    <t>3.0220000000</t>
  </si>
  <si>
    <t>д Емельяновка, -, -</t>
  </si>
  <si>
    <t>Гидроузел №6</t>
  </si>
  <si>
    <t>проезд Межквартальный,</t>
  </si>
  <si>
    <t>д.7, строение 2</t>
  </si>
  <si>
    <t>3600.0000000000</t>
  </si>
  <si>
    <t>504.0000000000</t>
  </si>
  <si>
    <t>г Полысаево, проезд Межквартальный,, д.7, строение 2</t>
  </si>
  <si>
    <t>Насосная пос.Красногорский</t>
  </si>
  <si>
    <t>п Красногорский</t>
  </si>
  <si>
    <t>32514000231</t>
  </si>
  <si>
    <t>ул. Магистральная</t>
  </si>
  <si>
    <t>строение 1</t>
  </si>
  <si>
    <t>200.0000000000</t>
  </si>
  <si>
    <t>33.4000000000</t>
  </si>
  <si>
    <t>п Красногорский, ул. Магистральная, строение 1</t>
  </si>
  <si>
    <t>11"а"</t>
  </si>
  <si>
    <t>с Усть-Серта, ул Кирова, 11"а"</t>
  </si>
  <si>
    <t>32537000121.0</t>
  </si>
  <si>
    <t>8.3930000000</t>
  </si>
  <si>
    <t>д Курск-Смоленка, д Курск-Смоленка, _</t>
  </si>
  <si>
    <t>Сети водоснабжения     д. Нижняя-Тайменка</t>
  </si>
  <si>
    <t>32546000206.0</t>
  </si>
  <si>
    <t>2.4050000000</t>
  </si>
  <si>
    <t>д Нижняя Тайменка, -, -</t>
  </si>
  <si>
    <t>Скважина №8</t>
  </si>
  <si>
    <t>ул.Набережная</t>
  </si>
  <si>
    <t>д Крылово, ул.Набережная, 4а</t>
  </si>
  <si>
    <t>19а</t>
  </si>
  <si>
    <t>д Марьевка, ул. Школьная, 19а</t>
  </si>
  <si>
    <t>ул. Федорова</t>
  </si>
  <si>
    <t>12а</t>
  </si>
  <si>
    <t>1.6000000000</t>
  </si>
  <si>
    <t>д Марьевка, ул. Федорова, 12а</t>
  </si>
  <si>
    <t>напротив дома №11</t>
  </si>
  <si>
    <t>с Новониколаевка, ул. Школьная, напротив дома №11</t>
  </si>
  <si>
    <t>за домом №6</t>
  </si>
  <si>
    <t>0.0100000000</t>
  </si>
  <si>
    <t>с Новониколаевка, ул. Школьная, за домом №6</t>
  </si>
  <si>
    <t>ул. Садовая</t>
  </si>
  <si>
    <t>за домом №1б</t>
  </si>
  <si>
    <t>с Новониколаевка, ул. Садовая, за домом №1б</t>
  </si>
  <si>
    <t>Насосная станция  Гидроузел №2</t>
  </si>
  <si>
    <t>проезд Объездная дорога</t>
  </si>
  <si>
    <t>7500.0000000000</t>
  </si>
  <si>
    <t>г Ленинск-Кузнецкий, проезд Объездная дорога, 13</t>
  </si>
  <si>
    <t>насосная станция Подъем №2</t>
  </si>
  <si>
    <t>пр.Кирова</t>
  </si>
  <si>
    <t>20а</t>
  </si>
  <si>
    <t>400.0000000000</t>
  </si>
  <si>
    <t>г Ленинск-Кузнецкий, пр.Кирова, 20а</t>
  </si>
  <si>
    <t>Сети водоснабжения     д. Литвиново</t>
  </si>
  <si>
    <t>32546000181.0</t>
  </si>
  <si>
    <t>1.8430000000</t>
  </si>
  <si>
    <t>д Литвиново, -, -</t>
  </si>
  <si>
    <t>Сети водоснабжения     с. Таловка</t>
  </si>
  <si>
    <t>32546000356.0</t>
  </si>
  <si>
    <t>7.2970000000</t>
  </si>
  <si>
    <t>с Таловка, -, -</t>
  </si>
  <si>
    <t>с Таловка, ул.Новая, -</t>
  </si>
  <si>
    <t>п Шахтер, ул.Лесная, 9а</t>
  </si>
  <si>
    <t>п Шахтер, ул.Строительная, 4а</t>
  </si>
  <si>
    <t>п Майский / входило в состав сельского поселения Безлесное Яйского муниципального района</t>
  </si>
  <si>
    <t>32543000196</t>
  </si>
  <si>
    <t>п Майский / входило в состав сельского поселения Безлесное Яйского муниципального района, -, -</t>
  </si>
  <si>
    <t>Сети водоснабжения п. Майский</t>
  </si>
  <si>
    <t>32543000196.0</t>
  </si>
  <si>
    <t>2.9750000000</t>
  </si>
  <si>
    <t>НС-3 Рудничного р-на</t>
  </si>
  <si>
    <t>ПНС 19</t>
  </si>
  <si>
    <t>ПНС 9</t>
  </si>
  <si>
    <t>НФС-2 НС руслового водозабора</t>
  </si>
  <si>
    <t>ПНС Лапичево</t>
  </si>
  <si>
    <t>НФС-2 НС Пугачёвского водозабора</t>
  </si>
  <si>
    <t>420501001.0</t>
  </si>
  <si>
    <t>ПНС Греческая деревня</t>
  </si>
  <si>
    <t>Ягуновский водозабор, НС-2 подъема</t>
  </si>
  <si>
    <t>Ягуновский водозабор</t>
  </si>
  <si>
    <t>Зона А</t>
  </si>
  <si>
    <t>зона А, зона Б, ПНС ул. Грузовая, гидроузел №4, Гидроузел Рудник, ПНС 9, ПНС 14, ПНС 16, ПНС 17/1, ПНС 17/2, ПНС 19, ПНС 54, ПНС 11 ЦТП, ПНС 52</t>
  </si>
  <si>
    <t>932.5607000000</t>
  </si>
  <si>
    <t>710.8323000000</t>
  </si>
  <si>
    <t>126.4564000000</t>
  </si>
  <si>
    <t>922.3707000000</t>
  </si>
  <si>
    <t>704.3223000000</t>
  </si>
  <si>
    <t>ПНС ул. Грузовая</t>
  </si>
  <si>
    <t>ул. Грузовая</t>
  </si>
  <si>
    <t>340.0000000000</t>
  </si>
  <si>
    <t>46.7000000000</t>
  </si>
  <si>
    <t>31.10.2024</t>
  </si>
  <si>
    <t>г Кемерово, ул. Грузовая, -</t>
  </si>
  <si>
    <t>Гидроузел "Рудник"</t>
  </si>
  <si>
    <t>ПНС 54 (не работает)</t>
  </si>
  <si>
    <t>10.5031100000</t>
  </si>
  <si>
    <t>НФС-2 НС ковшевого водозабора</t>
  </si>
  <si>
    <t>НФС-2</t>
  </si>
  <si>
    <t>65.3283700000</t>
  </si>
  <si>
    <t>ПНС 14</t>
  </si>
  <si>
    <t>ПНС 11 ЦТП</t>
  </si>
  <si>
    <t>Правобережная НС</t>
  </si>
  <si>
    <t>ПНС 16</t>
  </si>
  <si>
    <t>НС-3 Кировского р-на</t>
  </si>
  <si>
    <t>ПНС 52</t>
  </si>
  <si>
    <t>НС-3 ж.р. Кедровка</t>
  </si>
  <si>
    <t>ПНС ул. Антипова</t>
  </si>
  <si>
    <t>8.4330000000</t>
  </si>
  <si>
    <t>ПНС 17/1</t>
  </si>
  <si>
    <t>г Ленинск-Кузнецкий, ул. Никитинская, 2"б"</t>
  </si>
  <si>
    <t>556.1300000000</t>
  </si>
  <si>
    <t>293.3700000000</t>
  </si>
  <si>
    <t>168.4600000000</t>
  </si>
  <si>
    <t>157.1700000000</t>
  </si>
  <si>
    <t>1.5854500000</t>
  </si>
  <si>
    <t>ВНС "Лесная поляна"</t>
  </si>
  <si>
    <t>НС-3 ж.р. Кедровка (подача на ж.р. Кедровка)</t>
  </si>
  <si>
    <t>Зона Б</t>
  </si>
  <si>
    <t>НС-4 ж.р. Промышленновский</t>
  </si>
  <si>
    <t>НС-2 подъема НФС-2</t>
  </si>
  <si>
    <t>Барзасский водозабор НС 2-го подъема</t>
  </si>
  <si>
    <t>231.1705000000</t>
  </si>
  <si>
    <t>197.2410000000</t>
  </si>
  <si>
    <t>209.8105000000</t>
  </si>
  <si>
    <t>Ягуновский водозабор НС-2 подъема</t>
  </si>
  <si>
    <t>32.7805000000</t>
  </si>
  <si>
    <t>32.5305000000</t>
  </si>
  <si>
    <t>589.7034700000</t>
  </si>
  <si>
    <t>440.6694700000</t>
  </si>
  <si>
    <t>85.8240000000</t>
  </si>
  <si>
    <t>6.4560000000</t>
  </si>
  <si>
    <t>ПНС 17/2</t>
  </si>
  <si>
    <t>НС-2 Петровский водозабор</t>
  </si>
  <si>
    <t>ПНС Боровой</t>
  </si>
  <si>
    <t>НС-2 на д. Петровка</t>
  </si>
  <si>
    <t>1.7900000000</t>
  </si>
  <si>
    <t>30.09.2023</t>
  </si>
  <si>
    <t>Гидроузел №4</t>
  </si>
  <si>
    <t>НС-3 ж.р. Кедровка (подача на ж.р. Промышленновский)</t>
  </si>
  <si>
    <t>5.6436000000</t>
  </si>
  <si>
    <t>г Ленинск-Кузнецкий, ул. Никитинская, 2"в" сооружение 1</t>
  </si>
  <si>
    <t>sce:REESTR.VOTV.SOURCE.2025</t>
  </si>
  <si>
    <t>КНС-4 (ОСК-1)</t>
  </si>
  <si>
    <t>КНС</t>
  </si>
  <si>
    <t>территория ОСК-1</t>
  </si>
  <si>
    <t>833.3000000000</t>
  </si>
  <si>
    <t>217.1300000000</t>
  </si>
  <si>
    <t>низковольтная КНС</t>
  </si>
  <si>
    <t>16.9000000000</t>
  </si>
  <si>
    <t>31.08.2010</t>
  </si>
  <si>
    <t>частная собственность</t>
  </si>
  <si>
    <t>https://portal.eias.ru/Portal/DownloadPage.aspx?type=12&amp;guid=e30434a9-75c5-4e4a-a328-10c2ac837f12</t>
  </si>
  <si>
    <t>6-14-14</t>
  </si>
  <si>
    <t>01.01.2014</t>
  </si>
  <si>
    <t>г Кемерово, территория ОСК-1, б/н</t>
  </si>
  <si>
    <t>Канализационная насосная станция №1</t>
  </si>
  <si>
    <t>пр-кт. Ленина</t>
  </si>
  <si>
    <t>28</t>
  </si>
  <si>
    <t>57.8000000000</t>
  </si>
  <si>
    <t>01.12.1976</t>
  </si>
  <si>
    <t>без номера</t>
  </si>
  <si>
    <t>г Березовский, пр-кт. Ленина, 28</t>
  </si>
  <si>
    <t>ГНС</t>
  </si>
  <si>
    <t>ул. Лесокомбинатовская</t>
  </si>
  <si>
    <t>югозападнее дома №36</t>
  </si>
  <si>
    <t>5197.5329007286</t>
  </si>
  <si>
    <t>высоковольтная КНС</t>
  </si>
  <si>
    <t>43.3300000000</t>
  </si>
  <si>
    <t>01.01.1964</t>
  </si>
  <si>
    <t>г Кемерово, ул. Лесокомбинатовская, югозападнее дома №36</t>
  </si>
  <si>
    <t>КНС (п. Комиссарово)</t>
  </si>
  <si>
    <t>п. Комиссарово</t>
  </si>
  <si>
    <t>7.9400000000</t>
  </si>
  <si>
    <t>31.10.2006</t>
  </si>
  <si>
    <t>г Кемерово, п. Комиссарово, б/н</t>
  </si>
  <si>
    <t>Канализационная насосная станция №7</t>
  </si>
  <si>
    <t>01.12.1959</t>
  </si>
  <si>
    <t>г Березовский, ул. Школьная, б/н</t>
  </si>
  <si>
    <t>КНС 1 Б "Лесная поляна"</t>
  </si>
  <si>
    <t>город-спутник "Лесная поляна"</t>
  </si>
  <si>
    <t>37.1983151184</t>
  </si>
  <si>
    <t>8.4000000000</t>
  </si>
  <si>
    <t>01.11.2001</t>
  </si>
  <si>
    <t>г Кемерово, город-спутник "Лесная поляна", б/н</t>
  </si>
  <si>
    <t>ОСК-2 (Правобережные)</t>
  </si>
  <si>
    <t>Кировский р-он, ул. 40 лет Октября</t>
  </si>
  <si>
    <t>1666.6666666667</t>
  </si>
  <si>
    <t>595.1548269581</t>
  </si>
  <si>
    <t>г Кемерово, Кировский р-он, ул. 40 лет Октября, б/н</t>
  </si>
  <si>
    <t>КНС 1 А "Лесная поляна"</t>
  </si>
  <si>
    <t>416.6000000000</t>
  </si>
  <si>
    <t>153.4727914390</t>
  </si>
  <si>
    <t>30.09.2008</t>
  </si>
  <si>
    <t>Сети водоотведения</t>
  </si>
  <si>
    <t>900.0000000000</t>
  </si>
  <si>
    <t>865.0000000000</t>
  </si>
  <si>
    <t>Главная насосная станция</t>
  </si>
  <si>
    <t>32514000001.0</t>
  </si>
  <si>
    <t>89.0000000000</t>
  </si>
  <si>
    <t>г Ленинск-Кузнецкий, г. Ленинск-Кузнецкий, б/н</t>
  </si>
  <si>
    <t>220.0000000000</t>
  </si>
  <si>
    <t>ул. Молодогвардейцев</t>
  </si>
  <si>
    <t>32</t>
  </si>
  <si>
    <t>КНС "Зелёный остров"</t>
  </si>
  <si>
    <t>Зелёный остров, ул. Хрустальная</t>
  </si>
  <si>
    <t>72</t>
  </si>
  <si>
    <t>29.1600000000</t>
  </si>
  <si>
    <t>24.4800000000</t>
  </si>
  <si>
    <t>31.12.1997</t>
  </si>
  <si>
    <t>отсутствует</t>
  </si>
  <si>
    <t>безвозмездное пользование</t>
  </si>
  <si>
    <t>27.10.2010</t>
  </si>
  <si>
    <t>г Кемерово, Зелёный остров, ул. Хрустальная, 72</t>
  </si>
  <si>
    <t>КНС-2 ПНИ ж.р. Кедровка</t>
  </si>
  <si>
    <t>ж.р. Кедровка ул. Уньга</t>
  </si>
  <si>
    <t>292.7000000000</t>
  </si>
  <si>
    <t>22.0000000000</t>
  </si>
  <si>
    <t>08.01.1998</t>
  </si>
  <si>
    <t>г Кемерово, ж.р. Кедровка ул. Уньга, б/н</t>
  </si>
  <si>
    <t>КНС-1 хоз-быт Кедровка</t>
  </si>
  <si>
    <t>ж.р. Кедровка, ул. Подгорная</t>
  </si>
  <si>
    <t>159.0700000000</t>
  </si>
  <si>
    <t>г Кемерово, ж.р. Кедровка, ул. Подгорная, б/н</t>
  </si>
  <si>
    <t>КНС-3 ж.р. Промышленновский</t>
  </si>
  <si>
    <t>в р-не доиа №66</t>
  </si>
  <si>
    <t>250.0000000000</t>
  </si>
  <si>
    <t>151.8500000000</t>
  </si>
  <si>
    <t>22.4500000000</t>
  </si>
  <si>
    <t>31.01.2011</t>
  </si>
  <si>
    <t>г Кемерово, ж.р. Промышленновский, ул. Промшоссе, в р-не доиа №66</t>
  </si>
  <si>
    <t>КНС-4 ул. Беломорская (ж.р. Промышленновский)</t>
  </si>
  <si>
    <t>ж.р. Промышленновский, ул. Беломорская</t>
  </si>
  <si>
    <t>17.6800000000</t>
  </si>
  <si>
    <t>21.5000000000</t>
  </si>
  <si>
    <t>г Кемерово, ж.р. Промышленновский, ул. Беломорская, б/н</t>
  </si>
  <si>
    <t>1041.6700000000</t>
  </si>
  <si>
    <t>331.1800000000</t>
  </si>
  <si>
    <t>КНС-1, КНС-2, КНС-3, КНС-4, КНС-5</t>
  </si>
  <si>
    <t>г Березовский, г. Березовский, б/н</t>
  </si>
  <si>
    <t>КНС ТЦ "Спутник"</t>
  </si>
  <si>
    <t>ул. Крупской</t>
  </si>
  <si>
    <t>4.9000000000</t>
  </si>
  <si>
    <t>г Полысаево, ул. Крупской, б/н</t>
  </si>
  <si>
    <t>КНС 2/6</t>
  </si>
  <si>
    <t>ул. 3-я Заречная</t>
  </si>
  <si>
    <t>№54</t>
  </si>
  <si>
    <t>5500.0000000000</t>
  </si>
  <si>
    <t>4670.9774590164</t>
  </si>
  <si>
    <t>57.5000000000</t>
  </si>
  <si>
    <t>01.12.1986</t>
  </si>
  <si>
    <t>г Кемерово, ул. 3-я Заречная, №54</t>
  </si>
  <si>
    <t>КНС ул. Победы</t>
  </si>
  <si>
    <t>ул. Победы</t>
  </si>
  <si>
    <t>25.8000000000</t>
  </si>
  <si>
    <t>1.4000000000</t>
  </si>
  <si>
    <t>01.01.2008</t>
  </si>
  <si>
    <t>г Полысаево, ул. Победы, б/н</t>
  </si>
  <si>
    <t>700.0000000000</t>
  </si>
  <si>
    <t>300.0000000000</t>
  </si>
  <si>
    <t>КНС №1</t>
  </si>
  <si>
    <t>ул. Восточная</t>
  </si>
  <si>
    <t>пгт Верх-Чебула, пгт Верх-Чебула, б/н</t>
  </si>
  <si>
    <t>Сети канализации пгт. Яя</t>
  </si>
  <si>
    <t>29.1700000000</t>
  </si>
  <si>
    <t>29.2000000000</t>
  </si>
  <si>
    <t>90.0000000000</t>
  </si>
  <si>
    <t>КНС ул. Чехова</t>
  </si>
  <si>
    <t>ул. Чехова</t>
  </si>
  <si>
    <t>14.6000000000</t>
  </si>
  <si>
    <t>01.01.2019</t>
  </si>
  <si>
    <t>пгт Яя, ул. Чехова, -</t>
  </si>
  <si>
    <t>КНС ул. Восточная</t>
  </si>
  <si>
    <t>24.0000000000</t>
  </si>
  <si>
    <t>01.01.2016</t>
  </si>
  <si>
    <t>пгт Яя, ул. Восточная, -</t>
  </si>
  <si>
    <t>75.9000000000</t>
  </si>
  <si>
    <t>38.3100000000</t>
  </si>
  <si>
    <t>КНС-6, КНС-7, КНС-8</t>
  </si>
  <si>
    <t>КНС (на территории НПО "Прогресс")</t>
  </si>
  <si>
    <t>территория НПО "Прогресс"</t>
  </si>
  <si>
    <t>1666.6000000000</t>
  </si>
  <si>
    <t>753.8500000000</t>
  </si>
  <si>
    <t>47.3700000000</t>
  </si>
  <si>
    <t>01.06.1973</t>
  </si>
  <si>
    <t>г Кемерово, территория НПО "Прогресс", б/н</t>
  </si>
  <si>
    <t>79.1700000000</t>
  </si>
  <si>
    <t>31.1800000000</t>
  </si>
  <si>
    <t>410.0000000000</t>
  </si>
  <si>
    <t>01.01.1998</t>
  </si>
  <si>
    <t>пгт Верх-Чебула, ул. Восточная, б/н</t>
  </si>
  <si>
    <t>КНС №2</t>
  </si>
  <si>
    <t>ул. Октябрьская</t>
  </si>
  <si>
    <t>7.0000000000</t>
  </si>
  <si>
    <t>01.01.2010</t>
  </si>
  <si>
    <t>пгт Верх-Чебула, ул. Октябрьская, б/н</t>
  </si>
  <si>
    <t>КНС ул. Ленинградская</t>
  </si>
  <si>
    <t>ул. Ленинградская</t>
  </si>
  <si>
    <t>01.01.2017</t>
  </si>
  <si>
    <t>пгт Яя, ул. Ленинградская, -</t>
  </si>
  <si>
    <t>Канализационная насосная станция №8</t>
  </si>
  <si>
    <t>ул. Фрунзе</t>
  </si>
  <si>
    <t>160.0000000000</t>
  </si>
  <si>
    <t>01.12.1972</t>
  </si>
  <si>
    <t>г Березовский, ул. Фрунзе, б/н</t>
  </si>
  <si>
    <t>КНС-5 ул. Брюханова ж.р.Кедровка</t>
  </si>
  <si>
    <t>ул. Брюханова ж.р.Кедровка</t>
  </si>
  <si>
    <t>1.2500000000</t>
  </si>
  <si>
    <t>10.03.2016</t>
  </si>
  <si>
    <t>г Кемерово, ул. Брюханова ж.р.Кедровка, -</t>
  </si>
  <si>
    <t>КНС 68 квартал</t>
  </si>
  <si>
    <t>г. Кемерово, пр-т Комсомольский</t>
  </si>
  <si>
    <t>183.0000000000</t>
  </si>
  <si>
    <t>19.2200000000</t>
  </si>
  <si>
    <t>01.01.2015</t>
  </si>
  <si>
    <t>г Кемерово, г. Кемерово, пр-т Комсомольский, -</t>
  </si>
  <si>
    <t>КНС ул. Суворова</t>
  </si>
  <si>
    <t>г. Кемерово, ул. Суворова</t>
  </si>
  <si>
    <t>3.3900000000</t>
  </si>
  <si>
    <t>г Кемерово, г. Кемерово, ул. Суворова, 12</t>
  </si>
  <si>
    <t>КНС №2              кв. Профсоюзный</t>
  </si>
  <si>
    <t>ул. Пирогова</t>
  </si>
  <si>
    <t>9"6"</t>
  </si>
  <si>
    <t>74.0000000000</t>
  </si>
  <si>
    <t>г Ленинск-Кузнецкий, ул. Пирогова, 9"6"</t>
  </si>
  <si>
    <t>КНС №3</t>
  </si>
  <si>
    <t>ул. Чекалина</t>
  </si>
  <si>
    <t>9"б"</t>
  </si>
  <si>
    <t>500.0000000000</t>
  </si>
  <si>
    <t>78.0000000000</t>
  </si>
  <si>
    <t>г Ленинск-Кузнецкий, ул. Чекалина, 9"б"</t>
  </si>
  <si>
    <t>кнс №4</t>
  </si>
  <si>
    <t>ул. Шилина</t>
  </si>
  <si>
    <t>73.0000000000</t>
  </si>
  <si>
    <t>г Ленинск-Кузнецкий, ул. Шилина, 9"б"</t>
  </si>
  <si>
    <t>КНС №5</t>
  </si>
  <si>
    <t>ул. Абая</t>
  </si>
  <si>
    <t>3"а"</t>
  </si>
  <si>
    <t>г Ленинск-Кузнецкий, ул. Абая, 3"а"</t>
  </si>
  <si>
    <t>КНС-2 ж.р. Лесная поляна</t>
  </si>
  <si>
    <t>город Кемерово, ж.р. Лесная поляна, б-р Осенний</t>
  </si>
  <si>
    <t>здание КНС 2</t>
  </si>
  <si>
    <t>14.0000000000</t>
  </si>
  <si>
    <t>15.05.2020</t>
  </si>
  <si>
    <t>https://portal.eias.ru/Portal/DownloadPage.aspx?type=12&amp;guid=a4021adc-81ff-4fd6-916f-c84c6d5471b1</t>
  </si>
  <si>
    <t>собственность</t>
  </si>
  <si>
    <t>КНС-2/2020</t>
  </si>
  <si>
    <t>г Кемерово, город Кемерово, ж.р. Лесная поляна, б-р Осенний, здание КНС 2</t>
  </si>
  <si>
    <t>КНС-1</t>
  </si>
  <si>
    <t>ул.Ворошилова</t>
  </si>
  <si>
    <t>3"б"</t>
  </si>
  <si>
    <t>85.0000000000</t>
  </si>
  <si>
    <t>пгт Яшкино, ул.Ворошилова, 3"б"</t>
  </si>
  <si>
    <t>КНС-2</t>
  </si>
  <si>
    <t>В 500м на северо-восток от жилого д.44 по ул.Ленинская</t>
  </si>
  <si>
    <t>пгт Яшкино, В 500м на северо-восток от жилого д.44 по ул.Ленинская, -</t>
  </si>
  <si>
    <t>КНС Иртыш-Эко-2-ПФ (г/у Рудник)</t>
  </si>
  <si>
    <t>город Кемерово, проспект Кузбасский</t>
  </si>
  <si>
    <t>0.1400000000</t>
  </si>
  <si>
    <t>г Кемерово, город Кемерово, проспект Кузбасский, 6</t>
  </si>
  <si>
    <t>Модульная канализационная станция, г. Кемерово, ж.р. Кедровка, котельная №8</t>
  </si>
  <si>
    <t>г. Кемерово, ж.р. Кедровка</t>
  </si>
  <si>
    <t>31.10.2019</t>
  </si>
  <si>
    <t>собственное имущество</t>
  </si>
  <si>
    <t>https://portal.eias.ru/Portal/DownloadPage.aspx?type=12&amp;guid=2fd08668-5d20-4e8a-be76-f94378e354a9</t>
  </si>
  <si>
    <t>акт приёма-передачи</t>
  </si>
  <si>
    <t>003882</t>
  </si>
  <si>
    <t>г Кемерово, г. Кемерово, ж.р. Кедровка, -</t>
  </si>
  <si>
    <t>КНС ж.к. "5 Звезд"</t>
  </si>
  <si>
    <t>г. Кемерово, пр. Химиков</t>
  </si>
  <si>
    <t>8А</t>
  </si>
  <si>
    <t>12.5000000000</t>
  </si>
  <si>
    <t>2.2500000000</t>
  </si>
  <si>
    <t>https://portal.eias.ru/Portal/DownloadPage.aspx?type=12&amp;guid=1b4d0d23-faa0-45fe-8406-9b3b4b0d3b55</t>
  </si>
  <si>
    <t>г Кемерово, г. Кемерово, пр. Химиков, 8А</t>
  </si>
  <si>
    <t>КНС №6</t>
  </si>
  <si>
    <t>270 "б"</t>
  </si>
  <si>
    <t>77.0000000000</t>
  </si>
  <si>
    <t>г Ленинск-Кузнецкий, ул. Суворова, 270 "б"</t>
  </si>
  <si>
    <t>КНС №7</t>
  </si>
  <si>
    <t>ул. Вокзальная</t>
  </si>
  <si>
    <t>28"б"</t>
  </si>
  <si>
    <t>г Ленинск-Кузнецкий, ул. Вокзальная, 28"б"</t>
  </si>
  <si>
    <t>Канализационная насосная станция №4</t>
  </si>
  <si>
    <t>ул. Энтузиастов</t>
  </si>
  <si>
    <t>01.01.1994</t>
  </si>
  <si>
    <t>г Березовский, ул. Энтузиастов, б/н</t>
  </si>
  <si>
    <t>КНС "ГАИ"</t>
  </si>
  <si>
    <t>ул. Топкинская</t>
  </si>
  <si>
    <t>01.01.2000</t>
  </si>
  <si>
    <t>г Ленинск-Кузнецкий, ул. Топкинская, 2"б"</t>
  </si>
  <si>
    <t>КНС-3</t>
  </si>
  <si>
    <t>ул.Сосновая</t>
  </si>
  <si>
    <t>пгт Яшкино, ул.Сосновая, 2"а"</t>
  </si>
  <si>
    <t>КНС-4</t>
  </si>
  <si>
    <t>в 300м на северо-восток от жилого дома 13 по ул.Полевая</t>
  </si>
  <si>
    <t>пгт Яшкино, в 300м на северо-восток от жилого дома 13 по ул.Полевая, -</t>
  </si>
  <si>
    <t>Сети канализации п. Акация</t>
  </si>
  <si>
    <t>КНС просп. В.В.Михайлова, 5б, Лесная поляна (в резерве)</t>
  </si>
  <si>
    <t>г. Кемерово, ж.р. Лесная поляна, пр. В.В.Михайлова</t>
  </si>
  <si>
    <t>5Б</t>
  </si>
  <si>
    <t>01.01.2020</t>
  </si>
  <si>
    <t>https://portal.eias.ru/Portal/DownloadPage.aspx?type=12&amp;guid=06faf915-b456-4a6c-90ff-4b7134076442</t>
  </si>
  <si>
    <t>г Кемерово, г. Кемерово, ж.р. Лесная поляна, пр. В.В.Михайлова, 5Б</t>
  </si>
  <si>
    <t>КНС просп. В.В. Михайлова, 3, Лесная поляна</t>
  </si>
  <si>
    <t>22.5000000000</t>
  </si>
  <si>
    <t>1.8300000000</t>
  </si>
  <si>
    <t>г Кемерово, г. Кемерово, ж.р. Лесная поляна, пр. В.В.Михайлова, 3</t>
  </si>
  <si>
    <t>КНС № 3 жилой район Лесная Поляна, 400 м юго-западнее бульв. Солнечный</t>
  </si>
  <si>
    <t>ж.р. Лесная Поляна, 400 м юго-западнее бульв. Солнечный</t>
  </si>
  <si>
    <t>720.0000000000</t>
  </si>
  <si>
    <t>87.5000000000</t>
  </si>
  <si>
    <t>01.01.2021</t>
  </si>
  <si>
    <t>г Кемерово, ж.р. Лесная Поляна, 400 м юго-западнее бульв. Солнечный, -</t>
  </si>
  <si>
    <t>ОСК-1 (Левобережные)</t>
  </si>
  <si>
    <t>заводский р-он, северовосток левобережной части</t>
  </si>
  <si>
    <t>10416.6000000000</t>
  </si>
  <si>
    <t>5338.8126138434</t>
  </si>
  <si>
    <t>КНС-4, КНС (п. Комиссарово), КНС-2 (Ягуновка), КНС-3 (Ягуновка), КНС 2 (Рудник), КНС 3 (Рудник), КНС-4 (Рудник), КНС (Мартемьянова), КНС (ул. Кедровская), КНС 1 ("Лесная поляна"), КНС 1 А ("Лесная поляна"), КНС 1 Б ("Лесная поляна"), КНС "Зеленый остров"</t>
  </si>
  <si>
    <t>53.0000000000</t>
  </si>
  <si>
    <t>г Кемерово, заводский р-он, северовосток левобережной части, б/н</t>
  </si>
  <si>
    <t>4166.6000000000</t>
  </si>
  <si>
    <t>ГНС ОСК-2, КНС на территории НПО "Прогресс"</t>
  </si>
  <si>
    <t>территория ПО Прогресс</t>
  </si>
  <si>
    <t>ОСК-3 (Кедровка)</t>
  </si>
  <si>
    <t>ж.р. Кедровка, ул. Чесноковская</t>
  </si>
  <si>
    <t>327.6434426230</t>
  </si>
  <si>
    <t>КНС-4 ул. Беломорская, КНС-3 "Промышленонский", КНС-2 "ПНИ" ж.р. Кедровка, КНС-1 "Хоз.быт" ж.р. Кедровка</t>
  </si>
  <si>
    <t>г Кемерово, ж.р. Кедровка, ул. Чесноковская, б/н</t>
  </si>
  <si>
    <t>37.5000000000</t>
  </si>
  <si>
    <t>КНС (ул. Волгоградская, 44) (ИТК-40)</t>
  </si>
  <si>
    <t>КНС с сетями</t>
  </si>
  <si>
    <t>Ленинский р-он, ул. Волгоградская</t>
  </si>
  <si>
    <t>15.03.1979</t>
  </si>
  <si>
    <t>91.0000000000</t>
  </si>
  <si>
    <t>г Кемерово, Ленинский р-он, ул. Волгоградская, 44</t>
  </si>
  <si>
    <t>Камера гашения по ул. Волгоградская, 45 канализационного коллектора Ду-1000мм [камера гашения по ул. Волгоградская ,45]</t>
  </si>
  <si>
    <t>45</t>
  </si>
  <si>
    <t>78.1000000000</t>
  </si>
  <si>
    <t>г Кемерово, ул. Волгоградская, 45</t>
  </si>
  <si>
    <t>КНС с.Колмогорово</t>
  </si>
  <si>
    <t>Сети канализации п.Ленинский</t>
  </si>
  <si>
    <t>Канализационная насосная станция №2</t>
  </si>
  <si>
    <t>ул. Промышленная</t>
  </si>
  <si>
    <t>80.8900000000</t>
  </si>
  <si>
    <t>01.07.1986</t>
  </si>
  <si>
    <t>г Березовский, ул. Промышленная, 9</t>
  </si>
  <si>
    <t>Канализационная насосная станция №3</t>
  </si>
  <si>
    <t>б-р. Молодежный</t>
  </si>
  <si>
    <t>21.8900000000</t>
  </si>
  <si>
    <t>01.12.1987</t>
  </si>
  <si>
    <t>г Березовский, б-р. Молодежный, 11</t>
  </si>
  <si>
    <t>Сети канализации п.ст.Литвиново</t>
  </si>
  <si>
    <t>КНС 3 (Рудник)</t>
  </si>
  <si>
    <t>ул. О. Кошевого</t>
  </si>
  <si>
    <t>25.1300000000</t>
  </si>
  <si>
    <t>58.6300000000</t>
  </si>
  <si>
    <t>01.06.1998</t>
  </si>
  <si>
    <t>г Кемерово, ул. О. Кошевого, б/н</t>
  </si>
  <si>
    <t>Сети канализации с.Пача</t>
  </si>
  <si>
    <t>ПОС п.ш. "Южная"</t>
  </si>
  <si>
    <t>ул. А.Лужбина</t>
  </si>
  <si>
    <t>Очистные сооружения</t>
  </si>
  <si>
    <t>г Березовский, ул. А.Лужбина, б/н</t>
  </si>
  <si>
    <t>г Полысаево, ул. Садовая, 1</t>
  </si>
  <si>
    <t>32 стр.1</t>
  </si>
  <si>
    <t>648.0000000000</t>
  </si>
  <si>
    <t>127.3000000000</t>
  </si>
  <si>
    <t>г Полысаево, ул. Молодогвардейцев, 32 стр.1</t>
  </si>
  <si>
    <t>КНС 13 квартала</t>
  </si>
  <si>
    <t>На северо-востоке в 218 метрах от угла дома №30 по ул. Молодогвардейцев</t>
  </si>
  <si>
    <t>5.4000000000</t>
  </si>
  <si>
    <t>г Полысаево, На северо-востоке в 218 метрах от угла дома №30 по ул. Молодогвардейцев, б/н</t>
  </si>
  <si>
    <t>Сети канализации с.Поломошное</t>
  </si>
  <si>
    <t>Сети канализации пгт.Яшкино</t>
  </si>
  <si>
    <t>ГОС</t>
  </si>
  <si>
    <t>ул. На площадке Очистные сооружения</t>
  </si>
  <si>
    <t>на площадке очистных сооружений</t>
  </si>
  <si>
    <t>г Березовский, ул. На площадке Очистные сооружения, б/н</t>
  </si>
  <si>
    <t>КНС квартала "Кемеровский"</t>
  </si>
  <si>
    <t>ул. Абрамцева</t>
  </si>
  <si>
    <t>12.0000000000</t>
  </si>
  <si>
    <t>г Ленинск-Кузнецкий, ул. Абрамцева, б/н</t>
  </si>
  <si>
    <t>7291.6666666667</t>
  </si>
  <si>
    <t>61.0000000000</t>
  </si>
  <si>
    <t>КНС "КСК"</t>
  </si>
  <si>
    <t>ул. Тверская</t>
  </si>
  <si>
    <t>70</t>
  </si>
  <si>
    <t>695.0000000000</t>
  </si>
  <si>
    <t>79.0000000000</t>
  </si>
  <si>
    <t>г Ленинск-Кузнецкий, ул. Тверская, 70</t>
  </si>
  <si>
    <t>КНС 2 (Ягуновка)</t>
  </si>
  <si>
    <t>п. Комиссарово, ул. Центральная</t>
  </si>
  <si>
    <t>145.8000000000</t>
  </si>
  <si>
    <t>93.3463114754</t>
  </si>
  <si>
    <t>5.4500000000</t>
  </si>
  <si>
    <t>29.05.2014</t>
  </si>
  <si>
    <t>г Кемерово, п. Комиссарово, ул. Центральная, б/н</t>
  </si>
  <si>
    <t>КНС квартала "Днепровский"</t>
  </si>
  <si>
    <t>На северо-запад в 58 метрах от не жилого здания по ул. Юргинская</t>
  </si>
  <si>
    <t>4/3</t>
  </si>
  <si>
    <t>г Ленинск-Кузнецкий, На северо-запад в 58 метрах от не жилого здания по ул. Юргинская, 4/3</t>
  </si>
  <si>
    <t>ул. Широкая</t>
  </si>
  <si>
    <t>33</t>
  </si>
  <si>
    <t>г Ленинск-Кузнецкий, ул. Широкая, 33</t>
  </si>
  <si>
    <t>КНС 2 (Рудник)</t>
  </si>
  <si>
    <t>ул. Узкоколейная</t>
  </si>
  <si>
    <t>№1 А</t>
  </si>
  <si>
    <t>1.0600000000</t>
  </si>
  <si>
    <t>59.1500000000</t>
  </si>
  <si>
    <t>г Кемерово, ул. Узкоколейная, №1 А</t>
  </si>
  <si>
    <t>Сети канализации п. Яшкинский</t>
  </si>
  <si>
    <t>Сети канализации д.Ботьево</t>
  </si>
  <si>
    <t>КНС 1</t>
  </si>
  <si>
    <t>пр-т Советский</t>
  </si>
  <si>
    <t>№70</t>
  </si>
  <si>
    <t>1189.4217896175</t>
  </si>
  <si>
    <t>г Кемерово, пр-т Советский, №70</t>
  </si>
  <si>
    <t>КНС 3 (Ягуновка), законсервирована</t>
  </si>
  <si>
    <t>п. Пионер, ул. Ирбитская</t>
  </si>
  <si>
    <t>112.5000000000</t>
  </si>
  <si>
    <t>г Кемерово, п. Пионер, ул. Ирбитская, б/н</t>
  </si>
  <si>
    <t>КНС (ул. Кедровская) [нет]</t>
  </si>
  <si>
    <t>ул. Таёжная</t>
  </si>
  <si>
    <t>№10</t>
  </si>
  <si>
    <t>16.6000000000</t>
  </si>
  <si>
    <t>2.4200000000</t>
  </si>
  <si>
    <t>01.11.2002</t>
  </si>
  <si>
    <t>г Кемерово, ул. Таёжная, №10</t>
  </si>
  <si>
    <t>Очистные сооружения города</t>
  </si>
  <si>
    <t>41</t>
  </si>
  <si>
    <t>3050.0000000000</t>
  </si>
  <si>
    <t>г Ленинск-Кузнецкий, ул. Широкая, 41</t>
  </si>
  <si>
    <t>Очистные сооружения п. Никитинский</t>
  </si>
  <si>
    <t>ул.Никитинская</t>
  </si>
  <si>
    <t>2 "а"</t>
  </si>
  <si>
    <t>11.2000000000</t>
  </si>
  <si>
    <t>32514000256.0</t>
  </si>
  <si>
    <t>г Ленинск-Кузнецкий, ул.Никитинская, 2 "а"</t>
  </si>
  <si>
    <t>Сети канализации п. Дубровка</t>
  </si>
  <si>
    <t>Сети канализации с.Колмогорово</t>
  </si>
  <si>
    <t>КНС 1 "Лесная поляна"</t>
  </si>
  <si>
    <t>103.4700000000</t>
  </si>
  <si>
    <t>КНС ул. Школьная</t>
  </si>
  <si>
    <t>4.6000000000</t>
  </si>
  <si>
    <t>пгт Яя, ул. Школьная, -</t>
  </si>
  <si>
    <t>КНС (Мартемьянова)</t>
  </si>
  <si>
    <t>5.6000000000</t>
  </si>
  <si>
    <t>46.3900000000</t>
  </si>
  <si>
    <t>01.03.2001</t>
  </si>
  <si>
    <t>Очистные сооружения (КОС)</t>
  </si>
  <si>
    <t>ул. Пушкина</t>
  </si>
  <si>
    <t>г Ленинск-Кузнецкий, ул. Пушкина, 2"в"</t>
  </si>
  <si>
    <t>ул. Свердлова</t>
  </si>
  <si>
    <t>1842.0000000000</t>
  </si>
  <si>
    <t>г Полысаево, ул. Свердлова, 19а</t>
  </si>
  <si>
    <t>Канализационная насосная станция №6</t>
  </si>
  <si>
    <t>01.12.1962</t>
  </si>
  <si>
    <t>г Березовский, ул. Ленина, 9а</t>
  </si>
  <si>
    <t>Канализационный колодец с перекачным насосом</t>
  </si>
  <si>
    <t>01.12.1994</t>
  </si>
  <si>
    <t>Сети канализации с. Пашково</t>
  </si>
  <si>
    <t>КНС 4 (Рудник)</t>
  </si>
  <si>
    <t>ул. Ногинская</t>
  </si>
  <si>
    <t>№ 10 А</t>
  </si>
  <si>
    <t>60.0900000000</t>
  </si>
  <si>
    <t>51.6100000000</t>
  </si>
  <si>
    <t>г Кемерово, ул. Ногинская, № 10 А</t>
  </si>
  <si>
    <t>ПОС п.ш. "Березовская"</t>
  </si>
  <si>
    <t>г Березовский, ул. Ленина, б/н</t>
  </si>
  <si>
    <t>КНС ул. 65 лет Кузбассу</t>
  </si>
  <si>
    <t>На площадке, ограниченной улицами: ул. Луначарского-ул. Копровая; ул. Бажова-ул. Крупской</t>
  </si>
  <si>
    <t>19.0000000000</t>
  </si>
  <si>
    <t>г Полысаево, На площадке, ограниченной улицами: ул. Луначарского-ул. Копровая; ул. Бажова-ул. Крупской, б/н</t>
  </si>
  <si>
    <t>КНС-1 ж.р. Лесная поляна</t>
  </si>
  <si>
    <t>здание КНС 1</t>
  </si>
  <si>
    <t>65.8000000000</t>
  </si>
  <si>
    <t>https://portal.eias.ru/Portal/DownloadPage.aspx?type=12&amp;guid=eeef887d-554e-4822-9c30-5823ae54bec9</t>
  </si>
  <si>
    <t>КНС-1-НКЛ/2020</t>
  </si>
  <si>
    <t>г Кемерово, город Кемерово, ж.р. Лесная поляна, б-р Осенний, здание КНС 1</t>
  </si>
  <si>
    <t>КНС по ул.Васильева</t>
  </si>
  <si>
    <t>ул. Васильева</t>
  </si>
  <si>
    <t>г Ленинск-Кузнецкий, ул. Васильева, 12</t>
  </si>
  <si>
    <t>КНС ш. Кирова</t>
  </si>
  <si>
    <t>ул. Кирсанова</t>
  </si>
  <si>
    <t>3"в"</t>
  </si>
  <si>
    <t>г Ленинск-Кузнецкий, ул. Кирсанова, 3"в"</t>
  </si>
  <si>
    <t>КНС шахты им. Ярославского</t>
  </si>
  <si>
    <t>ул. Нефтебазы</t>
  </si>
  <si>
    <t>21.0000000000</t>
  </si>
  <si>
    <t>г Ленинск-Кузнецкий, ул. Нефтебазы, 1"б"</t>
  </si>
  <si>
    <t>Сливная станция ЖБО. ОСК-1_г. Кемерово, Левобережные очистные сооружения</t>
  </si>
  <si>
    <t>хозяйственное ведение</t>
  </si>
  <si>
    <t>https://portal.eias.ru/Portal/DownloadPage.aspx?type=12&amp;guid=2e3d9e47-cb46-4f98-9b5f-8fe420171136</t>
  </si>
  <si>
    <t>инвентарная карточка учёта объекта основных средств</t>
  </si>
  <si>
    <t>013534</t>
  </si>
  <si>
    <t>30.11.2024</t>
  </si>
  <si>
    <t>87.7000000000</t>
  </si>
  <si>
    <t>пгт Яшкино, _, _</t>
  </si>
  <si>
    <t>п Никитинский, ул.Никитинская, 2 "а"</t>
  </si>
  <si>
    <t>tariff_id</t>
  </si>
  <si>
    <t>prd</t>
  </si>
  <si>
    <t>vid</t>
  </si>
  <si>
    <t>tip</t>
  </si>
  <si>
    <t>vdet</t>
  </si>
  <si>
    <t>vtov</t>
  </si>
  <si>
    <t>dop</t>
  </si>
  <si>
    <t>nom</t>
  </si>
  <si>
    <t>data</t>
  </si>
  <si>
    <t>dop_sved</t>
  </si>
  <si>
    <t>method</t>
  </si>
  <si>
    <t>first_year</t>
  </si>
  <si>
    <t>years_count</t>
  </si>
  <si>
    <t>sngl1</t>
  </si>
  <si>
    <t>sngl2</t>
  </si>
  <si>
    <t>dbl1</t>
  </si>
  <si>
    <t>dbl2</t>
  </si>
  <si>
    <t>trnsp1</t>
  </si>
  <si>
    <t>trnsp2</t>
  </si>
  <si>
    <t>status</t>
  </si>
  <si>
    <t>first</t>
  </si>
  <si>
    <t>second</t>
  </si>
  <si>
    <t>ХВС.42.26322895.0047</t>
  </si>
  <si>
    <t>2026</t>
  </si>
  <si>
    <t>тариф на питьевую воду</t>
  </si>
  <si>
    <t>Производство (подъём / добыча) воды :: Очистка воды :: Транспортировка воды :: Сбыт (распределение) воды</t>
  </si>
  <si>
    <t>питьевая вода</t>
  </si>
  <si>
    <t>2566</t>
  </si>
  <si>
    <t>2025-04-29</t>
  </si>
  <si>
    <t>от 06.11.25 № 7133, от 18.11.25 № 7440, от 09.12.2025 № 8079, от 11.12.2025 № 8161</t>
  </si>
  <si>
    <t>Метод индексации</t>
  </si>
  <si>
    <t>2026.0</t>
  </si>
  <si>
    <t>5.0</t>
  </si>
  <si>
    <t>Принят</t>
  </si>
  <si>
    <t>86.00</t>
  </si>
  <si>
    <t>96.32</t>
  </si>
  <si>
    <t>ХВС.42.26322895.0045</t>
  </si>
  <si>
    <t>тариф на техническую воду</t>
  </si>
  <si>
    <t>Производство (подъём / добыча) воды :: Транспортировка воды :: Сбыт (распределение) воды</t>
  </si>
  <si>
    <t>техническая вода</t>
  </si>
  <si>
    <t>2651</t>
  </si>
  <si>
    <t>5252 от 20.08.2025, 7440 от 18.11.2025, 8079 от 09.12.2025</t>
  </si>
  <si>
    <t>2019.0</t>
  </si>
  <si>
    <t>10.0</t>
  </si>
  <si>
    <t>11.17</t>
  </si>
  <si>
    <t>12.49</t>
  </si>
  <si>
    <t>ХВС.42.26322895.0044</t>
  </si>
  <si>
    <t>76.52</t>
  </si>
  <si>
    <t>85.72</t>
  </si>
  <si>
    <t>ХВС.42.26322895.0043</t>
  </si>
  <si>
    <t>Подвоз воды</t>
  </si>
  <si>
    <t>5076, 5133, 5292</t>
  </si>
  <si>
    <t>2025-08-12</t>
  </si>
  <si>
    <t>от 26.08.25 № 5347, а также информация из тарифного дела ОАО СКЭК г. Кемерово</t>
  </si>
  <si>
    <t>Метод экономически обоснованных расходов</t>
  </si>
  <si>
    <t>588.13</t>
  </si>
  <si>
    <t>658.71</t>
  </si>
  <si>
    <t>ХВС.42.26322895.0042</t>
  </si>
  <si>
    <t>2025</t>
  </si>
  <si>
    <t>2025.0</t>
  </si>
  <si>
    <t>ХВС.42.26322895.0035</t>
  </si>
  <si>
    <t>3116</t>
  </si>
  <si>
    <t>2024-04-27</t>
  </si>
  <si>
    <t>от 20.12.2024 № 2024/000665/3 (вх. от 20.12.2024 № 8682)</t>
  </si>
  <si>
    <t>2024</t>
  </si>
  <si>
    <t>20.77</t>
  </si>
  <si>
    <t>ХВС.42.26322895.0034</t>
  </si>
  <si>
    <t>68.92</t>
  </si>
  <si>
    <t>75.81</t>
  </si>
  <si>
    <t>ХВС.42.26322895.0033</t>
  </si>
  <si>
    <t>3108</t>
  </si>
  <si>
    <t>от 31.05.2024, от 08.10.2024, от 20.12.2024 № 8683</t>
  </si>
  <si>
    <t>9.97</t>
  </si>
  <si>
    <t>ХВС.42.26322895.0032</t>
  </si>
  <si>
    <t>68.32</t>
  </si>
  <si>
    <t>ХВС.42.26322895.0031</t>
  </si>
  <si>
    <t>3031</t>
  </si>
  <si>
    <t>2024-04-26</t>
  </si>
  <si>
    <t>доп.материалы от 14.10.2024, от 17.10.2024 № 7005, от 22.10.2024 № 7126, от 25.10.2024 № 7217 от 20.12.2024 № 8675</t>
  </si>
  <si>
    <t>2021</t>
  </si>
  <si>
    <t>76.79</t>
  </si>
  <si>
    <t>ХВС.42.26322895.0030</t>
  </si>
  <si>
    <t>3024</t>
  </si>
  <si>
    <t>от 20.12.2024 № 2024/000658 (вх. от 20.12.2024 №8686)</t>
  </si>
  <si>
    <t>2019</t>
  </si>
  <si>
    <t>20.0</t>
  </si>
  <si>
    <t>53.23</t>
  </si>
  <si>
    <t>58.56</t>
  </si>
  <si>
    <t>ХВС.42.26322895.0029</t>
  </si>
  <si>
    <t>459.34</t>
  </si>
  <si>
    <t>523.14</t>
  </si>
  <si>
    <t>ХВС.42.26322895.0028</t>
  </si>
  <si>
    <t>467.26</t>
  </si>
  <si>
    <t>565.72</t>
  </si>
  <si>
    <t>ХВС.42.26322895.0026</t>
  </si>
  <si>
    <t>5.74</t>
  </si>
  <si>
    <t>22.07</t>
  </si>
  <si>
    <t>ХВС.42.26322895.0025</t>
  </si>
  <si>
    <t>62.88</t>
  </si>
  <si>
    <t>ХВС.42.26322895.0022</t>
  </si>
  <si>
    <t>Оказание услуг на территории: город Ленинск-Кузнецкий (ОКТМО: 32719000) - г Ленинск-Кузнецкий, г Полысаево</t>
  </si>
  <si>
    <t>№ 2988; № 8671</t>
  </si>
  <si>
    <t>47.80</t>
  </si>
  <si>
    <t>53.53</t>
  </si>
  <si>
    <t>ХВС.42.26322895.0021</t>
  </si>
  <si>
    <t>№ 8566</t>
  </si>
  <si>
    <t>2024-12-18</t>
  </si>
  <si>
    <t>№ 8668 от 20.12.2024, № 8802 от 25.12.2024</t>
  </si>
  <si>
    <t>53.91</t>
  </si>
  <si>
    <t>74.94</t>
  </si>
  <si>
    <t>ХВС.42.26322895.0017</t>
  </si>
  <si>
    <t>2819</t>
  </si>
  <si>
    <t>2022-04-29</t>
  </si>
  <si>
    <t>48.57</t>
  </si>
  <si>
    <t>ХВС.42.26322895.0016</t>
  </si>
  <si>
    <t>2551</t>
  </si>
  <si>
    <t>2023-04-28</t>
  </si>
  <si>
    <t>вх. № 3082 от 25.05.2023; № 5835 от 18.10.2023</t>
  </si>
  <si>
    <t>9.29</t>
  </si>
  <si>
    <t>ХВС.42.26322895.0015</t>
  </si>
  <si>
    <t>62.22</t>
  </si>
  <si>
    <t>ХВС.42.26322895.0014</t>
  </si>
  <si>
    <t>66.77</t>
  </si>
  <si>
    <t>ВО.42.26322895.0045</t>
  </si>
  <si>
    <t>тариф на водоотведение</t>
  </si>
  <si>
    <t>Приём сточных вод :: Очистка сточных вод :: Транспортировка сточных вод</t>
  </si>
  <si>
    <t>35.50</t>
  </si>
  <si>
    <t>39.74</t>
  </si>
  <si>
    <t>ВО.42.26322895.0043</t>
  </si>
  <si>
    <t>95.73</t>
  </si>
  <si>
    <t>107.21</t>
  </si>
  <si>
    <t>ВО.42.26322895.0036</t>
  </si>
  <si>
    <t>43.27</t>
  </si>
  <si>
    <t>47.60</t>
  </si>
  <si>
    <t>ВО.42.26322895.0033</t>
  </si>
  <si>
    <t>85.47</t>
  </si>
  <si>
    <t>ВО.42.26322895.0032</t>
  </si>
  <si>
    <t>ВО.42.26322895.0031</t>
  </si>
  <si>
    <t>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t>
  </si>
  <si>
    <t>62.00</t>
  </si>
  <si>
    <t>74.40</t>
  </si>
  <si>
    <t>ВО.42.26322895.0030</t>
  </si>
  <si>
    <t>Оказание услуг на территории: город Кемерово (ОКТМО: 32701000) - г Кемерово, кроме ул. Волгоградская</t>
  </si>
  <si>
    <t>35.84</t>
  </si>
  <si>
    <t>39.42</t>
  </si>
  <si>
    <t>ВО.42.26322895.0027</t>
  </si>
  <si>
    <t>39.48</t>
  </si>
  <si>
    <t>ВО.42.26322895.0025</t>
  </si>
  <si>
    <t>Оказание услуг на территории: город Полысаево (ОКТМО: 32732000) - г Полысаево</t>
  </si>
  <si>
    <t>48.52</t>
  </si>
  <si>
    <t>54.34</t>
  </si>
  <si>
    <t>ВО.42.26322895.0024</t>
  </si>
  <si>
    <t>Оказание услуг на территории: город Ленинск-Кузнецкий (ОКТМО: 32719000) - г Ленинск-Кузнецкий</t>
  </si>
  <si>
    <t>40.56</t>
  </si>
  <si>
    <t>45.43</t>
  </si>
  <si>
    <t>ВО.42.26322895.0023</t>
  </si>
  <si>
    <t>37.06</t>
  </si>
  <si>
    <t>56.45</t>
  </si>
  <si>
    <t>2989</t>
  </si>
  <si>
    <t>ВО.42.26322895.0020</t>
  </si>
  <si>
    <t>водоотведение сточных вод, отводимых потребителями в камеру гашения по ул.Волгоградской, 45 канализационного коллектора ДУ-1000мм</t>
  </si>
  <si>
    <t>56.57</t>
  </si>
  <si>
    <t>ВО.42.26322895.0019</t>
  </si>
  <si>
    <t>водоотведение сточных вод, отводимых потребителями за исключением потребителей, отводящих сточные воды в камеру гашения по ул.Волгоградской, 45 канализационного коллектора ДУ-1000мм</t>
  </si>
  <si>
    <t>32.70</t>
  </si>
  <si>
    <t>ВО.42.26322895.0018</t>
  </si>
  <si>
    <t>77.84</t>
  </si>
  <si>
    <t>ВО.42.26322895.0017</t>
  </si>
  <si>
    <t>31.55</t>
  </si>
  <si>
    <t>36.28</t>
  </si>
  <si>
    <t>OPF_VALUE</t>
  </si>
  <si>
    <t>DPR_LIST</t>
  </si>
  <si>
    <t>1 10 51 | Полные товарищества</t>
  </si>
  <si>
    <t>1 10 64 | Товарищества на вере (коммандитные товарищества)</t>
  </si>
  <si>
    <t>Оказание услуг на территории: Борковское (ОКТМО: 61658475) - с Борки (ул. Приозерная, ул. Славянская, ул. Пражская)</t>
  </si>
  <si>
    <t>Оказание услуг на территории: Борковское (ОКТМО: 61658475) - улицы Приозерная, Славянская, Пражская, Братиславская, Цветочный бульвар</t>
  </si>
  <si>
    <t>Оказание услуг на территории: Выжелесское (ОКТМО: 61646409) - с Иванково, с Малышево</t>
  </si>
  <si>
    <t>Оказание услуг на территории: Захаровский муниципальный район (ОКТМО: 61604000) - сельские поселения Безлыченское, Сменовское</t>
  </si>
  <si>
    <t>1 30 00 | Хозяйственные партнерства</t>
  </si>
  <si>
    <t>Оказание услуг на территории: Искровское (ОКТМО: 61634485) - д Букрино, д Ялино, д Шевцово</t>
  </si>
  <si>
    <t>1 41 00 | Сельскохозяйственные производственные кооперативы</t>
  </si>
  <si>
    <t>Оказание услуг на территории: Искровское (ОКТМО: 61634485) - п Искра, п Госплемстанция</t>
  </si>
  <si>
    <t>1 41 53 | Сельскохозяйственные артели (колхозы)</t>
  </si>
  <si>
    <t>Оказание услуг на территории: Касимовский муниципальный район (ОКТМО: 61608000) - городское поселение Сынтульское, сельское поселение Лощининское (д Баженова)</t>
  </si>
  <si>
    <t>1 41 54 | Рыболовецкие артели (колхозы)</t>
  </si>
  <si>
    <t>Оказание услуг на территории: Касимовский муниципальный район (ОКТМО: 61608000) - сельские поселения Гиблицкое, Ибердусское, Китовское, Клетинское, Погостинское, Лощининское</t>
  </si>
  <si>
    <t>1 41 55 | Кооперативные хозяйства (коопхозы)</t>
  </si>
  <si>
    <t>Оказание услуг на территории: Ленинское (ОКТМО: 61648438) - п свх им Ленина</t>
  </si>
  <si>
    <t>1 42 00 | Производственные кооперативы (кроме сельскохозяйственных производственных кооперативов)</t>
  </si>
  <si>
    <t>Оказание услуг на территории: Листвянское (ОКТМО: 61634457) - д Зубенки</t>
  </si>
  <si>
    <t>1 53 00 | Крестьянские (фермерские) хозяйства</t>
  </si>
  <si>
    <t>Оказание услуг на территории: Листвянское (ОКТМО: 61634457) - п Листвянка</t>
  </si>
  <si>
    <t>1 90 00 | Прочие юридические лица, являющиеся коммерческими организациями</t>
  </si>
  <si>
    <t>Оказание услуг на территории: Листвянское (ОКТМО: 61634457) - с Александрово</t>
  </si>
  <si>
    <t>2 01 01 | Гаражные и гаражно-строительные кооперативы</t>
  </si>
  <si>
    <t>Оказание услуг на территории: Михайловский муниципальный район (ОКТМО: 61617000) - городское поселение Михайловское</t>
  </si>
  <si>
    <t>2 01 02 | Жилищные или жилищно-строительные кооперативы</t>
  </si>
  <si>
    <t>Оказание услуг на территории: Михайловское (ОКТМО: 61617101) - г Михайлов</t>
  </si>
  <si>
    <t>2 01 03 | Жилищные накопительные кооперативы</t>
  </si>
  <si>
    <t>Оказание услуг на территории: Окское (ОКТМО: 61634475) - д Аксиньино</t>
  </si>
  <si>
    <t>2 01 04 | Кредитные потребительские кооперативы</t>
  </si>
  <si>
    <t>Оказание услуг на территории: Окское (ОКТМО: 61634475) - п Окский</t>
  </si>
  <si>
    <t>2 01 05 | Кредитные потребительские кооперативы граждан</t>
  </si>
  <si>
    <t>Оказание услуг на территории: Сараевский муниципальный район (ОКТМО: 61640000) - сельские поселения Алексеевское, Высоковское, Телятниковское, Новобокинское</t>
  </si>
  <si>
    <t>2 01 06 | Кредитные кооперативы второго уровня</t>
  </si>
  <si>
    <t>Оказание услуг на территории: Спасский муниципальный район (ОКТМО: 61646000) - сельские поселения Выжелесское, Панинское, Федотьевское</t>
  </si>
  <si>
    <t>2 01 07 | Потребительские общества</t>
  </si>
  <si>
    <t>Оказание услуг на территории: Спасский муниципальный район (ОКТМО: 61646000) - сельские поселения Заречинское, Исадское, Кутуковское, Перкинское, Собчаковское, Троицкое, Федотьевское</t>
  </si>
  <si>
    <t>2 01 08 | Общества взаимного страхования</t>
  </si>
  <si>
    <t>Оказание услуг на территории: Спасский муниципальный район (ОКТМО: 61646000) - сельские поселения Заречинское, Перкинское, Собчаковское, Троицкое</t>
  </si>
  <si>
    <t>2 01 09 | Сельскохозяйственные потребительские перерабатывающие кооперативы</t>
  </si>
  <si>
    <t>Оказание услуг на территории: Спасский муниципальный район (ОКТМО: 61646000) - сельские поселения Ижевское (с Ижевское), Лакашинское (с Лакаш, с Городковичи), Киструсское (с Деревенское)</t>
  </si>
  <si>
    <t>2 01 10 | Сельскохозяйственные потребительские сбытовые (торговые) кооперативы</t>
  </si>
  <si>
    <t>Оказание услуг на территории: Спасский муниципальный район (ОКТМО: 61646000) - сельские поселения Исадское, Кутуковское</t>
  </si>
  <si>
    <t>2 01 11 | Сельскохозяйственные потребительские обслуживающие кооперативы</t>
  </si>
  <si>
    <t>Оказание услуг на территории: Старожиловское (ОКТМО: 61648151) - рп Старожилово</t>
  </si>
  <si>
    <t>2 01 12 | Сельскохозяйственные потребительские снабженческие кооперативы</t>
  </si>
  <si>
    <t>Оказание услуг на территории: Турлатовское (ОКТМО: 61634496) - д Марьино</t>
  </si>
  <si>
    <t>2 01 15 | Сельскохозяйственные потребительские животноводческие кооперативы</t>
  </si>
  <si>
    <t>Оказание услуг на территории: Турлатовское (ОКТМО: 61634496) - д Турлатово</t>
  </si>
  <si>
    <t>2 01 16 | Сельскохозяйственные потребительские растениеводческие кооперативы</t>
  </si>
  <si>
    <t>Оказание услуг на территории: Турлатовское (ОКТМО: 61634496) - д Турлатово, с Реткино, д Марьино-1, д Марьино-2, с Каменец</t>
  </si>
  <si>
    <t>2 01 21 | Фонды проката</t>
  </si>
  <si>
    <t>Оказание услуг на территории: Турлатовское (ОКТМО: 61634496) - с Каменец</t>
  </si>
  <si>
    <t>2 02 01 | Политические партии</t>
  </si>
  <si>
    <t>Оказание услуг на территории: Турлатовское (ОКТМО: 61634496) - с Реткино</t>
  </si>
  <si>
    <t>2 02 02 | Профсоюзные организации</t>
  </si>
  <si>
    <t>Оказание услуг на территории: Шелемишевское (ОКТМО: 61644496) - д Шелемишевские хутора, в/г № 2</t>
  </si>
  <si>
    <t>2 02 10 | Общественные движения</t>
  </si>
  <si>
    <t>Оказание услуг на территории: Шиловский муниципальный район (ОКТМО: 61658000) - Шиловское городское поселение, Борковское сельское поселение (ул. Приозерная, Славянская, Пражская, Братиславская, Цветочный бульвар)</t>
  </si>
  <si>
    <t>2 02 11 | Органы общественной самодеятельности</t>
  </si>
  <si>
    <t>Оказание услуг на территории: Ягодновское (ОКТМО: 61640481) - с Ягодное</t>
  </si>
  <si>
    <t>2 02 17 | Территориальные общественные самоуправления</t>
  </si>
  <si>
    <t>Оказание услуг на территории: Касимовский муниципальный район (ОКТМО: 61608000) - сельские поселения Крутоярское, Лашманское</t>
  </si>
  <si>
    <t>2 06 01 | Ассоциации (союзы) экономического взаимодействия субъектов Российской Федерации</t>
  </si>
  <si>
    <t>Оказание услуг на территории: Касимовский муниципальный район (ОКТМО: 61608000) - сельское поселение Крутоярское</t>
  </si>
  <si>
    <t>2 06 03 | Советы муниципальных образований субъектов Российской Федерации</t>
  </si>
  <si>
    <t>Оказание услуг на территории: Касимовский муниципальный район (ОКТМО: 61608000) - сельское поселение Лашманское</t>
  </si>
  <si>
    <t>2 06 04 | Союзы (ассоциации) кредитных кооперативов</t>
  </si>
  <si>
    <t>Оказание услуг на территории: Кирицкое (ОКТМО: 61646452) - п Павловка</t>
  </si>
  <si>
    <t>2 06 05 | Союзы (ассоциации) кооперативов</t>
  </si>
  <si>
    <t>Оказание услуг на территории: Михайловский муниципальный район (ОКТМО: 61617000) - п Первомайский</t>
  </si>
  <si>
    <t>2 06 06 | Союзы (ассоциации) общественных объединений</t>
  </si>
  <si>
    <t>Оказание услуг на территории: Скопинский муниципальный район (ОКТМО: 61644000) - городские поселения Павелецкое, Побединское</t>
  </si>
  <si>
    <t>2 06 07 | Союзы (ассоциации) общин малочисленных народов</t>
  </si>
  <si>
    <t>Оказание услуг на территории: Скопинский муниципальный район (ОКТМО: 61644000) - сельские поселения Вослебовское, Успенское</t>
  </si>
  <si>
    <t>2 06 08 | Союзы потребительских обществ</t>
  </si>
  <si>
    <t>Оказание услуг на территории: Спасский муниципальный район (ОКТМО: 61646000) - городское поселение Спасск-Рязанское</t>
  </si>
  <si>
    <t>2 06 09 | Адвокатские палаты</t>
  </si>
  <si>
    <t>Оказание услуг на территории: Спасский муниципальный район (ОКТМО: 61646000) - сельские поселения Ижевское (с Ижевское), Выжелесское (с Выжелес, с Иванково, с Дегтяное), Киструсское (с Деревенское), Лакашинское (с Лакаш)</t>
  </si>
  <si>
    <t>2 06 10 | Нотариальные палаты</t>
  </si>
  <si>
    <t>Оказание услуг на территории: Ухоловское (ОКТМО: 61650151) - рп Ухолово</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</si>
  <si>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</si>
  <si>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</si>
  <si>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</si>
  <si>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</si>
  <si>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</si>
  <si>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</si>
  <si>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</si>
  <si>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</si>
  <si>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</si>
  <si>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</si>
  <si>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</si>
  <si>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</si>
  <si>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</si>
  <si>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</si>
  <si>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</si>
  <si>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</si>
  <si>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</si>
  <si>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</si>
  <si>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</si>
  <si>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</si>
  <si>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</si>
  <si>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01 02 | Индивидуальные предприниматели</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</si>
  <si>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</si>
  <si>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</si>
  <si>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</si>
  <si>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</si>
  <si>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</si>
  <si>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</si>
  <si>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</si>
  <si>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</si>
  <si>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</si>
  <si>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</si>
  <si>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</si>
  <si>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</si>
  <si>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</si>
  <si>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</si>
  <si>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</si>
  <si>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</si>
  <si>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03 | Федеральные государственные бюджетные учреждения</t>
  </si>
  <si>
    <t>7 51 05 | Государственные внебюджетные фонды Российской Федерации</t>
  </si>
  <si>
    <t>7 52 01 | Государственные автономные учреждения субъектов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</si>
  <si>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</si>
  <si>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</si>
  <si>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</si>
  <si>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</si>
  <si>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</si>
  <si>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</si>
  <si>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</si>
  <si>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</si>
  <si>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Алтайский край</t>
  </si>
  <si>
    <t>RU22</t>
  </si>
  <si>
    <t>TemplateState</t>
  </si>
  <si>
    <t>YES_NO</t>
  </si>
  <si>
    <t>SAX_PARSER_FEATURE</t>
  </si>
  <si>
    <t>DNS</t>
  </si>
  <si>
    <t>YEAR_LIST</t>
  </si>
  <si>
    <t>MONTH_LIST</t>
  </si>
  <si>
    <t>period_list</t>
  </si>
  <si>
    <t>sphere_list</t>
  </si>
  <si>
    <t>tariff_type_list</t>
  </si>
  <si>
    <t>COLDVSNA_VTOV;COLDVSNA_TRANSP_VTOV</t>
  </si>
  <si>
    <t>COLDVSNA_VTARIFF</t>
  </si>
  <si>
    <t>osn_expl_list</t>
  </si>
  <si>
    <t>VOLTAGE_LEVEL_list</t>
  </si>
  <si>
    <t>VOLTAGE_LEVEL2_list</t>
  </si>
  <si>
    <t>ist_info_build_list</t>
  </si>
  <si>
    <t>diametr_list</t>
  </si>
  <si>
    <t>material_list</t>
  </si>
  <si>
    <t>grunt_list</t>
  </si>
  <si>
    <t>glubina_list</t>
  </si>
  <si>
    <t>diametr_list_vs</t>
  </si>
  <si>
    <t>diametr_list_vo</t>
  </si>
  <si>
    <t>Амурская область</t>
  </si>
  <si>
    <t>RU28</t>
  </si>
  <si>
    <t>FORMED</t>
  </si>
  <si>
    <t>YES</t>
  </si>
  <si>
    <t>https://eias.ru</t>
  </si>
  <si>
    <t>Январь</t>
  </si>
  <si>
    <t>Без разбивки</t>
  </si>
  <si>
    <t>100</t>
  </si>
  <si>
    <t>0-15</t>
  </si>
  <si>
    <t>0-55</t>
  </si>
  <si>
    <t>Архангельская область</t>
  </si>
  <si>
    <t>RU29</t>
  </si>
  <si>
    <t>Февраль</t>
  </si>
  <si>
    <t>двухставочный</t>
  </si>
  <si>
    <t>ВН1</t>
  </si>
  <si>
    <t>Сметные расчёты организации</t>
  </si>
  <si>
    <t>110</t>
  </si>
  <si>
    <t>сталь</t>
  </si>
  <si>
    <t>мокрый</t>
  </si>
  <si>
    <t>16-25</t>
  </si>
  <si>
    <t>56-65</t>
  </si>
  <si>
    <t>Астраханская область</t>
  </si>
  <si>
    <t>RU30</t>
  </si>
  <si>
    <t>XML_MR_MO_OKTMO_LIST_TAG_NAMES</t>
  </si>
  <si>
    <t>NDS</t>
  </si>
  <si>
    <t>Март</t>
  </si>
  <si>
    <t>горячая вода</t>
  </si>
  <si>
    <t>ВН</t>
  </si>
  <si>
    <t>железобетон</t>
  </si>
  <si>
    <t>26-35</t>
  </si>
  <si>
    <t>66-75</t>
  </si>
  <si>
    <t>Белгородская область</t>
  </si>
  <si>
    <t>RU31</t>
  </si>
  <si>
    <t>STATE_SHARE</t>
  </si>
  <si>
    <t>NSRF</t>
  </si>
  <si>
    <t>Апрель</t>
  </si>
  <si>
    <t>VOTV_VTOV</t>
  </si>
  <si>
    <t>VOTV_VTARIFF</t>
  </si>
  <si>
    <t>оперативное управление</t>
  </si>
  <si>
    <t>СН1</t>
  </si>
  <si>
    <t>150</t>
  </si>
  <si>
    <t>полиэтилен</t>
  </si>
  <si>
    <t>36-45</t>
  </si>
  <si>
    <t>76-85</t>
  </si>
  <si>
    <t>Брянская область</t>
  </si>
  <si>
    <t>RU32</t>
  </si>
  <si>
    <t>VALUABLE_STATE_SHARE</t>
  </si>
  <si>
    <t>MR_NAME</t>
  </si>
  <si>
    <t>Май</t>
  </si>
  <si>
    <t>СН2</t>
  </si>
  <si>
    <t>160</t>
  </si>
  <si>
    <t>46-55</t>
  </si>
  <si>
    <t>86-95</t>
  </si>
  <si>
    <t>Владимирская область</t>
  </si>
  <si>
    <t>RU33</t>
  </si>
  <si>
    <t>менее 50 %</t>
  </si>
  <si>
    <t>OKTMO_MR_NAME</t>
  </si>
  <si>
    <t>PERIOD</t>
  </si>
  <si>
    <t>Июнь</t>
  </si>
  <si>
    <t>жидкие бытовые отходы</t>
  </si>
  <si>
    <t>НН</t>
  </si>
  <si>
    <t>200</t>
  </si>
  <si>
    <t>96-105</t>
  </si>
  <si>
    <t>Волгоградская область</t>
  </si>
  <si>
    <t>RU34</t>
  </si>
  <si>
    <t>50 % и более</t>
  </si>
  <si>
    <t>MO_NAME</t>
  </si>
  <si>
    <t>Июль</t>
  </si>
  <si>
    <t>поверхностные сточные воды</t>
  </si>
  <si>
    <t>договор хранения</t>
  </si>
  <si>
    <t>Генерация напряжения</t>
  </si>
  <si>
    <t>250</t>
  </si>
  <si>
    <t>106-115</t>
  </si>
  <si>
    <t>Вологодская область</t>
  </si>
  <si>
    <t>RU35</t>
  </si>
  <si>
    <t>100 %</t>
  </si>
  <si>
    <t>OKTMO_NAME</t>
  </si>
  <si>
    <t>Август</t>
  </si>
  <si>
    <t>хозяйственно-бытовые сточные воды</t>
  </si>
  <si>
    <t>договор эксплуатации</t>
  </si>
  <si>
    <t>300</t>
  </si>
  <si>
    <t>116-125</t>
  </si>
  <si>
    <t>Воронежская область</t>
  </si>
  <si>
    <t>RU36</t>
  </si>
  <si>
    <t>TYPE</t>
  </si>
  <si>
    <t>Организация</t>
  </si>
  <si>
    <t>Сентябрь</t>
  </si>
  <si>
    <t>сточные воды (нормативы)</t>
  </si>
  <si>
    <t>договор обслуживания</t>
  </si>
  <si>
    <t>315</t>
  </si>
  <si>
    <t>126-135</t>
  </si>
  <si>
    <t>г. Москва</t>
  </si>
  <si>
    <t>RU77</t>
  </si>
  <si>
    <t>Москва</t>
  </si>
  <si>
    <t>OWNERSHIP_TYPE</t>
  </si>
  <si>
    <t>TOTAL_PPL_COUNT</t>
  </si>
  <si>
    <t>Октябрь</t>
  </si>
  <si>
    <t>сточные воды (иные)</t>
  </si>
  <si>
    <t>350</t>
  </si>
  <si>
    <t>136-145</t>
  </si>
  <si>
    <t>г.Байконур</t>
  </si>
  <si>
    <t>RU00</t>
  </si>
  <si>
    <t>NONPRIVATE_OWNERSHIP_TYPE</t>
  </si>
  <si>
    <t>Ноябрь</t>
  </si>
  <si>
    <t>договор инвестирования</t>
  </si>
  <si>
    <t>355</t>
  </si>
  <si>
    <t>146-155</t>
  </si>
  <si>
    <t>г.Санкт-Петербург</t>
  </si>
  <si>
    <t>RU78</t>
  </si>
  <si>
    <t>Cанкт-Петербург</t>
  </si>
  <si>
    <t>федеральная</t>
  </si>
  <si>
    <t>METHOD_LIST</t>
  </si>
  <si>
    <t>Декабрь</t>
  </si>
  <si>
    <t>доверительное управление</t>
  </si>
  <si>
    <t>400</t>
  </si>
  <si>
    <t>156-165</t>
  </si>
  <si>
    <t>г.Севастополь</t>
  </si>
  <si>
    <t>RU92</t>
  </si>
  <si>
    <t>Севастополь</t>
  </si>
  <si>
    <t>субъект РФ</t>
  </si>
  <si>
    <t>Виды деятельности</t>
  </si>
  <si>
    <t>субаренда</t>
  </si>
  <si>
    <t>450</t>
  </si>
  <si>
    <t>166-175</t>
  </si>
  <si>
    <t>Донецкая Народная Республика</t>
  </si>
  <si>
    <t>муниципальная</t>
  </si>
  <si>
    <t>500</t>
  </si>
  <si>
    <t>176-185</t>
  </si>
  <si>
    <t>Еврейская автономная область</t>
  </si>
  <si>
    <t>RU79</t>
  </si>
  <si>
    <t>support_docs_list</t>
  </si>
  <si>
    <t>600</t>
  </si>
  <si>
    <t>186-195</t>
  </si>
  <si>
    <t>Забайкальский край</t>
  </si>
  <si>
    <t>RU75</t>
  </si>
  <si>
    <t>Метод обеспечения доходности инвестированного капитала</t>
  </si>
  <si>
    <t>630</t>
  </si>
  <si>
    <t>Запорожская область</t>
  </si>
  <si>
    <t>NALOG_SYSTEM_LIST</t>
  </si>
  <si>
    <t>Территории</t>
  </si>
  <si>
    <t>свидетельство</t>
  </si>
  <si>
    <t>700</t>
  </si>
  <si>
    <t>206-215</t>
  </si>
  <si>
    <t>Ивановская область</t>
  </si>
  <si>
    <t>RU37</t>
  </si>
  <si>
    <t>COLDVSNA_VDET_LIST</t>
  </si>
  <si>
    <t>710</t>
  </si>
  <si>
    <t>216-225</t>
  </si>
  <si>
    <t>Иркутская область</t>
  </si>
  <si>
    <t>RU38</t>
  </si>
  <si>
    <t>УСН</t>
  </si>
  <si>
    <t>Производство (подъём / добыча) воды</t>
  </si>
  <si>
    <t>800</t>
  </si>
  <si>
    <t>226-235</t>
  </si>
  <si>
    <t>Кабардино-Балкарская республика</t>
  </si>
  <si>
    <t>RU07</t>
  </si>
  <si>
    <t>Республика Кабардино-Балкария</t>
  </si>
  <si>
    <t>Очистка воды</t>
  </si>
  <si>
    <t>распоряжение</t>
  </si>
  <si>
    <t>900</t>
  </si>
  <si>
    <t>236-245</t>
  </si>
  <si>
    <t>Калининградская область</t>
  </si>
  <si>
    <t>RU39</t>
  </si>
  <si>
    <t>Транспортировка воды</t>
  </si>
  <si>
    <t>решение</t>
  </si>
  <si>
    <t>1000</t>
  </si>
  <si>
    <t>246-255</t>
  </si>
  <si>
    <t>Калужская область</t>
  </si>
  <si>
    <t>RU40</t>
  </si>
  <si>
    <t>Сбыт (распределение) воды</t>
  </si>
  <si>
    <t>приказ</t>
  </si>
  <si>
    <t>256-265</t>
  </si>
  <si>
    <t>Камчатский край</t>
  </si>
  <si>
    <t>RU41</t>
  </si>
  <si>
    <t>лицензия</t>
  </si>
  <si>
    <t>266-275</t>
  </si>
  <si>
    <t>Карачаево-Черкесская республика</t>
  </si>
  <si>
    <t>RU09</t>
  </si>
  <si>
    <t>Республика Карачаево-Черкессия</t>
  </si>
  <si>
    <t>276-285</t>
  </si>
  <si>
    <t>RU42</t>
  </si>
  <si>
    <t>VOTV_VDET_LIST</t>
  </si>
  <si>
    <t>государственный контракт</t>
  </si>
  <si>
    <t>286-295</t>
  </si>
  <si>
    <t>Кировская область</t>
  </si>
  <si>
    <t>RU43</t>
  </si>
  <si>
    <t>Приём сточных вод</t>
  </si>
  <si>
    <t>балансовая справка</t>
  </si>
  <si>
    <t>296-305</t>
  </si>
  <si>
    <t>Костромская область</t>
  </si>
  <si>
    <t>RU44</t>
  </si>
  <si>
    <t>Очистка сточных вод</t>
  </si>
  <si>
    <t>кадастровый паспорт</t>
  </si>
  <si>
    <t>306-315</t>
  </si>
  <si>
    <t>Краснодарский край</t>
  </si>
  <si>
    <t>RU23</t>
  </si>
  <si>
    <t>технический паспорт</t>
  </si>
  <si>
    <t>316-325</t>
  </si>
  <si>
    <t>Красноярский край</t>
  </si>
  <si>
    <t>RU24</t>
  </si>
  <si>
    <t>устав</t>
  </si>
  <si>
    <t>326-335</t>
  </si>
  <si>
    <t>Курганская область</t>
  </si>
  <si>
    <t>RU45</t>
  </si>
  <si>
    <t>акт ввода в эксплуатацию</t>
  </si>
  <si>
    <t>296-325</t>
  </si>
  <si>
    <t>336-345</t>
  </si>
  <si>
    <t>Курская область</t>
  </si>
  <si>
    <t>RU46</t>
  </si>
  <si>
    <t>план приватизации</t>
  </si>
  <si>
    <t>326-375</t>
  </si>
  <si>
    <t>346-355</t>
  </si>
  <si>
    <t>Ленинградская область</t>
  </si>
  <si>
    <t>RU47</t>
  </si>
  <si>
    <t>разрешение на ввод объекта в эксплуатацию</t>
  </si>
  <si>
    <t>376-425</t>
  </si>
  <si>
    <t>356-365</t>
  </si>
  <si>
    <t>Липецкая область</t>
  </si>
  <si>
    <t>RU48</t>
  </si>
  <si>
    <t>выписка из ЕГРН</t>
  </si>
  <si>
    <t>426-475</t>
  </si>
  <si>
    <t>366-375</t>
  </si>
  <si>
    <t>Луганская Народная Республика</t>
  </si>
  <si>
    <t>выписка из РФИ</t>
  </si>
  <si>
    <t>476-525</t>
  </si>
  <si>
    <t>376-385</t>
  </si>
  <si>
    <t>Магаданская область</t>
  </si>
  <si>
    <t>RU49</t>
  </si>
  <si>
    <t>документов нет вообще</t>
  </si>
  <si>
    <t>526-575</t>
  </si>
  <si>
    <t>386-395</t>
  </si>
  <si>
    <t>Московская область</t>
  </si>
  <si>
    <t>RU50</t>
  </si>
  <si>
    <t>576-625</t>
  </si>
  <si>
    <t>396-405</t>
  </si>
  <si>
    <t>Мурманская область</t>
  </si>
  <si>
    <t>RU51</t>
  </si>
  <si>
    <t>TARIFF_CALC_METHOD</t>
  </si>
  <si>
    <t>626-675</t>
  </si>
  <si>
    <t>406-415</t>
  </si>
  <si>
    <t>Ненецкий автономный округ</t>
  </si>
  <si>
    <t>RU83</t>
  </si>
  <si>
    <t>676-725</t>
  </si>
  <si>
    <t>416-425</t>
  </si>
  <si>
    <t>Нижегородская область</t>
  </si>
  <si>
    <t>RU52</t>
  </si>
  <si>
    <t>726-775</t>
  </si>
  <si>
    <t>426-435</t>
  </si>
  <si>
    <t>Новгородская область</t>
  </si>
  <si>
    <t>RU53</t>
  </si>
  <si>
    <t>776-825</t>
  </si>
  <si>
    <t>436-445</t>
  </si>
  <si>
    <t>Новосибирская область</t>
  </si>
  <si>
    <t>RU54</t>
  </si>
  <si>
    <t>826-875</t>
  </si>
  <si>
    <t>446-455</t>
  </si>
  <si>
    <t>Омская область</t>
  </si>
  <si>
    <t>RU55</t>
  </si>
  <si>
    <t>876-925</t>
  </si>
  <si>
    <t>456-465</t>
  </si>
  <si>
    <t>Оренбургская область</t>
  </si>
  <si>
    <t>RU56</t>
  </si>
  <si>
    <t>926-975</t>
  </si>
  <si>
    <t>466-475</t>
  </si>
  <si>
    <t>Орловская область</t>
  </si>
  <si>
    <t>RU57</t>
  </si>
  <si>
    <t>DOCUMENT_TYPES</t>
  </si>
  <si>
    <t>976-1050</t>
  </si>
  <si>
    <t>476-485</t>
  </si>
  <si>
    <t>Пензенская область</t>
  </si>
  <si>
    <t>RU58</t>
  </si>
  <si>
    <t>1051-1150</t>
  </si>
  <si>
    <t>486-495</t>
  </si>
  <si>
    <t>Пермский край</t>
  </si>
  <si>
    <t>RU59</t>
  </si>
  <si>
    <t>1151-1250</t>
  </si>
  <si>
    <t>496-505</t>
  </si>
  <si>
    <t>Приморский край</t>
  </si>
  <si>
    <t>RU25</t>
  </si>
  <si>
    <t>1251-1350</t>
  </si>
  <si>
    <t>506-515</t>
  </si>
  <si>
    <t>Псковская область</t>
  </si>
  <si>
    <t>RU60</t>
  </si>
  <si>
    <t>1351-1450</t>
  </si>
  <si>
    <t>516-525</t>
  </si>
  <si>
    <t>Республика Адыгея</t>
  </si>
  <si>
    <t>RU01</t>
  </si>
  <si>
    <t>закон</t>
  </si>
  <si>
    <t>1451-1550</t>
  </si>
  <si>
    <t>526-535</t>
  </si>
  <si>
    <t>Республика Алтай</t>
  </si>
  <si>
    <t>RU04</t>
  </si>
  <si>
    <t>1551-1650</t>
  </si>
  <si>
    <t>536-545</t>
  </si>
  <si>
    <t>Республика Башкортостан</t>
  </si>
  <si>
    <t>RU02</t>
  </si>
  <si>
    <t>протокол</t>
  </si>
  <si>
    <t>1651-1750</t>
  </si>
  <si>
    <t>546-555</t>
  </si>
  <si>
    <t>Республика Бурятия</t>
  </si>
  <si>
    <t>RU03</t>
  </si>
  <si>
    <t>1751-1850</t>
  </si>
  <si>
    <t>556-565</t>
  </si>
  <si>
    <t>Республика Дагестан</t>
  </si>
  <si>
    <t>RU05</t>
  </si>
  <si>
    <t>1851-1950</t>
  </si>
  <si>
    <t>566-575</t>
  </si>
  <si>
    <t>Республика Ингушетия</t>
  </si>
  <si>
    <t>RU06</t>
  </si>
  <si>
    <t>1951-2050</t>
  </si>
  <si>
    <t>576-585</t>
  </si>
  <si>
    <t>Республика Калмыкия</t>
  </si>
  <si>
    <t>RU08</t>
  </si>
  <si>
    <t>586-595</t>
  </si>
  <si>
    <t>Республика Карелия</t>
  </si>
  <si>
    <t>RU10</t>
  </si>
  <si>
    <t>596-605</t>
  </si>
  <si>
    <t>Республика Коми</t>
  </si>
  <si>
    <t>RU11</t>
  </si>
  <si>
    <t>606-615</t>
  </si>
  <si>
    <t>Республика Крым</t>
  </si>
  <si>
    <t>RU82</t>
  </si>
  <si>
    <t>Крым</t>
  </si>
  <si>
    <t>616-625</t>
  </si>
  <si>
    <t>Республика Марий Эл</t>
  </si>
  <si>
    <t>RU12</t>
  </si>
  <si>
    <t>626-635</t>
  </si>
  <si>
    <t>Республика Мордовия</t>
  </si>
  <si>
    <t>RU13</t>
  </si>
  <si>
    <t>636-645</t>
  </si>
  <si>
    <t>Республика Саха (Якутия)</t>
  </si>
  <si>
    <t>RU14</t>
  </si>
  <si>
    <t>646-655</t>
  </si>
  <si>
    <t>Республика Северная Осетия-Алания</t>
  </si>
  <si>
    <t>RU15</t>
  </si>
  <si>
    <t>Республика Северная Осетия (Алания)</t>
  </si>
  <si>
    <t>656-665</t>
  </si>
  <si>
    <t>Республика Татарстан</t>
  </si>
  <si>
    <t>RU16</t>
  </si>
  <si>
    <t>666-675</t>
  </si>
  <si>
    <t>Республика Тыва</t>
  </si>
  <si>
    <t>RU17</t>
  </si>
  <si>
    <t>Республика Тыва (Тува)</t>
  </si>
  <si>
    <t>676-685</t>
  </si>
  <si>
    <t>Республика Хакасия</t>
  </si>
  <si>
    <t>RU19</t>
  </si>
  <si>
    <t>686-695</t>
  </si>
  <si>
    <t>Ростовская область</t>
  </si>
  <si>
    <t>RU61</t>
  </si>
  <si>
    <t>696-705</t>
  </si>
  <si>
    <t>Рязанская область</t>
  </si>
  <si>
    <t>RU62</t>
  </si>
  <si>
    <t>706-715</t>
  </si>
  <si>
    <t>Самарская область</t>
  </si>
  <si>
    <t>RU63</t>
  </si>
  <si>
    <t>716-725</t>
  </si>
  <si>
    <t>Саратовская область</t>
  </si>
  <si>
    <t>RU64</t>
  </si>
  <si>
    <t>726-735</t>
  </si>
  <si>
    <t>Сахалинская область</t>
  </si>
  <si>
    <t>RU65</t>
  </si>
  <si>
    <t>736-745</t>
  </si>
  <si>
    <t>Свердловская область</t>
  </si>
  <si>
    <t>RU66</t>
  </si>
  <si>
    <t>746-755</t>
  </si>
  <si>
    <t>Смоленская область</t>
  </si>
  <si>
    <t>RU67</t>
  </si>
  <si>
    <t>756-765</t>
  </si>
  <si>
    <t>Ставропольский край</t>
  </si>
  <si>
    <t>RU26</t>
  </si>
  <si>
    <t>766-775</t>
  </si>
  <si>
    <t>Тамбовская область</t>
  </si>
  <si>
    <t>RU68</t>
  </si>
  <si>
    <t>776-785</t>
  </si>
  <si>
    <t>Тверская область</t>
  </si>
  <si>
    <t>RU69</t>
  </si>
  <si>
    <t>786-795</t>
  </si>
  <si>
    <t>Томская область</t>
  </si>
  <si>
    <t>RU70</t>
  </si>
  <si>
    <t>796-825</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</si>
  <si>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</si>
  <si>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</si>
  <si>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</si>
  <si>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</si>
  <si>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</si>
  <si>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</si>
  <si>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</si>
  <si>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</si>
  <si>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</si>
  <si>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976-1025</t>
  </si>
  <si>
    <t>Хабаровский край</t>
  </si>
  <si>
    <t>RU27</t>
  </si>
  <si>
    <t>1026-1075</t>
  </si>
  <si>
    <t>Ханты-Мансийский автономный округ</t>
  </si>
  <si>
    <t>RU86</t>
  </si>
  <si>
    <t>1076-1125</t>
  </si>
  <si>
    <t>Херсонская область</t>
  </si>
  <si>
    <t>1126-1175</t>
  </si>
  <si>
    <t>Челябинская область</t>
  </si>
  <si>
    <t>RU74</t>
  </si>
  <si>
    <t>1176-1225</t>
  </si>
  <si>
    <t>Чеченская республика</t>
  </si>
  <si>
    <t>RU20</t>
  </si>
  <si>
    <t>Республика Чечня</t>
  </si>
  <si>
    <t>1226-1275</t>
  </si>
  <si>
    <t>Чувашская республика</t>
  </si>
  <si>
    <t>RU21</t>
  </si>
  <si>
    <t>Республика Чувашия</t>
  </si>
  <si>
    <t>1276-1325</t>
  </si>
  <si>
    <t>Чукотский автономный округ</t>
  </si>
  <si>
    <t>RU87</t>
  </si>
  <si>
    <t>1326-1375</t>
  </si>
  <si>
    <t>Ямало-Ненецкий автономный округ</t>
  </si>
  <si>
    <t>RU89</t>
  </si>
  <si>
    <t>1376-1425</t>
  </si>
  <si>
    <t>Ярославская область</t>
  </si>
  <si>
    <t>RU76</t>
  </si>
  <si>
    <t>1426-1475</t>
  </si>
  <si>
    <t>1476-1525</t>
  </si>
  <si>
    <t>1526-1575</t>
  </si>
  <si>
    <t>1576-1625</t>
  </si>
  <si>
    <t>УПРАВЛЕНИЕ АЛТАЙСКОГО КРАЯ ПО ГОСУДАРСТВЕННОМУ РЕГУЛИРОВАНИЮ ЦЕН И ТАРИФОВ</t>
  </si>
  <si>
    <t>1626-1675</t>
  </si>
  <si>
    <t>УПРАВЛЕНИЕ ГОСУДАРСТВЕННОГО РЕГУЛИРОВАНИЯ ЦЕН И ТАРИФОВ АМУРСКОЙ ОБЛАСТИ</t>
  </si>
  <si>
    <t>1676-1725</t>
  </si>
  <si>
    <t>АГЕНТСТВО ПО ТАРИФАМ И ЦЕНАМ АРХАНГЕЛЬСКОЙ ОБЛАСТИ</t>
  </si>
  <si>
    <t>1726-1775</t>
  </si>
  <si>
    <t>МИНИСТЕРСТВО СТРОИТЕЛЬСТВА И ЖИЛИЩНО-КОММУНАЛЬНОГО ХОЗЯЙСТВА АСТРАХАНСКОЙ ОБЛАСТИ</t>
  </si>
  <si>
    <t>1776-1825</t>
  </si>
  <si>
    <t>МИНИСТЕРСТВО ЖИЛИЩНО-КОММУНАЛЬНОГО ХОЗЯЙСТВА БЕЛГОРОДСКОЙ ОБЛАСТИ</t>
  </si>
  <si>
    <t>1826-1875</t>
  </si>
  <si>
    <t>УПРАВЛЕНИЕ ГОСУДАРСТВЕННОГО РЕГУЛИРОВАНИЯ ТАРИФОВ БРЯНСКОЙ ОБЛАСТИ</t>
  </si>
  <si>
    <t>1876-1925</t>
  </si>
  <si>
    <t>МИНИСТЕРСТВО ГОСУДАРСТВЕННОГО РЕГУЛИРОВАНИЯ ЦЕН И ТАРИФОВ ВЛАДИМИРСКОЙ ОБЛАСТИ</t>
  </si>
  <si>
    <t>1926-1975</t>
  </si>
  <si>
    <t>КОМИТЕТ ТАРИФНОГО РЕГУЛИРОВАНИЯ ВОЛГОГРАДСКОЙ ОБЛАСТИ</t>
  </si>
  <si>
    <t>1976-2025</t>
  </si>
  <si>
    <t>ДЕПАРТАМЕНТ ТОПЛИВНО-ЭНЕРГЕТИЧЕСКОГО КОМПЛЕКСА И ТАРИФНОГО РЕГУЛИРОВАНИЯ ВОЛОГОДСКОЙ ОБЛАСТИ</t>
  </si>
  <si>
    <t>2026-2075</t>
  </si>
  <si>
    <t>ДЕПАРТАМЕНТ ГОСУДАРСТВЕННОГО РЕГУЛИРОВАНИЯ ТАРИФОВ ВОРОНЕЖСКОЙ ОБЛАСТИ</t>
  </si>
  <si>
    <t>2076-2125</t>
  </si>
  <si>
    <t>ДЕПАРТАМЕНТ ЭКОНОМИЧЕСКОЙ ПОЛИТИКИ И РАЗВИТИЯ ГОРОДА МОСКВЫ</t>
  </si>
  <si>
    <t>2126-2175</t>
  </si>
  <si>
    <t>г. Байконур</t>
  </si>
  <si>
    <t>УПРАВЛЕНИЕ ЭКОНОМИЧЕСКОГО РАЗВИТИЯ АДМИНИСТРАЦИИ ГОРОДА БАЙКОНУР</t>
  </si>
  <si>
    <t>2176-2225</t>
  </si>
  <si>
    <t>г. Санкт-Петербург</t>
  </si>
  <si>
    <t>КОМИТЕТ ПО ТАРИФАМ САНКТ-ПЕТЕРБУРГА</t>
  </si>
  <si>
    <t>2226-2275</t>
  </si>
  <si>
    <t>г. Севастополь</t>
  </si>
  <si>
    <t>ДЕПАРТАМЕНТ ГОРОДСКОГО ХОЗЯЙСТВА ГОРОДА СЕВАСТОПОЛЯ</t>
  </si>
  <si>
    <t>2276-2325</t>
  </si>
  <si>
    <t>РЕСПУБЛИКАНСКАЯ СЛУЖБА ПО ТАРИФАМ ДОНЕЦКОЙ НАРОДНОЙ РЕСПУБЛИКИ</t>
  </si>
  <si>
    <t>2326-2375</t>
  </si>
  <si>
    <t>ДЕПАРТАМЕНТ ТАРИФОВ И ЦЕН ПРАВИТЕЛЬСТВА ЕВРЕЙСКОЙ АВТОНОМНОЙ ОБЛАСТИ</t>
  </si>
  <si>
    <t>2376-2425</t>
  </si>
  <si>
    <t>РЕГИОНАЛЬНАЯ СЛУЖБА ПО ТАРИФАМ И ЦЕНООБРАЗОВАНИЮ ЗАБАЙКАЛЬСКОГО КРАЯ</t>
  </si>
  <si>
    <t>2426-2475</t>
  </si>
  <si>
    <t>МИНИСТЕРСТВО ПО ТАРИФАМ И ЦЕНОВОМУ РЕГУЛИРОВАНИЮ ВОЕННО-ГРАЖДАНСКОЙ АДМИНИСТРАЦИИ ЗАПОРОЖСКОЙ ОБЛАСТИ</t>
  </si>
  <si>
    <t>2476-2525</t>
  </si>
  <si>
    <t>ДЕПАРТАМЕНТ ЭНЕРГЕТИКИ И ТАРИФОВ ИВАНОВСКОЙ ОБЛАСТИ</t>
  </si>
  <si>
    <t>2526-2575</t>
  </si>
  <si>
    <t>СЛУЖБА ПО ТАРИФАМ ИРКУТСКОЙ ОБЛАСТИ</t>
  </si>
  <si>
    <t>2576-2625</t>
  </si>
  <si>
    <t>ГОСУДАРСТВЕННЫЙ КОМИТЕТ КАБАРДИНО-БАЛКАРСКОЙ РЕСПУБЛИКИ ПО ТАРИФАМ И ЖИЛИЩНОМУ НАДЗОРУ</t>
  </si>
  <si>
    <t>2626-2675</t>
  </si>
  <si>
    <t>СЛУЖБА ПО ГОСУДАРСТВЕННОМУ РЕГУЛИРОВАНИЮ ЦЕН И ТАРИФОВ КАЛИНИНГРАДСКОЙ ОБЛАСТИ</t>
  </si>
  <si>
    <t>2676-2725</t>
  </si>
  <si>
    <t>МИНИСТЕРСТВО КОНКУРЕНТНОЙ ПОЛИТИКИ КАЛУЖСКОЙ ОБЛАСТИ</t>
  </si>
  <si>
    <t>2726-2775</t>
  </si>
  <si>
    <t>РЕГИОНАЛЬНАЯ СЛУЖБА ПО ТАРИФАМ И ЦЕНАМ КАМЧАТСКОГО КРАЯ</t>
  </si>
  <si>
    <t>2776-2825</t>
  </si>
  <si>
    <t>ГЛАВНОЕ УПРАВЛЕНИЕ КАРАЧАЕВО-ЧЕРКЕССКОЙ РЕСПУБЛИКИ ПО ТАРИФАМ И ЦЕНАМ</t>
  </si>
  <si>
    <t>2826-2875</t>
  </si>
  <si>
    <t>2876-2925</t>
  </si>
  <si>
    <t>РЕГИОНАЛЬНАЯ СЛУЖБА ПО ТАРИФАМ КИРОВСКОЙ ОБЛАСТИ</t>
  </si>
  <si>
    <t>2926-2975</t>
  </si>
  <si>
    <t>ДЕПАРТАМЕНТ ГОСУДАРСТВЕННОГО РЕГУЛИРОВАНИЯ ЦЕН И ТАРИФОВ КОСТРОМСКОЙ ОБЛАСТИ</t>
  </si>
  <si>
    <t>2976-3050</t>
  </si>
  <si>
    <t>ДЕПАРТАМЕНТ ГОСУДАРСТВЕННОГО РЕГУЛИРОВАНИЯ ТАРИФОВ КРАСНОДАРСКОГО КРАЯ</t>
  </si>
  <si>
    <t>3051-3150</t>
  </si>
  <si>
    <t>МИНИСТЕРСТВО ТАРИФНОЙ ПОЛИТИКИ КРАСНОЯРСКОГО КРАЯ</t>
  </si>
  <si>
    <t>3151-3250</t>
  </si>
  <si>
    <t>ДЕПАРТАМЕНТ ГОСУДАРСТВЕННОГО РЕГУЛИРОВАНИЯ ЦЕН И ТАРИФОВ КУРГАНСКОЙ ОБЛАСТИ</t>
  </si>
  <si>
    <t>3251-3350</t>
  </si>
  <si>
    <t>КОМИТЕТ ПО ТАРИФАМ И ЦЕНАМ КУРСКОЙ ОБЛАСТИ</t>
  </si>
  <si>
    <t>3351-3450</t>
  </si>
  <si>
    <t>КОМИТЕТ ПО ТАРИФАМ И ЦЕНОВОЙ ПОЛИТИКЕ ЛЕНИНГРАДСКОЙ ОБЛАСТИ</t>
  </si>
  <si>
    <t>3451-3550</t>
  </si>
  <si>
    <t>УПРАВЛЕНИЕ ЭНЕРГЕТИКИ И ТАРИФОВ ЛИПЕЦКОЙ ОБЛАСТИ</t>
  </si>
  <si>
    <t>3551-3650</t>
  </si>
  <si>
    <t>КОМИТЕТ ТАРИФНОГО И ЦЕНОВОГО РЕГУЛИРОВАНИЯ ЛУГАНСКОЙ НАРОДНОЙ РЕСПУБЛИКИ</t>
  </si>
  <si>
    <t>3651-3750</t>
  </si>
  <si>
    <t>ДЕПАРТАМЕНТ ЦЕН И ТАРИФОВ МАГАДАНСКОЙ ОБЛАСТИ</t>
  </si>
  <si>
    <t>3751-3850</t>
  </si>
  <si>
    <t>КОМИТЕТ ПО ЦЕНАМ И ТАРИФАМ МОСКОВСКОЙ ОБЛАСТИ</t>
  </si>
  <si>
    <t>3851-3950</t>
  </si>
  <si>
    <t>КОМИТЕТ ПО ТАРИФНОМУ РЕГУЛИРОВАНИЮ МУРМАНСКОЙ ОБЛАСТИ</t>
  </si>
  <si>
    <t>3951-4050</t>
  </si>
  <si>
    <t>УПРАВЛЕНИЕ ПО ГОСУДАРСТВЕННОМУ РЕГУЛИРОВАНИЮ ЦЕН (ТАРИФОВ) НЕНЕЦКОГО АВТОНОМНОГО ОКРУГА</t>
  </si>
  <si>
    <t>4051-4150</t>
  </si>
  <si>
    <t>РЕГИОНАЛЬНАЯ СЛУЖБА ПО ТАРИФАМ НИЖЕГОРОДСКОЙ ОБЛАСТИ</t>
  </si>
  <si>
    <t>4151-4250</t>
  </si>
  <si>
    <t>КОМИТЕТ ПО ТАРИФНОЙ ПОЛИТИКЕ НОВГОРОДСКОЙ ОБЛАСТИ</t>
  </si>
  <si>
    <t>4251-4350</t>
  </si>
  <si>
    <t>ДЕПАРТАМЕНТ ПО ТАРИФАМ НОВОСИБИРСКОЙ ОБЛАСТИ</t>
  </si>
  <si>
    <t>4351-4450</t>
  </si>
  <si>
    <t>РЕГИОНАЛЬНАЯ ЭНЕРГЕТИЧЕСКАЯ КОМИССИЯ ОМСКОЙ ОБЛАСТИ</t>
  </si>
  <si>
    <t>4451-4550</t>
  </si>
  <si>
    <t>ДЕПАРТАМЕНТ ОРЕНБУРГСКОЙ ОБЛАСТИ ПО ЦЕНАМ И РЕГУЛИРОВАНИЮ ТАРИФОВ</t>
  </si>
  <si>
    <t>4551-4650</t>
  </si>
  <si>
    <t>УПРАВЛЕНИЕ ПО ТАРИФАМ И ЦЕНОВОЙ ПОЛИТИКЕ ОРЛОВСКОЙ ОБЛАСТИ</t>
  </si>
  <si>
    <t>4651-4750</t>
  </si>
  <si>
    <t>УПРАВЛЕНИЕ ПО РЕГУЛИРОВАНИЮ ТАРИФОВ, РАЗВИТИЮ ИНФРАСТРУКТУРЫ И ЭНЕРГОСБЕРЕЖЕНИЮ ПЕНЗЕНСКОЙ ОБЛАСТИ</t>
  </si>
  <si>
    <t>4751-4850</t>
  </si>
  <si>
    <t>МИНИСТЕРСТВО ТАРИФНОГО РЕГУЛИРОВАНИЯ И ЭНЕРГЕТИКИ ПЕРМСКОГО КРАЯ</t>
  </si>
  <si>
    <t>4851-4950</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</si>
  <si>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</si>
  <si>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</si>
  <si>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</si>
  <si>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</si>
  <si>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</si>
  <si>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</si>
  <si>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</si>
  <si>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МИНИСТЕРСТВО ПРОМЫШЛЕННОСТИ И ЦИФРОВОГО РАЗВИТИЯ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</si>
  <si>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</si>
  <si>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</si>
  <si>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</si>
  <si>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</si>
  <si>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</si>
  <si>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ГОСУДАРСТВЕННЫЙ КОМИТЕТ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</si>
  <si>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</si>
  <si>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</si>
  <si>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</si>
  <si>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</si>
  <si>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</si>
  <si>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</si>
  <si>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</si>
  <si>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</si>
  <si>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</si>
  <si>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КОМИССИЯ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</si>
  <si>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</si>
  <si>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</si>
  <si>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</si>
  <si>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ДЕПАРТАМЕНТ ЦЕН И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</si>
  <si>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</si>
  <si>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</si>
  <si>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</si>
  <si>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</si>
  <si>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</si>
  <si>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</si>
  <si>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</si>
  <si>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</si>
  <si>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СЛУЖБА ЦЕН И ТАРИФОВ ХЕРСОНСКОЙ ОБЛАСТИ</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</si>
  <si>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</si>
  <si>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</si>
  <si>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</si>
  <si>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</si>
  <si>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t>
  </si>
  <si>
    <t>МИНИСТЕРСТВО ТАРИФНОГО РЕГУЛИРОВАНИЯ ЯРОСЛАВСКОЙ ОБЛАСТИ</t>
  </si>
  <si>
    <t>name</t>
  </si>
  <si>
    <t>"Бачатский угольный разрез" - филиал АО "УК "Кузбассразрезуголь"</t>
  </si>
  <si>
    <t>Кемеровская ГРЭС</t>
  </si>
  <si>
    <t>Кемеровская ТЭЦ</t>
  </si>
  <si>
    <t>"Талдинский угольный разрез" - филиал АО "УК "Кузбассразрезуголь"</t>
  </si>
  <si>
    <t>dopName</t>
  </si>
  <si>
    <t>Оказание услуг на территории: город Кемерово (ОКТМО: 32701000) - жилые районы Кедровка, Промышленновский</t>
  </si>
  <si>
    <t>Оказание услуг на территории: город Полысаево (ОКТМО: 32732000) - г Ленинск-Кузнецкий, г Полысаево</t>
  </si>
  <si>
    <t>Оказание услуг на территории: город Полысаево (ОКТМО: 32732000) - транспортировка</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</si>
  <si>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</si>
  <si>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</si>
  <si>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Оказание услуг на территории: Яшкинский муниципальный округ (ОКТМО: 32546000) - имущество, переданное по договору аренды</t>
  </si>
  <si>
    <t>Оказание услуг на территории: Яшкинский муниципальный округ (ОКТМО: 32546000) - имущество, переданное по концессионному соглашению</t>
  </si>
  <si>
    <t>Оказание услуг на территории: Яшкинский муниципальный район (ОКТМО: 32646000) - пгт Яшкино</t>
  </si>
  <si>
    <t>Оказание услуг на территории: Яшкинский муниципальный район (ОКТМО: 32646000) - сельские поселения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</si>
</sst>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0.000%"/>
    <numFmt numFmtId="174" formatCode="dd\.mm\.yyyy"/>
    <numFmt numFmtId="175" formatCode="0.0"/>
  </numFmts>
  <fonts count="82">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10"/>
      <color auto="1"/>
      <name val="Arial Cyr"/>
    </font>
    <font>
      <sz val="9"/>
      <color theme="1"/>
      <name val="Tahoma"/>
    </font>
    <font>
      <b/>
      <sz val="9"/>
      <color auto="1"/>
      <name val="Tahoma"/>
    </font>
    <font>
      <sz val="8"/>
      <color auto="1"/>
      <name val="Tahoma"/>
    </font>
    <font>
      <sz val="9"/>
      <color rgb="FFFFFFFF"/>
      <name val="Tahoma"/>
    </font>
    <font>
      <b/>
      <sz val="10"/>
      <color auto="1"/>
      <name val="Tahoma"/>
    </font>
    <font>
      <b/>
      <sz val="8"/>
      <color auto="1"/>
      <name val="Tahoma"/>
    </font>
    <font>
      <sz val="8"/>
      <color rgb="FF0070C0"/>
      <name val="Tahoma"/>
    </font>
    <font>
      <sz val="10"/>
      <color auto="1"/>
      <name val="Tahoma"/>
    </font>
    <font>
      <sz val="9"/>
      <color rgb="FFFF0000"/>
      <name val="Tahoma"/>
    </font>
    <font>
      <sz val="9"/>
      <color rgb="FF0070C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11"/>
      <color rgb="FFBCBCBC"/>
      <name val="Wingdings 2"/>
    </font>
    <font>
      <sz val="9"/>
      <color theme="0"/>
      <name val="Tahoma"/>
    </font>
    <font>
      <b/>
      <sz val="9"/>
      <color rgb="FF333399"/>
      <name val="Tahoma"/>
    </font>
    <font>
      <b/>
      <sz val="9"/>
      <color theme="1"/>
      <name val="Calibri"/>
      <scheme val="minor"/>
    </font>
    <font>
      <b/>
      <sz val="9"/>
      <color theme="1"/>
      <name val="Tahoma"/>
    </font>
    <font>
      <sz val="9"/>
      <color rgb="FF000080"/>
      <name val="Tahoma"/>
    </font>
    <font>
      <sz val="9"/>
      <color theme="0" tint="-0.15"/>
      <name val="Tahoma"/>
    </font>
    <font>
      <b/>
      <sz val="9"/>
      <color theme="0"/>
      <name val="Tahoma"/>
    </font>
    <font>
      <u/>
      <sz val="10"/>
      <color rgb="FF000080"/>
      <name val="Tahoma"/>
    </font>
    <font>
      <sz val="12"/>
      <color theme="1"/>
      <name val="Tahoma"/>
    </font>
    <font>
      <sz val="16"/>
      <color auto="1"/>
      <name val="Tahoma"/>
    </font>
    <font>
      <b/>
      <sz val="16"/>
      <color auto="1"/>
      <name val="Tahoma"/>
    </font>
    <font>
      <u/>
      <sz val="9"/>
      <color rgb="FF000080"/>
      <name val="Tahoma"/>
    </font>
    <font>
      <sz val="8"/>
      <color rgb="FF000000"/>
      <name val="Tahoma"/>
    </font>
    <font>
      <sz val="14"/>
      <color rgb="FFBCBCBC"/>
      <name val="Calibri"/>
      <scheme val="minor"/>
    </font>
    <font>
      <b/>
      <u/>
      <sz val="11"/>
      <color rgb="FF0000FF"/>
      <name val="Tahoma"/>
    </font>
    <font>
      <sz val="11"/>
      <color rgb="FFFFFFFF"/>
      <name val="Tahoma"/>
    </font>
    <font>
      <b/>
      <sz val="8"/>
      <color rgb="FF000000"/>
      <name val="Tahoma"/>
    </font>
    <font>
      <sz val="11"/>
      <color rgb="FF000000"/>
      <name val="Tahoma"/>
    </font>
    <font>
      <sz val="10"/>
      <color rgb="FF000000"/>
      <name val="Arial Cyr"/>
    </font>
    <font>
      <sz val="10"/>
      <color rgb="FF000000"/>
      <name val="Tahoma"/>
    </font>
    <font>
      <sz val="11"/>
      <color theme="1"/>
      <name val="Tahoma"/>
    </font>
    <font>
      <sz val="11"/>
      <color rgb="FFBCBCBC"/>
      <name val="Tahoma"/>
    </font>
    <font>
      <u/>
      <sz val="9"/>
      <color auto="1"/>
      <name val="Tahoma"/>
    </font>
    <font>
      <sz val="20"/>
      <color auto="1"/>
      <name val="Tahoma"/>
    </font>
    <font>
      <sz val="12"/>
      <color auto="1"/>
      <name val="Tahoma"/>
    </font>
    <font>
      <sz val="18"/>
      <color auto="1"/>
      <name val="Tahoma"/>
    </font>
    <font>
      <b/>
      <sz val="9"/>
      <color rgb="FFFF0000"/>
      <name val="Tahoma"/>
    </font>
    <font>
      <sz val="8"/>
      <color rgb="FFFF0000"/>
      <name val="Tahoma"/>
    </font>
    <font>
      <sz val="14"/>
      <color theme="0" tint="-0.15"/>
      <name val="Calibri"/>
      <scheme val="minor"/>
    </font>
    <font>
      <sz val="16"/>
      <color theme="0"/>
      <name val="Tahoma"/>
    </font>
    <font>
      <sz val="8"/>
      <color theme="0"/>
      <name val="Tahoma"/>
    </font>
    <font>
      <sz val="11"/>
      <color auto="1"/>
      <name val="Calibri"/>
      <scheme val="minor"/>
    </font>
    <font>
      <sz val="9"/>
      <color rgb="FFCC0000"/>
      <name val="Tahoma"/>
    </font>
    <font>
      <b/>
      <u/>
      <sz val="9"/>
      <color rgb="FFFFFFFF"/>
      <name val="Tahoma"/>
    </font>
    <font>
      <b/>
      <sz val="9"/>
      <color rgb="FFBCBCBC"/>
      <name val="Tahoma"/>
    </font>
    <font>
      <b/>
      <sz val="10"/>
      <color rgb="FF000000"/>
      <name val="Tahoma"/>
    </font>
    <font>
      <u/>
      <sz val="20"/>
      <color rgb="FF000000"/>
      <name val="Tahoma"/>
    </font>
    <font>
      <u/>
      <sz val="20"/>
      <color rgb="FF003366"/>
      <name val="Tahoma"/>
    </font>
    <font>
      <sz val="11"/>
      <color rgb="FF000000"/>
      <name val="Marlett"/>
    </font>
    <font>
      <sz val="11"/>
      <color rgb="FF000000"/>
      <name val="Calibri"/>
    </font>
    <font>
      <sz val="9"/>
      <color theme="1"/>
      <name val="Calibri"/>
      <scheme val="minor"/>
    </font>
    <font>
      <sz val="9"/>
      <color auto="1"/>
      <name val="Calibri"/>
      <scheme val="minor"/>
    </font>
    <font>
      <sz val="11"/>
      <color auto="1"/>
      <name val="Tahoma"/>
    </font>
    <font>
      <b/>
      <sz val="11"/>
      <color rgb="FF000000"/>
      <name val="TT Commons"/>
      <scheme val="minor"/>
    </font>
    <font>
      <b/>
      <sz val="9"/>
      <color rgb="FFFFFFFF"/>
      <name val="Tahoma"/>
    </font>
  </fonts>
  <fills count="57">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FF"/>
      </patternFill>
    </fill>
    <fill>
      <patternFill patternType="solid">
        <fgColor rgb="FFFFFFC0"/>
      </patternFill>
    </fill>
    <fill>
      <patternFill patternType="solid">
        <fgColor theme="0"/>
      </patternFill>
    </fill>
    <fill>
      <patternFill patternType="solid">
        <fgColor rgb="FFD7EAD3"/>
      </patternFill>
    </fill>
    <fill>
      <patternFill patternType="solid">
        <fgColor rgb="FF0066CC"/>
      </patternFill>
    </fill>
    <fill>
      <patternFill patternType="solid">
        <fgColor rgb="FFFFFF00"/>
      </patternFill>
    </fill>
    <fill>
      <patternFill patternType="solid">
        <fgColor rgb="FFFF8080"/>
      </patternFill>
    </fill>
    <fill>
      <patternFill patternType="solid">
        <fgColor rgb="FF808080"/>
      </patternFill>
    </fill>
    <fill>
      <patternFill patternType="lightDown">
        <fgColor rgb="FFBCBCBC"/>
      </patternFill>
    </fill>
    <fill>
      <patternFill patternType="solid">
        <fgColor rgb="FFE3FAFD"/>
      </patternFill>
    </fill>
    <fill>
      <patternFill patternType="solid">
        <fgColor theme="0" tint="-0.15"/>
      </patternFill>
    </fill>
    <fill>
      <patternFill patternType="solid">
        <fgColor theme="0" tint="-0.25"/>
      </patternFill>
    </fill>
    <fill>
      <patternFill patternType="solid">
        <fgColor rgb="FFCC0000"/>
      </patternFill>
    </fill>
    <fill>
      <patternFill patternType="solid">
        <fgColor rgb="FFD3DBDB"/>
      </patternFill>
    </fill>
    <fill>
      <patternFill patternType="solid">
        <fgColor rgb="FF0070C0"/>
      </patternFill>
    </fill>
    <fill>
      <patternFill patternType="solid">
        <fgColor rgb="FF00B0F0"/>
      </patternFill>
    </fill>
    <fill>
      <patternFill patternType="solid">
        <fgColor rgb="FFFF0000"/>
      </patternFill>
    </fill>
    <fill>
      <patternFill patternType="solid">
        <fgColor rgb="FFB7E4FF"/>
      </patternFill>
    </fill>
    <fill>
      <patternFill patternType="solid">
        <fgColor rgb="FFF0F075"/>
      </patternFill>
    </fill>
    <fill>
      <patternFill patternType="solid">
        <fgColor rgb="FFF79646"/>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EAEBEE"/>
      </patternFill>
    </fill>
  </fills>
  <borders count="80">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style="thin">
        <color theme="0" tint="-0.25"/>
      </top>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right/>
      <top style="thin">
        <color rgb="FFBCBCBC"/>
      </top>
      <bottom style="thin">
        <color rgb="FFBCBCBC"/>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style="thin">
        <color theme="0" tint="-0.35"/>
      </left>
      <right style="thin">
        <color theme="0" tint="-0.35"/>
      </right>
      <top style="thin">
        <color theme="0" tint="-0.35"/>
      </top>
      <bottom style="thin">
        <color theme="0" tint="-0.35"/>
      </bottom>
    </border>
    <border>
      <left/>
      <right style="thin">
        <color theme="0" tint="-0.25"/>
      </right>
      <top style="thin">
        <color theme="0" tint="-0.25"/>
      </top>
      <bottom style="thin">
        <color theme="0" tint="-0.25"/>
      </bottom>
    </border>
    <border>
      <left/>
      <right/>
      <top style="thin">
        <color rgb="FFBCBCBC"/>
      </top>
      <bottom/>
    </border>
    <border>
      <left style="thin">
        <color rgb="FFBCBCBC"/>
      </left>
      <right style="thin">
        <color rgb="FFBCBCBC"/>
      </right>
      <top style="thin">
        <color rgb="FFBCBCBC"/>
      </top>
      <bottom/>
    </border>
    <border>
      <left/>
      <right style="thin">
        <color theme="0" tint="-0.35"/>
      </right>
      <top style="thin">
        <color theme="0" tint="-0.35"/>
      </top>
      <bottom style="thin">
        <color rgb="FFBCBCBC"/>
      </bottom>
    </border>
    <border>
      <left style="thin">
        <color theme="0" tint="-0.35"/>
      </left>
      <right style="thin">
        <color theme="0" tint="-0.25"/>
      </right>
      <top style="thin">
        <color theme="0" tint="-0.35"/>
      </top>
      <bottom style="thin">
        <color theme="0" tint="-0.35"/>
      </bottom>
    </border>
    <border>
      <left/>
      <right/>
      <top/>
      <bottom style="thin">
        <color theme="0" tint="-0.25"/>
      </bottom>
    </border>
    <border>
      <left/>
      <right style="thin">
        <color rgb="FFBCBCBC"/>
      </right>
      <top style="thin">
        <color rgb="FFBCBCBC"/>
      </top>
      <bottom style="thin">
        <color rgb="FFBCBCBC"/>
      </bottom>
    </border>
    <border>
      <left style="thin">
        <color rgb="FFBCBCBC"/>
      </left>
      <right/>
      <top style="thin">
        <color rgb="FFBCBCBC"/>
      </top>
      <bottom style="thin">
        <color rgb="FFBCBCBC"/>
      </bottom>
    </border>
    <border>
      <left style="thin">
        <color rgb="FFBCBCBC"/>
      </left>
      <right/>
      <top/>
      <bottom style="thin">
        <color rgb="FFBCBCBC"/>
      </bottom>
    </border>
    <border>
      <left/>
      <right/>
      <top/>
      <bottom style="thin">
        <color rgb="FFBCBCBC"/>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35"/>
      </left>
      <right/>
      <top/>
      <bottom style="thin">
        <color theme="0" tint="-0.35"/>
      </bottom>
    </border>
    <border>
      <left style="thin">
        <color theme="0" tint="-0.35"/>
      </left>
      <right style="thin">
        <color theme="0" tint="-0.35"/>
      </right>
      <top/>
      <bottom style="thin">
        <color theme="0" tint="-0.35"/>
      </bottom>
    </border>
    <border>
      <left/>
      <right/>
      <top style="thin">
        <color theme="0" tint="-0.35"/>
      </top>
      <bottom style="thin">
        <color theme="0" tint="-0.35"/>
      </bottom>
    </border>
    <border>
      <left style="thin">
        <color rgb="FFBCBCBC"/>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BCBCBC"/>
      </left>
      <right/>
      <top/>
      <bottom/>
    </border>
    <border>
      <left style="thin">
        <color theme="0" tint="-0.25"/>
      </left>
      <right style="thin">
        <color theme="0" tint="-0.25"/>
      </right>
      <top/>
      <bottom style="thin">
        <color theme="0" tint="-0.25"/>
      </bottom>
    </border>
    <border>
      <left/>
      <right/>
      <top style="thin">
        <color theme="0" tint="-0.25"/>
      </top>
      <bottom/>
    </border>
    <border>
      <left/>
      <right style="thin">
        <color theme="0" tint="-0.25"/>
      </right>
      <top style="thin">
        <color theme="0" tint="-0.25"/>
      </top>
      <bottom/>
    </border>
    <border>
      <left/>
      <right style="thin">
        <color theme="0" tint="-0.25"/>
      </right>
      <top/>
      <bottom style="thin">
        <color theme="0" tint="-0.25"/>
      </bottom>
    </border>
    <border>
      <left style="thin">
        <color theme="0" tint="-0.25"/>
      </left>
      <right style="thin">
        <color theme="0" tint="-0.35"/>
      </right>
      <top style="thin">
        <color theme="0" tint="-0.35"/>
      </top>
      <bottom style="thin">
        <color theme="0" tint="-0.35"/>
      </bottom>
    </border>
    <border>
      <left/>
      <right style="thin">
        <color theme="0" tint="-0.25"/>
      </right>
      <top style="thin">
        <color rgb="FFBCBCBC"/>
      </top>
      <bottom style="thin">
        <color rgb="FFBCBCBC"/>
      </bottom>
    </border>
    <border>
      <left/>
      <right style="thin">
        <color theme="0" tint="-0.25"/>
      </right>
      <top/>
      <bottom/>
    </border>
    <border>
      <left style="thin">
        <color rgb="FFBCBCBC"/>
      </left>
      <right/>
      <top style="thin">
        <color rgb="FFBCBCBC"/>
      </top>
      <bottom/>
    </border>
    <border>
      <left/>
      <right/>
      <top style="thin">
        <color theme="0" tint="-0.15"/>
      </top>
      <bottom style="thin">
        <color rgb="FFBCBCBC"/>
      </bottom>
    </border>
    <border>
      <left style="thin">
        <color rgb="FFBCBCBC"/>
      </left>
      <right style="thin">
        <color theme="0" tint="-0.25"/>
      </right>
      <top style="thin">
        <color rgb="FFBCBCBC"/>
      </top>
      <bottom style="thin">
        <color rgb="FFBCBCBC"/>
      </bottom>
    </border>
    <border>
      <left/>
      <right style="thin">
        <color rgb="FFBCBCBC"/>
      </right>
      <top/>
      <bottom style="thin">
        <color rgb="FFBCBCBC"/>
      </bottom>
    </border>
    <border>
      <left/>
      <right/>
      <top style="thin">
        <color rgb="FF969696"/>
      </top>
      <bottom style="thin">
        <color rgb="FF969696"/>
      </bottom>
    </border>
    <border>
      <left style="thin">
        <color rgb="FFC0C0C0"/>
      </left>
      <right style="thin">
        <color rgb="FFC0C0C0"/>
      </right>
      <top style="thin">
        <color rgb="FFC0C0C0"/>
      </top>
      <bottom style="thin">
        <color rgb="FFC0C0C0"/>
      </bottom>
    </border>
    <border>
      <left/>
      <right/>
      <top style="thin">
        <color rgb="FFC0C0C0"/>
      </top>
      <bottom/>
    </border>
    <border>
      <left/>
      <right/>
      <top style="thin">
        <color rgb="FFC0C0C0"/>
      </top>
      <bottom style="thin">
        <color rgb="FFC0C0C0"/>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theme="0" tint="-0.25"/>
      </left>
      <right style="thin">
        <color theme="0" tint="-0.25"/>
      </right>
      <top/>
      <bottom/>
    </border>
    <border>
      <left style="thin">
        <color theme="0" tint="-0.25"/>
      </left>
      <right/>
      <top/>
      <bottom/>
    </border>
    <border>
      <left style="thin">
        <color theme="0" tint="-0.25"/>
      </left>
      <right/>
      <top/>
      <bottom style="thin">
        <color theme="0" tint="-0.25"/>
      </bottom>
    </border>
    <border>
      <left/>
      <right style="thin">
        <color theme="0" tint="-0.25"/>
      </right>
      <top style="thin">
        <color theme="0" tint="-0.35"/>
      </top>
      <bottom style="thin">
        <color theme="0" tint="-0.35"/>
      </bottom>
    </border>
    <border>
      <left style="thin">
        <color theme="0" tint="-0.35"/>
      </left>
      <right/>
      <top style="thin">
        <color rgb="FFBCBCBC"/>
      </top>
      <bottom style="thin">
        <color rgb="FFBCBCBC"/>
      </bottom>
    </border>
    <border>
      <left style="thin">
        <color theme="0" tint="-0.35"/>
      </left>
      <right/>
      <top/>
      <bottom/>
    </border>
    <border>
      <left/>
      <right style="thin">
        <color theme="0" tint="-0.35"/>
      </right>
      <top/>
      <bottom/>
    </border>
    <border>
      <left style="thin">
        <color theme="0" tint="-0.35"/>
      </left>
      <right/>
      <top style="thin">
        <color rgb="FFBCBCBC"/>
      </top>
      <bottom/>
    </border>
    <border>
      <left/>
      <right style="thin">
        <color theme="0" tint="-0.35"/>
      </right>
      <top style="thin">
        <color rgb="FFBCBCBC"/>
      </top>
      <bottom/>
    </border>
    <border>
      <left style="thin">
        <color rgb="FFBCBCBC"/>
      </left>
      <right style="thin">
        <color rgb="FFBCBCBC"/>
      </right>
      <top/>
      <bottom/>
    </border>
    <border>
      <left style="thin">
        <color rgb="FFBCBCBC"/>
      </left>
      <right style="thin">
        <color rgb="FFBCBCBC"/>
      </right>
      <top/>
      <bottom style="thin">
        <color rgb="FFBCBCBC"/>
      </bottom>
    </border>
    <border>
      <left style="thin">
        <color rgb="FFBCBCBC"/>
      </left>
      <right/>
      <top style="thin">
        <color theme="0" tint="-0.25"/>
      </top>
      <bottom/>
    </border>
    <border>
      <left style="thin">
        <color theme="0" tint="-0.35"/>
      </left>
      <right/>
      <top style="thin">
        <color theme="0" tint="-0.35"/>
      </top>
      <bottom/>
    </border>
    <border>
      <left style="thin">
        <color rgb="FFBFBFBF"/>
      </left>
      <right style="thin">
        <color rgb="FFBFBFBF"/>
      </right>
      <top style="thin">
        <color rgb="FFBFBFBF"/>
      </top>
      <bottom style="thin">
        <color rgb="FFBFBFBF"/>
      </bottom>
    </border>
  </borders>
  <cellStyleXfs count="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19" fillId="0" borderId="0" applyFont="1" applyFill="0" applyBorder="0" applyNumberFormat="1">
      <alignment vertical="top"/>
    </xf>
    <xf numFmtId="0" fontId="20" fillId="0" borderId="0" applyFont="1" applyFill="0" applyBorder="0"/>
    <xf numFmtId="0" fontId="1" fillId="0" borderId="0" applyFont="1" applyFill="0" applyBorder="0"/>
    <xf numFmtId="0" fontId="19" fillId="0" borderId="0" applyFont="1" applyFill="0" applyBorder="0">
      <alignment horizontal="left" vertical="center"/>
    </xf>
  </cellStyleXfs>
  <cellXfs count="404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19" fillId="0" borderId="0" xfId="47" applyFont="1" applyNumberFormat="1">
      <alignment vertical="top"/>
    </xf>
    <xf numFmtId="0" fontId="20" fillId="0" borderId="0" xfId="48" applyFont="1"/>
    <xf numFmtId="0" fontId="1" fillId="0" borderId="0" xfId="49" applyFont="1"/>
    <xf numFmtId="0" fontId="19" fillId="0" borderId="0" xfId="50" applyFont="1">
      <alignment horizontal="left" vertical="center"/>
    </xf>
    <xf numFmtId="49" fontId="19" fillId="0" borderId="0" xfId="0" applyFont="1" applyNumberFormat="1">
      <alignment vertical="top"/>
    </xf>
    <xf numFmtId="49" fontId="19" fillId="0" borderId="10" xfId="0" applyFont="1" applyBorder="1" applyNumberFormat="1">
      <alignment horizontal="center" vertical="center" wrapText="1"/>
    </xf>
    <xf numFmtId="0" fontId="21" fillId="0" borderId="10" xfId="0" applyFont="1" applyBorder="1">
      <alignment vertical="center" wrapText="1"/>
    </xf>
    <xf numFmtId="0" fontId="19" fillId="0" borderId="10" xfId="0" applyFont="1" applyBorder="1">
      <alignment horizontal="center" vertical="center"/>
    </xf>
    <xf numFmtId="0" fontId="19" fillId="33" borderId="11" xfId="0" applyFont="1" applyFill="1" applyBorder="1">
      <alignment horizontal="center" vertical="center" wrapText="1"/>
    </xf>
    <xf numFmtId="0" fontId="19" fillId="0" borderId="10" xfId="0" applyFont="1" applyBorder="1">
      <alignment horizontal="center" vertical="center" wrapText="1"/>
    </xf>
    <xf numFmtId="0" fontId="21" fillId="0" borderId="10" xfId="0" applyFont="1" applyBorder="1">
      <alignment horizontal="center" vertical="center" wrapText="1"/>
    </xf>
    <xf numFmtId="0" fontId="21" fillId="0" borderId="11" xfId="0" applyFont="1" applyBorder="1">
      <alignment horizontal="center" vertical="center" wrapText="1"/>
    </xf>
    <xf numFmtId="0" fontId="19" fillId="0" borderId="11" xfId="0" applyFont="1" applyBorder="1">
      <alignment horizontal="center" vertical="center" wrapText="1"/>
    </xf>
    <xf numFmtId="0" fontId="21" fillId="0" borderId="12" xfId="0" applyFont="1" applyBorder="1">
      <alignment horizontal="center" vertical="center" wrapText="1"/>
    </xf>
    <xf numFmtId="49" fontId="22" fillId="0" borderId="0" xfId="0" applyFont="1" applyNumberFormat="1">
      <alignment horizontal="center" vertical="center" wrapText="1" shrinkToFit="1"/>
    </xf>
    <xf numFmtId="0" fontId="23" fillId="0" borderId="0" xfId="0" applyFont="1">
      <alignment horizontal="center" vertical="center"/>
    </xf>
    <xf numFmtId="0" fontId="19" fillId="0" borderId="11" xfId="0" applyFont="1" applyBorder="1">
      <alignment horizontal="right" vertical="center" wrapText="1" indent="1"/>
    </xf>
    <xf numFmtId="0" fontId="21" fillId="0" borderId="0" xfId="0" applyFont="1">
      <alignment vertical="center"/>
    </xf>
    <xf numFmtId="0" fontId="19" fillId="0" borderId="11" xfId="0" applyFont="1" applyBorder="1">
      <alignment horizontal="right" vertical="center" wrapText="1" indent="1"/>
    </xf>
    <xf numFmtId="0" fontId="24" fillId="0" borderId="0" xfId="0" applyFont="1">
      <alignment vertical="top"/>
    </xf>
    <xf numFmtId="49" fontId="24" fillId="0" borderId="0" xfId="0" applyFont="1" applyNumberFormat="1">
      <alignment vertical="top"/>
    </xf>
    <xf numFmtId="49" fontId="19" fillId="0" borderId="0" xfId="0" applyFont="1" applyNumberFormat="1">
      <alignment vertical="center" wrapText="1"/>
    </xf>
    <xf numFmtId="0" fontId="25" fillId="0" borderId="13" xfId="0" applyFont="1" applyBorder="1">
      <alignment horizontal="center" vertical="center"/>
    </xf>
    <xf numFmtId="0" fontId="19" fillId="0" borderId="0" xfId="0" applyFont="1"/>
    <xf numFmtId="0" fontId="19" fillId="33" borderId="0" xfId="0" applyFont="1" applyFill="1"/>
    <xf numFmtId="49" fontId="19" fillId="34" borderId="14" xfId="0" applyFont="1" applyFill="1" applyBorder="1" applyNumberFormat="1">
      <alignment horizontal="left" vertical="center" wrapText="1"/>
      <protection locked="0"/>
    </xf>
    <xf numFmtId="0" fontId="23" fillId="0" borderId="0" xfId="0" applyFont="1">
      <alignment vertical="center"/>
    </xf>
    <xf numFmtId="0" fontId="23" fillId="0" borderId="0" xfId="0" applyFont="1">
      <alignment vertical="center" wrapText="1"/>
    </xf>
    <xf numFmtId="0" fontId="26" fillId="0" borderId="0" xfId="0" applyFont="1">
      <alignment vertical="center"/>
    </xf>
    <xf numFmtId="0" fontId="27" fillId="0" borderId="0" xfId="0" applyFont="1">
      <alignment vertical="center"/>
    </xf>
    <xf numFmtId="0" fontId="26" fillId="0" borderId="0" xfId="0" applyFont="1">
      <alignment horizontal="center" vertical="center"/>
    </xf>
    <xf numFmtId="0" fontId="23" fillId="0" borderId="0" xfId="0" applyFont="1">
      <alignment horizontal="left" vertical="center" wrapText="1"/>
    </xf>
    <xf numFmtId="49" fontId="28" fillId="0" borderId="0" xfId="0" applyFont="1" applyNumberFormat="1">
      <alignment horizontal="right" vertical="center" wrapText="1"/>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3" borderId="15" xfId="0" applyFont="1" applyFill="1" applyBorder="1">
      <alignment horizontal="center" vertical="center" wrapText="1"/>
    </xf>
    <xf numFmtId="0" fontId="19" fillId="33" borderId="16" xfId="0" applyFont="1" applyFill="1" applyBorder="1">
      <alignment horizontal="center" vertical="center" wrapText="1"/>
    </xf>
    <xf numFmtId="0" fontId="19" fillId="33" borderId="17" xfId="0" applyFont="1" applyFill="1" applyBorder="1">
      <alignment horizontal="center" vertical="center" wrapText="1"/>
    </xf>
    <xf numFmtId="49" fontId="19" fillId="0" borderId="0" xfId="0" applyFont="1" applyNumberFormat="1">
      <alignment horizontal="left" vertical="center" wrapText="1"/>
    </xf>
    <xf numFmtId="49" fontId="19" fillId="0" borderId="0" xfId="0" applyFont="1" applyNumberFormat="1">
      <alignment horizontal="right" vertical="center" wrapText="1"/>
    </xf>
    <xf numFmtId="0" fontId="21" fillId="0" borderId="0" xfId="0" applyFont="1"/>
    <xf numFmtId="49" fontId="19" fillId="0" borderId="11" xfId="0" applyFont="1" applyBorder="1" applyNumberFormat="1">
      <alignment horizontal="center" vertical="center"/>
    </xf>
    <xf numFmtId="0" fontId="29" fillId="0" borderId="0" xfId="0" applyFont="1"/>
    <xf numFmtId="0" fontId="0" fillId="0" borderId="0" xfId="0" applyFont="1">
      <alignment horizontal="left" vertical="center"/>
    </xf>
    <xf numFmtId="0" fontId="21" fillId="0" borderId="0" xfId="0" applyFont="1">
      <alignment horizontal="center" vertical="center"/>
    </xf>
    <xf numFmtId="0" fontId="0" fillId="0" borderId="0" xfId="0" applyFont="1">
      <alignment horizontal="center"/>
    </xf>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30" fillId="0" borderId="0" xfId="0" applyFont="1">
      <alignment vertical="center" wrapText="1"/>
    </xf>
    <xf numFmtId="0" fontId="21" fillId="0" borderId="0" xfId="0" applyFont="1">
      <alignment horizontal="center"/>
    </xf>
    <xf numFmtId="0" fontId="19" fillId="0" borderId="11" xfId="0" applyFont="1" applyBorder="1">
      <alignment horizontal="center" vertical="center"/>
    </xf>
    <xf numFmtId="0" fontId="21" fillId="35" borderId="11" xfId="0" applyFont="1" applyFill="1" applyBorder="1">
      <alignment horizontal="left" vertical="center" wrapText="1"/>
    </xf>
    <xf numFmtId="0" fontId="21" fillId="0" borderId="11" xfId="0" applyFont="1" applyBorder="1">
      <alignment vertical="center" wrapText="1"/>
    </xf>
    <xf numFmtId="0" fontId="21" fillId="0" borderId="11" xfId="0" applyFont="1" applyBorder="1">
      <alignment horizontal="center" vertical="center"/>
    </xf>
    <xf numFmtId="0" fontId="21" fillId="0" borderId="11" xfId="0" applyFont="1" applyBorder="1">
      <alignment horizontal="left" vertical="center" wrapText="1"/>
    </xf>
    <xf numFmtId="0" fontId="19" fillId="0" borderId="11" xfId="0" applyFont="1" applyBorder="1">
      <alignment horizontal="left" vertical="center" wrapText="1"/>
    </xf>
    <xf numFmtId="0" fontId="19" fillId="0" borderId="11" xfId="0" applyFont="1" applyBorder="1">
      <alignment vertical="center" wrapText="1"/>
    </xf>
    <xf numFmtId="0" fontId="21" fillId="0" borderId="0" xfId="0" applyFont="1">
      <alignment wrapText="1"/>
    </xf>
    <xf numFmtId="4" fontId="19" fillId="34" borderId="11" xfId="0" applyFont="1" applyFill="1" applyBorder="1" applyNumberFormat="1">
      <alignment horizontal="right" vertical="center"/>
      <protection locked="0"/>
    </xf>
    <xf numFmtId="4" fontId="19" fillId="36" borderId="11" xfId="0" applyFont="1" applyFill="1" applyBorder="1" applyNumberFormat="1">
      <alignment horizontal="right" vertical="center"/>
    </xf>
    <xf numFmtId="0" fontId="19" fillId="0" borderId="0" xfId="0" applyFont="1">
      <alignment vertical="center"/>
    </xf>
    <xf numFmtId="0" fontId="21" fillId="0" borderId="0" xfId="0" applyFont="1">
      <alignment vertical="center" wrapText="1"/>
    </xf>
    <xf numFmtId="49" fontId="19" fillId="33" borderId="11" xfId="0" applyFont="1" applyFill="1" applyBorder="1" applyNumberFormat="1">
      <alignment horizontal="center" vertical="center" wrapText="1"/>
    </xf>
    <xf numFmtId="0" fontId="21" fillId="0" borderId="0" xfId="0" applyFont="1">
      <alignment horizontal="center" vertical="center" wrapText="1"/>
    </xf>
    <xf numFmtId="0" fontId="22" fillId="0" borderId="0" xfId="0" applyFont="1"/>
    <xf numFmtId="0" fontId="19" fillId="0" borderId="0" xfId="0" applyFont="1">
      <alignment vertical="center" wrapText="1"/>
    </xf>
    <xf numFmtId="0" fontId="21" fillId="0" borderId="0" xfId="0" applyFont="1"/>
    <xf numFmtId="0" fontId="21" fillId="0" borderId="0" xfId="0" applyFont="1">
      <alignment horizontal="center"/>
    </xf>
    <xf numFmtId="171" fontId="31" fillId="0" borderId="0" xfId="0" applyFont="1" applyNumberFormat="1">
      <alignment horizontal="left" vertical="center" wrapText="1"/>
    </xf>
    <xf numFmtId="0" fontId="23" fillId="0" borderId="0" xfId="0" applyFont="1"/>
    <xf numFmtId="0" fontId="26" fillId="0" borderId="0" xfId="0" applyFont="1"/>
    <xf numFmtId="0" fontId="26" fillId="0" borderId="0" xfId="0" applyFont="1">
      <alignment horizontal="left"/>
    </xf>
    <xf numFmtId="0" fontId="23" fillId="0" borderId="0" xfId="0" applyFont="1">
      <alignment horizontal="left"/>
    </xf>
    <xf numFmtId="0" fontId="32" fillId="0" borderId="0" xfId="0" applyFont="1">
      <alignment horizontal="left" vertical="top" wrapText="1"/>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3" fillId="0" borderId="0" xfId="0" applyFont="1" applyNumberFormat="1">
      <alignment vertical="center" wrapText="1"/>
    </xf>
    <xf numFmtId="49" fontId="35" fillId="37" borderId="0" xfId="0" applyFont="1" applyFill="1" applyNumberFormat="1">
      <alignment horizontal="center" vertical="center"/>
    </xf>
    <xf numFmtId="0" fontId="23" fillId="38" borderId="0" xfId="0" applyFont="1" applyFill="1">
      <alignment horizontal="right" vertical="center"/>
    </xf>
    <xf numFmtId="0" fontId="23" fillId="38" borderId="0" xfId="0" applyFont="1" applyFill="1">
      <alignment horizontal="center" vertical="center"/>
    </xf>
    <xf numFmtId="0" fontId="33" fillId="38" borderId="0" xfId="0" applyFont="1" applyFill="1">
      <alignment horizontal="right" vertical="center"/>
    </xf>
    <xf numFmtId="49" fontId="33" fillId="0" borderId="0" xfId="0" applyFont="1" applyNumberFormat="1">
      <alignment vertical="center" wrapText="1"/>
    </xf>
    <xf numFmtId="49" fontId="23" fillId="0" borderId="0" xfId="0" applyFont="1" applyNumberFormat="1">
      <alignment vertical="top"/>
    </xf>
    <xf numFmtId="0" fontId="23" fillId="38" borderId="0" xfId="0" applyFont="1" applyFill="1">
      <alignment horizontal="left" vertical="center"/>
    </xf>
    <xf numFmtId="49" fontId="24" fillId="37" borderId="0" xfId="0" applyFont="1" applyFill="1" applyNumberFormat="1">
      <alignment horizontal="center" vertical="center"/>
    </xf>
    <xf numFmtId="49" fontId="19" fillId="39" borderId="0" xfId="0" applyFont="1" applyFill="1" applyNumberFormat="1">
      <alignment vertical="top"/>
    </xf>
    <xf numFmtId="49" fontId="36" fillId="0" borderId="0" xfId="0" applyFont="1" applyNumberFormat="1">
      <alignment horizontal="center" vertical="center" wrapText="1"/>
    </xf>
    <xf numFmtId="49" fontId="37" fillId="40" borderId="18" xfId="0" applyFont="1" applyFill="1" applyBorder="1" applyNumberFormat="1">
      <alignment horizontal="left" vertical="center" wrapText="1"/>
    </xf>
    <xf numFmtId="49" fontId="38" fillId="41" borderId="19"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1" xfId="0" applyFont="1" applyFill="1" applyBorder="1" applyNumberFormat="1">
      <alignment horizontal="left" vertical="center" wrapText="1" indent="1"/>
    </xf>
    <xf numFmtId="49" fontId="38" fillId="41" borderId="20" xfId="0" applyFont="1" applyFill="1" applyBorder="1" applyNumberFormat="1">
      <alignment vertical="center" wrapText="1"/>
    </xf>
    <xf numFmtId="49" fontId="19" fillId="36" borderId="22" xfId="0" applyFont="1" applyFill="1" applyBorder="1" applyNumberFormat="1">
      <alignment horizontal="left" vertical="center" wrapText="1" indent="1"/>
    </xf>
    <xf numFmtId="0" fontId="37" fillId="40" borderId="18" xfId="0" applyFont="1" applyFill="1" applyBorder="1">
      <alignment horizontal="left" vertical="center"/>
    </xf>
    <xf numFmtId="0" fontId="19" fillId="38" borderId="0" xfId="0" applyFont="1" applyFill="1">
      <alignment horizontal="left" vertical="center"/>
    </xf>
    <xf numFmtId="49" fontId="19" fillId="0" borderId="23" xfId="0" applyFont="1" applyBorder="1" applyNumberFormat="1">
      <alignment vertical="center" wrapText="1"/>
    </xf>
    <xf numFmtId="0" fontId="37" fillId="40" borderId="24" xfId="0" applyFont="1" applyFill="1" applyBorder="1">
      <alignment horizontal="left" vertical="center"/>
    </xf>
    <xf numFmtId="0" fontId="21" fillId="0" borderId="10" xfId="0" applyFont="1" applyBorder="1">
      <alignment horizontal="center" vertical="center"/>
    </xf>
    <xf numFmtId="0" fontId="19" fillId="35" borderId="10" xfId="0" applyFont="1" applyFill="1" applyBorder="1">
      <alignment horizontal="center" vertical="center" wrapText="1"/>
    </xf>
    <xf numFmtId="0" fontId="19" fillId="35" borderId="25" xfId="0" applyFont="1" applyFill="1" applyBorder="1">
      <alignment horizontal="center" vertical="center" wrapText="1"/>
    </xf>
    <xf numFmtId="49" fontId="38" fillId="41" borderId="26" xfId="0" applyFont="1" applyFill="1" applyBorder="1" applyNumberFormat="1">
      <alignment horizontal="left" vertical="center" wrapText="1" indent="1"/>
    </xf>
    <xf numFmtId="3" fontId="19" fillId="34" borderId="11" xfId="0" applyFont="1" applyFill="1" applyBorder="1" applyNumberFormat="1">
      <alignment horizontal="right" vertical="center"/>
      <protection locked="0"/>
    </xf>
    <xf numFmtId="49" fontId="19" fillId="34" borderId="10" xfId="0" applyFont="1" applyFill="1" applyBorder="1" applyNumberFormat="1">
      <alignment horizontal="left" vertical="center" wrapText="1"/>
      <protection locked="0"/>
    </xf>
    <xf numFmtId="0" fontId="0" fillId="0" borderId="11" xfId="0" applyFont="1" applyBorder="1">
      <alignment horizontal="center" vertical="center" wrapText="1"/>
    </xf>
    <xf numFmtId="4" fontId="19" fillId="36" borderId="11" xfId="0" applyFont="1" applyFill="1" applyBorder="1" applyNumberFormat="1">
      <alignment horizontal="right" vertical="center"/>
    </xf>
    <xf numFmtId="0" fontId="19" fillId="0" borderId="11" xfId="0" applyFont="1" applyBorder="1">
      <alignment horizontal="left" vertical="center" wrapText="1" indent="1"/>
    </xf>
    <xf numFmtId="0" fontId="39" fillId="0" borderId="13" xfId="0" applyFont="1" applyBorder="1">
      <alignment vertical="center"/>
    </xf>
    <xf numFmtId="0" fontId="39" fillId="0" borderId="13" xfId="0" applyFont="1" applyBorder="1"/>
    <xf numFmtId="0" fontId="40" fillId="0" borderId="13" xfId="0" applyFont="1" applyBorder="1">
      <alignment vertical="center" wrapText="1"/>
    </xf>
    <xf numFmtId="49" fontId="19" fillId="34" borderId="27" xfId="0" applyFont="1" applyFill="1" applyBorder="1" applyNumberFormat="1">
      <alignment horizontal="left" vertical="center" wrapText="1" indent="1"/>
      <protection locked="0"/>
    </xf>
    <xf numFmtId="0" fontId="21" fillId="0" borderId="11" xfId="0" applyFont="1" applyBorder="1">
      <alignment horizontal="right" vertical="center" wrapText="1" indent="1"/>
    </xf>
    <xf numFmtId="0" fontId="21" fillId="0" borderId="11" xfId="0" applyFont="1" applyBorder="1">
      <alignment horizontal="right" vertical="center" indent="1"/>
    </xf>
    <xf numFmtId="0" fontId="19" fillId="42" borderId="11" xfId="0" applyFont="1" applyFill="1" applyBorder="1">
      <alignment horizontal="left" vertical="center" wrapText="1"/>
      <protection locked="0"/>
    </xf>
    <xf numFmtId="49" fontId="21" fillId="34" borderId="11" xfId="0" applyFont="1" applyFill="1" applyBorder="1" applyNumberFormat="1">
      <alignment horizontal="left" vertical="center" wrapText="1"/>
      <protection locked="0"/>
    </xf>
    <xf numFmtId="49" fontId="40" fillId="0" borderId="28" xfId="0" applyFont="1" applyBorder="1" applyNumberFormat="1">
      <alignment horizontal="left" vertical="center" wrapText="1" indent="4"/>
    </xf>
    <xf numFmtId="49" fontId="40" fillId="0" borderId="0" xfId="0" applyFont="1" applyNumberFormat="1">
      <alignment horizontal="left" vertical="center" wrapText="1" indent="4"/>
    </xf>
    <xf numFmtId="49" fontId="40" fillId="0" borderId="13" xfId="0" applyFont="1" applyBorder="1" applyNumberFormat="1">
      <alignment horizontal="left" vertical="center" indent="1"/>
    </xf>
    <xf numFmtId="0" fontId="19" fillId="0" borderId="0" xfId="0" applyFont="1">
      <alignment horizontal="left" vertical="center" wrapText="1"/>
    </xf>
    <xf numFmtId="0" fontId="22" fillId="33" borderId="11" xfId="0" applyFont="1" applyFill="1" applyBorder="1">
      <alignment horizontal="center" vertical="center" wrapText="1"/>
    </xf>
    <xf numFmtId="49" fontId="40" fillId="0" borderId="13" xfId="0" applyFont="1" applyBorder="1" applyNumberFormat="1">
      <alignment vertical="center" wrapText="1"/>
    </xf>
    <xf numFmtId="0" fontId="21" fillId="0" borderId="0" xfId="0" applyFont="1">
      <alignment horizontal="left" vertical="center" wrapText="1"/>
    </xf>
    <xf numFmtId="0" fontId="1" fillId="0" borderId="13" xfId="0" applyFont="1" applyBorder="1"/>
    <xf numFmtId="49" fontId="40" fillId="0" borderId="13" xfId="0" applyFont="1" applyBorder="1" applyNumberFormat="1">
      <alignment horizontal="center" vertical="center" wrapText="1"/>
    </xf>
    <xf numFmtId="49" fontId="37" fillId="40" borderId="29"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36" borderId="10" xfId="0" applyFont="1" applyFill="1" applyBorder="1" applyNumberFormat="1">
      <alignment horizontal="right" vertical="center"/>
    </xf>
    <xf numFmtId="0" fontId="19" fillId="0" borderId="10" xfId="0" applyFont="1" applyBorder="1">
      <alignment horizontal="left" vertical="center" wrapText="1" indent="1"/>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13"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2"/>
    </xf>
    <xf numFmtId="0" fontId="37" fillId="40" borderId="30" xfId="0" applyFont="1" applyFill="1" applyBorder="1">
      <alignment horizontal="left" vertical="center"/>
    </xf>
    <xf numFmtId="0" fontId="1" fillId="0" borderId="13" xfId="0" applyFont="1" applyBorder="1">
      <alignment vertical="center"/>
    </xf>
    <xf numFmtId="0" fontId="37" fillId="40" borderId="29" xfId="0" applyFont="1" applyFill="1" applyBorder="1">
      <alignment horizontal="left" vertical="center"/>
    </xf>
    <xf numFmtId="4" fontId="22" fillId="34" borderId="10" xfId="0" applyFont="1" applyFill="1" applyBorder="1" applyNumberFormat="1">
      <alignment horizontal="right" vertical="center"/>
      <protection locked="0"/>
    </xf>
    <xf numFmtId="0" fontId="21" fillId="0" borderId="13" xfId="0" applyFont="1" applyBorder="1">
      <alignment vertical="center"/>
    </xf>
    <xf numFmtId="4" fontId="40" fillId="36"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1" fillId="34" borderId="10" xfId="0" applyFont="1" applyFill="1" applyBorder="1" applyNumberFormat="1">
      <alignment horizontal="right" vertical="center" wrapText="1"/>
      <protection locked="0"/>
    </xf>
    <xf numFmtId="4" fontId="21" fillId="34" borderId="10" xfId="0" applyFont="1" applyFill="1" applyBorder="1" applyNumberFormat="1">
      <alignment horizontal="right"/>
      <protection locked="0"/>
    </xf>
    <xf numFmtId="49" fontId="38" fillId="41" borderId="30"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29" xfId="0" applyFont="1" applyFill="1" applyBorder="1" applyNumberFormat="1">
      <alignment horizontal="left" vertical="center" wrapText="1" indent="1"/>
    </xf>
    <xf numFmtId="0" fontId="22" fillId="0" borderId="10" xfId="0" applyFont="1" applyBorder="1">
      <alignment horizontal="center" vertical="center" wrapText="1"/>
    </xf>
    <xf numFmtId="4" fontId="21" fillId="36" borderId="10" xfId="0" applyFont="1" applyFill="1" applyBorder="1" applyNumberFormat="1">
      <alignment horizontal="right"/>
    </xf>
    <xf numFmtId="0" fontId="21" fillId="0" borderId="13" xfId="0" applyFont="1" applyBorder="1">
      <alignment vertical="center" wrapText="1"/>
    </xf>
    <xf numFmtId="0" fontId="21" fillId="0" borderId="13" xfId="0" applyFont="1" applyBorder="1"/>
    <xf numFmtId="4" fontId="21" fillId="36" borderId="10" xfId="0" applyFont="1" applyFill="1" applyBorder="1" applyNumberFormat="1">
      <alignment horizontal="right" vertical="center"/>
    </xf>
    <xf numFmtId="4" fontId="21" fillId="34" borderId="10" xfId="0" applyFont="1" applyFill="1" applyBorder="1" applyNumberFormat="1">
      <alignment horizontal="right" vertical="center"/>
      <protection locked="0"/>
    </xf>
    <xf numFmtId="49" fontId="21" fillId="0" borderId="10" xfId="0" applyFont="1" applyBorder="1" applyNumberFormat="1">
      <alignment horizontal="center" vertical="center"/>
    </xf>
    <xf numFmtId="0" fontId="40" fillId="0" borderId="0" xfId="0" applyFont="1"/>
    <xf numFmtId="0" fontId="37" fillId="40" borderId="31" xfId="0" applyFont="1" applyFill="1" applyBorder="1">
      <alignment horizontal="left" vertical="center"/>
    </xf>
    <xf numFmtId="0" fontId="37" fillId="40" borderId="32" xfId="0" applyFont="1" applyFill="1" applyBorder="1">
      <alignment horizontal="left" vertical="center"/>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 fontId="0" fillId="34" borderId="10" xfId="0" applyFont="1" applyFill="1" applyBorder="1" applyNumberFormat="1">
      <alignment horizontal="right" vertical="center" wrapText="1"/>
      <protection locked="0"/>
    </xf>
    <xf numFmtId="0" fontId="1" fillId="0" borderId="13" xfId="0" applyFont="1" applyBorder="1">
      <alignment wrapText="1"/>
    </xf>
    <xf numFmtId="0" fontId="32" fillId="0" borderId="0" xfId="0" applyFont="1">
      <alignment horizontal="left" vertical="center" wrapText="1"/>
    </xf>
    <xf numFmtId="49" fontId="34" fillId="0" borderId="13" xfId="0" applyFont="1" applyBorder="1" applyNumberFormat="1">
      <alignment vertical="center"/>
    </xf>
    <xf numFmtId="0" fontId="37" fillId="40" borderId="0" xfId="0" applyFont="1" applyFill="1">
      <alignment horizontal="left" vertical="center"/>
    </xf>
    <xf numFmtId="49" fontId="23" fillId="0" borderId="0" xfId="0" applyFont="1" applyNumberFormat="1">
      <alignment vertical="center"/>
    </xf>
    <xf numFmtId="0" fontId="21" fillId="0" borderId="22" xfId="0" applyFont="1" applyBorder="1">
      <alignment horizontal="center" vertical="center" wrapText="1"/>
    </xf>
    <xf numFmtId="0" fontId="21" fillId="0" borderId="33" xfId="0" applyFont="1" applyBorder="1">
      <alignment horizontal="center" vertical="center" wrapText="1"/>
    </xf>
    <xf numFmtId="4" fontId="21" fillId="34" borderId="22" xfId="0" applyFont="1" applyFill="1" applyBorder="1" applyNumberFormat="1">
      <alignment horizontal="right" vertical="center"/>
      <protection locked="0"/>
    </xf>
    <xf numFmtId="0" fontId="40" fillId="0" borderId="13" xfId="0" applyFont="1" applyBorder="1">
      <alignment horizontal="left" vertical="center" indent="1"/>
    </xf>
    <xf numFmtId="0" fontId="21" fillId="0" borderId="10" xfId="0" applyFont="1" applyBorder="1">
      <alignment horizontal="left" vertical="center" wrapText="1"/>
    </xf>
    <xf numFmtId="4" fontId="19" fillId="36" borderId="10" xfId="0" applyFont="1" applyFill="1" applyBorder="1" applyNumberFormat="1">
      <alignment horizontal="right" vertical="center"/>
    </xf>
    <xf numFmtId="49" fontId="38" fillId="41" borderId="20" xfId="0" applyFont="1" applyFill="1" applyBorder="1" applyNumberFormat="1">
      <alignment horizontal="left" vertical="center" indent="1"/>
    </xf>
    <xf numFmtId="0" fontId="19" fillId="38" borderId="0" xfId="0" applyFont="1" applyFill="1">
      <alignment horizontal="left" vertical="center" wrapText="1"/>
    </xf>
    <xf numFmtId="49" fontId="38" fillId="41" borderId="34" xfId="0" applyFont="1" applyFill="1" applyBorder="1" applyNumberFormat="1">
      <alignment horizontal="left" vertical="center" wrapText="1" indent="1"/>
    </xf>
    <xf numFmtId="49" fontId="38" fillId="41" borderId="35" xfId="0" applyFont="1" applyFill="1" applyBorder="1" applyNumberFormat="1">
      <alignment horizontal="left" vertical="center" wrapText="1" indent="1"/>
    </xf>
    <xf numFmtId="49" fontId="38" fillId="41" borderId="34" xfId="0" applyFont="1" applyFill="1" applyBorder="1" applyNumberFormat="1">
      <alignment horizontal="left" vertical="center" wrapText="1"/>
    </xf>
    <xf numFmtId="49" fontId="38" fillId="41" borderId="36" xfId="0" applyFont="1" applyFill="1" applyBorder="1" applyNumberFormat="1">
      <alignment horizontal="left" vertical="center" wrapText="1"/>
    </xf>
    <xf numFmtId="0" fontId="19" fillId="43" borderId="0" xfId="0" applyFont="1" applyFill="1">
      <alignment horizontal="left" vertical="center" wrapText="1"/>
    </xf>
    <xf numFmtId="0" fontId="21" fillId="43" borderId="0" xfId="0" applyFont="1" applyFill="1">
      <alignment horizontal="center" vertical="center" wrapText="1"/>
    </xf>
    <xf numFmtId="4" fontId="19" fillId="43" borderId="0" xfId="0" applyFont="1" applyFill="1" applyNumberFormat="1">
      <alignment horizontal="right" vertical="center"/>
    </xf>
    <xf numFmtId="49" fontId="19" fillId="43" borderId="29" xfId="0" applyFont="1" applyFill="1" applyBorder="1" applyNumberFormat="1">
      <alignment horizontal="left" vertical="center"/>
    </xf>
    <xf numFmtId="49" fontId="41" fillId="43" borderId="37" xfId="0" applyFont="1" applyFill="1" applyBorder="1" applyNumberFormat="1">
      <alignment horizontal="left" vertical="center" indent="1"/>
    </xf>
    <xf numFmtId="49" fontId="19" fillId="43" borderId="38" xfId="0" applyFont="1" applyFill="1" applyBorder="1" applyNumberFormat="1">
      <alignment horizontal="left" vertical="center" indent="1"/>
    </xf>
    <xf numFmtId="49" fontId="41" fillId="43" borderId="38" xfId="0" applyFont="1" applyFill="1" applyBorder="1" applyNumberFormat="1">
      <alignment horizontal="left" vertical="center" indent="1"/>
    </xf>
    <xf numFmtId="4" fontId="37" fillId="40" borderId="32" xfId="0" applyFont="1" applyFill="1" applyBorder="1" applyNumberFormat="1">
      <alignment horizontal="right" vertical="center"/>
    </xf>
    <xf numFmtId="0" fontId="19" fillId="36" borderId="10" xfId="0" applyFont="1" applyFill="1" applyBorder="1">
      <alignment horizontal="left" vertical="center" wrapText="1" indent="1"/>
    </xf>
    <xf numFmtId="0" fontId="21" fillId="41" borderId="29" xfId="0" applyFont="1" applyFill="1" applyBorder="1">
      <alignment vertical="center" wrapText="1"/>
    </xf>
    <xf numFmtId="172" fontId="21" fillId="34" borderId="11" xfId="0" applyFont="1" applyFill="1" applyBorder="1" applyNumberFormat="1">
      <alignment horizontal="right" vertical="center"/>
      <protection locked="0"/>
    </xf>
    <xf numFmtId="172" fontId="41" fillId="43" borderId="38" xfId="0" applyFont="1" applyFill="1" applyBorder="1" applyNumberFormat="1">
      <alignment horizontal="left" vertical="center" indent="1"/>
    </xf>
    <xf numFmtId="172" fontId="0" fillId="34" borderId="11"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0" fillId="36" borderId="11" xfId="0" applyFont="1" applyFill="1" applyBorder="1" applyNumberFormat="1">
      <alignment horizontal="right" vertical="center"/>
    </xf>
    <xf numFmtId="173" fontId="0" fillId="36" borderId="11" xfId="0" applyFont="1" applyFill="1" applyBorder="1" applyNumberFormat="1">
      <alignment horizontal="right" vertical="center"/>
    </xf>
    <xf numFmtId="173" fontId="41" fillId="43" borderId="38" xfId="0" applyFont="1" applyFill="1" applyBorder="1" applyNumberFormat="1">
      <alignment horizontal="left" vertical="center" indent="1"/>
    </xf>
    <xf numFmtId="172" fontId="41" fillId="43" borderId="23" xfId="0" applyFont="1" applyFill="1" applyBorder="1" applyNumberFormat="1">
      <alignment horizontal="left" vertical="center" indent="1"/>
    </xf>
    <xf numFmtId="49" fontId="19" fillId="34" borderId="11" xfId="0" applyFont="1" applyFill="1" applyBorder="1" applyNumberFormat="1">
      <alignment horizontal="left" vertical="center" wrapText="1"/>
      <protection locked="0"/>
    </xf>
    <xf numFmtId="49" fontId="40" fillId="0" borderId="13" xfId="0" applyFont="1" applyBorder="1" applyNumberFormat="1">
      <alignment horizontal="left" vertical="center" wrapText="1" indent="1"/>
    </xf>
    <xf numFmtId="0" fontId="22" fillId="36" borderId="38" xfId="0" applyFont="1" applyFill="1" applyBorder="1">
      <alignment vertical="center" wrapText="1"/>
    </xf>
    <xf numFmtId="0" fontId="22" fillId="36" borderId="23" xfId="0" applyFont="1" applyFill="1" applyBorder="1">
      <alignment vertical="center" wrapText="1"/>
    </xf>
    <xf numFmtId="49" fontId="22" fillId="36" borderId="38" xfId="0" applyFont="1" applyFill="1" applyBorder="1" applyNumberFormat="1">
      <alignment vertical="center" wrapText="1"/>
    </xf>
    <xf numFmtId="49" fontId="22" fillId="36" borderId="23" xfId="0" applyFont="1" applyFill="1" applyBorder="1" applyNumberFormat="1">
      <alignment vertical="center" wrapText="1"/>
    </xf>
    <xf numFmtId="0" fontId="19" fillId="43" borderId="38" xfId="0" applyFont="1" applyFill="1" applyBorder="1">
      <alignment horizontal="left" vertical="center" indent="1"/>
    </xf>
    <xf numFmtId="0" fontId="19" fillId="43" borderId="23" xfId="0" applyFont="1" applyFill="1" applyBorder="1">
      <alignment horizontal="left" vertical="center" indent="1"/>
    </xf>
    <xf numFmtId="0" fontId="40"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40" fillId="34" borderId="11" xfId="0" applyFont="1" applyFill="1" applyBorder="1" applyNumberFormat="1">
      <alignment horizontal="right" vertical="center"/>
      <protection locked="0"/>
    </xf>
    <xf numFmtId="4" fontId="22" fillId="36" borderId="11" xfId="0" applyFont="1" applyFill="1" applyBorder="1" applyNumberFormat="1">
      <alignment vertical="center"/>
    </xf>
    <xf numFmtId="0" fontId="19" fillId="0" borderId="0" xfId="0" applyFont="1">
      <alignment horizontal="center" vertical="center" wrapText="1"/>
    </xf>
    <xf numFmtId="4" fontId="19" fillId="34" borderId="10" xfId="0" applyFont="1" applyFill="1" applyBorder="1" applyNumberFormat="1">
      <alignment horizontal="right" vertical="center" wrapText="1"/>
      <protection locked="0"/>
    </xf>
    <xf numFmtId="49" fontId="19" fillId="0" borderId="10" xfId="0" applyFont="1" applyBorder="1" applyNumberFormat="1">
      <alignment horizontal="center" vertical="center"/>
    </xf>
    <xf numFmtId="0" fontId="19" fillId="0" borderId="10" xfId="0" applyFont="1" applyBorder="1">
      <alignment horizontal="center" vertical="center"/>
    </xf>
    <xf numFmtId="4" fontId="22" fillId="34" borderId="10" xfId="0" applyFont="1" applyFill="1" applyBorder="1" applyNumberFormat="1">
      <alignment vertical="center"/>
      <protection locked="0"/>
    </xf>
    <xf numFmtId="0" fontId="21" fillId="0" borderId="39" xfId="0" applyFont="1" applyBorder="1">
      <alignment horizontal="center" vertical="center" wrapText="1"/>
    </xf>
    <xf numFmtId="4" fontId="21" fillId="34" borderId="40" xfId="0" applyFont="1" applyFill="1" applyBorder="1" applyNumberFormat="1">
      <alignment horizontal="right" vertical="center"/>
      <protection locked="0"/>
    </xf>
    <xf numFmtId="4" fontId="21" fillId="41" borderId="41" xfId="0" applyFont="1" applyFill="1" applyBorder="1" applyNumberFormat="1">
      <alignment horizontal="right" vertical="center"/>
    </xf>
    <xf numFmtId="0" fontId="42" fillId="43" borderId="38" xfId="0" applyFont="1" applyFill="1" applyBorder="1">
      <alignment horizontal="left" vertical="center" indent="1"/>
    </xf>
    <xf numFmtId="4" fontId="43" fillId="40" borderId="18" xfId="0" applyFont="1" applyFill="1" applyBorder="1" applyNumberFormat="1">
      <alignment horizontal="right" vertical="center"/>
    </xf>
    <xf numFmtId="172" fontId="21" fillId="34" borderId="10" xfId="0" applyFont="1" applyFill="1" applyBorder="1" applyNumberFormat="1">
      <alignment horizontal="right" vertical="center"/>
      <protection locked="0"/>
    </xf>
    <xf numFmtId="49" fontId="38" fillId="41" borderId="20" xfId="0" applyFont="1" applyFill="1" applyBorder="1" applyNumberFormat="1">
      <alignment horizontal="left" vertical="center"/>
    </xf>
    <xf numFmtId="49" fontId="21" fillId="34" borderId="10" xfId="0" applyFont="1" applyFill="1" applyBorder="1" applyNumberFormat="1">
      <alignment horizontal="left" vertical="center" wrapText="1"/>
      <protection locked="0"/>
    </xf>
    <xf numFmtId="0" fontId="21" fillId="41" borderId="18" xfId="0" applyFont="1" applyFill="1" applyBorder="1">
      <alignment vertical="center" wrapText="1"/>
    </xf>
    <xf numFmtId="0" fontId="21" fillId="41" borderId="18" xfId="0" applyFont="1" applyFill="1" applyBorder="1">
      <alignment vertical="center"/>
    </xf>
    <xf numFmtId="0" fontId="21" fillId="41" borderId="29" xfId="0" applyFont="1" applyFill="1" applyBorder="1">
      <alignment vertical="center"/>
    </xf>
    <xf numFmtId="0" fontId="21" fillId="41" borderId="20" xfId="0" applyFont="1" applyFill="1" applyBorder="1">
      <alignment vertical="center" wrapText="1"/>
    </xf>
    <xf numFmtId="0" fontId="21" fillId="41" borderId="26" xfId="0" applyFont="1" applyFill="1" applyBorder="1">
      <alignment vertical="center" wrapText="1"/>
    </xf>
    <xf numFmtId="172" fontId="19" fillId="36" borderId="11" xfId="0" applyFont="1" applyFill="1" applyBorder="1" applyNumberFormat="1">
      <alignment horizontal="right" vertical="center"/>
    </xf>
    <xf numFmtId="172" fontId="21" fillId="34" borderId="22" xfId="0" applyFont="1" applyFill="1" applyBorder="1" applyNumberFormat="1">
      <alignment horizontal="right" vertical="center"/>
      <protection locked="0"/>
    </xf>
    <xf numFmtId="172" fontId="21" fillId="34" borderId="40" xfId="0" applyFont="1" applyFill="1" applyBorder="1" applyNumberFormat="1">
      <alignment horizontal="right" vertical="center"/>
      <protection locked="0"/>
    </xf>
    <xf numFmtId="0" fontId="22" fillId="0" borderId="13" xfId="0" applyFont="1" applyBorder="1" quotePrefix="1">
      <alignment horizontal="left" vertical="center" indent="1"/>
    </xf>
    <xf numFmtId="0" fontId="40" fillId="0" borderId="13" xfId="0" applyFont="1" applyBorder="1" quotePrefix="1">
      <alignment horizontal="left" vertical="center" indent="1"/>
    </xf>
    <xf numFmtId="49" fontId="40" fillId="0" borderId="13" xfId="0" applyFont="1" applyBorder="1" applyNumberFormat="1" quotePrefix="1">
      <alignment horizontal="left" vertical="center" indent="1"/>
    </xf>
    <xf numFmtId="0" fontId="28" fillId="0" borderId="0" xfId="0" applyFont="1"/>
    <xf numFmtId="0" fontId="25" fillId="0" borderId="13" xfId="0" applyFont="1" applyBorder="1">
      <alignment horizontal="left" vertical="center" indent="1"/>
    </xf>
    <xf numFmtId="0" fontId="28" fillId="0" borderId="13" xfId="0" applyFont="1" applyBorder="1"/>
    <xf numFmtId="0" fontId="44" fillId="4" borderId="10" xfId="0" applyFont="1" applyFill="1" applyBorder="1">
      <alignment horizontal="center" vertical="center"/>
    </xf>
    <xf numFmtId="0" fontId="28" fillId="4" borderId="10" xfId="0" applyFont="1" applyFill="1" applyBorder="1">
      <alignment vertical="center"/>
    </xf>
    <xf numFmtId="0" fontId="28" fillId="4" borderId="10" xfId="0" applyFont="1" applyFill="1" applyBorder="1">
      <alignment vertical="center" wrapText="1"/>
    </xf>
    <xf numFmtId="0" fontId="28" fillId="0" borderId="0" xfId="0" applyFont="1">
      <alignment horizontal="left" vertical="center" indent="1"/>
    </xf>
    <xf numFmtId="0" fontId="21" fillId="0" borderId="23" xfId="0" applyFont="1" applyBorder="1">
      <alignment vertical="center"/>
    </xf>
    <xf numFmtId="0" fontId="21" fillId="0" borderId="23" xfId="0" applyFont="1" applyBorder="1">
      <alignment vertical="center" wrapText="1"/>
    </xf>
    <xf numFmtId="0" fontId="19" fillId="0" borderId="11" xfId="0" applyFont="1" applyBorder="1">
      <alignment vertical="center" wrapText="1"/>
    </xf>
    <xf numFmtId="0" fontId="19" fillId="0" borderId="23" xfId="0" applyFont="1" applyBorder="1">
      <alignment horizontal="left" vertical="center" wrapText="1" indent="1"/>
    </xf>
    <xf numFmtId="0" fontId="19" fillId="0" borderId="11" xfId="0" applyFont="1" applyBorder="1">
      <alignment horizontal="left" vertical="center" wrapText="1" indent="2"/>
    </xf>
    <xf numFmtId="0" fontId="21" fillId="0" borderId="11" xfId="0" applyFont="1" applyBorder="1">
      <alignment horizontal="left" vertical="center" wrapText="1" indent="3"/>
    </xf>
    <xf numFmtId="0" fontId="19" fillId="0" borderId="38" xfId="0" applyFont="1" applyBorder="1">
      <alignment horizontal="left" vertical="center" wrapText="1" indent="1"/>
    </xf>
    <xf numFmtId="0" fontId="19" fillId="0" borderId="42" xfId="0" applyFont="1" applyBorder="1">
      <alignment vertical="center" wrapText="1"/>
    </xf>
    <xf numFmtId="0" fontId="19" fillId="0" borderId="42" xfId="0" applyFont="1" applyBorder="1">
      <alignment horizontal="left" vertical="center" wrapText="1" indent="1"/>
    </xf>
    <xf numFmtId="0" fontId="19" fillId="0" borderId="38" xfId="0" applyFont="1" applyBorder="1">
      <alignment vertical="center" wrapText="1"/>
    </xf>
    <xf numFmtId="0" fontId="21" fillId="0" borderId="11" xfId="0" applyFont="1" applyBorder="1">
      <alignment horizontal="left" vertical="center" wrapText="1" indent="2"/>
    </xf>
    <xf numFmtId="0" fontId="21" fillId="0" borderId="11" xfId="0" applyFont="1" applyBorder="1">
      <alignment horizontal="left" vertical="center" wrapText="1" indent="1"/>
    </xf>
    <xf numFmtId="0" fontId="19" fillId="0" borderId="37" xfId="0" applyFont="1" applyBorder="1">
      <alignment horizontal="left" vertical="center" wrapText="1"/>
    </xf>
    <xf numFmtId="0" fontId="19" fillId="0" borderId="10" xfId="0" applyFont="1" applyBorder="1">
      <alignment vertical="center" wrapText="1"/>
    </xf>
    <xf numFmtId="0" fontId="21" fillId="0" borderId="10" xfId="0" applyFont="1" applyBorder="1">
      <alignment horizontal="left" vertical="center" indent="1"/>
    </xf>
    <xf numFmtId="0" fontId="21" fillId="0" borderId="10" xfId="0" applyFont="1" applyBorder="1">
      <alignment horizontal="left" vertical="center" indent="2"/>
    </xf>
    <xf numFmtId="172" fontId="19" fillId="0" borderId="0" xfId="0" applyFont="1" applyNumberFormat="1">
      <alignment vertical="top"/>
    </xf>
    <xf numFmtId="172" fontId="24" fillId="0" borderId="0" xfId="0" applyFont="1" applyNumberFormat="1">
      <alignment vertical="top"/>
    </xf>
    <xf numFmtId="172" fontId="21" fillId="36" borderId="11" xfId="0" applyFont="1" applyFill="1" applyBorder="1" applyNumberFormat="1">
      <alignment horizontal="right" vertical="center"/>
    </xf>
    <xf numFmtId="172" fontId="21" fillId="36" borderId="11" xfId="0" applyFont="1" applyFill="1" applyBorder="1" applyNumberFormat="1">
      <alignment horizontal="right" vertical="center"/>
    </xf>
    <xf numFmtId="0" fontId="33" fillId="42" borderId="11" xfId="0" applyFont="1" applyFill="1" applyBorder="1">
      <alignment horizontal="left" vertical="center" wrapText="1" indent="1"/>
      <protection locked="0"/>
    </xf>
    <xf numFmtId="0" fontId="21" fillId="0" borderId="0" xfId="0" applyFont="1">
      <alignment horizontal="left" vertical="center"/>
    </xf>
    <xf numFmtId="49" fontId="40" fillId="0" borderId="13" xfId="0" applyFont="1" applyBorder="1" applyNumberFormat="1">
      <alignment horizontal="left" vertical="center" wrapText="1" indent="4"/>
    </xf>
    <xf numFmtId="49" fontId="40" fillId="0" borderId="0" xfId="0" applyFont="1" applyNumberFormat="1" quotePrefix="1">
      <alignment horizontal="left" vertical="center" wrapText="1" indent="4"/>
    </xf>
    <xf numFmtId="49" fontId="19" fillId="33" borderId="10" xfId="0" applyFont="1" applyFill="1" applyBorder="1" applyNumberFormat="1">
      <alignment horizontal="center" vertical="center" wrapText="1"/>
    </xf>
    <xf numFmtId="4" fontId="19" fillId="36" borderId="10" xfId="0" applyFont="1" applyFill="1" applyBorder="1" applyNumberFormat="1">
      <alignment horizontal="right" vertical="center"/>
    </xf>
    <xf numFmtId="4" fontId="24" fillId="0" borderId="0" xfId="0" applyFont="1" applyNumberFormat="1">
      <alignment horizontal="right" vertical="center"/>
    </xf>
    <xf numFmtId="4" fontId="19" fillId="0" borderId="0" xfId="0" applyFont="1" applyNumberFormat="1">
      <alignment horizontal="right" vertical="center"/>
    </xf>
    <xf numFmtId="0" fontId="21" fillId="0" borderId="10" xfId="0" applyFont="1" applyBorder="1">
      <alignment horizontal="center" vertical="center"/>
    </xf>
    <xf numFmtId="0" fontId="28" fillId="4" borderId="10" xfId="0" applyFont="1" applyFill="1" applyBorder="1" quotePrefix="1">
      <alignment vertical="center" wrapText="1"/>
    </xf>
    <xf numFmtId="0" fontId="19" fillId="0" borderId="12" xfId="0" applyFont="1" applyBorder="1">
      <alignment horizontal="center" vertical="center" wrapText="1"/>
    </xf>
    <xf numFmtId="0" fontId="21" fillId="0" borderId="43" xfId="0" applyFont="1" applyBorder="1">
      <alignment horizontal="center" vertical="center" wrapText="1"/>
    </xf>
    <xf numFmtId="0" fontId="21" fillId="0" borderId="37" xfId="0" applyFont="1" applyBorder="1">
      <alignment horizontal="center" vertical="center" wrapText="1"/>
    </xf>
    <xf numFmtId="0" fontId="22" fillId="0" borderId="10" xfId="0" applyFont="1" applyBorder="1">
      <alignment horizontal="left" vertical="center" wrapText="1" indent="1"/>
    </xf>
    <xf numFmtId="0" fontId="21" fillId="36" borderId="38" xfId="0" applyFont="1" applyFill="1" applyBorder="1">
      <alignment horizontal="left" vertical="center" indent="1"/>
    </xf>
    <xf numFmtId="0" fontId="21" fillId="36" borderId="23" xfId="0" applyFont="1" applyFill="1" applyBorder="1">
      <alignment horizontal="left" vertical="center" indent="1"/>
    </xf>
    <xf numFmtId="0" fontId="45" fillId="0" borderId="0" xfId="0" applyFont="1">
      <alignment vertical="center"/>
    </xf>
    <xf numFmtId="0" fontId="19" fillId="0" borderId="0" xfId="0" applyFont="1">
      <alignment horizontal="left" vertical="center"/>
    </xf>
    <xf numFmtId="0" fontId="19" fillId="0" borderId="0" xfId="0" applyFont="1">
      <alignment horizontal="left" vertical="center"/>
    </xf>
    <xf numFmtId="0" fontId="19" fillId="0" borderId="0" xfId="0" applyFont="1">
      <alignment horizontal="left" vertical="center" indent="2"/>
    </xf>
    <xf numFmtId="49" fontId="38" fillId="41" borderId="35" xfId="0" applyFont="1" applyFill="1" applyBorder="1" applyNumberFormat="1">
      <alignment horizontal="left" vertical="center" wrapText="1"/>
    </xf>
    <xf numFmtId="49" fontId="21" fillId="0" borderId="0" xfId="0" applyFont="1" applyNumberFormat="1"/>
    <xf numFmtId="49" fontId="40" fillId="44" borderId="38" xfId="0" applyFont="1" applyFill="1" applyBorder="1" applyNumberFormat="1">
      <alignment horizontal="left" vertical="center" wrapText="1"/>
    </xf>
    <xf numFmtId="49" fontId="40" fillId="44" borderId="23" xfId="0" applyFont="1" applyFill="1" applyBorder="1" applyNumberFormat="1">
      <alignment horizontal="left" vertical="center" wrapText="1"/>
    </xf>
    <xf numFmtId="0" fontId="19" fillId="33" borderId="44" xfId="0" applyFont="1" applyFill="1" applyBorder="1">
      <alignment horizontal="center" vertical="center" wrapText="1"/>
    </xf>
    <xf numFmtId="0" fontId="19" fillId="0" borderId="0" xfId="0" applyFont="1">
      <alignment horizontal="left" vertical="center"/>
    </xf>
    <xf numFmtId="0" fontId="19" fillId="0" borderId="0" xfId="0" applyFont="1">
      <alignment horizontal="left" vertical="center"/>
    </xf>
    <xf numFmtId="0" fontId="19" fillId="0" borderId="0" xfId="0" applyFont="1">
      <alignment horizontal="left"/>
    </xf>
    <xf numFmtId="0" fontId="21" fillId="0" borderId="0" xfId="0" applyFont="1">
      <alignment horizontal="left"/>
    </xf>
    <xf numFmtId="0" fontId="33" fillId="0" borderId="0" xfId="0" applyFont="1">
      <alignment horizontal="left" vertical="center" wrapText="1"/>
    </xf>
    <xf numFmtId="0" fontId="33" fillId="0" borderId="0" xfId="0" applyFont="1">
      <alignment horizontal="left" vertical="center"/>
    </xf>
    <xf numFmtId="0" fontId="1" fillId="0" borderId="0" xfId="0" applyFont="1"/>
    <xf numFmtId="0" fontId="33" fillId="39" borderId="0" xfId="0" applyFont="1" applyFill="1">
      <alignment vertical="center"/>
    </xf>
    <xf numFmtId="0" fontId="37" fillId="40" borderId="10" xfId="0" applyFont="1" applyFill="1" applyBorder="1">
      <alignment horizontal="left" vertical="center"/>
    </xf>
    <xf numFmtId="4" fontId="22" fillId="34" borderId="10" xfId="0" applyFont="1" applyFill="1" applyBorder="1" applyNumberFormat="1">
      <alignment horizontal="right" vertical="center" wrapText="1"/>
      <protection locked="0"/>
    </xf>
    <xf numFmtId="0" fontId="21" fillId="41" borderId="29" xfId="0" applyFont="1" applyFill="1" applyBorder="1"/>
    <xf numFmtId="0" fontId="23" fillId="39" borderId="0" xfId="0" applyFont="1" applyFill="1">
      <alignment vertical="center"/>
    </xf>
    <xf numFmtId="49" fontId="19" fillId="34" borderId="11" xfId="0" applyFont="1" applyFill="1" applyBorder="1" applyNumberFormat="1">
      <alignment horizontal="left" vertical="center" wrapText="1" indent="1"/>
      <protection locked="0"/>
    </xf>
    <xf numFmtId="49" fontId="19" fillId="42" borderId="11" xfId="0" applyFont="1" applyFill="1" applyBorder="1" applyNumberFormat="1">
      <alignment horizontal="left" vertical="center" wrapText="1" indent="1"/>
      <protection locked="0"/>
    </xf>
    <xf numFmtId="0" fontId="46" fillId="0" borderId="0" xfId="0" applyFont="1">
      <alignment vertical="center"/>
    </xf>
    <xf numFmtId="0" fontId="46" fillId="0" borderId="0" xfId="0" applyFont="1">
      <alignment vertical="center" wrapText="1"/>
    </xf>
    <xf numFmtId="0" fontId="47" fillId="0" borderId="0" xfId="0" applyFont="1">
      <alignment vertical="center"/>
    </xf>
    <xf numFmtId="0" fontId="19" fillId="42" borderId="11" xfId="0" applyFont="1" applyFill="1" applyBorder="1">
      <alignment horizontal="left" vertical="center" wrapText="1" indent="1"/>
      <protection locked="0"/>
    </xf>
    <xf numFmtId="0" fontId="19" fillId="42"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1" fillId="42" borderId="11" xfId="0" applyFont="1" applyFill="1" applyBorder="1" applyNumberFormat="1">
      <alignment horizontal="left" vertical="center" wrapText="1" indent="1"/>
      <protection locked="0"/>
    </xf>
    <xf numFmtId="49" fontId="21" fillId="36" borderId="11" xfId="0" applyFont="1" applyFill="1" applyBorder="1" applyNumberFormat="1">
      <alignment horizontal="left" vertical="center" wrapText="1" indent="1"/>
    </xf>
    <xf numFmtId="49" fontId="19" fillId="0" borderId="23" xfId="0" applyFont="1" applyBorder="1" applyNumberFormat="1">
      <alignment horizontal="right" vertical="center" wrapText="1" indent="1"/>
    </xf>
    <xf numFmtId="0" fontId="21" fillId="42" borderId="11" xfId="0" applyFont="1" applyFill="1" applyBorder="1">
      <alignment horizontal="left" vertical="center" wrapText="1" indent="1"/>
      <protection locked="0"/>
    </xf>
    <xf numFmtId="49" fontId="19" fillId="0" borderId="11" xfId="0" applyFont="1" applyBorder="1" applyNumberFormat="1">
      <alignment horizontal="right" vertical="center" wrapText="1" indent="1"/>
    </xf>
    <xf numFmtId="49" fontId="38" fillId="41" borderId="36" xfId="0" applyFont="1" applyFill="1" applyBorder="1" applyNumberFormat="1">
      <alignment horizontal="right" vertical="center" wrapText="1" indent="1"/>
    </xf>
    <xf numFmtId="0" fontId="21" fillId="36" borderId="11" xfId="0" applyFont="1" applyFill="1" applyBorder="1">
      <alignment horizontal="left" vertical="center" wrapText="1" indent="1"/>
    </xf>
    <xf numFmtId="0" fontId="19" fillId="36" borderId="11" xfId="0" applyFont="1" applyFill="1" applyBorder="1">
      <alignment horizontal="left" vertical="center" indent="1"/>
    </xf>
    <xf numFmtId="0" fontId="22" fillId="0" borderId="11" xfId="0" applyFont="1" applyBorder="1">
      <alignment horizontal="right" vertical="center" wrapText="1" indent="1"/>
    </xf>
    <xf numFmtId="0" fontId="40" fillId="36"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14" fontId="21" fillId="34" borderId="11" xfId="0" applyFont="1" applyFill="1" applyBorder="1" applyNumberFormat="1">
      <alignment horizontal="left" vertical="center" wrapText="1" indent="1"/>
      <protection locked="0"/>
    </xf>
    <xf numFmtId="49" fontId="48" fillId="34" borderId="11" xfId="0" applyFont="1" applyFill="1" applyBorder="1" applyNumberFormat="1">
      <alignment horizontal="left" vertical="center" wrapText="1" indent="1"/>
      <protection locked="0"/>
    </xf>
    <xf numFmtId="0" fontId="21" fillId="0" borderId="45" xfId="0" applyFont="1" applyBorder="1"/>
    <xf numFmtId="0" fontId="33" fillId="0" borderId="45" xfId="0" applyFont="1" applyBorder="1">
      <alignment vertical="center"/>
    </xf>
    <xf numFmtId="172" fontId="21" fillId="34" borderId="39" xfId="0" applyFont="1" applyFill="1" applyBorder="1" applyNumberFormat="1">
      <alignment horizontal="right" vertical="center"/>
      <protection locked="0"/>
    </xf>
    <xf numFmtId="49" fontId="19" fillId="36" borderId="10" xfId="0" applyFont="1" applyFill="1" applyBorder="1" applyNumberFormat="1">
      <alignment horizontal="left" vertical="center" wrapText="1" indent="1"/>
    </xf>
    <xf numFmtId="49" fontId="46" fillId="0" borderId="0" xfId="0" applyFont="1" applyNumberFormat="1">
      <alignment vertical="top"/>
    </xf>
    <xf numFmtId="49" fontId="40" fillId="44" borderId="37" xfId="0" applyFont="1" applyFill="1" applyBorder="1" applyNumberFormat="1">
      <alignment horizontal="left" vertical="center"/>
    </xf>
    <xf numFmtId="4" fontId="21" fillId="0" borderId="40" xfId="0" applyFont="1" applyBorder="1" applyNumberFormat="1">
      <alignment horizontal="right" vertical="center"/>
    </xf>
    <xf numFmtId="0" fontId="23" fillId="45" borderId="0" xfId="0" applyFont="1" applyFill="1">
      <alignment vertical="center" wrapText="1"/>
    </xf>
    <xf numFmtId="0" fontId="23" fillId="46" borderId="0" xfId="0" applyFont="1" applyFill="1">
      <alignment vertical="center" wrapText="1"/>
    </xf>
    <xf numFmtId="0" fontId="23" fillId="46" borderId="0" xfId="0" applyFont="1" applyFill="1">
      <alignment vertical="center"/>
    </xf>
    <xf numFmtId="0" fontId="23" fillId="46" borderId="0" xfId="0" applyFont="1" applyFill="1">
      <alignment vertical="center"/>
    </xf>
    <xf numFmtId="0" fontId="49" fillId="0" borderId="0" xfId="0" applyFont="1">
      <alignment horizontal="left" vertical="center"/>
    </xf>
    <xf numFmtId="49" fontId="35" fillId="37" borderId="0" xfId="0" applyFont="1" applyFill="1" applyNumberFormat="1">
      <alignment horizontal="center" vertical="top"/>
    </xf>
    <xf numFmtId="49" fontId="23" fillId="38" borderId="0" xfId="0" applyFont="1" applyFill="1" applyNumberFormat="1">
      <alignment horizontal="right"/>
    </xf>
    <xf numFmtId="0" fontId="19" fillId="0" borderId="0" xfId="0" applyFont="1">
      <alignment vertical="top"/>
    </xf>
    <xf numFmtId="49" fontId="48"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42" borderId="11" xfId="0" applyFont="1" applyFill="1" applyBorder="1" applyNumberFormat="1">
      <alignment horizontal="left" vertical="center" wrapText="1" indent="1"/>
    </xf>
    <xf numFmtId="174" fontId="21" fillId="42" borderId="11" xfId="0" applyFont="1" applyFill="1" applyBorder="1" applyNumberFormat="1">
      <alignment horizontal="left" vertical="center" wrapText="1" indent="1"/>
      <protection locked="0"/>
    </xf>
    <xf numFmtId="49" fontId="50" fillId="0" borderId="0" xfId="0" applyFont="1" applyNumberFormat="1">
      <alignment horizontal="center" vertical="center" wrapText="1"/>
    </xf>
    <xf numFmtId="0" fontId="51" fillId="0" borderId="0" xfId="0" applyFont="1">
      <alignment wrapText="1"/>
    </xf>
    <xf numFmtId="49" fontId="52" fillId="0" borderId="0" xfId="0" applyFont="1" applyNumberFormat="1">
      <alignment wrapText="1"/>
    </xf>
    <xf numFmtId="49" fontId="23" fillId="33" borderId="0" xfId="0" applyFont="1" applyFill="1" applyNumberFormat="1">
      <alignment vertical="center" wrapText="1"/>
    </xf>
    <xf numFmtId="49" fontId="26" fillId="47" borderId="0" xfId="0" applyFont="1" applyFill="1" applyNumberFormat="1">
      <alignment vertical="center" wrapText="1"/>
    </xf>
    <xf numFmtId="49" fontId="19" fillId="0" borderId="0" xfId="0" applyFont="1" applyNumberFormat="1">
      <alignment vertical="center"/>
    </xf>
    <xf numFmtId="0" fontId="19" fillId="0" borderId="0" xfId="0" applyFont="1"/>
    <xf numFmtId="0" fontId="0" fillId="0" borderId="0" xfId="0" applyFont="1">
      <alignment horizontal="center" vertical="center"/>
    </xf>
    <xf numFmtId="0" fontId="0" fillId="0" borderId="0" xfId="0" applyFont="1">
      <alignment horizontal="center"/>
    </xf>
    <xf numFmtId="0" fontId="0" fillId="0" borderId="0" xfId="0" applyFont="1">
      <alignment horizontal="center" vertical="center" wrapText="1"/>
    </xf>
    <xf numFmtId="49" fontId="0" fillId="0" borderId="0" xfId="0" applyFont="1" applyNumberFormat="1">
      <alignment horizontal="center" vertical="top"/>
    </xf>
    <xf numFmtId="0" fontId="31" fillId="0" borderId="0" xfId="0" applyFont="1">
      <alignment horizontal="center"/>
    </xf>
    <xf numFmtId="0" fontId="49" fillId="0" borderId="0" xfId="0" applyFont="1">
      <alignment horizontal="center" vertical="center"/>
    </xf>
    <xf numFmtId="0" fontId="49" fillId="0" borderId="0" xfId="0" applyFont="1">
      <alignment horizontal="center" vertical="center" wrapText="1"/>
    </xf>
    <xf numFmtId="0" fontId="53" fillId="0" borderId="0" xfId="0" applyFont="1">
      <alignment horizontal="center" vertical="center" wrapText="1"/>
    </xf>
    <xf numFmtId="0" fontId="53" fillId="0" borderId="0" xfId="0" applyFont="1">
      <alignment horizontal="center" vertical="center"/>
    </xf>
    <xf numFmtId="49" fontId="54" fillId="0" borderId="0" xfId="0" applyFont="1" applyNumberFormat="1">
      <alignment horizontal="center" wrapText="1"/>
    </xf>
    <xf numFmtId="0" fontId="55" fillId="0" borderId="0" xfId="0" applyFont="1">
      <alignment horizontal="center"/>
    </xf>
    <xf numFmtId="0" fontId="56" fillId="0" borderId="0" xfId="0" applyFont="1">
      <alignment horizontal="center" vertical="top" wrapText="1"/>
    </xf>
    <xf numFmtId="49" fontId="0" fillId="0" borderId="0" xfId="0" applyFont="1" applyNumberFormat="1">
      <alignment horizontal="center" vertical="center" wrapText="1"/>
    </xf>
    <xf numFmtId="0" fontId="49" fillId="0" borderId="0" xfId="0" applyFont="1">
      <alignment horizontal="center"/>
    </xf>
    <xf numFmtId="0" fontId="53" fillId="0" borderId="0" xfId="0" applyFont="1">
      <alignment horizontal="center"/>
    </xf>
    <xf numFmtId="0" fontId="0" fillId="0" borderId="0" xfId="0" applyFont="1">
      <alignment horizontal="center"/>
    </xf>
    <xf numFmtId="0" fontId="0" fillId="0" borderId="0" xfId="0" applyFont="1">
      <alignment horizontal="center" wrapText="1"/>
    </xf>
    <xf numFmtId="0" fontId="56" fillId="0" borderId="0" xfId="0" applyFont="1">
      <alignment horizontal="center"/>
    </xf>
    <xf numFmtId="0" fontId="0" fillId="25" borderId="0" xfId="0" applyFont="1" applyFill="1">
      <alignment horizontal="center" vertical="center"/>
    </xf>
    <xf numFmtId="0" fontId="0" fillId="25" borderId="0" xfId="0" applyFont="1" applyFill="1">
      <alignment horizontal="center"/>
    </xf>
    <xf numFmtId="0" fontId="0" fillId="25" borderId="0" xfId="0" applyFont="1" applyFill="1">
      <alignment horizontal="center"/>
    </xf>
    <xf numFmtId="0" fontId="57" fillId="0" borderId="0" xfId="0" applyFont="1"/>
    <xf numFmtId="49" fontId="19" fillId="0" borderId="0" xfId="0" applyFont="1" applyNumberFormat="1">
      <alignment vertical="center"/>
    </xf>
    <xf numFmtId="0" fontId="57" fillId="0" borderId="13" xfId="0" applyFont="1" applyBorder="1">
      <alignment vertical="center"/>
    </xf>
    <xf numFmtId="49" fontId="58" fillId="0" borderId="0" xfId="0" applyFont="1" applyNumberFormat="1">
      <alignment horizontal="center" vertical="center" wrapText="1"/>
    </xf>
    <xf numFmtId="0" fontId="19" fillId="0" borderId="10" xfId="0" applyFont="1" applyBorder="1">
      <alignment horizontal="left" vertical="center" wrapText="1"/>
    </xf>
    <xf numFmtId="0" fontId="19" fillId="42" borderId="10" xfId="0" applyFont="1" applyFill="1" applyBorder="1">
      <alignment horizontal="left" vertical="center" wrapText="1" indent="1"/>
      <protection locked="0"/>
    </xf>
    <xf numFmtId="0" fontId="19" fillId="0" borderId="30" xfId="0" applyFont="1" applyBorder="1">
      <alignment horizontal="right" vertical="center" wrapText="1" indent="1"/>
    </xf>
    <xf numFmtId="0" fontId="19" fillId="0" borderId="18" xfId="0" applyFont="1" applyBorder="1">
      <alignment horizontal="right" vertical="center" wrapText="1" indent="1"/>
    </xf>
    <xf numFmtId="0" fontId="19" fillId="0" borderId="29" xfId="0" applyFont="1" applyBorder="1">
      <alignment horizontal="right" vertical="center" wrapText="1" indent="1"/>
    </xf>
    <xf numFmtId="0" fontId="19" fillId="42" borderId="10" xfId="0" applyFont="1" applyFill="1" applyBorder="1">
      <alignment horizontal="left" vertical="center" wrapText="1" indent="1"/>
      <protection locked="0"/>
    </xf>
    <xf numFmtId="0" fontId="19" fillId="42" borderId="10" xfId="0" applyFont="1" applyFill="1" applyBorder="1">
      <alignment horizontal="left" vertical="center" wrapText="1" indent="1"/>
      <protection locked="0"/>
    </xf>
    <xf numFmtId="49" fontId="35" fillId="37" borderId="0" xfId="0" applyFont="1" applyFill="1" applyNumberFormat="1">
      <alignment horizontal="center" vertical="center"/>
    </xf>
    <xf numFmtId="49" fontId="23" fillId="38" borderId="0" xfId="0" applyFont="1" applyFill="1" applyNumberFormat="1">
      <alignment vertical="center" wrapText="1"/>
    </xf>
    <xf numFmtId="49" fontId="21" fillId="34" borderId="11" xfId="0" applyFont="1" applyFill="1" applyBorder="1" applyNumberFormat="1">
      <alignment horizontal="left" vertical="center" wrapText="1" indent="1"/>
      <protection locked="0"/>
    </xf>
    <xf numFmtId="0" fontId="44" fillId="4" borderId="10" xfId="0" applyFont="1" applyFill="1" applyBorder="1">
      <alignment horizontal="center" vertical="center"/>
    </xf>
    <xf numFmtId="0" fontId="28" fillId="4" borderId="10" xfId="0" applyFont="1" applyFill="1" applyBorder="1">
      <alignment vertical="center"/>
    </xf>
    <xf numFmtId="0" fontId="28" fillId="4" borderId="10" xfId="0" applyFont="1" applyFill="1" applyBorder="1">
      <alignment vertical="center" wrapText="1"/>
    </xf>
    <xf numFmtId="0" fontId="28" fillId="4" borderId="10" xfId="0" applyFont="1" applyFill="1" applyBorder="1" quotePrefix="1">
      <alignment vertical="center" wrapText="1"/>
    </xf>
    <xf numFmtId="0" fontId="21" fillId="48" borderId="0" xfId="0" applyFont="1" applyFill="1">
      <alignment horizontal="center" vertical="center"/>
    </xf>
    <xf numFmtId="49" fontId="19" fillId="48" borderId="0" xfId="0" applyFont="1" applyFill="1" applyNumberFormat="1">
      <alignment horizontal="center" vertical="center"/>
    </xf>
    <xf numFmtId="0" fontId="19" fillId="48" borderId="0" xfId="0" applyFont="1" applyFill="1">
      <alignment horizontal="center" vertical="center"/>
    </xf>
    <xf numFmtId="0" fontId="19" fillId="0" borderId="0" xfId="0" applyFont="1">
      <alignment vertical="center" wrapText="1"/>
    </xf>
    <xf numFmtId="0" fontId="19" fillId="0" borderId="0" xfId="0" applyFont="1">
      <alignment vertical="top"/>
    </xf>
    <xf numFmtId="0" fontId="59" fillId="0" borderId="0" xfId="0" applyFont="1">
      <alignment wrapText="1"/>
    </xf>
    <xf numFmtId="0" fontId="19" fillId="0" borderId="0" xfId="0" applyFont="1">
      <alignment horizontal="center" vertical="center" wrapText="1"/>
    </xf>
    <xf numFmtId="0" fontId="19" fillId="0" borderId="0" xfId="0" applyFont="1">
      <alignment horizontal="center" wrapText="1"/>
    </xf>
    <xf numFmtId="0" fontId="19" fillId="0" borderId="0" xfId="0" applyFont="1">
      <alignment vertical="center" wrapText="1"/>
    </xf>
    <xf numFmtId="0" fontId="19" fillId="0" borderId="0" xfId="0" applyFont="1"/>
    <xf numFmtId="0" fontId="46" fillId="0" borderId="0" xfId="0" applyFont="1">
      <alignment horizontal="center" vertical="center"/>
    </xf>
    <xf numFmtId="0" fontId="47" fillId="0" borderId="0" xfId="0" applyFont="1">
      <alignment horizontal="center" vertical="center"/>
    </xf>
    <xf numFmtId="0" fontId="46" fillId="0" borderId="0" xfId="0" applyFont="1">
      <alignment horizontal="left" vertical="center" wrapText="1"/>
    </xf>
    <xf numFmtId="0" fontId="60" fillId="0" borderId="0" xfId="0" applyFont="1">
      <alignment vertical="center" wrapText="1"/>
    </xf>
    <xf numFmtId="0" fontId="60" fillId="0" borderId="0" xfId="0" applyFont="1">
      <alignment vertical="center"/>
    </xf>
    <xf numFmtId="0" fontId="61" fillId="0" borderId="0" xfId="0" applyFont="1">
      <alignment vertical="center"/>
    </xf>
    <xf numFmtId="0" fontId="62" fillId="0" borderId="0" xfId="0" applyFont="1">
      <alignment vertical="center"/>
    </xf>
    <xf numFmtId="0" fontId="19" fillId="0" borderId="0" xfId="0" applyFont="1">
      <alignment vertical="top"/>
    </xf>
    <xf numFmtId="0" fontId="29" fillId="0" borderId="0" xfId="0" applyFont="1">
      <alignment horizontal="center" vertical="center" wrapText="1"/>
    </xf>
    <xf numFmtId="0" fontId="29" fillId="0" borderId="0" xfId="0" applyFont="1">
      <alignment vertical="center"/>
    </xf>
    <xf numFmtId="0" fontId="29" fillId="0" borderId="0" xfId="0" applyFont="1">
      <alignment horizontal="center" vertical="center"/>
    </xf>
    <xf numFmtId="0" fontId="29" fillId="0" borderId="0" xfId="0" applyFont="1">
      <alignment vertical="center" wrapText="1"/>
    </xf>
    <xf numFmtId="49" fontId="29" fillId="0" borderId="0" xfId="0" applyFont="1" applyNumberFormat="1">
      <alignment vertical="top"/>
    </xf>
    <xf numFmtId="0" fontId="19" fillId="0" borderId="0" xfId="0" applyFont="1"/>
    <xf numFmtId="0" fontId="21" fillId="0" borderId="0" xfId="0" applyFont="1">
      <alignment vertical="center"/>
    </xf>
    <xf numFmtId="0" fontId="22" fillId="0" borderId="23" xfId="0" applyFont="1" applyBorder="1">
      <alignment horizontal="right" vertical="center" wrapText="1" indent="1"/>
    </xf>
    <xf numFmtId="0" fontId="40" fillId="0" borderId="11" xfId="0" applyFont="1" applyBorder="1">
      <alignment horizontal="left" vertical="center" wrapText="1" indent="1"/>
    </xf>
    <xf numFmtId="49" fontId="38" fillId="41" borderId="32" xfId="0" applyFont="1" applyFill="1" applyBorder="1" applyNumberFormat="1">
      <alignment horizontal="right" vertical="center" wrapText="1" indent="1"/>
    </xf>
    <xf numFmtId="0" fontId="19" fillId="0" borderId="0" xfId="0" applyFont="1">
      <alignment vertical="center"/>
    </xf>
    <xf numFmtId="0" fontId="29" fillId="0" borderId="0" xfId="0" applyFont="1">
      <alignment horizontal="left" vertical="center"/>
    </xf>
    <xf numFmtId="0" fontId="21" fillId="25" borderId="0" xfId="0" applyFont="1" applyFill="1"/>
    <xf numFmtId="0" fontId="29" fillId="0" borderId="0" xfId="0" applyFont="1">
      <alignment horizontal="center"/>
    </xf>
    <xf numFmtId="0" fontId="63" fillId="0" borderId="0" xfId="0" applyFont="1"/>
    <xf numFmtId="0" fontId="64" fillId="0" borderId="0" xfId="0" applyFont="1">
      <alignment vertical="center"/>
    </xf>
    <xf numFmtId="0" fontId="19" fillId="0" borderId="0" xfId="0" applyFont="1">
      <alignment vertical="top"/>
    </xf>
    <xf numFmtId="0" fontId="19" fillId="25" borderId="0" xfId="0" applyFont="1" applyFill="1">
      <alignment horizontal="center"/>
    </xf>
    <xf numFmtId="0" fontId="19" fillId="48" borderId="0" xfId="0" applyFont="1" applyFill="1">
      <alignment horizontal="center" vertical="center"/>
    </xf>
    <xf numFmtId="49" fontId="21" fillId="48" borderId="0" xfId="0" applyFont="1" applyFill="1" applyNumberFormat="1">
      <alignment horizontal="center" vertical="center"/>
    </xf>
    <xf numFmtId="0" fontId="19" fillId="48" borderId="0" xfId="0" applyFont="1" applyFill="1">
      <alignment horizontal="left" vertical="center"/>
    </xf>
    <xf numFmtId="0" fontId="19" fillId="0" borderId="0" xfId="0" applyFont="1">
      <alignment vertical="center"/>
    </xf>
    <xf numFmtId="0" fontId="21" fillId="41" borderId="18" xfId="0" applyFont="1" applyFill="1" applyBorder="1">
      <alignment vertical="center" wrapText="1"/>
    </xf>
    <xf numFmtId="0" fontId="21" fillId="41" borderId="18" xfId="0" applyFont="1" applyFill="1" applyBorder="1">
      <alignment vertical="center"/>
    </xf>
    <xf numFmtId="0" fontId="21" fillId="41" borderId="29" xfId="0" applyFont="1" applyFill="1" applyBorder="1">
      <alignment vertical="center" wrapText="1"/>
    </xf>
    <xf numFmtId="0" fontId="21" fillId="0" borderId="0" xfId="0" applyFont="1">
      <alignment vertical="center" wrapText="1"/>
    </xf>
    <xf numFmtId="49" fontId="21" fillId="0" borderId="0" xfId="0" applyFont="1" applyNumberFormat="1">
      <alignment horizontal="center" vertical="center"/>
    </xf>
    <xf numFmtId="0" fontId="19" fillId="0" borderId="0" xfId="0" applyFont="1">
      <alignment horizontal="center" vertical="center" wrapText="1"/>
    </xf>
    <xf numFmtId="0" fontId="0" fillId="0" borderId="0" xfId="0" applyFont="1">
      <alignment horizontal="center" vertical="center"/>
    </xf>
    <xf numFmtId="0" fontId="21" fillId="0" borderId="0" xfId="0" applyFont="1">
      <alignment horizontal="center" vertical="center"/>
    </xf>
    <xf numFmtId="49" fontId="19" fillId="0" borderId="0" xfId="0" applyFont="1" applyNumberFormat="1">
      <alignment horizontal="center" vertical="center"/>
    </xf>
    <xf numFmtId="49" fontId="38" fillId="41" borderId="18" xfId="0" applyFont="1" applyFill="1" applyBorder="1" applyNumberFormat="1">
      <alignment vertical="center"/>
    </xf>
    <xf numFmtId="49" fontId="19" fillId="0" borderId="11" xfId="0" applyFont="1" applyBorder="1" applyNumberFormat="1">
      <alignment horizontal="center" vertical="center" wrapText="1"/>
    </xf>
    <xf numFmtId="0" fontId="21" fillId="0" borderId="0" xfId="0" applyFont="1">
      <alignment vertical="center"/>
    </xf>
    <xf numFmtId="0" fontId="21" fillId="0" borderId="0" xfId="0" applyFont="1"/>
    <xf numFmtId="0" fontId="21" fillId="0" borderId="0" xfId="0" applyFont="1">
      <alignment horizontal="left" vertical="center"/>
    </xf>
    <xf numFmtId="0" fontId="21" fillId="0" borderId="10" xfId="0" applyFont="1" applyBorder="1">
      <alignment horizontal="center" vertical="center" wrapText="1"/>
    </xf>
    <xf numFmtId="0" fontId="19" fillId="0" borderId="0" xfId="0" applyFont="1">
      <alignment horizontal="center" vertical="center"/>
    </xf>
    <xf numFmtId="49" fontId="19" fillId="0" borderId="0" xfId="0" applyFont="1" applyNumberFormat="1">
      <alignment horizontal="center" vertical="center"/>
    </xf>
    <xf numFmtId="0" fontId="19" fillId="0" borderId="0" xfId="0" applyFont="1">
      <alignment horizontal="center"/>
    </xf>
    <xf numFmtId="0" fontId="19" fillId="0" borderId="0" xfId="0" applyFont="1">
      <alignment horizontal="left" vertical="center"/>
    </xf>
    <xf numFmtId="0" fontId="22" fillId="0" borderId="0" xfId="0" applyFont="1">
      <alignment horizontal="center"/>
    </xf>
    <xf numFmtId="0" fontId="22" fillId="0" borderId="0" xfId="0" applyFont="1"/>
    <xf numFmtId="49" fontId="19" fillId="0" borderId="11" xfId="0" applyFont="1" applyBorder="1" applyNumberFormat="1">
      <alignment horizontal="left" vertical="center" wrapText="1"/>
    </xf>
    <xf numFmtId="4" fontId="19" fillId="36" borderId="11" xfId="0" applyFont="1" applyFill="1" applyBorder="1" applyNumberFormat="1">
      <alignment horizontal="right" vertical="center" wrapText="1"/>
    </xf>
    <xf numFmtId="49" fontId="19" fillId="0" borderId="46" xfId="0" applyFont="1" applyBorder="1" applyNumberFormat="1">
      <alignment horizontal="center" vertical="center" wrapText="1"/>
    </xf>
    <xf numFmtId="49" fontId="19" fillId="0" borderId="46" xfId="0" applyFont="1" applyBorder="1" applyNumberFormat="1">
      <alignment horizontal="left" vertical="center" wrapText="1" indent="1"/>
    </xf>
    <xf numFmtId="172" fontId="19" fillId="36" borderId="11" xfId="0" applyFont="1" applyFill="1" applyBorder="1" applyNumberFormat="1">
      <alignment horizontal="right" vertical="center" wrapText="1"/>
    </xf>
    <xf numFmtId="49" fontId="22" fillId="0" borderId="11" xfId="0" applyFont="1" applyBorder="1" applyNumberFormat="1">
      <alignment horizontal="left" vertical="center" wrapText="1"/>
    </xf>
    <xf numFmtId="4" fontId="22" fillId="36" borderId="11" xfId="0" applyFont="1" applyFill="1" applyBorder="1" applyNumberFormat="1">
      <alignment horizontal="right" vertical="center" wrapText="1"/>
    </xf>
    <xf numFmtId="1" fontId="19" fillId="0" borderId="11"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0" fontId="19" fillId="0" borderId="0" xfId="0" applyFont="1">
      <alignment horizontal="center" vertical="center"/>
    </xf>
    <xf numFmtId="0" fontId="19" fillId="0" borderId="0" xfId="0" applyFont="1">
      <alignment vertical="center" wrapText="1"/>
    </xf>
    <xf numFmtId="4" fontId="19" fillId="0" borderId="0" xfId="0" applyFont="1" applyNumberFormat="1">
      <alignment horizontal="center" vertical="center"/>
    </xf>
    <xf numFmtId="0" fontId="0" fillId="0" borderId="0" xfId="0" applyFont="1"/>
    <xf numFmtId="0" fontId="19" fillId="25" borderId="0" xfId="0" applyFont="1" applyFill="1">
      <alignment horizontal="center"/>
    </xf>
    <xf numFmtId="0" fontId="21" fillId="0" borderId="0" xfId="0" applyFont="1">
      <alignment vertical="center"/>
    </xf>
    <xf numFmtId="49" fontId="40" fillId="0" borderId="13" xfId="0" applyFont="1" applyBorder="1" applyNumberFormat="1">
      <alignment vertical="center" wrapText="1"/>
    </xf>
    <xf numFmtId="0" fontId="21" fillId="0" borderId="10" xfId="0" applyFont="1" applyBorder="1">
      <alignment horizontal="center" vertical="center" wrapText="1"/>
    </xf>
    <xf numFmtId="172" fontId="37" fillId="40" borderId="18" xfId="0" applyFont="1" applyFill="1" applyBorder="1" applyNumberFormat="1">
      <alignment horizontal="right" vertical="center"/>
    </xf>
    <xf numFmtId="172" fontId="0" fillId="36" borderId="11" xfId="0" applyFont="1" applyFill="1" applyBorder="1" applyNumberFormat="1">
      <alignment vertical="center" wrapText="1"/>
    </xf>
    <xf numFmtId="49" fontId="22" fillId="0" borderId="11" xfId="0" applyFont="1" applyBorder="1" applyNumberFormat="1">
      <alignment horizontal="left" vertical="center" wrapText="1" shrinkToFit="1"/>
    </xf>
    <xf numFmtId="49" fontId="22" fillId="0" borderId="37" xfId="0" applyFont="1" applyBorder="1" applyNumberFormat="1">
      <alignment horizontal="center" vertical="center" wrapText="1" shrinkToFit="1"/>
    </xf>
    <xf numFmtId="49" fontId="19" fillId="0" borderId="11" xfId="0" applyFont="1" applyBorder="1" applyNumberFormat="1">
      <alignment horizontal="left" vertical="center" wrapText="1" shrinkToFit="1" indent="1"/>
    </xf>
    <xf numFmtId="49" fontId="19" fillId="0" borderId="37" xfId="0" applyFont="1" applyBorder="1" applyNumberFormat="1">
      <alignment horizontal="center" vertical="center" wrapText="1" shrinkToFit="1"/>
    </xf>
    <xf numFmtId="49" fontId="19" fillId="0" borderId="11" xfId="0" applyFont="1" applyBorder="1" applyNumberFormat="1">
      <alignment horizontal="left" vertical="center" wrapText="1" shrinkToFit="1" indent="2"/>
    </xf>
    <xf numFmtId="49" fontId="19" fillId="0" borderId="11" xfId="0" applyFont="1" applyBorder="1" applyNumberFormat="1">
      <alignment horizontal="left" vertical="center" wrapText="1" shrinkToFit="1" indent="3"/>
    </xf>
    <xf numFmtId="49" fontId="19" fillId="0" borderId="11" xfId="0" applyFont="1" applyBorder="1" applyNumberFormat="1">
      <alignment horizontal="left" vertical="center" wrapText="1" shrinkToFit="1" indent="4"/>
    </xf>
    <xf numFmtId="49" fontId="19" fillId="0" borderId="11" xfId="0" applyFont="1" applyBorder="1" applyNumberFormat="1">
      <alignment horizontal="left" vertical="center" wrapText="1" shrinkToFit="1" indent="3"/>
    </xf>
    <xf numFmtId="49" fontId="19" fillId="0" borderId="37" xfId="0" applyFont="1" applyBorder="1" applyNumberFormat="1">
      <alignment horizontal="center" vertical="center" wrapText="1" shrinkToFit="1"/>
    </xf>
    <xf numFmtId="49" fontId="19" fillId="0" borderId="11" xfId="0" applyFont="1" applyBorder="1" applyNumberFormat="1">
      <alignment horizontal="left" vertical="center" wrapText="1" shrinkToFit="1" indent="1"/>
    </xf>
    <xf numFmtId="0" fontId="21" fillId="0" borderId="0" xfId="0" applyFont="1">
      <alignment vertical="center"/>
    </xf>
    <xf numFmtId="0" fontId="21" fillId="0" borderId="10" xfId="0" applyFont="1" applyBorder="1">
      <alignment horizontal="center" vertical="center" wrapText="1"/>
    </xf>
    <xf numFmtId="4" fontId="21" fillId="36" borderId="10" xfId="0" applyFont="1" applyFill="1" applyBorder="1" applyNumberFormat="1">
      <alignment horizontal="right" vertical="center" wrapText="1"/>
    </xf>
    <xf numFmtId="4" fontId="21" fillId="34" borderId="10" xfId="0" applyFont="1" applyFill="1" applyBorder="1" applyNumberFormat="1">
      <alignment horizontal="right" vertical="center" wrapText="1"/>
      <protection locked="0"/>
    </xf>
    <xf numFmtId="0" fontId="21" fillId="0" borderId="0" xfId="0" applyFont="1">
      <alignment vertical="center"/>
    </xf>
    <xf numFmtId="49" fontId="22" fillId="0" borderId="38" xfId="0" applyFont="1" applyBorder="1" applyNumberFormat="1">
      <alignment vertical="center" wrapText="1"/>
    </xf>
    <xf numFmtId="49" fontId="19" fillId="0" borderId="11" xfId="0" applyFont="1" applyBorder="1" applyNumberFormat="1">
      <alignment horizontal="left" vertical="center" wrapText="1" shrinkToFit="1"/>
    </xf>
    <xf numFmtId="0" fontId="19" fillId="0" borderId="11" xfId="0" applyFont="1" applyBorder="1">
      <alignment horizontal="left" vertical="center" wrapText="1" shrinkToFit="1" indent="1"/>
    </xf>
    <xf numFmtId="49" fontId="19" fillId="0" borderId="0" xfId="0" applyFont="1" applyNumberFormat="1"/>
    <xf numFmtId="49" fontId="19" fillId="0" borderId="0" xfId="0" applyFont="1" applyNumberFormat="1">
      <alignment horizontal="center" vertical="top"/>
    </xf>
    <xf numFmtId="49" fontId="19" fillId="34" borderId="11" xfId="50" applyFont="1" applyFill="1" applyBorder="1" applyNumberFormat="1">
      <alignment horizontal="left" vertical="center" wrapText="1" indent="1"/>
      <protection locked="0"/>
    </xf>
    <xf numFmtId="49" fontId="38" fillId="0" borderId="43" xfId="0" applyFont="1" applyBorder="1" applyNumberFormat="1">
      <alignment horizontal="left" vertical="center" wrapText="1"/>
    </xf>
    <xf numFmtId="49" fontId="38" fillId="0" borderId="47" xfId="0" applyFont="1" applyBorder="1" applyNumberFormat="1">
      <alignment horizontal="left" vertical="center" wrapText="1"/>
    </xf>
    <xf numFmtId="49" fontId="38" fillId="0" borderId="48" xfId="0" applyFont="1" applyBorder="1" applyNumberFormat="1">
      <alignment horizontal="left" vertical="center" wrapText="1"/>
    </xf>
    <xf numFmtId="0" fontId="19" fillId="0" borderId="0" xfId="0" applyFont="1"/>
    <xf numFmtId="0" fontId="19" fillId="0" borderId="0" xfId="0" applyFont="1">
      <alignment vertical="center" wrapText="1"/>
    </xf>
    <xf numFmtId="0" fontId="19" fillId="36" borderId="18" xfId="0" applyFont="1" applyFill="1" applyBorder="1">
      <alignment horizontal="left" vertical="center"/>
    </xf>
    <xf numFmtId="0" fontId="23" fillId="49" borderId="0" xfId="0" applyFont="1" applyFill="1">
      <alignment vertical="center"/>
    </xf>
    <xf numFmtId="0" fontId="23" fillId="38" borderId="0" xfId="0" applyFont="1" applyFill="1">
      <alignment vertical="center"/>
    </xf>
    <xf numFmtId="49" fontId="64" fillId="49" borderId="0" xfId="0" applyFont="1" applyFill="1" applyNumberFormat="1">
      <alignment vertical="center" wrapText="1"/>
    </xf>
    <xf numFmtId="0" fontId="21" fillId="0" borderId="23" xfId="0" applyFont="1" applyBorder="1">
      <alignment vertical="center" wrapText="1"/>
    </xf>
    <xf numFmtId="10" fontId="21" fillId="34" borderId="11" xfId="0" applyFont="1" applyFill="1" applyBorder="1" applyNumberFormat="1">
      <alignment horizontal="right" vertical="center"/>
      <protection locked="0"/>
    </xf>
    <xf numFmtId="0" fontId="21" fillId="0" borderId="47" xfId="0" applyFont="1" applyBorder="1">
      <alignment horizontal="center" vertical="center" wrapText="1"/>
    </xf>
    <xf numFmtId="0" fontId="21" fillId="0" borderId="23" xfId="0" applyFont="1" applyBorder="1">
      <alignment horizontal="center" vertical="center" wrapText="1"/>
    </xf>
    <xf numFmtId="0" fontId="1" fillId="0" borderId="0" xfId="0" applyFont="1"/>
    <xf numFmtId="0" fontId="33" fillId="0" borderId="0" xfId="0" applyFont="1">
      <alignment vertical="center"/>
    </xf>
    <xf numFmtId="0" fontId="21" fillId="0" borderId="0" xfId="0" applyFont="1">
      <alignment vertical="center"/>
    </xf>
    <xf numFmtId="0" fontId="28" fillId="0" borderId="0" xfId="0" applyFont="1">
      <alignment horizontal="left" vertical="center"/>
    </xf>
    <xf numFmtId="49" fontId="40" fillId="0" borderId="13" xfId="0" applyFont="1" applyBorder="1" applyNumberFormat="1" quotePrefix="1">
      <alignment horizontal="left" vertical="center" indent="1"/>
    </xf>
    <xf numFmtId="49" fontId="34" fillId="0" borderId="13" xfId="0" applyFont="1" applyBorder="1" applyNumberFormat="1">
      <alignment vertical="center"/>
    </xf>
    <xf numFmtId="49" fontId="34" fillId="0" borderId="0" xfId="0" applyFont="1" applyNumberFormat="1">
      <alignment horizontal="left" vertical="center" wrapText="1" indent="4"/>
    </xf>
    <xf numFmtId="0" fontId="21" fillId="0" borderId="10" xfId="0" applyFont="1" applyBorder="1">
      <alignment horizontal="center" vertical="center" wrapText="1"/>
    </xf>
    <xf numFmtId="0" fontId="21" fillId="0" borderId="10" xfId="0" applyFont="1" applyBorder="1">
      <alignment horizontal="center" vertical="center" wrapText="1"/>
    </xf>
    <xf numFmtId="0" fontId="37" fillId="40" borderId="0" xfId="0" applyFont="1" applyFill="1">
      <alignment horizontal="left" vertical="center"/>
    </xf>
    <xf numFmtId="0" fontId="21" fillId="0" borderId="0" xfId="0" applyFont="1"/>
    <xf numFmtId="0" fontId="17" fillId="0" borderId="0" xfId="0" applyFont="1"/>
    <xf numFmtId="0" fontId="22" fillId="0" borderId="10" xfId="0" applyFont="1" applyBorder="1">
      <alignment vertical="center" wrapText="1"/>
    </xf>
    <xf numFmtId="0" fontId="22" fillId="0" borderId="10" xfId="0" applyFont="1" applyBorder="1">
      <alignment horizontal="center" vertical="center" wrapText="1"/>
    </xf>
    <xf numFmtId="0" fontId="33" fillId="0" borderId="0" xfId="0" applyFont="1">
      <alignment horizontal="center" vertical="center"/>
    </xf>
    <xf numFmtId="0" fontId="33" fillId="0" borderId="0" xfId="0" applyFont="1">
      <alignment vertical="center" wrapText="1"/>
    </xf>
    <xf numFmtId="0" fontId="21" fillId="41" borderId="18" xfId="0" applyFont="1" applyFill="1" applyBorder="1">
      <alignment vertical="center" wrapText="1"/>
    </xf>
    <xf numFmtId="0" fontId="21" fillId="41" borderId="29" xfId="0" applyFont="1" applyFill="1" applyBorder="1">
      <alignment vertical="center" wrapText="1"/>
    </xf>
    <xf numFmtId="0" fontId="21" fillId="0" borderId="46" xfId="0" applyFont="1" applyBorder="1">
      <alignment horizontal="center" vertical="center" wrapText="1"/>
    </xf>
    <xf numFmtId="0" fontId="21" fillId="42" borderId="23" xfId="0" applyFont="1" applyFill="1" applyBorder="1">
      <alignment horizontal="left" vertical="center" wrapText="1" indent="1"/>
      <protection locked="0"/>
    </xf>
    <xf numFmtId="49" fontId="19" fillId="0" borderId="49" xfId="0" applyFont="1" applyBorder="1" applyNumberFormat="1">
      <alignment horizontal="right" vertical="center" wrapText="1" indent="1"/>
    </xf>
    <xf numFmtId="49" fontId="19" fillId="0" borderId="46" xfId="0" applyFont="1" applyBorder="1" applyNumberFormat="1">
      <alignment horizontal="center" vertical="center"/>
    </xf>
    <xf numFmtId="0" fontId="19" fillId="0" borderId="46" xfId="0" applyFont="1" applyBorder="1">
      <alignment horizontal="left" vertical="center" wrapText="1" indent="1"/>
    </xf>
    <xf numFmtId="172" fontId="21" fillId="34" borderId="46" xfId="0" applyFont="1" applyFill="1" applyBorder="1" applyNumberFormat="1">
      <alignment horizontal="right" vertical="center"/>
      <protection locked="0"/>
    </xf>
    <xf numFmtId="172" fontId="0" fillId="34" borderId="46" xfId="0" applyFont="1" applyFill="1" applyBorder="1" applyNumberFormat="1">
      <alignment horizontal="right" vertical="center"/>
      <protection locked="0"/>
    </xf>
    <xf numFmtId="172" fontId="19" fillId="34" borderId="46" xfId="0" applyFont="1" applyFill="1" applyBorder="1" applyNumberFormat="1">
      <alignment horizontal="right" vertical="center"/>
      <protection locked="0"/>
    </xf>
    <xf numFmtId="49" fontId="21" fillId="34" borderId="46" xfId="0" applyFont="1" applyFill="1" applyBorder="1" applyNumberFormat="1">
      <alignment horizontal="left" vertical="center" wrapText="1"/>
      <protection locked="0"/>
    </xf>
    <xf numFmtId="173" fontId="0" fillId="36" borderId="46" xfId="0" applyFont="1" applyFill="1" applyBorder="1" applyNumberFormat="1">
      <alignment horizontal="right" vertical="center"/>
    </xf>
    <xf numFmtId="172" fontId="0" fillId="36" borderId="46" xfId="0" applyFont="1" applyFill="1" applyBorder="1" applyNumberFormat="1">
      <alignment horizontal="right" vertical="center"/>
    </xf>
    <xf numFmtId="0" fontId="19" fillId="0" borderId="12" xfId="0" applyFont="1" applyBorder="1">
      <alignment horizontal="center" vertical="center"/>
    </xf>
    <xf numFmtId="0" fontId="19" fillId="0" borderId="12" xfId="0" applyFont="1" applyBorder="1">
      <alignment horizontal="left" vertical="center" wrapText="1"/>
    </xf>
    <xf numFmtId="172" fontId="21" fillId="0" borderId="12" xfId="0" applyFont="1" applyBorder="1" applyNumberFormat="1">
      <alignment horizontal="right" vertical="center"/>
    </xf>
    <xf numFmtId="172" fontId="0" fillId="0" borderId="12" xfId="0" applyFont="1" applyBorder="1" applyNumberFormat="1">
      <alignment horizontal="right" vertical="center"/>
    </xf>
    <xf numFmtId="172" fontId="19" fillId="0" borderId="12" xfId="0" applyFont="1" applyBorder="1" applyNumberFormat="1">
      <alignment horizontal="right" vertical="center"/>
    </xf>
    <xf numFmtId="49" fontId="21" fillId="0" borderId="12" xfId="0" applyFont="1" applyBorder="1" applyNumberFormat="1">
      <alignment horizontal="left" vertical="center"/>
    </xf>
    <xf numFmtId="173" fontId="0" fillId="0" borderId="12" xfId="0" applyFont="1" applyBorder="1" applyNumberFormat="1">
      <alignment horizontal="right" vertical="center"/>
    </xf>
    <xf numFmtId="172" fontId="0" fillId="34" borderId="10" xfId="0" applyFont="1" applyFill="1" applyBorder="1" applyNumberFormat="1">
      <alignment horizontal="right" vertical="center"/>
      <protection locked="0"/>
    </xf>
    <xf numFmtId="172" fontId="19" fillId="34" borderId="10" xfId="0" applyFont="1" applyFill="1" applyBorder="1" applyNumberFormat="1">
      <alignment horizontal="right" vertical="center"/>
      <protection locked="0"/>
    </xf>
    <xf numFmtId="173" fontId="0" fillId="36" borderId="10" xfId="0" applyFont="1" applyFill="1" applyBorder="1" applyNumberFormat="1">
      <alignment horizontal="right" vertical="center"/>
    </xf>
    <xf numFmtId="172" fontId="0" fillId="36" borderId="10" xfId="0" applyFont="1" applyFill="1" applyBorder="1" applyNumberFormat="1">
      <alignment horizontal="right" vertical="center"/>
    </xf>
    <xf numFmtId="0" fontId="21" fillId="43" borderId="0" xfId="0" applyFont="1" applyFill="1">
      <alignment horizontal="left" vertical="center"/>
    </xf>
    <xf numFmtId="0" fontId="21" fillId="43" borderId="0" xfId="0" applyFont="1" applyFill="1"/>
    <xf numFmtId="0" fontId="19" fillId="43" borderId="0" xfId="0" applyFont="1" applyFill="1"/>
    <xf numFmtId="0" fontId="28" fillId="43" borderId="0" xfId="0" applyFont="1" applyFill="1"/>
    <xf numFmtId="0" fontId="23" fillId="43" borderId="0" xfId="0" applyFont="1" applyFill="1">
      <alignment vertical="center"/>
    </xf>
    <xf numFmtId="0" fontId="49" fillId="43" borderId="0" xfId="0" applyFont="1" applyFill="1">
      <alignment horizontal="center" vertical="center"/>
    </xf>
    <xf numFmtId="0" fontId="0" fillId="43" borderId="0" xfId="0" applyFont="1" applyFill="1">
      <alignment horizontal="left" vertical="center"/>
    </xf>
    <xf numFmtId="49" fontId="19" fillId="43" borderId="0" xfId="0" applyFont="1" applyFill="1" applyNumberFormat="1">
      <alignment vertical="top"/>
    </xf>
    <xf numFmtId="0" fontId="23" fillId="43" borderId="0" xfId="0" applyFont="1" applyFill="1">
      <alignment horizontal="center" vertical="center"/>
    </xf>
    <xf numFmtId="49" fontId="19" fillId="43" borderId="0" xfId="0" applyFont="1" applyFill="1" applyNumberFormat="1">
      <alignment horizontal="center" vertical="top"/>
    </xf>
    <xf numFmtId="49" fontId="19" fillId="43" borderId="0" xfId="0" applyFont="1" applyFill="1" applyNumberFormat="1">
      <alignment vertical="center" wrapText="1"/>
    </xf>
    <xf numFmtId="0" fontId="19" fillId="43" borderId="0" xfId="0" applyFont="1" applyFill="1"/>
    <xf numFmtId="0" fontId="21" fillId="43" borderId="0" xfId="0" applyFont="1" applyFill="1">
      <alignment horizontal="center"/>
    </xf>
    <xf numFmtId="0" fontId="21" fillId="43" borderId="0" xfId="0" applyFont="1" applyFill="1">
      <alignment vertical="center" wrapText="1"/>
    </xf>
    <xf numFmtId="0" fontId="21" fillId="43" borderId="0" xfId="0" applyFont="1" applyFill="1">
      <alignment wrapText="1"/>
    </xf>
    <xf numFmtId="0" fontId="21" fillId="43" borderId="0" xfId="0" applyFont="1" applyFill="1">
      <alignment vertical="center"/>
    </xf>
    <xf numFmtId="0" fontId="19" fillId="43" borderId="0" xfId="0" applyFont="1" applyFill="1">
      <alignment vertical="center"/>
    </xf>
    <xf numFmtId="0" fontId="21" fillId="43" borderId="0" xfId="0" applyFont="1" applyFill="1">
      <alignment vertical="center"/>
    </xf>
    <xf numFmtId="49" fontId="19" fillId="43" borderId="0" xfId="0" applyFont="1" applyFill="1" applyNumberFormat="1">
      <alignment horizontal="center" vertical="center" wrapText="1"/>
    </xf>
    <xf numFmtId="49" fontId="19" fillId="43" borderId="0" xfId="0" applyFont="1" applyFill="1" applyNumberFormat="1">
      <alignment horizontal="center" vertical="top"/>
    </xf>
    <xf numFmtId="0" fontId="29" fillId="43" borderId="0" xfId="0" applyFont="1" applyFill="1">
      <alignment horizontal="center"/>
    </xf>
    <xf numFmtId="49" fontId="65" fillId="0" borderId="0" xfId="0" applyFont="1" applyNumberFormat="1">
      <alignment horizontal="center" vertical="center" wrapText="1"/>
    </xf>
    <xf numFmtId="175" fontId="23" fillId="43" borderId="0" xfId="0" applyFont="1" applyFill="1" applyNumberFormat="1">
      <alignment vertical="center"/>
    </xf>
    <xf numFmtId="175" fontId="19" fillId="43" borderId="0" xfId="0" applyFont="1" applyFill="1" applyNumberFormat="1">
      <alignment vertical="top"/>
    </xf>
    <xf numFmtId="49" fontId="19" fillId="42" borderId="11" xfId="0" applyFont="1" applyFill="1" applyBorder="1" applyNumberFormat="1">
      <alignment horizontal="right" vertical="center" wrapText="1" indent="1"/>
      <protection locked="0"/>
    </xf>
    <xf numFmtId="0" fontId="37" fillId="0" borderId="0" xfId="0" applyFont="1">
      <alignment vertical="center"/>
    </xf>
    <xf numFmtId="0" fontId="66" fillId="0" borderId="0" xfId="0" applyFont="1">
      <alignment vertical="center"/>
    </xf>
    <xf numFmtId="0" fontId="67" fillId="0" borderId="0" xfId="0" applyFont="1">
      <alignment vertical="center"/>
    </xf>
    <xf numFmtId="0" fontId="66" fillId="0" borderId="0" xfId="0" applyFont="1">
      <alignment vertical="center" wrapText="1"/>
    </xf>
    <xf numFmtId="0" fontId="60" fillId="35" borderId="0" xfId="0" applyFont="1" applyFill="1">
      <alignment vertical="center"/>
    </xf>
    <xf numFmtId="0" fontId="19" fillId="0" borderId="50" xfId="0" applyFont="1" applyBorder="1">
      <alignment horizontal="center" vertical="center" wrapText="1"/>
    </xf>
    <xf numFmtId="49" fontId="38" fillId="41" borderId="30" xfId="0" applyFont="1" applyFill="1" applyBorder="1" applyNumberFormat="1">
      <alignment vertical="center"/>
    </xf>
    <xf numFmtId="0" fontId="21" fillId="43" borderId="0" xfId="0" applyFont="1" applyFill="1">
      <alignment vertical="center"/>
    </xf>
    <xf numFmtId="0" fontId="19" fillId="43" borderId="0" xfId="0" applyFont="1" applyFill="1"/>
    <xf numFmtId="0" fontId="21" fillId="43" borderId="0" xfId="0" applyFont="1" applyFill="1">
      <alignment vertical="center"/>
    </xf>
    <xf numFmtId="0" fontId="19" fillId="43" borderId="0" xfId="0" applyFont="1" applyFill="1">
      <alignment horizontal="center"/>
    </xf>
    <xf numFmtId="0" fontId="42" fillId="43" borderId="30" xfId="0" applyFont="1" applyFill="1" applyBorder="1">
      <alignment horizontal="center" vertical="center" wrapText="1"/>
    </xf>
    <xf numFmtId="0" fontId="38" fillId="41" borderId="19" xfId="0" applyFont="1" applyFill="1" applyBorder="1">
      <alignment horizontal="left" vertical="center" wrapText="1" indent="1"/>
    </xf>
    <xf numFmtId="0" fontId="19" fillId="39" borderId="0" xfId="0" applyFont="1" applyFill="1">
      <alignment vertical="top"/>
    </xf>
    <xf numFmtId="0" fontId="0" fillId="0" borderId="0" xfId="0" applyFont="1">
      <alignment horizontal="center" vertical="top"/>
    </xf>
    <xf numFmtId="0" fontId="19" fillId="43" borderId="0" xfId="0" applyFont="1" applyFill="1">
      <alignment vertical="top"/>
    </xf>
    <xf numFmtId="0" fontId="19" fillId="0" borderId="0" xfId="0" applyFont="1">
      <alignment vertical="center"/>
    </xf>
    <xf numFmtId="0" fontId="0" fillId="0" borderId="0" xfId="0" applyFont="1">
      <alignment horizontal="center" vertical="top"/>
    </xf>
    <xf numFmtId="0" fontId="19" fillId="43" borderId="0" xfId="0" applyFont="1" applyFill="1">
      <alignment vertical="top"/>
    </xf>
    <xf numFmtId="0" fontId="19" fillId="43" borderId="0" xfId="0" applyFont="1" applyFill="1">
      <alignment vertical="top"/>
    </xf>
    <xf numFmtId="0" fontId="36" fillId="0" borderId="0" xfId="0" applyFont="1">
      <alignment horizontal="center" vertical="center" wrapText="1"/>
    </xf>
    <xf numFmtId="0" fontId="50" fillId="0" borderId="0" xfId="0" applyFont="1">
      <alignment horizontal="center" vertical="center" wrapText="1"/>
    </xf>
    <xf numFmtId="0" fontId="19" fillId="38" borderId="0" xfId="0" applyFont="1" applyFill="1">
      <alignment vertical="top"/>
    </xf>
    <xf numFmtId="0" fontId="21" fillId="41" borderId="51" xfId="0" applyFont="1" applyFill="1" applyBorder="1">
      <alignment vertical="center"/>
    </xf>
    <xf numFmtId="0" fontId="38" fillId="41" borderId="30" xfId="0" applyFont="1" applyFill="1" applyBorder="1">
      <alignment vertical="center"/>
    </xf>
    <xf numFmtId="0" fontId="38" fillId="41" borderId="18" xfId="0" applyFont="1" applyFill="1" applyBorder="1">
      <alignment vertical="center"/>
    </xf>
    <xf numFmtId="0" fontId="29" fillId="0" borderId="0" xfId="0" applyFont="1">
      <alignment horizontal="left"/>
    </xf>
    <xf numFmtId="0" fontId="19" fillId="0" borderId="10" xfId="0" applyFont="1" applyBorder="1">
      <alignment horizontal="center" vertical="center" wrapText="1"/>
    </xf>
    <xf numFmtId="0" fontId="22" fillId="43" borderId="0" xfId="0" applyFont="1" applyFill="1"/>
    <xf numFmtId="0" fontId="19" fillId="43" borderId="0" xfId="0" applyFont="1" applyFill="1">
      <alignment horizontal="center"/>
    </xf>
    <xf numFmtId="49" fontId="19" fillId="43" borderId="0" xfId="0" applyFont="1" applyFill="1" applyNumberFormat="1">
      <alignment vertical="top"/>
    </xf>
    <xf numFmtId="0" fontId="50" fillId="0" borderId="52" xfId="0" applyFont="1" applyBorder="1">
      <alignment horizontal="center" vertical="center" wrapText="1"/>
    </xf>
    <xf numFmtId="0" fontId="50" fillId="0" borderId="52" xfId="0" applyFont="1" applyBorder="1">
      <alignment vertical="center" wrapText="1"/>
    </xf>
    <xf numFmtId="0" fontId="22" fillId="43" borderId="0" xfId="0" applyFont="1" applyFill="1"/>
    <xf numFmtId="49" fontId="19" fillId="43" borderId="0" xfId="0" applyFont="1" applyFill="1" applyNumberFormat="1">
      <alignment vertical="top"/>
    </xf>
    <xf numFmtId="0" fontId="21" fillId="43" borderId="0" xfId="0" applyFont="1" applyFill="1"/>
    <xf numFmtId="0" fontId="21" fillId="43" borderId="0" xfId="0" applyFont="1" applyFill="1">
      <alignment horizontal="center"/>
    </xf>
    <xf numFmtId="0" fontId="23" fillId="43" borderId="0" xfId="0" applyFont="1" applyFill="1"/>
    <xf numFmtId="0" fontId="26" fillId="43" borderId="0" xfId="0" applyFont="1" applyFill="1"/>
    <xf numFmtId="49" fontId="23" fillId="0" borderId="0" xfId="0" applyFont="1" applyNumberFormat="1"/>
    <xf numFmtId="0" fontId="38" fillId="41" borderId="30" xfId="0" applyFont="1" applyFill="1" applyBorder="1">
      <alignment horizontal="left" vertical="center" wrapText="1" indent="1"/>
    </xf>
    <xf numFmtId="0" fontId="38" fillId="41" borderId="30" xfId="0" applyFont="1" applyFill="1" applyBorder="1">
      <alignment vertical="center"/>
    </xf>
    <xf numFmtId="0" fontId="23" fillId="0" borderId="0" xfId="0" applyFont="1">
      <alignment horizontal="center" vertical="top"/>
    </xf>
    <xf numFmtId="0" fontId="23" fillId="0" borderId="0" xfId="0" applyFont="1">
      <alignment vertical="top"/>
    </xf>
    <xf numFmtId="0" fontId="23" fillId="0" borderId="0" xfId="0" applyFont="1">
      <alignment wrapText="1"/>
    </xf>
    <xf numFmtId="49" fontId="19" fillId="43" borderId="0" xfId="0" applyFont="1" applyFill="1" applyNumberFormat="1">
      <alignment vertical="top"/>
    </xf>
    <xf numFmtId="0" fontId="29" fillId="43" borderId="0" xfId="0" applyFont="1" applyFill="1">
      <alignment vertical="center"/>
    </xf>
    <xf numFmtId="0" fontId="19" fillId="42" borderId="10" xfId="0" applyFont="1" applyFill="1" applyBorder="1">
      <alignment horizontal="left" vertical="center" wrapText="1" indent="1"/>
      <protection locked="0"/>
    </xf>
    <xf numFmtId="0" fontId="57" fillId="43" borderId="0" xfId="0" applyFont="1" applyFill="1"/>
    <xf numFmtId="0" fontId="19" fillId="33" borderId="10" xfId="0" applyFont="1" applyFill="1" applyBorder="1">
      <alignment horizontal="center" vertical="center" wrapText="1"/>
    </xf>
    <xf numFmtId="0" fontId="40" fillId="43" borderId="0" xfId="0" applyFont="1" applyFill="1"/>
    <xf numFmtId="0" fontId="29" fillId="43" borderId="0" xfId="0" applyFont="1" applyFill="1"/>
    <xf numFmtId="0" fontId="21" fillId="43" borderId="0" xfId="0" applyFont="1" applyFill="1">
      <alignment horizontal="left" vertical="center" wrapText="1"/>
    </xf>
    <xf numFmtId="0" fontId="1" fillId="0" borderId="0" xfId="0" applyFont="1"/>
    <xf numFmtId="0" fontId="1" fillId="43" borderId="0" xfId="0" applyFont="1" applyFill="1"/>
    <xf numFmtId="0" fontId="21" fillId="0" borderId="0" xfId="0" applyFont="1">
      <alignment vertical="center"/>
    </xf>
    <xf numFmtId="0" fontId="17" fillId="43" borderId="0" xfId="0" applyFont="1" applyFill="1"/>
    <xf numFmtId="0" fontId="40" fillId="0" borderId="0" xfId="0" applyFont="1"/>
    <xf numFmtId="0" fontId="21" fillId="0" borderId="0" xfId="0" applyFont="1">
      <alignment horizontal="left" vertical="center"/>
    </xf>
    <xf numFmtId="0" fontId="34" fillId="0" borderId="0" xfId="0" applyFont="1">
      <alignment vertical="center"/>
    </xf>
    <xf numFmtId="0" fontId="19" fillId="33" borderId="10" xfId="0" applyFont="1" applyFill="1" applyBorder="1">
      <alignment horizontal="center" vertical="center" wrapText="1"/>
    </xf>
    <xf numFmtId="0" fontId="19" fillId="0" borderId="0" xfId="0" applyFont="1">
      <alignment vertical="top" wrapText="1"/>
    </xf>
    <xf numFmtId="0" fontId="33" fillId="43" borderId="0" xfId="0" applyFont="1" applyFill="1">
      <alignment vertical="center"/>
    </xf>
    <xf numFmtId="0" fontId="33" fillId="43" borderId="0" xfId="0" applyFont="1" applyFill="1">
      <alignment vertical="center" wrapText="1"/>
    </xf>
    <xf numFmtId="0" fontId="34" fillId="43" borderId="0" xfId="0" applyFont="1" applyFill="1">
      <alignment vertical="center" wrapText="1"/>
    </xf>
    <xf numFmtId="0" fontId="34" fillId="43" borderId="0" xfId="0" applyFont="1" applyFill="1">
      <alignment horizontal="center" vertical="center" wrapText="1"/>
    </xf>
    <xf numFmtId="0" fontId="34" fillId="43" borderId="0" xfId="0" applyFont="1" applyFill="1">
      <alignment vertical="center"/>
    </xf>
    <xf numFmtId="0" fontId="33" fillId="43" borderId="0" xfId="0" applyFont="1" applyFill="1">
      <alignment horizontal="center" vertical="center"/>
    </xf>
    <xf numFmtId="0" fontId="21" fillId="0" borderId="0" xfId="0" applyFont="1">
      <alignment vertical="top" wrapText="1"/>
    </xf>
    <xf numFmtId="0" fontId="21" fillId="41" borderId="21" xfId="0" applyFont="1" applyFill="1" applyBorder="1">
      <alignment vertical="center" wrapText="1"/>
    </xf>
    <xf numFmtId="0" fontId="21" fillId="43" borderId="0" xfId="0" applyFont="1" applyFill="1">
      <alignment vertical="center"/>
    </xf>
    <xf numFmtId="4" fontId="21" fillId="34" borderId="10" xfId="0" applyFont="1" applyFill="1" applyBorder="1" applyNumberFormat="1">
      <alignment horizontal="right" vertical="center" wrapText="1"/>
      <protection locked="0"/>
    </xf>
    <xf numFmtId="0" fontId="22" fillId="0" borderId="11" xfId="0" applyFont="1" applyBorder="1">
      <alignment horizontal="center" vertical="center" wrapText="1" shrinkToFit="1"/>
    </xf>
    <xf numFmtId="0" fontId="19" fillId="0" borderId="11" xfId="0" applyFont="1" applyBorder="1">
      <alignment horizontal="center" vertical="center" wrapText="1" shrinkToFit="1"/>
    </xf>
    <xf numFmtId="0" fontId="19" fillId="0" borderId="11" xfId="0" applyFont="1" applyBorder="1">
      <alignment horizontal="center" vertical="center" wrapText="1" shrinkToFit="1"/>
    </xf>
    <xf numFmtId="0" fontId="21" fillId="43" borderId="0" xfId="0" applyFont="1" applyFill="1">
      <alignment vertical="center"/>
    </xf>
    <xf numFmtId="0" fontId="19" fillId="0" borderId="0" xfId="0" applyFont="1">
      <alignment wrapText="1"/>
    </xf>
    <xf numFmtId="0" fontId="21" fillId="0" borderId="18" xfId="0" applyFont="1" applyBorder="1">
      <alignment horizontal="center" vertical="center" wrapText="1"/>
    </xf>
    <xf numFmtId="1" fontId="21" fillId="0" borderId="0" xfId="0" applyFont="1" applyNumberFormat="1">
      <alignment vertical="center"/>
    </xf>
    <xf numFmtId="0" fontId="21" fillId="0" borderId="0" xfId="0" applyFont="1">
      <alignment horizontal="center" vertical="center" wrapText="1"/>
    </xf>
    <xf numFmtId="0" fontId="19" fillId="0" borderId="18" xfId="0" applyFont="1" applyBorder="1">
      <alignment horizontal="center" vertical="center"/>
    </xf>
    <xf numFmtId="0" fontId="19" fillId="0" borderId="18" xfId="0" applyFont="1" applyBorder="1">
      <alignment horizontal="center" vertical="center" wrapText="1"/>
    </xf>
    <xf numFmtId="0" fontId="19" fillId="33" borderId="0" xfId="0" applyFont="1" applyFill="1">
      <alignment horizontal="center" vertical="center" wrapText="1"/>
    </xf>
    <xf numFmtId="0" fontId="19" fillId="0" borderId="24" xfId="0" applyFont="1" applyBorder="1">
      <alignment horizontal="center" vertical="center" wrapText="1"/>
    </xf>
    <xf numFmtId="49" fontId="0" fillId="0" borderId="18" xfId="0" applyFont="1" applyBorder="1" applyNumberFormat="1">
      <alignment horizontal="center" vertical="center" wrapText="1"/>
    </xf>
    <xf numFmtId="0" fontId="19" fillId="0" borderId="24" xfId="0" applyFont="1" applyBorder="1">
      <alignment horizontal="center" vertical="center" wrapText="1"/>
    </xf>
    <xf numFmtId="0" fontId="21" fillId="0" borderId="0" xfId="0" applyFont="1">
      <alignment vertical="center" wrapText="1"/>
    </xf>
    <xf numFmtId="0" fontId="21" fillId="0" borderId="18" xfId="0" applyFont="1" applyBorder="1">
      <alignment horizontal="center" vertical="center" wrapText="1"/>
    </xf>
    <xf numFmtId="0" fontId="1" fillId="0" borderId="0" xfId="0" applyFont="1"/>
    <xf numFmtId="0" fontId="33" fillId="0" borderId="0" xfId="0" applyFont="1"/>
    <xf numFmtId="49" fontId="19" fillId="42" borderId="10" xfId="0" applyFont="1" applyFill="1" applyBorder="1" applyNumberFormat="1">
      <alignment horizontal="left" vertical="center" wrapText="1"/>
      <protection locked="0"/>
    </xf>
    <xf numFmtId="49" fontId="19" fillId="42" borderId="10" xfId="0" applyFont="1" applyFill="1" applyBorder="1" applyNumberFormat="1">
      <alignment horizontal="center" vertical="center" wrapText="1"/>
      <protection locked="0"/>
    </xf>
    <xf numFmtId="0" fontId="50" fillId="0" borderId="0" xfId="0" applyFont="1">
      <alignment vertical="center" wrapText="1"/>
    </xf>
    <xf numFmtId="0" fontId="21" fillId="0" borderId="24" xfId="0" applyFont="1" applyBorder="1">
      <alignment vertical="center"/>
    </xf>
    <xf numFmtId="0" fontId="19" fillId="0" borderId="24" xfId="0" applyFont="1" applyBorder="1">
      <alignment horizontal="center" vertical="center" wrapText="1"/>
    </xf>
    <xf numFmtId="0" fontId="21" fillId="0" borderId="24" xfId="0" applyFont="1" applyBorder="1">
      <alignment horizontal="center" vertical="center" wrapText="1"/>
    </xf>
    <xf numFmtId="0" fontId="21" fillId="35" borderId="24" xfId="0" applyFont="1" applyFill="1" applyBorder="1">
      <alignment horizontal="center" vertical="center" wrapText="1"/>
    </xf>
    <xf numFmtId="0" fontId="19" fillId="0" borderId="24" xfId="0" applyFont="1" applyBorder="1">
      <alignment horizontal="center" vertical="center"/>
    </xf>
    <xf numFmtId="0" fontId="19" fillId="33" borderId="24" xfId="0" applyFont="1" applyFill="1" applyBorder="1">
      <alignment horizontal="center" vertical="center" wrapText="1"/>
    </xf>
    <xf numFmtId="0" fontId="19" fillId="33" borderId="0" xfId="0" applyFont="1" applyFill="1">
      <alignment horizontal="center" vertical="center" wrapText="1"/>
    </xf>
    <xf numFmtId="0" fontId="21" fillId="0" borderId="0" xfId="0" applyFont="1">
      <alignment horizontal="center" vertical="center" wrapText="1"/>
    </xf>
    <xf numFmtId="0" fontId="21" fillId="0" borderId="0" xfId="0" applyFont="1">
      <alignment horizontal="center" vertical="center" wrapText="1"/>
    </xf>
    <xf numFmtId="0" fontId="19" fillId="0" borderId="0" xfId="0" applyFont="1">
      <alignment horizontal="center" vertical="center" wrapText="1"/>
    </xf>
    <xf numFmtId="49" fontId="38" fillId="41" borderId="10" xfId="0" applyFont="1" applyFill="1" applyBorder="1" applyNumberFormat="1">
      <alignment horizontal="left" vertical="center" indent="1"/>
    </xf>
    <xf numFmtId="49" fontId="19" fillId="38" borderId="0" xfId="0" applyFont="1" applyFill="1" applyNumberFormat="1">
      <alignment vertical="top"/>
    </xf>
    <xf numFmtId="0" fontId="0" fillId="0" borderId="0" xfId="0" applyFont="1">
      <alignment horizontal="left" vertical="center"/>
    </xf>
    <xf numFmtId="0" fontId="19" fillId="39" borderId="0" xfId="0" applyFont="1" applyFill="1">
      <alignment horizontal="left" vertical="top"/>
    </xf>
    <xf numFmtId="0" fontId="21" fillId="0" borderId="0" xfId="0" applyFont="1">
      <alignment horizontal="left" vertical="center"/>
    </xf>
    <xf numFmtId="0" fontId="21" fillId="0" borderId="0" xfId="0" applyFont="1">
      <alignment horizontal="left"/>
    </xf>
    <xf numFmtId="0" fontId="0" fillId="0" borderId="0" xfId="0" applyFont="1">
      <alignment horizontal="left"/>
    </xf>
    <xf numFmtId="0" fontId="21" fillId="43" borderId="0" xfId="0" applyFont="1" applyFill="1">
      <alignment horizontal="left"/>
    </xf>
    <xf numFmtId="0" fontId="1" fillId="0" borderId="0" xfId="0" applyFont="1"/>
    <xf numFmtId="0" fontId="64" fillId="0" borderId="0" xfId="0" applyFont="1">
      <alignment horizontal="center" vertical="center"/>
    </xf>
    <xf numFmtId="49" fontId="21" fillId="50" borderId="11" xfId="0" applyFont="1" applyFill="1" applyBorder="1" applyNumberFormat="1">
      <alignment horizontal="left" vertical="center" wrapText="1" indent="1"/>
    </xf>
    <xf numFmtId="0" fontId="19" fillId="50" borderId="11" xfId="0" applyFont="1" applyFill="1" applyBorder="1">
      <alignment horizontal="left" vertical="center" wrapText="1" indent="1"/>
    </xf>
    <xf numFmtId="49" fontId="19" fillId="50" borderId="11" xfId="0" applyFont="1" applyFill="1" applyBorder="1" applyNumberFormat="1">
      <alignment horizontal="left" vertical="center" wrapText="1" indent="1"/>
    </xf>
    <xf numFmtId="0" fontId="19" fillId="0" borderId="0" xfId="0" applyFont="1">
      <alignment wrapText="1"/>
    </xf>
    <xf numFmtId="0" fontId="19" fillId="36" borderId="22" xfId="0" applyFont="1" applyFill="1" applyBorder="1">
      <alignment horizontal="left" vertical="center" wrapText="1" indent="1"/>
    </xf>
    <xf numFmtId="0" fontId="19" fillId="0" borderId="10" xfId="0" applyFont="1" applyBorder="1">
      <alignment horizontal="center" vertical="center" wrapText="1"/>
    </xf>
    <xf numFmtId="0" fontId="19" fillId="0" borderId="10" xfId="0" applyFont="1" applyBorder="1">
      <alignment horizontal="center" vertical="center" wrapText="1"/>
    </xf>
    <xf numFmtId="4" fontId="22" fillId="36" borderId="10" xfId="0" applyFont="1" applyFill="1" applyBorder="1" applyNumberFormat="1">
      <alignment horizontal="right" vertical="center"/>
    </xf>
    <xf numFmtId="0" fontId="19" fillId="0" borderId="10" xfId="0" applyFont="1" applyBorder="1">
      <alignment horizontal="left" vertical="center" wrapText="1" indent="1"/>
    </xf>
    <xf numFmtId="4" fontId="19" fillId="0" borderId="10" xfId="0" applyFont="1" applyBorder="1" applyNumberFormat="1">
      <alignment horizontal="right" vertical="center"/>
    </xf>
    <xf numFmtId="4" fontId="22" fillId="0" borderId="10" xfId="0" applyFont="1" applyBorder="1" applyNumberFormat="1">
      <alignment horizontal="right" vertical="center"/>
    </xf>
    <xf numFmtId="0" fontId="19" fillId="0" borderId="10" xfId="0" applyFont="1" applyBorder="1">
      <alignment horizontal="left" vertical="center" wrapText="1" indent="2"/>
    </xf>
    <xf numFmtId="0" fontId="19" fillId="0" borderId="10" xfId="0" applyFont="1" applyBorder="1">
      <alignment horizontal="center" vertical="center" wrapText="1"/>
    </xf>
    <xf numFmtId="4" fontId="19" fillId="36" borderId="10" xfId="0" applyFont="1" applyFill="1" applyBorder="1" applyNumberFormat="1">
      <alignment horizontal="right" vertical="center"/>
    </xf>
    <xf numFmtId="0" fontId="19" fillId="0" borderId="10" xfId="0" applyFont="1" applyBorder="1">
      <alignment horizontal="left" vertical="center" wrapText="1" indent="3"/>
    </xf>
    <xf numFmtId="0" fontId="19" fillId="35" borderId="10" xfId="0" applyFont="1" applyFill="1" applyBorder="1">
      <alignment horizontal="left" vertical="center" wrapText="1" indent="3"/>
    </xf>
    <xf numFmtId="4" fontId="22" fillId="36" borderId="10" xfId="0" applyFont="1" applyFill="1" applyBorder="1" applyNumberFormat="1">
      <alignment horizontal="right" vertical="center"/>
    </xf>
    <xf numFmtId="0" fontId="19" fillId="35" borderId="10" xfId="0" applyFont="1" applyFill="1" applyBorder="1">
      <alignment horizontal="center" vertical="center"/>
    </xf>
    <xf numFmtId="4" fontId="19" fillId="34" borderId="10" xfId="0" applyFont="1" applyFill="1" applyBorder="1" applyNumberFormat="1">
      <alignment horizontal="right" vertical="center"/>
      <protection locked="0"/>
    </xf>
    <xf numFmtId="4" fontId="19" fillId="36" borderId="10" xfId="0" applyFont="1" applyFill="1" applyBorder="1" applyNumberFormat="1">
      <alignment horizontal="right" vertical="center"/>
    </xf>
    <xf numFmtId="49" fontId="19" fillId="34" borderId="11" xfId="0" applyFont="1" applyFill="1" applyBorder="1" applyNumberFormat="1">
      <alignment horizontal="left" vertical="center" wrapText="1"/>
      <protection locked="0"/>
    </xf>
    <xf numFmtId="49" fontId="22" fillId="41" borderId="30"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4" fontId="22" fillId="36" borderId="10" xfId="0" applyFont="1" applyFill="1" applyBorder="1" applyNumberFormat="1">
      <alignment horizontal="right" vertical="center"/>
    </xf>
    <xf numFmtId="0" fontId="19" fillId="35" borderId="10" xfId="0" applyFont="1" applyFill="1" applyBorder="1">
      <alignment horizontal="center" vertical="center" wrapText="1"/>
    </xf>
    <xf numFmtId="0" fontId="19" fillId="35" borderId="10" xfId="0" applyFont="1" applyFill="1" applyBorder="1">
      <alignment horizontal="left" vertical="center" wrapText="1" indent="2"/>
    </xf>
    <xf numFmtId="0" fontId="19" fillId="35" borderId="10" xfId="0" applyFont="1" applyFill="1" applyBorder="1">
      <alignment horizontal="left" vertical="center" wrapText="1" indent="2"/>
    </xf>
    <xf numFmtId="0" fontId="19" fillId="35" borderId="10" xfId="0" applyFont="1" applyFill="1" applyBorder="1">
      <alignment horizontal="left" vertical="center" wrapText="1" indent="1"/>
    </xf>
    <xf numFmtId="4" fontId="19" fillId="36" borderId="10" xfId="0" applyFont="1" applyFill="1" applyBorder="1" applyNumberFormat="1">
      <alignment horizontal="right" vertical="center"/>
    </xf>
    <xf numFmtId="49" fontId="19" fillId="35" borderId="10" xfId="0" applyFont="1" applyFill="1" applyBorder="1" applyNumberFormat="1">
      <alignment horizontal="center" vertical="center"/>
    </xf>
    <xf numFmtId="172" fontId="22" fillId="36" borderId="10" xfId="0" applyFont="1" applyFill="1" applyBorder="1" applyNumberFormat="1">
      <alignment horizontal="right" vertical="center"/>
    </xf>
    <xf numFmtId="172" fontId="22" fillId="36" borderId="10" xfId="0" applyFont="1" applyFill="1" applyBorder="1" applyNumberFormat="1">
      <alignment horizontal="right" vertical="center"/>
    </xf>
    <xf numFmtId="4" fontId="19" fillId="36" borderId="10" xfId="0" applyFont="1" applyFill="1" applyBorder="1" applyNumberFormat="1">
      <alignment horizontal="right" vertical="center"/>
    </xf>
    <xf numFmtId="4" fontId="22" fillId="36" borderId="10" xfId="0" applyFont="1" applyFill="1" applyBorder="1" applyNumberFormat="1">
      <alignment horizontal="right" vertical="center"/>
    </xf>
    <xf numFmtId="49" fontId="22" fillId="41" borderId="30" xfId="0" applyFont="1" applyFill="1" applyBorder="1" applyNumberFormat="1">
      <alignment vertical="center"/>
    </xf>
    <xf numFmtId="0" fontId="19" fillId="41" borderId="18" xfId="0" applyFont="1" applyFill="1" applyBorder="1">
      <alignment vertical="center" wrapText="1"/>
    </xf>
    <xf numFmtId="0" fontId="19" fillId="41" borderId="29" xfId="0" applyFont="1" applyFill="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0" fontId="22" fillId="0" borderId="10" xfId="0" applyFont="1" applyBorder="1">
      <alignment horizontal="center" vertical="center"/>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19" fillId="0" borderId="10" xfId="0" applyFont="1" applyBorder="1">
      <alignment horizontal="center" vertical="center"/>
    </xf>
    <xf numFmtId="0" fontId="19" fillId="0" borderId="10" xfId="0" applyFont="1" applyBorder="1">
      <alignment horizontal="left" vertical="center" wrapText="1" indent="2"/>
    </xf>
    <xf numFmtId="49" fontId="22" fillId="0" borderId="10" xfId="0" applyFont="1" applyBorder="1" applyNumberFormat="1">
      <alignment horizontal="center" vertical="center" wrapText="1"/>
    </xf>
    <xf numFmtId="0" fontId="22" fillId="0" borderId="10" xfId="0" applyFont="1" applyBorder="1">
      <alignment horizontal="left" vertical="center" wrapText="1"/>
    </xf>
    <xf numFmtId="4" fontId="22" fillId="36" borderId="10" xfId="0" applyFont="1" applyFill="1" applyBorder="1" applyNumberFormat="1">
      <alignment horizontal="right" vertical="center"/>
    </xf>
    <xf numFmtId="4" fontId="19" fillId="36" borderId="10" xfId="0" applyFont="1" applyFill="1" applyBorder="1" applyNumberFormat="1">
      <alignment horizontal="right" vertical="center"/>
    </xf>
    <xf numFmtId="49" fontId="19" fillId="34" borderId="11" xfId="0" applyFont="1" applyFill="1" applyBorder="1" applyNumberFormat="1">
      <alignment horizontal="left" vertical="center" wrapText="1"/>
      <protection locked="0"/>
    </xf>
    <xf numFmtId="49" fontId="22" fillId="0" borderId="10" xfId="0" applyFont="1" applyBorder="1" applyNumberFormat="1">
      <alignment horizontal="center" vertical="center"/>
    </xf>
    <xf numFmtId="0" fontId="22" fillId="0" borderId="10" xfId="0" applyFont="1" applyBorder="1">
      <alignment horizontal="left" vertical="center" wrapText="1" indent="1"/>
    </xf>
    <xf numFmtId="49" fontId="22" fillId="34" borderId="11" xfId="0" applyFont="1" applyFill="1" applyBorder="1" applyNumberFormat="1">
      <alignment horizontal="left" vertical="center" wrapText="1"/>
      <protection locked="0"/>
    </xf>
    <xf numFmtId="49" fontId="19" fillId="0" borderId="10" xfId="0" applyFont="1" applyBorder="1" applyNumberFormat="1">
      <alignment horizontal="center" vertical="center"/>
    </xf>
    <xf numFmtId="0" fontId="19" fillId="0" borderId="10" xfId="0" applyFont="1" applyBorder="1">
      <alignment horizontal="left" vertical="center" wrapText="1" indent="2"/>
    </xf>
    <xf numFmtId="4" fontId="19" fillId="34" borderId="10" xfId="0"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9" fontId="19" fillId="34" borderId="11" xfId="0" applyFont="1" applyFill="1" applyBorder="1" applyNumberFormat="1">
      <alignment horizontal="left" vertical="center" wrapText="1"/>
      <protection locked="0"/>
    </xf>
    <xf numFmtId="0" fontId="22" fillId="0" borderId="10" xfId="0" applyFont="1" applyBorder="1">
      <alignment horizontal="center" vertical="center"/>
    </xf>
    <xf numFmtId="0" fontId="19" fillId="0" borderId="10" xfId="0" applyFont="1" applyBorder="1">
      <alignment horizontal="left" vertical="center" wrapText="1" indent="1"/>
    </xf>
    <xf numFmtId="0" fontId="19" fillId="0" borderId="10" xfId="0" applyFont="1" applyBorder="1">
      <alignment horizontal="center" vertical="center"/>
    </xf>
    <xf numFmtId="4" fontId="19" fillId="36" borderId="10" xfId="0" applyFont="1" applyFill="1" applyBorder="1" applyNumberFormat="1">
      <alignment horizontal="right" vertical="center"/>
    </xf>
    <xf numFmtId="0" fontId="19" fillId="0" borderId="10" xfId="0" applyFont="1" applyBorder="1">
      <alignment horizontal="left" vertical="center" wrapText="1"/>
    </xf>
    <xf numFmtId="4" fontId="19" fillId="0" borderId="10" xfId="0" applyFont="1" applyBorder="1" applyNumberFormat="1">
      <alignment horizontal="right" vertical="center"/>
    </xf>
    <xf numFmtId="0" fontId="19" fillId="0" borderId="10" xfId="0" applyFont="1" applyBorder="1">
      <alignment vertical="center" wrapText="1"/>
    </xf>
    <xf numFmtId="0" fontId="19" fillId="35" borderId="10" xfId="0" applyFont="1" applyFill="1" applyBorder="1">
      <alignment horizontal="left" vertical="center" wrapText="1" indent="1"/>
    </xf>
    <xf numFmtId="49" fontId="19" fillId="35" borderId="10" xfId="0" applyFont="1" applyFill="1" applyBorder="1" applyNumberFormat="1">
      <alignment horizontal="center" vertical="center"/>
    </xf>
    <xf numFmtId="0" fontId="19" fillId="35" borderId="10" xfId="0" applyFont="1" applyFill="1" applyBorder="1">
      <alignment vertical="center" wrapText="1"/>
    </xf>
    <xf numFmtId="172" fontId="22" fillId="36" borderId="10" xfId="0" applyFont="1" applyFill="1" applyBorder="1" applyNumberFormat="1">
      <alignment horizontal="right" vertical="center"/>
    </xf>
    <xf numFmtId="4" fontId="22" fillId="0" borderId="10" xfId="0" applyFont="1" applyBorder="1" applyNumberFormat="1">
      <alignment horizontal="right" vertical="center"/>
    </xf>
    <xf numFmtId="172" fontId="19" fillId="34" borderId="10" xfId="0" applyFont="1" applyFill="1" applyBorder="1" applyNumberFormat="1">
      <alignment horizontal="right" vertical="center"/>
      <protection locked="0"/>
    </xf>
    <xf numFmtId="172" fontId="19" fillId="36" borderId="10" xfId="0" applyFont="1" applyFill="1" applyBorder="1" applyNumberFormat="1">
      <alignment horizontal="right" vertical="center"/>
    </xf>
    <xf numFmtId="0" fontId="26" fillId="43" borderId="0" xfId="0" applyFont="1" applyFill="1">
      <alignment vertical="center"/>
    </xf>
    <xf numFmtId="49" fontId="19" fillId="0" borderId="0" xfId="0" applyFont="1" applyNumberFormat="1">
      <alignment horizontal="center" vertical="top"/>
    </xf>
    <xf numFmtId="0" fontId="19" fillId="0" borderId="0" xfId="0" applyFont="1">
      <alignment vertical="top" wrapText="1"/>
    </xf>
    <xf numFmtId="0" fontId="19" fillId="0" borderId="0" xfId="0" applyFont="1">
      <alignment vertical="top" wrapText="1"/>
    </xf>
    <xf numFmtId="0" fontId="19" fillId="0" borderId="40" xfId="0" applyFont="1" applyBorder="1">
      <alignment horizontal="center" vertical="center" wrapText="1"/>
    </xf>
    <xf numFmtId="0" fontId="19" fillId="0" borderId="22" xfId="0" applyFont="1" applyBorder="1">
      <alignment horizontal="center" vertical="center" wrapText="1"/>
    </xf>
    <xf numFmtId="0" fontId="19" fillId="40" borderId="32" xfId="0" applyFont="1" applyFill="1" applyBorder="1">
      <alignment horizontal="left" vertical="center"/>
    </xf>
    <xf numFmtId="0" fontId="19" fillId="0" borderId="33" xfId="0" applyFont="1" applyBorder="1">
      <alignment horizontal="center" vertical="center" wrapText="1"/>
    </xf>
    <xf numFmtId="4" fontId="19" fillId="34" borderId="22" xfId="0" applyFont="1" applyFill="1" applyBorder="1" applyNumberFormat="1">
      <alignment horizontal="right" vertical="center"/>
      <protection locked="0"/>
    </xf>
    <xf numFmtId="172" fontId="19" fillId="34" borderId="22" xfId="0" applyFont="1" applyFill="1" applyBorder="1" applyNumberFormat="1">
      <alignment horizontal="right" vertical="center"/>
      <protection locked="0"/>
    </xf>
    <xf numFmtId="0" fontId="19" fillId="0" borderId="0" xfId="0" applyFont="1">
      <alignment horizontal="left" vertical="center"/>
    </xf>
    <xf numFmtId="0" fontId="19" fillId="43" borderId="0" xfId="0" applyFont="1" applyFill="1">
      <alignment vertical="center"/>
    </xf>
    <xf numFmtId="0" fontId="19" fillId="0" borderId="0" xfId="0" applyFont="1">
      <alignment horizontal="center"/>
    </xf>
    <xf numFmtId="0" fontId="19" fillId="0" borderId="0" xfId="0" applyFont="1">
      <alignment horizontal="center" vertical="center"/>
    </xf>
    <xf numFmtId="0" fontId="19" fillId="43" borderId="0" xfId="0" applyFont="1" applyFill="1">
      <alignment vertical="center"/>
    </xf>
    <xf numFmtId="0" fontId="22" fillId="35" borderId="10" xfId="0" applyFont="1" applyFill="1" applyBorder="1">
      <alignment horizontal="center" vertical="center"/>
    </xf>
    <xf numFmtId="0" fontId="22" fillId="35" borderId="10" xfId="0" applyFont="1" applyFill="1" applyBorder="1">
      <alignment horizontal="left" vertical="center" wrapText="1"/>
    </xf>
    <xf numFmtId="0" fontId="22" fillId="35" borderId="10" xfId="0" applyFont="1" applyFill="1" applyBorder="1">
      <alignment horizontal="center" vertical="center" wrapText="1"/>
    </xf>
    <xf numFmtId="4" fontId="22" fillId="36" borderId="10" xfId="0" applyFont="1" applyFill="1" applyBorder="1" applyNumberFormat="1">
      <alignment horizontal="right" vertical="center" wrapText="1"/>
    </xf>
    <xf numFmtId="49" fontId="22" fillId="34" borderId="10" xfId="0" applyFont="1" applyFill="1" applyBorder="1" applyNumberFormat="1">
      <alignment horizontal="left" vertical="center" wrapText="1"/>
      <protection locked="0"/>
    </xf>
    <xf numFmtId="49" fontId="19" fillId="34" borderId="10" xfId="0" applyFont="1" applyFill="1" applyBorder="1" applyNumberFormat="1">
      <alignment horizontal="left" vertical="center" wrapText="1"/>
      <protection locked="0"/>
    </xf>
    <xf numFmtId="0" fontId="19" fillId="0" borderId="10" xfId="0" applyFont="1" applyBorder="1">
      <alignment vertical="center" wrapText="1"/>
    </xf>
    <xf numFmtId="0" fontId="68" fillId="0" borderId="0" xfId="0" applyFont="1"/>
    <xf numFmtId="0" fontId="19" fillId="0" borderId="0" xfId="0" applyFont="1">
      <alignment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19" fillId="0" borderId="10" xfId="0" applyFont="1" applyBorder="1" applyNumberFormat="1">
      <alignment horizontal="left" vertical="center" wrapText="1"/>
    </xf>
    <xf numFmtId="172" fontId="19" fillId="36" borderId="10" xfId="0" applyFont="1" applyFill="1" applyBorder="1" applyNumberFormat="1">
      <alignment horizontal="right" vertical="center" wrapText="1"/>
    </xf>
    <xf numFmtId="172" fontId="19" fillId="34" borderId="10" xfId="0" applyFont="1" applyFill="1" applyBorder="1" applyNumberFormat="1">
      <alignment horizontal="right" vertical="center" wrapText="1"/>
      <protection locked="0"/>
    </xf>
    <xf numFmtId="0" fontId="26" fillId="0" borderId="0" xfId="0" applyFont="1">
      <alignment vertical="center" wrapText="1"/>
    </xf>
    <xf numFmtId="0" fontId="26" fillId="43" borderId="0" xfId="0" applyFont="1" applyFill="1">
      <alignment vertical="center" wrapText="1"/>
    </xf>
    <xf numFmtId="0" fontId="23" fillId="0" borderId="0" xfId="0" applyFont="1">
      <alignment horizontal="left" vertical="center"/>
    </xf>
    <xf numFmtId="0" fontId="26" fillId="0" borderId="0" xfId="0" applyFont="1">
      <alignment horizontal="center" vertical="center" wrapText="1"/>
    </xf>
    <xf numFmtId="0" fontId="26" fillId="43" borderId="0" xfId="0" applyFont="1" applyFill="1">
      <alignment horizontal="center" vertical="center" wrapText="1"/>
    </xf>
    <xf numFmtId="0" fontId="19" fillId="19" borderId="0" xfId="0" applyFont="1" applyFill="1"/>
    <xf numFmtId="0" fontId="22" fillId="0" borderId="0" xfId="0" applyFont="1" quotePrefix="1">
      <alignment horizontal="left" vertical="center" wrapText="1" indent="4"/>
    </xf>
    <xf numFmtId="49" fontId="22" fillId="0" borderId="0" xfId="0" applyFont="1" applyNumberFormat="1">
      <alignment horizontal="left" vertical="center" wrapText="1" indent="4"/>
    </xf>
    <xf numFmtId="0" fontId="19" fillId="43" borderId="0" xfId="0" applyFont="1" applyFill="1">
      <alignment vertical="center" wrapText="1"/>
    </xf>
    <xf numFmtId="0" fontId="19" fillId="0" borderId="11" xfId="0" applyFont="1" applyBorder="1">
      <alignment horizontal="center" vertical="center" wrapText="1"/>
    </xf>
    <xf numFmtId="0" fontId="19" fillId="0" borderId="37" xfId="0" applyFont="1" applyBorder="1">
      <alignment horizontal="center" vertical="center" wrapText="1"/>
    </xf>
    <xf numFmtId="0" fontId="19" fillId="43" borderId="0" xfId="0" applyFont="1" applyFill="1">
      <alignment vertical="top"/>
    </xf>
    <xf numFmtId="0" fontId="19" fillId="0" borderId="0" xfId="0" applyFont="1">
      <alignment horizontal="center" vertical="center" wrapText="1"/>
    </xf>
    <xf numFmtId="0" fontId="19" fillId="43" borderId="0" xfId="0" applyFont="1" applyFill="1">
      <alignment horizontal="center" vertical="center" wrapText="1"/>
    </xf>
    <xf numFmtId="0" fontId="19" fillId="40" borderId="18" xfId="0" applyFont="1" applyFill="1" applyBorder="1">
      <alignment horizontal="left" vertical="center"/>
    </xf>
    <xf numFmtId="4" fontId="22" fillId="40" borderId="18" xfId="0" applyFont="1" applyFill="1" applyBorder="1" applyNumberFormat="1">
      <alignment horizontal="right" vertical="center"/>
    </xf>
    <xf numFmtId="0" fontId="19" fillId="0" borderId="10" xfId="0" applyFont="1" applyBorder="1">
      <alignment horizontal="center" vertical="center" wrapText="1"/>
      <protection locked="0"/>
    </xf>
    <xf numFmtId="0" fontId="19" fillId="0" borderId="0" xfId="0" applyFont="1">
      <alignment horizontal="center" vertical="center"/>
    </xf>
    <xf numFmtId="0" fontId="19" fillId="0" borderId="0" xfId="0" applyFont="1">
      <alignment horizontal="center" vertical="top" wrapText="1"/>
    </xf>
    <xf numFmtId="0" fontId="22" fillId="41" borderId="30" xfId="0" applyFont="1" applyFill="1" applyBorder="1">
      <alignment horizontal="left" vertical="center" wrapText="1" indent="1"/>
    </xf>
    <xf numFmtId="0" fontId="19" fillId="0" borderId="0" xfId="0" applyFont="1">
      <alignment horizontal="center" vertical="center" wrapText="1"/>
    </xf>
    <xf numFmtId="0" fontId="19" fillId="43" borderId="0" xfId="0" applyFont="1" applyFill="1">
      <alignment horizontal="center" vertical="center" wrapText="1"/>
    </xf>
    <xf numFmtId="0" fontId="19" fillId="42" borderId="10" xfId="0" applyFont="1" applyFill="1" applyBorder="1">
      <alignment horizontal="left" vertical="center" wrapText="1" indent="1"/>
      <protection locked="0"/>
    </xf>
    <xf numFmtId="0" fontId="19" fillId="0" borderId="10" xfId="0" applyFont="1" applyBorder="1">
      <alignment horizontal="center" vertical="center" wrapText="1"/>
    </xf>
    <xf numFmtId="0" fontId="19" fillId="0" borderId="10" xfId="0" applyFont="1" applyBorder="1">
      <alignment horizontal="center" vertical="center" wrapText="1"/>
      <protection locked="0"/>
    </xf>
    <xf numFmtId="4" fontId="19" fillId="34" borderId="10" xfId="0" applyFont="1" applyFill="1" applyBorder="1" applyNumberFormat="1">
      <alignment horizontal="right" vertical="center"/>
      <protection locked="0"/>
    </xf>
    <xf numFmtId="49" fontId="19" fillId="34" borderId="10" xfId="0" applyFont="1" applyFill="1" applyBorder="1" applyNumberFormat="1">
      <alignment horizontal="left" vertical="center" wrapText="1"/>
      <protection locked="0"/>
    </xf>
    <xf numFmtId="0" fontId="19" fillId="33" borderId="10" xfId="0" applyFont="1" applyFill="1" applyBorder="1">
      <alignment horizontal="center" vertical="center" wrapText="1"/>
    </xf>
    <xf numFmtId="0" fontId="19" fillId="0" borderId="10" xfId="0" applyFont="1" applyBorder="1">
      <alignment horizontal="left" vertical="center" wrapText="1" indent="2"/>
    </xf>
    <xf numFmtId="4" fontId="19" fillId="34" borderId="10" xfId="0" applyFont="1" applyFill="1" applyBorder="1" applyNumberFormat="1">
      <alignment horizontal="right" vertical="center" wrapText="1"/>
      <protection locked="0"/>
    </xf>
    <xf numFmtId="0" fontId="23" fillId="0" borderId="0" xfId="0" applyFont="1"/>
    <xf numFmtId="0" fontId="19" fillId="0" borderId="10" xfId="0" applyFont="1" applyBorder="1">
      <alignment horizontal="center" vertical="center"/>
    </xf>
    <xf numFmtId="0" fontId="19" fillId="0" borderId="0" xfId="0" applyFont="1"/>
    <xf numFmtId="0" fontId="19" fillId="43" borderId="0" xfId="0" applyFont="1" applyFill="1"/>
    <xf numFmtId="0" fontId="19" fillId="0" borderId="10" xfId="0" applyFont="1" applyBorder="1">
      <alignment horizontal="center"/>
    </xf>
    <xf numFmtId="49" fontId="19" fillId="42" borderId="10" xfId="0" applyFont="1" applyFill="1" applyBorder="1" applyNumberFormat="1">
      <alignment horizontal="left" vertical="center" wrapText="1" indent="1"/>
      <protection locked="0"/>
    </xf>
    <xf numFmtId="0" fontId="19" fillId="0" borderId="0" xfId="0" applyFont="1">
      <alignment horizontal="center"/>
    </xf>
    <xf numFmtId="4" fontId="21" fillId="36" borderId="10" xfId="0" applyFont="1" applyFill="1" applyBorder="1" applyNumberFormat="1">
      <alignment horizontal="right" vertical="center" wrapText="1"/>
    </xf>
    <xf numFmtId="0" fontId="22" fillId="36" borderId="37" xfId="0" applyFont="1" applyFill="1" applyBorder="1">
      <alignment horizontal="left" vertical="center" indent="1"/>
    </xf>
    <xf numFmtId="0" fontId="19" fillId="43" borderId="37" xfId="0" applyFont="1" applyFill="1" applyBorder="1">
      <alignment horizontal="left" vertical="center" wrapText="1"/>
    </xf>
    <xf numFmtId="0" fontId="19" fillId="43" borderId="38" xfId="0" applyFont="1" applyFill="1" applyBorder="1">
      <alignment horizontal="center" vertical="center"/>
    </xf>
    <xf numFmtId="0" fontId="19" fillId="43" borderId="38" xfId="0" applyFont="1" applyFill="1" applyBorder="1">
      <alignment horizontal="left" vertical="center" indent="1"/>
    </xf>
    <xf numFmtId="0" fontId="22" fillId="0" borderId="0" xfId="0" applyFont="1">
      <alignment vertical="center"/>
    </xf>
    <xf numFmtId="0" fontId="22" fillId="43" borderId="0" xfId="0" applyFont="1" applyFill="1">
      <alignment vertical="center"/>
    </xf>
    <xf numFmtId="4" fontId="22" fillId="34" borderId="11" xfId="0" applyFont="1" applyFill="1" applyBorder="1" applyNumberFormat="1">
      <alignment horizontal="right" vertical="center"/>
      <protection locked="0"/>
    </xf>
    <xf numFmtId="0" fontId="19" fillId="0" borderId="11" xfId="0" applyFont="1" applyBorder="1">
      <alignment horizontal="left" vertical="center" wrapText="1"/>
    </xf>
    <xf numFmtId="49" fontId="19" fillId="42" borderId="11" xfId="0" applyFont="1" applyFill="1" applyBorder="1" applyNumberFormat="1">
      <alignment horizontal="left" vertical="center" wrapText="1"/>
      <protection locked="0"/>
    </xf>
    <xf numFmtId="4" fontId="19" fillId="34" borderId="11" xfId="0" applyFont="1" applyFill="1" applyBorder="1" applyNumberFormat="1">
      <alignment horizontal="right" vertical="center"/>
      <protection locked="0"/>
    </xf>
    <xf numFmtId="0" fontId="19" fillId="0" borderId="38" xfId="0" applyFont="1" applyBorder="1">
      <alignment horizontal="center" vertical="center"/>
    </xf>
    <xf numFmtId="0" fontId="19" fillId="0" borderId="11" xfId="0" applyFont="1" applyBorder="1">
      <alignment horizontal="left" vertical="center" wrapText="1" indent="1"/>
    </xf>
    <xf numFmtId="0" fontId="22" fillId="0" borderId="0" xfId="0" applyFont="1">
      <alignment horizontal="center" vertical="center"/>
    </xf>
    <xf numFmtId="0" fontId="19" fillId="42" borderId="11" xfId="0" applyFont="1" applyFill="1" applyBorder="1">
      <alignment horizontal="left" vertical="center" wrapText="1"/>
      <protection locked="0"/>
    </xf>
    <xf numFmtId="0" fontId="19" fillId="43" borderId="23" xfId="0" applyFont="1" applyFill="1" applyBorder="1">
      <alignment horizontal="left" vertical="center" indent="1"/>
    </xf>
    <xf numFmtId="0" fontId="29" fillId="43" borderId="0" xfId="0" applyFont="1" applyFill="1">
      <alignment horizontal="left" vertical="center"/>
    </xf>
    <xf numFmtId="14" fontId="64" fillId="0" borderId="0" xfId="0" applyFont="1" applyNumberFormat="1">
      <alignment vertical="center"/>
    </xf>
    <xf numFmtId="0" fontId="19" fillId="34" borderId="11" xfId="0" applyFont="1" applyFill="1" applyBorder="1">
      <alignment horizontal="left" vertical="center" wrapText="1"/>
      <protection locked="0"/>
    </xf>
    <xf numFmtId="0" fontId="64" fillId="0" borderId="0" xfId="0" applyFont="1"/>
    <xf numFmtId="0" fontId="64" fillId="0" borderId="0" xfId="0" applyFont="1">
      <alignment horizontal="center"/>
    </xf>
    <xf numFmtId="0" fontId="64" fillId="43" borderId="0" xfId="0" applyFont="1" applyFill="1"/>
    <xf numFmtId="0" fontId="29" fillId="0" borderId="0" xfId="0" applyFont="1">
      <alignment vertical="top"/>
    </xf>
    <xf numFmtId="49" fontId="64" fillId="0" borderId="0" xfId="0" applyFont="1" applyNumberFormat="1"/>
    <xf numFmtId="0" fontId="29" fillId="0" borderId="0" xfId="0" applyFont="1">
      <alignment horizontal="center" vertical="center" wrapText="1"/>
    </xf>
    <xf numFmtId="49" fontId="29" fillId="0" borderId="0" xfId="0" applyFont="1" applyNumberFormat="1">
      <alignment horizontal="center" vertical="center" wrapText="1"/>
    </xf>
    <xf numFmtId="0" fontId="19" fillId="34" borderId="10" xfId="0" applyFont="1" applyFill="1" applyBorder="1">
      <alignment horizontal="left" vertical="center" wrapText="1"/>
      <protection locked="0"/>
    </xf>
    <xf numFmtId="49" fontId="29" fillId="0" borderId="0" xfId="0" applyFont="1" applyNumberFormat="1"/>
    <xf numFmtId="4" fontId="22" fillId="0" borderId="10" xfId="0" applyFont="1" applyBorder="1" applyNumberFormat="1">
      <alignment horizontal="right" vertical="center"/>
      <protection locked="0"/>
    </xf>
    <xf numFmtId="4" fontId="19" fillId="42" borderId="22" xfId="0" applyFont="1" applyFill="1" applyBorder="1" applyNumberFormat="1">
      <alignment horizontal="right" vertical="center"/>
      <protection locked="0"/>
    </xf>
    <xf numFmtId="0" fontId="64" fillId="0" borderId="0" xfId="0" applyFont="1">
      <alignment horizontal="left" vertical="center"/>
    </xf>
    <xf numFmtId="0" fontId="19" fillId="0" borderId="0" xfId="0" applyFont="1">
      <alignment horizontal="left"/>
    </xf>
    <xf numFmtId="49" fontId="63" fillId="0" borderId="0" xfId="0" applyFont="1" applyNumberFormat="1"/>
    <xf numFmtId="0" fontId="19" fillId="25" borderId="0" xfId="0" applyFont="1" applyFill="1">
      <alignment horizontal="center" vertical="center"/>
    </xf>
    <xf numFmtId="0" fontId="19" fillId="0" borderId="0" xfId="0" applyFont="1">
      <alignment horizontal="center" vertical="top"/>
    </xf>
    <xf numFmtId="0" fontId="19" fillId="38" borderId="0" xfId="0" applyFont="1" applyFill="1">
      <alignment horizontal="center" vertical="center"/>
    </xf>
    <xf numFmtId="0" fontId="19" fillId="0" borderId="0" xfId="0" applyFont="1">
      <alignment vertical="center"/>
    </xf>
    <xf numFmtId="0" fontId="29" fillId="39" borderId="0" xfId="0" applyFont="1" applyFill="1">
      <alignment horizontal="left" vertical="top"/>
    </xf>
    <xf numFmtId="0" fontId="19" fillId="33" borderId="11" xfId="0" applyFont="1" applyFill="1" applyBorder="1">
      <alignment horizontal="center" vertical="center" wrapText="1"/>
    </xf>
    <xf numFmtId="0" fontId="19" fillId="0" borderId="10" xfId="0" applyFont="1" applyBorder="1">
      <alignment horizontal="left" indent="1"/>
    </xf>
    <xf numFmtId="0" fontId="19" fillId="0" borderId="53" xfId="0" applyFont="1" applyBorder="1">
      <alignment horizontal="center" vertical="center" wrapText="1"/>
    </xf>
    <xf numFmtId="0" fontId="19" fillId="0" borderId="30" xfId="0" applyFont="1" applyBorder="1">
      <alignment horizontal="center" vertical="center" wrapText="1"/>
    </xf>
    <xf numFmtId="4" fontId="19" fillId="36" borderId="10" xfId="0" applyFont="1" applyFill="1" applyBorder="1" applyNumberFormat="1">
      <alignment horizontal="right" vertical="center" wrapText="1"/>
    </xf>
    <xf numFmtId="0" fontId="19" fillId="0" borderId="10" xfId="0" applyFont="1" applyBorder="1">
      <alignment horizontal="right" vertical="center" wrapText="1"/>
    </xf>
    <xf numFmtId="0" fontId="19" fillId="0" borderId="10" xfId="0" applyFont="1" applyBorder="1" quotePrefix="1">
      <alignment horizontal="left" vertical="center" wrapText="1" indent="1"/>
    </xf>
    <xf numFmtId="4" fontId="22" fillId="36" borderId="10" xfId="0" applyFont="1" applyFill="1" applyBorder="1" applyNumberFormat="1">
      <alignment horizontal="right" vertical="center" wrapText="1"/>
    </xf>
    <xf numFmtId="49" fontId="38" fillId="41" borderId="36" xfId="0" applyFont="1" applyFill="1" applyBorder="1" applyNumberFormat="1">
      <alignment horizontal="left" vertical="center" wrapText="1" indent="1"/>
    </xf>
    <xf numFmtId="0" fontId="19" fillId="34" borderId="22" xfId="0" applyFont="1" applyFill="1" applyBorder="1">
      <alignment horizontal="left" vertical="center" wrapText="1" indent="1"/>
      <protection locked="0"/>
    </xf>
    <xf numFmtId="174" fontId="21" fillId="42" borderId="11" xfId="0" applyFont="1" applyFill="1" applyBorder="1" applyNumberFormat="1">
      <alignment horizontal="left" vertical="center" wrapText="1" indent="1"/>
    </xf>
    <xf numFmtId="174" fontId="19" fillId="42" borderId="10" xfId="0" applyFont="1" applyFill="1" applyBorder="1" applyNumberFormat="1">
      <alignment horizontal="left" vertical="center" wrapText="1" indent="1"/>
      <protection locked="0"/>
    </xf>
    <xf numFmtId="172" fontId="19" fillId="36" borderId="10" xfId="0" applyFont="1" applyFill="1" applyBorder="1" applyNumberFormat="1">
      <alignment horizontal="right" vertical="center"/>
    </xf>
    <xf numFmtId="4" fontId="19" fillId="0" borderId="10" xfId="0" applyFont="1" applyBorder="1" applyNumberFormat="1">
      <alignment horizontal="right" vertical="center"/>
    </xf>
    <xf numFmtId="4" fontId="19" fillId="36" borderId="10" xfId="0" applyFont="1" applyFill="1" applyBorder="1" applyNumberFormat="1">
      <alignment horizontal="right" vertical="center"/>
    </xf>
    <xf numFmtId="4" fontId="19" fillId="36" borderId="10" xfId="0" applyFont="1" applyFill="1" applyBorder="1" applyNumberFormat="1">
      <alignment horizontal="right" vertical="center"/>
    </xf>
    <xf numFmtId="4" fontId="19" fillId="0" borderId="10" xfId="0" applyFont="1" applyBorder="1" applyNumberFormat="1">
      <alignment horizontal="right" vertical="center"/>
    </xf>
    <xf numFmtId="172" fontId="19" fillId="36" borderId="10" xfId="0" applyFont="1" applyFill="1" applyBorder="1" applyNumberFormat="1">
      <alignment horizontal="right" vertical="center"/>
    </xf>
    <xf numFmtId="49" fontId="21" fillId="34" borderId="11" xfId="0" applyFont="1" applyFill="1" applyBorder="1" applyNumberFormat="1">
      <alignment horizontal="right" vertical="center"/>
      <protection locked="0"/>
    </xf>
    <xf numFmtId="0" fontId="19" fillId="0" borderId="0" xfId="0" applyFont="1">
      <alignment horizontal="left" vertical="center" wrapText="1"/>
    </xf>
    <xf numFmtId="0" fontId="21" fillId="0" borderId="0" xfId="0" applyFont="1">
      <alignment horizontal="right" vertical="center"/>
    </xf>
    <xf numFmtId="172" fontId="21" fillId="0" borderId="0" xfId="0" applyFont="1" applyNumberFormat="1">
      <alignment horizontal="right" vertical="center"/>
    </xf>
    <xf numFmtId="49" fontId="21" fillId="0" borderId="0" xfId="0" applyFont="1" applyNumberFormat="1">
      <alignment horizontal="left" vertical="center" wrapText="1"/>
    </xf>
    <xf numFmtId="0" fontId="19" fillId="42" borderId="10" xfId="0" applyFont="1" applyFill="1" applyBorder="1">
      <alignment horizontal="left" vertical="center" wrapText="1" indent="1"/>
      <protection locked="0"/>
    </xf>
    <xf numFmtId="0" fontId="19" fillId="42" borderId="46" xfId="0" applyFont="1" applyFill="1" applyBorder="1">
      <alignment horizontal="left" vertical="center" wrapText="1" indent="1"/>
      <protection locked="0"/>
    </xf>
    <xf numFmtId="0" fontId="23" fillId="0" borderId="0" xfId="0" applyFont="1">
      <alignment vertical="center"/>
    </xf>
    <xf numFmtId="0" fontId="1" fillId="0" borderId="0" xfId="0" applyFont="1">
      <alignment vertical="center"/>
    </xf>
    <xf numFmtId="0" fontId="29" fillId="0" borderId="0" xfId="0" applyFont="1">
      <alignment horizontal="center" vertical="center"/>
    </xf>
    <xf numFmtId="0" fontId="49" fillId="0" borderId="0" xfId="0" applyFont="1">
      <alignment horizontal="left" vertical="top"/>
    </xf>
    <xf numFmtId="49" fontId="19" fillId="0" borderId="54" xfId="0" applyFont="1" applyBorder="1" applyNumberFormat="1">
      <alignment vertical="top"/>
    </xf>
    <xf numFmtId="0" fontId="24" fillId="0" borderId="0" xfId="0" applyFont="1">
      <alignment vertical="center" wrapText="1"/>
    </xf>
    <xf numFmtId="0" fontId="19" fillId="0" borderId="0" xfId="0" applyFont="1">
      <alignment vertical="top"/>
    </xf>
    <xf numFmtId="0" fontId="0" fillId="25" borderId="0" xfId="0" applyFont="1" applyFill="1">
      <alignment horizontal="center" vertical="center" wrapText="1"/>
    </xf>
    <xf numFmtId="0" fontId="19" fillId="43" borderId="0" xfId="0" applyFont="1" applyFill="1">
      <alignment horizontal="left" vertical="center"/>
    </xf>
    <xf numFmtId="0" fontId="19" fillId="43" borderId="0" xfId="0" applyFont="1" applyFill="1">
      <alignment vertical="center" wrapText="1"/>
    </xf>
    <xf numFmtId="0" fontId="24" fillId="43" borderId="0" xfId="0" applyFont="1" applyFill="1">
      <alignment vertical="center" wrapText="1"/>
    </xf>
    <xf numFmtId="0" fontId="19" fillId="43" borderId="0" xfId="0" applyFont="1" applyFill="1">
      <alignment vertical="top"/>
    </xf>
    <xf numFmtId="0" fontId="69" fillId="0" borderId="0" xfId="0" applyFont="1">
      <alignment vertical="center" wrapText="1"/>
    </xf>
    <xf numFmtId="0" fontId="22" fillId="0" borderId="0" xfId="0" applyFont="1">
      <alignment vertical="center" wrapText="1"/>
    </xf>
    <xf numFmtId="0" fontId="70" fillId="0" borderId="0" xfId="0" applyFont="1">
      <alignment vertical="center" wrapText="1"/>
    </xf>
    <xf numFmtId="0" fontId="71" fillId="0" borderId="0" xfId="0" applyFont="1">
      <alignment horizontal="center" vertical="top" wrapText="1"/>
    </xf>
    <xf numFmtId="0" fontId="19" fillId="35" borderId="0" xfId="0" applyFont="1" applyFill="1">
      <alignment vertical="top"/>
    </xf>
    <xf numFmtId="0" fontId="1" fillId="0" borderId="0" xfId="0" applyFont="1"/>
    <xf numFmtId="172" fontId="19" fillId="34" borderId="33" xfId="0" applyFont="1" applyFill="1" applyBorder="1" applyNumberFormat="1">
      <alignment horizontal="right" vertical="center"/>
      <protection locked="0"/>
    </xf>
    <xf numFmtId="172" fontId="21" fillId="34" borderId="33" xfId="0" applyFont="1" applyFill="1" applyBorder="1" applyNumberFormat="1">
      <alignment horizontal="right" vertical="center"/>
      <protection locked="0"/>
    </xf>
    <xf numFmtId="49" fontId="21" fillId="0" borderId="11" xfId="0" applyFont="1" applyBorder="1" applyNumberFormat="1">
      <alignment horizontal="left" vertical="center" wrapText="1"/>
    </xf>
    <xf numFmtId="0" fontId="49" fillId="19" borderId="0" xfId="0" applyFont="1" applyFill="1">
      <alignment horizontal="center" vertical="center"/>
    </xf>
    <xf numFmtId="0" fontId="34" fillId="0" borderId="0" xfId="0" applyFont="1">
      <alignment horizontal="left" vertical="center" wrapText="1" indent="4"/>
    </xf>
    <xf numFmtId="0" fontId="33" fillId="0" borderId="0" xfId="0" applyFont="1">
      <alignment vertical="center"/>
    </xf>
    <xf numFmtId="0" fontId="49" fillId="0" borderId="0" xfId="0" applyFont="1">
      <alignment horizontal="center" vertical="center"/>
    </xf>
    <xf numFmtId="0" fontId="33" fillId="43" borderId="0" xfId="0" applyFont="1" applyFill="1">
      <alignment vertical="center"/>
    </xf>
    <xf numFmtId="0" fontId="23" fillId="0" borderId="0" xfId="0" applyFont="1">
      <alignment vertical="center"/>
    </xf>
    <xf numFmtId="0" fontId="33" fillId="0" borderId="0" xfId="0" applyFont="1">
      <alignment vertical="center" wrapText="1"/>
    </xf>
    <xf numFmtId="0" fontId="19" fillId="0" borderId="0" xfId="0" applyFont="1"/>
    <xf numFmtId="0" fontId="26" fillId="0" borderId="0" xfId="0" applyFont="1">
      <alignment vertical="center" wrapText="1"/>
    </xf>
    <xf numFmtId="0" fontId="26" fillId="0" borderId="0" xfId="0" applyFont="1">
      <alignment horizontal="center" vertical="center" wrapText="1"/>
    </xf>
    <xf numFmtId="0" fontId="26" fillId="0" borderId="0" xfId="0" applyFont="1">
      <alignment vertical="center"/>
    </xf>
    <xf numFmtId="0" fontId="1" fillId="0" borderId="0" xfId="0" applyFont="1"/>
    <xf numFmtId="49" fontId="22" fillId="0" borderId="0" xfId="0" applyFont="1" applyNumberFormat="1">
      <alignment vertical="top"/>
    </xf>
    <xf numFmtId="0" fontId="19" fillId="4" borderId="0" xfId="0" applyFont="1" applyFill="1">
      <alignment horizontal="left" vertical="center"/>
    </xf>
    <xf numFmtId="0" fontId="19" fillId="4" borderId="0" xfId="0" applyFont="1" applyFill="1">
      <alignment horizontal="center" vertical="center"/>
    </xf>
    <xf numFmtId="0" fontId="19" fillId="43" borderId="0" xfId="0" applyFont="1" applyFill="1">
      <alignment horizontal="center" vertical="top"/>
    </xf>
    <xf numFmtId="0" fontId="19" fillId="0" borderId="0" xfId="0" applyFont="1">
      <alignment horizontal="right" vertical="center" wrapText="1"/>
    </xf>
    <xf numFmtId="0" fontId="19" fillId="4" borderId="0" xfId="0" applyFont="1" applyFill="1">
      <alignment horizontal="left" vertical="center" wrapText="1"/>
    </xf>
    <xf numFmtId="0" fontId="0" fillId="4" borderId="0" xfId="0" applyFont="1" applyFill="1">
      <alignment horizontal="center" vertical="center" wrapText="1"/>
    </xf>
    <xf numFmtId="0" fontId="19" fillId="4" borderId="0" xfId="0" applyFont="1" applyFill="1">
      <alignment vertical="center" wrapText="1"/>
    </xf>
    <xf numFmtId="0" fontId="19" fillId="4" borderId="0" xfId="0" applyFont="1" applyFill="1">
      <alignment horizontal="center" vertical="center" wrapText="1"/>
    </xf>
    <xf numFmtId="0" fontId="19" fillId="4" borderId="0" xfId="0" applyFont="1" applyFill="1">
      <alignment vertical="top"/>
    </xf>
    <xf numFmtId="0" fontId="21" fillId="4" borderId="0" xfId="0" applyFont="1" applyFill="1"/>
    <xf numFmtId="0" fontId="19" fillId="4" borderId="0" xfId="0" applyFont="1" applyFill="1">
      <alignment vertical="top"/>
    </xf>
    <xf numFmtId="0" fontId="24" fillId="4" borderId="0" xfId="0" applyFont="1" applyFill="1">
      <alignment vertical="top"/>
    </xf>
    <xf numFmtId="0" fontId="19" fillId="4" borderId="0" xfId="0" applyFont="1" applyFill="1"/>
    <xf numFmtId="0" fontId="19" fillId="4" borderId="0" xfId="0" applyFont="1" applyFill="1">
      <alignment vertical="top"/>
    </xf>
    <xf numFmtId="0" fontId="0" fillId="43" borderId="0" xfId="0" applyFont="1" applyFill="1">
      <alignment horizontal="center" vertical="center" wrapText="1"/>
    </xf>
    <xf numFmtId="49" fontId="19" fillId="4" borderId="0" xfId="0" applyFont="1" applyFill="1" applyNumberFormat="1">
      <alignment vertical="center" wrapText="1"/>
    </xf>
    <xf numFmtId="49" fontId="19" fillId="4" borderId="0" xfId="0" applyFont="1" applyFill="1" applyNumberFormat="1">
      <alignment vertical="top"/>
    </xf>
    <xf numFmtId="0" fontId="29" fillId="4" borderId="0" xfId="0" applyFont="1" applyFill="1"/>
    <xf numFmtId="49" fontId="19" fillId="4" borderId="0" xfId="0" applyFont="1" applyFill="1" applyNumberFormat="1">
      <alignment vertical="top"/>
    </xf>
    <xf numFmtId="49" fontId="24" fillId="43" borderId="0" xfId="0" applyFont="1" applyFill="1" applyNumberFormat="1">
      <alignment vertical="top"/>
    </xf>
    <xf numFmtId="49" fontId="29" fillId="4" borderId="0" xfId="0" applyFont="1" applyFill="1" applyNumberFormat="1"/>
    <xf numFmtId="0" fontId="0" fillId="4" borderId="0" xfId="0" applyFont="1" applyFill="1">
      <alignment horizontal="center"/>
    </xf>
    <xf numFmtId="0" fontId="21" fillId="4" borderId="0" xfId="0" applyFont="1" applyFill="1">
      <alignment horizontal="left"/>
    </xf>
    <xf numFmtId="0" fontId="21" fillId="4" borderId="0" xfId="0" applyFont="1" applyFill="1">
      <alignment wrapText="1"/>
    </xf>
    <xf numFmtId="0" fontId="21" fillId="4" borderId="0" xfId="0" applyFont="1" applyFill="1">
      <alignment horizontal="center"/>
    </xf>
    <xf numFmtId="0" fontId="21" fillId="4" borderId="0" xfId="0" applyFont="1" applyFill="1">
      <alignment vertical="center" wrapText="1"/>
    </xf>
    <xf numFmtId="0" fontId="0" fillId="43" borderId="0" xfId="0" applyFont="1" applyFill="1">
      <alignment horizontal="center"/>
    </xf>
    <xf numFmtId="0" fontId="21" fillId="4" borderId="0" xfId="0" applyFont="1" applyFill="1">
      <alignment vertical="center"/>
    </xf>
    <xf numFmtId="0" fontId="0" fillId="4" borderId="0" xfId="0" applyFont="1" applyFill="1">
      <alignment horizontal="center" vertical="center"/>
    </xf>
    <xf numFmtId="0" fontId="21" fillId="4" borderId="0" xfId="0" applyFont="1" applyFill="1">
      <alignment horizontal="left" vertical="center"/>
    </xf>
    <xf numFmtId="0" fontId="19" fillId="4" borderId="0" xfId="0" applyFont="1" applyFill="1">
      <alignment vertical="center"/>
    </xf>
    <xf numFmtId="49" fontId="19" fillId="4" borderId="0" xfId="0" applyFont="1" applyFill="1" applyNumberFormat="1">
      <alignment vertical="top"/>
    </xf>
    <xf numFmtId="0" fontId="21" fillId="4" borderId="0" xfId="0" applyFont="1" applyFill="1">
      <alignment vertical="center"/>
    </xf>
    <xf numFmtId="0" fontId="29" fillId="0" borderId="0" xfId="0" applyFont="1"/>
    <xf numFmtId="0" fontId="29" fillId="0" borderId="0" xfId="0" applyFont="1">
      <alignment vertical="center"/>
    </xf>
    <xf numFmtId="0" fontId="21" fillId="0" borderId="0" xfId="0" applyFont="1"/>
    <xf numFmtId="0" fontId="29" fillId="4" borderId="0" xfId="0" applyFont="1" applyFill="1"/>
    <xf numFmtId="0" fontId="19" fillId="4" borderId="0" xfId="0" applyFont="1" applyFill="1"/>
    <xf numFmtId="0" fontId="19" fillId="4" borderId="0" xfId="0" applyFont="1" applyFill="1">
      <alignment horizontal="center"/>
    </xf>
    <xf numFmtId="0" fontId="21" fillId="4" borderId="0" xfId="0" applyFont="1" applyFill="1">
      <alignment vertical="center"/>
    </xf>
    <xf numFmtId="49" fontId="19" fillId="4" borderId="0" xfId="0" applyFont="1" applyFill="1" applyNumberFormat="1">
      <alignment horizontal="center"/>
    </xf>
    <xf numFmtId="0" fontId="0" fillId="43" borderId="0" xfId="0" applyFont="1" applyFill="1">
      <alignment horizontal="center" vertical="center"/>
    </xf>
    <xf numFmtId="0" fontId="21" fillId="4" borderId="0" xfId="0" applyFont="1" applyFill="1">
      <alignment horizontal="center" vertical="center" wrapText="1"/>
    </xf>
    <xf numFmtId="0" fontId="29" fillId="4" borderId="0" xfId="0" applyFont="1" applyFill="1">
      <alignment vertical="center"/>
    </xf>
    <xf numFmtId="0" fontId="19" fillId="4" borderId="0" xfId="0" applyFont="1" applyFill="1"/>
    <xf numFmtId="0" fontId="19" fillId="4" borderId="0" xfId="0" applyFont="1" applyFill="1">
      <alignment horizontal="center"/>
    </xf>
    <xf numFmtId="0" fontId="19" fillId="4" borderId="0" xfId="0" applyFont="1" applyFill="1">
      <alignment horizontal="left" vertical="top"/>
    </xf>
    <xf numFmtId="0" fontId="22" fillId="4" borderId="0" xfId="0" applyFont="1" applyFill="1"/>
    <xf numFmtId="0" fontId="21" fillId="4" borderId="0" xfId="0" applyFont="1" applyFill="1">
      <alignment vertical="center"/>
    </xf>
    <xf numFmtId="0" fontId="0" fillId="4" borderId="0" xfId="0" applyFont="1" applyFill="1">
      <alignment horizontal="center"/>
    </xf>
    <xf numFmtId="0" fontId="21" fillId="4" borderId="0" xfId="0" applyFont="1" applyFill="1"/>
    <xf numFmtId="0" fontId="21" fillId="4" borderId="0" xfId="0" applyFont="1" applyFill="1">
      <alignment horizontal="center"/>
    </xf>
    <xf numFmtId="0" fontId="19" fillId="4" borderId="0" xfId="0" applyFont="1" applyFill="1">
      <alignment horizontal="left" vertical="top"/>
    </xf>
    <xf numFmtId="0" fontId="23" fillId="4" borderId="0" xfId="0" applyFont="1" applyFill="1"/>
    <xf numFmtId="0" fontId="49" fillId="4" borderId="0" xfId="0" applyFont="1" applyFill="1">
      <alignment horizontal="center"/>
    </xf>
    <xf numFmtId="0" fontId="64" fillId="4" borderId="0" xfId="0" applyFont="1" applyFill="1"/>
    <xf numFmtId="0" fontId="26" fillId="4" borderId="0" xfId="0" applyFont="1" applyFill="1"/>
    <xf numFmtId="0" fontId="49" fillId="43" borderId="0" xfId="0" applyFont="1" applyFill="1">
      <alignment horizontal="center"/>
    </xf>
    <xf numFmtId="0" fontId="21" fillId="4" borderId="0" xfId="0" applyFont="1" applyFill="1">
      <alignment horizontal="center" vertical="center" wrapText="1"/>
    </xf>
    <xf numFmtId="0" fontId="21" fillId="43" borderId="0" xfId="0" applyFont="1" applyFill="1">
      <alignment horizontal="center" vertical="center" wrapText="1"/>
    </xf>
    <xf numFmtId="49" fontId="19" fillId="4" borderId="0" xfId="0" applyFont="1" applyFill="1" applyNumberFormat="1">
      <alignment vertical="top"/>
    </xf>
    <xf numFmtId="0" fontId="0" fillId="43" borderId="0" xfId="0" applyFont="1" applyFill="1">
      <alignment horizontal="center"/>
    </xf>
    <xf numFmtId="49" fontId="21" fillId="4" borderId="0" xfId="0" applyFont="1" applyFill="1" applyNumberFormat="1"/>
    <xf numFmtId="0" fontId="40" fillId="4" borderId="0" xfId="0" applyFont="1" applyFill="1"/>
    <xf numFmtId="0" fontId="19" fillId="4" borderId="0" xfId="0" applyFont="1" applyFill="1">
      <alignment horizontal="center" vertical="center"/>
    </xf>
    <xf numFmtId="0" fontId="29" fillId="4" borderId="0" xfId="0" applyFont="1" applyFill="1">
      <alignment horizontal="left" vertical="center"/>
    </xf>
    <xf numFmtId="0" fontId="21" fillId="4" borderId="0" xfId="0" applyFont="1" applyFill="1">
      <alignment horizontal="left" vertical="center" wrapText="1"/>
    </xf>
    <xf numFmtId="0" fontId="40" fillId="4" borderId="0" xfId="0" applyFont="1" applyFill="1">
      <alignment vertical="center"/>
    </xf>
    <xf numFmtId="0" fontId="40" fillId="43" borderId="0" xfId="0" applyFont="1" applyFill="1">
      <alignment vertical="center"/>
    </xf>
    <xf numFmtId="49" fontId="21" fillId="4" borderId="0" xfId="0" applyFont="1" applyFill="1" applyNumberFormat="1">
      <alignment vertical="center"/>
    </xf>
    <xf numFmtId="0" fontId="19" fillId="4" borderId="0" xfId="0" applyFont="1" applyFill="1">
      <alignment vertical="top"/>
    </xf>
    <xf numFmtId="0" fontId="1" fillId="43" borderId="0" xfId="0" applyFont="1" applyFill="1"/>
    <xf numFmtId="0" fontId="1" fillId="4" borderId="0" xfId="0" applyFont="1" applyFill="1"/>
    <xf numFmtId="0" fontId="21" fillId="4" borderId="0" xfId="0" applyFont="1" applyFill="1">
      <alignment vertical="center"/>
    </xf>
    <xf numFmtId="0" fontId="1" fillId="4" borderId="0" xfId="0" applyFont="1" applyFill="1"/>
    <xf numFmtId="0" fontId="17" fillId="4" borderId="0" xfId="0" applyFont="1" applyFill="1"/>
    <xf numFmtId="0" fontId="33" fillId="4" borderId="0" xfId="0" applyFont="1" applyFill="1">
      <alignment vertical="center"/>
    </xf>
    <xf numFmtId="0" fontId="49" fillId="4" borderId="0" xfId="0" applyFont="1" applyFill="1">
      <alignment horizontal="center" vertical="center"/>
    </xf>
    <xf numFmtId="0" fontId="23" fillId="4" borderId="0" xfId="0" applyFont="1" applyFill="1">
      <alignment vertical="center"/>
    </xf>
    <xf numFmtId="0" fontId="33" fillId="4" borderId="0" xfId="0" applyFont="1" applyFill="1">
      <alignment vertical="center" wrapText="1"/>
    </xf>
    <xf numFmtId="0" fontId="34" fillId="4" borderId="0" xfId="0" applyFont="1" applyFill="1">
      <alignment vertical="center" wrapText="1"/>
    </xf>
    <xf numFmtId="0" fontId="34" fillId="4" borderId="0" xfId="0" applyFont="1" applyFill="1">
      <alignment horizontal="center" vertical="center" wrapText="1"/>
    </xf>
    <xf numFmtId="0" fontId="34" fillId="4" borderId="0" xfId="0" applyFont="1" applyFill="1">
      <alignment vertical="center"/>
    </xf>
    <xf numFmtId="0" fontId="64" fillId="4" borderId="0" xfId="0" applyFont="1" applyFill="1">
      <alignment vertical="center"/>
    </xf>
    <xf numFmtId="0" fontId="64" fillId="43" borderId="0" xfId="0" applyFont="1" applyFill="1">
      <alignment vertical="center"/>
    </xf>
    <xf numFmtId="0" fontId="21" fillId="4" borderId="0" xfId="0" applyFont="1" applyFill="1">
      <alignment horizontal="center" vertical="center"/>
    </xf>
    <xf numFmtId="49" fontId="33" fillId="4" borderId="0" xfId="0" applyFont="1" applyFill="1" applyNumberFormat="1">
      <alignment vertical="center"/>
    </xf>
    <xf numFmtId="0" fontId="29" fillId="4" borderId="0" xfId="0" applyFont="1" applyFill="1">
      <alignment horizontal="left"/>
    </xf>
    <xf numFmtId="0" fontId="21" fillId="4" borderId="0" xfId="0" applyFont="1" applyFill="1">
      <alignment vertical="center"/>
    </xf>
    <xf numFmtId="0" fontId="21" fillId="4" borderId="0" xfId="0" applyFont="1" applyFill="1">
      <alignment vertical="center"/>
    </xf>
    <xf numFmtId="174" fontId="21" fillId="34" borderId="11" xfId="0" applyFont="1" applyFill="1" applyBorder="1" applyNumberFormat="1">
      <alignment horizontal="left" vertical="center" wrapText="1" indent="1"/>
      <protection locked="0"/>
    </xf>
    <xf numFmtId="49" fontId="21" fillId="4" borderId="0" xfId="0" applyFont="1" applyFill="1" applyNumberFormat="1"/>
    <xf numFmtId="49" fontId="19" fillId="0" borderId="0" xfId="0" applyFont="1" applyNumberFormat="1"/>
    <xf numFmtId="0" fontId="19" fillId="38" borderId="0" xfId="0" applyFont="1" applyFill="1"/>
    <xf numFmtId="0" fontId="1" fillId="0" borderId="0" xfId="0" applyFont="1"/>
    <xf numFmtId="49" fontId="19" fillId="0" borderId="0" xfId="0" applyFont="1" applyNumberFormat="1">
      <alignment horizontal="left" vertical="top"/>
    </xf>
    <xf numFmtId="49" fontId="19" fillId="0" borderId="0" xfId="0" applyFont="1" applyNumberFormat="1">
      <alignment horizontal="left" vertical="top"/>
    </xf>
    <xf numFmtId="172" fontId="19" fillId="36" borderId="11" xfId="0" applyFont="1" applyFill="1" applyBorder="1" applyNumberFormat="1">
      <alignment horizontal="right" vertical="center" wrapText="1"/>
    </xf>
    <xf numFmtId="4" fontId="19" fillId="36" borderId="11" xfId="0" applyFont="1" applyFill="1" applyBorder="1" applyNumberFormat="1">
      <alignment horizontal="right" vertical="center" wrapText="1"/>
    </xf>
    <xf numFmtId="4" fontId="19" fillId="0" borderId="0" xfId="0" applyFont="1" applyNumberFormat="1"/>
    <xf numFmtId="49" fontId="65" fillId="0" borderId="0" xfId="0" applyFont="1" applyNumberFormat="1">
      <alignment vertical="top" wrapText="1"/>
    </xf>
    <xf numFmtId="0" fontId="19" fillId="0" borderId="10" xfId="0" applyFont="1" applyBorder="1">
      <alignment horizontal="left" vertical="center" wrapText="1"/>
    </xf>
    <xf numFmtId="0" fontId="19" fillId="0" borderId="11" xfId="0" applyFont="1" applyBorder="1">
      <alignment horizontal="left" vertical="center" wrapText="1"/>
    </xf>
    <xf numFmtId="0" fontId="22" fillId="35" borderId="11" xfId="0" applyFont="1" applyFill="1" applyBorder="1">
      <alignment horizontal="left" vertical="center" wrapText="1"/>
    </xf>
    <xf numFmtId="0" fontId="19" fillId="0" borderId="11" xfId="0" applyFont="1" applyBorder="1">
      <alignment horizontal="left" vertical="center" wrapText="1" indent="1"/>
    </xf>
    <xf numFmtId="4" fontId="19" fillId="36" borderId="10" xfId="0" applyFont="1" applyFill="1" applyBorder="1" applyNumberFormat="1">
      <alignment horizontal="right" vertical="center" wrapText="1"/>
    </xf>
    <xf numFmtId="4" fontId="19" fillId="36" borderId="11" xfId="0" applyFont="1" applyFill="1" applyBorder="1" applyNumberFormat="1">
      <alignment vertical="center"/>
    </xf>
    <xf numFmtId="172" fontId="19" fillId="34" borderId="11" xfId="0" applyFont="1" applyFill="1" applyBorder="1" applyNumberFormat="1">
      <alignment horizontal="right" vertical="center"/>
      <protection locked="0"/>
    </xf>
    <xf numFmtId="172" fontId="19" fillId="36" borderId="11" xfId="0" applyFont="1" applyFill="1" applyBorder="1" applyNumberFormat="1">
      <alignment vertical="center"/>
    </xf>
    <xf numFmtId="4" fontId="19" fillId="34" borderId="11" xfId="0" applyFont="1" applyFill="1" applyBorder="1" applyNumberFormat="1">
      <alignment horizontal="right" vertical="center"/>
      <protection locked="0"/>
    </xf>
    <xf numFmtId="4" fontId="19" fillId="34" borderId="11" xfId="0" applyFont="1" applyFill="1" applyBorder="1" applyNumberFormat="1">
      <alignment vertical="center"/>
      <protection locked="0"/>
    </xf>
    <xf numFmtId="49" fontId="22" fillId="41" borderId="34" xfId="0" applyFont="1" applyFill="1" applyBorder="1" applyNumberFormat="1">
      <alignment horizontal="left" vertical="center" wrapText="1" indent="1"/>
    </xf>
    <xf numFmtId="49" fontId="22" fillId="41" borderId="35" xfId="0" applyFont="1" applyFill="1" applyBorder="1" applyNumberFormat="1">
      <alignment horizontal="left" vertical="center" wrapText="1" indent="1"/>
    </xf>
    <xf numFmtId="0" fontId="19" fillId="43" borderId="38" xfId="0" applyFont="1" applyFill="1" applyBorder="1">
      <alignment horizontal="left" vertical="center" indent="1"/>
    </xf>
    <xf numFmtId="0" fontId="19" fillId="43" borderId="23" xfId="0" applyFont="1" applyFill="1" applyBorder="1">
      <alignment horizontal="left" vertical="center" indent="1"/>
    </xf>
    <xf numFmtId="0" fontId="19" fillId="0" borderId="38" xfId="0" applyFont="1" applyBorder="1">
      <alignment horizontal="left" vertical="center" indent="1"/>
    </xf>
    <xf numFmtId="0" fontId="19" fillId="0" borderId="23" xfId="0" applyFont="1" applyBorder="1">
      <alignment horizontal="left" vertical="center" indent="1"/>
    </xf>
    <xf numFmtId="172" fontId="19" fillId="36" borderId="11" xfId="0" applyFont="1" applyFill="1" applyBorder="1" applyNumberFormat="1">
      <alignment vertical="center"/>
    </xf>
    <xf numFmtId="4" fontId="19" fillId="0" borderId="38" xfId="0" applyFont="1" applyBorder="1" applyNumberFormat="1">
      <alignment horizontal="right" vertical="center"/>
    </xf>
    <xf numFmtId="4" fontId="19" fillId="0" borderId="38" xfId="0" applyFont="1" applyBorder="1" applyNumberFormat="1">
      <alignment vertical="center"/>
    </xf>
    <xf numFmtId="4" fontId="19" fillId="0" borderId="23" xfId="0" applyFont="1" applyBorder="1" applyNumberFormat="1">
      <alignment vertical="center"/>
    </xf>
    <xf numFmtId="0" fontId="19" fillId="0" borderId="0" xfId="0" applyFont="1">
      <alignment vertical="top"/>
    </xf>
    <xf numFmtId="0" fontId="19" fillId="36" borderId="10" xfId="0" applyFont="1" applyFill="1" applyBorder="1">
      <alignment vertical="center"/>
    </xf>
    <xf numFmtId="0" fontId="19" fillId="36" borderId="55" xfId="0" applyFont="1" applyFill="1" applyBorder="1">
      <alignment vertical="center"/>
    </xf>
    <xf numFmtId="0" fontId="19" fillId="0" borderId="10" xfId="0" applyFont="1" applyBorder="1">
      <alignment horizontal="left" vertical="center" wrapText="1" indent="1"/>
    </xf>
    <xf numFmtId="0" fontId="19" fillId="35" borderId="10" xfId="0" applyFont="1" applyFill="1" applyBorder="1">
      <alignment horizontal="left" vertical="center" wrapText="1" indent="1"/>
    </xf>
    <xf numFmtId="172" fontId="19" fillId="36" borderId="10" xfId="0" applyFont="1" applyFill="1" applyBorder="1" applyNumberFormat="1">
      <alignment horizontal="right" vertical="center"/>
    </xf>
    <xf numFmtId="4" fontId="19" fillId="36" borderId="10" xfId="0" applyFont="1" applyFill="1" applyBorder="1" applyNumberFormat="1">
      <alignment horizontal="right" vertical="center"/>
    </xf>
    <xf numFmtId="4" fontId="19" fillId="0" borderId="10" xfId="0" applyFont="1" applyBorder="1" applyNumberFormat="1">
      <alignment horizontal="right" vertical="center"/>
    </xf>
    <xf numFmtId="4" fontId="19" fillId="36" borderId="10" xfId="0" applyFont="1" applyFill="1" applyBorder="1" applyNumberFormat="1">
      <alignment horizontal="right" vertical="center"/>
    </xf>
    <xf numFmtId="49" fontId="19" fillId="0" borderId="11" xfId="0" applyFont="1" applyBorder="1" applyNumberFormat="1">
      <alignment horizontal="left" vertical="center" wrapText="1"/>
    </xf>
    <xf numFmtId="0" fontId="21" fillId="11" borderId="11" xfId="0" applyFont="1" applyFill="1" applyBorder="1">
      <alignment horizontal="center" vertical="center" wrapText="1"/>
    </xf>
    <xf numFmtId="0" fontId="19" fillId="11" borderId="11" xfId="0" applyFont="1" applyFill="1" applyBorder="1">
      <alignment horizontal="center" vertical="center" wrapText="1"/>
    </xf>
    <xf numFmtId="0" fontId="21" fillId="11" borderId="10" xfId="0" applyFont="1" applyFill="1" applyBorder="1">
      <alignment horizontal="center" vertical="center" wrapText="1"/>
    </xf>
    <xf numFmtId="0" fontId="21" fillId="11" borderId="43" xfId="0" applyFont="1" applyFill="1" applyBorder="1">
      <alignment horizontal="center" vertical="center" wrapText="1"/>
    </xf>
    <xf numFmtId="0" fontId="21" fillId="11" borderId="37" xfId="0" applyFont="1" applyFill="1" applyBorder="1">
      <alignment horizontal="center" vertical="center" wrapText="1"/>
    </xf>
    <xf numFmtId="0" fontId="19" fillId="11" borderId="10" xfId="0" applyFont="1" applyFill="1" applyBorder="1">
      <alignment horizontal="center" vertical="center" wrapText="1"/>
    </xf>
    <xf numFmtId="0" fontId="19" fillId="11" borderId="11" xfId="0" applyFont="1" applyFill="1" applyBorder="1">
      <alignment horizontal="center" vertical="center" wrapText="1"/>
    </xf>
    <xf numFmtId="0" fontId="19" fillId="11" borderId="37" xfId="0" applyFont="1" applyFill="1" applyBorder="1">
      <alignment horizontal="center" vertical="center" wrapText="1"/>
    </xf>
    <xf numFmtId="0" fontId="19" fillId="11" borderId="10" xfId="0" applyFont="1" applyFill="1" applyBorder="1">
      <alignment horizontal="center" vertical="center" wrapText="1"/>
    </xf>
    <xf numFmtId="0" fontId="21" fillId="11" borderId="10" xfId="0" applyFont="1" applyFill="1" applyBorder="1">
      <alignment horizontal="center" vertical="center" wrapText="1"/>
    </xf>
    <xf numFmtId="0" fontId="21" fillId="11" borderId="10" xfId="0" applyFont="1" applyFill="1" applyBorder="1">
      <alignment horizontal="center" vertical="center" wrapText="1"/>
    </xf>
    <xf numFmtId="0" fontId="21" fillId="11" borderId="43" xfId="0" applyFont="1" applyFill="1" applyBorder="1">
      <alignment horizontal="center" vertical="center" wrapText="1"/>
    </xf>
    <xf numFmtId="0" fontId="21" fillId="11" borderId="37" xfId="0" applyFont="1" applyFill="1" applyBorder="1">
      <alignment horizontal="center" vertical="center" wrapText="1"/>
    </xf>
    <xf numFmtId="49" fontId="19" fillId="0" borderId="38" xfId="0" applyFont="1" applyBorder="1" applyNumberFormat="1">
      <alignment horizontal="left" vertical="center" wrapText="1" indent="1"/>
    </xf>
    <xf numFmtId="49" fontId="19" fillId="0" borderId="11" xfId="0" applyFont="1" applyBorder="1" applyNumberFormat="1">
      <alignment horizontal="left" vertical="center" wrapText="1" indent="1"/>
    </xf>
    <xf numFmtId="49" fontId="22" fillId="0" borderId="0" xfId="0" applyFont="1" applyNumberFormat="1">
      <alignment vertical="top"/>
    </xf>
    <xf numFmtId="0" fontId="51" fillId="0" borderId="0" xfId="0" applyFont="1">
      <alignment wrapText="1"/>
    </xf>
    <xf numFmtId="49" fontId="54" fillId="0" borderId="0" xfId="0" applyFont="1" applyNumberFormat="1">
      <alignment wrapText="1"/>
    </xf>
    <xf numFmtId="49" fontId="54" fillId="0" borderId="0" xfId="0" applyFont="1" applyNumberFormat="1">
      <alignment vertical="center" wrapText="1"/>
    </xf>
    <xf numFmtId="49" fontId="52" fillId="0" borderId="0" xfId="0" applyFont="1" applyNumberFormat="1">
      <alignment wrapText="1"/>
    </xf>
    <xf numFmtId="49" fontId="54" fillId="0" borderId="0" xfId="0" applyFont="1" applyNumberFormat="1">
      <alignment horizontal="center" wrapText="1"/>
    </xf>
    <xf numFmtId="0" fontId="72" fillId="0" borderId="0" xfId="0" applyFont="1">
      <alignment horizontal="center" vertical="center" wrapText="1"/>
    </xf>
    <xf numFmtId="49" fontId="73" fillId="0" borderId="0" xfId="0" applyFont="1" applyNumberFormat="1">
      <alignment horizontal="center" wrapText="1"/>
    </xf>
    <xf numFmtId="49" fontId="54" fillId="0" borderId="0" xfId="0" applyFont="1" applyNumberFormat="1">
      <alignment horizontal="center" vertical="center" wrapText="1"/>
    </xf>
    <xf numFmtId="49" fontId="74" fillId="0" borderId="0" xfId="0" applyFont="1" applyNumberFormat="1">
      <alignment wrapText="1"/>
    </xf>
    <xf numFmtId="0" fontId="25" fillId="0" borderId="0" xfId="0" applyFont="1">
      <alignment horizontal="left" vertical="center" wrapText="1"/>
    </xf>
    <xf numFmtId="49" fontId="19" fillId="0" borderId="0" xfId="0" applyFont="1" applyNumberFormat="1">
      <alignment vertical="top" wrapText="1"/>
    </xf>
    <xf numFmtId="0" fontId="54" fillId="0" borderId="0" xfId="0" applyFont="1">
      <alignment wrapText="1"/>
    </xf>
    <xf numFmtId="0" fontId="72" fillId="0" borderId="0" xfId="0" applyFont="1">
      <alignment horizontal="left" vertical="center" wrapText="1"/>
    </xf>
    <xf numFmtId="0" fontId="75" fillId="0" borderId="0" xfId="0" applyFont="1">
      <alignment vertical="center" wrapText="1"/>
    </xf>
    <xf numFmtId="0" fontId="54" fillId="0" borderId="45" xfId="0" applyFont="1" applyBorder="1">
      <alignment wrapText="1"/>
    </xf>
    <xf numFmtId="0" fontId="54" fillId="0" borderId="0" xfId="0" applyFont="1"/>
    <xf numFmtId="0" fontId="72" fillId="0" borderId="0" xfId="0" applyFont="1"/>
    <xf numFmtId="0" fontId="56" fillId="0" borderId="0" xfId="0" applyFont="1">
      <alignment wrapText="1"/>
    </xf>
    <xf numFmtId="0" fontId="0" fillId="34" borderId="53" xfId="0" applyFont="1" applyFill="1" applyBorder="1">
      <alignment horizontal="center" vertical="center" wrapText="1"/>
    </xf>
    <xf numFmtId="0" fontId="0" fillId="46" borderId="53" xfId="0" applyFont="1" applyFill="1" applyBorder="1">
      <alignment horizontal="center" vertical="center" wrapText="1"/>
    </xf>
    <xf numFmtId="0" fontId="0" fillId="36" borderId="53" xfId="0" applyFont="1" applyFill="1" applyBorder="1">
      <alignment horizontal="center" vertical="center" wrapText="1"/>
    </xf>
    <xf numFmtId="0" fontId="0" fillId="42" borderId="53" xfId="0" applyFont="1" applyFill="1" applyBorder="1">
      <alignment horizontal="center" vertical="center" wrapText="1"/>
    </xf>
    <xf numFmtId="0" fontId="19" fillId="51" borderId="10" xfId="0" applyFont="1" applyFill="1" applyBorder="1">
      <alignment horizontal="center" vertical="center" wrapText="1"/>
    </xf>
    <xf numFmtId="0" fontId="19" fillId="50" borderId="10" xfId="0" applyFont="1" applyFill="1" applyBorder="1">
      <alignment horizontal="center" vertical="center" wrapText="1"/>
    </xf>
    <xf numFmtId="0" fontId="72" fillId="0" borderId="45" xfId="0" applyFont="1" applyBorder="1">
      <alignment horizontal="left" vertical="center" wrapText="1"/>
    </xf>
    <xf numFmtId="0" fontId="72" fillId="0" borderId="24" xfId="0" applyFont="1" applyBorder="1">
      <alignment horizontal="left" vertical="center" wrapText="1"/>
    </xf>
    <xf numFmtId="0" fontId="56" fillId="0" borderId="0" xfId="0" applyFont="1"/>
    <xf numFmtId="0" fontId="56" fillId="0" borderId="45" xfId="0" applyFont="1" applyBorder="1">
      <alignment wrapText="1"/>
    </xf>
    <xf numFmtId="0" fontId="54" fillId="0" borderId="31" xfId="0" applyFont="1" applyBorder="1">
      <alignment wrapText="1"/>
    </xf>
    <xf numFmtId="0" fontId="54" fillId="0" borderId="32" xfId="0" applyFont="1" applyBorder="1">
      <alignment wrapText="1"/>
    </xf>
    <xf numFmtId="0" fontId="54" fillId="0" borderId="32" xfId="0" applyFont="1" applyBorder="1">
      <alignment vertical="center" wrapText="1"/>
    </xf>
    <xf numFmtId="0" fontId="52" fillId="0" borderId="0" xfId="0" applyFont="1"/>
    <xf numFmtId="49" fontId="20" fillId="0" borderId="0" xfId="0" applyFont="1" applyNumberFormat="1"/>
    <xf numFmtId="0" fontId="19" fillId="51" borderId="11" xfId="0" applyFont="1" applyFill="1" applyBorder="1">
      <alignment horizontal="left" vertical="center" wrapText="1" indent="1"/>
    </xf>
    <xf numFmtId="0" fontId="21" fillId="0" borderId="0" xfId="0" applyFont="1"/>
    <xf numFmtId="0" fontId="21" fillId="4" borderId="0" xfId="0" applyFont="1" applyFill="1"/>
    <xf numFmtId="0" fontId="0" fillId="4" borderId="0" xfId="0" applyFont="1" applyFill="1">
      <alignment horizontal="center"/>
    </xf>
    <xf numFmtId="0" fontId="21" fillId="4" borderId="0" xfId="0" applyFont="1" applyFill="1">
      <alignment horizontal="center"/>
    </xf>
    <xf numFmtId="0" fontId="19" fillId="0" borderId="0" xfId="0" applyFont="1">
      <alignment vertical="top"/>
    </xf>
    <xf numFmtId="49" fontId="19" fillId="4" borderId="0" xfId="0" applyFont="1" applyFill="1" applyNumberFormat="1">
      <alignment vertical="top"/>
    </xf>
    <xf numFmtId="0" fontId="21" fillId="4" borderId="0" xfId="0" applyFont="1" applyFill="1">
      <alignment vertical="center" wrapText="1"/>
    </xf>
    <xf numFmtId="49" fontId="19" fillId="0" borderId="0" xfId="50" applyFont="1" applyNumberFormat="1">
      <alignment horizontal="left" vertical="center"/>
    </xf>
    <xf numFmtId="49" fontId="0" fillId="0" borderId="18" xfId="0" applyFont="1" applyBorder="1" applyNumberFormat="1">
      <alignment horizontal="center" vertical="center" wrapText="1"/>
    </xf>
    <xf numFmtId="49" fontId="0" fillId="0" borderId="32" xfId="0" applyFont="1" applyBorder="1" applyNumberFormat="1">
      <alignment horizontal="center" vertical="center" wrapText="1"/>
    </xf>
    <xf numFmtId="3" fontId="0" fillId="0" borderId="18" xfId="0" applyFont="1" applyBorder="1" applyNumberFormat="1">
      <alignment horizontal="center" vertical="center" wrapText="1"/>
    </xf>
    <xf numFmtId="0" fontId="37" fillId="40" borderId="24" xfId="0" applyFont="1" applyFill="1" applyBorder="1">
      <alignment horizontal="left" vertical="center"/>
    </xf>
    <xf numFmtId="0" fontId="37" fillId="40" borderId="18" xfId="0" applyFont="1" applyFill="1" applyBorder="1">
      <alignment horizontal="left" vertical="center"/>
    </xf>
    <xf numFmtId="172" fontId="37" fillId="40" borderId="18" xfId="0" applyFont="1" applyFill="1" applyBorder="1" applyNumberFormat="1">
      <alignment horizontal="right" vertical="center"/>
    </xf>
    <xf numFmtId="49" fontId="50" fillId="0" borderId="0" xfId="0" applyFont="1" applyNumberFormat="1">
      <alignment horizontal="center" vertical="center" wrapText="1"/>
    </xf>
    <xf numFmtId="0" fontId="0" fillId="42" borderId="10" xfId="0" applyFont="1" applyFill="1" applyBorder="1">
      <alignment horizontal="left" vertical="center" wrapText="1"/>
      <protection locked="0"/>
    </xf>
    <xf numFmtId="0" fontId="0" fillId="34" borderId="10" xfId="0" applyFont="1" applyFill="1" applyBorder="1">
      <alignment horizontal="left" vertical="center" wrapText="1"/>
      <protection locked="0"/>
    </xf>
    <xf numFmtId="3" fontId="0" fillId="34" borderId="10" xfId="0" applyFont="1" applyFill="1" applyBorder="1" applyNumberFormat="1">
      <alignment horizontal="left" vertical="center" wrapText="1"/>
      <protection locked="0"/>
    </xf>
    <xf numFmtId="4" fontId="0" fillId="34" borderId="10" xfId="0" applyFont="1" applyFill="1" applyBorder="1" applyNumberFormat="1">
      <alignment horizontal="right" vertical="center" wrapText="1"/>
      <protection locked="0"/>
    </xf>
    <xf numFmtId="0" fontId="0" fillId="34" borderId="10" xfId="0" applyFont="1" applyFill="1" applyBorder="1">
      <alignment horizontal="left" vertical="center" wrapText="1" indent="1"/>
      <protection locked="0"/>
    </xf>
    <xf numFmtId="172" fontId="0" fillId="36" borderId="11" xfId="0" applyFont="1" applyFill="1" applyBorder="1" applyNumberFormat="1">
      <alignment vertical="center" wrapText="1"/>
    </xf>
    <xf numFmtId="172" fontId="0" fillId="34" borderId="10" xfId="0" applyFont="1" applyFill="1" applyBorder="1" applyNumberFormat="1">
      <alignment horizontal="right" vertical="center" wrapText="1"/>
      <protection locked="0"/>
    </xf>
    <xf numFmtId="172" fontId="0" fillId="34" borderId="11" xfId="0" applyFont="1" applyFill="1" applyBorder="1" applyNumberFormat="1">
      <alignment vertical="center" wrapText="1"/>
      <protection locked="0"/>
    </xf>
    <xf numFmtId="49" fontId="0" fillId="34" borderId="10" xfId="0" applyFont="1" applyFill="1" applyBorder="1" applyNumberFormat="1">
      <alignment horizontal="left" vertical="center" wrapText="1"/>
      <protection locked="0"/>
    </xf>
    <xf numFmtId="49" fontId="38" fillId="41" borderId="31" xfId="0" applyFont="1" applyFill="1" applyBorder="1" applyNumberFormat="1">
      <alignment vertical="center"/>
    </xf>
    <xf numFmtId="49" fontId="38" fillId="41" borderId="32" xfId="0" applyFont="1" applyFill="1" applyBorder="1" applyNumberFormat="1">
      <alignment vertical="center"/>
    </xf>
    <xf numFmtId="49" fontId="38" fillId="41" borderId="56" xfId="0" applyFont="1" applyFill="1" applyBorder="1" applyNumberFormat="1">
      <alignment vertical="center"/>
    </xf>
    <xf numFmtId="0" fontId="19" fillId="0" borderId="0" xfId="0" applyFont="1">
      <alignment vertical="top"/>
    </xf>
    <xf numFmtId="0" fontId="21" fillId="0" borderId="0" xfId="0" applyFont="1">
      <alignment wrapText="1"/>
    </xf>
    <xf numFmtId="49" fontId="50" fillId="0" borderId="0" xfId="0" applyFont="1" applyNumberFormat="1">
      <alignment horizontal="center" vertical="center" wrapText="1"/>
    </xf>
    <xf numFmtId="4" fontId="22" fillId="34" borderId="10" xfId="0" applyFont="1" applyFill="1" applyBorder="1" applyNumberFormat="1">
      <alignment horizontal="right" vertical="center"/>
      <protection locked="0"/>
    </xf>
    <xf numFmtId="0" fontId="0" fillId="25" borderId="0" xfId="0" applyFont="1" applyFill="1">
      <alignment horizontal="center"/>
    </xf>
    <xf numFmtId="49" fontId="19" fillId="4" borderId="0" xfId="0" applyFont="1" applyFill="1" applyNumberFormat="1">
      <alignment vertical="top"/>
    </xf>
    <xf numFmtId="0" fontId="19" fillId="43" borderId="0" xfId="0" applyFont="1" applyFill="1">
      <alignment vertical="top"/>
    </xf>
    <xf numFmtId="49" fontId="19" fillId="43" borderId="0" xfId="0" applyFont="1" applyFill="1" applyNumberFormat="1">
      <alignment vertical="top"/>
    </xf>
    <xf numFmtId="0" fontId="19" fillId="4" borderId="0" xfId="0" applyFont="1" applyFill="1">
      <alignment vertical="top"/>
    </xf>
    <xf numFmtId="0" fontId="0" fillId="0" borderId="0" xfId="0" applyFont="1">
      <alignment horizontal="center"/>
    </xf>
    <xf numFmtId="0" fontId="37" fillId="40" borderId="30" xfId="0" applyFont="1" applyFill="1" applyBorder="1">
      <alignment horizontal="left" vertical="center"/>
    </xf>
    <xf numFmtId="49" fontId="37" fillId="40" borderId="18" xfId="0" applyFont="1" applyFill="1" applyBorder="1" applyNumberFormat="1">
      <alignment horizontal="left" vertical="center" wrapText="1"/>
    </xf>
    <xf numFmtId="49" fontId="37" fillId="40" borderId="29" xfId="0" applyFont="1" applyFill="1" applyBorder="1" applyNumberFormat="1">
      <alignment horizontal="lef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left" vertical="center" wrapText="1"/>
    </xf>
    <xf numFmtId="4" fontId="19" fillId="36" borderId="11" xfId="0" applyFont="1" applyFill="1" applyBorder="1" applyNumberFormat="1">
      <alignment horizontal="right" vertical="center" wrapText="1"/>
    </xf>
    <xf numFmtId="49" fontId="19" fillId="0" borderId="46" xfId="0" applyFont="1" applyBorder="1" applyNumberFormat="1">
      <alignment horizontal="center" vertical="center" wrapText="1"/>
    </xf>
    <xf numFmtId="49" fontId="19" fillId="0" borderId="46" xfId="0" applyFont="1" applyBorder="1" applyNumberFormat="1">
      <alignment horizontal="left" vertical="center" wrapText="1" indent="1"/>
    </xf>
    <xf numFmtId="4" fontId="19" fillId="34" borderId="46" xfId="0" applyFont="1" applyFill="1" applyBorder="1" applyNumberFormat="1">
      <alignment horizontal="right" vertical="center" wrapText="1"/>
      <protection locked="0"/>
    </xf>
    <xf numFmtId="172" fontId="19" fillId="36" borderId="11" xfId="0" applyFont="1" applyFill="1" applyBorder="1" applyNumberFormat="1">
      <alignment horizontal="right" vertical="center" wrapText="1"/>
    </xf>
    <xf numFmtId="1" fontId="22" fillId="0" borderId="11" xfId="0" applyFont="1" applyBorder="1" applyNumberFormat="1">
      <alignment horizontal="center" vertical="center" wrapText="1"/>
    </xf>
    <xf numFmtId="49" fontId="22" fillId="0" borderId="11" xfId="0" applyFont="1" applyBorder="1" applyNumberFormat="1">
      <alignment horizontal="left" vertical="center" wrapText="1"/>
    </xf>
    <xf numFmtId="49" fontId="22" fillId="0" borderId="11" xfId="0" applyFont="1" applyBorder="1" applyNumberFormat="1">
      <alignment horizontal="center" vertical="center" wrapText="1"/>
    </xf>
    <xf numFmtId="4" fontId="22" fillId="36" borderId="11" xfId="0" applyFont="1" applyFill="1" applyBorder="1" applyNumberFormat="1">
      <alignment horizontal="right" vertical="center" wrapText="1"/>
    </xf>
    <xf numFmtId="1" fontId="19" fillId="0" borderId="11"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0" fontId="19" fillId="0" borderId="0" xfId="0" applyFont="1"/>
    <xf numFmtId="0" fontId="19" fillId="0" borderId="10" xfId="0" applyFont="1" applyBorder="1">
      <alignment horizontal="center" vertical="center"/>
    </xf>
    <xf numFmtId="49" fontId="0" fillId="0" borderId="0" xfId="0" applyFont="1" applyNumberFormat="1">
      <alignment horizontal="center" vertical="top"/>
    </xf>
    <xf numFmtId="49" fontId="19" fillId="43" borderId="0" xfId="0" applyFont="1" applyFill="1" applyNumberFormat="1">
      <alignment vertical="top"/>
    </xf>
    <xf numFmtId="0" fontId="0" fillId="25" borderId="0" xfId="0" applyFont="1" applyFill="1">
      <alignment horizontal="center" vertical="center"/>
    </xf>
    <xf numFmtId="0" fontId="21" fillId="4" borderId="0" xfId="0" applyFont="1" applyFill="1"/>
    <xf numFmtId="0" fontId="37" fillId="40" borderId="24" xfId="0" applyFont="1" applyFill="1" applyBorder="1">
      <alignment horizontal="left" vertical="center"/>
    </xf>
    <xf numFmtId="0" fontId="50" fillId="0" borderId="0" xfId="0" applyFont="1">
      <alignment horizontal="center" vertical="center" wrapText="1"/>
    </xf>
    <xf numFmtId="49" fontId="22" fillId="41" borderId="30" xfId="0" applyFont="1" applyFill="1" applyBorder="1" applyNumberFormat="1">
      <alignment horizontal="left" vertical="center" wrapText="1" indent="1"/>
    </xf>
    <xf numFmtId="49" fontId="38" fillId="41" borderId="20" xfId="0" applyFont="1" applyFill="1" applyBorder="1" applyNumberFormat="1">
      <alignment horizontal="left" vertical="center"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0" fontId="64" fillId="0" borderId="0" xfId="0" applyFont="1">
      <alignment vertical="center"/>
    </xf>
    <xf numFmtId="4" fontId="22" fillId="34" borderId="10" xfId="0" applyFont="1" applyFill="1" applyBorder="1" applyNumberFormat="1">
      <alignment horizontal="right" vertical="center"/>
      <protection locked="0"/>
    </xf>
    <xf numFmtId="0" fontId="21" fillId="0" borderId="0" xfId="0" applyFont="1">
      <alignment vertical="top" wrapText="1"/>
    </xf>
    <xf numFmtId="0" fontId="36" fillId="0" borderId="0" xfId="0" applyFont="1">
      <alignment horizontal="center" vertical="center" wrapText="1"/>
    </xf>
    <xf numFmtId="4" fontId="22" fillId="34" borderId="10" xfId="0" applyFont="1" applyFill="1" applyBorder="1" applyNumberFormat="1">
      <alignment horizontal="right" vertical="center"/>
    </xf>
    <xf numFmtId="49" fontId="19" fillId="34" borderId="11" xfId="0" applyFont="1" applyFill="1" applyBorder="1" applyNumberFormat="1">
      <alignment horizontal="left" vertical="center" wrapText="1"/>
    </xf>
    <xf numFmtId="172" fontId="19" fillId="34" borderId="10" xfId="0" applyFont="1" applyFill="1" applyBorder="1" applyNumberFormat="1">
      <alignment horizontal="right" vertical="center"/>
    </xf>
    <xf numFmtId="49" fontId="22" fillId="34" borderId="11" xfId="0" applyFont="1" applyFill="1" applyBorder="1" applyNumberFormat="1">
      <alignment horizontal="left" vertical="center" wrapText="1"/>
    </xf>
    <xf numFmtId="4" fontId="19" fillId="34" borderId="10" xfId="0" applyFont="1" applyFill="1" applyBorder="1" applyNumberFormat="1">
      <alignment horizontal="right" vertical="center"/>
    </xf>
    <xf numFmtId="0" fontId="19" fillId="34" borderId="11" xfId="0" applyFont="1" applyFill="1" applyBorder="1">
      <alignment horizontal="left" vertical="center" wrapText="1"/>
    </xf>
    <xf numFmtId="0" fontId="19" fillId="42" borderId="10" xfId="0" applyFont="1" applyFill="1" applyBorder="1">
      <alignment horizontal="left" vertical="center" wrapText="1" indent="1"/>
    </xf>
    <xf numFmtId="4" fontId="19" fillId="34" borderId="10" xfId="0" applyFont="1" applyFill="1" applyBorder="1" applyNumberFormat="1">
      <alignment horizontal="right" vertical="center" wrapText="1"/>
    </xf>
    <xf numFmtId="0" fontId="19" fillId="34" borderId="11" xfId="0" applyFont="1" applyFill="1" applyBorder="1">
      <alignment horizontal="left" vertical="center" wrapText="1"/>
    </xf>
    <xf numFmtId="4" fontId="22" fillId="34" borderId="10" xfId="0" applyFont="1" applyFill="1" applyBorder="1" applyNumberFormat="1">
      <alignment horizontal="right" vertical="center"/>
    </xf>
    <xf numFmtId="49" fontId="22" fillId="34" borderId="11" xfId="0" applyFont="1" applyFill="1" applyBorder="1" applyNumberFormat="1">
      <alignment horizontal="left" vertical="center" wrapText="1"/>
    </xf>
    <xf numFmtId="4" fontId="19" fillId="34" borderId="10" xfId="0" applyFont="1" applyFill="1" applyBorder="1" applyNumberFormat="1">
      <alignment horizontal="right" vertical="center"/>
    </xf>
    <xf numFmtId="49" fontId="19" fillId="34" borderId="11" xfId="0" applyFont="1" applyFill="1" applyBorder="1" applyNumberFormat="1">
      <alignment horizontal="left" vertical="center" wrapText="1"/>
    </xf>
    <xf numFmtId="4" fontId="22" fillId="34" borderId="10" xfId="0" applyFont="1" applyFill="1" applyBorder="1" applyNumberFormat="1">
      <alignment horizontal="right" vertical="center"/>
    </xf>
    <xf numFmtId="49" fontId="19" fillId="34" borderId="11" xfId="0" applyFont="1" applyFill="1" applyBorder="1" applyNumberFormat="1">
      <alignment horizontal="left" vertical="center" wrapText="1"/>
    </xf>
    <xf numFmtId="172" fontId="19" fillId="34" borderId="10" xfId="0" applyFont="1" applyFill="1" applyBorder="1" applyNumberFormat="1">
      <alignment horizontal="right" vertical="center"/>
    </xf>
    <xf numFmtId="4" fontId="19" fillId="34" borderId="10" xfId="0" applyFont="1" applyFill="1" applyBorder="1" applyNumberFormat="1">
      <alignment horizontal="right" vertical="center"/>
    </xf>
    <xf numFmtId="0" fontId="19" fillId="34" borderId="11" xfId="0" applyFont="1" applyFill="1" applyBorder="1">
      <alignment horizontal="left" vertical="center" wrapText="1"/>
    </xf>
    <xf numFmtId="4" fontId="19" fillId="34" borderId="10" xfId="0" applyFont="1" applyFill="1" applyBorder="1" applyNumberFormat="1">
      <alignment horizontal="right" vertical="center"/>
    </xf>
    <xf numFmtId="49" fontId="19" fillId="34" borderId="11" xfId="0" applyFont="1" applyFill="1" applyBorder="1" applyNumberFormat="1">
      <alignment horizontal="left" vertical="center" wrapText="1"/>
    </xf>
    <xf numFmtId="4" fontId="19" fillId="34"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0" fontId="19" fillId="34" borderId="11" xfId="0" applyFont="1" applyFill="1" applyBorder="1">
      <alignment horizontal="left" vertical="center" wrapText="1"/>
    </xf>
    <xf numFmtId="172" fontId="19" fillId="34" borderId="10" xfId="0" applyFont="1" applyFill="1" applyBorder="1" applyNumberFormat="1">
      <alignment horizontal="right" vertical="center"/>
    </xf>
    <xf numFmtId="172" fontId="19" fillId="34" borderId="10" xfId="0" applyFont="1" applyFill="1" applyBorder="1" applyNumberFormat="1">
      <alignment horizontal="right" vertical="center"/>
    </xf>
    <xf numFmtId="4" fontId="19" fillId="34" borderId="10" xfId="0" applyFont="1" applyFill="1" applyBorder="1" applyNumberFormat="1">
      <alignment horizontal="right" vertical="center"/>
    </xf>
    <xf numFmtId="4" fontId="22" fillId="34" borderId="10" xfId="0" applyFont="1" applyFill="1" applyBorder="1" applyNumberFormat="1">
      <alignment horizontal="right" vertical="center"/>
    </xf>
    <xf numFmtId="172" fontId="19" fillId="34" borderId="22" xfId="0" applyFont="1" applyFill="1" applyBorder="1" applyNumberFormat="1">
      <alignment horizontal="right" vertical="center"/>
      <protection locked="0"/>
    </xf>
    <xf numFmtId="0" fontId="0" fillId="25" borderId="0" xfId="0" applyFont="1" applyFill="1">
      <alignment horizontal="center" vertical="center"/>
    </xf>
    <xf numFmtId="4" fontId="37" fillId="40" borderId="29" xfId="0" applyFont="1" applyFill="1" applyBorder="1" applyNumberFormat="1">
      <alignment horizontal="right" vertical="center" wrapText="1"/>
    </xf>
    <xf numFmtId="0" fontId="22" fillId="0" borderId="11" xfId="0" applyFont="1" applyBorder="1">
      <alignment horizontal="center" vertical="center" wrapText="1" shrinkToFit="1"/>
    </xf>
    <xf numFmtId="49" fontId="22" fillId="0" borderId="11" xfId="0" applyFont="1" applyBorder="1" applyNumberFormat="1">
      <alignment horizontal="left" vertical="center" wrapText="1" shrinkToFit="1"/>
    </xf>
    <xf numFmtId="49" fontId="22" fillId="0" borderId="37" xfId="0" applyFont="1" applyBorder="1" applyNumberFormat="1">
      <alignment horizontal="center" vertical="center" wrapText="1" shrinkToFit="1"/>
    </xf>
    <xf numFmtId="0" fontId="19" fillId="0" borderId="11" xfId="0" applyFont="1" applyBorder="1">
      <alignment horizontal="center" vertical="center" wrapText="1" shrinkToFit="1"/>
    </xf>
    <xf numFmtId="49" fontId="19" fillId="0" borderId="11" xfId="0" applyFont="1" applyBorder="1" applyNumberFormat="1">
      <alignment horizontal="left" vertical="center" wrapText="1" shrinkToFit="1" indent="1"/>
    </xf>
    <xf numFmtId="49" fontId="19" fillId="0" borderId="37" xfId="0" applyFont="1" applyBorder="1" applyNumberFormat="1">
      <alignment horizontal="center" vertical="center" wrapText="1" shrinkToFit="1"/>
    </xf>
    <xf numFmtId="49" fontId="19" fillId="0" borderId="11" xfId="0" applyFont="1" applyBorder="1" applyNumberFormat="1">
      <alignment horizontal="left" vertical="center" wrapText="1" shrinkToFit="1" indent="2"/>
    </xf>
    <xf numFmtId="49" fontId="19" fillId="0" borderId="11" xfId="0" applyFont="1" applyBorder="1" applyNumberFormat="1">
      <alignment horizontal="left" vertical="center" wrapText="1" shrinkToFit="1" indent="3"/>
    </xf>
    <xf numFmtId="49" fontId="19" fillId="0" borderId="11" xfId="0" applyFont="1" applyBorder="1" applyNumberFormat="1">
      <alignment horizontal="left" vertical="center" wrapText="1" shrinkToFit="1" indent="4"/>
    </xf>
    <xf numFmtId="0" fontId="50" fillId="0" borderId="0" xfId="0" applyFont="1">
      <alignment horizontal="center" vertical="center" wrapText="1"/>
    </xf>
    <xf numFmtId="49" fontId="19" fillId="42" borderId="11" xfId="0" applyFont="1" applyFill="1" applyBorder="1" applyNumberFormat="1">
      <alignment horizontal="left" vertical="center" wrapText="1" shrinkToFit="1" indent="1"/>
      <protection locked="0"/>
    </xf>
    <xf numFmtId="0" fontId="33" fillId="0" borderId="0" xfId="0" applyFont="1">
      <alignment vertical="center"/>
    </xf>
    <xf numFmtId="0" fontId="19" fillId="41" borderId="37" xfId="0" applyFont="1" applyFill="1" applyBorder="1">
      <alignment horizontal="center" vertical="center" wrapText="1" shrinkToFit="1"/>
    </xf>
    <xf numFmtId="49" fontId="38" fillId="41" borderId="32" xfId="0" applyFont="1" applyFill="1" applyBorder="1" applyNumberFormat="1">
      <alignment horizontal="left" vertical="center" indent="2"/>
    </xf>
    <xf numFmtId="49" fontId="19" fillId="41" borderId="38" xfId="0" applyFont="1" applyFill="1" applyBorder="1" applyNumberFormat="1">
      <alignment horizontal="center" vertical="center" wrapText="1" shrinkToFit="1"/>
    </xf>
    <xf numFmtId="49" fontId="22" fillId="0" borderId="11" xfId="0" applyFont="1" applyBorder="1" applyNumberFormat="1">
      <alignment horizontal="left" vertical="center" wrapText="1" shrinkToFit="1" indent="2"/>
    </xf>
    <xf numFmtId="0" fontId="19" fillId="0" borderId="11" xfId="0" applyFont="1" applyBorder="1">
      <alignment horizontal="left" vertical="center" wrapText="1" shrinkToFit="1" indent="1"/>
    </xf>
    <xf numFmtId="0" fontId="21" fillId="0" borderId="0" xfId="0" applyFont="1">
      <alignment vertical="top" wrapText="1"/>
    </xf>
    <xf numFmtId="0" fontId="22" fillId="0" borderId="0" xfId="0" applyFont="1">
      <alignment horizontal="center" vertical="center" wrapText="1" shrinkToFit="1"/>
    </xf>
    <xf numFmtId="49" fontId="22" fillId="0" borderId="0" xfId="0" applyFont="1" applyNumberFormat="1">
      <alignment horizontal="left" vertical="center" wrapText="1" shrinkToFit="1"/>
    </xf>
    <xf numFmtId="49" fontId="22" fillId="0" borderId="0" xfId="0" applyFont="1" applyNumberFormat="1">
      <alignment horizontal="center" vertical="center" wrapText="1" shrinkToFit="1"/>
    </xf>
    <xf numFmtId="0" fontId="19" fillId="0" borderId="0" xfId="0" applyFont="1">
      <alignment vertical="top"/>
    </xf>
    <xf numFmtId="0" fontId="19" fillId="4" borderId="0" xfId="0" applyFont="1" applyFill="1">
      <alignment vertical="top"/>
    </xf>
    <xf numFmtId="0" fontId="19" fillId="43" borderId="0" xfId="0" applyFont="1" applyFill="1">
      <alignment vertical="top"/>
    </xf>
    <xf numFmtId="0" fontId="50" fillId="0" borderId="0" xfId="0" applyFont="1">
      <alignment horizontal="center" vertical="center" wrapText="1"/>
    </xf>
    <xf numFmtId="0" fontId="19" fillId="40" borderId="18" xfId="0" applyFont="1" applyFill="1" applyBorder="1">
      <alignment horizontal="left" vertical="center"/>
    </xf>
    <xf numFmtId="49" fontId="19" fillId="40" borderId="18" xfId="0" applyFont="1" applyFill="1" applyBorder="1" applyNumberFormat="1">
      <alignment horizontal="left" vertical="center" wrapText="1"/>
    </xf>
    <xf numFmtId="49" fontId="19" fillId="40" borderId="29" xfId="0" applyFont="1" applyFill="1" applyBorder="1" applyNumberFormat="1">
      <alignment horizontal="left" vertical="center" wrapText="1"/>
    </xf>
    <xf numFmtId="0" fontId="19" fillId="0" borderId="11" xfId="0" applyFont="1" applyBorder="1">
      <alignment horizontal="left" vertical="center" wrapText="1" shrinkToFit="1" indent="2"/>
    </xf>
    <xf numFmtId="49" fontId="19" fillId="0" borderId="11" xfId="0" applyFont="1" applyBorder="1" applyNumberFormat="1">
      <alignment horizontal="left" vertical="center" wrapText="1" shrinkToFit="1"/>
    </xf>
    <xf numFmtId="49" fontId="19" fillId="0" borderId="38" xfId="0" applyFont="1" applyBorder="1" applyNumberFormat="1">
      <alignment horizontal="left" vertical="center" wrapText="1" shrinkToFit="1" indent="1"/>
    </xf>
    <xf numFmtId="49" fontId="22" fillId="0" borderId="38" xfId="0" applyFont="1" applyBorder="1" applyNumberFormat="1">
      <alignment vertical="center" wrapText="1"/>
    </xf>
    <xf numFmtId="0" fontId="23" fillId="0" borderId="0" xfId="0" applyFont="1">
      <alignment vertical="center"/>
    </xf>
    <xf numFmtId="49" fontId="19" fillId="0" borderId="38" xfId="0" applyFont="1" applyBorder="1" applyNumberFormat="1">
      <alignment horizontal="left" vertical="center" wrapText="1" indent="1"/>
    </xf>
    <xf numFmtId="172" fontId="19" fillId="34" borderId="11" xfId="0" applyFont="1" applyFill="1" applyBorder="1" applyNumberFormat="1">
      <alignment horizontal="right" vertical="center" wrapText="1"/>
      <protection locked="0"/>
    </xf>
    <xf numFmtId="49" fontId="19" fillId="0" borderId="11" xfId="0" applyFont="1" applyBorder="1" applyNumberFormat="1">
      <alignment horizontal="left" vertical="center" wrapText="1" indent="1"/>
    </xf>
    <xf numFmtId="0" fontId="50" fillId="0" borderId="0" xfId="0" applyFont="1">
      <alignment horizontal="center" vertical="center" wrapText="1"/>
    </xf>
    <xf numFmtId="0" fontId="21" fillId="0" borderId="0" xfId="0" applyFont="1">
      <alignment vertical="center"/>
    </xf>
    <xf numFmtId="0" fontId="21" fillId="43" borderId="0" xfId="0" applyFont="1" applyFill="1">
      <alignment vertical="center"/>
    </xf>
    <xf numFmtId="0" fontId="21" fillId="4" borderId="0" xfId="0" applyFont="1" applyFill="1">
      <alignment vertical="center"/>
    </xf>
    <xf numFmtId="0" fontId="21" fillId="0" borderId="0" xfId="0" applyFont="1"/>
    <xf numFmtId="49" fontId="40" fillId="0" borderId="13" xfId="0" applyFont="1" applyBorder="1" applyNumberFormat="1" quotePrefix="1">
      <alignment horizontal="left" vertical="center" indent="1"/>
    </xf>
    <xf numFmtId="49" fontId="40" fillId="0" borderId="13" xfId="0" applyFont="1" applyBorder="1" applyNumberFormat="1">
      <alignment vertical="center" wrapText="1"/>
    </xf>
    <xf numFmtId="49" fontId="40" fillId="0" borderId="13" xfId="0" applyFont="1" applyBorder="1" applyNumberFormat="1">
      <alignment horizontal="center" vertical="center" wrapText="1"/>
    </xf>
    <xf numFmtId="0" fontId="1" fillId="0" borderId="13" xfId="0" applyFont="1" applyBorder="1"/>
    <xf numFmtId="0" fontId="29" fillId="0" borderId="0" xfId="0" applyFont="1">
      <alignment vertical="center"/>
    </xf>
    <xf numFmtId="49" fontId="38" fillId="41" borderId="32" xfId="0" applyFont="1" applyFill="1" applyBorder="1" applyNumberFormat="1">
      <alignment vertical="center"/>
    </xf>
    <xf numFmtId="49" fontId="36" fillId="0" borderId="0" xfId="0" applyFont="1" applyNumberFormat="1">
      <alignment horizontal="center" vertical="center" wrapText="1"/>
    </xf>
    <xf numFmtId="49" fontId="38" fillId="41" borderId="30" xfId="0" applyFont="1" applyFill="1" applyBorder="1" applyNumberFormat="1">
      <alignment vertical="center"/>
    </xf>
    <xf numFmtId="49" fontId="38" fillId="41" borderId="18" xfId="0" applyFont="1" applyFill="1" applyBorder="1" applyNumberFormat="1">
      <alignment vertical="center"/>
    </xf>
    <xf numFmtId="0" fontId="21" fillId="41" borderId="18" xfId="0" applyFont="1" applyFill="1" applyBorder="1">
      <alignment vertical="center" wrapText="1"/>
    </xf>
    <xf numFmtId="0" fontId="21" fillId="41" borderId="18" xfId="0" applyFont="1" applyFill="1" applyBorder="1">
      <alignment vertical="center"/>
    </xf>
    <xf numFmtId="0" fontId="21" fillId="41" borderId="29" xfId="0" applyFont="1" applyFill="1" applyBorder="1">
      <alignment vertical="center"/>
    </xf>
    <xf numFmtId="0" fontId="21" fillId="11" borderId="37" xfId="0" applyFont="1" applyFill="1" applyBorder="1">
      <alignment horizontal="center" vertical="center" wrapText="1"/>
    </xf>
    <xf numFmtId="0" fontId="21" fillId="0" borderId="0" xfId="0" applyFont="1">
      <alignment horizontal="center" vertical="center" wrapText="1"/>
    </xf>
    <xf numFmtId="0" fontId="21" fillId="0" borderId="0" xfId="0" applyFont="1">
      <alignment horizontal="left" vertical="center"/>
    </xf>
    <xf numFmtId="0" fontId="40" fillId="0" borderId="0" xfId="0" applyFont="1">
      <alignment horizontal="left" vertical="center"/>
    </xf>
    <xf numFmtId="0" fontId="50" fillId="0" borderId="52" xfId="0" applyFont="1" applyBorder="1">
      <alignment horizontal="center" vertical="center" wrapText="1"/>
    </xf>
    <xf numFmtId="49" fontId="38" fillId="41" borderId="30" xfId="0" applyFont="1" applyFill="1" applyBorder="1" applyNumberFormat="1">
      <alignment vertical="center"/>
    </xf>
    <xf numFmtId="49" fontId="38" fillId="41" borderId="18" xfId="0" applyFont="1" applyFill="1" applyBorder="1" applyNumberFormat="1">
      <alignment vertical="center"/>
    </xf>
    <xf numFmtId="0" fontId="21" fillId="41" borderId="18" xfId="0" applyFont="1" applyFill="1" applyBorder="1">
      <alignment vertical="center" wrapText="1"/>
    </xf>
    <xf numFmtId="0" fontId="21" fillId="41" borderId="18" xfId="0" applyFont="1" applyFill="1" applyBorder="1">
      <alignment vertical="center"/>
    </xf>
    <xf numFmtId="0" fontId="21" fillId="41" borderId="29" xfId="0" applyFont="1" applyFill="1" applyBorder="1">
      <alignment vertical="center"/>
    </xf>
    <xf numFmtId="0" fontId="21" fillId="0" borderId="12" xfId="0" applyFont="1" applyBorder="1">
      <alignment horizontal="center" vertical="center" wrapText="1"/>
    </xf>
    <xf numFmtId="4" fontId="21" fillId="36" borderId="10" xfId="0" applyFont="1" applyFill="1" applyBorder="1" applyNumberFormat="1">
      <alignment horizontal="right" vertical="center" wrapText="1"/>
    </xf>
    <xf numFmtId="4" fontId="21" fillId="34" borderId="10" xfId="0" applyFont="1" applyFill="1" applyBorder="1" applyNumberFormat="1">
      <alignment horizontal="right" vertical="center" wrapText="1"/>
      <protection locked="0"/>
    </xf>
    <xf numFmtId="4" fontId="21" fillId="41" borderId="29" xfId="0" applyFont="1" applyFill="1" applyBorder="1" applyNumberFormat="1">
      <alignment horizontal="right" vertical="center" wrapText="1"/>
    </xf>
    <xf numFmtId="49" fontId="38" fillId="41" borderId="32" xfId="0" applyFont="1" applyFill="1" applyBorder="1" applyNumberFormat="1">
      <alignment horizontal="left" vertical="center" indent="2"/>
    </xf>
    <xf numFmtId="4" fontId="40" fillId="34" borderId="10" xfId="0" applyFont="1" applyFill="1" applyBorder="1" applyNumberFormat="1">
      <alignment horizontal="right" vertical="center" wrapText="1"/>
      <protection locked="0"/>
    </xf>
    <xf numFmtId="4" fontId="40" fillId="0" borderId="18" xfId="0" applyFont="1" applyBorder="1" applyNumberFormat="1">
      <alignment horizontal="right" vertical="center" wrapText="1"/>
    </xf>
    <xf numFmtId="0" fontId="29" fillId="0" borderId="0" xfId="0" applyFont="1">
      <alignment horizontal="left" vertical="center"/>
    </xf>
    <xf numFmtId="0" fontId="19" fillId="43" borderId="0" xfId="0" applyFont="1" applyFill="1">
      <alignment vertical="center"/>
    </xf>
    <xf numFmtId="0" fontId="19" fillId="0" borderId="0" xfId="0" applyFont="1">
      <alignment vertical="center"/>
    </xf>
    <xf numFmtId="49" fontId="38" fillId="41" borderId="30" xfId="0" applyFont="1" applyFill="1" applyBorder="1" applyNumberFormat="1">
      <alignment vertical="center"/>
    </xf>
    <xf numFmtId="49" fontId="38" fillId="41" borderId="18" xfId="0" applyFont="1" applyFill="1" applyBorder="1" applyNumberFormat="1">
      <alignment vertical="center"/>
    </xf>
    <xf numFmtId="0" fontId="21" fillId="41" borderId="18" xfId="0" applyFont="1" applyFill="1" applyBorder="1">
      <alignment vertical="center" wrapText="1"/>
    </xf>
    <xf numFmtId="0" fontId="21" fillId="41" borderId="29" xfId="0" applyFont="1" applyFill="1" applyBorder="1">
      <alignment vertical="center"/>
    </xf>
    <xf numFmtId="0" fontId="19" fillId="11" borderId="37" xfId="0" applyFont="1" applyFill="1" applyBorder="1">
      <alignment horizontal="center" vertical="center" wrapText="1"/>
    </xf>
    <xf numFmtId="0" fontId="19" fillId="0" borderId="0" xfId="0" applyFont="1">
      <alignment horizontal="center" vertical="center" wrapText="1"/>
    </xf>
    <xf numFmtId="0" fontId="36" fillId="0" borderId="0" xfId="0" applyFont="1">
      <alignment horizontal="center" vertical="center" wrapText="1"/>
    </xf>
    <xf numFmtId="49" fontId="38" fillId="41" borderId="30" xfId="0" applyFont="1" applyFill="1" applyBorder="1" applyNumberFormat="1">
      <alignment vertical="center"/>
    </xf>
    <xf numFmtId="49" fontId="38" fillId="41" borderId="18" xfId="0" applyFont="1" applyFill="1" applyBorder="1" applyNumberFormat="1">
      <alignment vertical="center"/>
    </xf>
    <xf numFmtId="0" fontId="21" fillId="41" borderId="18" xfId="0" applyFont="1" applyFill="1" applyBorder="1">
      <alignment vertical="center" wrapText="1"/>
    </xf>
    <xf numFmtId="0" fontId="21" fillId="41" borderId="18" xfId="0" applyFont="1" applyFill="1" applyBorder="1">
      <alignment vertical="center"/>
    </xf>
    <xf numFmtId="0" fontId="21" fillId="41" borderId="29" xfId="0" applyFont="1" applyFill="1" applyBorder="1">
      <alignment vertical="center"/>
    </xf>
    <xf numFmtId="4" fontId="21"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protection locked="0"/>
    </xf>
    <xf numFmtId="172" fontId="19" fillId="34" borderId="10" xfId="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21" fillId="0" borderId="0" xfId="0" applyFont="1"/>
    <xf numFmtId="0" fontId="21" fillId="0" borderId="0" xfId="0" applyFont="1">
      <alignment horizontal="left"/>
    </xf>
    <xf numFmtId="0" fontId="0" fillId="0" borderId="0" xfId="0" applyFont="1">
      <alignment horizontal="center"/>
    </xf>
    <xf numFmtId="0" fontId="21" fillId="43" borderId="0" xfId="0" applyFont="1" applyFill="1"/>
    <xf numFmtId="0" fontId="19" fillId="43" borderId="0" xfId="0" applyFont="1" applyFill="1"/>
    <xf numFmtId="0" fontId="21" fillId="4" borderId="0" xfId="0" applyFont="1" applyFill="1"/>
    <xf numFmtId="0" fontId="19" fillId="4" borderId="0" xfId="0" applyFont="1" applyFill="1"/>
    <xf numFmtId="0" fontId="19" fillId="0" borderId="0" xfId="0" applyFont="1">
      <alignment vertical="center"/>
    </xf>
    <xf numFmtId="0" fontId="0" fillId="0" borderId="0" xfId="0" applyFont="1">
      <alignment horizontal="center" vertical="center"/>
    </xf>
    <xf numFmtId="0" fontId="19" fillId="0" borderId="0" xfId="0" applyFont="1">
      <alignment vertical="top"/>
    </xf>
    <xf numFmtId="0" fontId="19" fillId="43" borderId="0" xfId="0" applyFont="1" applyFill="1">
      <alignment vertical="top"/>
    </xf>
    <xf numFmtId="0" fontId="21" fillId="0" borderId="0" xfId="0" applyFont="1">
      <alignment vertical="center" wrapText="1"/>
    </xf>
    <xf numFmtId="0" fontId="0" fillId="0" borderId="0" xfId="0" applyFont="1">
      <alignment horizontal="center" vertical="center" wrapText="1"/>
    </xf>
    <xf numFmtId="0" fontId="19" fillId="0" borderId="0" xfId="0" applyFont="1"/>
    <xf numFmtId="0" fontId="21" fillId="48" borderId="0" xfId="0" applyFont="1" applyFill="1">
      <alignment horizontal="center" vertical="center"/>
    </xf>
    <xf numFmtId="0" fontId="0" fillId="52" borderId="0" xfId="0" applyFont="1" applyFill="1">
      <alignment horizontal="center" vertical="center"/>
    </xf>
    <xf numFmtId="49" fontId="38" fillId="41" borderId="32" xfId="0" applyFont="1" applyFill="1" applyBorder="1" applyNumberFormat="1">
      <alignment vertical="center"/>
    </xf>
    <xf numFmtId="0" fontId="21" fillId="41" borderId="18" xfId="0" applyFont="1" applyFill="1" applyBorder="1">
      <alignment vertical="center"/>
    </xf>
    <xf numFmtId="0" fontId="19" fillId="48" borderId="0" xfId="0" applyFont="1" applyFill="1">
      <alignment horizontal="center" vertical="center"/>
    </xf>
    <xf numFmtId="49" fontId="19" fillId="0" borderId="0" xfId="0" applyFont="1" applyNumberFormat="1">
      <alignment vertical="top"/>
    </xf>
    <xf numFmtId="49" fontId="19" fillId="48" borderId="0" xfId="0" applyFont="1" applyFill="1" applyNumberFormat="1">
      <alignment horizontal="center" vertical="center"/>
    </xf>
    <xf numFmtId="0" fontId="21" fillId="0" borderId="0" xfId="0" applyFont="1">
      <alignment horizontal="center" vertical="center"/>
    </xf>
    <xf numFmtId="49" fontId="19" fillId="0" borderId="0" xfId="0" applyFont="1" applyNumberFormat="1">
      <alignment horizontal="center" vertical="center"/>
    </xf>
    <xf numFmtId="4" fontId="22" fillId="36" borderId="10" xfId="0" applyFont="1" applyFill="1" applyBorder="1" applyNumberFormat="1">
      <alignment horizontal="right" vertical="center"/>
    </xf>
    <xf numFmtId="0" fontId="19" fillId="0" borderId="0" xfId="0" applyFont="1">
      <alignment vertical="top" wrapText="1"/>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0" xfId="0" applyFont="1"/>
    <xf numFmtId="0" fontId="21" fillId="0" borderId="0" xfId="0" applyFont="1">
      <alignment wrapText="1"/>
    </xf>
    <xf numFmtId="0" fontId="21" fillId="0" borderId="0" xfId="0" applyFont="1"/>
    <xf numFmtId="0" fontId="21" fillId="0" borderId="0" xfId="0" applyFont="1">
      <alignment horizontal="left"/>
    </xf>
    <xf numFmtId="0" fontId="21" fillId="48" borderId="0" xfId="0" applyFont="1" applyFill="1">
      <alignment horizontal="center" vertical="center"/>
    </xf>
    <xf numFmtId="0" fontId="0" fillId="25" borderId="0" xfId="0" applyFont="1" applyFill="1">
      <alignment horizontal="center"/>
    </xf>
    <xf numFmtId="0" fontId="0" fillId="0" borderId="0" xfId="0" applyFont="1">
      <alignment horizontal="left"/>
    </xf>
    <xf numFmtId="0" fontId="0" fillId="0" borderId="0" xfId="0" applyFont="1">
      <alignment horizontal="center" wrapText="1"/>
    </xf>
    <xf numFmtId="0" fontId="0" fillId="0" borderId="0" xfId="0" applyFont="1">
      <alignment horizontal="center"/>
    </xf>
    <xf numFmtId="0" fontId="21" fillId="43" borderId="0" xfId="0" applyFont="1" applyFill="1"/>
    <xf numFmtId="0" fontId="21" fillId="43" borderId="0" xfId="0" applyFont="1" applyFill="1">
      <alignment horizontal="left"/>
    </xf>
    <xf numFmtId="0" fontId="19" fillId="43" borderId="0" xfId="0" applyFont="1" applyFill="1"/>
    <xf numFmtId="0" fontId="21" fillId="43" borderId="0" xfId="0" applyFont="1" applyFill="1">
      <alignment wrapText="1"/>
    </xf>
    <xf numFmtId="0" fontId="21" fillId="4" borderId="0" xfId="0" applyFont="1" applyFill="1"/>
    <xf numFmtId="0" fontId="0" fillId="4" borderId="0" xfId="0" applyFont="1" applyFill="1">
      <alignment horizontal="center"/>
    </xf>
    <xf numFmtId="0" fontId="21" fillId="4" borderId="0" xfId="0" applyFont="1" applyFill="1">
      <alignment horizontal="left"/>
    </xf>
    <xf numFmtId="0" fontId="19" fillId="4" borderId="0" xfId="0" applyFont="1" applyFill="1"/>
    <xf numFmtId="0" fontId="21" fillId="4" borderId="0" xfId="0" applyFont="1" applyFill="1">
      <alignment wrapText="1"/>
    </xf>
    <xf numFmtId="0" fontId="19" fillId="0" borderId="0" xfId="0" applyFont="1">
      <alignment vertical="center"/>
    </xf>
    <xf numFmtId="0" fontId="19" fillId="0" borderId="0" xfId="0" applyFont="1">
      <alignment horizontal="left" vertical="center"/>
    </xf>
    <xf numFmtId="0" fontId="0" fillId="0" borderId="0" xfId="0" applyFont="1">
      <alignment horizontal="left" vertical="center"/>
    </xf>
    <xf numFmtId="0" fontId="21" fillId="0" borderId="0" xfId="0" applyFont="1">
      <alignment horizontal="center" vertical="center"/>
    </xf>
    <xf numFmtId="0" fontId="22" fillId="0" borderId="57" xfId="0" applyFont="1" applyBorder="1" quotePrefix="1">
      <alignment horizontal="left" vertical="center" indent="1"/>
    </xf>
    <xf numFmtId="0" fontId="39" fillId="0" borderId="57" xfId="0" applyFont="1" applyBorder="1">
      <alignment vertical="center"/>
    </xf>
    <xf numFmtId="0" fontId="39" fillId="0" borderId="57" xfId="0" applyFont="1" applyBorder="1"/>
    <xf numFmtId="0" fontId="21" fillId="43" borderId="0" xfId="0" applyFont="1" applyFill="1">
      <alignment horizontal="center"/>
    </xf>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30" fillId="0" borderId="0" xfId="0" applyFont="1">
      <alignment vertical="center" wrapText="1"/>
    </xf>
    <xf numFmtId="0" fontId="19" fillId="0" borderId="11" xfId="0" applyFont="1" applyBorder="1">
      <alignment horizontal="center" vertical="center" wrapText="1"/>
    </xf>
    <xf numFmtId="0" fontId="19" fillId="53" borderId="11" xfId="0" applyFont="1" applyFill="1" applyBorder="1">
      <alignment horizontal="center" vertical="center" wrapText="1"/>
    </xf>
    <xf numFmtId="0" fontId="21" fillId="0" borderId="11" xfId="0" applyFont="1" applyBorder="1">
      <alignment horizontal="center" vertical="center" wrapText="1"/>
    </xf>
    <xf numFmtId="0" fontId="21" fillId="53" borderId="58" xfId="0" applyFont="1" applyFill="1" applyBorder="1">
      <alignment horizontal="center" vertical="center" wrapText="1"/>
    </xf>
    <xf numFmtId="0" fontId="19" fillId="0" borderId="0" xfId="0" applyFont="1">
      <alignment vertical="top"/>
    </xf>
    <xf numFmtId="0" fontId="0" fillId="0" borderId="0" xfId="0" applyFont="1">
      <alignment horizontal="center" vertical="top"/>
    </xf>
    <xf numFmtId="0" fontId="19" fillId="43" borderId="0" xfId="0" applyFont="1" applyFill="1">
      <alignment vertical="top"/>
    </xf>
    <xf numFmtId="0" fontId="19" fillId="0" borderId="59" xfId="0" applyFont="1" applyBorder="1">
      <alignment horizontal="center" vertical="center" wrapText="1"/>
    </xf>
    <xf numFmtId="0" fontId="21" fillId="0" borderId="0" xfId="0" applyFont="1">
      <alignment vertical="center" wrapText="1"/>
    </xf>
    <xf numFmtId="0" fontId="21" fillId="0" borderId="0" xfId="0" applyFont="1">
      <alignment horizontal="right" vertical="center"/>
    </xf>
    <xf numFmtId="0" fontId="0" fillId="0" borderId="0" xfId="0" applyFont="1">
      <alignment horizontal="center" vertical="center" wrapText="1"/>
    </xf>
    <xf numFmtId="0" fontId="21" fillId="43" borderId="0" xfId="0" applyFont="1" applyFill="1">
      <alignment vertical="center" wrapText="1"/>
    </xf>
    <xf numFmtId="0" fontId="37" fillId="40" borderId="59" xfId="0" applyFont="1" applyFill="1" applyBorder="1">
      <alignment horizontal="left" vertical="center"/>
    </xf>
    <xf numFmtId="0" fontId="37" fillId="40" borderId="60" xfId="0" applyFont="1" applyFill="1" applyBorder="1">
      <alignment horizontal="left" vertical="center"/>
    </xf>
    <xf numFmtId="49" fontId="37" fillId="40" borderId="60" xfId="0" applyFont="1" applyFill="1" applyBorder="1" applyNumberFormat="1">
      <alignment horizontal="left" vertical="center" wrapText="1"/>
    </xf>
    <xf numFmtId="0" fontId="19" fillId="0" borderId="11" xfId="0" applyFont="1" applyBorder="1">
      <alignment horizontal="center" vertical="center"/>
    </xf>
    <xf numFmtId="0" fontId="21" fillId="0" borderId="11" xfId="0" applyFont="1" applyBorder="1">
      <alignment vertical="center" wrapText="1"/>
    </xf>
    <xf numFmtId="0" fontId="21" fillId="0" borderId="11" xfId="0" applyFont="1" applyBorder="1">
      <alignment horizontal="center" vertical="center"/>
    </xf>
    <xf numFmtId="172" fontId="21" fillId="34" borderId="11" xfId="0" applyFont="1" applyFill="1" applyBorder="1" applyNumberFormat="1">
      <alignment horizontal="right" vertical="center"/>
      <protection locked="0"/>
    </xf>
    <xf numFmtId="0" fontId="21" fillId="0" borderId="11" xfId="0" applyFont="1" applyBorder="1">
      <alignment horizontal="left" vertical="center" wrapText="1"/>
    </xf>
    <xf numFmtId="0" fontId="21" fillId="0" borderId="0" xfId="0" applyFont="1">
      <alignment wrapText="1"/>
    </xf>
    <xf numFmtId="0" fontId="19" fillId="0" borderId="0" xfId="0" applyFont="1"/>
    <xf numFmtId="0" fontId="19" fillId="0" borderId="11" xfId="0" applyFont="1" applyBorder="1">
      <alignment horizontal="right" vertical="center" wrapText="1" indent="1"/>
    </xf>
    <xf numFmtId="0" fontId="21" fillId="0" borderId="0" xfId="0" applyFont="1">
      <alignment horizontal="center"/>
    </xf>
    <xf numFmtId="0" fontId="19" fillId="0" borderId="11" xfId="0" applyFont="1" applyBorder="1">
      <alignment horizontal="center" vertical="center" wrapText="1"/>
    </xf>
    <xf numFmtId="0" fontId="21" fillId="0" borderId="0" xfId="0" applyFont="1">
      <alignment horizontal="center" vertical="center" wrapText="1"/>
    </xf>
    <xf numFmtId="0" fontId="19" fillId="0" borderId="0" xfId="0" applyFont="1">
      <alignment horizontal="center"/>
    </xf>
    <xf numFmtId="0" fontId="1" fillId="0" borderId="0" xfId="0" applyFont="1"/>
    <xf numFmtId="0" fontId="51" fillId="0" borderId="0" xfId="0" applyFont="1">
      <alignment wrapText="1"/>
    </xf>
    <xf numFmtId="0" fontId="19" fillId="0" borderId="0" xfId="0" applyFont="1">
      <alignment horizontal="left" vertical="center"/>
    </xf>
    <xf numFmtId="0" fontId="21" fillId="0" borderId="0" xfId="0" applyFont="1">
      <alignment wrapText="1"/>
    </xf>
    <xf numFmtId="0" fontId="72" fillId="0" borderId="0" xfId="0" applyFont="1">
      <alignment vertical="center" wrapText="1"/>
    </xf>
    <xf numFmtId="0" fontId="25" fillId="0" borderId="0" xfId="0" applyFont="1">
      <alignment vertical="center"/>
    </xf>
    <xf numFmtId="0" fontId="28" fillId="54" borderId="61" xfId="0" applyFont="1" applyFill="1" applyBorder="1">
      <alignment horizontal="center" vertical="center" wrapText="1"/>
    </xf>
    <xf numFmtId="0" fontId="28" fillId="54" borderId="62" xfId="0" applyFont="1" applyFill="1" applyBorder="1">
      <alignment horizontal="center" vertical="center" wrapText="1"/>
    </xf>
    <xf numFmtId="0" fontId="28" fillId="54" borderId="63" xfId="0" applyFont="1" applyFill="1" applyBorder="1">
      <alignment horizontal="center" vertical="center" wrapText="1"/>
    </xf>
    <xf numFmtId="0" fontId="28" fillId="43" borderId="45" xfId="0" applyFont="1" applyFill="1" applyBorder="1">
      <alignment horizontal="right" vertical="center" wrapText="1" indent="1"/>
    </xf>
    <xf numFmtId="0" fontId="28" fillId="43" borderId="64" xfId="0" applyFont="1" applyFill="1" applyBorder="1">
      <alignment horizontal="right" vertical="center" wrapText="1" indent="1"/>
    </xf>
    <xf numFmtId="0" fontId="28" fillId="43" borderId="0" xfId="0" applyFont="1" applyFill="1">
      <alignment horizontal="right" vertical="center" wrapText="1" indent="1"/>
    </xf>
    <xf numFmtId="0" fontId="56" fillId="0" borderId="45" xfId="0" applyFont="1" applyBorder="1">
      <alignment vertical="center" wrapText="1"/>
    </xf>
    <xf numFmtId="0" fontId="56" fillId="0" borderId="0" xfId="0" applyFont="1">
      <alignment vertical="center" wrapText="1"/>
    </xf>
    <xf numFmtId="0" fontId="56" fillId="0" borderId="45" xfId="0" applyFont="1" applyBorder="1">
      <alignment horizontal="left" vertical="center" wrapText="1"/>
    </xf>
    <xf numFmtId="0" fontId="56" fillId="0" borderId="0" xfId="0" applyFont="1">
      <alignment horizontal="left" vertical="center" wrapText="1"/>
    </xf>
    <xf numFmtId="0" fontId="76" fillId="0" borderId="0" xfId="0" applyFont="1">
      <alignment vertical="top" wrapText="1"/>
    </xf>
    <xf numFmtId="0" fontId="28" fillId="43" borderId="53" xfId="0" applyFont="1" applyFill="1" applyBorder="1">
      <alignment horizontal="right" vertical="center" wrapText="1" indent="1"/>
    </xf>
    <xf numFmtId="0" fontId="28" fillId="43" borderId="65" xfId="0" applyFont="1" applyFill="1" applyBorder="1">
      <alignment horizontal="right" vertical="center" wrapText="1" indent="1"/>
    </xf>
    <xf numFmtId="0" fontId="28" fillId="43" borderId="31" xfId="0" applyFont="1" applyFill="1" applyBorder="1">
      <alignment horizontal="right" vertical="center" wrapText="1" indent="1"/>
    </xf>
    <xf numFmtId="0" fontId="28" fillId="43" borderId="32" xfId="0" applyFont="1" applyFill="1" applyBorder="1">
      <alignment horizontal="right" vertical="center" wrapText="1" indent="1"/>
    </xf>
    <xf numFmtId="0" fontId="56" fillId="0" borderId="0" xfId="0" applyFont="1">
      <alignment vertical="top" wrapText="1"/>
    </xf>
    <xf numFmtId="49" fontId="54" fillId="0" borderId="0" xfId="0" applyFont="1" applyNumberFormat="1">
      <alignment vertical="top" wrapText="1"/>
    </xf>
    <xf numFmtId="0" fontId="19" fillId="0" borderId="11" xfId="0" applyFont="1" applyBorder="1">
      <alignment horizontal="right" vertical="center" wrapText="1" indent="1"/>
    </xf>
    <xf numFmtId="0" fontId="50" fillId="0" borderId="52" xfId="0" applyFont="1" applyBorder="1">
      <alignment horizontal="center" vertical="top" wrapText="1"/>
    </xf>
    <xf numFmtId="0" fontId="19" fillId="0" borderId="12" xfId="0" applyFont="1" applyBorder="1">
      <alignment horizontal="center" vertical="center" textRotation="90" wrapText="1"/>
    </xf>
    <xf numFmtId="0" fontId="19" fillId="0" borderId="66" xfId="0" applyFont="1" applyBorder="1">
      <alignment horizontal="center" vertical="center" textRotation="90" wrapText="1"/>
    </xf>
    <xf numFmtId="0" fontId="19" fillId="0" borderId="46" xfId="0" applyFont="1" applyBorder="1">
      <alignment horizontal="center" vertical="center" textRotation="90" wrapText="1"/>
    </xf>
    <xf numFmtId="0" fontId="19" fillId="0" borderId="11" xfId="0" applyFont="1" applyBorder="1">
      <alignment horizontal="center" vertical="center" textRotation="90" wrapText="1"/>
    </xf>
    <xf numFmtId="0" fontId="19" fillId="0" borderId="67" xfId="0" applyFont="1" applyBorder="1">
      <alignment horizontal="right" vertical="center" wrapText="1" indent="1"/>
    </xf>
    <xf numFmtId="0" fontId="19" fillId="0" borderId="52" xfId="0" applyFont="1" applyBorder="1">
      <alignment horizontal="right" vertical="center" wrapText="1" indent="1"/>
    </xf>
    <xf numFmtId="0" fontId="19" fillId="0" borderId="68" xfId="0" applyFont="1" applyBorder="1">
      <alignment horizontal="right" vertical="center" wrapText="1" indent="1"/>
    </xf>
    <xf numFmtId="0" fontId="19" fillId="0" borderId="49" xfId="0" applyFont="1" applyBorder="1">
      <alignment horizontal="right" vertical="center" wrapText="1" indent="1"/>
    </xf>
    <xf numFmtId="0" fontId="19" fillId="0" borderId="37" xfId="0" applyFont="1" applyBorder="1">
      <alignment horizontal="right" vertical="center" wrapText="1" indent="1"/>
    </xf>
    <xf numFmtId="0" fontId="19" fillId="0" borderId="38" xfId="0" applyFont="1" applyBorder="1">
      <alignment horizontal="right" vertical="center" wrapText="1" indent="1"/>
    </xf>
    <xf numFmtId="0" fontId="19" fillId="0" borderId="23" xfId="0" applyFont="1" applyBorder="1">
      <alignment horizontal="right" vertical="center" wrapText="1" indent="1"/>
    </xf>
    <xf numFmtId="0" fontId="21" fillId="0" borderId="11" xfId="0" applyFont="1" applyBorder="1">
      <alignment horizontal="right" vertical="center" wrapText="1" indent="1"/>
    </xf>
    <xf numFmtId="0" fontId="19" fillId="0" borderId="30" xfId="0" applyFont="1" applyBorder="1">
      <alignment horizontal="right" vertical="center" wrapText="1" indent="1"/>
    </xf>
    <xf numFmtId="0" fontId="19" fillId="0" borderId="18" xfId="0" applyFont="1" applyBorder="1">
      <alignment horizontal="right" vertical="center" wrapText="1" indent="1"/>
    </xf>
    <xf numFmtId="0" fontId="19" fillId="0" borderId="29" xfId="0" applyFont="1" applyBorder="1">
      <alignment horizontal="right" vertical="center" wrapText="1" indent="1"/>
    </xf>
    <xf numFmtId="49" fontId="40" fillId="55" borderId="11" xfId="0" applyFont="1" applyFill="1" applyBorder="1" applyNumberFormat="1">
      <alignment horizontal="center" vertical="center" wrapText="1"/>
    </xf>
    <xf numFmtId="0" fontId="22" fillId="42" borderId="11" xfId="0" applyFont="1" applyFill="1" applyBorder="1">
      <alignment horizontal="center" vertical="center"/>
      <protection locked="0"/>
    </xf>
    <xf numFmtId="49" fontId="40" fillId="56" borderId="11" xfId="0" applyFont="1" applyFill="1" applyBorder="1" applyNumberFormat="1">
      <alignment horizontal="center" vertical="center" wrapText="1"/>
    </xf>
    <xf numFmtId="0" fontId="22" fillId="50" borderId="11" xfId="0" applyFont="1" applyFill="1" applyBorder="1">
      <alignment horizontal="center" vertical="center"/>
    </xf>
    <xf numFmtId="0" fontId="40" fillId="55" borderId="11" xfId="0" applyFont="1" applyFill="1" applyBorder="1">
      <alignment horizontal="center" vertical="center" wrapText="1"/>
    </xf>
    <xf numFmtId="0" fontId="22" fillId="55" borderId="11" xfId="0" applyFont="1" applyFill="1" applyBorder="1">
      <alignment horizontal="center" vertical="center" wrapText="1"/>
    </xf>
    <xf numFmtId="0" fontId="19" fillId="0" borderId="37" xfId="0" applyFont="1" applyBorder="1">
      <alignment vertical="center"/>
    </xf>
    <xf numFmtId="0" fontId="19" fillId="0" borderId="38" xfId="0" applyFont="1" applyBorder="1">
      <alignment vertical="center"/>
    </xf>
    <xf numFmtId="0" fontId="19" fillId="0" borderId="23" xfId="0" applyFont="1" applyBorder="1">
      <alignment vertical="center"/>
    </xf>
    <xf numFmtId="0" fontId="23" fillId="0" borderId="0" xfId="0" applyFont="1">
      <alignment horizontal="center" vertical="center"/>
    </xf>
    <xf numFmtId="49" fontId="22" fillId="55" borderId="11" xfId="0" applyFont="1" applyFill="1" applyBorder="1" applyNumberFormat="1">
      <alignment horizontal="left" vertical="center" wrapText="1" indent="4"/>
    </xf>
    <xf numFmtId="0" fontId="23" fillId="0" borderId="66" xfId="0" applyFont="1" applyBorder="1">
      <alignment vertical="center" wrapText="1"/>
    </xf>
    <xf numFmtId="0" fontId="22" fillId="0" borderId="0" xfId="0" applyFont="1">
      <alignment vertical="center" wrapText="1"/>
    </xf>
    <xf numFmtId="0" fontId="23" fillId="0" borderId="12" xfId="0" applyFont="1" applyBorder="1">
      <alignment vertical="center" wrapText="1"/>
    </xf>
    <xf numFmtId="0" fontId="23" fillId="0" borderId="0" xfId="0" applyFont="1">
      <alignment horizontal="center" vertical="top"/>
    </xf>
    <xf numFmtId="49" fontId="65" fillId="0" borderId="0" xfId="0" applyFont="1" applyNumberFormat="1">
      <alignment horizontal="center" vertical="top" wrapText="1"/>
    </xf>
    <xf numFmtId="0" fontId="19" fillId="0" borderId="45" xfId="0" applyFont="1" applyBorder="1">
      <alignment horizontal="center" vertical="center" wrapText="1"/>
    </xf>
    <xf numFmtId="0" fontId="19" fillId="0" borderId="64" xfId="0" applyFont="1" applyBorder="1">
      <alignment horizontal="center" vertical="center" wrapText="1"/>
    </xf>
    <xf numFmtId="0" fontId="19" fillId="0" borderId="31" xfId="0" applyFont="1" applyBorder="1">
      <alignment horizontal="center" vertical="center" wrapText="1"/>
    </xf>
    <xf numFmtId="0" fontId="19" fillId="0" borderId="56" xfId="0" applyFont="1" applyBorder="1">
      <alignment horizontal="center" vertical="center" wrapText="1"/>
    </xf>
    <xf numFmtId="49" fontId="19" fillId="0" borderId="10" xfId="0" applyFont="1" applyBorder="1" applyNumberFormat="1">
      <alignment horizontal="right" vertical="center" wrapText="1"/>
    </xf>
    <xf numFmtId="0" fontId="23" fillId="0" borderId="46" xfId="0" applyFont="1" applyBorder="1">
      <alignment vertical="center" wrapText="1"/>
    </xf>
    <xf numFmtId="0" fontId="40" fillId="55" borderId="12" xfId="0" applyFont="1" applyFill="1" applyBorder="1">
      <alignment horizontal="left" vertical="center" wrapText="1" indent="4"/>
    </xf>
    <xf numFmtId="0" fontId="40" fillId="55" borderId="11" xfId="0" applyFont="1" applyFill="1" applyBorder="1">
      <alignment horizontal="left" vertical="center" wrapText="1" indent="4"/>
    </xf>
    <xf numFmtId="0" fontId="19" fillId="42" borderId="53" xfId="0" applyFont="1" applyFill="1" applyBorder="1">
      <alignment horizontal="center" vertical="center" wrapText="1"/>
      <protection locked="0"/>
    </xf>
    <xf numFmtId="0" fontId="19" fillId="42" borderId="65" xfId="0" applyFont="1" applyFill="1" applyBorder="1">
      <alignment horizontal="center" vertical="center" wrapText="1"/>
      <protection locked="0"/>
    </xf>
    <xf numFmtId="0" fontId="19" fillId="42" borderId="45" xfId="0" applyFont="1" applyFill="1" applyBorder="1">
      <alignment horizontal="center" vertical="center" wrapText="1"/>
      <protection locked="0"/>
    </xf>
    <xf numFmtId="0" fontId="19" fillId="42" borderId="64" xfId="0" applyFont="1" applyFill="1" applyBorder="1">
      <alignment horizontal="center" vertical="center" wrapText="1"/>
      <protection locked="0"/>
    </xf>
    <xf numFmtId="0" fontId="19" fillId="42" borderId="31" xfId="0" applyFont="1" applyFill="1" applyBorder="1">
      <alignment horizontal="center" vertical="center" wrapText="1"/>
      <protection locked="0"/>
    </xf>
    <xf numFmtId="0" fontId="19" fillId="42" borderId="56" xfId="0" applyFont="1" applyFill="1" applyBorder="1">
      <alignment horizontal="center" vertical="center" wrapText="1"/>
      <protection locked="0"/>
    </xf>
    <xf numFmtId="0" fontId="23" fillId="0" borderId="64" xfId="0" applyFont="1" applyBorder="1">
      <alignment horizontal="center" vertical="center"/>
    </xf>
    <xf numFmtId="0" fontId="22" fillId="0" borderId="13" xfId="0" applyFont="1" applyBorder="1" quotePrefix="1">
      <alignment horizontal="left" vertical="center" wrapText="1" indent="1"/>
    </xf>
    <xf numFmtId="0" fontId="22" fillId="0" borderId="13" xfId="0" applyFont="1" applyBorder="1">
      <alignment horizontal="left" vertical="center" wrapText="1" indent="1"/>
    </xf>
    <xf numFmtId="0" fontId="21" fillId="0" borderId="0" xfId="0" applyFont="1">
      <alignment horizontal="center" vertical="top" wrapText="1"/>
    </xf>
    <xf numFmtId="0" fontId="70" fillId="0" borderId="0" xfId="0" applyFont="1">
      <alignment horizontal="center" vertical="center" wrapText="1"/>
    </xf>
    <xf numFmtId="0" fontId="21" fillId="0" borderId="0" xfId="0" applyFont="1">
      <alignment horizontal="center" vertical="center"/>
    </xf>
    <xf numFmtId="0" fontId="21" fillId="0" borderId="0" xfId="0" applyFont="1">
      <alignment horizontal="center"/>
    </xf>
    <xf numFmtId="49" fontId="19" fillId="34" borderId="37" xfId="0" applyFont="1" applyFill="1" applyBorder="1" applyNumberFormat="1">
      <alignment horizontal="left" vertical="center" wrapText="1"/>
      <protection locked="0"/>
    </xf>
    <xf numFmtId="49" fontId="19" fillId="34" borderId="38" xfId="0" applyFont="1" applyFill="1" applyBorder="1" applyNumberFormat="1">
      <alignment horizontal="left" vertical="center" wrapText="1"/>
      <protection locked="0"/>
    </xf>
    <xf numFmtId="49" fontId="19" fillId="34" borderId="23" xfId="0" applyFont="1" applyFill="1" applyBorder="1" applyNumberFormat="1">
      <alignment horizontal="left" vertical="center" wrapText="1"/>
      <protection locked="0"/>
    </xf>
    <xf numFmtId="0" fontId="19" fillId="0" borderId="33" xfId="0" applyFont="1" applyBorder="1">
      <alignment horizontal="center" vertical="center" wrapText="1"/>
    </xf>
    <xf numFmtId="0" fontId="19" fillId="0" borderId="41" xfId="0" applyFont="1" applyBorder="1">
      <alignment horizontal="center" vertical="center" wrapText="1"/>
    </xf>
    <xf numFmtId="0" fontId="19" fillId="0" borderId="69" xfId="0" applyFont="1" applyBorder="1">
      <alignment horizontal="center" vertical="center" wrapText="1"/>
    </xf>
    <xf numFmtId="0" fontId="19" fillId="34" borderId="19" xfId="0" applyFont="1" applyFill="1" applyBorder="1">
      <alignment horizontal="left" vertical="center" wrapText="1"/>
      <protection locked="0"/>
    </xf>
    <xf numFmtId="0" fontId="19" fillId="34" borderId="20" xfId="0" applyFont="1" applyFill="1" applyBorder="1">
      <alignment horizontal="left" vertical="center" wrapText="1"/>
      <protection locked="0"/>
    </xf>
    <xf numFmtId="0" fontId="19" fillId="34" borderId="21" xfId="0" applyFont="1" applyFill="1" applyBorder="1">
      <alignment horizontal="left" vertical="center" wrapText="1"/>
      <protection locked="0"/>
    </xf>
    <xf numFmtId="0" fontId="19" fillId="34" borderId="70" xfId="0" applyFont="1" applyFill="1" applyBorder="1">
      <alignment horizontal="left" vertical="center" wrapText="1"/>
      <protection locked="0"/>
    </xf>
    <xf numFmtId="0" fontId="19" fillId="34" borderId="18" xfId="0" applyFont="1" applyFill="1" applyBorder="1">
      <alignment horizontal="left" vertical="center" wrapText="1"/>
      <protection locked="0"/>
    </xf>
    <xf numFmtId="0" fontId="19" fillId="34" borderId="51" xfId="0" applyFont="1" applyFill="1" applyBorder="1">
      <alignment horizontal="left" vertical="center" wrapText="1"/>
      <protection locked="0"/>
    </xf>
    <xf numFmtId="49" fontId="22" fillId="0" borderId="0" xfId="0" applyFont="1" applyNumberFormat="1">
      <alignment horizontal="center" vertical="center" wrapText="1" shrinkToFit="1"/>
    </xf>
    <xf numFmtId="49" fontId="19" fillId="0" borderId="11" xfId="0" applyFont="1" applyBorder="1" applyNumberFormat="1">
      <alignment horizontal="center" vertical="center" wrapText="1"/>
    </xf>
    <xf numFmtId="0" fontId="21" fillId="0" borderId="12" xfId="0" applyFont="1" applyBorder="1">
      <alignment horizontal="center" vertical="center" wrapText="1"/>
    </xf>
    <xf numFmtId="0" fontId="21" fillId="0" borderId="46" xfId="0" applyFont="1" applyBorder="1">
      <alignment horizontal="center" vertical="center" wrapText="1"/>
    </xf>
    <xf numFmtId="0" fontId="21" fillId="0" borderId="0" xfId="0" applyFont="1">
      <alignment horizontal="center" vertical="top"/>
    </xf>
    <xf numFmtId="0" fontId="19" fillId="0" borderId="11" xfId="0" applyFont="1" applyBorder="1">
      <alignment horizontal="center" vertical="center" wrapText="1"/>
    </xf>
    <xf numFmtId="0" fontId="21" fillId="0" borderId="0" xfId="0" applyFont="1">
      <alignment horizontal="center" vertical="center" wrapText="1"/>
    </xf>
    <xf numFmtId="0" fontId="19" fillId="0" borderId="22" xfId="0" applyFont="1" applyBorder="1">
      <alignment horizontal="center" vertical="center" wrapText="1"/>
    </xf>
    <xf numFmtId="0" fontId="77" fillId="0" borderId="22" xfId="0" applyFont="1" applyBorder="1">
      <alignment vertical="center"/>
    </xf>
    <xf numFmtId="0" fontId="19" fillId="34" borderId="71" xfId="0" applyFont="1" applyFill="1" applyBorder="1">
      <alignment horizontal="left" vertical="center" wrapText="1"/>
      <protection locked="0"/>
    </xf>
    <xf numFmtId="0" fontId="19" fillId="34" borderId="0" xfId="0" applyFont="1" applyFill="1">
      <alignment horizontal="left" vertical="center" wrapText="1"/>
      <protection locked="0"/>
    </xf>
    <xf numFmtId="0" fontId="19" fillId="34" borderId="72" xfId="0" applyFont="1" applyFill="1" applyBorder="1">
      <alignment horizontal="left" vertical="center" wrapText="1"/>
      <protection locked="0"/>
    </xf>
    <xf numFmtId="0" fontId="19" fillId="34" borderId="73" xfId="0" applyFont="1" applyFill="1" applyBorder="1">
      <alignment horizontal="left" vertical="center" wrapText="1"/>
      <protection locked="0"/>
    </xf>
    <xf numFmtId="0" fontId="19" fillId="34" borderId="24" xfId="0" applyFont="1" applyFill="1" applyBorder="1">
      <alignment horizontal="left" vertical="center" wrapText="1"/>
      <protection locked="0"/>
    </xf>
    <xf numFmtId="0" fontId="19" fillId="34" borderId="74" xfId="0" applyFont="1" applyFill="1" applyBorder="1">
      <alignment horizontal="left" vertical="center" wrapText="1"/>
      <protection locked="0"/>
    </xf>
    <xf numFmtId="0" fontId="19" fillId="0" borderId="10" xfId="0" applyFont="1" applyBorder="1">
      <alignment horizontal="center" vertical="center" wrapText="1"/>
    </xf>
    <xf numFmtId="0" fontId="21" fillId="0" borderId="11" xfId="0" applyFont="1" applyBorder="1">
      <alignment horizontal="center" vertical="center" wrapText="1"/>
    </xf>
    <xf numFmtId="0" fontId="21" fillId="0" borderId="30" xfId="0" applyFont="1" applyBorder="1">
      <alignment horizontal="center" vertical="center" wrapText="1"/>
    </xf>
    <xf numFmtId="0" fontId="19" fillId="33" borderId="10" xfId="0" applyFont="1" applyFill="1" applyBorder="1">
      <alignment horizontal="center" vertical="center" wrapText="1"/>
    </xf>
    <xf numFmtId="0" fontId="22" fillId="0" borderId="0" xfId="0" applyFont="1">
      <alignment horizontal="center"/>
    </xf>
    <xf numFmtId="49" fontId="0" fillId="0" borderId="10" xfId="0" applyFont="1" applyBorder="1" applyNumberFormat="1">
      <alignment horizontal="center" vertical="center" wrapText="1"/>
    </xf>
    <xf numFmtId="49" fontId="0" fillId="0" borderId="25" xfId="0" applyFont="1" applyBorder="1" applyNumberFormat="1">
      <alignment horizontal="center" vertical="center" wrapText="1"/>
    </xf>
    <xf numFmtId="49" fontId="0" fillId="0" borderId="75" xfId="0" applyFont="1" applyBorder="1" applyNumberFormat="1">
      <alignment horizontal="center" vertical="center" wrapText="1"/>
    </xf>
    <xf numFmtId="49" fontId="0" fillId="0" borderId="76" xfId="0" applyFont="1" applyBorder="1" applyNumberFormat="1">
      <alignment horizontal="center" vertical="center" wrapText="1"/>
    </xf>
    <xf numFmtId="3" fontId="0" fillId="0" borderId="10" xfId="0" applyFont="1" applyBorder="1" applyNumberFormat="1">
      <alignment horizontal="center" vertical="center" wrapText="1"/>
    </xf>
    <xf numFmtId="0" fontId="19" fillId="0" borderId="30" xfId="0" applyFont="1" applyBorder="1">
      <alignment horizontal="center"/>
    </xf>
    <xf numFmtId="0" fontId="19" fillId="0" borderId="18" xfId="0" applyFont="1" applyBorder="1">
      <alignment horizontal="center"/>
    </xf>
    <xf numFmtId="0" fontId="19" fillId="0" borderId="29" xfId="0" applyFont="1" applyBorder="1">
      <alignment horizontal="center"/>
    </xf>
    <xf numFmtId="0" fontId="21" fillId="0" borderId="10" xfId="0" applyFont="1" applyBorder="1">
      <alignment horizontal="center" vertical="center" wrapText="1"/>
    </xf>
    <xf numFmtId="0" fontId="21" fillId="0" borderId="18" xfId="0" applyFont="1" applyBorder="1">
      <alignment horizontal="center" vertical="center" wrapText="1"/>
    </xf>
    <xf numFmtId="0" fontId="21" fillId="0" borderId="29" xfId="0" applyFont="1" applyBorder="1">
      <alignment horizontal="center" vertical="center" wrapText="1"/>
    </xf>
    <xf numFmtId="0" fontId="21" fillId="11" borderId="10" xfId="0" applyFont="1" applyFill="1" applyBorder="1">
      <alignment horizontal="center" vertical="center" wrapText="1"/>
    </xf>
    <xf numFmtId="0" fontId="19" fillId="34" borderId="30" xfId="0" applyFont="1" applyFill="1" applyBorder="1">
      <alignment horizontal="left" vertical="center" wrapText="1"/>
      <protection locked="0"/>
    </xf>
    <xf numFmtId="0" fontId="19" fillId="34" borderId="29" xfId="0" applyFont="1" applyFill="1" applyBorder="1">
      <alignment horizontal="left" vertical="center" wrapText="1"/>
      <protection locked="0"/>
    </xf>
    <xf numFmtId="0" fontId="19" fillId="0" borderId="0" xfId="0" applyFont="1">
      <alignment horizontal="center" vertical="top"/>
    </xf>
    <xf numFmtId="0" fontId="19" fillId="0" borderId="0" xfId="0" applyFont="1">
      <alignment horizontal="center"/>
    </xf>
    <xf numFmtId="0" fontId="1" fillId="0" borderId="10" xfId="0" applyFont="1" applyBorder="1">
      <alignment vertical="center"/>
    </xf>
    <xf numFmtId="49" fontId="19" fillId="34" borderId="76" xfId="0" applyFont="1" applyFill="1" applyBorder="1" applyNumberFormat="1">
      <alignment horizontal="left" vertical="top" wrapText="1"/>
      <protection locked="0"/>
    </xf>
    <xf numFmtId="49" fontId="68" fillId="34" borderId="76" xfId="0" applyFont="1" applyFill="1" applyBorder="1" applyNumberFormat="1">
      <alignment horizontal="left" vertical="top" wrapText="1"/>
      <protection locked="0"/>
    </xf>
    <xf numFmtId="0" fontId="19" fillId="33" borderId="11" xfId="0" applyFont="1" applyFill="1" applyBorder="1">
      <alignment horizontal="center" vertical="center" wrapText="1"/>
    </xf>
    <xf numFmtId="49" fontId="19" fillId="34" borderId="30" xfId="0" applyFont="1" applyFill="1" applyBorder="1" applyNumberFormat="1">
      <alignment horizontal="left" vertical="top" wrapText="1"/>
      <protection locked="0"/>
    </xf>
    <xf numFmtId="49" fontId="19" fillId="34" borderId="18"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0" fontId="19" fillId="0" borderId="30" xfId="0" applyFont="1" applyBorder="1">
      <alignment horizontal="center" vertical="center" wrapText="1"/>
    </xf>
    <xf numFmtId="0" fontId="19" fillId="0" borderId="18" xfId="0" applyFont="1" applyBorder="1">
      <alignment horizontal="center" vertical="center" wrapText="1"/>
    </xf>
    <xf numFmtId="0" fontId="19" fillId="0" borderId="29" xfId="0" applyFont="1" applyBorder="1">
      <alignment horizontal="center" vertical="center" wrapText="1"/>
    </xf>
    <xf numFmtId="0" fontId="19" fillId="0" borderId="10" xfId="0" applyFont="1" applyBorder="1">
      <alignment horizontal="center" vertical="center"/>
    </xf>
    <xf numFmtId="0" fontId="21" fillId="0" borderId="25" xfId="0" applyFont="1" applyBorder="1">
      <alignment horizontal="center" vertical="center" wrapText="1"/>
    </xf>
    <xf numFmtId="0" fontId="21" fillId="0" borderId="76" xfId="0" applyFont="1" applyBorder="1">
      <alignment horizontal="center" vertical="center" wrapText="1"/>
    </xf>
    <xf numFmtId="49" fontId="40" fillId="0" borderId="13" xfId="0" applyFont="1" applyBorder="1" applyNumberFormat="1" quotePrefix="1">
      <alignment horizontal="left" vertical="center" wrapText="1" indent="1"/>
    </xf>
    <xf numFmtId="49" fontId="40" fillId="0" borderId="13" xfId="0" applyFont="1" applyBorder="1" applyNumberFormat="1">
      <alignment horizontal="left" vertical="center" wrapText="1" indent="1"/>
    </xf>
    <xf numFmtId="0" fontId="21" fillId="0" borderId="77" xfId="0" applyFont="1" applyBorder="1">
      <alignment horizontal="center" vertical="center" wrapText="1"/>
    </xf>
    <xf numFmtId="0" fontId="21" fillId="0" borderId="48" xfId="0" applyFont="1" applyBorder="1">
      <alignment horizontal="center" vertical="center" wrapText="1"/>
    </xf>
    <xf numFmtId="0" fontId="23" fillId="0" borderId="0" xfId="0" applyFont="1">
      <alignment horizontal="center"/>
    </xf>
    <xf numFmtId="49" fontId="50" fillId="0" borderId="64" xfId="0" applyFont="1" applyBorder="1" applyNumberFormat="1">
      <alignment horizontal="center" vertical="top" wrapText="1"/>
    </xf>
    <xf numFmtId="0" fontId="50" fillId="0" borderId="64" xfId="0" applyFont="1" applyBorder="1">
      <alignment horizontal="center" vertical="top" wrapText="1"/>
    </xf>
    <xf numFmtId="0" fontId="77" fillId="0" borderId="10" xfId="0" applyFont="1" applyBorder="1"/>
    <xf numFmtId="0" fontId="19" fillId="0" borderId="0" xfId="0" applyFont="1">
      <alignment horizontal="center" vertical="top" wrapText="1"/>
    </xf>
    <xf numFmtId="0" fontId="19" fillId="0" borderId="0" xfId="0" applyFont="1">
      <alignment horizontal="center" vertical="center" wrapText="1"/>
    </xf>
    <xf numFmtId="0" fontId="78" fillId="0" borderId="10" xfId="0" applyFont="1" applyBorder="1"/>
    <xf numFmtId="0" fontId="68" fillId="0" borderId="10" xfId="0" applyFont="1" applyBorder="1">
      <alignment vertical="center"/>
    </xf>
    <xf numFmtId="49" fontId="79" fillId="34" borderId="76" xfId="0" applyFont="1" applyFill="1" applyBorder="1" applyNumberFormat="1">
      <alignment horizontal="left" vertical="top" wrapText="1"/>
      <protection locked="0"/>
    </xf>
    <xf numFmtId="0" fontId="57" fillId="0" borderId="10" xfId="0" applyFont="1" applyBorder="1">
      <alignment vertical="center"/>
    </xf>
    <xf numFmtId="0" fontId="21" fillId="35" borderId="10" xfId="0" applyFont="1" applyFill="1" applyBorder="1">
      <alignment horizontal="center" vertical="center" wrapText="1"/>
    </xf>
    <xf numFmtId="0" fontId="21" fillId="0" borderId="10" xfId="0" applyFont="1" applyBorder="1">
      <alignment vertical="center" wrapText="1"/>
    </xf>
    <xf numFmtId="0" fontId="21" fillId="0" borderId="10" xfId="0" applyFont="1" applyBorder="1"/>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68" fillId="0" borderId="10" xfId="0" applyFont="1" applyBorder="1" applyNumberFormat="1">
      <alignment horizontal="left" vertical="top" wrapText="1"/>
    </xf>
    <xf numFmtId="49" fontId="19" fillId="0" borderId="10" xfId="0" applyFont="1" applyBorder="1" applyNumberFormat="1">
      <alignment horizontal="center" vertical="center" wrapText="1"/>
    </xf>
    <xf numFmtId="49" fontId="68" fillId="34" borderId="10" xfId="0" applyFont="1" applyFill="1" applyBorder="1" applyNumberFormat="1">
      <alignment horizontal="left" vertical="top" wrapText="1"/>
      <protection locked="0"/>
    </xf>
    <xf numFmtId="0" fontId="19" fillId="0" borderId="37" xfId="0" applyFont="1" applyBorder="1">
      <alignment horizontal="center" vertical="center" wrapText="1"/>
    </xf>
    <xf numFmtId="0" fontId="19" fillId="0" borderId="38" xfId="0" applyFont="1" applyBorder="1">
      <alignment horizontal="center" vertical="center" wrapText="1"/>
    </xf>
    <xf numFmtId="0" fontId="19" fillId="0" borderId="23" xfId="0" applyFont="1" applyBorder="1">
      <alignment horizontal="center" vertical="center" wrapText="1"/>
    </xf>
    <xf numFmtId="0" fontId="19" fillId="0" borderId="37" xfId="0" applyFont="1" applyBorder="1">
      <alignment horizontal="right" vertical="center" wrapText="1"/>
    </xf>
    <xf numFmtId="0" fontId="19" fillId="0" borderId="23" xfId="0" applyFont="1" applyBorder="1">
      <alignment horizontal="right" vertical="center" wrapText="1"/>
    </xf>
    <xf numFmtId="49" fontId="38" fillId="41" borderId="30" xfId="0" applyFont="1" applyFill="1" applyBorder="1" applyNumberFormat="1">
      <alignment horizontal="left" vertical="center" indent="1"/>
    </xf>
    <xf numFmtId="49" fontId="38" fillId="41" borderId="18" xfId="0" applyFont="1" applyFill="1" applyBorder="1" applyNumberFormat="1">
      <alignment horizontal="left" vertical="center" indent="1"/>
    </xf>
    <xf numFmtId="0" fontId="19" fillId="34" borderId="10" xfId="0" applyFont="1" applyFill="1" applyBorder="1">
      <alignment horizontal="left" vertical="center" wrapText="1"/>
      <protection locked="0"/>
    </xf>
    <xf numFmtId="0" fontId="1" fillId="0" borderId="0" xfId="0" applyFont="1">
      <alignment horizontal="center" vertical="top"/>
    </xf>
    <xf numFmtId="0" fontId="1" fillId="0" borderId="0" xfId="0" applyFont="1">
      <alignment horizontal="center"/>
    </xf>
    <xf numFmtId="49" fontId="19" fillId="34" borderId="10" xfId="0" applyFont="1" applyFill="1" applyBorder="1" applyNumberFormat="1">
      <alignment horizontal="left" vertical="top" wrapText="1"/>
    </xf>
    <xf numFmtId="49" fontId="19" fillId="34" borderId="22" xfId="0" applyFont="1" applyFill="1" applyBorder="1" applyNumberFormat="1">
      <alignment horizontal="left" vertical="center" wrapText="1"/>
      <protection locked="0"/>
    </xf>
    <xf numFmtId="0" fontId="19" fillId="0" borderId="78" xfId="0" applyFont="1" applyBorder="1">
      <alignment horizontal="center" vertical="center" wrapText="1"/>
    </xf>
    <xf numFmtId="0" fontId="19" fillId="0" borderId="71" xfId="0" applyFont="1" applyBorder="1">
      <alignment horizontal="center" vertical="center" wrapText="1"/>
    </xf>
    <xf numFmtId="0" fontId="19" fillId="0" borderId="39" xfId="0" applyFont="1" applyBorder="1">
      <alignment horizontal="center" vertical="center" wrapText="1"/>
    </xf>
    <xf numFmtId="0" fontId="50" fillId="0" borderId="0" xfId="0" applyFont="1">
      <alignment horizontal="center" vertical="top" wrapText="1"/>
    </xf>
    <xf numFmtId="49" fontId="19" fillId="42" borderId="10" xfId="0" applyFont="1" applyFill="1" applyBorder="1" applyNumberFormat="1">
      <alignment horizontal="left" vertical="center" wrapText="1"/>
      <protection locked="0"/>
    </xf>
    <xf numFmtId="49" fontId="19" fillId="42" borderId="30" xfId="0" applyFont="1" applyFill="1" applyBorder="1" applyNumberFormat="1">
      <alignment horizontal="left" vertical="center" wrapText="1"/>
      <protection locked="0"/>
    </xf>
    <xf numFmtId="49" fontId="19" fillId="34" borderId="27" xfId="0" applyFont="1" applyFill="1" applyBorder="1" applyNumberFormat="1">
      <alignment horizontal="left" vertical="center" wrapText="1"/>
      <protection locked="0"/>
    </xf>
    <xf numFmtId="0" fontId="21" fillId="0" borderId="78" xfId="0" applyFont="1" applyBorder="1">
      <alignment horizontal="center" vertical="center" wrapText="1"/>
    </xf>
    <xf numFmtId="0" fontId="21" fillId="0" borderId="71" xfId="0" applyFont="1" applyBorder="1">
      <alignment horizontal="center" vertical="center" wrapText="1"/>
    </xf>
    <xf numFmtId="0" fontId="21" fillId="0" borderId="39" xfId="0" applyFont="1" applyBorder="1">
      <alignment horizontal="center" vertical="center" wrapText="1"/>
    </xf>
    <xf numFmtId="0" fontId="21" fillId="0" borderId="22" xfId="0" applyFont="1" applyBorder="1">
      <alignment horizontal="center" vertical="center" wrapText="1"/>
    </xf>
    <xf numFmtId="0" fontId="21" fillId="0" borderId="33" xfId="0" applyFont="1" applyBorder="1">
      <alignment horizontal="center" vertical="center" wrapText="1"/>
    </xf>
    <xf numFmtId="0" fontId="40" fillId="0" borderId="13" xfId="0" applyFont="1" applyBorder="1">
      <alignment horizontal="left" vertical="center" wrapText="1" indent="1"/>
    </xf>
    <xf numFmtId="49" fontId="40" fillId="0" borderId="13" xfId="0" applyFont="1" applyBorder="1" applyNumberFormat="1">
      <alignment vertical="center" wrapText="1"/>
    </xf>
    <xf numFmtId="49" fontId="40" fillId="0" borderId="13" xfId="0" applyFont="1" applyBorder="1" applyNumberFormat="1">
      <alignment horizontal="center" vertical="center" wrapText="1"/>
    </xf>
    <xf numFmtId="0" fontId="19" fillId="0" borderId="0" xfId="0" applyFont="1">
      <alignment horizontal="left" vertical="center" wrapText="1"/>
    </xf>
    <xf numFmtId="0" fontId="19" fillId="0" borderId="77" xfId="0" applyFont="1" applyBorder="1">
      <alignment horizontal="center" vertical="center" wrapText="1"/>
    </xf>
    <xf numFmtId="0" fontId="19" fillId="0" borderId="48" xfId="0" applyFont="1" applyBorder="1">
      <alignment horizontal="center" vertical="center" wrapText="1"/>
    </xf>
    <xf numFmtId="0" fontId="0" fillId="25" borderId="0" xfId="0" applyFont="1" applyFill="1">
      <alignment horizontal="center"/>
    </xf>
    <xf numFmtId="0" fontId="28" fillId="43" borderId="0" xfId="0" applyFont="1" applyFill="1"/>
    <xf numFmtId="0" fontId="44" fillId="4" borderId="10" xfId="0" applyFont="1" applyFill="1" applyBorder="1">
      <alignment horizontal="center" vertical="center"/>
    </xf>
    <xf numFmtId="0" fontId="28" fillId="4" borderId="10" xfId="0" applyFont="1" applyFill="1" applyBorder="1">
      <alignment vertical="center"/>
    </xf>
    <xf numFmtId="0" fontId="28" fillId="4" borderId="10" xfId="0" applyFont="1" applyFill="1" applyBorder="1">
      <alignment vertical="center" wrapText="1"/>
    </xf>
    <xf numFmtId="0" fontId="28" fillId="0" borderId="0" xfId="0" applyFont="1"/>
    <xf numFmtId="0" fontId="0" fillId="25" borderId="0" xfId="0" applyFont="1" applyFill="1">
      <alignment horizontal="center"/>
    </xf>
    <xf numFmtId="0" fontId="44" fillId="4" borderId="10" xfId="0" applyFont="1" applyFill="1" applyBorder="1">
      <alignment horizontal="center" vertical="center"/>
    </xf>
    <xf numFmtId="0" fontId="28" fillId="4" borderId="10" xfId="0" applyFont="1" applyFill="1" applyBorder="1">
      <alignment vertical="center"/>
    </xf>
    <xf numFmtId="0" fontId="28" fillId="4" borderId="10" xfId="0" applyFont="1" applyFill="1" applyBorder="1">
      <alignment vertical="center" wrapText="1"/>
    </xf>
    <xf numFmtId="0" fontId="19" fillId="0" borderId="0" xfId="0" applyFont="1"/>
    <xf numFmtId="0" fontId="28" fillId="4" borderId="10" xfId="0" applyFont="1" applyFill="1" applyBorder="1" quotePrefix="1">
      <alignment vertical="center" wrapText="1"/>
    </xf>
    <xf numFmtId="0" fontId="19" fillId="25" borderId="0" xfId="0" applyFont="1" applyFill="1">
      <alignment horizontal="center"/>
    </xf>
    <xf numFmtId="0" fontId="28" fillId="4" borderId="10" xfId="0" applyFont="1" applyFill="1" applyBorder="1" quotePrefix="1">
      <alignment vertical="center" wrapText="1"/>
    </xf>
    <xf numFmtId="0" fontId="0" fillId="25" borderId="0" xfId="0" applyFont="1" applyFill="1">
      <alignment horizontal="center" vertical="center"/>
    </xf>
    <xf numFmtId="175" fontId="23" fillId="43" borderId="0" xfId="0" applyFont="1" applyFill="1" applyNumberFormat="1">
      <alignment vertical="center"/>
    </xf>
    <xf numFmtId="49" fontId="0" fillId="0" borderId="0" xfId="0" applyFont="1" applyNumberFormat="1">
      <alignment vertical="top"/>
    </xf>
    <xf numFmtId="0" fontId="19" fillId="0" borderId="30" xfId="0" applyFont="1" applyBorder="1">
      <alignment horizontal="right" vertical="center" wrapText="1" indent="1"/>
    </xf>
    <xf numFmtId="0" fontId="19" fillId="0" borderId="18" xfId="0" applyFont="1" applyBorder="1">
      <alignment horizontal="right" vertical="center" wrapText="1" indent="1"/>
    </xf>
    <xf numFmtId="0" fontId="19" fillId="0" borderId="29" xfId="0" applyFont="1" applyBorder="1">
      <alignment horizontal="right" vertical="center" wrapText="1" indent="1"/>
    </xf>
    <xf numFmtId="0" fontId="19" fillId="36" borderId="10" xfId="0" applyFont="1" applyFill="1" applyBorder="1">
      <alignment horizontal="left" vertical="center" wrapText="1" indent="1"/>
    </xf>
    <xf numFmtId="0" fontId="66" fillId="0" borderId="0" xfId="0" applyFont="1">
      <alignment vertical="center" wrapText="1"/>
    </xf>
    <xf numFmtId="0" fontId="23" fillId="0" borderId="0" xfId="0" applyFont="1">
      <alignment vertical="center"/>
    </xf>
    <xf numFmtId="0" fontId="46" fillId="0" borderId="0" xfId="0" applyFont="1">
      <alignment vertical="center" wrapText="1"/>
    </xf>
    <xf numFmtId="0" fontId="19" fillId="36" borderId="10" xfId="0" applyFont="1" applyFill="1" applyBorder="1">
      <alignment horizontal="left" vertical="center" wrapText="1" indent="1"/>
    </xf>
    <xf numFmtId="49" fontId="21" fillId="36" borderId="11" xfId="0" applyFont="1" applyFill="1" applyBorder="1" applyNumberFormat="1">
      <alignment horizontal="left" vertical="center" wrapText="1" indent="1"/>
    </xf>
    <xf numFmtId="0" fontId="19" fillId="0" borderId="11" xfId="0" applyFont="1" applyBorder="1">
      <alignment horizontal="right" vertical="center" wrapText="1" indent="1"/>
    </xf>
    <xf numFmtId="49" fontId="21" fillId="42" borderId="11" xfId="0" applyFont="1" applyFill="1" applyBorder="1" applyNumberFormat="1">
      <alignment horizontal="left" vertical="center" wrapText="1" indent="1"/>
    </xf>
    <xf numFmtId="49" fontId="65" fillId="0" borderId="0" xfId="0" applyFont="1" applyNumberFormat="1">
      <alignment horizontal="center" vertical="center" wrapText="1"/>
    </xf>
    <xf numFmtId="49" fontId="48" fillId="34" borderId="11" xfId="0" applyFont="1" applyFill="1" applyBorder="1" applyNumberFormat="1">
      <alignment horizontal="left" vertical="center" wrapText="1" indent="1"/>
    </xf>
    <xf numFmtId="0" fontId="19" fillId="48" borderId="0" xfId="0" applyFont="1" applyFill="1">
      <alignment horizontal="center" vertical="center"/>
    </xf>
    <xf numFmtId="0" fontId="23" fillId="0" borderId="0" xfId="0" applyFont="1">
      <alignment vertical="center" wrapText="1"/>
    </xf>
    <xf numFmtId="49" fontId="38" fillId="41" borderId="36" xfId="0" applyFont="1" applyFill="1" applyBorder="1" applyNumberFormat="1">
      <alignment horizontal="left" vertical="center" wrapText="1"/>
    </xf>
    <xf numFmtId="49" fontId="38" fillId="41" borderId="34" xfId="0" applyFont="1" applyFill="1" applyBorder="1" applyNumberFormat="1">
      <alignment horizontal="left" vertical="center" wrapText="1"/>
    </xf>
    <xf numFmtId="49" fontId="38" fillId="41" borderId="35" xfId="0" applyFont="1" applyFill="1" applyBorder="1" applyNumberFormat="1">
      <alignment horizontal="left" vertical="center" wrapText="1"/>
    </xf>
    <xf numFmtId="49" fontId="65" fillId="0" borderId="0" xfId="0" applyFont="1" applyNumberFormat="1">
      <alignment vertical="top" wrapText="1"/>
    </xf>
    <xf numFmtId="49" fontId="38" fillId="0" borderId="43" xfId="0" applyFont="1" applyBorder="1" applyNumberFormat="1">
      <alignment horizontal="left" vertical="center" wrapText="1"/>
    </xf>
    <xf numFmtId="49" fontId="38" fillId="0" borderId="47" xfId="0" applyFont="1" applyBorder="1" applyNumberFormat="1">
      <alignment horizontal="left" vertical="center" wrapText="1"/>
    </xf>
    <xf numFmtId="49" fontId="38" fillId="0" borderId="48" xfId="0" applyFont="1" applyBorder="1" applyNumberFormat="1">
      <alignment horizontal="left" vertical="center" wrapText="1"/>
    </xf>
    <xf numFmtId="0" fontId="21" fillId="0" borderId="11" xfId="0" applyFont="1" applyBorder="1">
      <alignment horizontal="right" vertical="center" wrapText="1" indent="1"/>
    </xf>
    <xf numFmtId="0" fontId="19" fillId="50" borderId="11" xfId="0" applyFont="1" applyFill="1" applyBorder="1">
      <alignment horizontal="left" vertical="center" wrapText="1" indent="1"/>
    </xf>
    <xf numFmtId="0" fontId="23" fillId="0" borderId="0" xfId="0" applyFont="1">
      <alignment vertical="center"/>
    </xf>
    <xf numFmtId="49" fontId="19" fillId="34" borderId="11" xfId="0" applyFont="1" applyFill="1" applyBorder="1" applyNumberFormat="1">
      <alignment horizontal="left" vertical="center" wrapText="1" indent="1"/>
      <protection locked="0"/>
    </xf>
    <xf numFmtId="49" fontId="21" fillId="34" borderId="11" xfId="0" applyFont="1" applyFill="1" applyBorder="1" applyNumberFormat="1">
      <alignment horizontal="left" vertical="center" wrapText="1" indent="1"/>
      <protection locked="0"/>
    </xf>
    <xf numFmtId="0" fontId="19" fillId="0" borderId="12" xfId="0" applyFont="1" applyBorder="1">
      <alignment horizontal="center" vertical="center" textRotation="90" wrapText="1"/>
    </xf>
    <xf numFmtId="0" fontId="19" fillId="0" borderId="37" xfId="0" applyFont="1" applyBorder="1">
      <alignment horizontal="right" vertical="center" wrapText="1" indent="1"/>
    </xf>
    <xf numFmtId="0" fontId="19" fillId="0" borderId="23" xfId="0" applyFont="1" applyBorder="1">
      <alignment horizontal="right" vertical="center" wrapText="1" indent="1"/>
    </xf>
    <xf numFmtId="49" fontId="19" fillId="34" borderId="11" xfId="0" applyFont="1" applyFill="1" applyBorder="1" applyNumberFormat="1">
      <alignment horizontal="left" vertical="center" wrapText="1" indent="1"/>
      <protection locked="0"/>
    </xf>
    <xf numFmtId="0" fontId="19" fillId="0" borderId="66" xfId="0" applyFont="1" applyBorder="1">
      <alignment horizontal="center" vertical="center" textRotation="90" wrapText="1"/>
    </xf>
    <xf numFmtId="49" fontId="19" fillId="42" borderId="11" xfId="0" applyFont="1" applyFill="1" applyBorder="1" applyNumberFormat="1">
      <alignment horizontal="left" vertical="center" wrapText="1" indent="1"/>
      <protection locked="0"/>
    </xf>
    <xf numFmtId="174" fontId="21" fillId="42" borderId="11" xfId="0" applyFont="1" applyFill="1" applyBorder="1" applyNumberFormat="1">
      <alignment horizontal="left" vertical="center" wrapText="1" indent="1"/>
      <protection locked="0"/>
    </xf>
    <xf numFmtId="0" fontId="19" fillId="0" borderId="46" xfId="0" applyFont="1" applyBorder="1">
      <alignment horizontal="center" vertical="center" textRotation="90" wrapText="1"/>
    </xf>
    <xf numFmtId="49" fontId="48" fillId="34" borderId="11" xfId="0" applyFont="1" applyFill="1" applyBorder="1" applyNumberFormat="1">
      <alignment horizontal="left" vertical="center" wrapText="1" indent="1"/>
      <protection locked="0"/>
    </xf>
    <xf numFmtId="0" fontId="50" fillId="0" borderId="52" xfId="0" applyFont="1" applyBorder="1">
      <alignment horizontal="center" vertical="top" wrapText="1"/>
    </xf>
    <xf numFmtId="49" fontId="19" fillId="34" borderId="11" xfId="0" applyFont="1" applyFill="1" applyBorder="1" applyNumberFormat="1">
      <alignment horizontal="left" vertical="center" wrapText="1" indent="1"/>
    </xf>
    <xf numFmtId="49" fontId="19" fillId="42" borderId="11" xfId="0" applyFont="1" applyFill="1" applyBorder="1" applyNumberFormat="1">
      <alignment horizontal="left" vertical="center" wrapText="1" indent="1"/>
    </xf>
    <xf numFmtId="174" fontId="21" fillId="42" borderId="11" xfId="0" applyFont="1" applyFill="1" applyBorder="1" applyNumberFormat="1">
      <alignment horizontal="left" vertical="center" wrapText="1" indent="1"/>
    </xf>
    <xf numFmtId="49" fontId="48" fillId="34" borderId="11" xfId="0" applyFont="1" applyFill="1" applyBorder="1" applyNumberFormat="1">
      <alignment horizontal="left" vertical="center" wrapText="1" indent="1"/>
    </xf>
    <xf numFmtId="0" fontId="19" fillId="0" borderId="11" xfId="0" applyFont="1" applyBorder="1">
      <alignment horizontal="center" vertical="center" textRotation="90" wrapText="1"/>
    </xf>
    <xf numFmtId="0" fontId="60" fillId="0" borderId="0" xfId="0" applyFont="1">
      <alignment vertical="center"/>
    </xf>
    <xf numFmtId="49" fontId="19" fillId="34" borderId="11" xfId="0" applyFont="1" applyFill="1" applyBorder="1" applyNumberFormat="1">
      <alignment horizontal="left" vertical="center" wrapText="1" indent="1"/>
    </xf>
    <xf numFmtId="49" fontId="19" fillId="42" borderId="11" xfId="0" applyFont="1" applyFill="1" applyBorder="1" applyNumberFormat="1">
      <alignment horizontal="left" vertical="center" wrapText="1" indent="1"/>
    </xf>
    <xf numFmtId="0" fontId="23" fillId="0" borderId="66" xfId="0" applyFont="1" applyBorder="1">
      <alignment vertical="center" wrapText="1"/>
    </xf>
    <xf numFmtId="0" fontId="61" fillId="0" borderId="0" xfId="0" applyFont="1">
      <alignment vertical="center"/>
    </xf>
    <xf numFmtId="0" fontId="19" fillId="0" borderId="45" xfId="0" applyFont="1" applyBorder="1">
      <alignment horizontal="center" vertical="center" wrapText="1"/>
    </xf>
    <xf numFmtId="0" fontId="19" fillId="0" borderId="64" xfId="0" applyFont="1" applyBorder="1">
      <alignment horizontal="center" vertical="center" wrapText="1"/>
    </xf>
    <xf numFmtId="49" fontId="19" fillId="0" borderId="49" xfId="0" applyFont="1" applyBorder="1" applyNumberFormat="1">
      <alignment horizontal="right" vertical="center" wrapText="1" indent="1"/>
    </xf>
    <xf numFmtId="49" fontId="19" fillId="42" borderId="11" xfId="0" applyFont="1" applyFill="1" applyBorder="1" applyNumberFormat="1">
      <alignment horizontal="left" vertical="center" wrapText="1" indent="1"/>
      <protection locked="0"/>
    </xf>
    <xf numFmtId="0" fontId="23" fillId="0" borderId="0" xfId="0" applyFont="1">
      <alignment horizontal="left" vertical="center" wrapText="1"/>
    </xf>
    <xf numFmtId="49" fontId="19" fillId="0" borderId="23" xfId="0" applyFont="1" applyBorder="1" applyNumberFormat="1">
      <alignment horizontal="right" vertical="center" wrapText="1" indent="1"/>
    </xf>
    <xf numFmtId="49" fontId="19" fillId="34" borderId="11" xfId="0" applyFont="1" applyFill="1" applyBorder="1" applyNumberFormat="1">
      <alignment horizontal="left" vertical="center" wrapText="1" indent="1"/>
      <protection locked="0"/>
    </xf>
    <xf numFmtId="0" fontId="19" fillId="0" borderId="31" xfId="0" applyFont="1" applyBorder="1">
      <alignment horizontal="center" vertical="center" wrapText="1"/>
    </xf>
    <xf numFmtId="0" fontId="19" fillId="0" borderId="56" xfId="0" applyFont="1" applyBorder="1">
      <alignment horizontal="center" vertical="center" wrapText="1"/>
    </xf>
    <xf numFmtId="174" fontId="21" fillId="42" borderId="11" xfId="0" applyFont="1" applyFill="1" applyBorder="1" applyNumberFormat="1">
      <alignment horizontal="left" vertical="center" wrapText="1" indent="1"/>
      <protection locked="0"/>
    </xf>
    <xf numFmtId="49" fontId="23" fillId="0" borderId="0" xfId="0" applyFont="1" applyNumberFormat="1">
      <alignment vertical="center"/>
    </xf>
    <xf numFmtId="0" fontId="23" fillId="0" borderId="0" xfId="0" applyFont="1">
      <alignment horizontal="center" vertical="top"/>
    </xf>
    <xf numFmtId="0" fontId="23" fillId="0" borderId="64" xfId="0" applyFont="1" applyBorder="1">
      <alignment horizontal="center" vertical="center"/>
    </xf>
    <xf numFmtId="0" fontId="19" fillId="42" borderId="45" xfId="0" applyFont="1" applyFill="1" applyBorder="1">
      <alignment horizontal="center" vertical="center" wrapText="1"/>
    </xf>
    <xf numFmtId="0" fontId="19" fillId="42" borderId="64" xfId="0" applyFont="1" applyFill="1" applyBorder="1">
      <alignment horizontal="center" vertical="center" wrapText="1"/>
    </xf>
    <xf numFmtId="0" fontId="22" fillId="0" borderId="11" xfId="0" applyFont="1" applyBorder="1">
      <alignment horizontal="right" vertical="center" wrapText="1" indent="1"/>
    </xf>
    <xf numFmtId="0" fontId="40" fillId="36" borderId="11" xfId="0" applyFont="1" applyFill="1" applyBorder="1">
      <alignment horizontal="left" vertical="center" wrapText="1" indent="1"/>
    </xf>
    <xf numFmtId="49" fontId="65" fillId="0" borderId="0" xfId="0" applyFont="1" applyNumberFormat="1">
      <alignment horizontal="center" vertical="top" wrapText="1"/>
    </xf>
    <xf numFmtId="14" fontId="64" fillId="0" borderId="0" xfId="0" applyFont="1" applyNumberFormat="1">
      <alignment vertical="center"/>
    </xf>
    <xf numFmtId="0" fontId="64" fillId="0" borderId="0" xfId="0" applyFont="1">
      <alignment vertical="center"/>
    </xf>
    <xf numFmtId="49" fontId="19" fillId="0" borderId="11" xfId="0" applyFont="1" applyBorder="1" applyNumberFormat="1">
      <alignment horizontal="right" vertical="center" wrapText="1" indent="1"/>
    </xf>
    <xf numFmtId="49" fontId="21" fillId="36" borderId="11" xfId="0" applyFont="1" applyFill="1" applyBorder="1" applyNumberFormat="1">
      <alignment horizontal="left" vertical="center" wrapText="1" indent="1"/>
    </xf>
    <xf numFmtId="0" fontId="21" fillId="36" borderId="11" xfId="0" applyFont="1" applyFill="1" applyBorder="1">
      <alignment horizontal="left" vertical="center" wrapText="1" indent="1"/>
    </xf>
    <xf numFmtId="49" fontId="21" fillId="36" borderId="11" xfId="0" applyFont="1" applyFill="1" applyBorder="1" applyNumberFormat="1">
      <alignment horizontal="left" vertical="center" wrapText="1" indent="1"/>
    </xf>
    <xf numFmtId="0" fontId="19" fillId="0" borderId="11" xfId="0" applyFont="1" applyBorder="1">
      <alignment horizontal="right" vertical="center" wrapText="1" indent="1"/>
    </xf>
    <xf numFmtId="0" fontId="21" fillId="42" borderId="11" xfId="0" applyFont="1" applyFill="1" applyBorder="1">
      <alignment horizontal="left" vertical="center" wrapText="1" indent="1"/>
    </xf>
    <xf numFmtId="49" fontId="21" fillId="50" borderId="11" xfId="0" applyFont="1" applyFill="1" applyBorder="1" applyNumberFormat="1">
      <alignment horizontal="left" vertical="center" wrapText="1" indent="1"/>
    </xf>
    <xf numFmtId="0" fontId="19" fillId="34" borderId="11" xfId="0" applyFont="1" applyFill="1" applyBorder="1">
      <alignment horizontal="left" vertical="center" wrapText="1" indent="1"/>
    </xf>
    <xf numFmtId="174" fontId="21" fillId="34" borderId="11" xfId="0" applyFont="1" applyFill="1" applyBorder="1" applyNumberFormat="1">
      <alignment horizontal="left" vertical="center" wrapText="1" indent="1"/>
    </xf>
    <xf numFmtId="14" fontId="21" fillId="34" borderId="11" xfId="0" applyFont="1" applyFill="1" applyBorder="1" applyNumberFormat="1">
      <alignment horizontal="left" vertical="center" wrapText="1" indent="1"/>
    </xf>
    <xf numFmtId="174" fontId="19" fillId="42" borderId="10" xfId="0" applyFont="1" applyFill="1" applyBorder="1" applyNumberFormat="1">
      <alignment horizontal="left" vertical="center" wrapText="1" indent="1"/>
    </xf>
    <xf numFmtId="0" fontId="19" fillId="42" borderId="10" xfId="0" applyFont="1" applyFill="1" applyBorder="1">
      <alignment horizontal="left" vertical="center" wrapText="1" indent="1"/>
    </xf>
    <xf numFmtId="0" fontId="19" fillId="42" borderId="10" xfId="0" applyFont="1" applyFill="1" applyBorder="1">
      <alignment horizontal="left" vertical="center" wrapText="1" indent="1"/>
    </xf>
    <xf numFmtId="0" fontId="19" fillId="42" borderId="45" xfId="0" applyFont="1" applyFill="1" applyBorder="1">
      <alignment horizontal="center" vertical="center" wrapText="1"/>
      <protection locked="0"/>
    </xf>
    <xf numFmtId="0" fontId="19" fillId="42" borderId="64" xfId="0" applyFont="1" applyFill="1" applyBorder="1">
      <alignment horizontal="center" vertical="center" wrapText="1"/>
      <protection locked="0"/>
    </xf>
    <xf numFmtId="0" fontId="21" fillId="42"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174" fontId="21" fillId="34" borderId="11" xfId="0" applyFont="1" applyFill="1" applyBorder="1" applyNumberFormat="1">
      <alignment horizontal="left" vertical="center" wrapText="1" indent="1"/>
      <protection locked="0"/>
    </xf>
    <xf numFmtId="14" fontId="21" fillId="34" borderId="11" xfId="0" applyFont="1" applyFill="1" applyBorder="1" applyNumberFormat="1">
      <alignment horizontal="left" vertical="center" wrapText="1" indent="1"/>
      <protection locked="0"/>
    </xf>
    <xf numFmtId="174" fontId="19" fillId="42" borderId="10" xfId="0" applyFont="1" applyFill="1" applyBorder="1" applyNumberFormat="1">
      <alignment horizontal="left" vertical="center" wrapText="1" indent="1"/>
      <protection locked="0"/>
    </xf>
    <xf numFmtId="0" fontId="19" fillId="42" borderId="10" xfId="0" applyFont="1" applyFill="1" applyBorder="1">
      <alignment horizontal="left" vertical="center" wrapText="1" indent="1"/>
      <protection locked="0"/>
    </xf>
    <xf numFmtId="0" fontId="19" fillId="0" borderId="67" xfId="0" applyFont="1" applyBorder="1">
      <alignment horizontal="right" vertical="center" wrapText="1" indent="1"/>
    </xf>
    <xf numFmtId="0" fontId="19" fillId="0" borderId="52" xfId="0" applyFont="1" applyBorder="1">
      <alignment horizontal="right" vertical="center" wrapText="1" indent="1"/>
    </xf>
    <xf numFmtId="49" fontId="19" fillId="42" borderId="11" xfId="0" applyFont="1" applyFill="1" applyBorder="1" applyNumberFormat="1">
      <alignment horizontal="right" vertical="center" wrapText="1" indent="1"/>
    </xf>
    <xf numFmtId="49" fontId="19" fillId="0" borderId="11" xfId="0" applyFont="1" applyBorder="1" applyNumberFormat="1">
      <alignment horizontal="right" vertical="center" wrapText="1" indent="1"/>
    </xf>
    <xf numFmtId="0" fontId="19" fillId="36" borderId="11" xfId="0" applyFont="1" applyFill="1" applyBorder="1">
      <alignment horizontal="left" vertical="center" indent="1"/>
    </xf>
    <xf numFmtId="0" fontId="19" fillId="0" borderId="68" xfId="0" applyFont="1" applyBorder="1">
      <alignment horizontal="right" vertical="center" wrapText="1" indent="1"/>
    </xf>
    <xf numFmtId="0" fontId="19" fillId="0" borderId="49" xfId="0" applyFont="1" applyBorder="1">
      <alignment horizontal="right" vertical="center" wrapText="1" indent="1"/>
    </xf>
    <xf numFmtId="175" fontId="19" fillId="43" borderId="0" xfId="0" applyFont="1" applyFill="1" applyNumberFormat="1">
      <alignment vertical="top"/>
    </xf>
    <xf numFmtId="49" fontId="46" fillId="0" borderId="0" xfId="0" applyFont="1" applyNumberFormat="1">
      <alignment vertical="top"/>
    </xf>
    <xf numFmtId="0" fontId="19" fillId="0" borderId="38" xfId="0" applyFont="1" applyBorder="1">
      <alignment horizontal="right" vertical="center" wrapText="1" indent="1"/>
    </xf>
    <xf numFmtId="49" fontId="21" fillId="34" borderId="11" xfId="0" applyFont="1" applyFill="1" applyBorder="1" applyNumberFormat="1">
      <alignment horizontal="left" vertical="center" wrapText="1" indent="1"/>
    </xf>
    <xf numFmtId="49" fontId="0" fillId="0" borderId="0" xfId="0" applyFont="1" applyNumberFormat="1">
      <alignment vertical="top"/>
    </xf>
    <xf numFmtId="49" fontId="0" fillId="0" borderId="0" xfId="0" applyFont="1" applyNumberFormat="1">
      <alignment vertical="top"/>
    </xf>
    <xf numFmtId="0" fontId="19" fillId="0" borderId="0" xfId="0" applyFont="1">
      <alignment vertical="top"/>
    </xf>
    <xf numFmtId="0" fontId="19" fillId="43" borderId="0" xfId="0" applyFont="1" applyFill="1">
      <alignment vertical="center" wrapText="1"/>
    </xf>
    <xf numFmtId="0" fontId="19" fillId="0" borderId="0" xfId="0" applyFont="1">
      <alignment vertical="center"/>
    </xf>
    <xf numFmtId="0" fontId="19" fillId="48" borderId="0" xfId="0" applyFont="1" applyFill="1">
      <alignment horizontal="center" vertical="center"/>
    </xf>
    <xf numFmtId="0" fontId="59" fillId="0" borderId="0" xfId="0" applyFont="1">
      <alignment wrapText="1"/>
    </xf>
    <xf numFmtId="0" fontId="19" fillId="0" borderId="0" xfId="0" applyFont="1">
      <alignment horizontal="center" vertical="center" wrapText="1"/>
    </xf>
    <xf numFmtId="0" fontId="21" fillId="0" borderId="0" xfId="0" applyFont="1">
      <alignment horizontal="center" vertical="top" wrapText="1"/>
    </xf>
    <xf numFmtId="0" fontId="70" fillId="0" borderId="0" xfId="0" applyFont="1">
      <alignment horizontal="center" vertical="center" wrapText="1"/>
    </xf>
    <xf numFmtId="0" fontId="70" fillId="0" borderId="0" xfId="0" applyFont="1">
      <alignment vertical="center" wrapText="1"/>
    </xf>
    <xf numFmtId="0" fontId="37" fillId="40" borderId="18" xfId="0" applyFont="1" applyFill="1" applyBorder="1">
      <alignment horizontal="left" vertical="center"/>
    </xf>
    <xf numFmtId="49" fontId="37" fillId="40" borderId="18" xfId="0" applyFont="1" applyFill="1" applyBorder="1" applyNumberFormat="1">
      <alignment horizontal="left" vertical="center" wrapText="1"/>
    </xf>
    <xf numFmtId="0" fontId="19" fillId="0" borderId="0" xfId="0" applyFont="1">
      <alignment vertical="center" wrapText="1"/>
    </xf>
    <xf numFmtId="0" fontId="71" fillId="0" borderId="0" xfId="0" applyFont="1">
      <alignment horizontal="center" vertical="top" wrapText="1"/>
    </xf>
    <xf numFmtId="0" fontId="19" fillId="0" borderId="0" xfId="0" applyFont="1">
      <alignment horizontal="center" wrapText="1"/>
    </xf>
    <xf numFmtId="0" fontId="19" fillId="0" borderId="0" xfId="0" applyFont="1">
      <alignment vertical="center" wrapText="1"/>
    </xf>
    <xf numFmtId="0" fontId="19" fillId="0" borderId="0" xfId="0" applyFont="1">
      <alignment wrapText="1"/>
    </xf>
    <xf numFmtId="0" fontId="50" fillId="0" borderId="0" xfId="0" applyFont="1">
      <alignment horizontal="center" vertical="center" wrapText="1"/>
    </xf>
    <xf numFmtId="0" fontId="19" fillId="0" borderId="50" xfId="0" applyFont="1" applyBorder="1">
      <alignment horizontal="center" vertical="center" wrapText="1"/>
    </xf>
    <xf numFmtId="0" fontId="19" fillId="36" borderId="22" xfId="0" applyFont="1" applyFill="1" applyBorder="1">
      <alignment horizontal="left" vertical="center" wrapText="1" indent="1"/>
    </xf>
    <xf numFmtId="49" fontId="19" fillId="36" borderId="22" xfId="0" applyFont="1" applyFill="1" applyBorder="1" applyNumberFormat="1">
      <alignment horizontal="left" vertical="center" wrapText="1" indent="1"/>
    </xf>
    <xf numFmtId="0" fontId="19" fillId="34" borderId="22" xfId="0" applyFont="1" applyFill="1" applyBorder="1">
      <alignment horizontal="left" vertical="center" wrapText="1" indent="1"/>
    </xf>
    <xf numFmtId="49" fontId="19" fillId="34" borderId="27" xfId="0" applyFont="1" applyFill="1" applyBorder="1" applyNumberFormat="1">
      <alignment horizontal="left" vertical="center" wrapText="1" indent="1"/>
    </xf>
    <xf numFmtId="0" fontId="19" fillId="0" borderId="0" xfId="0" applyFont="1">
      <alignment vertical="center" wrapText="1"/>
    </xf>
    <xf numFmtId="49" fontId="38" fillId="41" borderId="19" xfId="0" applyFont="1" applyFill="1" applyBorder="1" applyNumberFormat="1">
      <alignment horizontal="left" vertical="center" wrapText="1" indent="1"/>
    </xf>
    <xf numFmtId="49" fontId="38" fillId="41" borderId="20" xfId="0" applyFont="1" applyFill="1" applyBorder="1" applyNumberFormat="1">
      <alignment horizontal="left" vertical="center" indent="1"/>
    </xf>
    <xf numFmtId="49" fontId="38" fillId="41" borderId="20" xfId="0" applyFont="1" applyFill="1" applyBorder="1" applyNumberFormat="1">
      <alignment horizontal="left" vertical="center" wrapText="1" indent="1"/>
    </xf>
    <xf numFmtId="49" fontId="38" fillId="41" borderId="21" xfId="0" applyFont="1" applyFill="1" applyBorder="1" applyNumberFormat="1">
      <alignment horizontal="left" vertical="center" wrapText="1" indent="1"/>
    </xf>
    <xf numFmtId="0" fontId="19" fillId="34" borderId="22" xfId="0" applyFont="1" applyFill="1" applyBorder="1">
      <alignment horizontal="left" vertical="center" wrapText="1" indent="1"/>
      <protection locked="0"/>
    </xf>
    <xf numFmtId="49" fontId="19" fillId="34" borderId="27" xfId="0" applyFont="1" applyFill="1" applyBorder="1" applyNumberFormat="1">
      <alignment horizontal="left" vertical="center" wrapText="1" indent="1"/>
      <protection locked="0"/>
    </xf>
    <xf numFmtId="49" fontId="38" fillId="41" borderId="19" xfId="0" applyFont="1" applyFill="1" applyBorder="1" applyNumberFormat="1">
      <alignment horizontal="left" vertical="center" wrapText="1" indent="1"/>
    </xf>
    <xf numFmtId="49" fontId="38" fillId="41" borderId="20" xfId="0" applyFont="1" applyFill="1" applyBorder="1" applyNumberFormat="1">
      <alignment horizontal="left" vertical="center"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1" xfId="0" applyFont="1" applyFill="1" applyBorder="1" applyNumberFormat="1">
      <alignment horizontal="left" vertical="center" wrapText="1" indent="1"/>
    </xf>
    <xf numFmtId="49" fontId="0" fillId="0" borderId="0" xfId="0" applyFont="1" applyNumberFormat="1">
      <alignment vertical="top"/>
    </xf>
    <xf numFmtId="0" fontId="19" fillId="0" borderId="0" xfId="0" applyFont="1">
      <alignment horizontal="left" vertical="center" wrapText="1"/>
    </xf>
    <xf numFmtId="0" fontId="0" fillId="25" borderId="0" xfId="0" applyFont="1" applyFill="1">
      <alignment horizontal="center" vertical="center" wrapText="1"/>
    </xf>
    <xf numFmtId="0" fontId="23" fillId="43" borderId="0" xfId="0" applyFont="1" applyFill="1">
      <alignment vertical="center"/>
    </xf>
    <xf numFmtId="0" fontId="19" fillId="0" borderId="0" xfId="0" applyFont="1">
      <alignment horizontal="left" vertical="center"/>
    </xf>
    <xf numFmtId="0" fontId="19" fillId="4" borderId="0" xfId="0" applyFont="1" applyFill="1">
      <alignment vertical="center" wrapText="1"/>
    </xf>
    <xf numFmtId="0" fontId="19" fillId="4" borderId="0" xfId="0" applyFont="1" applyFill="1">
      <alignment horizontal="left" vertical="center" wrapText="1"/>
    </xf>
    <xf numFmtId="0" fontId="19" fillId="0" borderId="0" xfId="0" applyFont="1">
      <alignment horizontal="right" vertical="center" wrapText="1"/>
    </xf>
    <xf numFmtId="0" fontId="22" fillId="0" borderId="13" xfId="0" applyFont="1" applyBorder="1">
      <alignment horizontal="left" vertical="center" wrapText="1" indent="1"/>
    </xf>
    <xf numFmtId="49" fontId="22" fillId="0" borderId="0" xfId="0" applyFont="1" applyNumberFormat="1">
      <alignment vertical="center" wrapText="1"/>
    </xf>
    <xf numFmtId="49" fontId="22" fillId="0" borderId="0" xfId="0" applyFont="1" applyNumberFormat="1">
      <alignment horizontal="center" vertical="center" wrapText="1" shrinkToFit="1"/>
    </xf>
    <xf numFmtId="0" fontId="19" fillId="0" borderId="12" xfId="0" applyFont="1" applyBorder="1">
      <alignment horizontal="center" vertical="center" wrapText="1"/>
    </xf>
    <xf numFmtId="0" fontId="21" fillId="0" borderId="11" xfId="0" applyFont="1" applyBorder="1">
      <alignment horizontal="center" vertical="center" wrapText="1"/>
    </xf>
    <xf numFmtId="0" fontId="24" fillId="0" borderId="0" xfId="0" applyFont="1">
      <alignment vertical="top"/>
    </xf>
    <xf numFmtId="0" fontId="0" fillId="0" borderId="0" xfId="0" applyFont="1">
      <alignment horizontal="center"/>
    </xf>
    <xf numFmtId="0" fontId="21" fillId="43" borderId="0" xfId="0" applyFont="1" applyFill="1">
      <alignment horizontal="center"/>
    </xf>
    <xf numFmtId="0" fontId="21" fillId="0" borderId="0" xfId="0" applyFont="1"/>
    <xf numFmtId="0" fontId="19" fillId="38" borderId="0" xfId="0" applyFont="1" applyFill="1"/>
    <xf numFmtId="0" fontId="21" fillId="48" borderId="0" xfId="0" applyFont="1" applyFill="1">
      <alignment horizontal="center" vertical="center"/>
    </xf>
    <xf numFmtId="0" fontId="21" fillId="0" borderId="0" xfId="0" applyFont="1">
      <alignment horizontal="center" vertical="center"/>
    </xf>
    <xf numFmtId="0" fontId="21" fillId="0" borderId="0" xfId="0" applyFont="1">
      <alignment horizontal="center"/>
    </xf>
    <xf numFmtId="0" fontId="21" fillId="4" borderId="0" xfId="0" applyFont="1" applyFill="1"/>
    <xf numFmtId="0" fontId="21" fillId="43" borderId="0" xfId="0" applyFont="1" applyFill="1"/>
    <xf numFmtId="0" fontId="29" fillId="0" borderId="0" xfId="0" applyFont="1">
      <alignment vertical="center"/>
    </xf>
    <xf numFmtId="0" fontId="29" fillId="0" borderId="0" xfId="0" applyFont="1"/>
    <xf numFmtId="0" fontId="21" fillId="0" borderId="10" xfId="0" applyFont="1" applyBorder="1">
      <alignment horizontal="center" vertical="center"/>
    </xf>
    <xf numFmtId="49" fontId="19" fillId="0" borderId="23" xfId="0" applyFont="1" applyBorder="1" applyNumberFormat="1">
      <alignment vertical="center" wrapText="1"/>
    </xf>
    <xf numFmtId="49" fontId="19" fillId="0" borderId="11" xfId="0" applyFont="1" applyBorder="1" applyNumberFormat="1">
      <alignment horizontal="center" vertical="center"/>
    </xf>
    <xf numFmtId="3" fontId="19" fillId="34" borderId="11" xfId="0" applyFont="1" applyFill="1" applyBorder="1" applyNumberFormat="1">
      <alignment horizontal="right" vertical="center"/>
    </xf>
    <xf numFmtId="49" fontId="19" fillId="34" borderId="10"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36" borderId="11" xfId="0" applyFont="1" applyFill="1" applyBorder="1" applyNumberFormat="1">
      <alignment horizontal="right" vertical="center"/>
    </xf>
    <xf numFmtId="0" fontId="29" fillId="43" borderId="0" xfId="0" applyFont="1" applyFill="1">
      <alignment horizontal="center"/>
    </xf>
    <xf numFmtId="49" fontId="50" fillId="0" borderId="0" xfId="0" applyFont="1" applyNumberFormat="1">
      <alignment horizontal="center" vertical="center" wrapText="1"/>
    </xf>
    <xf numFmtId="49" fontId="19" fillId="42" borderId="10" xfId="0" applyFont="1" applyFill="1" applyBorder="1" applyNumberFormat="1">
      <alignment horizontal="left" vertical="center" wrapText="1"/>
    </xf>
    <xf numFmtId="49" fontId="19" fillId="42" borderId="10" xfId="0" applyFont="1" applyFill="1" applyBorder="1" applyNumberFormat="1">
      <alignment horizontal="center" vertical="center" wrapText="1"/>
    </xf>
    <xf numFmtId="4" fontId="19" fillId="34" borderId="11" xfId="0" applyFont="1" applyFill="1" applyBorder="1" applyNumberFormat="1">
      <alignment horizontal="right" vertical="center"/>
    </xf>
    <xf numFmtId="49" fontId="19" fillId="34" borderId="10" xfId="0" applyFont="1" applyFill="1" applyBorder="1" applyNumberFormat="1">
      <alignment horizontal="left" vertical="center" wrapText="1"/>
    </xf>
    <xf numFmtId="0" fontId="29" fillId="4" borderId="0" xfId="0" applyFont="1" applyFill="1"/>
    <xf numFmtId="49" fontId="29" fillId="4" borderId="0" xfId="0" applyFont="1" applyFill="1" applyNumberFormat="1"/>
    <xf numFmtId="0" fontId="29" fillId="43" borderId="0" xfId="0" applyFont="1" applyFill="1"/>
    <xf numFmtId="49" fontId="19" fillId="0" borderId="0" xfId="0" applyFont="1" applyNumberFormat="1">
      <alignment horizontal="right" vertical="center" wrapText="1"/>
    </xf>
    <xf numFmtId="49" fontId="38" fillId="41" borderId="20" xfId="0" applyFont="1" applyFill="1" applyBorder="1" applyNumberFormat="1">
      <alignment horizontal="left" vertical="center"/>
    </xf>
    <xf numFmtId="49" fontId="38" fillId="41" borderId="26" xfId="0" applyFont="1" applyFill="1" applyBorder="1" applyNumberFormat="1">
      <alignment horizontal="left" vertical="center" wrapText="1" indent="1"/>
    </xf>
    <xf numFmtId="49" fontId="21" fillId="0" borderId="0" xfId="0" applyFont="1" applyNumberFormat="1"/>
    <xf numFmtId="49" fontId="19" fillId="34" borderId="37" xfId="0" applyFont="1" applyFill="1" applyBorder="1" applyNumberFormat="1">
      <alignment horizontal="left" vertical="center" wrapText="1"/>
    </xf>
    <xf numFmtId="49" fontId="19" fillId="34" borderId="38" xfId="0" applyFont="1" applyFill="1" applyBorder="1" applyNumberFormat="1">
      <alignment horizontal="left" vertical="center" wrapText="1"/>
    </xf>
    <xf numFmtId="49" fontId="19" fillId="34" borderId="23" xfId="0" applyFont="1" applyFill="1" applyBorder="1" applyNumberFormat="1">
      <alignment horizontal="left" vertical="center" wrapText="1"/>
    </xf>
    <xf numFmtId="3" fontId="19" fillId="34" borderId="11" xfId="0" applyFont="1" applyFill="1" applyBorder="1" applyNumberFormat="1">
      <alignment horizontal="right" vertical="center"/>
      <protection locked="0"/>
    </xf>
    <xf numFmtId="49" fontId="19" fillId="34" borderId="10" xfId="0" applyFont="1" applyFill="1" applyBorder="1" applyNumberFormat="1">
      <alignment horizontal="left" vertical="center" wrapText="1"/>
      <protection locked="0"/>
    </xf>
    <xf numFmtId="4" fontId="19" fillId="34" borderId="11" xfId="0" applyFont="1" applyFill="1" applyBorder="1" applyNumberFormat="1">
      <alignment horizontal="right" vertical="center"/>
      <protection locked="0"/>
    </xf>
    <xf numFmtId="49" fontId="38" fillId="41" borderId="19" xfId="0" applyFont="1" applyFill="1" applyBorder="1" applyNumberFormat="1">
      <alignment horizontal="left" vertical="center" wrapText="1" indent="1"/>
    </xf>
    <xf numFmtId="49" fontId="38" fillId="41" borderId="20" xfId="0" applyFont="1" applyFill="1" applyBorder="1" applyNumberFormat="1">
      <alignment horizontal="left" vertical="center"/>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6" xfId="0" applyFont="1" applyFill="1" applyBorder="1" applyNumberFormat="1">
      <alignment horizontal="left" vertical="center" wrapText="1" indent="1"/>
    </xf>
    <xf numFmtId="49" fontId="19" fillId="34" borderId="37" xfId="0" applyFont="1" applyFill="1" applyBorder="1" applyNumberFormat="1">
      <alignment horizontal="left" vertical="center" wrapText="1"/>
      <protection locked="0"/>
    </xf>
    <xf numFmtId="49" fontId="19" fillId="34" borderId="38" xfId="0" applyFont="1" applyFill="1" applyBorder="1" applyNumberFormat="1">
      <alignment horizontal="left" vertical="center" wrapText="1"/>
      <protection locked="0"/>
    </xf>
    <xf numFmtId="49" fontId="19" fillId="34" borderId="23" xfId="0" applyFont="1" applyFill="1" applyBorder="1" applyNumberFormat="1">
      <alignment horizontal="left" vertical="center" wrapText="1"/>
      <protection locked="0"/>
    </xf>
    <xf numFmtId="0" fontId="19" fillId="0" borderId="0" xfId="0" applyFont="1">
      <alignment horizontal="left" vertical="center" wrapText="1"/>
    </xf>
    <xf numFmtId="0" fontId="19" fillId="0" borderId="41" xfId="0" applyFont="1" applyBorder="1">
      <alignment horizontal="center" vertical="center" wrapText="1"/>
    </xf>
    <xf numFmtId="0" fontId="19" fillId="34" borderId="20" xfId="0" applyFont="1" applyFill="1" applyBorder="1">
      <alignment horizontal="left" vertical="center" wrapText="1"/>
    </xf>
    <xf numFmtId="0" fontId="0" fillId="0" borderId="0" xfId="0" applyFont="1">
      <alignment horizontal="center" vertical="center"/>
    </xf>
    <xf numFmtId="0" fontId="21" fillId="43" borderId="0" xfId="0" applyFont="1" applyFill="1">
      <alignment vertical="center"/>
    </xf>
    <xf numFmtId="0" fontId="19" fillId="0" borderId="0" xfId="0" applyFont="1">
      <alignment vertical="top"/>
    </xf>
    <xf numFmtId="0" fontId="19" fillId="0" borderId="0" xfId="0" applyFont="1">
      <alignment vertical="center"/>
    </xf>
    <xf numFmtId="0" fontId="21" fillId="0" borderId="0" xfId="0" applyFont="1">
      <alignment vertical="center"/>
    </xf>
    <xf numFmtId="0" fontId="19" fillId="34" borderId="70" xfId="0" applyFont="1" applyFill="1" applyBorder="1">
      <alignment horizontal="left" vertical="center" wrapText="1"/>
    </xf>
    <xf numFmtId="0" fontId="19" fillId="34" borderId="18" xfId="0" applyFont="1" applyFill="1" applyBorder="1">
      <alignment horizontal="left" vertical="center" wrapText="1"/>
    </xf>
    <xf numFmtId="0" fontId="19" fillId="34" borderId="51" xfId="0" applyFont="1" applyFill="1" applyBorder="1">
      <alignment horizontal="left" vertical="center" wrapText="1"/>
    </xf>
    <xf numFmtId="49" fontId="19" fillId="0" borderId="0" xfId="0" applyFont="1" applyNumberFormat="1">
      <alignment vertical="top"/>
    </xf>
    <xf numFmtId="49" fontId="19" fillId="4" borderId="0" xfId="0" applyFont="1" applyFill="1" applyNumberFormat="1">
      <alignment vertical="top"/>
    </xf>
    <xf numFmtId="49" fontId="19" fillId="43" borderId="0" xfId="0" applyFont="1" applyFill="1" applyNumberFormat="1">
      <alignment vertical="top"/>
    </xf>
    <xf numFmtId="0" fontId="0" fillId="0" borderId="0" xfId="0" applyFont="1">
      <alignment vertical="center"/>
    </xf>
    <xf numFmtId="0" fontId="19" fillId="34" borderId="70" xfId="0" applyFont="1" applyFill="1" applyBorder="1">
      <alignment horizontal="left" vertical="center" wrapText="1"/>
      <protection locked="0"/>
    </xf>
    <xf numFmtId="0" fontId="19" fillId="34" borderId="18" xfId="0" applyFont="1" applyFill="1" applyBorder="1">
      <alignment horizontal="left" vertical="center" wrapText="1"/>
      <protection locked="0"/>
    </xf>
    <xf numFmtId="0" fontId="19" fillId="34" borderId="51" xfId="0" applyFont="1" applyFill="1" applyBorder="1">
      <alignment horizontal="left" vertical="center" wrapText="1"/>
      <protection locked="0"/>
    </xf>
    <xf numFmtId="0" fontId="0" fillId="0" borderId="0" xfId="0" applyFont="1">
      <alignment vertical="center"/>
    </xf>
    <xf numFmtId="0" fontId="21" fillId="41" borderId="18" xfId="0" applyFont="1" applyFill="1" applyBorder="1">
      <alignment vertical="center"/>
    </xf>
    <xf numFmtId="49" fontId="19" fillId="43" borderId="0" xfId="0" applyFont="1" applyFill="1" applyNumberFormat="1">
      <alignment horizontal="center" vertical="top"/>
    </xf>
    <xf numFmtId="0" fontId="21" fillId="0" borderId="0" xfId="0" applyFont="1">
      <alignment horizontal="center" vertical="top"/>
    </xf>
    <xf numFmtId="0" fontId="19" fillId="0" borderId="0" xfId="0" applyFont="1"/>
    <xf numFmtId="0" fontId="19" fillId="0" borderId="10" xfId="0" applyFont="1" applyBorder="1">
      <alignment horizontal="center" vertical="center"/>
    </xf>
    <xf numFmtId="49" fontId="19" fillId="36" borderId="10" xfId="0" applyFont="1" applyFill="1" applyBorder="1" applyNumberFormat="1">
      <alignment horizontal="left" vertical="center" wrapText="1" indent="1"/>
    </xf>
    <xf numFmtId="0" fontId="19" fillId="4" borderId="0" xfId="0" applyFont="1" applyFill="1"/>
    <xf numFmtId="0" fontId="19" fillId="43" borderId="0" xfId="0" applyFont="1" applyFill="1"/>
    <xf numFmtId="49" fontId="38" fillId="41" borderId="20" xfId="0" applyFont="1" applyFill="1" applyBorder="1" applyNumberFormat="1">
      <alignment vertical="center" wrapText="1"/>
    </xf>
    <xf numFmtId="49" fontId="38" fillId="41" borderId="19" xfId="0" applyFont="1" applyFill="1" applyBorder="1" applyNumberFormat="1">
      <alignment horizontal="left" vertical="center" wrapText="1" indent="1"/>
    </xf>
    <xf numFmtId="49" fontId="38" fillId="41" borderId="20" xfId="0" applyFont="1" applyFill="1" applyBorder="1" applyNumberFormat="1">
      <alignment vertical="center" wrapTex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6" xfId="0" applyFont="1" applyFill="1" applyBorder="1" applyNumberFormat="1">
      <alignment horizontal="left" vertical="center" wrapText="1" indent="1"/>
    </xf>
    <xf numFmtId="0" fontId="19" fillId="0" borderId="0" xfId="50" applyFont="1">
      <alignment horizontal="left" vertical="center"/>
    </xf>
    <xf numFmtId="0" fontId="39" fillId="0" borderId="13" xfId="0" applyFont="1" applyBorder="1"/>
    <xf numFmtId="0" fontId="19" fillId="11" borderId="11" xfId="0" applyFont="1" applyFill="1" applyBorder="1">
      <alignment horizontal="center" vertical="center" wrapText="1"/>
    </xf>
    <xf numFmtId="0" fontId="19" fillId="0" borderId="11" xfId="0" applyFont="1" applyBorder="1">
      <alignment horizontal="center" vertical="center" wrapText="1"/>
    </xf>
    <xf numFmtId="10" fontId="21" fillId="34" borderId="11" xfId="0" applyFont="1" applyFill="1" applyBorder="1" applyNumberFormat="1">
      <alignment horizontal="right" vertical="center"/>
    </xf>
    <xf numFmtId="0" fontId="21" fillId="0" borderId="0" xfId="0" applyFont="1">
      <alignment horizontal="right" vertical="center"/>
    </xf>
    <xf numFmtId="0" fontId="0" fillId="0" borderId="0" xfId="0" applyFont="1">
      <alignment horizontal="center" vertical="center" wrapText="1"/>
    </xf>
    <xf numFmtId="0" fontId="21" fillId="43" borderId="0" xfId="0" applyFont="1" applyFill="1">
      <alignment vertical="center" wrapText="1"/>
    </xf>
    <xf numFmtId="0" fontId="21" fillId="0" borderId="0" xfId="0" applyFont="1">
      <alignment horizontal="left"/>
    </xf>
    <xf numFmtId="0" fontId="21" fillId="0" borderId="0" xfId="0" applyFont="1">
      <alignment vertical="center" wrapText="1"/>
    </xf>
    <xf numFmtId="0" fontId="21" fillId="0" borderId="0" xfId="0" applyFont="1">
      <alignment horizontal="center" vertical="center" wrapText="1"/>
    </xf>
    <xf numFmtId="0" fontId="37" fillId="40" borderId="24" xfId="0" applyFont="1" applyFill="1" applyBorder="1">
      <alignment horizontal="left" vertical="center"/>
    </xf>
    <xf numFmtId="0" fontId="21" fillId="4" borderId="0" xfId="0" applyFont="1" applyFill="1">
      <alignment vertical="center" wrapText="1"/>
    </xf>
    <xf numFmtId="0" fontId="19" fillId="0" borderId="0" xfId="0" applyFont="1">
      <alignment horizontal="left" vertical="center"/>
    </xf>
    <xf numFmtId="49" fontId="41" fillId="43" borderId="37" xfId="0" applyFont="1" applyFill="1" applyBorder="1" applyNumberFormat="1">
      <alignment horizontal="left" vertical="center" indent="1"/>
    </xf>
    <xf numFmtId="49" fontId="19" fillId="43" borderId="38" xfId="0" applyFont="1" applyFill="1" applyBorder="1" applyNumberFormat="1">
      <alignment horizontal="left" vertical="center" indent="1"/>
    </xf>
    <xf numFmtId="49" fontId="41" fillId="43" borderId="38" xfId="0" applyFont="1" applyFill="1" applyBorder="1" applyNumberFormat="1">
      <alignment horizontal="left" vertical="center" indent="1"/>
    </xf>
    <xf numFmtId="0" fontId="42" fillId="43" borderId="38" xfId="0" applyFont="1" applyFill="1" applyBorder="1">
      <alignment horizontal="left" vertical="center" indent="1"/>
    </xf>
    <xf numFmtId="0" fontId="19" fillId="0" borderId="11" xfId="0" applyFont="1" applyBorder="1">
      <alignment horizontal="center" vertical="center"/>
    </xf>
    <xf numFmtId="0" fontId="21" fillId="35" borderId="11" xfId="0" applyFont="1" applyFill="1" applyBorder="1">
      <alignment horizontal="left" vertical="center" wrapText="1"/>
    </xf>
    <xf numFmtId="0" fontId="21" fillId="0" borderId="11" xfId="0" applyFont="1" applyBorder="1">
      <alignment horizontal="center" vertical="center"/>
    </xf>
    <xf numFmtId="172" fontId="21" fillId="34" borderId="11" xfId="0" applyFont="1" applyFill="1" applyBorder="1" applyNumberFormat="1">
      <alignment horizontal="right" vertical="center"/>
    </xf>
    <xf numFmtId="49" fontId="21" fillId="34" borderId="11" xfId="0" applyFont="1" applyFill="1" applyBorder="1" applyNumberFormat="1">
      <alignment horizontal="left" vertical="center" wrapText="1"/>
    </xf>
    <xf numFmtId="173" fontId="0" fillId="36" borderId="11" xfId="0" applyFont="1" applyFill="1" applyBorder="1" applyNumberFormat="1">
      <alignment horizontal="right" vertical="center"/>
    </xf>
    <xf numFmtId="172" fontId="0" fillId="36" borderId="11" xfId="0" applyFont="1" applyFill="1" applyBorder="1" applyNumberFormat="1">
      <alignment horizontal="right" vertical="center"/>
    </xf>
    <xf numFmtId="0" fontId="21" fillId="0" borderId="11" xfId="0" applyFont="1" applyBorder="1">
      <alignment vertical="center" wrapText="1"/>
    </xf>
    <xf numFmtId="0" fontId="21" fillId="0" borderId="11" xfId="0" applyFont="1" applyBorder="1">
      <alignment horizontal="left" vertical="center" wrapText="1"/>
    </xf>
    <xf numFmtId="0" fontId="21" fillId="0" borderId="0" xfId="0" applyFont="1"/>
    <xf numFmtId="0" fontId="21" fillId="43" borderId="0" xfId="0" applyFont="1" applyFill="1"/>
    <xf numFmtId="0" fontId="19" fillId="0" borderId="0" xfId="0" applyFont="1">
      <alignment horizontal="left" vertical="center"/>
    </xf>
    <xf numFmtId="0" fontId="21" fillId="4" borderId="0" xfId="0" applyFont="1" applyFill="1"/>
    <xf numFmtId="172" fontId="41" fillId="43" borderId="38" xfId="0" applyFont="1" applyFill="1" applyBorder="1" applyNumberFormat="1">
      <alignment horizontal="left" vertical="center" indent="1"/>
    </xf>
    <xf numFmtId="173" fontId="41" fillId="43" borderId="38" xfId="0" applyFont="1" applyFill="1" applyBorder="1" applyNumberFormat="1">
      <alignment horizontal="left" vertical="center" indent="1"/>
    </xf>
    <xf numFmtId="172" fontId="41" fillId="43" borderId="23" xfId="0" applyFont="1" applyFill="1" applyBorder="1" applyNumberFormat="1">
      <alignment horizontal="left" vertical="center" indent="1"/>
    </xf>
    <xf numFmtId="172" fontId="0" fillId="34" borderId="11" xfId="0" applyFont="1" applyFill="1" applyBorder="1" applyNumberFormat="1">
      <alignment horizontal="right" vertical="center"/>
    </xf>
    <xf numFmtId="0" fontId="19" fillId="0" borderId="12" xfId="0" applyFont="1" applyBorder="1">
      <alignment horizontal="center" vertical="center"/>
    </xf>
    <xf numFmtId="0" fontId="19" fillId="0" borderId="12" xfId="0" applyFont="1" applyBorder="1">
      <alignment horizontal="left" vertical="center" wrapText="1"/>
    </xf>
    <xf numFmtId="0" fontId="21" fillId="0" borderId="12" xfId="0" applyFont="1" applyBorder="1">
      <alignment horizontal="center" vertical="center" wrapText="1"/>
    </xf>
    <xf numFmtId="172" fontId="21" fillId="0" borderId="12" xfId="0" applyFont="1" applyBorder="1" applyNumberFormat="1">
      <alignment horizontal="right" vertical="center"/>
    </xf>
    <xf numFmtId="172" fontId="0" fillId="0" borderId="12" xfId="0" applyFont="1" applyBorder="1" applyNumberFormat="1">
      <alignment horizontal="right" vertical="center"/>
    </xf>
    <xf numFmtId="172" fontId="19" fillId="0" borderId="12" xfId="0" applyFont="1" applyBorder="1" applyNumberFormat="1">
      <alignment horizontal="right" vertical="center"/>
    </xf>
    <xf numFmtId="49" fontId="21" fillId="0" borderId="12" xfId="0" applyFont="1" applyBorder="1" applyNumberFormat="1">
      <alignment horizontal="left" vertical="center"/>
    </xf>
    <xf numFmtId="173" fontId="0" fillId="0" borderId="12" xfId="0" applyFont="1" applyBorder="1" applyNumberFormat="1">
      <alignment horizontal="right" vertical="center"/>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21" fillId="0" borderId="10" xfId="0" applyFont="1" applyBorder="1">
      <alignment horizontal="center" vertical="center" wrapText="1"/>
    </xf>
    <xf numFmtId="172" fontId="21" fillId="34" borderId="10" xfId="0" applyFont="1" applyFill="1" applyBorder="1" applyNumberFormat="1">
      <alignment horizontal="right" vertical="center"/>
    </xf>
    <xf numFmtId="172" fontId="0" fillId="34" borderId="10" xfId="0" applyFont="1" applyFill="1" applyBorder="1" applyNumberFormat="1">
      <alignment horizontal="right" vertical="center"/>
    </xf>
    <xf numFmtId="172" fontId="19" fillId="34" borderId="10" xfId="0" applyFont="1" applyFill="1" applyBorder="1" applyNumberFormat="1">
      <alignment horizontal="right" vertical="center"/>
    </xf>
    <xf numFmtId="49" fontId="21" fillId="34" borderId="10" xfId="0" applyFont="1" applyFill="1" applyBorder="1" applyNumberFormat="1">
      <alignment horizontal="left" vertical="center" wrapText="1"/>
    </xf>
    <xf numFmtId="173" fontId="0" fillId="36" borderId="10" xfId="0" applyFont="1" applyFill="1" applyBorder="1" applyNumberFormat="1">
      <alignment horizontal="right" vertical="center"/>
    </xf>
    <xf numFmtId="172" fontId="0" fillId="36" borderId="10" xfId="0" applyFont="1" applyFill="1" applyBorder="1" applyNumberFormat="1">
      <alignment horizontal="right" vertical="center"/>
    </xf>
    <xf numFmtId="0" fontId="19" fillId="42" borderId="10" xfId="0" applyFont="1" applyFill="1" applyBorder="1">
      <alignment horizontal="left" vertical="center" wrapText="1" indent="1"/>
    </xf>
    <xf numFmtId="49" fontId="19" fillId="0" borderId="46" xfId="0" applyFont="1" applyBorder="1" applyNumberFormat="1">
      <alignment horizontal="center" vertical="center"/>
    </xf>
    <xf numFmtId="0" fontId="19" fillId="0" borderId="46" xfId="0" applyFont="1" applyBorder="1">
      <alignment horizontal="left" vertical="center" wrapText="1" indent="1"/>
    </xf>
    <xf numFmtId="0" fontId="21" fillId="0" borderId="46" xfId="0" applyFont="1" applyBorder="1">
      <alignment horizontal="center" vertical="center" wrapText="1"/>
    </xf>
    <xf numFmtId="172" fontId="21" fillId="34" borderId="46" xfId="0" applyFont="1" applyFill="1" applyBorder="1" applyNumberFormat="1">
      <alignment horizontal="right" vertical="center"/>
    </xf>
    <xf numFmtId="172" fontId="0" fillId="34" borderId="46" xfId="0" applyFont="1" applyFill="1" applyBorder="1" applyNumberFormat="1">
      <alignment horizontal="right" vertical="center"/>
    </xf>
    <xf numFmtId="172" fontId="19" fillId="34" borderId="46" xfId="0" applyFont="1" applyFill="1" applyBorder="1" applyNumberFormat="1">
      <alignment horizontal="right" vertical="center"/>
    </xf>
    <xf numFmtId="49" fontId="21" fillId="34" borderId="46" xfId="0" applyFont="1" applyFill="1" applyBorder="1" applyNumberFormat="1">
      <alignment horizontal="left" vertical="center" wrapText="1"/>
    </xf>
    <xf numFmtId="173" fontId="0" fillId="36" borderId="46" xfId="0" applyFont="1" applyFill="1" applyBorder="1" applyNumberFormat="1">
      <alignment horizontal="right" vertical="center"/>
    </xf>
    <xf numFmtId="172" fontId="0" fillId="36" borderId="46" xfId="0" applyFont="1" applyFill="1" applyBorder="1" applyNumberFormat="1">
      <alignment horizontal="right" vertical="center"/>
    </xf>
    <xf numFmtId="0" fontId="19" fillId="42" borderId="46" xfId="0" applyFont="1" applyFill="1" applyBorder="1">
      <alignment horizontal="left" vertical="center" wrapText="1" indent="1"/>
    </xf>
    <xf numFmtId="0" fontId="19" fillId="0" borderId="11" xfId="0" applyFont="1" applyBorder="1">
      <alignment horizontal="left" vertical="center" wrapText="1" indent="1"/>
    </xf>
    <xf numFmtId="172" fontId="19" fillId="34" borderId="11" xfId="0" applyFont="1" applyFill="1" applyBorder="1" applyNumberFormat="1">
      <alignment horizontal="right" vertical="center"/>
    </xf>
    <xf numFmtId="0" fontId="19" fillId="42" borderId="11" xfId="0" applyFont="1" applyFill="1" applyBorder="1">
      <alignment horizontal="left" vertical="center" wrapText="1" indent="1"/>
    </xf>
    <xf numFmtId="0" fontId="19" fillId="0" borderId="11" xfId="0" applyFont="1" applyBorder="1">
      <alignment vertical="center" wrapText="1"/>
    </xf>
    <xf numFmtId="0" fontId="19" fillId="0" borderId="11" xfId="0" applyFont="1" applyBorder="1">
      <alignment horizontal="left" vertical="center" wrapText="1"/>
    </xf>
    <xf numFmtId="49" fontId="19" fillId="34" borderId="11" xfId="0" applyFont="1" applyFill="1" applyBorder="1" applyNumberFormat="1">
      <alignment horizontal="left" vertical="center" wrapText="1"/>
    </xf>
    <xf numFmtId="0" fontId="0" fillId="0" borderId="0" xfId="0" applyFont="1">
      <alignment vertical="center" wrapText="1"/>
    </xf>
    <xf numFmtId="172" fontId="21" fillId="34" borderId="11" xfId="0" applyFont="1" applyFill="1" applyBorder="1" applyNumberFormat="1">
      <alignment horizontal="right" vertical="center"/>
      <protection locked="0"/>
    </xf>
    <xf numFmtId="49" fontId="21" fillId="34" borderId="11" xfId="0" applyFont="1" applyFill="1" applyBorder="1" applyNumberFormat="1">
      <alignment horizontal="left" vertical="center" wrapText="1"/>
      <protection locked="0"/>
    </xf>
    <xf numFmtId="172" fontId="0" fillId="34" borderId="11" xfId="0" applyFont="1" applyFill="1" applyBorder="1" applyNumberFormat="1">
      <alignment horizontal="right" vertical="center"/>
      <protection locked="0"/>
    </xf>
    <xf numFmtId="172" fontId="21" fillId="34" borderId="10" xfId="0" applyFont="1" applyFill="1" applyBorder="1" applyNumberFormat="1">
      <alignment horizontal="right" vertical="center"/>
      <protection locked="0"/>
    </xf>
    <xf numFmtId="172" fontId="0" fillId="34" borderId="10" xfId="0" applyFont="1" applyFill="1" applyBorder="1" applyNumberFormat="1">
      <alignment horizontal="right" vertical="center"/>
      <protection locked="0"/>
    </xf>
    <xf numFmtId="172" fontId="19" fillId="34" borderId="10" xfId="0" applyFont="1" applyFill="1" applyBorder="1" applyNumberFormat="1">
      <alignment horizontal="right" vertical="center"/>
      <protection locked="0"/>
    </xf>
    <xf numFmtId="49" fontId="21" fillId="34" borderId="10" xfId="0" applyFont="1" applyFill="1" applyBorder="1" applyNumberFormat="1">
      <alignment horizontal="left" vertical="center" wrapText="1"/>
      <protection locked="0"/>
    </xf>
    <xf numFmtId="49" fontId="38" fillId="41" borderId="19" xfId="0" applyFont="1" applyFill="1" applyBorder="1" applyNumberFormat="1">
      <alignment horizontal="left" vertical="center" wrapText="1" indent="1"/>
    </xf>
    <xf numFmtId="49" fontId="38" fillId="41" borderId="20" xfId="0" applyFont="1" applyFill="1" applyBorder="1" applyNumberFormat="1">
      <alignment horizontal="left" vertical="center"/>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172" fontId="21" fillId="34" borderId="46" xfId="0" applyFont="1" applyFill="1" applyBorder="1" applyNumberFormat="1">
      <alignment horizontal="right" vertical="center"/>
      <protection locked="0"/>
    </xf>
    <xf numFmtId="172" fontId="0" fillId="34" borderId="46" xfId="0" applyFont="1" applyFill="1" applyBorder="1" applyNumberFormat="1">
      <alignment horizontal="right" vertical="center"/>
      <protection locked="0"/>
    </xf>
    <xf numFmtId="172" fontId="19" fillId="34" borderId="46" xfId="0" applyFont="1" applyFill="1" applyBorder="1" applyNumberFormat="1">
      <alignment horizontal="right" vertical="center"/>
      <protection locked="0"/>
    </xf>
    <xf numFmtId="49" fontId="21" fillId="34" borderId="46" xfId="0" applyFont="1" applyFill="1" applyBorder="1" applyNumberFormat="1">
      <alignment horizontal="left" vertical="center" wrapText="1"/>
      <protection locked="0"/>
    </xf>
    <xf numFmtId="49" fontId="38" fillId="41" borderId="19" xfId="0" applyFont="1" applyFill="1" applyBorder="1" applyNumberFormat="1">
      <alignment horizontal="left" vertical="center" wrapText="1" indent="1"/>
    </xf>
    <xf numFmtId="49" fontId="38" fillId="41" borderId="20" xfId="0" applyFont="1" applyFill="1" applyBorder="1" applyNumberFormat="1">
      <alignment horizontal="left" vertical="center"/>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172" fontId="19" fillId="34" borderId="11" xfId="0" applyFont="1" applyFill="1" applyBorder="1" applyNumberFormat="1">
      <alignment horizontal="right" vertical="center"/>
      <protection locked="0"/>
    </xf>
    <xf numFmtId="49" fontId="38" fillId="41" borderId="19" xfId="0" applyFont="1" applyFill="1" applyBorder="1" applyNumberFormat="1">
      <alignment horizontal="left" vertical="center" wrapText="1" indent="1"/>
    </xf>
    <xf numFmtId="49" fontId="38" fillId="41" borderId="20" xfId="0" applyFont="1" applyFill="1" applyBorder="1" applyNumberFormat="1">
      <alignment horizontal="left" vertical="center"/>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19" xfId="0" applyFont="1" applyFill="1" applyBorder="1" applyNumberFormat="1">
      <alignment horizontal="left" vertical="center" wrapText="1" indent="1"/>
    </xf>
    <xf numFmtId="49" fontId="38" fillId="41" borderId="20" xfId="0" applyFont="1" applyFill="1" applyBorder="1" applyNumberFormat="1">
      <alignment horizontal="left" vertical="center"/>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19" fillId="34" borderId="11" xfId="0" applyFont="1" applyFill="1" applyBorder="1" applyNumberFormat="1">
      <alignment horizontal="left" vertical="center" wrapText="1"/>
      <protection locked="0"/>
    </xf>
    <xf numFmtId="0" fontId="21" fillId="0" borderId="0" xfId="47" applyFont="1" applyNumberFormat="1"/>
    <xf numFmtId="0" fontId="21" fillId="0" borderId="0" xfId="47" applyFont="1" applyNumberFormat="1">
      <alignment horizontal="left"/>
    </xf>
    <xf numFmtId="0" fontId="21" fillId="48" borderId="0" xfId="47" applyFont="1" applyFill="1" applyNumberFormat="1">
      <alignment horizontal="center" vertical="center"/>
    </xf>
    <xf numFmtId="0" fontId="51" fillId="0" borderId="0" xfId="0" applyFont="1">
      <alignment wrapText="1"/>
    </xf>
    <xf numFmtId="0" fontId="0" fillId="25" borderId="0" xfId="47" applyFont="1" applyFill="1" applyNumberFormat="1">
      <alignment horizontal="center"/>
    </xf>
    <xf numFmtId="0" fontId="0" fillId="0" borderId="0" xfId="47" applyFont="1" applyNumberFormat="1">
      <alignment horizontal="left"/>
    </xf>
    <xf numFmtId="0" fontId="0" fillId="0" borderId="0" xfId="47" applyFont="1" applyNumberFormat="1">
      <alignment horizontal="center" wrapText="1"/>
    </xf>
    <xf numFmtId="0" fontId="0" fillId="25" borderId="0" xfId="0" applyFont="1" applyFill="1">
      <alignment horizontal="center"/>
    </xf>
    <xf numFmtId="0" fontId="0" fillId="0" borderId="0" xfId="47" applyFont="1" applyNumberFormat="1">
      <alignment horizontal="center"/>
    </xf>
    <xf numFmtId="0" fontId="21" fillId="43" borderId="0" xfId="47" applyFont="1" applyFill="1" applyNumberFormat="1"/>
    <xf numFmtId="0" fontId="21" fillId="43" borderId="0" xfId="47" applyFont="1" applyFill="1" applyNumberFormat="1">
      <alignment horizontal="left"/>
    </xf>
    <xf numFmtId="0" fontId="19" fillId="43" borderId="0" xfId="47" applyFont="1" applyFill="1" applyNumberFormat="1"/>
    <xf numFmtId="0" fontId="21" fillId="43" borderId="0" xfId="47" applyFont="1" applyFill="1" applyNumberFormat="1">
      <alignment wrapText="1"/>
    </xf>
    <xf numFmtId="0" fontId="21" fillId="43" borderId="0" xfId="0" applyFont="1" applyFill="1"/>
    <xf numFmtId="0" fontId="21" fillId="0" borderId="0" xfId="0" applyFont="1"/>
    <xf numFmtId="0" fontId="21" fillId="4" borderId="0" xfId="47" applyFont="1" applyFill="1" applyNumberFormat="1"/>
    <xf numFmtId="0" fontId="0" fillId="4" borderId="0" xfId="47" applyFont="1" applyFill="1" applyNumberFormat="1">
      <alignment horizontal="center"/>
    </xf>
    <xf numFmtId="0" fontId="21" fillId="4" borderId="0" xfId="47" applyFont="1" applyFill="1" applyNumberFormat="1">
      <alignment horizontal="left"/>
    </xf>
    <xf numFmtId="0" fontId="19" fillId="4" borderId="0" xfId="47" applyFont="1" applyFill="1" applyNumberFormat="1"/>
    <xf numFmtId="0" fontId="21" fillId="4" borderId="0" xfId="47" applyFont="1" applyFill="1" applyNumberFormat="1">
      <alignment wrapText="1"/>
    </xf>
    <xf numFmtId="0" fontId="21" fillId="4" borderId="0" xfId="0" applyFont="1" applyFill="1"/>
    <xf numFmtId="0" fontId="19" fillId="0" borderId="0" xfId="47" applyFont="1" applyNumberFormat="1">
      <alignment vertical="center"/>
    </xf>
    <xf numFmtId="0" fontId="19" fillId="0" borderId="0" xfId="47" applyFont="1" applyNumberFormat="1">
      <alignment horizontal="left" vertical="center"/>
    </xf>
    <xf numFmtId="0" fontId="0" fillId="0" borderId="0" xfId="47" applyFont="1" applyNumberFormat="1">
      <alignment horizontal="left" vertical="center"/>
    </xf>
    <xf numFmtId="0" fontId="21" fillId="0" borderId="0" xfId="47" applyFont="1" applyNumberFormat="1">
      <alignment horizontal="center" vertical="center"/>
    </xf>
    <xf numFmtId="0" fontId="22" fillId="0" borderId="57" xfId="47" applyFont="1" applyBorder="1" applyNumberFormat="1" quotePrefix="1">
      <alignment horizontal="left" vertical="center" indent="1"/>
    </xf>
    <xf numFmtId="0" fontId="39" fillId="0" borderId="57" xfId="47" applyFont="1" applyBorder="1" applyNumberFormat="1">
      <alignment vertical="center"/>
    </xf>
    <xf numFmtId="0" fontId="39" fillId="0" borderId="57" xfId="47" applyFont="1" applyBorder="1" applyNumberFormat="1"/>
    <xf numFmtId="0" fontId="39" fillId="0" borderId="57" xfId="0" applyFont="1" applyBorder="1"/>
    <xf numFmtId="0" fontId="21" fillId="43" borderId="0" xfId="47" applyFont="1" applyFill="1" applyNumberFormat="1">
      <alignment horizontal="center"/>
    </xf>
    <xf numFmtId="0" fontId="19" fillId="0" borderId="0" xfId="47" applyFont="1" applyNumberFormat="1">
      <alignment horizontal="center"/>
    </xf>
    <xf numFmtId="0" fontId="19" fillId="0" borderId="0" xfId="47" applyFont="1" applyNumberFormat="1">
      <alignment horizontal="center" wrapText="1"/>
    </xf>
    <xf numFmtId="0" fontId="0" fillId="0" borderId="0" xfId="47" applyFont="1" applyNumberFormat="1">
      <alignment horizontal="center" vertical="center"/>
    </xf>
    <xf numFmtId="0" fontId="30" fillId="0" borderId="0" xfId="47" applyFont="1" applyNumberFormat="1">
      <alignment vertical="center" wrapText="1"/>
    </xf>
    <xf numFmtId="0" fontId="19" fillId="0" borderId="11" xfId="47" applyFont="1" applyBorder="1" applyNumberFormat="1">
      <alignment horizontal="center" vertical="center" wrapText="1"/>
    </xf>
    <xf numFmtId="0" fontId="19" fillId="53" borderId="11" xfId="47" applyFont="1" applyFill="1" applyBorder="1" applyNumberFormat="1">
      <alignment horizontal="center" vertical="center" wrapText="1"/>
    </xf>
    <xf numFmtId="0" fontId="19" fillId="53" borderId="11" xfId="0" applyFont="1" applyFill="1" applyBorder="1">
      <alignment horizontal="center" vertical="center" wrapText="1"/>
    </xf>
    <xf numFmtId="0" fontId="19" fillId="0" borderId="11" xfId="0" applyFont="1" applyBorder="1">
      <alignment horizontal="center" vertical="center" wrapText="1"/>
    </xf>
    <xf numFmtId="0" fontId="21" fillId="0" borderId="11" xfId="47" applyFont="1" applyBorder="1" applyNumberFormat="1">
      <alignment horizontal="center" vertical="center" wrapText="1"/>
    </xf>
    <xf numFmtId="0" fontId="21" fillId="53" borderId="58" xfId="47" applyFont="1" applyFill="1" applyBorder="1" applyNumberFormat="1">
      <alignment horizontal="center" vertical="center" wrapText="1"/>
    </xf>
    <xf numFmtId="0" fontId="21" fillId="53" borderId="58" xfId="0" applyFont="1" applyFill="1" applyBorder="1">
      <alignment horizontal="center" vertical="center" wrapText="1"/>
    </xf>
    <xf numFmtId="0" fontId="19" fillId="0" borderId="0" xfId="47" applyFont="1" applyNumberFormat="1">
      <alignment vertical="top"/>
    </xf>
    <xf numFmtId="0" fontId="0" fillId="0" borderId="0" xfId="47" applyFont="1" applyNumberFormat="1">
      <alignment horizontal="center" vertical="top"/>
    </xf>
    <xf numFmtId="0" fontId="19" fillId="43" borderId="0" xfId="47" applyFont="1" applyFill="1" applyNumberFormat="1">
      <alignment vertical="top"/>
    </xf>
    <xf numFmtId="0" fontId="19" fillId="0" borderId="59" xfId="47" applyFont="1" applyBorder="1" applyNumberFormat="1">
      <alignment horizontal="center" vertical="center" wrapText="1"/>
    </xf>
    <xf numFmtId="0" fontId="21" fillId="0" borderId="0" xfId="47" applyFont="1" applyNumberFormat="1">
      <alignment vertical="center" wrapText="1"/>
    </xf>
    <xf numFmtId="0" fontId="21" fillId="0" borderId="0" xfId="47" applyFont="1" applyNumberFormat="1">
      <alignment horizontal="right" vertical="center"/>
    </xf>
    <xf numFmtId="0" fontId="21" fillId="0" borderId="0" xfId="0" applyFont="1">
      <alignment horizontal="right" vertical="center"/>
    </xf>
    <xf numFmtId="0" fontId="0" fillId="0" borderId="0" xfId="0" applyFont="1">
      <alignment horizontal="center" vertical="center" wrapText="1"/>
    </xf>
    <xf numFmtId="0" fontId="21" fillId="43" borderId="0" xfId="0" applyFont="1" applyFill="1">
      <alignment vertical="center" wrapText="1"/>
    </xf>
    <xf numFmtId="0" fontId="21" fillId="0" borderId="0" xfId="0" applyFont="1">
      <alignment horizontal="left"/>
    </xf>
    <xf numFmtId="0" fontId="21" fillId="48" borderId="0" xfId="0" applyFont="1" applyFill="1">
      <alignment horizontal="center" vertical="center"/>
    </xf>
    <xf numFmtId="0" fontId="21" fillId="0" borderId="0" xfId="0" applyFont="1">
      <alignment vertical="center" wrapText="1"/>
    </xf>
    <xf numFmtId="0" fontId="37" fillId="40" borderId="59" xfId="0" applyFont="1" applyFill="1" applyBorder="1">
      <alignment horizontal="left" vertical="center"/>
    </xf>
    <xf numFmtId="0" fontId="37" fillId="40" borderId="60" xfId="0" applyFont="1" applyFill="1" applyBorder="1">
      <alignment horizontal="left" vertical="center"/>
    </xf>
    <xf numFmtId="49" fontId="37" fillId="40" borderId="60" xfId="0" applyFont="1" applyFill="1" applyBorder="1" applyNumberFormat="1">
      <alignment horizontal="left" vertical="center" wrapText="1"/>
    </xf>
    <xf numFmtId="0" fontId="51" fillId="0" borderId="0" xfId="0" applyFont="1">
      <alignment wrapText="1"/>
    </xf>
    <xf numFmtId="0" fontId="21" fillId="4" borderId="0" xfId="0" applyFont="1" applyFill="1">
      <alignment vertical="center" wrapText="1"/>
    </xf>
    <xf numFmtId="0" fontId="1" fillId="0" borderId="0" xfId="0" applyFont="1"/>
    <xf numFmtId="0" fontId="1" fillId="0" borderId="0" xfId="0" applyFont="1"/>
    <xf numFmtId="0" fontId="19" fillId="0" borderId="0" xfId="0" applyFont="1">
      <alignment horizontal="left" vertical="center"/>
    </xf>
    <xf numFmtId="0" fontId="19" fillId="0" borderId="11" xfId="0" applyFont="1" applyBorder="1">
      <alignment horizontal="center" vertical="center"/>
    </xf>
    <xf numFmtId="0" fontId="21" fillId="0" borderId="11" xfId="0" applyFont="1" applyBorder="1">
      <alignment vertical="center" wrapText="1"/>
    </xf>
    <xf numFmtId="0" fontId="21" fillId="0" borderId="11" xfId="0" applyFont="1" applyBorder="1">
      <alignment horizontal="center" vertical="center"/>
    </xf>
    <xf numFmtId="172" fontId="21" fillId="34" borderId="11" xfId="0" applyFont="1" applyFill="1" applyBorder="1" applyNumberFormat="1">
      <alignment horizontal="right" vertical="center"/>
    </xf>
    <xf numFmtId="0" fontId="21" fillId="4" borderId="0" xfId="0" applyFont="1" applyFill="1"/>
    <xf numFmtId="0" fontId="21" fillId="0" borderId="11" xfId="0" applyFont="1" applyBorder="1">
      <alignment horizontal="left" vertical="center" wrapText="1"/>
    </xf>
    <xf numFmtId="0" fontId="19" fillId="0" borderId="79" xfId="0" applyFont="1" applyBorder="1">
      <alignment horizontal="right" vertical="center" wrapText="1" indent="1"/>
    </xf>
    <xf numFmtId="172" fontId="21" fillId="34" borderId="11" xfId="0" applyFont="1" applyFill="1" applyBorder="1" applyNumberFormat="1">
      <alignment horizontal="right" vertical="center"/>
      <protection locked="0"/>
    </xf>
    <xf numFmtId="0" fontId="21" fillId="0" borderId="0" xfId="47" applyFont="1" applyNumberFormat="1">
      <alignment wrapText="1"/>
    </xf>
    <xf numFmtId="0" fontId="19" fillId="0" borderId="0" xfId="47" applyFont="1" applyNumberFormat="1"/>
    <xf numFmtId="0" fontId="21" fillId="0" borderId="0" xfId="0" applyFont="1">
      <alignment vertical="center"/>
    </xf>
    <xf numFmtId="0" fontId="21" fillId="4" borderId="0" xfId="0" applyFont="1" applyFill="1">
      <alignment vertical="center"/>
    </xf>
    <xf numFmtId="0" fontId="40" fillId="0" borderId="13" xfId="0" applyFont="1" applyBorder="1">
      <alignment vertical="center" wrapText="1"/>
    </xf>
    <xf numFmtId="0" fontId="21" fillId="11" borderId="11" xfId="0" applyFont="1" applyFill="1" applyBorder="1">
      <alignment horizontal="center" vertical="center" wrapText="1"/>
    </xf>
    <xf numFmtId="0" fontId="21" fillId="11" borderId="37" xfId="0" applyFont="1" applyFill="1" applyBorder="1">
      <alignment horizontal="center" vertical="center" wrapText="1"/>
    </xf>
    <xf numFmtId="0" fontId="21" fillId="0" borderId="37" xfId="0" applyFont="1" applyBorder="1">
      <alignment horizontal="center" vertical="center" wrapText="1"/>
    </xf>
    <xf numFmtId="49" fontId="24" fillId="0" borderId="0" xfId="0" applyFont="1" applyNumberFormat="1">
      <alignment vertical="top"/>
    </xf>
    <xf numFmtId="0" fontId="21" fillId="0" borderId="0" xfId="0" applyFont="1">
      <alignment horizontal="left" vertical="center"/>
    </xf>
    <xf numFmtId="49" fontId="21" fillId="0" borderId="10" xfId="0" applyFont="1" applyBorder="1" applyNumberFormat="1">
      <alignment horizontal="center" vertical="center"/>
    </xf>
    <xf numFmtId="0" fontId="21" fillId="0" borderId="23" xfId="0" applyFont="1" applyBorder="1">
      <alignment vertical="center" wrapText="1"/>
    </xf>
    <xf numFmtId="0" fontId="19" fillId="36" borderId="18" xfId="0" applyFont="1" applyFill="1" applyBorder="1">
      <alignment horizontal="left" vertical="center"/>
    </xf>
    <xf numFmtId="0" fontId="21" fillId="36" borderId="38" xfId="0" applyFont="1" applyFill="1" applyBorder="1">
      <alignment horizontal="left" vertical="center" indent="1"/>
    </xf>
    <xf numFmtId="0" fontId="21" fillId="36" borderId="23" xfId="0" applyFont="1" applyFill="1" applyBorder="1">
      <alignment horizontal="left" vertical="center" indent="1"/>
    </xf>
    <xf numFmtId="0" fontId="19" fillId="0" borderId="11" xfId="0" applyFont="1" applyBorder="1">
      <alignment vertical="center" wrapText="1"/>
    </xf>
    <xf numFmtId="172" fontId="19" fillId="36" borderId="11" xfId="0" applyFont="1" applyFill="1" applyBorder="1" applyNumberFormat="1">
      <alignment horizontal="right" vertical="center"/>
    </xf>
    <xf numFmtId="0" fontId="19" fillId="0" borderId="23" xfId="0" applyFont="1" applyBorder="1">
      <alignment horizontal="left" vertical="center" wrapText="1" indent="1"/>
    </xf>
    <xf numFmtId="0" fontId="19" fillId="0" borderId="11" xfId="0" applyFont="1" applyBorder="1">
      <alignment horizontal="left" vertical="center" wrapText="1" indent="2"/>
    </xf>
    <xf numFmtId="0" fontId="21" fillId="0" borderId="11" xfId="0" applyFont="1" applyBorder="1">
      <alignment horizontal="left" vertical="center" wrapText="1" indent="3"/>
    </xf>
    <xf numFmtId="0" fontId="19" fillId="0" borderId="0" xfId="0" applyFont="1">
      <alignment vertical="top"/>
    </xf>
    <xf numFmtId="0" fontId="19" fillId="0" borderId="38" xfId="0" applyFont="1" applyBorder="1">
      <alignment horizontal="left" vertical="center" wrapText="1" indent="1"/>
    </xf>
    <xf numFmtId="0" fontId="0" fillId="0" borderId="0" xfId="0" applyFont="1">
      <alignment horizontal="center" vertical="top"/>
    </xf>
    <xf numFmtId="0" fontId="19" fillId="43" borderId="0" xfId="0" applyFont="1" applyFill="1">
      <alignment vertical="top"/>
    </xf>
    <xf numFmtId="49" fontId="19" fillId="0" borderId="0" xfId="0" applyFont="1" applyNumberFormat="1">
      <alignment horizontal="left" vertical="center"/>
    </xf>
    <xf numFmtId="172" fontId="19" fillId="0" borderId="0" xfId="0" applyFont="1" applyNumberFormat="1">
      <alignment vertical="top"/>
    </xf>
    <xf numFmtId="172" fontId="24" fillId="0" borderId="0" xfId="0" applyFont="1" applyNumberFormat="1">
      <alignment vertical="top"/>
    </xf>
    <xf numFmtId="49" fontId="19" fillId="4" borderId="0" xfId="0" applyFont="1" applyFill="1" applyNumberFormat="1">
      <alignment vertical="top"/>
    </xf>
    <xf numFmtId="0" fontId="21" fillId="0" borderId="23" xfId="0" applyFont="1" applyBorder="1">
      <alignment vertical="center"/>
    </xf>
    <xf numFmtId="0" fontId="21" fillId="0" borderId="11" xfId="0" applyFont="1" applyBorder="1">
      <alignment horizontal="right" vertical="center" indent="1"/>
    </xf>
    <xf numFmtId="0" fontId="19" fillId="0" borderId="42" xfId="0" applyFont="1" applyBorder="1">
      <alignment vertical="center" wrapText="1"/>
    </xf>
    <xf numFmtId="172" fontId="21" fillId="36" borderId="11" xfId="0" applyFont="1" applyFill="1" applyBorder="1" applyNumberFormat="1">
      <alignment horizontal="right" vertical="center"/>
    </xf>
    <xf numFmtId="0" fontId="19" fillId="0" borderId="42" xfId="0" applyFont="1" applyBorder="1">
      <alignment horizontal="left" vertical="center" wrapText="1" indent="1"/>
    </xf>
    <xf numFmtId="0" fontId="21" fillId="0" borderId="0" xfId="0" applyFont="1">
      <alignment vertical="center"/>
    </xf>
    <xf numFmtId="0" fontId="19" fillId="0" borderId="38" xfId="0" applyFont="1" applyBorder="1">
      <alignment vertical="center" wrapText="1"/>
    </xf>
    <xf numFmtId="0" fontId="21" fillId="0" borderId="11" xfId="0" applyFont="1" applyBorder="1">
      <alignment horizontal="right" vertical="center" wrapText="1" indent="1"/>
    </xf>
    <xf numFmtId="172" fontId="21" fillId="36" borderId="11" xfId="0" applyFont="1" applyFill="1" applyBorder="1" applyNumberFormat="1">
      <alignment horizontal="right" vertical="center"/>
    </xf>
    <xf numFmtId="0" fontId="21" fillId="0" borderId="11" xfId="0" applyFont="1" applyBorder="1">
      <alignment horizontal="left" vertical="center" wrapText="1" indent="2"/>
    </xf>
    <xf numFmtId="0" fontId="21" fillId="0" borderId="11" xfId="0" applyFont="1" applyBorder="1">
      <alignment horizontal="left" vertical="center" wrapText="1" indent="1"/>
    </xf>
    <xf numFmtId="0" fontId="19" fillId="0" borderId="37" xfId="0" applyFont="1" applyBorder="1">
      <alignment horizontal="left" vertical="center" wrapText="1"/>
    </xf>
    <xf numFmtId="0" fontId="21" fillId="0" borderId="10" xfId="0" applyFont="1" applyBorder="1">
      <alignment vertical="center" wrapText="1"/>
    </xf>
    <xf numFmtId="0" fontId="19" fillId="0" borderId="10" xfId="0" applyFont="1" applyBorder="1">
      <alignment vertical="center" wrapText="1"/>
    </xf>
    <xf numFmtId="0" fontId="21" fillId="0" borderId="10" xfId="0" applyFont="1" applyBorder="1">
      <alignment horizontal="left" vertical="center" indent="1"/>
    </xf>
    <xf numFmtId="0" fontId="21" fillId="0" borderId="10" xfId="0" applyFont="1" applyBorder="1">
      <alignment horizontal="left" vertical="center" indent="2"/>
    </xf>
    <xf numFmtId="172" fontId="21" fillId="0" borderId="0" xfId="0" applyFont="1" applyNumberFormat="1">
      <alignment horizontal="right" vertical="center"/>
    </xf>
    <xf numFmtId="0" fontId="77" fillId="0" borderId="22" xfId="0" applyFont="1" applyBorder="1">
      <alignment vertical="center"/>
    </xf>
    <xf numFmtId="0" fontId="19" fillId="34" borderId="0" xfId="0" applyFont="1" applyFill="1">
      <alignment horizontal="left" vertical="center" wrapText="1"/>
      <protection locked="0"/>
    </xf>
    <xf numFmtId="0" fontId="19" fillId="34" borderId="0" xfId="0" applyFont="1" applyFill="1">
      <alignment horizontal="left" vertical="center" wrapText="1"/>
    </xf>
    <xf numFmtId="0" fontId="19" fillId="34" borderId="73" xfId="0" applyFont="1" applyFill="1" applyBorder="1">
      <alignment horizontal="left" vertical="center" wrapText="1"/>
    </xf>
    <xf numFmtId="0" fontId="19" fillId="34" borderId="24" xfId="0" applyFont="1" applyFill="1" applyBorder="1">
      <alignment horizontal="left" vertical="center" wrapText="1"/>
    </xf>
    <xf numFmtId="0" fontId="19" fillId="34" borderId="24" xfId="0" applyFont="1" applyFill="1" applyBorder="1">
      <alignment horizontal="left" vertical="center" wrapText="1"/>
      <protection locked="0"/>
    </xf>
    <xf numFmtId="0" fontId="19" fillId="34" borderId="74" xfId="0" applyFont="1" applyFill="1" applyBorder="1">
      <alignment horizontal="left" vertical="center" wrapText="1"/>
    </xf>
    <xf numFmtId="0" fontId="19" fillId="34" borderId="73" xfId="0" applyFont="1" applyFill="1" applyBorder="1">
      <alignment horizontal="left" vertical="center" wrapText="1"/>
      <protection locked="0"/>
    </xf>
    <xf numFmtId="0" fontId="19" fillId="34" borderId="74" xfId="0" applyFont="1" applyFill="1" applyBorder="1">
      <alignment horizontal="left" vertical="center" wrapText="1"/>
      <protection locked="0"/>
    </xf>
    <xf numFmtId="0" fontId="19" fillId="43" borderId="0" xfId="0" applyFont="1" applyFill="1"/>
    <xf numFmtId="0" fontId="29" fillId="0" borderId="0" xfId="0" applyFont="1">
      <alignment vertical="center"/>
    </xf>
    <xf numFmtId="0" fontId="19" fillId="0" borderId="0" xfId="0" applyFont="1"/>
    <xf numFmtId="0" fontId="19" fillId="0" borderId="0" xfId="0" applyFont="1">
      <alignment horizontal="center" vertical="top"/>
    </xf>
    <xf numFmtId="0" fontId="19" fillId="0" borderId="0" xfId="0" applyFont="1">
      <alignment horizontal="center"/>
    </xf>
    <xf numFmtId="0" fontId="37" fillId="40" borderId="24" xfId="0" applyFont="1" applyFill="1" applyBorder="1">
      <alignment horizontal="left" vertical="center"/>
    </xf>
    <xf numFmtId="0" fontId="37" fillId="40" borderId="18" xfId="0" applyFont="1" applyFill="1" applyBorder="1">
      <alignment horizontal="left" vertical="center"/>
    </xf>
    <xf numFmtId="172" fontId="37" fillId="40" borderId="18" xfId="0" applyFont="1" applyFill="1" applyBorder="1" applyNumberFormat="1">
      <alignment horizontal="right" vertical="center"/>
    </xf>
    <xf numFmtId="172" fontId="37" fillId="40" borderId="18" xfId="0" applyFont="1" applyFill="1" applyBorder="1" applyNumberFormat="1">
      <alignment horizontal="right" vertical="center"/>
    </xf>
    <xf numFmtId="49" fontId="50" fillId="0" borderId="0" xfId="0" applyFont="1" applyNumberFormat="1">
      <alignment horizontal="center" vertical="center" wrapText="1"/>
    </xf>
    <xf numFmtId="0" fontId="19" fillId="0" borderId="10" xfId="0" applyFont="1" applyBorder="1">
      <alignment horizontal="center" vertical="center" wrapText="1"/>
    </xf>
    <xf numFmtId="0" fontId="0" fillId="42" borderId="10" xfId="0" applyFont="1" applyFill="1" applyBorder="1">
      <alignment horizontal="left" vertical="center" wrapText="1"/>
    </xf>
    <xf numFmtId="0" fontId="0" fillId="34" borderId="10" xfId="0" applyFont="1" applyFill="1" applyBorder="1">
      <alignment horizontal="left" vertical="center" wrapText="1"/>
    </xf>
    <xf numFmtId="3" fontId="0" fillId="34" borderId="10" xfId="0" applyFont="1" applyFill="1" applyBorder="1" applyNumberFormat="1">
      <alignment horizontal="left" vertical="center" wrapText="1"/>
    </xf>
    <xf numFmtId="4" fontId="0" fillId="34" borderId="10" xfId="0" applyFont="1" applyFill="1" applyBorder="1" applyNumberFormat="1">
      <alignment horizontal="right" vertical="center" wrapText="1"/>
    </xf>
    <xf numFmtId="0" fontId="0" fillId="34" borderId="10" xfId="0" applyFont="1" applyFill="1" applyBorder="1">
      <alignment horizontal="left" vertical="center" wrapText="1" indent="1"/>
    </xf>
    <xf numFmtId="172" fontId="0" fillId="36" borderId="11" xfId="0" applyFont="1" applyFill="1" applyBorder="1" applyNumberFormat="1">
      <alignment vertical="center" wrapText="1"/>
    </xf>
    <xf numFmtId="172" fontId="0" fillId="34" borderId="10" xfId="0" applyFont="1" applyFill="1" applyBorder="1" applyNumberFormat="1">
      <alignment horizontal="right" vertical="center" wrapText="1"/>
    </xf>
    <xf numFmtId="172" fontId="0" fillId="34" borderId="11" xfId="0" applyFont="1" applyFill="1" applyBorder="1" applyNumberFormat="1">
      <alignment vertical="center" wrapText="1"/>
    </xf>
    <xf numFmtId="172" fontId="0" fillId="36" borderId="11" xfId="0" applyFont="1" applyFill="1" applyBorder="1" applyNumberFormat="1">
      <alignment vertical="center" wrapText="1"/>
    </xf>
    <xf numFmtId="49" fontId="0" fillId="34" borderId="10" xfId="0" applyFont="1" applyFill="1" applyBorder="1" applyNumberFormat="1">
      <alignment horizontal="left" vertical="center" wrapText="1"/>
    </xf>
    <xf numFmtId="0" fontId="19" fillId="4" borderId="0" xfId="0" applyFont="1" applyFill="1"/>
    <xf numFmtId="0" fontId="21" fillId="0" borderId="0" xfId="0" applyFont="1"/>
    <xf numFmtId="49" fontId="38" fillId="41" borderId="31"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56" xfId="0" applyFont="1" applyFill="1" applyBorder="1" applyNumberFormat="1">
      <alignment vertical="center"/>
    </xf>
    <xf numFmtId="0" fontId="0" fillId="42" borderId="10" xfId="0" applyFont="1" applyFill="1" applyBorder="1">
      <alignment horizontal="left" vertical="center" wrapText="1"/>
      <protection locked="0"/>
    </xf>
    <xf numFmtId="0" fontId="0" fillId="34" borderId="10" xfId="0" applyFont="1" applyFill="1" applyBorder="1">
      <alignment horizontal="left" vertical="center" wrapText="1"/>
      <protection locked="0"/>
    </xf>
    <xf numFmtId="3" fontId="0" fillId="34" borderId="10" xfId="0" applyFont="1" applyFill="1" applyBorder="1" applyNumberFormat="1">
      <alignment horizontal="left" vertical="center" wrapText="1"/>
      <protection locked="0"/>
    </xf>
    <xf numFmtId="4" fontId="0" fillId="34" borderId="10" xfId="0" applyFont="1" applyFill="1" applyBorder="1" applyNumberFormat="1">
      <alignment horizontal="right" vertical="center" wrapText="1"/>
      <protection locked="0"/>
    </xf>
    <xf numFmtId="0" fontId="0" fillId="34" borderId="10" xfId="0" applyFont="1" applyFill="1" applyBorder="1">
      <alignment horizontal="left" vertical="center" wrapText="1" indent="1"/>
      <protection locked="0"/>
    </xf>
    <xf numFmtId="172" fontId="0" fillId="34" borderId="10" xfId="0" applyFont="1" applyFill="1" applyBorder="1" applyNumberFormat="1">
      <alignment horizontal="right" vertical="center" wrapText="1"/>
      <protection locked="0"/>
    </xf>
    <xf numFmtId="172" fontId="0" fillId="34" borderId="11" xfId="0" applyFont="1" applyFill="1" applyBorder="1" applyNumberFormat="1">
      <alignment vertical="center" wrapText="1"/>
      <protection locked="0"/>
    </xf>
    <xf numFmtId="49" fontId="0" fillId="34" borderId="10" xfId="0" applyFont="1" applyFill="1" applyBorder="1" applyNumberFormat="1">
      <alignment horizontal="left" vertical="center" wrapText="1"/>
      <protection locked="0"/>
    </xf>
    <xf numFmtId="49" fontId="38" fillId="41" borderId="31"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56" xfId="0" applyFont="1" applyFill="1" applyBorder="1" applyNumberFormat="1">
      <alignment vertical="center"/>
    </xf>
    <xf numFmtId="0" fontId="29" fillId="0" borderId="0" xfId="0" applyFont="1">
      <alignment vertical="center"/>
    </xf>
    <xf numFmtId="0" fontId="21" fillId="43" borderId="0" xfId="0" applyFont="1" applyFill="1">
      <alignment vertical="center"/>
    </xf>
    <xf numFmtId="49" fontId="50" fillId="0" borderId="0" xfId="0" applyFont="1" applyNumberFormat="1">
      <alignment horizontal="center" vertical="center" wrapText="1"/>
    </xf>
    <xf numFmtId="0" fontId="19" fillId="34" borderId="30" xfId="0" applyFont="1" applyFill="1" applyBorder="1">
      <alignment horizontal="left" vertical="center" wrapText="1"/>
    </xf>
    <xf numFmtId="0" fontId="19" fillId="34" borderId="29" xfId="0" applyFont="1" applyFill="1" applyBorder="1">
      <alignment horizontal="left" vertical="center" wrapText="1"/>
    </xf>
    <xf numFmtId="0" fontId="21" fillId="4" borderId="0" xfId="0" applyFont="1" applyFill="1">
      <alignment vertical="center"/>
    </xf>
    <xf numFmtId="0" fontId="0" fillId="0" borderId="0" xfId="0" applyFont="1">
      <alignment vertical="center"/>
    </xf>
    <xf numFmtId="0" fontId="19" fillId="34" borderId="30" xfId="0" applyFont="1" applyFill="1" applyBorder="1">
      <alignment horizontal="left" vertical="center" wrapText="1"/>
      <protection locked="0"/>
    </xf>
    <xf numFmtId="0" fontId="19" fillId="34" borderId="29" xfId="0" applyFont="1" applyFill="1" applyBorder="1">
      <alignment horizontal="left" vertical="center" wrapText="1"/>
      <protection locked="0"/>
    </xf>
    <xf numFmtId="0" fontId="0" fillId="0" borderId="0" xfId="0" applyFont="1">
      <alignment vertical="center"/>
    </xf>
    <xf numFmtId="0" fontId="0" fillId="0" borderId="0" xfId="0" applyFont="1">
      <alignment vertical="center"/>
    </xf>
    <xf numFmtId="0" fontId="0" fillId="0" borderId="0" xfId="0" applyFont="1">
      <alignment vertical="center"/>
    </xf>
    <xf numFmtId="0" fontId="0" fillId="0" borderId="0" xfId="0" applyFont="1">
      <alignment vertical="center"/>
    </xf>
    <xf numFmtId="0" fontId="0" fillId="0" borderId="0" xfId="0" applyFont="1">
      <alignment vertical="center"/>
    </xf>
    <xf numFmtId="0" fontId="0" fillId="0" borderId="0" xfId="0" applyFont="1">
      <alignment vertical="center"/>
    </xf>
    <xf numFmtId="49" fontId="40" fillId="0" borderId="13" xfId="0" applyFont="1" applyBorder="1" applyNumberFormat="1">
      <alignment horizontal="left" vertical="center" indent="1"/>
    </xf>
    <xf numFmtId="49" fontId="40" fillId="0" borderId="28" xfId="0" applyFont="1" applyBorder="1" applyNumberFormat="1">
      <alignment horizontal="left" vertical="center" wrapText="1" indent="4"/>
    </xf>
    <xf numFmtId="0" fontId="21" fillId="0" borderId="0" xfId="0" applyFont="1">
      <alignment horizontal="center" vertical="center" wrapText="1"/>
    </xf>
    <xf numFmtId="0" fontId="29" fillId="0" borderId="0" xfId="0" applyFont="1">
      <alignment horizontal="center" vertical="center" wrapText="1"/>
    </xf>
    <xf numFmtId="0" fontId="21" fillId="43" borderId="0" xfId="0" applyFont="1" applyFill="1">
      <alignment horizontal="center" vertical="center" wrapText="1"/>
    </xf>
    <xf numFmtId="49" fontId="29" fillId="0" borderId="0" xfId="0" applyFont="1" applyNumberFormat="1">
      <alignment horizontal="center" vertical="center" wrapText="1"/>
    </xf>
    <xf numFmtId="49" fontId="19" fillId="33" borderId="11" xfId="0" applyFont="1" applyFill="1" applyBorder="1" applyNumberFormat="1">
      <alignment horizontal="center" vertical="center" wrapText="1"/>
    </xf>
    <xf numFmtId="4" fontId="19" fillId="36" borderId="11" xfId="0" applyFont="1" applyFill="1" applyBorder="1" applyNumberFormat="1">
      <alignment horizontal="right" vertical="center"/>
    </xf>
    <xf numFmtId="0" fontId="21" fillId="4" borderId="0" xfId="0" applyFont="1" applyFill="1">
      <alignment horizontal="center" vertical="center" wrapText="1"/>
    </xf>
    <xf numFmtId="0" fontId="19" fillId="33" borderId="11" xfId="0" applyFont="1" applyFill="1" applyBorder="1">
      <alignment horizontal="center" vertical="center" wrapText="1"/>
    </xf>
    <xf numFmtId="0" fontId="19" fillId="42" borderId="11" xfId="0" applyFont="1" applyFill="1" applyBorder="1">
      <alignment horizontal="left" vertical="center" wrapText="1"/>
    </xf>
    <xf numFmtId="0" fontId="19" fillId="43" borderId="0" xfId="0" applyFont="1" applyFill="1">
      <alignment vertical="center"/>
    </xf>
    <xf numFmtId="0" fontId="19" fillId="4" borderId="0" xfId="0" applyFont="1" applyFill="1">
      <alignment vertical="center"/>
    </xf>
    <xf numFmtId="0" fontId="0" fillId="0" borderId="0" xfId="0" applyFont="1">
      <alignment vertical="center" wrapText="1"/>
    </xf>
    <xf numFmtId="49" fontId="38" fillId="41" borderId="19" xfId="0" applyFont="1" applyFill="1" applyBorder="1" applyNumberFormat="1">
      <alignment horizontal="left" vertical="center" wrapText="1" indent="1"/>
    </xf>
    <xf numFmtId="49" fontId="38" fillId="41" borderId="20" xfId="0" applyFont="1" applyFill="1" applyBorder="1" applyNumberFormat="1">
      <alignment vertical="center" wrapTex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6" xfId="0" applyFont="1" applyFill="1" applyBorder="1" applyNumberFormat="1">
      <alignment horizontal="left" vertical="center" wrapText="1" indent="1"/>
    </xf>
    <xf numFmtId="0" fontId="1" fillId="0" borderId="10" xfId="0" applyFont="1" applyBorder="1">
      <alignment vertical="center"/>
    </xf>
    <xf numFmtId="49" fontId="19" fillId="34" borderId="18" xfId="0" applyFont="1" applyFill="1" applyBorder="1" applyNumberFormat="1">
      <alignment horizontal="left" vertical="top" wrapText="1"/>
      <protection locked="0"/>
    </xf>
    <xf numFmtId="49" fontId="19" fillId="34" borderId="18" xfId="0" applyFont="1" applyFill="1" applyBorder="1" applyNumberFormat="1">
      <alignment horizontal="left" vertical="top" wrapText="1"/>
    </xf>
    <xf numFmtId="49" fontId="19" fillId="34" borderId="30" xfId="0" applyFont="1" applyFill="1" applyBorder="1" applyNumberFormat="1">
      <alignment horizontal="left" vertical="top" wrapText="1"/>
    </xf>
    <xf numFmtId="49" fontId="19" fillId="34" borderId="29" xfId="0" applyFont="1" applyFill="1" applyBorder="1" applyNumberFormat="1">
      <alignment horizontal="left" vertical="top" wrapText="1"/>
    </xf>
    <xf numFmtId="0" fontId="21" fillId="41" borderId="18" xfId="0" applyFont="1" applyFill="1" applyBorder="1">
      <alignment vertical="center"/>
    </xf>
    <xf numFmtId="49" fontId="40" fillId="0" borderId="13" xfId="0" applyFont="1" applyBorder="1" applyNumberFormat="1">
      <alignment vertical="center" wrapText="1"/>
    </xf>
    <xf numFmtId="0" fontId="21" fillId="0" borderId="0" xfId="0" applyFont="1">
      <alignment horizontal="center" vertical="center" wrapText="1"/>
    </xf>
    <xf numFmtId="0" fontId="29" fillId="0" borderId="0" xfId="0" applyFont="1">
      <alignment horizontal="center" vertical="center"/>
    </xf>
    <xf numFmtId="0" fontId="29" fillId="0" borderId="0" xfId="0" applyFont="1">
      <alignment horizontal="center" vertical="center"/>
    </xf>
    <xf numFmtId="0" fontId="21" fillId="0" borderId="0" xfId="0" applyFont="1">
      <alignment horizontal="center" vertical="center"/>
    </xf>
    <xf numFmtId="4" fontId="19" fillId="36" borderId="11" xfId="0" applyFont="1" applyFill="1" applyBorder="1" applyNumberFormat="1">
      <alignment horizontal="right" vertical="center"/>
    </xf>
    <xf numFmtId="4" fontId="21" fillId="34" borderId="10" xfId="0" applyFont="1" applyFill="1" applyBorder="1" applyNumberFormat="1">
      <alignment horizontal="right" vertical="center"/>
    </xf>
    <xf numFmtId="4" fontId="21" fillId="34" borderId="10" xfId="0" applyFont="1" applyFill="1" applyBorder="1" applyNumberFormat="1">
      <alignment horizontal="right" vertical="center"/>
      <protection locked="0"/>
    </xf>
    <xf numFmtId="0" fontId="42" fillId="43" borderId="30" xfId="0" applyFont="1" applyFill="1" applyBorder="1">
      <alignment horizontal="center" vertical="center" wrapText="1"/>
    </xf>
    <xf numFmtId="0" fontId="19" fillId="43" borderId="0" xfId="0" applyFont="1" applyFill="1">
      <alignment horizontal="left" vertical="center" wrapText="1"/>
    </xf>
    <xf numFmtId="4" fontId="19" fillId="43" borderId="0" xfId="0" applyFont="1" applyFill="1" applyNumberFormat="1">
      <alignment horizontal="right" vertical="center"/>
    </xf>
    <xf numFmtId="49" fontId="19" fillId="43" borderId="29" xfId="0" applyFont="1" applyFill="1" applyBorder="1" applyNumberFormat="1">
      <alignment horizontal="left" vertical="center"/>
    </xf>
    <xf numFmtId="0" fontId="49" fillId="0" borderId="0" xfId="0" applyFont="1">
      <alignment horizontal="left" vertical="top"/>
    </xf>
    <xf numFmtId="0" fontId="38" fillId="41" borderId="19" xfId="0" applyFont="1" applyFill="1" applyBorder="1">
      <alignment horizontal="left" vertical="center" wrapText="1" indent="1"/>
    </xf>
    <xf numFmtId="0" fontId="0" fillId="0" borderId="0" xfId="0" applyFont="1">
      <alignment vertical="center" wrapText="1"/>
    </xf>
    <xf numFmtId="0" fontId="38" fillId="41" borderId="19" xfId="0" applyFont="1" applyFill="1" applyBorder="1">
      <alignment horizontal="left" vertical="center" wrapText="1" indent="1"/>
    </xf>
    <xf numFmtId="49" fontId="38" fillId="41" borderId="20" xfId="0" applyFont="1" applyFill="1" applyBorder="1" applyNumberFormat="1">
      <alignment vertical="center" wrapTex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6" xfId="0" applyFont="1" applyFill="1" applyBorder="1" applyNumberFormat="1">
      <alignment horizontal="left" vertical="center" wrapText="1" indent="1"/>
    </xf>
    <xf numFmtId="49" fontId="38" fillId="41" borderId="19" xfId="0" applyFont="1" applyFill="1" applyBorder="1" applyNumberFormat="1">
      <alignment horizontal="left" vertical="center" wrapText="1" indent="1"/>
    </xf>
    <xf numFmtId="49" fontId="38" fillId="41" borderId="20" xfId="0" applyFont="1" applyFill="1" applyBorder="1" applyNumberFormat="1">
      <alignment vertical="center" wrapTex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6" xfId="0" applyFont="1" applyFill="1" applyBorder="1" applyNumberFormat="1">
      <alignment horizontal="left" vertical="center" wrapText="1" indent="1"/>
    </xf>
    <xf numFmtId="0" fontId="19" fillId="0" borderId="18" xfId="0" applyFont="1" applyBorder="1">
      <alignment horizontal="center" vertical="center" wrapText="1"/>
    </xf>
    <xf numFmtId="0" fontId="50" fillId="0" borderId="52" xfId="0" applyFont="1" applyBorder="1">
      <alignment horizontal="center" vertical="center" wrapText="1"/>
    </xf>
    <xf numFmtId="0" fontId="19" fillId="43" borderId="0" xfId="0" applyFont="1" applyFill="1">
      <alignment horizontal="center"/>
    </xf>
    <xf numFmtId="0" fontId="19" fillId="0" borderId="0" xfId="0" applyFont="1">
      <alignment horizontal="left"/>
    </xf>
    <xf numFmtId="0" fontId="19" fillId="4" borderId="0" xfId="0" applyFont="1" applyFill="1">
      <alignment horizontal="center"/>
    </xf>
    <xf numFmtId="0" fontId="22" fillId="0" borderId="0" xfId="0" applyFont="1">
      <alignment horizontal="center"/>
    </xf>
    <xf numFmtId="1" fontId="21" fillId="0" borderId="0" xfId="0" applyFont="1" applyNumberFormat="1">
      <alignment vertical="center"/>
    </xf>
    <xf numFmtId="49" fontId="37" fillId="40" borderId="29" xfId="0" applyFont="1" applyFill="1" applyBorder="1" applyNumberFormat="1">
      <alignment horizontal="left" vertical="center" wrapText="1"/>
    </xf>
    <xf numFmtId="0" fontId="31" fillId="0" borderId="0" xfId="0" applyFont="1">
      <alignment horizontal="center"/>
    </xf>
    <xf numFmtId="0" fontId="22" fillId="43" borderId="0" xfId="0" applyFont="1" applyFill="1"/>
    <xf numFmtId="0" fontId="22" fillId="0" borderId="10" xfId="0" applyFont="1" applyBorder="1">
      <alignment horizontal="center" vertical="center"/>
    </xf>
    <xf numFmtId="0" fontId="22" fillId="0" borderId="10" xfId="0" applyFont="1" applyBorder="1">
      <alignment vertical="center" wrapText="1"/>
    </xf>
    <xf numFmtId="4" fontId="22" fillId="34" borderId="10" xfId="0" applyFont="1" applyFill="1" applyBorder="1" applyNumberFormat="1">
      <alignment horizontal="right" vertical="center"/>
    </xf>
    <xf numFmtId="4" fontId="22" fillId="34" borderId="10" xfId="0" applyFont="1" applyFill="1" applyBorder="1" applyNumberFormat="1">
      <alignment horizontal="right" vertical="center"/>
      <protection locked="0"/>
    </xf>
    <xf numFmtId="0" fontId="19" fillId="4" borderId="0" xfId="0" applyFont="1" applyFill="1">
      <alignment horizontal="left" vertical="top"/>
    </xf>
    <xf numFmtId="4" fontId="19" fillId="34"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49" fontId="29" fillId="0" borderId="0" xfId="0" applyFont="1" applyNumberFormat="1"/>
    <xf numFmtId="0" fontId="1" fillId="0" borderId="0" xfId="0" applyFont="1">
      <alignment vertical="center"/>
    </xf>
    <xf numFmtId="49" fontId="68" fillId="34" borderId="76" xfId="0" applyFont="1" applyFill="1" applyBorder="1" applyNumberFormat="1">
      <alignment horizontal="left" vertical="top" wrapText="1"/>
      <protection locked="0"/>
    </xf>
    <xf numFmtId="49" fontId="68" fillId="34" borderId="76" xfId="0" applyFont="1" applyFill="1" applyBorder="1" applyNumberFormat="1">
      <alignment horizontal="left" vertical="top" wrapText="1"/>
    </xf>
    <xf numFmtId="49" fontId="19" fillId="34" borderId="76" xfId="0" applyFont="1" applyFill="1" applyBorder="1" applyNumberFormat="1">
      <alignment horizontal="left" vertical="top" wrapText="1"/>
    </xf>
    <xf numFmtId="0" fontId="21" fillId="25" borderId="0" xfId="0" applyFont="1" applyFill="1"/>
    <xf numFmtId="0" fontId="21" fillId="0" borderId="0" xfId="0" applyFont="1">
      <alignment horizontal="left"/>
    </xf>
    <xf numFmtId="0" fontId="21" fillId="4" borderId="0" xfId="0" applyFont="1" applyFill="1">
      <alignment horizontal="center"/>
    </xf>
    <xf numFmtId="0" fontId="1" fillId="0" borderId="13" xfId="0" applyFont="1" applyBorder="1">
      <alignment vertical="center" wrapText="1"/>
    </xf>
    <xf numFmtId="0" fontId="37" fillId="40" borderId="30" xfId="0" applyFont="1" applyFill="1" applyBorder="1">
      <alignment horizontal="left" vertical="center"/>
    </xf>
    <xf numFmtId="0" fontId="29" fillId="0" borderId="0" xfId="0" applyFont="1">
      <alignment horizontal="left" vertical="center"/>
    </xf>
    <xf numFmtId="49" fontId="22" fillId="0" borderId="10" xfId="0" applyFont="1" applyBorder="1" applyNumberFormat="1">
      <alignment horizontal="center" vertical="center"/>
    </xf>
    <xf numFmtId="0" fontId="22" fillId="0" borderId="10" xfId="0" applyFont="1" applyBorder="1">
      <alignment horizontal="left" vertical="center" wrapText="1"/>
    </xf>
    <xf numFmtId="0" fontId="22" fillId="33" borderId="11" xfId="0" applyFont="1" applyFill="1" applyBorder="1">
      <alignment horizontal="center" vertical="center" wrapText="1"/>
    </xf>
    <xf numFmtId="4" fontId="19" fillId="36" borderId="10" xfId="0" applyFont="1" applyFill="1" applyBorder="1" applyNumberFormat="1">
      <alignment horizontal="right" vertical="center"/>
    </xf>
    <xf numFmtId="0" fontId="19" fillId="4" borderId="0" xfId="0" applyFont="1" applyFill="1">
      <alignment horizontal="left" vertical="top"/>
    </xf>
    <xf numFmtId="0" fontId="19" fillId="0" borderId="10" xfId="0" applyFont="1" applyBorder="1">
      <alignment horizontal="left" vertical="center" wrapText="1" indent="1"/>
    </xf>
    <xf numFmtId="0" fontId="19" fillId="33" borderId="11" xfId="0" applyFont="1" applyFill="1" applyBorder="1">
      <alignment horizontal="center" vertical="center" wrapText="1"/>
    </xf>
    <xf numFmtId="4" fontId="19" fillId="34"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0" fontId="19" fillId="0" borderId="10" xfId="0" applyFont="1" applyBorder="1">
      <alignment horizontal="left" vertical="center" wrapText="1" indent="2"/>
    </xf>
    <xf numFmtId="0" fontId="19" fillId="0" borderId="10" xfId="0" applyFont="1" applyBorder="1">
      <alignment horizontal="left" indent="1"/>
    </xf>
    <xf numFmtId="0" fontId="19" fillId="25" borderId="0" xfId="0" applyFont="1" applyFill="1">
      <alignment horizontal="center"/>
    </xf>
    <xf numFmtId="0" fontId="19" fillId="4" borderId="0" xfId="0" applyFont="1" applyFill="1">
      <alignment vertical="top"/>
    </xf>
    <xf numFmtId="0" fontId="21" fillId="0" borderId="0" xfId="0" applyFont="1">
      <alignment vertical="center"/>
    </xf>
    <xf numFmtId="49" fontId="40" fillId="0" borderId="13" xfId="0" applyFont="1" applyBorder="1" applyNumberFormat="1">
      <alignment horizontal="left" vertical="center" wrapText="1" indent="1"/>
    </xf>
    <xf numFmtId="0" fontId="21" fillId="0" borderId="77" xfId="0" applyFont="1" applyBorder="1">
      <alignment horizontal="center" vertical="center" wrapText="1"/>
    </xf>
    <xf numFmtId="0" fontId="21" fillId="0" borderId="48" xfId="0" applyFont="1" applyBorder="1">
      <alignment horizontal="center" vertical="center" wrapText="1"/>
    </xf>
    <xf numFmtId="0" fontId="21" fillId="11" borderId="37" xfId="0" applyFont="1" applyFill="1" applyBorder="1">
      <alignment horizontal="center" vertical="center" wrapText="1"/>
    </xf>
    <xf numFmtId="0" fontId="21" fillId="0" borderId="10" xfId="0" applyFont="1" applyBorder="1">
      <alignment horizontal="center" vertical="center" wrapText="1"/>
    </xf>
    <xf numFmtId="0" fontId="21" fillId="0" borderId="0" xfId="0" applyFont="1">
      <alignment horizontal="center" vertical="center" wrapText="1"/>
    </xf>
    <xf numFmtId="0" fontId="37" fillId="40" borderId="30" xfId="0" applyFont="1" applyFill="1" applyBorder="1">
      <alignment horizontal="left" vertical="center"/>
    </xf>
    <xf numFmtId="49" fontId="37" fillId="40" borderId="18" xfId="0" applyFont="1" applyFill="1" applyBorder="1" applyNumberFormat="1">
      <alignment horizontal="left" vertical="center" wrapText="1"/>
    </xf>
    <xf numFmtId="49" fontId="37" fillId="40" borderId="29" xfId="0" applyFont="1" applyFill="1" applyBorder="1" applyNumberFormat="1">
      <alignment horizontal="left" vertical="center" wrapText="1"/>
    </xf>
    <xf numFmtId="0" fontId="21" fillId="0" borderId="0" xfId="0" applyFont="1">
      <alignment horizontal="left" vertical="center"/>
    </xf>
    <xf numFmtId="0" fontId="22" fillId="43" borderId="0" xfId="0" applyFont="1" applyFill="1"/>
    <xf numFmtId="0" fontId="22" fillId="0" borderId="0" xfId="0" applyFont="1"/>
    <xf numFmtId="49" fontId="19" fillId="0" borderId="11" xfId="0" applyFont="1" applyBorder="1" applyNumberFormat="1">
      <alignment horizontal="center"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center" vertical="center" wrapText="1"/>
    </xf>
    <xf numFmtId="4" fontId="19" fillId="36" borderId="11" xfId="0" applyFont="1" applyFill="1" applyBorder="1" applyNumberFormat="1">
      <alignment horizontal="right" vertical="center" wrapText="1"/>
    </xf>
    <xf numFmtId="4" fontId="19" fillId="36" borderId="11" xfId="0" applyFont="1" applyFill="1" applyBorder="1" applyNumberFormat="1">
      <alignment horizontal="right" vertical="center" wrapText="1"/>
    </xf>
    <xf numFmtId="0" fontId="22" fillId="4" borderId="0" xfId="0" applyFont="1" applyFill="1"/>
    <xf numFmtId="0" fontId="21" fillId="0" borderId="0" xfId="0" applyFont="1">
      <alignment horizontal="left" vertical="center"/>
    </xf>
    <xf numFmtId="49" fontId="19" fillId="0" borderId="46" xfId="0" applyFont="1" applyBorder="1" applyNumberFormat="1">
      <alignment horizontal="center" vertical="center" wrapText="1"/>
    </xf>
    <xf numFmtId="49" fontId="19" fillId="0" borderId="46" xfId="0" applyFont="1" applyBorder="1" applyNumberFormat="1">
      <alignment horizontal="left" vertical="center" wrapText="1" indent="1"/>
    </xf>
    <xf numFmtId="49" fontId="19" fillId="0" borderId="46" xfId="0" applyFont="1" applyBorder="1" applyNumberFormat="1">
      <alignment horizontal="center" vertical="center" wrapText="1"/>
    </xf>
    <xf numFmtId="4" fontId="19" fillId="34" borderId="46" xfId="0" applyFont="1" applyFill="1" applyBorder="1" applyNumberFormat="1">
      <alignment horizontal="right" vertical="center" wrapText="1"/>
      <protection locked="0"/>
    </xf>
    <xf numFmtId="49" fontId="19" fillId="0" borderId="46" xfId="0" applyFont="1" applyBorder="1" applyNumberFormat="1">
      <alignment horizontal="left" vertical="center" wrapText="1" indent="1"/>
    </xf>
    <xf numFmtId="172" fontId="19" fillId="36" borderId="11" xfId="0" applyFont="1" applyFill="1" applyBorder="1" applyNumberFormat="1">
      <alignment horizontal="right" vertical="center" wrapText="1"/>
    </xf>
    <xf numFmtId="172" fontId="19" fillId="36" borderId="11" xfId="0" applyFont="1" applyFill="1" applyBorder="1" applyNumberFormat="1">
      <alignment horizontal="right" vertical="center" wrapText="1"/>
    </xf>
    <xf numFmtId="0" fontId="40" fillId="0" borderId="0" xfId="0" applyFont="1">
      <alignment horizontal="left" vertical="center"/>
    </xf>
    <xf numFmtId="1" fontId="22" fillId="0" borderId="11" xfId="0" applyFont="1" applyBorder="1" applyNumberFormat="1">
      <alignment horizontal="center" vertical="center" wrapText="1"/>
    </xf>
    <xf numFmtId="49" fontId="22" fillId="0" borderId="11" xfId="0" applyFont="1" applyBorder="1" applyNumberFormat="1">
      <alignment horizontal="left" vertical="center" wrapText="1"/>
    </xf>
    <xf numFmtId="49" fontId="22" fillId="0" borderId="11" xfId="0" applyFont="1" applyBorder="1" applyNumberFormat="1">
      <alignment horizontal="center" vertical="center" wrapText="1"/>
    </xf>
    <xf numFmtId="4" fontId="22" fillId="36" borderId="11" xfId="0" applyFont="1" applyFill="1" applyBorder="1" applyNumberFormat="1">
      <alignment horizontal="right" vertical="center" wrapText="1"/>
    </xf>
    <xf numFmtId="4" fontId="22" fillId="36" borderId="11" xfId="0" applyFont="1" applyFill="1" applyBorder="1" applyNumberFormat="1">
      <alignment horizontal="right" vertical="center" wrapText="1"/>
    </xf>
    <xf numFmtId="1" fontId="19" fillId="0" borderId="11" xfId="0" applyFont="1" applyBorder="1" applyNumberFormat="1">
      <alignment horizontal="center" vertical="center" wrapText="1"/>
    </xf>
    <xf numFmtId="49" fontId="19" fillId="0" borderId="11" xfId="0" applyFont="1" applyBorder="1" applyNumberFormat="1">
      <alignment horizontal="left" vertical="center" wrapText="1"/>
    </xf>
    <xf numFmtId="1" fontId="19" fillId="0" borderId="11"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0" borderId="0" xfId="0" applyFont="1" applyNumberFormat="1">
      <alignment horizontal="center" vertical="center"/>
    </xf>
    <xf numFmtId="0" fontId="21" fillId="43" borderId="0" xfId="0" applyFont="1" applyFill="1">
      <alignment vertical="center"/>
    </xf>
    <xf numFmtId="0" fontId="19" fillId="0" borderId="0" xfId="0" applyFont="1"/>
    <xf numFmtId="0" fontId="50" fillId="0" borderId="52" xfId="0" applyFont="1" applyBorder="1">
      <alignment horizontal="center" vertical="center" wrapText="1"/>
    </xf>
    <xf numFmtId="49" fontId="19" fillId="34" borderId="29" xfId="0" applyFont="1" applyFill="1" applyBorder="1" applyNumberFormat="1">
      <alignment horizontal="left" vertical="top" wrapText="1"/>
      <protection locked="0"/>
    </xf>
    <xf numFmtId="0" fontId="21" fillId="4" borderId="0" xfId="0" applyFont="1" applyFill="1">
      <alignment vertical="center"/>
    </xf>
    <xf numFmtId="0" fontId="0" fillId="0" borderId="0" xfId="0" applyFont="1">
      <alignment vertical="center"/>
    </xf>
    <xf numFmtId="49" fontId="19" fillId="34" borderId="30" xfId="0" applyFont="1" applyFill="1" applyBorder="1" applyNumberFormat="1">
      <alignment horizontal="left" vertical="top" wrapText="1"/>
      <protection locked="0"/>
    </xf>
    <xf numFmtId="0" fontId="21" fillId="41" borderId="18" xfId="0" applyFont="1" applyFill="1" applyBorder="1">
      <alignment vertical="center"/>
    </xf>
    <xf numFmtId="0" fontId="21" fillId="41" borderId="29" xfId="0" applyFont="1" applyFill="1" applyBorder="1">
      <alignment vertical="center"/>
    </xf>
    <xf numFmtId="0" fontId="23" fillId="43" borderId="0" xfId="0" applyFont="1" applyFill="1"/>
    <xf numFmtId="0" fontId="23" fillId="0" borderId="0" xfId="0" applyFont="1"/>
    <xf numFmtId="0" fontId="23" fillId="4" borderId="0" xfId="0" applyFont="1" applyFill="1"/>
    <xf numFmtId="0" fontId="1" fillId="0" borderId="13" xfId="0" applyFont="1" applyBorder="1">
      <alignment vertical="center"/>
    </xf>
    <xf numFmtId="0" fontId="26" fillId="0" borderId="0" xfId="0" applyFont="1">
      <alignment horizontal="left"/>
    </xf>
    <xf numFmtId="0" fontId="23" fillId="0" borderId="0" xfId="0" applyFont="1">
      <alignment horizontal="left"/>
    </xf>
    <xf numFmtId="0" fontId="23" fillId="0" borderId="0" xfId="0" applyFont="1"/>
    <xf numFmtId="49" fontId="23" fillId="0" borderId="0" xfId="0" applyFont="1" applyNumberFormat="1"/>
    <xf numFmtId="0" fontId="23" fillId="0" borderId="0" xfId="0" applyFont="1">
      <alignment horizontal="center"/>
    </xf>
    <xf numFmtId="4" fontId="43" fillId="40" borderId="18" xfId="0" applyFont="1" applyFill="1" applyBorder="1" applyNumberFormat="1">
      <alignment horizontal="right" vertical="center"/>
    </xf>
    <xf numFmtId="0" fontId="37" fillId="40" borderId="29" xfId="0" applyFont="1" applyFill="1" applyBorder="1">
      <alignment horizontal="left" vertical="center"/>
    </xf>
    <xf numFmtId="0" fontId="64" fillId="0" borderId="0" xfId="0" applyFont="1"/>
    <xf numFmtId="49" fontId="64" fillId="0" borderId="0" xfId="0" applyFont="1" applyNumberFormat="1"/>
    <xf numFmtId="4" fontId="22" fillId="36" borderId="10" xfId="0" applyFont="1" applyFill="1" applyBorder="1" applyNumberFormat="1">
      <alignment horizontal="right" vertical="center"/>
    </xf>
    <xf numFmtId="4" fontId="22" fillId="36" borderId="10" xfId="0" applyFont="1" applyFill="1" applyBorder="1" applyNumberFormat="1">
      <alignment horizontal="right" vertical="center"/>
    </xf>
    <xf numFmtId="49" fontId="50" fillId="0" borderId="64" xfId="0" applyFont="1" applyBorder="1" applyNumberFormat="1">
      <alignment horizontal="center" vertical="top" wrapText="1"/>
    </xf>
    <xf numFmtId="49" fontId="21" fillId="0" borderId="11" xfId="0" applyFont="1" applyBorder="1" applyNumberFormat="1">
      <alignment horizontal="left" vertical="center" wrapText="1"/>
    </xf>
    <xf numFmtId="4" fontId="19" fillId="34"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0" fontId="19" fillId="0" borderId="10" xfId="0" applyFont="1" applyBorder="1">
      <alignment horizontal="left" vertical="center" wrapText="1" indent="2"/>
    </xf>
    <xf numFmtId="0" fontId="23" fillId="0" borderId="0" xfId="0" applyFont="1">
      <alignment wrapText="1"/>
    </xf>
    <xf numFmtId="0" fontId="38" fillId="41" borderId="30" xfId="0" applyFont="1" applyFill="1" applyBorder="1">
      <alignment horizontal="left" vertical="center" wrapText="1" indent="1"/>
    </xf>
    <xf numFmtId="49" fontId="38" fillId="41" borderId="18" xfId="0" applyFont="1" applyFill="1" applyBorder="1" applyNumberFormat="1">
      <alignment horizontal="left" vertical="center" wrapText="1" indent="1"/>
    </xf>
    <xf numFmtId="49" fontId="38" fillId="41" borderId="29" xfId="0" applyFont="1" applyFill="1" applyBorder="1" applyNumberFormat="1">
      <alignment horizontal="left" vertical="center" wrapText="1" indent="1"/>
    </xf>
    <xf numFmtId="0" fontId="23" fillId="0" borderId="0" xfId="0" applyFont="1">
      <alignment vertical="top"/>
    </xf>
    <xf numFmtId="0" fontId="50" fillId="0" borderId="64" xfId="0" applyFont="1" applyBorder="1">
      <alignment horizontal="center" vertical="top" wrapText="1"/>
    </xf>
    <xf numFmtId="4" fontId="22" fillId="0" borderId="10" xfId="0" applyFont="1" applyBorder="1" applyNumberFormat="1">
      <alignment horizontal="right" vertical="center"/>
    </xf>
    <xf numFmtId="0" fontId="23" fillId="0" borderId="0" xfId="0" applyFont="1">
      <alignment horizontal="center" vertical="top"/>
    </xf>
    <xf numFmtId="49" fontId="23" fillId="0" borderId="0" xfId="0" applyFont="1" applyNumberFormat="1">
      <alignment vertical="top"/>
    </xf>
    <xf numFmtId="0" fontId="53" fillId="0" borderId="0" xfId="0" applyFont="1">
      <alignment horizontal="center"/>
    </xf>
    <xf numFmtId="0" fontId="26" fillId="43" borderId="0" xfId="0" applyFont="1" applyFill="1"/>
    <xf numFmtId="4" fontId="22" fillId="34" borderId="10" xfId="0" applyFont="1" applyFill="1" applyBorder="1" applyNumberFormat="1">
      <alignment horizontal="right" vertical="center"/>
    </xf>
    <xf numFmtId="4" fontId="22" fillId="34" borderId="10" xfId="0" applyFont="1" applyFill="1" applyBorder="1" applyNumberFormat="1">
      <alignment horizontal="right" vertical="center"/>
      <protection locked="0"/>
    </xf>
    <xf numFmtId="0" fontId="26" fillId="4" borderId="0" xfId="0" applyFont="1" applyFill="1"/>
    <xf numFmtId="0" fontId="38" fillId="41" borderId="30" xfId="0" applyFont="1" applyFill="1" applyBorder="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29" xfId="0" applyFont="1" applyFill="1" applyBorder="1" applyNumberFormat="1">
      <alignment horizontal="left" vertical="center" wrapText="1" indent="1"/>
    </xf>
    <xf numFmtId="0" fontId="38" fillId="41" borderId="30" xfId="0" applyFont="1" applyFill="1" applyBorder="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29" xfId="0" applyFont="1" applyFill="1" applyBorder="1" applyNumberFormat="1">
      <alignment horizontal="left" vertical="center" wrapText="1" indent="1"/>
    </xf>
    <xf numFmtId="0" fontId="38" fillId="41" borderId="30" xfId="0" applyFont="1" applyFill="1" applyBorder="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29" xfId="0" applyFont="1" applyFill="1" applyBorder="1" applyNumberFormat="1">
      <alignment horizontal="left" vertical="center" wrapText="1" indent="1"/>
    </xf>
    <xf numFmtId="0" fontId="38" fillId="41" borderId="30" xfId="0" applyFont="1" applyFill="1" applyBorder="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29" xfId="0" applyFont="1" applyFill="1" applyBorder="1" applyNumberFormat="1">
      <alignment horizontal="left" vertical="center" wrapText="1" indent="1"/>
    </xf>
    <xf numFmtId="0" fontId="38" fillId="41" borderId="30" xfId="0" applyFont="1" applyFill="1" applyBorder="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29" xfId="0" applyFont="1" applyFill="1" applyBorder="1" applyNumberFormat="1">
      <alignment horizontal="left" vertical="center" wrapText="1" indent="1"/>
    </xf>
    <xf numFmtId="49" fontId="40" fillId="0" borderId="13" xfId="0" applyFont="1" applyBorder="1" applyNumberFormat="1">
      <alignment horizontal="left" vertical="center" wrapText="1" indent="4"/>
    </xf>
    <xf numFmtId="49" fontId="22" fillId="0" borderId="0" xfId="0" applyFont="1" applyNumberFormat="1">
      <alignment horizontal="left" vertical="center" wrapText="1" indent="4"/>
    </xf>
    <xf numFmtId="0" fontId="19" fillId="11" borderId="11" xfId="0" applyFont="1" applyFill="1" applyBorder="1">
      <alignment horizontal="center" vertical="center" wrapText="1"/>
    </xf>
    <xf numFmtId="0" fontId="19" fillId="0" borderId="11" xfId="0" applyFont="1" applyBorder="1">
      <alignment horizontal="center" vertical="center" wrapText="1"/>
    </xf>
    <xf numFmtId="0" fontId="19" fillId="11" borderId="37" xfId="0" applyFont="1" applyFill="1" applyBorder="1">
      <alignment horizontal="center" vertical="center" wrapText="1"/>
    </xf>
    <xf numFmtId="0" fontId="19" fillId="0" borderId="37" xfId="0" applyFont="1" applyBorder="1">
      <alignment horizontal="center" vertical="center" wrapText="1"/>
    </xf>
    <xf numFmtId="0" fontId="19" fillId="0" borderId="0" xfId="0" applyFont="1">
      <alignment horizontal="center" vertical="center" wrapText="1"/>
    </xf>
    <xf numFmtId="0" fontId="19" fillId="43" borderId="0" xfId="0" applyFont="1" applyFill="1">
      <alignment horizontal="center" vertical="center" wrapText="1"/>
    </xf>
    <xf numFmtId="0" fontId="19" fillId="0" borderId="0" xfId="0" applyFont="1">
      <alignment vertical="center"/>
    </xf>
    <xf numFmtId="0" fontId="19" fillId="0" borderId="0" xfId="0" applyFont="1">
      <alignment horizontal="center" vertical="center"/>
    </xf>
    <xf numFmtId="0" fontId="19" fillId="0" borderId="0" xfId="0" applyFont="1">
      <alignment horizontal="center" vertical="top" wrapText="1"/>
    </xf>
    <xf numFmtId="0" fontId="19" fillId="0" borderId="0" xfId="0" applyFont="1">
      <alignment horizontal="center" vertical="center" wrapText="1"/>
    </xf>
    <xf numFmtId="0" fontId="37" fillId="40" borderId="31" xfId="0" applyFont="1" applyFill="1" applyBorder="1">
      <alignment horizontal="left" vertical="center"/>
    </xf>
    <xf numFmtId="0" fontId="19" fillId="40" borderId="18" xfId="0" applyFont="1" applyFill="1" applyBorder="1">
      <alignment horizontal="left" vertical="center"/>
    </xf>
    <xf numFmtId="4" fontId="22" fillId="40" borderId="18" xfId="0" applyFont="1" applyFill="1" applyBorder="1" applyNumberFormat="1">
      <alignment horizontal="right" vertical="center"/>
    </xf>
    <xf numFmtId="0" fontId="19" fillId="33" borderId="10" xfId="0" applyFont="1" applyFill="1" applyBorder="1">
      <alignment horizontal="center" vertical="center" wrapText="1"/>
    </xf>
    <xf numFmtId="0" fontId="19" fillId="0" borderId="10" xfId="0" applyFont="1" applyBorder="1">
      <alignment vertical="center" wrapText="1"/>
    </xf>
    <xf numFmtId="0" fontId="19" fillId="0" borderId="10" xfId="0" applyFont="1" applyBorder="1">
      <alignment horizontal="center" vertical="center" wrapText="1"/>
    </xf>
    <xf numFmtId="4" fontId="19" fillId="34" borderId="10" xfId="0" applyFont="1" applyFill="1" applyBorder="1" applyNumberFormat="1">
      <alignment horizontal="right" vertical="center" wrapText="1"/>
    </xf>
    <xf numFmtId="0" fontId="19" fillId="0" borderId="10" xfId="0" applyFont="1" applyBorder="1">
      <alignment horizontal="center" vertical="center"/>
    </xf>
    <xf numFmtId="0" fontId="19" fillId="42" borderId="10" xfId="0" applyFont="1" applyFill="1" applyBorder="1">
      <alignment horizontal="left" vertical="center" wrapText="1" indent="1"/>
    </xf>
    <xf numFmtId="0" fontId="19" fillId="0" borderId="10" xfId="0" applyFont="1" applyBorder="1">
      <alignment horizontal="center" vertical="center" wrapText="1"/>
    </xf>
    <xf numFmtId="0" fontId="19" fillId="0" borderId="0" xfId="0" applyFont="1">
      <alignment horizontal="center" vertical="center"/>
    </xf>
    <xf numFmtId="4" fontId="19" fillId="34" borderId="10" xfId="0" applyFont="1" applyFill="1" applyBorder="1" applyNumberFormat="1">
      <alignment horizontal="right" vertical="center" wrapText="1"/>
      <protection locked="0"/>
    </xf>
    <xf numFmtId="0" fontId="19" fillId="0" borderId="0" xfId="0" applyFont="1">
      <alignment horizontal="center" vertical="top" wrapText="1"/>
    </xf>
    <xf numFmtId="0" fontId="22" fillId="41" borderId="30" xfId="0" applyFont="1" applyFill="1" applyBorder="1">
      <alignment horizontal="left" vertical="center" wrapText="1"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0" fontId="19" fillId="34" borderId="10" xfId="0" applyFont="1" applyFill="1" applyBorder="1">
      <alignment horizontal="left" vertical="center" wrapText="1"/>
    </xf>
    <xf numFmtId="0" fontId="19" fillId="0" borderId="0" xfId="0" applyFont="1">
      <alignment horizontal="center" vertical="center" wrapText="1"/>
    </xf>
    <xf numFmtId="0" fontId="19" fillId="43" borderId="0" xfId="0" applyFont="1" applyFill="1">
      <alignment horizontal="center" vertical="center" wrapText="1"/>
    </xf>
    <xf numFmtId="0" fontId="29" fillId="0" borderId="0" xfId="0" applyFont="1">
      <alignment horizontal="center" vertical="center" wrapText="1"/>
    </xf>
    <xf numFmtId="0" fontId="19" fillId="0" borderId="10" xfId="0" applyFont="1" applyBorder="1">
      <alignment horizontal="center" vertical="center"/>
    </xf>
    <xf numFmtId="0" fontId="19" fillId="42" borderId="10" xfId="0" applyFont="1" applyFill="1" applyBorder="1">
      <alignment horizontal="left" vertical="center" wrapText="1" indent="1"/>
    </xf>
    <xf numFmtId="0" fontId="19" fillId="0" borderId="10" xfId="0" applyFont="1" applyBorder="1">
      <alignment horizontal="center" vertical="center" wrapText="1"/>
    </xf>
    <xf numFmtId="0" fontId="19" fillId="0" borderId="10" xfId="0" applyFont="1" applyBorder="1">
      <alignment horizontal="center" vertical="center" wrapText="1"/>
    </xf>
    <xf numFmtId="4" fontId="19" fillId="34" borderId="10" xfId="0" applyFont="1" applyFill="1" applyBorder="1" applyNumberFormat="1">
      <alignment horizontal="right" vertical="center"/>
      <protection locked="0"/>
    </xf>
    <xf numFmtId="49" fontId="19" fillId="34" borderId="10" xfId="0" applyFont="1" applyFill="1" applyBorder="1" applyNumberFormat="1">
      <alignment horizontal="left" vertical="center" wrapText="1"/>
    </xf>
    <xf numFmtId="0" fontId="21" fillId="4" borderId="0" xfId="0" applyFont="1" applyFill="1">
      <alignment horizontal="center" vertical="center" wrapText="1"/>
    </xf>
    <xf numFmtId="0" fontId="21" fillId="43" borderId="0" xfId="0" applyFont="1" applyFill="1">
      <alignment horizontal="center" vertical="center" wrapText="1"/>
    </xf>
    <xf numFmtId="0" fontId="19" fillId="33" borderId="10" xfId="0" applyFont="1" applyFill="1" applyBorder="1">
      <alignment horizontal="center" vertical="center" wrapText="1"/>
    </xf>
    <xf numFmtId="0" fontId="19" fillId="0" borderId="10" xfId="0" applyFont="1" applyBorder="1">
      <alignment horizontal="left" vertical="center" wrapText="1" indent="2"/>
    </xf>
    <xf numFmtId="4" fontId="19" fillId="34" borderId="10" xfId="0" applyFont="1" applyFill="1" applyBorder="1" applyNumberFormat="1">
      <alignment horizontal="right" vertical="center" wrapText="1"/>
      <protection locked="0"/>
    </xf>
    <xf numFmtId="49" fontId="19" fillId="34" borderId="10" xfId="0" applyFont="1" applyFill="1" applyBorder="1" applyNumberFormat="1">
      <alignment horizontal="left" vertical="center" wrapText="1"/>
      <protection locked="0"/>
    </xf>
    <xf numFmtId="0" fontId="22" fillId="41" borderId="30" xfId="0" applyFont="1" applyFill="1" applyBorder="1">
      <alignment horizontal="left" vertical="center" wrapText="1" indent="1"/>
    </xf>
    <xf numFmtId="49" fontId="38" fillId="41" borderId="20" xfId="0" applyFont="1" applyFill="1" applyBorder="1" applyNumberFormat="1">
      <alignment horizontal="left" vertical="center"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0" fontId="22" fillId="41" borderId="30" xfId="0" applyFont="1" applyFill="1" applyBorder="1">
      <alignment horizontal="left" vertical="center" wrapText="1" indent="1"/>
    </xf>
    <xf numFmtId="49" fontId="38" fillId="41" borderId="20" xfId="0" applyFont="1" applyFill="1" applyBorder="1" applyNumberFormat="1">
      <alignment horizontal="left" vertical="center"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0" fontId="22" fillId="41" borderId="30" xfId="0" applyFont="1" applyFill="1" applyBorder="1">
      <alignment horizontal="left" vertical="center" wrapText="1" indent="1"/>
    </xf>
    <xf numFmtId="49" fontId="38" fillId="41" borderId="20" xfId="0" applyFont="1" applyFill="1" applyBorder="1" applyNumberFormat="1">
      <alignment horizontal="left" vertical="center"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0" fontId="19" fillId="34" borderId="10" xfId="0" applyFont="1" applyFill="1" applyBorder="1">
      <alignment horizontal="left" vertical="center" wrapText="1"/>
      <protection locked="0"/>
    </xf>
    <xf numFmtId="0" fontId="22" fillId="41" borderId="30" xfId="0" applyFont="1" applyFill="1" applyBorder="1">
      <alignment horizontal="left" vertical="center" wrapText="1" indent="1"/>
    </xf>
    <xf numFmtId="49" fontId="38" fillId="41" borderId="20" xfId="0" applyFont="1" applyFill="1" applyBorder="1" applyNumberFormat="1">
      <alignment horizontal="left" vertical="center"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0" fontId="68" fillId="0" borderId="10" xfId="0" applyFont="1" applyBorder="1">
      <alignment vertical="center"/>
    </xf>
    <xf numFmtId="49" fontId="40" fillId="0" borderId="0" xfId="0" applyFont="1" applyNumberFormat="1">
      <alignment horizontal="left" vertical="center" wrapText="1" indent="4"/>
    </xf>
    <xf numFmtId="49" fontId="19" fillId="33" borderId="10" xfId="0" applyFont="1" applyFill="1" applyBorder="1" applyNumberFormat="1">
      <alignment horizontal="center" vertical="center" wrapText="1"/>
    </xf>
    <xf numFmtId="0" fontId="19" fillId="0" borderId="10" xfId="0" applyFont="1" applyBorder="1">
      <alignment horizontal="center" vertical="center" wrapText="1"/>
    </xf>
    <xf numFmtId="4" fontId="21" fillId="36" borderId="10" xfId="0" applyFont="1" applyFill="1" applyBorder="1" applyNumberFormat="1">
      <alignment horizontal="right" vertical="center" wrapText="1"/>
    </xf>
    <xf numFmtId="4" fontId="21" fillId="36" borderId="10" xfId="0" applyFont="1" applyFill="1" applyBorder="1" applyNumberFormat="1">
      <alignment horizontal="right" vertical="center"/>
    </xf>
    <xf numFmtId="49" fontId="0" fillId="0" borderId="0" xfId="0" applyFont="1" applyNumberFormat="1">
      <alignment horizontal="center" vertical="top"/>
    </xf>
    <xf numFmtId="0" fontId="33" fillId="0" borderId="0" xfId="0" applyFont="1">
      <alignment vertical="center"/>
    </xf>
    <xf numFmtId="4" fontId="21" fillId="34" borderId="10" xfId="0" applyFont="1" applyFill="1" applyBorder="1" applyNumberFormat="1">
      <alignment horizontal="right" vertical="center" wrapText="1"/>
    </xf>
    <xf numFmtId="4" fontId="21" fillId="34" borderId="10" xfId="0" applyFont="1" applyFill="1" applyBorder="1" applyNumberFormat="1">
      <alignment horizontal="right" vertical="center" wrapText="1"/>
      <protection locked="0"/>
    </xf>
    <xf numFmtId="4" fontId="19" fillId="36" borderId="10" xfId="0" applyFont="1" applyFill="1" applyBorder="1" applyNumberFormat="1">
      <alignment horizontal="right" vertical="center"/>
    </xf>
    <xf numFmtId="4" fontId="21" fillId="34" borderId="10" xfId="0" applyFont="1" applyFill="1" applyBorder="1" applyNumberFormat="1">
      <alignment horizontal="right" vertical="center" wrapText="1"/>
      <protection locked="0"/>
    </xf>
    <xf numFmtId="4" fontId="19" fillId="0" borderId="0" xfId="0" applyFont="1" applyNumberFormat="1">
      <alignment horizontal="right" vertical="center"/>
    </xf>
    <xf numFmtId="0" fontId="21" fillId="0" borderId="13" xfId="0" applyFont="1" applyBorder="1">
      <alignment vertical="center"/>
    </xf>
    <xf numFmtId="49" fontId="19" fillId="0" borderId="10" xfId="0" applyFont="1" applyBorder="1" applyNumberFormat="1">
      <alignment horizontal="center" vertical="center"/>
    </xf>
    <xf numFmtId="0" fontId="19" fillId="0" borderId="10" xfId="0" applyFont="1" applyBorder="1">
      <alignment horizontal="left" vertical="center" wrapText="1"/>
    </xf>
    <xf numFmtId="0" fontId="57" fillId="0" borderId="0" xfId="0" applyFont="1"/>
    <xf numFmtId="0" fontId="19" fillId="0" borderId="10" xfId="0" applyFont="1" applyBorder="1">
      <alignment horizontal="center" vertical="center"/>
    </xf>
    <xf numFmtId="49" fontId="19" fillId="4" borderId="0" xfId="0" applyFont="1" applyFill="1" applyNumberFormat="1">
      <alignment vertical="top"/>
    </xf>
    <xf numFmtId="49" fontId="19" fillId="43" borderId="0" xfId="0" applyFont="1" applyFill="1" applyNumberFormat="1">
      <alignment vertical="top"/>
    </xf>
    <xf numFmtId="0" fontId="21" fillId="0" borderId="10" xfId="0" applyFont="1" applyBorder="1">
      <alignment horizontal="center" vertical="center"/>
    </xf>
    <xf numFmtId="4" fontId="21" fillId="36" borderId="10" xfId="0" applyFont="1" applyFill="1" applyBorder="1" applyNumberFormat="1">
      <alignment horizontal="right"/>
    </xf>
    <xf numFmtId="49" fontId="38" fillId="41" borderId="30" xfId="0" applyFont="1" applyFill="1" applyBorder="1" applyNumberFormat="1">
      <alignment horizontal="left" vertical="center" wrapText="1" indent="1"/>
    </xf>
    <xf numFmtId="49" fontId="38" fillId="41" borderId="30"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29" xfId="0" applyFont="1" applyFill="1" applyBorder="1" applyNumberFormat="1">
      <alignment horizontal="left" vertical="center" wrapText="1" indent="1"/>
    </xf>
    <xf numFmtId="0" fontId="57" fillId="0" borderId="10" xfId="0" applyFont="1" applyBorder="1">
      <alignment vertical="center"/>
    </xf>
    <xf numFmtId="49" fontId="79" fillId="34" borderId="76" xfId="0" applyFont="1" applyFill="1" applyBorder="1" applyNumberFormat="1">
      <alignment horizontal="left" vertical="top" wrapText="1"/>
      <protection locked="0"/>
    </xf>
    <xf numFmtId="49" fontId="79" fillId="34" borderId="76" xfId="0" applyFont="1" applyFill="1" applyBorder="1" applyNumberFormat="1">
      <alignment horizontal="left" vertical="top" wrapText="1"/>
    </xf>
    <xf numFmtId="0" fontId="22" fillId="0" borderId="10" xfId="0" applyFont="1" applyBorder="1">
      <alignment horizontal="center" vertical="center" wrapText="1"/>
    </xf>
    <xf numFmtId="4" fontId="40" fillId="36"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0" fontId="19" fillId="0" borderId="0" xfId="0" applyFont="1">
      <alignment horizontal="center"/>
    </xf>
    <xf numFmtId="0" fontId="19" fillId="43" borderId="0" xfId="0" applyFont="1" applyFill="1"/>
    <xf numFmtId="0" fontId="19" fillId="0" borderId="0" xfId="0" applyFont="1">
      <alignment horizontal="center"/>
    </xf>
    <xf numFmtId="0" fontId="19" fillId="0" borderId="0" xfId="0" applyFont="1"/>
    <xf numFmtId="0" fontId="19" fillId="43" borderId="0" xfId="0" applyFont="1" applyFill="1"/>
    <xf numFmtId="0" fontId="19" fillId="0" borderId="10" xfId="0" applyFont="1" applyBorder="1">
      <alignment horizontal="center"/>
    </xf>
    <xf numFmtId="4" fontId="21" fillId="34" borderId="10" xfId="0" applyFont="1" applyFill="1" applyBorder="1" applyNumberFormat="1">
      <alignment horizontal="right"/>
    </xf>
    <xf numFmtId="4" fontId="21" fillId="34" borderId="10" xfId="0" applyFont="1" applyFill="1" applyBorder="1" applyNumberFormat="1">
      <alignment horizontal="right"/>
      <protection locked="0"/>
    </xf>
    <xf numFmtId="4" fontId="19" fillId="34" borderId="10" xfId="0" applyFont="1" applyFill="1" applyBorder="1" applyNumberFormat="1">
      <alignment horizontal="right" vertical="center" wrapText="1"/>
      <protection locked="0"/>
    </xf>
    <xf numFmtId="49" fontId="19" fillId="34" borderId="11" xfId="0" applyFont="1" applyFill="1" applyBorder="1" applyNumberFormat="1">
      <alignment horizontal="left" vertical="center" wrapText="1"/>
    </xf>
    <xf numFmtId="0" fontId="19" fillId="0" borderId="0" xfId="0" applyFont="1">
      <alignment horizontal="left"/>
    </xf>
    <xf numFmtId="49" fontId="19" fillId="0" borderId="0" xfId="0" applyFont="1" applyNumberFormat="1"/>
    <xf numFmtId="49" fontId="19" fillId="42" borderId="10" xfId="0" applyFont="1" applyFill="1" applyBorder="1" applyNumberFormat="1">
      <alignment horizontal="left" vertical="center" wrapText="1" indent="1"/>
    </xf>
    <xf numFmtId="49" fontId="21" fillId="4" borderId="0" xfId="0" applyFont="1" applyFill="1" applyNumberFormat="1"/>
    <xf numFmtId="49" fontId="22" fillId="41" borderId="30" xfId="0" applyFont="1" applyFill="1" applyBorder="1" applyNumberFormat="1">
      <alignment horizontal="left" vertical="center" wrapText="1" indent="1"/>
    </xf>
    <xf numFmtId="49" fontId="19" fillId="34" borderId="11" xfId="0" applyFont="1" applyFill="1" applyBorder="1" applyNumberFormat="1">
      <alignment horizontal="left" vertical="center" wrapText="1"/>
      <protection locked="0"/>
    </xf>
    <xf numFmtId="49" fontId="22" fillId="41" borderId="30" xfId="0" applyFont="1" applyFill="1" applyBorder="1" applyNumberFormat="1">
      <alignment horizontal="left" vertical="center" wrapText="1" indent="1"/>
    </xf>
    <xf numFmtId="49" fontId="38" fillId="41" borderId="20" xfId="0" applyFont="1" applyFill="1" applyBorder="1" applyNumberFormat="1">
      <alignment horizontal="left" vertical="center" indent="1"/>
    </xf>
    <xf numFmtId="49" fontId="22"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29" xfId="0" applyFont="1" applyFill="1" applyBorder="1" applyNumberFormat="1">
      <alignment horizontal="left" vertical="center" wrapText="1" indent="1"/>
    </xf>
    <xf numFmtId="49" fontId="19" fillId="4" borderId="0" xfId="0" applyFont="1" applyFill="1" applyNumberFormat="1">
      <alignment vertical="top"/>
    </xf>
    <xf numFmtId="49" fontId="19" fillId="43" borderId="0" xfId="0" applyFont="1" applyFill="1" applyNumberFormat="1">
      <alignment vertical="top"/>
    </xf>
    <xf numFmtId="0" fontId="21" fillId="0" borderId="13" xfId="0" applyFont="1" applyBorder="1">
      <alignment vertical="center" wrapText="1"/>
    </xf>
    <xf numFmtId="0" fontId="21" fillId="0" borderId="13" xfId="0" applyFont="1" applyBorder="1"/>
    <xf numFmtId="0" fontId="19" fillId="40" borderId="32" xfId="0" applyFont="1" applyFill="1" applyBorder="1">
      <alignment horizontal="left" vertical="center"/>
    </xf>
    <xf numFmtId="0" fontId="40" fillId="43" borderId="0" xfId="0" applyFont="1" applyFill="1"/>
    <xf numFmtId="0" fontId="40" fillId="4" borderId="0" xfId="0" applyFont="1" applyFill="1"/>
    <xf numFmtId="4" fontId="19" fillId="36" borderId="10" xfId="0" applyFont="1" applyFill="1" applyBorder="1" applyNumberFormat="1">
      <alignment horizontal="right" vertical="center"/>
    </xf>
    <xf numFmtId="0" fontId="19" fillId="0" borderId="10" xfId="0" applyFont="1" applyBorder="1">
      <alignment horizontal="left" vertical="center" wrapText="1" indent="3"/>
    </xf>
    <xf numFmtId="0" fontId="31" fillId="0" borderId="0" xfId="0" applyFont="1"/>
    <xf numFmtId="0" fontId="31" fillId="0" borderId="0" xfId="0" applyFont="1"/>
    <xf numFmtId="0" fontId="21" fillId="0" borderId="10" xfId="0" applyFont="1" applyBorder="1"/>
    <xf numFmtId="49" fontId="19" fillId="34" borderId="10" xfId="0" applyFont="1" applyFill="1" applyBorder="1" applyNumberFormat="1">
      <alignment horizontal="left" vertical="top" wrapText="1"/>
      <protection locked="0"/>
    </xf>
    <xf numFmtId="49" fontId="19" fillId="34" borderId="10" xfId="0" applyFont="1" applyFill="1" applyBorder="1" applyNumberFormat="1">
      <alignment horizontal="left" vertical="top" wrapText="1"/>
    </xf>
    <xf numFmtId="0" fontId="21" fillId="41" borderId="18" xfId="0" applyFont="1" applyFill="1" applyBorder="1">
      <alignment vertical="center" wrapText="1"/>
    </xf>
    <xf numFmtId="0" fontId="32" fillId="0" borderId="0" xfId="0" applyFont="1">
      <alignment horizontal="left" vertical="top" wrapText="1"/>
    </xf>
    <xf numFmtId="0" fontId="21" fillId="11" borderId="10" xfId="0" applyFont="1" applyFill="1" applyBorder="1">
      <alignment horizontal="center" vertical="center" wrapText="1"/>
    </xf>
    <xf numFmtId="0" fontId="40" fillId="0" borderId="0" xfId="0" applyFont="1"/>
    <xf numFmtId="0" fontId="22" fillId="0" borderId="0" xfId="0" applyFont="1"/>
    <xf numFmtId="49" fontId="22" fillId="0" borderId="10" xfId="0" applyFont="1" applyBorder="1" applyNumberFormat="1">
      <alignment horizontal="center" vertical="center" wrapText="1"/>
    </xf>
    <xf numFmtId="49" fontId="22" fillId="0" borderId="10" xfId="0" applyFont="1" applyBorder="1" applyNumberFormat="1">
      <alignment horizontal="left" vertical="center" wrapText="1"/>
    </xf>
    <xf numFmtId="4" fontId="22" fillId="36" borderId="10" xfId="0" applyFont="1" applyFill="1" applyBorder="1" applyNumberFormat="1">
      <alignment horizontal="right"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19" fillId="0" borderId="10" xfId="0" applyFont="1" applyBorder="1" applyNumberFormat="1">
      <alignment horizontal="left" vertical="center" wrapText="1"/>
    </xf>
    <xf numFmtId="172" fontId="19" fillId="36" borderId="10" xfId="0" applyFont="1" applyFill="1" applyBorder="1" applyNumberFormat="1">
      <alignment horizontal="right" vertical="center" wrapText="1"/>
    </xf>
    <xf numFmtId="172" fontId="19" fillId="34" borderId="10" xfId="0" applyFont="1" applyFill="1" applyBorder="1" applyNumberFormat="1">
      <alignment horizontal="right" vertical="center" wrapText="1"/>
      <protection locked="0"/>
    </xf>
    <xf numFmtId="172" fontId="19" fillId="34" borderId="10" xfId="0" applyFont="1" applyFill="1" applyBorder="1" applyNumberFormat="1">
      <alignment horizontal="right" vertical="center" wrapText="1"/>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68" fillId="0" borderId="10" xfId="0" applyFont="1" applyBorder="1" applyNumberFormat="1">
      <alignment horizontal="left" vertical="top" wrapText="1"/>
    </xf>
    <xf numFmtId="0" fontId="37" fillId="40" borderId="32" xfId="0" applyFont="1" applyFill="1" applyBorder="1">
      <alignment horizontal="left" vertical="center"/>
    </xf>
    <xf numFmtId="4" fontId="37" fillId="40" borderId="32" xfId="0" applyFont="1" applyFill="1" applyBorder="1" applyNumberFormat="1">
      <alignment horizontal="right" vertical="center"/>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xf>
    <xf numFmtId="4" fontId="0" fillId="34"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68" fillId="34" borderId="10" xfId="0" applyFont="1" applyFill="1" applyBorder="1" applyNumberFormat="1">
      <alignment horizontal="left" vertical="top" wrapText="1"/>
    </xf>
    <xf numFmtId="0" fontId="19" fillId="0" borderId="0" xfId="0" applyFont="1">
      <alignment vertical="top"/>
    </xf>
    <xf numFmtId="0" fontId="37" fillId="40" borderId="10" xfId="0" applyFont="1" applyFill="1" applyBorder="1">
      <alignment horizontal="left" vertical="center"/>
    </xf>
    <xf numFmtId="0" fontId="63" fillId="0" borderId="0" xfId="0" applyFont="1"/>
    <xf numFmtId="49" fontId="63" fillId="0" borderId="0" xfId="0" applyFont="1" applyNumberFormat="1"/>
    <xf numFmtId="0" fontId="22" fillId="35" borderId="10" xfId="0" applyFont="1" applyFill="1" applyBorder="1">
      <alignment horizontal="center" vertical="center"/>
    </xf>
    <xf numFmtId="0" fontId="22" fillId="35" borderId="10" xfId="0" applyFont="1" applyFill="1" applyBorder="1">
      <alignment horizontal="left" vertical="center" wrapText="1"/>
    </xf>
    <xf numFmtId="0" fontId="22" fillId="35" borderId="10" xfId="0" applyFont="1" applyFill="1" applyBorder="1">
      <alignment horizontal="center" vertical="center" wrapText="1"/>
    </xf>
    <xf numFmtId="49" fontId="22" fillId="34" borderId="10" xfId="0" applyFont="1" applyFill="1" applyBorder="1" applyNumberFormat="1">
      <alignment horizontal="left" vertical="center" wrapText="1"/>
    </xf>
    <xf numFmtId="4" fontId="22" fillId="34" borderId="10" xfId="0" applyFont="1" applyFill="1" applyBorder="1" applyNumberFormat="1">
      <alignment horizontal="right" vertical="center" wrapText="1"/>
    </xf>
    <xf numFmtId="4" fontId="19" fillId="36" borderId="10" xfId="0" applyFont="1" applyFill="1" applyBorder="1" applyNumberFormat="1">
      <alignment horizontal="right" vertical="center" wrapText="1"/>
    </xf>
    <xf numFmtId="49" fontId="19" fillId="35" borderId="10" xfId="0" applyFont="1" applyFill="1" applyBorder="1" applyNumberFormat="1">
      <alignment horizontal="center" vertical="center"/>
    </xf>
    <xf numFmtId="0" fontId="19" fillId="35" borderId="10" xfId="0" applyFont="1" applyFill="1" applyBorder="1">
      <alignment horizontal="left" vertical="center" wrapText="1" indent="2"/>
    </xf>
    <xf numFmtId="0" fontId="19" fillId="0" borderId="10" xfId="0" applyFont="1" applyBorder="1">
      <alignment horizontal="right" vertical="center" wrapText="1"/>
    </xf>
    <xf numFmtId="0" fontId="19" fillId="0" borderId="10" xfId="0" applyFont="1" applyBorder="1" quotePrefix="1">
      <alignment horizontal="left" vertical="center" wrapText="1" indent="1"/>
    </xf>
    <xf numFmtId="0" fontId="1" fillId="0" borderId="0" xfId="0" applyFont="1"/>
    <xf numFmtId="4" fontId="22" fillId="36" borderId="10" xfId="0" applyFont="1" applyFill="1" applyBorder="1" applyNumberFormat="1">
      <alignment horizontal="right" vertical="center" wrapText="1"/>
    </xf>
    <xf numFmtId="0" fontId="31" fillId="0" borderId="0" xfId="0" applyFont="1"/>
    <xf numFmtId="49" fontId="22" fillId="34" borderId="10" xfId="0" applyFont="1" applyFill="1" applyBorder="1" applyNumberFormat="1">
      <alignment horizontal="left" vertical="center" wrapText="1"/>
      <protection locked="0"/>
    </xf>
    <xf numFmtId="0" fontId="31" fillId="0" borderId="0" xfId="0" applyFont="1"/>
    <xf numFmtId="4" fontId="22" fillId="34" borderId="10" xfId="0" applyFont="1" applyFill="1" applyBorder="1" applyNumberFormat="1">
      <alignment horizontal="right" vertical="center" wrapText="1"/>
      <protection locked="0"/>
    </xf>
    <xf numFmtId="0" fontId="31" fillId="0" borderId="0" xfId="0" applyFont="1"/>
    <xf numFmtId="0" fontId="31" fillId="0" borderId="0" xfId="0" applyFont="1"/>
    <xf numFmtId="0" fontId="31" fillId="0" borderId="0" xfId="0" applyFont="1"/>
    <xf numFmtId="0" fontId="31" fillId="0" borderId="0" xfId="0" applyFont="1"/>
    <xf numFmtId="49" fontId="40" fillId="0" borderId="13" xfId="0" applyFont="1" applyBorder="1" applyNumberFormat="1">
      <alignment horizontal="left" vertical="center" wrapText="1" indent="1"/>
    </xf>
    <xf numFmtId="0" fontId="46" fillId="0" borderId="0" xfId="0" applyFont="1">
      <alignment vertical="center"/>
    </xf>
    <xf numFmtId="49" fontId="40" fillId="44" borderId="37" xfId="0" applyFont="1" applyFill="1" applyBorder="1" applyNumberFormat="1">
      <alignment horizontal="left" vertical="center"/>
    </xf>
    <xf numFmtId="49" fontId="40" fillId="44" borderId="38" xfId="0" applyFont="1" applyFill="1" applyBorder="1" applyNumberFormat="1">
      <alignment horizontal="left" vertical="center" wrapText="1"/>
    </xf>
    <xf numFmtId="49" fontId="40" fillId="44" borderId="23" xfId="0" applyFont="1" applyFill="1" applyBorder="1" applyNumberFormat="1">
      <alignment horizontal="left" vertical="center" wrapText="1"/>
    </xf>
    <xf numFmtId="0" fontId="19" fillId="0" borderId="11" xfId="0" applyFont="1" applyBorder="1">
      <alignment horizontal="center" vertical="center" wrapText="1"/>
    </xf>
    <xf numFmtId="0" fontId="19" fillId="0" borderId="37" xfId="0" applyFont="1" applyBorder="1">
      <alignment horizontal="center" vertical="center" wrapText="1"/>
    </xf>
    <xf numFmtId="0" fontId="19" fillId="0" borderId="38" xfId="0" applyFont="1" applyBorder="1">
      <alignment horizontal="center" vertical="center" wrapText="1"/>
    </xf>
    <xf numFmtId="0" fontId="19" fillId="0" borderId="23" xfId="0" applyFont="1" applyBorder="1">
      <alignment horizontal="center" vertical="center" wrapText="1"/>
    </xf>
    <xf numFmtId="0" fontId="19" fillId="0" borderId="0" xfId="0" applyFont="1">
      <alignment horizontal="center" vertical="center" wrapText="1"/>
    </xf>
    <xf numFmtId="0" fontId="19" fillId="43" borderId="0" xfId="0" applyFont="1" applyFill="1">
      <alignment vertical="center"/>
    </xf>
    <xf numFmtId="0" fontId="19" fillId="0" borderId="37" xfId="0" applyFont="1" applyBorder="1">
      <alignment horizontal="right" vertical="center" wrapText="1"/>
    </xf>
    <xf numFmtId="0" fontId="19" fillId="0" borderId="23" xfId="0" applyFont="1" applyBorder="1">
      <alignment horizontal="right" vertical="center" wrapText="1"/>
    </xf>
    <xf numFmtId="0" fontId="22" fillId="36" borderId="37" xfId="0" applyFont="1" applyFill="1" applyBorder="1">
      <alignment horizontal="left" vertical="center" indent="1"/>
    </xf>
    <xf numFmtId="0" fontId="22" fillId="36" borderId="38" xfId="0" applyFont="1" applyFill="1" applyBorder="1">
      <alignment vertical="center" wrapText="1"/>
    </xf>
    <xf numFmtId="0" fontId="22" fillId="36" borderId="23" xfId="0" applyFont="1" applyFill="1" applyBorder="1">
      <alignment vertical="center" wrapText="1"/>
    </xf>
    <xf numFmtId="49" fontId="22" fillId="36" borderId="38" xfId="0" applyFont="1" applyFill="1" applyBorder="1" applyNumberFormat="1">
      <alignment vertical="center" wrapText="1"/>
    </xf>
    <xf numFmtId="49" fontId="22" fillId="36" borderId="23" xfId="0" applyFont="1" applyFill="1" applyBorder="1" applyNumberFormat="1">
      <alignment vertical="center" wrapText="1"/>
    </xf>
    <xf numFmtId="0" fontId="19" fillId="0" borderId="0" xfId="0" applyFont="1">
      <alignment vertical="center"/>
    </xf>
    <xf numFmtId="0" fontId="19" fillId="25" borderId="0" xfId="0" applyFont="1" applyFill="1">
      <alignment horizontal="center" vertical="center"/>
    </xf>
    <xf numFmtId="0" fontId="19" fillId="43" borderId="37" xfId="0" applyFont="1" applyFill="1" applyBorder="1">
      <alignment horizontal="left" vertical="center" wrapText="1"/>
    </xf>
    <xf numFmtId="0" fontId="19" fillId="43" borderId="38" xfId="0" applyFont="1" applyFill="1" applyBorder="1">
      <alignment horizontal="center" vertical="center"/>
    </xf>
    <xf numFmtId="0" fontId="19" fillId="43" borderId="38" xfId="0" applyFont="1" applyFill="1" applyBorder="1">
      <alignment horizontal="left" vertical="center" indent="1"/>
    </xf>
    <xf numFmtId="0" fontId="19" fillId="43" borderId="23" xfId="0" applyFont="1" applyFill="1" applyBorder="1">
      <alignment horizontal="left" vertical="center" indent="1"/>
    </xf>
    <xf numFmtId="0" fontId="19" fillId="43" borderId="23" xfId="0" applyFont="1" applyFill="1" applyBorder="1">
      <alignment horizontal="left" vertical="center" indent="1"/>
    </xf>
    <xf numFmtId="0" fontId="19" fillId="43" borderId="38" xfId="0" applyFont="1" applyFill="1" applyBorder="1">
      <alignment horizontal="left" vertical="center" indent="1"/>
    </xf>
    <xf numFmtId="0" fontId="22" fillId="0" borderId="0" xfId="0" applyFont="1">
      <alignment vertical="center"/>
    </xf>
    <xf numFmtId="0" fontId="22" fillId="43" borderId="0" xfId="0" applyFont="1" applyFill="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2" fillId="34" borderId="11" xfId="0" applyFont="1" applyFill="1" applyBorder="1" applyNumberFormat="1">
      <alignment horizontal="right" vertical="center"/>
    </xf>
    <xf numFmtId="4" fontId="22" fillId="36" borderId="11" xfId="0" applyFont="1" applyFill="1" applyBorder="1" applyNumberFormat="1">
      <alignment vertical="center"/>
    </xf>
    <xf numFmtId="4" fontId="40" fillId="34" borderId="11" xfId="0" applyFont="1" applyFill="1" applyBorder="1" applyNumberFormat="1">
      <alignment horizontal="right" vertical="center"/>
    </xf>
    <xf numFmtId="0" fontId="40" fillId="4" borderId="0" xfId="0" applyFont="1" applyFill="1">
      <alignment vertical="center"/>
    </xf>
    <xf numFmtId="0" fontId="40" fillId="43" borderId="0" xfId="0" applyFont="1" applyFill="1">
      <alignment vertical="center"/>
    </xf>
    <xf numFmtId="0" fontId="19" fillId="0" borderId="11" xfId="0" applyFont="1" applyBorder="1">
      <alignment horizontal="left" vertical="center" wrapText="1"/>
    </xf>
    <xf numFmtId="4" fontId="19" fillId="36" borderId="10" xfId="0" applyFont="1" applyFill="1" applyBorder="1" applyNumberFormat="1">
      <alignment horizontal="right" vertical="center" wrapText="1"/>
    </xf>
    <xf numFmtId="4" fontId="19" fillId="36" borderId="11" xfId="0" applyFont="1" applyFill="1" applyBorder="1" applyNumberFormat="1">
      <alignment vertical="center"/>
    </xf>
    <xf numFmtId="0" fontId="40" fillId="0" borderId="0" xfId="0" applyFont="1">
      <alignment vertical="center"/>
    </xf>
    <xf numFmtId="172" fontId="19" fillId="34" borderId="11" xfId="0" applyFont="1" applyFill="1" applyBorder="1" applyNumberFormat="1">
      <alignment horizontal="right" vertical="center"/>
    </xf>
    <xf numFmtId="172" fontId="19" fillId="36" borderId="11" xfId="0" applyFont="1" applyFill="1" applyBorder="1" applyNumberFormat="1">
      <alignment vertical="center"/>
    </xf>
    <xf numFmtId="0" fontId="22" fillId="35" borderId="11" xfId="0" applyFont="1" applyFill="1" applyBorder="1">
      <alignment horizontal="left" vertical="center" wrapText="1"/>
    </xf>
    <xf numFmtId="0" fontId="19" fillId="0" borderId="11" xfId="0" applyFont="1" applyBorder="1">
      <alignment horizontal="left" vertical="center" wrapText="1"/>
    </xf>
    <xf numFmtId="49" fontId="19" fillId="42" borderId="11"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34" borderId="11" xfId="0" applyFont="1" applyFill="1" applyBorder="1" applyNumberFormat="1">
      <alignment vertical="center"/>
    </xf>
    <xf numFmtId="49" fontId="22" fillId="41" borderId="34" xfId="0" applyFont="1" applyFill="1" applyBorder="1" applyNumberFormat="1">
      <alignment horizontal="left" vertical="center" wrapText="1" indent="1"/>
    </xf>
    <xf numFmtId="49" fontId="22" fillId="41" borderId="35" xfId="0" applyFont="1" applyFill="1" applyBorder="1" applyNumberFormat="1">
      <alignment horizontal="left" vertical="center" wrapText="1" indent="1"/>
    </xf>
    <xf numFmtId="0" fontId="19" fillId="43" borderId="38" xfId="0" applyFont="1" applyFill="1" applyBorder="1">
      <alignment horizontal="left" vertical="center" indent="1"/>
    </xf>
    <xf numFmtId="0" fontId="19" fillId="43" borderId="23" xfId="0" applyFont="1" applyFill="1" applyBorder="1">
      <alignment horizontal="left" vertical="center" indent="1"/>
    </xf>
    <xf numFmtId="0" fontId="19" fillId="0" borderId="38" xfId="0" applyFont="1" applyBorder="1">
      <alignment horizontal="center" vertical="center"/>
    </xf>
    <xf numFmtId="0" fontId="19" fillId="0" borderId="38" xfId="0" applyFont="1" applyBorder="1">
      <alignment horizontal="left" vertical="center" indent="1"/>
    </xf>
    <xf numFmtId="0" fontId="19" fillId="0" borderId="23" xfId="0" applyFont="1" applyBorder="1">
      <alignment horizontal="left" vertical="center" indent="1"/>
    </xf>
    <xf numFmtId="0" fontId="19" fillId="0" borderId="11" xfId="0" applyFont="1" applyBorder="1">
      <alignment horizontal="left" vertical="center" wrapText="1" indent="1"/>
    </xf>
    <xf numFmtId="0" fontId="19" fillId="0" borderId="11" xfId="0" applyFont="1" applyBorder="1">
      <alignment horizontal="left" vertical="center" wrapText="1" indent="1"/>
    </xf>
    <xf numFmtId="172" fontId="19" fillId="36" borderId="11" xfId="0" applyFont="1" applyFill="1" applyBorder="1" applyNumberFormat="1">
      <alignment vertical="center"/>
    </xf>
    <xf numFmtId="4" fontId="19" fillId="0" borderId="38" xfId="0" applyFont="1" applyBorder="1" applyNumberFormat="1">
      <alignment horizontal="right" vertical="center"/>
    </xf>
    <xf numFmtId="4" fontId="19" fillId="0" borderId="38" xfId="0" applyFont="1" applyBorder="1" applyNumberFormat="1">
      <alignment vertical="center"/>
    </xf>
    <xf numFmtId="4" fontId="19" fillId="0" borderId="23" xfId="0" applyFont="1" applyBorder="1" applyNumberFormat="1">
      <alignment vertical="center"/>
    </xf>
    <xf numFmtId="49" fontId="21" fillId="4" borderId="0" xfId="0" applyFont="1" applyFill="1" applyNumberFormat="1">
      <alignment vertical="center"/>
    </xf>
    <xf numFmtId="0" fontId="19" fillId="43" borderId="0" xfId="0" applyFont="1" applyFill="1">
      <alignment vertical="top"/>
    </xf>
    <xf numFmtId="0" fontId="19" fillId="0" borderId="0" xfId="0" applyFont="1">
      <alignment vertical="top"/>
    </xf>
    <xf numFmtId="0" fontId="19" fillId="4" borderId="0" xfId="0" applyFont="1" applyFill="1">
      <alignment vertical="top"/>
    </xf>
    <xf numFmtId="49" fontId="19" fillId="43" borderId="0" xfId="0" applyFont="1" applyFill="1" applyNumberFormat="1">
      <alignment vertical="top"/>
    </xf>
    <xf numFmtId="4" fontId="22" fillId="34" borderId="10" xfId="0" applyFont="1" applyFill="1" applyBorder="1" applyNumberFormat="1">
      <alignment vertical="center"/>
    </xf>
    <xf numFmtId="0" fontId="19" fillId="0" borderId="10" xfId="0" applyFont="1" applyBorder="1">
      <alignment horizontal="left" vertical="center" wrapText="1"/>
    </xf>
    <xf numFmtId="0" fontId="19" fillId="36" borderId="10" xfId="0" applyFont="1" applyFill="1" applyBorder="1">
      <alignment vertical="center"/>
    </xf>
    <xf numFmtId="0" fontId="19" fillId="36" borderId="55" xfId="0" applyFont="1" applyFill="1" applyBorder="1">
      <alignment vertical="center"/>
    </xf>
    <xf numFmtId="0" fontId="19" fillId="42" borderId="11" xfId="0" applyFont="1" applyFill="1" applyBorder="1">
      <alignment horizontal="left" vertical="center" wrapText="1"/>
    </xf>
    <xf numFmtId="49" fontId="38" fillId="41" borderId="34" xfId="0" applyFont="1" applyFill="1" applyBorder="1" applyNumberFormat="1">
      <alignment horizontal="left" vertical="center" wrapText="1" indent="1"/>
    </xf>
    <xf numFmtId="49" fontId="38" fillId="41" borderId="35" xfId="0" applyFont="1" applyFill="1" applyBorder="1" applyNumberFormat="1">
      <alignment horizontal="left" vertical="center" wrapText="1" indent="1"/>
    </xf>
    <xf numFmtId="0" fontId="22" fillId="0" borderId="0" xfId="0" applyFont="1">
      <alignment horizontal="center" vertical="center"/>
    </xf>
    <xf numFmtId="0" fontId="31" fillId="0" borderId="0" xfId="0" applyFont="1">
      <alignment vertical="center"/>
    </xf>
    <xf numFmtId="0" fontId="31" fillId="0" borderId="0" xfId="0" applyFont="1">
      <alignment vertical="center"/>
    </xf>
    <xf numFmtId="0" fontId="31" fillId="0" borderId="0" xfId="0" applyFont="1">
      <alignment vertical="center"/>
    </xf>
    <xf numFmtId="0" fontId="31" fillId="0" borderId="0" xfId="0" applyFont="1">
      <alignment vertical="center"/>
    </xf>
    <xf numFmtId="49" fontId="38" fillId="41" borderId="20" xfId="0" applyFont="1" applyFill="1" applyBorder="1" applyNumberFormat="1">
      <alignment horizontal="left" vertical="center" indent="1"/>
    </xf>
    <xf numFmtId="49" fontId="38" fillId="41" borderId="34" xfId="0" applyFont="1" applyFill="1" applyBorder="1" applyNumberFormat="1">
      <alignment horizontal="left" vertical="center" wrapTex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5" xfId="0" applyFont="1" applyFill="1" applyBorder="1" applyNumberFormat="1">
      <alignment horizontal="left" vertical="center" wrapText="1" indent="1"/>
    </xf>
    <xf numFmtId="49" fontId="38" fillId="41" borderId="20" xfId="0" applyFont="1" applyFill="1" applyBorder="1" applyNumberFormat="1">
      <alignment horizontal="left" vertical="center" indent="1"/>
    </xf>
    <xf numFmtId="49" fontId="38" fillId="41" borderId="34" xfId="0" applyFont="1" applyFill="1" applyBorder="1" applyNumberFormat="1">
      <alignment horizontal="left" vertical="center" wrapTex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5" xfId="0" applyFont="1" applyFill="1" applyBorder="1" applyNumberFormat="1">
      <alignment horizontal="left" vertical="center" wrapText="1" indent="1"/>
    </xf>
    <xf numFmtId="0" fontId="31" fillId="0" borderId="0" xfId="0" applyFont="1">
      <alignment vertical="center"/>
    </xf>
    <xf numFmtId="4" fontId="22" fillId="34" borderId="10" xfId="0" applyFont="1" applyFill="1" applyBorder="1" applyNumberFormat="1">
      <alignment vertical="center"/>
      <protection locked="0"/>
    </xf>
    <xf numFmtId="0" fontId="31" fillId="0" borderId="0" xfId="0" applyFont="1">
      <alignment vertical="center"/>
    </xf>
    <xf numFmtId="172" fontId="19" fillId="34" borderId="11" xfId="0" applyFont="1" applyFill="1" applyBorder="1" applyNumberFormat="1">
      <alignment horizontal="right" vertical="center"/>
      <protection locked="0"/>
    </xf>
    <xf numFmtId="49" fontId="38" fillId="41" borderId="20" xfId="0" applyFont="1" applyFill="1" applyBorder="1" applyNumberFormat="1">
      <alignment horizontal="left" vertical="center" indent="1"/>
    </xf>
    <xf numFmtId="49" fontId="38" fillId="41" borderId="34" xfId="0" applyFont="1" applyFill="1" applyBorder="1" applyNumberFormat="1">
      <alignment horizontal="left" vertical="center" wrapTex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5" xfId="0" applyFont="1" applyFill="1" applyBorder="1" applyNumberFormat="1">
      <alignment horizontal="left" vertical="center" wrapText="1" indent="1"/>
    </xf>
    <xf numFmtId="0" fontId="19" fillId="34" borderId="10" xfId="0" applyFont="1" applyFill="1" applyBorder="1">
      <alignment horizontal="left" vertical="center" wrapText="1"/>
    </xf>
    <xf numFmtId="0" fontId="21" fillId="41" borderId="29" xfId="0" applyFont="1" applyFill="1" applyBorder="1">
      <alignment vertical="center" wrapText="1"/>
    </xf>
    <xf numFmtId="0" fontId="21" fillId="0" borderId="0" xfId="0" applyFont="1">
      <alignment vertical="center"/>
    </xf>
    <xf numFmtId="0" fontId="1" fillId="43" borderId="0" xfId="0" applyFont="1" applyFill="1"/>
    <xf numFmtId="0" fontId="33" fillId="0" borderId="0" xfId="0" applyFont="1">
      <alignment vertical="center"/>
    </xf>
    <xf numFmtId="0" fontId="21" fillId="4" borderId="0" xfId="0" applyFont="1" applyFill="1">
      <alignment vertical="center"/>
    </xf>
    <xf numFmtId="49" fontId="34" fillId="0" borderId="13" xfId="0" applyFont="1" applyBorder="1" applyNumberFormat="1">
      <alignment vertical="center"/>
    </xf>
    <xf numFmtId="49" fontId="34" fillId="0" borderId="0" xfId="0" applyFont="1" applyNumberFormat="1">
      <alignment horizontal="left" vertical="center" wrapText="1" indent="4"/>
    </xf>
    <xf numFmtId="0" fontId="21" fillId="0" borderId="10" xfId="0" applyFont="1" applyBorder="1">
      <alignment horizontal="center" vertical="center" wrapText="1"/>
    </xf>
    <xf numFmtId="0" fontId="21" fillId="11" borderId="10" xfId="0" applyFont="1" applyFill="1" applyBorder="1">
      <alignment horizontal="center" vertical="center" wrapText="1"/>
    </xf>
    <xf numFmtId="0" fontId="21" fillId="0" borderId="10" xfId="0" applyFont="1" applyBorder="1">
      <alignment horizontal="center" vertical="center" wrapText="1"/>
    </xf>
    <xf numFmtId="0" fontId="21" fillId="11" borderId="10" xfId="0" applyFont="1" applyFill="1" applyBorder="1">
      <alignment horizontal="center" vertical="center" wrapText="1"/>
    </xf>
    <xf numFmtId="0" fontId="21" fillId="0" borderId="0" xfId="0" applyFont="1">
      <alignment horizontal="center" vertical="center" wrapText="1"/>
    </xf>
    <xf numFmtId="0" fontId="21" fillId="0" borderId="0" xfId="0" applyFont="1">
      <alignment horizontal="center" vertical="center" wrapText="1"/>
    </xf>
    <xf numFmtId="0" fontId="21" fillId="0" borderId="0" xfId="0" applyFont="1">
      <alignment vertical="center"/>
    </xf>
    <xf numFmtId="0" fontId="1" fillId="0" borderId="0" xfId="0" applyFont="1"/>
    <xf numFmtId="0" fontId="1" fillId="0" borderId="0" xfId="0" applyFont="1">
      <alignment horizontal="center" vertical="top"/>
    </xf>
    <xf numFmtId="0" fontId="1" fillId="0" borderId="0" xfId="0" applyFont="1">
      <alignment horizontal="center"/>
    </xf>
    <xf numFmtId="0" fontId="37" fillId="40" borderId="24" xfId="0" applyFont="1" applyFill="1" applyBorder="1">
      <alignment horizontal="left" vertical="center"/>
    </xf>
    <xf numFmtId="0" fontId="37" fillId="40" borderId="0" xfId="0" applyFont="1" applyFill="1">
      <alignment horizontal="left" vertical="center"/>
    </xf>
    <xf numFmtId="0" fontId="21" fillId="0" borderId="0" xfId="0" applyFont="1"/>
    <xf numFmtId="49" fontId="22" fillId="0" borderId="10" xfId="0" applyFont="1" applyBorder="1" applyNumberFormat="1">
      <alignment horizontal="center" vertical="center" wrapText="1"/>
    </xf>
    <xf numFmtId="0" fontId="22" fillId="0" borderId="10" xfId="0" applyFont="1" applyBorder="1">
      <alignment horizontal="left" vertical="center" wrapText="1"/>
    </xf>
    <xf numFmtId="0" fontId="19" fillId="0" borderId="10" xfId="0" applyFont="1" applyBorder="1">
      <alignment horizontal="center" vertical="center" wrapText="1"/>
    </xf>
    <xf numFmtId="4" fontId="22" fillId="36" borderId="10" xfId="0" applyFont="1" applyFill="1" applyBorder="1" applyNumberFormat="1">
      <alignment horizontal="right" vertical="center"/>
    </xf>
    <xf numFmtId="4" fontId="19" fillId="36" borderId="10" xfId="0" applyFont="1" applyFill="1" applyBorder="1" applyNumberFormat="1">
      <alignment horizontal="right" vertical="center"/>
    </xf>
    <xf numFmtId="49" fontId="19" fillId="34" borderId="11" xfId="0" applyFont="1" applyFill="1" applyBorder="1" applyNumberFormat="1">
      <alignment horizontal="left" vertical="center" wrapText="1"/>
    </xf>
    <xf numFmtId="0" fontId="19" fillId="34" borderId="11" xfId="0" applyFont="1" applyFill="1" applyBorder="1">
      <alignment horizontal="left" vertical="center" wrapText="1"/>
    </xf>
    <xf numFmtId="0" fontId="1" fillId="4" borderId="0" xfId="0" applyFont="1" applyFill="1"/>
    <xf numFmtId="0" fontId="17" fillId="43" borderId="0" xfId="0" applyFont="1" applyFill="1"/>
    <xf numFmtId="0" fontId="40" fillId="0" borderId="0" xfId="0" applyFont="1"/>
    <xf numFmtId="49" fontId="22" fillId="0" borderId="10" xfId="0" applyFont="1" applyBorder="1" applyNumberFormat="1">
      <alignment horizontal="center" vertical="center"/>
    </xf>
    <xf numFmtId="0" fontId="22" fillId="0" borderId="10" xfId="0" applyFont="1" applyBorder="1">
      <alignment horizontal="left" vertical="center" wrapText="1" indent="1"/>
    </xf>
    <xf numFmtId="0" fontId="22" fillId="0" borderId="10" xfId="0" applyFont="1" applyBorder="1">
      <alignment horizontal="center" vertical="center" wrapText="1"/>
    </xf>
    <xf numFmtId="49" fontId="22" fillId="34" borderId="11" xfId="0" applyFont="1" applyFill="1" applyBorder="1" applyNumberFormat="1">
      <alignment horizontal="left" vertical="center" wrapText="1"/>
    </xf>
    <xf numFmtId="0" fontId="17" fillId="4" borderId="0" xfId="0" applyFont="1" applyFill="1"/>
    <xf numFmtId="49" fontId="19" fillId="0" borderId="10" xfId="0" applyFont="1" applyBorder="1" applyNumberFormat="1">
      <alignment horizontal="center" vertical="center"/>
    </xf>
    <xf numFmtId="0" fontId="19" fillId="0" borderId="10" xfId="0" applyFont="1" applyBorder="1">
      <alignment horizontal="left" vertical="center" wrapText="1" indent="2"/>
    </xf>
    <xf numFmtId="4" fontId="19" fillId="34" borderId="10" xfId="0" applyFont="1" applyFill="1" applyBorder="1" applyNumberFormat="1">
      <alignment horizontal="right" vertical="center"/>
      <protection locked="0"/>
    </xf>
    <xf numFmtId="4" fontId="19" fillId="34" borderId="10" xfId="0" applyFont="1" applyFill="1" applyBorder="1" applyNumberFormat="1">
      <alignment horizontal="right" vertical="center"/>
    </xf>
    <xf numFmtId="0" fontId="1" fillId="0" borderId="0" xfId="0" applyFont="1"/>
    <xf numFmtId="0" fontId="1" fillId="0" borderId="0" xfId="0" applyFont="1"/>
    <xf numFmtId="4" fontId="22" fillId="34" borderId="10" xfId="0" applyFont="1" applyFill="1" applyBorder="1" applyNumberFormat="1">
      <alignment horizontal="right" vertical="center"/>
      <protection locked="0"/>
    </xf>
    <xf numFmtId="4" fontId="22" fillId="34" borderId="10" xfId="0" applyFont="1" applyFill="1" applyBorder="1" applyNumberFormat="1">
      <alignment horizontal="right" vertical="center"/>
    </xf>
    <xf numFmtId="0" fontId="21" fillId="0" borderId="0" xfId="0" applyFont="1">
      <alignment horizontal="left" vertical="center"/>
    </xf>
    <xf numFmtId="0" fontId="1" fillId="0" borderId="0" xfId="0" applyFont="1"/>
    <xf numFmtId="0" fontId="50" fillId="0" borderId="0" xfId="0" applyFont="1">
      <alignment horizontal="center" vertical="center" wrapText="1"/>
    </xf>
    <xf numFmtId="0" fontId="19" fillId="33" borderId="10" xfId="0" applyFont="1" applyFill="1" applyBorder="1">
      <alignment horizontal="center" vertical="center" wrapText="1"/>
    </xf>
    <xf numFmtId="0" fontId="19" fillId="42" borderId="10" xfId="0" applyFont="1" applyFill="1" applyBorder="1">
      <alignment horizontal="left" vertical="center" wrapText="1" indent="1"/>
    </xf>
    <xf numFmtId="4" fontId="19" fillId="34" borderId="10" xfId="0" applyFont="1" applyFill="1" applyBorder="1" applyNumberFormat="1">
      <alignment horizontal="right" vertical="center"/>
    </xf>
    <xf numFmtId="49" fontId="19" fillId="34" borderId="11" xfId="0" applyFont="1" applyFill="1" applyBorder="1" applyNumberFormat="1">
      <alignment horizontal="left" vertical="center" wrapText="1"/>
    </xf>
    <xf numFmtId="0" fontId="1" fillId="4" borderId="0" xfId="0" applyFont="1" applyFill="1"/>
    <xf numFmtId="0" fontId="19" fillId="0" borderId="0" xfId="0" applyFont="1">
      <alignment vertical="top" wrapText="1"/>
    </xf>
    <xf numFmtId="49" fontId="22" fillId="41" borderId="30" xfId="0" applyFont="1" applyFill="1" applyBorder="1" applyNumberFormat="1">
      <alignment horizontal="left" vertical="center" wrapText="1" indent="1"/>
    </xf>
    <xf numFmtId="49" fontId="38" fillId="41" borderId="20" xfId="0" applyFont="1" applyFill="1" applyBorder="1" applyNumberFormat="1">
      <alignment horizontal="left" vertical="center"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0" fontId="1" fillId="43" borderId="0" xfId="0" applyFont="1" applyFill="1"/>
    <xf numFmtId="0" fontId="22" fillId="0" borderId="10" xfId="0" applyFont="1" applyBorder="1">
      <alignment horizontal="center" vertical="center"/>
    </xf>
    <xf numFmtId="4" fontId="22" fillId="36" borderId="10" xfId="0" applyFont="1" applyFill="1" applyBorder="1" applyNumberFormat="1">
      <alignment horizontal="right" vertical="center"/>
    </xf>
    <xf numFmtId="0" fontId="19" fillId="0" borderId="10" xfId="0" applyFont="1" applyBorder="1">
      <alignment horizontal="left" vertical="center" wrapText="1" indent="1"/>
    </xf>
    <xf numFmtId="0" fontId="19" fillId="0" borderId="10" xfId="0" applyFont="1" applyBorder="1">
      <alignment horizontal="center" vertical="center"/>
    </xf>
    <xf numFmtId="4" fontId="19" fillId="36" borderId="10" xfId="0" applyFont="1" applyFill="1" applyBorder="1" applyNumberFormat="1">
      <alignment horizontal="right" vertical="center"/>
    </xf>
    <xf numFmtId="4" fontId="19" fillId="36" borderId="10" xfId="0" applyFont="1" applyFill="1" applyBorder="1" applyNumberFormat="1">
      <alignment horizontal="right" vertical="center"/>
    </xf>
    <xf numFmtId="0" fontId="64" fillId="0" borderId="0" xfId="0" applyFont="1">
      <alignment vertical="center"/>
    </xf>
    <xf numFmtId="4" fontId="19" fillId="36" borderId="10" xfId="0" applyFont="1" applyFill="1" applyBorder="1" applyNumberFormat="1">
      <alignment horizontal="right" vertical="center"/>
    </xf>
    <xf numFmtId="0" fontId="17" fillId="0" borderId="0" xfId="0" applyFont="1"/>
    <xf numFmtId="0" fontId="22" fillId="0" borderId="10" xfId="0" applyFont="1" applyBorder="1">
      <alignment vertical="center" wrapText="1"/>
    </xf>
    <xf numFmtId="0" fontId="19" fillId="0" borderId="10" xfId="0" applyFont="1" applyBorder="1">
      <alignment horizontal="left" vertical="center" wrapText="1"/>
    </xf>
    <xf numFmtId="4" fontId="22" fillId="0" borderId="10" xfId="0" applyFont="1" applyBorder="1" applyNumberFormat="1">
      <alignment horizontal="right" vertical="center"/>
    </xf>
    <xf numFmtId="0" fontId="21" fillId="0" borderId="0" xfId="0" applyFont="1"/>
    <xf numFmtId="0" fontId="19" fillId="0" borderId="10" xfId="0" applyFont="1" applyBorder="1">
      <alignment vertical="center" wrapText="1"/>
    </xf>
    <xf numFmtId="0" fontId="19" fillId="35" borderId="10" xfId="0" applyFont="1" applyFill="1" applyBorder="1">
      <alignment horizontal="left" vertical="center" wrapText="1" indent="1"/>
    </xf>
    <xf numFmtId="49" fontId="19" fillId="35" borderId="10" xfId="0" applyFont="1" applyFill="1" applyBorder="1" applyNumberFormat="1">
      <alignment horizontal="center" vertical="center"/>
    </xf>
    <xf numFmtId="0" fontId="19" fillId="35" borderId="10" xfId="0" applyFont="1" applyFill="1" applyBorder="1">
      <alignment vertical="center" wrapText="1"/>
    </xf>
    <xf numFmtId="172" fontId="22" fillId="36" borderId="10" xfId="0" applyFont="1" applyFill="1" applyBorder="1" applyNumberFormat="1">
      <alignment horizontal="right" vertical="center"/>
    </xf>
    <xf numFmtId="4" fontId="22" fillId="0" borderId="10" xfId="0" applyFont="1" applyBorder="1" applyNumberFormat="1">
      <alignment horizontal="right" vertical="center"/>
    </xf>
    <xf numFmtId="0" fontId="19" fillId="0" borderId="10" xfId="0" applyFont="1" applyBorder="1">
      <alignment horizontal="left" vertical="center" wrapText="1" indent="1"/>
    </xf>
    <xf numFmtId="172" fontId="19" fillId="34" borderId="10" xfId="0" applyFont="1" applyFill="1" applyBorder="1" applyNumberFormat="1">
      <alignment horizontal="right" vertical="center"/>
      <protection locked="0"/>
    </xf>
    <xf numFmtId="172" fontId="19" fillId="36" borderId="10" xfId="0" applyFont="1" applyFill="1" applyBorder="1" applyNumberFormat="1">
      <alignment horizontal="right" vertical="center"/>
    </xf>
    <xf numFmtId="172" fontId="19" fillId="34" borderId="10" xfId="0" applyFont="1" applyFill="1" applyBorder="1" applyNumberFormat="1">
      <alignment horizontal="right" vertical="center"/>
    </xf>
    <xf numFmtId="4" fontId="19" fillId="0" borderId="10" xfId="0" applyFont="1" applyBorder="1" applyNumberFormat="1">
      <alignment horizontal="right" vertical="center"/>
    </xf>
    <xf numFmtId="0" fontId="34" fillId="0" borderId="0" xfId="0" applyFont="1">
      <alignment vertical="center"/>
    </xf>
    <xf numFmtId="4" fontId="22" fillId="34" borderId="10" xfId="0" applyFont="1" applyFill="1" applyBorder="1" applyNumberFormat="1">
      <alignment horizontal="right" vertical="center"/>
      <protection locked="0"/>
    </xf>
    <xf numFmtId="4" fontId="22" fillId="34"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19" fillId="34" borderId="10" xfId="0" applyFont="1" applyFill="1" applyBorder="1" applyNumberFormat="1">
      <alignment horizontal="right" vertical="center"/>
    </xf>
    <xf numFmtId="49" fontId="19" fillId="34" borderId="11" xfId="0" applyFont="1" applyFill="1" applyBorder="1" applyNumberFormat="1">
      <alignment horizontal="left" vertical="center" wrapText="1"/>
      <protection locked="0"/>
    </xf>
    <xf numFmtId="0" fontId="19" fillId="34" borderId="11" xfId="0" applyFont="1" applyFill="1" applyBorder="1">
      <alignment horizontal="left" vertical="center" wrapText="1"/>
      <protection locked="0"/>
    </xf>
    <xf numFmtId="0" fontId="80" fillId="0" borderId="0" xfId="0" applyFont="1"/>
    <xf numFmtId="49" fontId="22" fillId="34" borderId="11" xfId="0" applyFont="1" applyFill="1" applyBorder="1" applyNumberFormat="1">
      <alignment horizontal="left" vertical="center" wrapText="1"/>
      <protection locked="0"/>
    </xf>
    <xf numFmtId="0" fontId="80" fillId="0" borderId="0" xfId="0" applyFont="1"/>
    <xf numFmtId="0" fontId="80" fillId="0" borderId="0" xfId="0" applyFont="1"/>
    <xf numFmtId="0" fontId="80" fillId="0" borderId="0" xfId="0" applyFont="1"/>
    <xf numFmtId="0" fontId="80" fillId="0" borderId="0" xfId="0" applyFont="1"/>
    <xf numFmtId="0" fontId="80" fillId="0" borderId="0" xfId="0" applyFont="1"/>
    <xf numFmtId="0" fontId="80" fillId="0" borderId="0" xfId="0" applyFont="1"/>
    <xf numFmtId="49" fontId="22" fillId="41" borderId="30" xfId="0" applyFont="1" applyFill="1" applyBorder="1" applyNumberFormat="1">
      <alignment horizontal="left" vertical="center" wrapText="1" indent="1"/>
    </xf>
    <xf numFmtId="49" fontId="38" fillId="41" borderId="20" xfId="0" applyFont="1" applyFill="1" applyBorder="1" applyNumberFormat="1">
      <alignment horizontal="left" vertical="center"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0" fontId="80" fillId="0" borderId="0" xfId="0" applyFont="1"/>
    <xf numFmtId="0" fontId="80" fillId="0" borderId="0" xfId="0" applyFont="1"/>
    <xf numFmtId="0" fontId="80" fillId="0" borderId="0" xfId="0" applyFont="1"/>
    <xf numFmtId="0" fontId="80" fillId="0" borderId="0" xfId="0" applyFont="1"/>
    <xf numFmtId="0" fontId="80" fillId="0" borderId="0" xfId="0" applyFont="1"/>
    <xf numFmtId="0" fontId="80" fillId="0" borderId="0" xfId="0" applyFont="1"/>
    <xf numFmtId="0" fontId="80" fillId="0" borderId="0" xfId="0" applyFont="1"/>
    <xf numFmtId="0" fontId="80" fillId="0" borderId="0" xfId="0" applyFont="1"/>
    <xf numFmtId="0" fontId="80" fillId="0" borderId="0" xfId="0" applyFont="1"/>
    <xf numFmtId="0" fontId="80" fillId="0" borderId="0" xfId="0" applyFont="1"/>
    <xf numFmtId="0" fontId="80" fillId="0" borderId="0" xfId="0" applyFont="1"/>
    <xf numFmtId="0" fontId="80" fillId="0" borderId="0" xfId="0" applyFont="1"/>
    <xf numFmtId="0" fontId="80" fillId="0" borderId="0" xfId="0" applyFont="1"/>
    <xf numFmtId="0" fontId="21" fillId="41" borderId="18" xfId="0" applyFont="1" applyFill="1" applyBorder="1">
      <alignment vertical="center" wrapText="1"/>
    </xf>
    <xf numFmtId="0" fontId="33" fillId="43" borderId="0" xfId="0" applyFont="1" applyFill="1">
      <alignment vertical="center"/>
    </xf>
    <xf numFmtId="49" fontId="34" fillId="0" borderId="13" xfId="0" applyFont="1" applyBorder="1" applyNumberFormat="1">
      <alignment vertical="center"/>
    </xf>
    <xf numFmtId="49" fontId="34" fillId="0" borderId="0" xfId="0" applyFont="1" applyNumberFormat="1">
      <alignment horizontal="left" vertical="center" wrapText="1" indent="4"/>
    </xf>
    <xf numFmtId="0" fontId="21" fillId="0" borderId="10" xfId="0" applyFont="1" applyBorder="1">
      <alignment horizontal="center" vertical="center" wrapText="1"/>
    </xf>
    <xf numFmtId="0" fontId="19" fillId="0" borderId="0" xfId="0" applyFont="1"/>
    <xf numFmtId="0" fontId="37" fillId="40" borderId="0" xfId="0" applyFont="1" applyFill="1">
      <alignment horizontal="left" vertical="center"/>
    </xf>
    <xf numFmtId="0" fontId="53" fillId="0" borderId="0" xfId="0" applyFont="1">
      <alignment horizontal="center" vertical="center" wrapText="1"/>
    </xf>
    <xf numFmtId="0" fontId="26" fillId="0" borderId="0" xfId="0" applyFont="1">
      <alignment vertical="center" wrapText="1"/>
    </xf>
    <xf numFmtId="0" fontId="26" fillId="43" borderId="0" xfId="0" applyFont="1" applyFill="1">
      <alignment vertical="center" wrapText="1"/>
    </xf>
    <xf numFmtId="0" fontId="33" fillId="0" borderId="0" xfId="0" applyFont="1">
      <alignment horizontal="left" vertical="center" wrapText="1"/>
    </xf>
    <xf numFmtId="0" fontId="26" fillId="0" borderId="0" xfId="0" applyFont="1">
      <alignment vertical="center" wrapText="1"/>
    </xf>
    <xf numFmtId="4" fontId="22" fillId="36" borderId="10" xfId="0" applyFont="1" applyFill="1" applyBorder="1" applyNumberFormat="1">
      <alignment horizontal="right" vertical="center"/>
    </xf>
    <xf numFmtId="4" fontId="22" fillId="34" borderId="10" xfId="0" applyFont="1" applyFill="1" applyBorder="1" applyNumberFormat="1">
      <alignment horizontal="right" vertical="center"/>
    </xf>
    <xf numFmtId="49" fontId="19" fillId="34" borderId="11" xfId="0" applyFont="1" applyFill="1" applyBorder="1" applyNumberFormat="1">
      <alignment horizontal="left" vertical="center" wrapText="1"/>
    </xf>
    <xf numFmtId="0" fontId="34" fillId="0" borderId="0" xfId="0" applyFont="1">
      <alignment horizontal="center" vertical="center" wrapText="1"/>
    </xf>
    <xf numFmtId="0" fontId="34" fillId="4" borderId="0" xfId="0" applyFont="1" applyFill="1">
      <alignment vertical="center" wrapText="1"/>
    </xf>
    <xf numFmtId="0" fontId="34" fillId="43" borderId="0" xfId="0" applyFont="1" applyFill="1">
      <alignment vertical="center" wrapText="1"/>
    </xf>
    <xf numFmtId="0" fontId="23" fillId="0" borderId="0" xfId="0" applyFont="1">
      <alignment horizontal="left" vertical="center"/>
    </xf>
    <xf numFmtId="0" fontId="33" fillId="0" borderId="0" xfId="0" applyFont="1">
      <alignment horizontal="left" vertical="center"/>
    </xf>
    <xf numFmtId="0" fontId="23" fillId="0" borderId="0" xfId="0" applyFont="1">
      <alignment vertical="center"/>
    </xf>
    <xf numFmtId="172" fontId="19" fillId="34" borderId="10" xfId="0" applyFont="1" applyFill="1" applyBorder="1" applyNumberFormat="1">
      <alignment horizontal="right" vertical="center"/>
    </xf>
    <xf numFmtId="172" fontId="19" fillId="36" borderId="10" xfId="0" applyFont="1" applyFill="1" applyBorder="1" applyNumberFormat="1">
      <alignment horizontal="right" vertical="center"/>
    </xf>
    <xf numFmtId="172" fontId="19" fillId="34" borderId="10" xfId="0" applyFont="1" applyFill="1" applyBorder="1" applyNumberFormat="1">
      <alignment horizontal="right" vertical="center"/>
      <protection locked="0"/>
    </xf>
    <xf numFmtId="4" fontId="19" fillId="36" borderId="10" xfId="0" applyFont="1" applyFill="1" applyBorder="1" applyNumberFormat="1">
      <alignment horizontal="right" vertical="center"/>
    </xf>
    <xf numFmtId="4" fontId="19" fillId="0" borderId="10" xfId="0" applyFont="1" applyBorder="1" applyNumberFormat="1">
      <alignment horizontal="right" vertical="center"/>
    </xf>
    <xf numFmtId="0" fontId="33" fillId="4" borderId="0" xfId="0" applyFont="1" applyFill="1">
      <alignment vertical="center"/>
    </xf>
    <xf numFmtId="0" fontId="26" fillId="0" borderId="0" xfId="0" applyFont="1">
      <alignment horizontal="center" vertical="center" wrapText="1"/>
    </xf>
    <xf numFmtId="0" fontId="26" fillId="43" borderId="0" xfId="0" applyFont="1" applyFill="1">
      <alignment horizontal="center" vertical="center" wrapText="1"/>
    </xf>
    <xf numFmtId="0" fontId="26" fillId="0" borderId="0" xfId="0" applyFont="1">
      <alignment horizontal="center" vertical="center" wrapText="1"/>
    </xf>
    <xf numFmtId="0" fontId="22" fillId="0" borderId="10" xfId="0" applyFont="1" applyBorder="1">
      <alignment horizontal="left" vertical="center" wrapText="1" indent="1"/>
    </xf>
    <xf numFmtId="49" fontId="22" fillId="34" borderId="11" xfId="0" applyFont="1" applyFill="1" applyBorder="1" applyNumberFormat="1">
      <alignment horizontal="left" vertical="center" wrapText="1"/>
    </xf>
    <xf numFmtId="0" fontId="34" fillId="4" borderId="0" xfId="0" applyFont="1" applyFill="1">
      <alignment horizontal="center" vertical="center" wrapText="1"/>
    </xf>
    <xf numFmtId="0" fontId="34" fillId="43" borderId="0" xfId="0" applyFont="1" applyFill="1">
      <alignment horizontal="center" vertical="center" wrapText="1"/>
    </xf>
    <xf numFmtId="0" fontId="27" fillId="0" borderId="0" xfId="0" applyFont="1">
      <alignment vertical="center"/>
    </xf>
    <xf numFmtId="4" fontId="19" fillId="34"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0" fontId="19" fillId="34" borderId="11" xfId="0" applyFont="1" applyFill="1" applyBorder="1">
      <alignment horizontal="left" vertical="center" wrapText="1"/>
    </xf>
    <xf numFmtId="0" fontId="19" fillId="35" borderId="10" xfId="0" applyFont="1" applyFill="1" applyBorder="1">
      <alignment horizontal="left" vertical="center" wrapText="1" indent="3"/>
    </xf>
    <xf numFmtId="4" fontId="19" fillId="34" borderId="10" xfId="0" applyFont="1" applyFill="1" applyBorder="1" applyNumberFormat="1">
      <alignment horizontal="right" vertical="center"/>
      <protection locked="0"/>
    </xf>
    <xf numFmtId="0" fontId="53" fillId="0" borderId="0" xfId="0" applyFont="1">
      <alignment horizontal="center" vertical="center"/>
    </xf>
    <xf numFmtId="0" fontId="26" fillId="0" borderId="0" xfId="0" applyFont="1">
      <alignment vertical="center"/>
    </xf>
    <xf numFmtId="0" fontId="26" fillId="43" borderId="0" xfId="0" applyFont="1" applyFill="1">
      <alignment vertical="center"/>
    </xf>
    <xf numFmtId="0" fontId="26" fillId="0" borderId="0" xfId="0" applyFont="1">
      <alignment vertical="center"/>
    </xf>
    <xf numFmtId="0" fontId="34" fillId="4" borderId="0" xfId="0" applyFont="1" applyFill="1">
      <alignment vertical="center"/>
    </xf>
    <xf numFmtId="0" fontId="34" fillId="43" borderId="0" xfId="0" applyFont="1" applyFill="1">
      <alignment vertical="center"/>
    </xf>
    <xf numFmtId="0" fontId="68" fillId="0" borderId="0" xfId="0" applyFont="1"/>
    <xf numFmtId="4" fontId="19" fillId="36" borderId="10" xfId="0" applyFont="1" applyFill="1" applyBorder="1" applyNumberFormat="1">
      <alignment horizontal="right" vertical="center"/>
    </xf>
    <xf numFmtId="4" fontId="19" fillId="36" borderId="10" xfId="0" applyFont="1" applyFill="1" applyBorder="1" applyNumberFormat="1">
      <alignment horizontal="right" vertical="center"/>
    </xf>
    <xf numFmtId="4" fontId="19" fillId="0" borderId="10" xfId="0" applyFont="1" applyBorder="1" applyNumberFormat="1">
      <alignment horizontal="right" vertical="center"/>
    </xf>
    <xf numFmtId="0" fontId="19" fillId="35" borderId="10" xfId="0" applyFont="1" applyFill="1" applyBorder="1">
      <alignment horizontal="center" vertical="center"/>
    </xf>
    <xf numFmtId="0" fontId="49" fillId="0" borderId="0" xfId="0" applyFont="1">
      <alignment horizontal="center" vertical="center"/>
    </xf>
    <xf numFmtId="0" fontId="19" fillId="42" borderId="10" xfId="0" applyFont="1" applyFill="1" applyBorder="1">
      <alignment horizontal="left" vertical="center" wrapText="1" indent="1"/>
    </xf>
    <xf numFmtId="0" fontId="19" fillId="35" borderId="10" xfId="0" applyFont="1" applyFill="1" applyBorder="1">
      <alignment horizontal="center" vertical="center" wrapText="1"/>
    </xf>
    <xf numFmtId="0" fontId="64" fillId="0" borderId="0" xfId="0" applyFont="1">
      <alignment horizontal="left" vertical="center"/>
    </xf>
    <xf numFmtId="0" fontId="64" fillId="0" borderId="0" xfId="0" applyFont="1">
      <alignment horizontal="center" vertical="center"/>
    </xf>
    <xf numFmtId="0" fontId="19" fillId="35" borderId="10" xfId="0" applyFont="1" applyFill="1" applyBorder="1">
      <alignment horizontal="left" vertical="center" wrapText="1" indent="2"/>
    </xf>
    <xf numFmtId="0" fontId="64" fillId="4" borderId="0" xfId="0" applyFont="1" applyFill="1">
      <alignment vertical="center"/>
    </xf>
    <xf numFmtId="0" fontId="64" fillId="43" borderId="0" xfId="0" applyFont="1" applyFill="1">
      <alignment vertical="center"/>
    </xf>
    <xf numFmtId="0" fontId="19" fillId="35" borderId="10" xfId="0" applyFont="1" applyFill="1" applyBorder="1">
      <alignment horizontal="left" vertical="center" wrapText="1" indent="1"/>
    </xf>
    <xf numFmtId="4" fontId="19" fillId="34"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0" fontId="19" fillId="34" borderId="11" xfId="0" applyFont="1" applyFill="1" applyBorder="1">
      <alignment horizontal="left" vertical="center" wrapText="1"/>
    </xf>
    <xf numFmtId="0" fontId="34" fillId="0" borderId="0" xfId="0" applyFont="1">
      <alignment vertical="center"/>
    </xf>
    <xf numFmtId="0" fontId="19" fillId="19" borderId="0" xfId="0" applyFont="1" applyFill="1"/>
    <xf numFmtId="0" fontId="22" fillId="0" borderId="10" xfId="0" applyFont="1" applyBorder="1">
      <alignment horizontal="center" vertical="center"/>
    </xf>
    <xf numFmtId="0" fontId="22" fillId="0" borderId="10" xfId="0" applyFont="1" applyBorder="1">
      <alignment horizontal="left" vertical="center" wrapText="1"/>
    </xf>
    <xf numFmtId="4" fontId="22" fillId="34" borderId="10" xfId="0" applyFont="1" applyFill="1" applyBorder="1" applyNumberFormat="1">
      <alignment horizontal="right" vertical="center"/>
    </xf>
    <xf numFmtId="4" fontId="22" fillId="36" borderId="10" xfId="0" applyFont="1" applyFill="1" applyBorder="1" applyNumberFormat="1">
      <alignment horizontal="right" vertical="center"/>
    </xf>
    <xf numFmtId="4" fontId="22" fillId="34" borderId="10" xfId="0" applyFont="1" applyFill="1" applyBorder="1" applyNumberFormat="1">
      <alignment horizontal="right" vertical="center"/>
      <protection locked="0"/>
    </xf>
    <xf numFmtId="49" fontId="22" fillId="34" borderId="11" xfId="0" applyFont="1" applyFill="1" applyBorder="1" applyNumberFormat="1">
      <alignment horizontal="left" vertical="center" wrapText="1"/>
    </xf>
    <xf numFmtId="0" fontId="19" fillId="0" borderId="10" xfId="0" applyFont="1" applyBorder="1">
      <alignment horizontal="center" vertical="center"/>
    </xf>
    <xf numFmtId="0" fontId="19" fillId="0" borderId="10" xfId="0" applyFont="1" applyBorder="1">
      <alignment horizontal="left" vertical="center" wrapText="1" indent="1"/>
    </xf>
    <xf numFmtId="4" fontId="19" fillId="34"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9" fontId="19" fillId="34" borderId="11" xfId="0" applyFont="1" applyFill="1" applyBorder="1" applyNumberFormat="1">
      <alignment horizontal="left" vertical="center" wrapText="1"/>
    </xf>
    <xf numFmtId="0" fontId="19" fillId="0" borderId="10" xfId="0" applyFont="1" applyBorder="1">
      <alignment horizontal="left" vertical="center" wrapText="1" indent="2"/>
    </xf>
    <xf numFmtId="0" fontId="23" fillId="39" borderId="0" xfId="0" applyFont="1" applyFill="1">
      <alignment vertical="center"/>
    </xf>
    <xf numFmtId="0" fontId="33" fillId="39" borderId="0" xfId="0" applyFont="1" applyFill="1">
      <alignment vertical="center"/>
    </xf>
    <xf numFmtId="49" fontId="19" fillId="0" borderId="11" xfId="0" applyFont="1" applyBorder="1" applyNumberFormat="1">
      <alignment horizontal="left" vertical="center" wrapText="1"/>
    </xf>
    <xf numFmtId="4" fontId="22" fillId="34" borderId="10" xfId="0" applyFont="1" applyFill="1" applyBorder="1" applyNumberFormat="1">
      <alignment horizontal="right" vertical="center"/>
      <protection locked="0"/>
    </xf>
    <xf numFmtId="0" fontId="19" fillId="35" borderId="10" xfId="0" applyFont="1" applyFill="1" applyBorder="1">
      <alignment horizontal="left" vertical="center" wrapText="1" indent="1"/>
    </xf>
    <xf numFmtId="172" fontId="22" fillId="36" borderId="10" xfId="0" applyFont="1" applyFill="1" applyBorder="1" applyNumberFormat="1">
      <alignment horizontal="right" vertical="center"/>
    </xf>
    <xf numFmtId="172" fontId="19" fillId="34" borderId="10" xfId="0" applyFont="1" applyFill="1" applyBorder="1" applyNumberFormat="1">
      <alignment horizontal="right" vertical="center"/>
      <protection locked="0"/>
    </xf>
    <xf numFmtId="172" fontId="19" fillId="34" borderId="10" xfId="0" applyFont="1" applyFill="1" applyBorder="1" applyNumberFormat="1">
      <alignment horizontal="right" vertical="center"/>
    </xf>
    <xf numFmtId="4" fontId="22" fillId="34" borderId="10" xfId="0" applyFont="1" applyFill="1" applyBorder="1" applyNumberFormat="1">
      <alignment horizontal="right" vertical="center"/>
    </xf>
    <xf numFmtId="4" fontId="22" fillId="34" borderId="10" xfId="0" applyFont="1" applyFill="1" applyBorder="1" applyNumberFormat="1">
      <alignment horizontal="right" vertical="center"/>
      <protection locked="0"/>
    </xf>
    <xf numFmtId="4" fontId="19" fillId="34"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0" fontId="53" fillId="0" borderId="0" xfId="0" applyFont="1">
      <alignment vertical="center" wrapText="1"/>
    </xf>
    <xf numFmtId="49" fontId="19" fillId="34" borderId="11" xfId="0" applyFont="1" applyFill="1" applyBorder="1" applyNumberFormat="1">
      <alignment horizontal="left" vertical="center" wrapText="1"/>
      <protection locked="0"/>
    </xf>
    <xf numFmtId="49" fontId="22" fillId="34" borderId="11" xfId="0" applyFont="1" applyFill="1" applyBorder="1" applyNumberFormat="1">
      <alignment horizontal="left" vertical="center" wrapText="1"/>
      <protection locked="0"/>
    </xf>
    <xf numFmtId="0" fontId="19" fillId="34" borderId="11" xfId="0" applyFont="1" applyFill="1" applyBorder="1">
      <alignment horizontal="left" vertical="center" wrapText="1"/>
      <protection locked="0"/>
    </xf>
    <xf numFmtId="0" fontId="53" fillId="0" borderId="0" xfId="0" applyFont="1">
      <alignment vertical="center"/>
    </xf>
    <xf numFmtId="0" fontId="53" fillId="0" borderId="0" xfId="0" applyFont="1">
      <alignment vertical="center"/>
    </xf>
    <xf numFmtId="0" fontId="53" fillId="0" borderId="0" xfId="0" applyFont="1">
      <alignment vertical="center"/>
    </xf>
    <xf numFmtId="0" fontId="22" fillId="41" borderId="30" xfId="0" applyFont="1" applyFill="1" applyBorder="1">
      <alignment horizontal="left" vertical="center" wrapText="1" indent="1"/>
    </xf>
    <xf numFmtId="49" fontId="38" fillId="41" borderId="20" xfId="0" applyFont="1" applyFill="1" applyBorder="1" applyNumberFormat="1">
      <alignment horizontal="left" vertical="center"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0" fontId="53" fillId="0" borderId="0" xfId="0" applyFont="1">
      <alignment vertical="center"/>
    </xf>
    <xf numFmtId="0" fontId="53" fillId="0" borderId="0" xfId="0" applyFont="1">
      <alignment vertical="center"/>
    </xf>
    <xf numFmtId="0" fontId="53" fillId="0" borderId="0" xfId="0" applyFont="1">
      <alignment vertical="center"/>
    </xf>
    <xf numFmtId="0" fontId="19" fillId="34" borderId="11" xfId="0" applyFont="1" applyFill="1" applyBorder="1">
      <alignment horizontal="left" vertical="center" wrapText="1"/>
      <protection locked="0"/>
    </xf>
    <xf numFmtId="0" fontId="53" fillId="0" borderId="0" xfId="0" applyFont="1">
      <alignment vertical="center"/>
    </xf>
    <xf numFmtId="0" fontId="53" fillId="0" borderId="0" xfId="0" applyFont="1">
      <alignment vertical="center"/>
    </xf>
    <xf numFmtId="0" fontId="53" fillId="0" borderId="0" xfId="0" applyFont="1">
      <alignment vertical="center"/>
    </xf>
    <xf numFmtId="0" fontId="53" fillId="0" borderId="0" xfId="0" applyFont="1">
      <alignment vertical="center"/>
    </xf>
    <xf numFmtId="0" fontId="53" fillId="0" borderId="0" xfId="0" applyFont="1">
      <alignment vertical="center"/>
    </xf>
    <xf numFmtId="0" fontId="53" fillId="0" borderId="0" xfId="0" applyFont="1">
      <alignment vertical="center"/>
    </xf>
    <xf numFmtId="0" fontId="53" fillId="0" borderId="0" xfId="0" applyFont="1">
      <alignment vertical="center"/>
    </xf>
    <xf numFmtId="0" fontId="53" fillId="0" borderId="0" xfId="0" applyFont="1">
      <alignment vertical="center"/>
    </xf>
    <xf numFmtId="0" fontId="53" fillId="0" borderId="0" xfId="0" applyFont="1">
      <alignment vertical="center"/>
    </xf>
    <xf numFmtId="0" fontId="53" fillId="0" borderId="0" xfId="0" applyFont="1">
      <alignment vertical="center"/>
    </xf>
    <xf numFmtId="49" fontId="19" fillId="0" borderId="0" xfId="0" applyFont="1" applyNumberFormat="1">
      <alignment vertical="top"/>
    </xf>
    <xf numFmtId="49" fontId="19" fillId="34" borderId="10" xfId="0" applyFont="1" applyFill="1" applyBorder="1" applyNumberFormat="1">
      <alignment horizontal="left" vertical="top" wrapText="1"/>
    </xf>
    <xf numFmtId="0" fontId="34" fillId="0" borderId="0" xfId="0" applyFont="1">
      <alignment vertical="center" wrapText="1"/>
    </xf>
    <xf numFmtId="49" fontId="19" fillId="34" borderId="11" xfId="0" applyFont="1" applyFill="1" applyBorder="1" applyNumberFormat="1">
      <alignment horizontal="left" vertical="center" wrapText="1"/>
    </xf>
    <xf numFmtId="172" fontId="19" fillId="34" borderId="10" xfId="0" applyFont="1" applyFill="1" applyBorder="1" applyNumberFormat="1">
      <alignment horizontal="right" vertical="center"/>
    </xf>
    <xf numFmtId="172" fontId="19" fillId="36" borderId="10" xfId="0" applyFont="1" applyFill="1" applyBorder="1" applyNumberFormat="1">
      <alignment horizontal="right" vertical="center"/>
    </xf>
    <xf numFmtId="172" fontId="19" fillId="34" borderId="10" xfId="0" applyFont="1" applyFill="1" applyBorder="1" applyNumberFormat="1">
      <alignment horizontal="right" vertical="center"/>
      <protection locked="0"/>
    </xf>
    <xf numFmtId="4" fontId="19" fillId="0" borderId="10" xfId="0" applyFont="1" applyBorder="1" applyNumberFormat="1">
      <alignment horizontal="right" vertical="center"/>
    </xf>
    <xf numFmtId="4" fontId="81" fillId="33" borderId="10" xfId="0" applyFont="1" applyFill="1" applyBorder="1" applyNumberFormat="1">
      <alignment horizontal="right" vertical="center"/>
    </xf>
    <xf numFmtId="4" fontId="22" fillId="0" borderId="10" xfId="0" applyFont="1" applyBorder="1" applyNumberFormat="1">
      <alignment horizontal="right" vertical="center"/>
    </xf>
    <xf numFmtId="4" fontId="19" fillId="36" borderId="10" xfId="0" applyFont="1" applyFill="1" applyBorder="1" applyNumberFormat="1">
      <alignment horizontal="right" vertical="center"/>
    </xf>
    <xf numFmtId="4" fontId="24" fillId="33" borderId="10" xfId="0" applyFont="1" applyFill="1" applyBorder="1" applyNumberFormat="1">
      <alignment horizontal="right" vertical="center"/>
    </xf>
    <xf numFmtId="4" fontId="19" fillId="34" borderId="10" xfId="0" applyFont="1" applyFill="1" applyBorder="1" applyNumberFormat="1">
      <alignment horizontal="right" vertical="center"/>
    </xf>
    <xf numFmtId="4" fontId="24" fillId="33" borderId="10" xfId="0" applyFont="1" applyFill="1" applyBorder="1" applyNumberFormat="1">
      <alignment horizontal="right" vertical="center"/>
    </xf>
    <xf numFmtId="4" fontId="19" fillId="36" borderId="10" xfId="0" applyFont="1" applyFill="1" applyBorder="1" applyNumberFormat="1">
      <alignment horizontal="right" vertical="center"/>
    </xf>
    <xf numFmtId="4" fontId="24" fillId="33" borderId="10" xfId="0" applyFont="1" applyFill="1" applyBorder="1" applyNumberFormat="1">
      <alignment horizontal="right" vertical="center"/>
    </xf>
    <xf numFmtId="0" fontId="19" fillId="34" borderId="11" xfId="0" applyFont="1" applyFill="1" applyBorder="1">
      <alignment horizontal="left" vertical="center" wrapText="1"/>
    </xf>
    <xf numFmtId="172" fontId="19" fillId="34" borderId="10" xfId="0" applyFont="1" applyFill="1" applyBorder="1" applyNumberFormat="1">
      <alignment horizontal="right" vertical="center"/>
      <protection locked="0"/>
    </xf>
    <xf numFmtId="4" fontId="22" fillId="36" borderId="10" xfId="0" applyFont="1" applyFill="1" applyBorder="1" applyNumberFormat="1">
      <alignment horizontal="right" vertical="center"/>
    </xf>
    <xf numFmtId="4" fontId="81" fillId="33" borderId="10" xfId="0" applyFont="1" applyFill="1" applyBorder="1" applyNumberFormat="1">
      <alignment horizontal="right" vertical="center"/>
    </xf>
    <xf numFmtId="4" fontId="19" fillId="34" borderId="10" xfId="0" applyFont="1" applyFill="1" applyBorder="1" applyNumberFormat="1">
      <alignment horizontal="right" vertical="center"/>
    </xf>
    <xf numFmtId="4" fontId="24" fillId="33"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19" fillId="0" borderId="10" xfId="0" applyFont="1" applyBorder="1" applyNumberFormat="1">
      <alignment horizontal="right" vertical="center"/>
    </xf>
    <xf numFmtId="49" fontId="19" fillId="34" borderId="11" xfId="0" applyFont="1" applyFill="1" applyBorder="1" applyNumberFormat="1">
      <alignment horizontal="left" vertical="center" wrapText="1"/>
    </xf>
    <xf numFmtId="0" fontId="45" fillId="0" borderId="0" xfId="0" applyFont="1">
      <alignment vertical="center"/>
    </xf>
    <xf numFmtId="0" fontId="19" fillId="0" borderId="0" xfId="0" applyFont="1">
      <alignment vertical="top" wrapText="1"/>
    </xf>
    <xf numFmtId="0" fontId="23" fillId="0" borderId="0" xfId="0" applyFont="1">
      <alignment horizontal="center" vertical="center"/>
    </xf>
    <xf numFmtId="4" fontId="19" fillId="34" borderId="10" xfId="0" applyFont="1" applyFill="1" applyBorder="1" applyNumberFormat="1">
      <alignment horizontal="right" vertical="center"/>
      <protection locked="0"/>
    </xf>
    <xf numFmtId="0" fontId="26" fillId="0" borderId="0" xfId="0" applyFont="1">
      <alignment horizontal="center" vertical="center"/>
    </xf>
    <xf numFmtId="4" fontId="19" fillId="34"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0" fontId="19" fillId="34" borderId="11" xfId="0" applyFont="1" applyFill="1" applyBorder="1">
      <alignment horizontal="left" vertical="center" wrapText="1"/>
    </xf>
    <xf numFmtId="0" fontId="49" fillId="19" borderId="0" xfId="0" applyFont="1" applyFill="1">
      <alignment horizontal="center" vertical="center"/>
    </xf>
    <xf numFmtId="49" fontId="22" fillId="0" borderId="10" xfId="0" applyFont="1" applyBorder="1" applyNumberFormat="1">
      <alignment horizontal="center" vertical="center"/>
    </xf>
    <xf numFmtId="49" fontId="19" fillId="0" borderId="10" xfId="0" applyFont="1" applyBorder="1" applyNumberFormat="1">
      <alignment horizontal="center" vertical="center"/>
    </xf>
    <xf numFmtId="172" fontId="22" fillId="36" borderId="10" xfId="0" applyFont="1" applyFill="1" applyBorder="1" applyNumberFormat="1">
      <alignment horizontal="right" vertical="center"/>
    </xf>
    <xf numFmtId="172" fontId="19" fillId="34" borderId="10" xfId="0" applyFont="1" applyFill="1" applyBorder="1" applyNumberFormat="1">
      <alignment horizontal="right" vertical="center"/>
    </xf>
    <xf numFmtId="172" fontId="19" fillId="34" borderId="10" xfId="0" applyFont="1" applyFill="1" applyBorder="1" applyNumberFormat="1">
      <alignment horizontal="right" vertical="center"/>
      <protection locked="0"/>
    </xf>
    <xf numFmtId="172" fontId="19" fillId="36" borderId="10" xfId="0" applyFont="1" applyFill="1" applyBorder="1" applyNumberFormat="1">
      <alignment horizontal="right" vertical="center"/>
    </xf>
    <xf numFmtId="4" fontId="22" fillId="34" borderId="10" xfId="0" applyFont="1" applyFill="1" applyBorder="1" applyNumberFormat="1">
      <alignment horizontal="right" vertical="center"/>
    </xf>
    <xf numFmtId="4" fontId="22" fillId="34" borderId="10" xfId="0" applyFont="1" applyFill="1" applyBorder="1" applyNumberFormat="1">
      <alignment horizontal="right" vertical="center"/>
      <protection locked="0"/>
    </xf>
    <xf numFmtId="0" fontId="53" fillId="0" borderId="0" xfId="0" applyFont="1">
      <alignment vertical="center" wrapText="1"/>
    </xf>
    <xf numFmtId="49" fontId="19" fillId="34" borderId="11" xfId="0" applyFont="1" applyFill="1" applyBorder="1" applyNumberFormat="1">
      <alignment horizontal="left" vertical="center" wrapText="1"/>
      <protection locked="0"/>
    </xf>
    <xf numFmtId="49" fontId="22" fillId="34" borderId="11" xfId="0" applyFont="1" applyFill="1" applyBorder="1" applyNumberFormat="1">
      <alignment horizontal="left" vertical="center" wrapText="1"/>
      <protection locked="0"/>
    </xf>
    <xf numFmtId="0" fontId="19" fillId="34" borderId="11" xfId="0" applyFont="1" applyFill="1" applyBorder="1">
      <alignment horizontal="left" vertical="center" wrapText="1"/>
      <protection locked="0"/>
    </xf>
    <xf numFmtId="0" fontId="53" fillId="0" borderId="0" xfId="0" applyFont="1">
      <alignment vertical="center"/>
    </xf>
    <xf numFmtId="0" fontId="53" fillId="0" borderId="0" xfId="0" applyFont="1">
      <alignment vertical="center"/>
    </xf>
    <xf numFmtId="0" fontId="53" fillId="0" borderId="0" xfId="0" applyFont="1">
      <alignment vertical="center"/>
    </xf>
    <xf numFmtId="49" fontId="22" fillId="41" borderId="30" xfId="0" applyFont="1" applyFill="1" applyBorder="1" applyNumberFormat="1">
      <alignment horizontal="left" vertical="center" wrapText="1" indent="1"/>
    </xf>
    <xf numFmtId="49" fontId="38" fillId="41" borderId="20" xfId="0" applyFont="1" applyFill="1" applyBorder="1" applyNumberFormat="1">
      <alignment horizontal="left" vertical="center"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0" fontId="53" fillId="0" borderId="0" xfId="0" applyFont="1">
      <alignment vertical="center"/>
    </xf>
    <xf numFmtId="49" fontId="19" fillId="34" borderId="11" xfId="0" applyFont="1" applyFill="1" applyBorder="1" applyNumberFormat="1">
      <alignment horizontal="left" vertical="center" wrapText="1"/>
      <protection locked="0"/>
    </xf>
    <xf numFmtId="0" fontId="53" fillId="0" borderId="0" xfId="0" applyFont="1">
      <alignment vertical="center"/>
    </xf>
    <xf numFmtId="0" fontId="53" fillId="0" borderId="0" xfId="0" applyFont="1">
      <alignment vertical="center"/>
    </xf>
    <xf numFmtId="4" fontId="19" fillId="34" borderId="10" xfId="0" applyFont="1" applyFill="1" applyBorder="1" applyNumberFormat="1">
      <alignment horizontal="right" vertical="center" wrapText="1"/>
      <protection locked="0"/>
    </xf>
    <xf numFmtId="0" fontId="19" fillId="34" borderId="11" xfId="0" applyFont="1" applyFill="1" applyBorder="1">
      <alignment horizontal="left" vertical="center" wrapText="1"/>
      <protection locked="0"/>
    </xf>
    <xf numFmtId="0" fontId="53" fillId="0" borderId="0" xfId="0" applyFont="1">
      <alignment vertical="center"/>
    </xf>
    <xf numFmtId="0" fontId="53" fillId="0" borderId="0" xfId="0" applyFont="1">
      <alignment vertical="center"/>
    </xf>
    <xf numFmtId="0" fontId="53" fillId="0" borderId="0" xfId="0" applyFont="1">
      <alignment vertical="center"/>
    </xf>
    <xf numFmtId="0" fontId="53" fillId="0" borderId="0" xfId="0" applyFont="1">
      <alignment vertical="center"/>
    </xf>
    <xf numFmtId="0" fontId="53" fillId="0" borderId="0" xfId="0" applyFont="1">
      <alignment vertical="center"/>
    </xf>
    <xf numFmtId="0" fontId="53" fillId="0" borderId="0" xfId="0" applyFont="1">
      <alignment vertical="center"/>
    </xf>
    <xf numFmtId="0" fontId="53" fillId="0" borderId="0" xfId="0" applyFont="1">
      <alignment vertical="center"/>
    </xf>
    <xf numFmtId="0" fontId="53" fillId="0" borderId="0" xfId="0" applyFont="1">
      <alignment vertical="center"/>
    </xf>
    <xf numFmtId="0" fontId="53" fillId="0" borderId="0" xfId="0" applyFont="1">
      <alignment vertical="center"/>
    </xf>
    <xf numFmtId="0" fontId="53" fillId="0" borderId="0" xfId="0" applyFont="1">
      <alignment vertical="center"/>
    </xf>
    <xf numFmtId="0" fontId="19" fillId="41" borderId="18" xfId="0" applyFont="1" applyFill="1" applyBorder="1">
      <alignment vertical="center" wrapText="1"/>
    </xf>
    <xf numFmtId="0" fontId="21" fillId="4" borderId="0" xfId="0" applyFont="1" applyFill="1">
      <alignment horizontal="center" vertical="center"/>
    </xf>
    <xf numFmtId="0" fontId="19" fillId="0" borderId="40" xfId="0" applyFont="1" applyBorder="1">
      <alignment horizontal="center" vertical="center" wrapText="1"/>
    </xf>
    <xf numFmtId="0" fontId="19" fillId="0" borderId="22" xfId="0" applyFont="1" applyBorder="1">
      <alignment horizontal="center" vertical="center" wrapText="1"/>
    </xf>
    <xf numFmtId="0" fontId="21" fillId="0" borderId="45" xfId="0" applyFont="1" applyBorder="1"/>
    <xf numFmtId="0" fontId="19" fillId="0" borderId="33" xfId="0" applyFont="1" applyBorder="1">
      <alignment horizontal="center" vertical="center" wrapText="1"/>
    </xf>
    <xf numFmtId="4" fontId="19" fillId="42" borderId="22" xfId="0" applyFont="1" applyFill="1" applyBorder="1" applyNumberFormat="1">
      <alignment horizontal="right" vertical="center"/>
    </xf>
    <xf numFmtId="172" fontId="19" fillId="34" borderId="22" xfId="0" applyFont="1" applyFill="1" applyBorder="1" applyNumberFormat="1">
      <alignment horizontal="right" vertical="center"/>
    </xf>
    <xf numFmtId="4" fontId="19" fillId="34" borderId="22" xfId="0" applyFont="1" applyFill="1" applyBorder="1" applyNumberFormat="1">
      <alignment horizontal="right" vertical="center"/>
    </xf>
    <xf numFmtId="172" fontId="19" fillId="34" borderId="22" xfId="0" applyFont="1" applyFill="1" applyBorder="1" applyNumberFormat="1">
      <alignment horizontal="right" vertical="center"/>
    </xf>
    <xf numFmtId="0" fontId="33" fillId="0" borderId="45" xfId="0" applyFont="1" applyBorder="1">
      <alignment vertical="center"/>
    </xf>
    <xf numFmtId="0" fontId="33" fillId="0" borderId="0" xfId="0" applyFont="1">
      <alignment vertical="center"/>
    </xf>
    <xf numFmtId="172" fontId="19" fillId="34" borderId="33" xfId="0" applyFont="1" applyFill="1" applyBorder="1" applyNumberFormat="1">
      <alignment horizontal="right" vertical="center"/>
    </xf>
    <xf numFmtId="0" fontId="21" fillId="0" borderId="33" xfId="0" applyFont="1" applyBorder="1">
      <alignment horizontal="center" vertical="center" wrapText="1"/>
    </xf>
    <xf numFmtId="172" fontId="21" fillId="34" borderId="22" xfId="0" applyFont="1" applyFill="1" applyBorder="1" applyNumberFormat="1">
      <alignment horizontal="right" vertical="center"/>
    </xf>
    <xf numFmtId="4" fontId="21" fillId="34" borderId="22" xfId="0" applyFont="1" applyFill="1" applyBorder="1" applyNumberFormat="1">
      <alignment horizontal="right" vertical="center"/>
    </xf>
    <xf numFmtId="172" fontId="21" fillId="34" borderId="33" xfId="0" applyFont="1" applyFill="1" applyBorder="1" applyNumberFormat="1">
      <alignment horizontal="right" vertical="center"/>
    </xf>
    <xf numFmtId="0" fontId="49" fillId="0" borderId="0" xfId="0" applyFont="1">
      <alignment vertical="center"/>
    </xf>
    <xf numFmtId="4" fontId="19" fillId="42" borderId="22" xfId="0" applyFont="1" applyFill="1" applyBorder="1" applyNumberFormat="1">
      <alignment horizontal="right" vertical="center"/>
      <protection locked="0"/>
    </xf>
    <xf numFmtId="172" fontId="19" fillId="34" borderId="22" xfId="0" applyFont="1" applyFill="1" applyBorder="1" applyNumberFormat="1">
      <alignment horizontal="right" vertical="center"/>
      <protection locked="0"/>
    </xf>
    <xf numFmtId="4" fontId="19" fillId="34" borderId="22" xfId="0" applyFont="1" applyFill="1" applyBorder="1" applyNumberFormat="1">
      <alignment horizontal="right" vertical="center"/>
      <protection locked="0"/>
    </xf>
    <xf numFmtId="172" fontId="19" fillId="34" borderId="22" xfId="0" applyFont="1" applyFill="1" applyBorder="1" applyNumberFormat="1">
      <alignment horizontal="right" vertical="center"/>
      <protection locked="0"/>
    </xf>
    <xf numFmtId="172" fontId="19" fillId="33" borderId="22" xfId="0" applyFont="1" applyFill="1" applyBorder="1" applyNumberFormat="1">
      <alignment horizontal="righ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172" fontId="21" fillId="33" borderId="22" xfId="0" applyFont="1" applyFill="1" applyBorder="1" applyNumberFormat="1">
      <alignment horizontal="righ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19" fillId="0" borderId="22" xfId="0" applyFont="1" applyBorder="1">
      <alignment horizontal="center" vertical="center" wrapText="1"/>
    </xf>
    <xf numFmtId="49" fontId="19" fillId="34" borderId="22" xfId="0" applyFont="1" applyFill="1" applyBorder="1" applyNumberFormat="1">
      <alignment horizontal="left" vertical="center" wrapText="1"/>
    </xf>
    <xf numFmtId="0" fontId="21" fillId="41" borderId="20" xfId="0" applyFont="1" applyFill="1" applyBorder="1">
      <alignment vertical="center" wrapText="1"/>
    </xf>
    <xf numFmtId="0" fontId="21" fillId="41" borderId="26" xfId="0" applyFont="1" applyFill="1" applyBorder="1">
      <alignment vertical="center" wrapText="1"/>
    </xf>
    <xf numFmtId="0" fontId="21" fillId="0" borderId="22" xfId="0" applyFont="1" applyBorder="1">
      <alignment horizontal="center" vertical="center" wrapText="1"/>
    </xf>
    <xf numFmtId="0" fontId="21" fillId="0" borderId="33" xfId="0" applyFont="1" applyBorder="1">
      <alignment horizontal="center" vertical="center" wrapText="1"/>
    </xf>
    <xf numFmtId="0" fontId="21" fillId="0" borderId="22" xfId="0" applyFont="1" applyBorder="1">
      <alignment horizontal="center" vertical="center" wrapText="1"/>
    </xf>
    <xf numFmtId="0" fontId="50" fillId="0" borderId="0" xfId="0" applyFont="1">
      <alignment horizontal="center" vertical="top" wrapText="1"/>
    </xf>
    <xf numFmtId="49" fontId="19" fillId="42" borderId="10" xfId="0" applyFont="1" applyFill="1" applyBorder="1" applyNumberFormat="1">
      <alignment horizontal="left" vertical="center" wrapText="1"/>
    </xf>
    <xf numFmtId="49" fontId="19" fillId="42" borderId="30" xfId="0" applyFont="1" applyFill="1" applyBorder="1" applyNumberFormat="1">
      <alignment horizontal="left" vertical="center" wrapText="1"/>
    </xf>
    <xf numFmtId="49" fontId="21" fillId="4" borderId="0" xfId="0" applyFont="1" applyFill="1" applyNumberFormat="1"/>
    <xf numFmtId="0" fontId="21" fillId="0" borderId="39" xfId="0" applyFont="1" applyBorder="1">
      <alignment horizontal="center" vertical="center" wrapText="1"/>
    </xf>
    <xf numFmtId="4" fontId="21" fillId="34" borderId="40" xfId="0" applyFont="1" applyFill="1" applyBorder="1" applyNumberFormat="1">
      <alignment horizontal="right" vertical="center"/>
    </xf>
    <xf numFmtId="172" fontId="21" fillId="34" borderId="40" xfId="0" applyFont="1" applyFill="1" applyBorder="1" applyNumberFormat="1">
      <alignment horizontal="right" vertical="center"/>
    </xf>
    <xf numFmtId="172" fontId="21" fillId="34" borderId="39" xfId="0" applyFont="1" applyFill="1" applyBorder="1" applyNumberFormat="1">
      <alignment horizontal="right" vertical="center"/>
    </xf>
    <xf numFmtId="49" fontId="33" fillId="4" borderId="0" xfId="0" applyFont="1" applyFill="1" applyNumberFormat="1">
      <alignment vertical="center"/>
    </xf>
    <xf numFmtId="4" fontId="21" fillId="0" borderId="40" xfId="0" applyFont="1" applyBorder="1" applyNumberFormat="1">
      <alignment horizontal="right" vertical="center"/>
    </xf>
    <xf numFmtId="49" fontId="38" fillId="41" borderId="36" xfId="0" applyFont="1" applyFill="1" applyBorder="1" applyNumberFormat="1">
      <alignment horizontal="left" vertical="center" wrapText="1" indent="1"/>
    </xf>
    <xf numFmtId="4" fontId="21" fillId="41" borderId="41" xfId="0" applyFont="1" applyFill="1" applyBorder="1" applyNumberFormat="1">
      <alignment horizontal="right" vertical="center"/>
    </xf>
    <xf numFmtId="49" fontId="24" fillId="43" borderId="0" xfId="0" applyFont="1" applyFill="1" applyNumberFormat="1">
      <alignment vertical="top"/>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49" fontId="38" fillId="41" borderId="36" xfId="0" applyFont="1" applyFill="1" applyBorder="1" applyNumberFormat="1">
      <alignment horizontal="left" vertical="center" wrapText="1" indent="1"/>
    </xf>
    <xf numFmtId="4" fontId="21" fillId="41" borderId="41" xfId="0" applyFont="1" applyFill="1" applyBorder="1" applyNumberFormat="1">
      <alignment horizontal="right" vertical="center"/>
    </xf>
    <xf numFmtId="4" fontId="21" fillId="41" borderId="41" xfId="0" applyFont="1" applyFill="1" applyBorder="1" applyNumberFormat="1">
      <alignment horizontal="right" vertical="center"/>
    </xf>
    <xf numFmtId="4" fontId="21" fillId="41" borderId="41" xfId="0" applyFont="1" applyFill="1" applyBorder="1" applyNumberFormat="1">
      <alignment horizontal="right" vertical="center"/>
    </xf>
    <xf numFmtId="4" fontId="21" fillId="41" borderId="41" xfId="0" applyFont="1" applyFill="1" applyBorder="1" applyNumberFormat="1">
      <alignment horizontal="right" vertical="center"/>
    </xf>
    <xf numFmtId="4" fontId="21" fillId="41" borderId="41" xfId="0" applyFont="1" applyFill="1" applyBorder="1" applyNumberFormat="1">
      <alignment horizontal="right" vertical="center"/>
    </xf>
    <xf numFmtId="4" fontId="21" fillId="41" borderId="41" xfId="0" applyFont="1" applyFill="1" applyBorder="1" applyNumberFormat="1">
      <alignment horizontal="right" vertical="center"/>
    </xf>
    <xf numFmtId="4" fontId="21" fillId="41" borderId="41" xfId="0" applyFont="1" applyFill="1" applyBorder="1" applyNumberFormat="1">
      <alignment horizontal="right" vertical="center"/>
    </xf>
    <xf numFmtId="4" fontId="21" fillId="41" borderId="41" xfId="0" applyFont="1" applyFill="1" applyBorder="1" applyNumberFormat="1">
      <alignment horizontal="right" vertical="center"/>
    </xf>
    <xf numFmtId="4" fontId="21" fillId="41" borderId="41" xfId="0" applyFont="1" applyFill="1" applyBorder="1" applyNumberFormat="1">
      <alignment horizontal="right" vertical="center"/>
    </xf>
    <xf numFmtId="49" fontId="19" fillId="34" borderId="27" xfId="0" applyFont="1" applyFill="1" applyBorder="1" applyNumberFormat="1">
      <alignment horizontal="left" vertical="center" wrapText="1"/>
    </xf>
    <xf numFmtId="0" fontId="21" fillId="41" borderId="21" xfId="0" applyFont="1" applyFill="1" applyBorder="1">
      <alignment vertical="center" wrapText="1"/>
    </xf>
    <xf numFmtId="0" fontId="19" fillId="0" borderId="0" xfId="0" applyFont="1">
      <alignment horizontal="left" vertical="center"/>
    </xf>
    <xf numFmtId="4" fontId="37" fillId="40" borderId="29" xfId="0" applyFont="1" applyFill="1" applyBorder="1" applyNumberFormat="1">
      <alignment horizontal="right" vertical="center" wrapText="1"/>
    </xf>
    <xf numFmtId="49" fontId="0" fillId="0" borderId="0" xfId="0" applyFont="1" applyNumberFormat="1">
      <alignment vertical="top"/>
    </xf>
    <xf numFmtId="0" fontId="22" fillId="0" borderId="11" xfId="0" applyFont="1" applyBorder="1">
      <alignment horizontal="center" vertical="center" wrapText="1" shrinkToFit="1"/>
    </xf>
    <xf numFmtId="49" fontId="22" fillId="0" borderId="11" xfId="0" applyFont="1" applyBorder="1" applyNumberFormat="1">
      <alignment horizontal="left" vertical="center" wrapText="1" shrinkToFit="1"/>
    </xf>
    <xf numFmtId="49" fontId="22" fillId="0" borderId="37" xfId="0" applyFont="1" applyBorder="1" applyNumberFormat="1">
      <alignment horizontal="center" vertical="center" wrapText="1" shrinkToFit="1"/>
    </xf>
    <xf numFmtId="4" fontId="21" fillId="36" borderId="10" xfId="0" applyFont="1" applyFill="1" applyBorder="1" applyNumberFormat="1">
      <alignment horizontal="right" vertical="center" wrapText="1"/>
    </xf>
    <xf numFmtId="0" fontId="19" fillId="0" borderId="11" xfId="0" applyFont="1" applyBorder="1">
      <alignment horizontal="center" vertical="center" wrapText="1" shrinkToFit="1"/>
    </xf>
    <xf numFmtId="49" fontId="19" fillId="0" borderId="11" xfId="0" applyFont="1" applyBorder="1" applyNumberFormat="1">
      <alignment horizontal="left" vertical="center" wrapText="1" shrinkToFit="1" indent="1"/>
    </xf>
    <xf numFmtId="49" fontId="19" fillId="0" borderId="37" xfId="0" applyFont="1" applyBorder="1" applyNumberFormat="1">
      <alignment horizontal="center" vertical="center" wrapText="1" shrinkToFit="1"/>
    </xf>
    <xf numFmtId="4" fontId="21" fillId="36" borderId="10" xfId="0" applyFont="1" applyFill="1" applyBorder="1" applyNumberFormat="1">
      <alignment horizontal="right" vertical="center" wrapText="1"/>
    </xf>
    <xf numFmtId="0" fontId="19" fillId="0" borderId="11" xfId="0" applyFont="1" applyBorder="1">
      <alignment horizontal="center" vertical="center" wrapText="1" shrinkToFit="1"/>
    </xf>
    <xf numFmtId="49" fontId="19" fillId="0" borderId="11" xfId="0" applyFont="1" applyBorder="1" applyNumberFormat="1">
      <alignment horizontal="left" vertical="center" wrapText="1" shrinkToFit="1" indent="2"/>
    </xf>
    <xf numFmtId="49" fontId="19" fillId="0" borderId="37" xfId="0" applyFont="1" applyBorder="1" applyNumberFormat="1">
      <alignment horizontal="center" vertical="center" wrapText="1" shrinkToFit="1"/>
    </xf>
    <xf numFmtId="4" fontId="21" fillId="34" borderId="10" xfId="0" applyFont="1" applyFill="1" applyBorder="1" applyNumberFormat="1">
      <alignment horizontal="right" vertical="center" wrapText="1"/>
    </xf>
    <xf numFmtId="49" fontId="19" fillId="0" borderId="11" xfId="0" applyFont="1" applyBorder="1" applyNumberFormat="1">
      <alignment horizontal="left" vertical="center" wrapText="1" shrinkToFit="1" indent="2"/>
    </xf>
    <xf numFmtId="49" fontId="19" fillId="0" borderId="11" xfId="0" applyFont="1" applyBorder="1" applyNumberFormat="1">
      <alignment horizontal="left" vertical="center" wrapText="1" shrinkToFit="1" indent="3"/>
    </xf>
    <xf numFmtId="49" fontId="19" fillId="0" borderId="11" xfId="0" applyFont="1" applyBorder="1" applyNumberFormat="1">
      <alignment horizontal="left" vertical="center" wrapText="1" shrinkToFit="1" indent="4"/>
    </xf>
    <xf numFmtId="49" fontId="19" fillId="0" borderId="11" xfId="0" applyFont="1" applyBorder="1" applyNumberFormat="1">
      <alignment horizontal="left" vertical="center" wrapText="1" shrinkToFit="1" indent="4"/>
    </xf>
    <xf numFmtId="49" fontId="19" fillId="0" borderId="11" xfId="0" applyFont="1" applyBorder="1" applyNumberFormat="1">
      <alignment horizontal="left" vertical="center" wrapText="1" shrinkToFit="1" indent="3"/>
    </xf>
    <xf numFmtId="49" fontId="19" fillId="0" borderId="11" xfId="0" applyFont="1" applyBorder="1" applyNumberFormat="1">
      <alignment horizontal="left" vertical="center" wrapText="1" shrinkToFit="1" indent="1"/>
    </xf>
    <xf numFmtId="0" fontId="19" fillId="0" borderId="11" xfId="0" applyFont="1" applyBorder="1">
      <alignment horizontal="center" vertical="center" wrapText="1" shrinkToFit="1"/>
    </xf>
    <xf numFmtId="49" fontId="19" fillId="0" borderId="11" xfId="0" applyFont="1" applyBorder="1" applyNumberFormat="1">
      <alignment horizontal="left" vertical="center" wrapText="1" shrinkToFit="1" indent="3"/>
    </xf>
    <xf numFmtId="49" fontId="19" fillId="0" borderId="37" xfId="0" applyFont="1" applyBorder="1" applyNumberFormat="1">
      <alignment horizontal="center" vertical="center" wrapText="1" shrinkToFit="1"/>
    </xf>
    <xf numFmtId="49" fontId="19" fillId="0" borderId="11" xfId="0" applyFont="1" applyBorder="1" applyNumberFormat="1">
      <alignment horizontal="left" vertical="center" wrapText="1" shrinkToFit="1" indent="1"/>
    </xf>
    <xf numFmtId="49" fontId="19" fillId="0" borderId="0" xfId="0" applyFont="1" applyNumberFormat="1"/>
    <xf numFmtId="0" fontId="21" fillId="0" borderId="0" xfId="0" applyFont="1">
      <alignment vertical="center"/>
    </xf>
    <xf numFmtId="0" fontId="50" fillId="0" borderId="0" xfId="0" applyFont="1">
      <alignment horizontal="center" vertical="center" wrapText="1"/>
    </xf>
    <xf numFmtId="49" fontId="19" fillId="42" borderId="11" xfId="0" applyFont="1" applyFill="1" applyBorder="1" applyNumberFormat="1">
      <alignment horizontal="left" vertical="center" wrapText="1" shrinkToFit="1" indent="1"/>
    </xf>
    <xf numFmtId="4" fontId="21" fillId="34" borderId="10" xfId="0" applyFont="1" applyFill="1" applyBorder="1" applyNumberFormat="1">
      <alignment horizontal="right" vertical="center" wrapText="1"/>
    </xf>
    <xf numFmtId="0" fontId="19" fillId="43" borderId="0" xfId="0" applyFont="1" applyFill="1">
      <alignment vertical="top"/>
    </xf>
    <xf numFmtId="0" fontId="19" fillId="0" borderId="0" xfId="0" applyFont="1">
      <alignment vertical="top" wrapText="1"/>
    </xf>
    <xf numFmtId="0" fontId="19" fillId="41" borderId="37" xfId="0" applyFont="1" applyFill="1" applyBorder="1">
      <alignment horizontal="center" vertical="center" wrapText="1" shrinkToFit="1"/>
    </xf>
    <xf numFmtId="49" fontId="38" fillId="41" borderId="32" xfId="0" applyFont="1" applyFill="1" applyBorder="1" applyNumberFormat="1">
      <alignment horizontal="left" vertical="center" indent="2"/>
    </xf>
    <xf numFmtId="49" fontId="19" fillId="41" borderId="38" xfId="0" applyFont="1" applyFill="1" applyBorder="1" applyNumberFormat="1">
      <alignment horizontal="center" vertical="center" wrapText="1" shrinkToFit="1"/>
    </xf>
    <xf numFmtId="4" fontId="21" fillId="41" borderId="29" xfId="0" applyFont="1" applyFill="1" applyBorder="1" applyNumberFormat="1">
      <alignment horizontal="right" vertical="center" wrapText="1"/>
    </xf>
    <xf numFmtId="0" fontId="22" fillId="0" borderId="11" xfId="0" applyFont="1" applyBorder="1">
      <alignment horizontal="center" vertical="center" wrapText="1" shrinkToFit="1"/>
    </xf>
    <xf numFmtId="49" fontId="22" fillId="0" borderId="11" xfId="0" applyFont="1" applyBorder="1" applyNumberFormat="1">
      <alignment horizontal="left" vertical="center" wrapText="1" shrinkToFit="1"/>
    </xf>
    <xf numFmtId="49" fontId="22" fillId="0" borderId="37" xfId="0" applyFont="1" applyBorder="1" applyNumberFormat="1">
      <alignment horizontal="center" vertical="center" wrapText="1" shrinkToFit="1"/>
    </xf>
    <xf numFmtId="0" fontId="29" fillId="0" borderId="0" xfId="0" applyFont="1">
      <alignment horizontal="left"/>
    </xf>
    <xf numFmtId="0" fontId="19" fillId="0" borderId="0" xfId="0" applyFont="1">
      <alignment horizontal="left" vertical="center"/>
    </xf>
    <xf numFmtId="49" fontId="22" fillId="0" borderId="11" xfId="0" applyFont="1" applyBorder="1" applyNumberFormat="1">
      <alignment horizontal="left" vertical="center" wrapText="1" shrinkToFit="1" indent="2"/>
    </xf>
    <xf numFmtId="0" fontId="19" fillId="43" borderId="0" xfId="0" applyFont="1" applyFill="1">
      <alignment vertical="top"/>
    </xf>
    <xf numFmtId="4" fontId="21" fillId="34" borderId="10" xfId="0" applyFont="1" applyFill="1" applyBorder="1" applyNumberFormat="1">
      <alignment horizontal="right" vertical="center" wrapText="1"/>
    </xf>
    <xf numFmtId="0" fontId="19" fillId="0" borderId="11" xfId="0" applyFont="1" applyBorder="1">
      <alignment horizontal="left" vertical="center" wrapText="1" shrinkToFit="1" indent="1"/>
    </xf>
    <xf numFmtId="49" fontId="38" fillId="41" borderId="32" xfId="0" applyFont="1" applyFill="1" applyBorder="1" applyNumberFormat="1">
      <alignment horizontal="left" vertical="center" indent="2"/>
    </xf>
    <xf numFmtId="4" fontId="40" fillId="34" borderId="10" xfId="0" applyFont="1" applyFill="1" applyBorder="1" applyNumberFormat="1">
      <alignment horizontal="right" vertical="center" wrapText="1"/>
    </xf>
    <xf numFmtId="4" fontId="21" fillId="34" borderId="10" xfId="0" applyFont="1" applyFill="1" applyBorder="1" applyNumberFormat="1">
      <alignment horizontal="right" vertical="center" wrapText="1"/>
      <protection locked="0"/>
    </xf>
    <xf numFmtId="0" fontId="19" fillId="41" borderId="37" xfId="0" applyFont="1" applyFill="1" applyBorder="1">
      <alignment horizontal="center" vertical="center" wrapText="1" shrinkToFit="1"/>
    </xf>
    <xf numFmtId="49" fontId="38" fillId="41" borderId="32" xfId="0" applyFont="1" applyFill="1" applyBorder="1" applyNumberFormat="1">
      <alignment horizontal="left" vertical="center" indent="2"/>
    </xf>
    <xf numFmtId="49" fontId="19" fillId="41" borderId="38" xfId="0" applyFont="1" applyFill="1" applyBorder="1" applyNumberFormat="1">
      <alignment horizontal="center" vertical="center" wrapText="1" shrinkToFit="1"/>
    </xf>
    <xf numFmtId="4" fontId="21" fillId="41" borderId="29" xfId="0" applyFont="1" applyFill="1" applyBorder="1" applyNumberFormat="1">
      <alignment horizontal="right" vertical="center" wrapText="1"/>
    </xf>
    <xf numFmtId="4" fontId="21" fillId="34" borderId="10" xfId="0" applyFont="1" applyFill="1" applyBorder="1" applyNumberFormat="1">
      <alignment horizontal="right" vertical="center" wrapText="1"/>
      <protection locked="0"/>
    </xf>
    <xf numFmtId="0" fontId="19" fillId="41" borderId="37" xfId="0" applyFont="1" applyFill="1" applyBorder="1">
      <alignment horizontal="center" vertical="center" wrapText="1" shrinkToFit="1"/>
    </xf>
    <xf numFmtId="49" fontId="38" fillId="41" borderId="32" xfId="0" applyFont="1" applyFill="1" applyBorder="1" applyNumberFormat="1">
      <alignment horizontal="left" vertical="center" indent="2"/>
    </xf>
    <xf numFmtId="49" fontId="19" fillId="41" borderId="38" xfId="0" applyFont="1" applyFill="1" applyBorder="1" applyNumberFormat="1">
      <alignment horizontal="center" vertical="center" wrapText="1" shrinkToFit="1"/>
    </xf>
    <xf numFmtId="4" fontId="21" fillId="41" borderId="29" xfId="0" applyFont="1" applyFill="1" applyBorder="1" applyNumberFormat="1">
      <alignment horizontal="right" vertical="center" wrapText="1"/>
    </xf>
    <xf numFmtId="4" fontId="40" fillId="34" borderId="10" xfId="0" applyFont="1" applyFill="1" applyBorder="1" applyNumberFormat="1">
      <alignment horizontal="right" vertical="center" wrapText="1"/>
      <protection locked="0"/>
    </xf>
    <xf numFmtId="0" fontId="29" fillId="0" borderId="0" xfId="0" applyFont="1">
      <alignment horizontal="left" vertical="center"/>
    </xf>
    <xf numFmtId="0" fontId="21" fillId="43" borderId="0" xfId="0" applyFont="1" applyFill="1">
      <alignment vertical="center"/>
    </xf>
    <xf numFmtId="0" fontId="50" fillId="0" borderId="0" xfId="0" applyFont="1">
      <alignment horizontal="center" vertical="center" wrapText="1"/>
    </xf>
    <xf numFmtId="0" fontId="19" fillId="0" borderId="0" xfId="0" applyFont="1">
      <alignment vertical="top"/>
    </xf>
    <xf numFmtId="0" fontId="19" fillId="4" borderId="0" xfId="0" applyFont="1" applyFill="1">
      <alignment vertical="top"/>
    </xf>
    <xf numFmtId="0" fontId="19" fillId="43" borderId="0" xfId="0" applyFont="1" applyFill="1">
      <alignment vertical="top"/>
    </xf>
    <xf numFmtId="0" fontId="0" fillId="0" borderId="0" xfId="0" applyFont="1">
      <alignment vertical="center"/>
    </xf>
    <xf numFmtId="0" fontId="0" fillId="0" borderId="0" xfId="0" applyFont="1">
      <alignment vertical="center"/>
    </xf>
    <xf numFmtId="0" fontId="0" fillId="0" borderId="0" xfId="0" applyFont="1">
      <alignment vertical="center"/>
    </xf>
    <xf numFmtId="0" fontId="0" fillId="0" borderId="0" xfId="0" applyFont="1">
      <alignment vertical="center"/>
    </xf>
    <xf numFmtId="0" fontId="0" fillId="0" borderId="0" xfId="0" applyFont="1">
      <alignment vertical="center"/>
    </xf>
    <xf numFmtId="0" fontId="0" fillId="0" borderId="0" xfId="0" applyFont="1">
      <alignment vertical="center"/>
    </xf>
    <xf numFmtId="0" fontId="0" fillId="0" borderId="0" xfId="0" applyFont="1">
      <alignment vertical="center"/>
    </xf>
    <xf numFmtId="0" fontId="0" fillId="0" borderId="0" xfId="0" applyFont="1">
      <alignment vertical="center"/>
    </xf>
    <xf numFmtId="0" fontId="0" fillId="0" borderId="0" xfId="0" applyFont="1">
      <alignment vertical="center"/>
    </xf>
    <xf numFmtId="0" fontId="0" fillId="0" borderId="0" xfId="0" applyFont="1">
      <alignment vertical="center"/>
    </xf>
    <xf numFmtId="0" fontId="19" fillId="40" borderId="18" xfId="0" applyFont="1" applyFill="1" applyBorder="1">
      <alignment horizontal="left" vertical="center"/>
    </xf>
    <xf numFmtId="49" fontId="19" fillId="40" borderId="18" xfId="0" applyFont="1" applyFill="1" applyBorder="1" applyNumberFormat="1">
      <alignment horizontal="left" vertical="center" wrapText="1"/>
    </xf>
    <xf numFmtId="49" fontId="19" fillId="40" borderId="29" xfId="0" applyFont="1" applyFill="1" applyBorder="1" applyNumberFormat="1">
      <alignment horizontal="left" vertical="center" wrapText="1"/>
    </xf>
    <xf numFmtId="49" fontId="22" fillId="0" borderId="11" xfId="0" applyFont="1" applyBorder="1" applyNumberFormat="1">
      <alignment horizontal="left" vertical="center" wrapText="1"/>
    </xf>
    <xf numFmtId="4" fontId="19" fillId="0" borderId="0" xfId="0" applyFont="1" applyNumberFormat="1"/>
    <xf numFmtId="4" fontId="19" fillId="36" borderId="11" xfId="0" applyFont="1" applyFill="1" applyBorder="1" applyNumberFormat="1">
      <alignment horizontal="right" vertical="center" wrapText="1"/>
    </xf>
    <xf numFmtId="0" fontId="19" fillId="0" borderId="11" xfId="0" applyFont="1" applyBorder="1">
      <alignment horizontal="left" vertical="center" wrapText="1" shrinkToFit="1" indent="1"/>
    </xf>
    <xf numFmtId="4" fontId="19" fillId="34" borderId="11" xfId="0" applyFont="1" applyFill="1" applyBorder="1" applyNumberFormat="1">
      <alignment horizontal="right" vertical="center" wrapText="1"/>
    </xf>
    <xf numFmtId="0" fontId="19" fillId="0" borderId="11" xfId="0" applyFont="1" applyBorder="1">
      <alignment horizontal="left" vertical="center" wrapText="1" shrinkToFit="1" indent="2"/>
    </xf>
    <xf numFmtId="49" fontId="19" fillId="0" borderId="11" xfId="0" applyFont="1" applyBorder="1" applyNumberFormat="1">
      <alignment horizontal="left" vertical="center" wrapText="1" shrinkToFit="1"/>
    </xf>
    <xf numFmtId="172" fontId="19" fillId="36" borderId="11" xfId="0" applyFont="1" applyFill="1" applyBorder="1" applyNumberFormat="1">
      <alignment horizontal="right" vertical="center" wrapText="1"/>
    </xf>
    <xf numFmtId="49" fontId="19" fillId="0" borderId="11" xfId="0" applyFont="1" applyBorder="1" applyNumberFormat="1">
      <alignment horizontal="left" vertical="center" wrapText="1" shrinkToFit="1"/>
    </xf>
    <xf numFmtId="49" fontId="19" fillId="0" borderId="38" xfId="0" applyFont="1" applyBorder="1" applyNumberFormat="1">
      <alignment horizontal="left" vertical="center" wrapText="1" shrinkToFit="1" indent="1"/>
    </xf>
    <xf numFmtId="49" fontId="22" fillId="0" borderId="38" xfId="0" applyFont="1" applyBorder="1" applyNumberFormat="1">
      <alignment vertical="center" wrapText="1"/>
    </xf>
    <xf numFmtId="0" fontId="23" fillId="0" borderId="0" xfId="0" applyFont="1">
      <alignment vertical="center"/>
    </xf>
    <xf numFmtId="49" fontId="19" fillId="0" borderId="38" xfId="0" applyFont="1" applyBorder="1" applyNumberFormat="1">
      <alignment horizontal="left" vertical="center" wrapText="1" indent="1"/>
    </xf>
    <xf numFmtId="172" fontId="19" fillId="34" borderId="11" xfId="0" applyFont="1" applyFill="1" applyBorder="1" applyNumberFormat="1">
      <alignment horizontal="right" vertical="center" wrapText="1"/>
    </xf>
    <xf numFmtId="49" fontId="19" fillId="0" borderId="38" xfId="0" applyFont="1" applyBorder="1" applyNumberFormat="1">
      <alignment horizontal="left" vertical="center" wrapText="1" indent="1"/>
    </xf>
    <xf numFmtId="49" fontId="22" fillId="0" borderId="38" xfId="0" applyFont="1" applyBorder="1" applyNumberFormat="1">
      <alignment vertical="center" wrapText="1"/>
    </xf>
    <xf numFmtId="49" fontId="19" fillId="0" borderId="11" xfId="0" applyFont="1" applyBorder="1" applyNumberFormat="1">
      <alignment horizontal="left" vertical="center" wrapText="1" indent="1"/>
    </xf>
    <xf numFmtId="49" fontId="19" fillId="0" borderId="11" xfId="0" applyFont="1" applyBorder="1" applyNumberFormat="1">
      <alignment horizontal="left" vertical="center" wrapText="1" indent="1"/>
    </xf>
    <xf numFmtId="172" fontId="19" fillId="34" borderId="11" xfId="0" applyFont="1" applyFill="1" applyBorder="1" applyNumberFormat="1">
      <alignment horizontal="right" vertical="center" wrapText="1"/>
      <protection locked="0"/>
    </xf>
    <xf numFmtId="0" fontId="21" fillId="43" borderId="0" xfId="0" applyFont="1" applyFill="1">
      <alignment vertical="center"/>
    </xf>
    <xf numFmtId="0" fontId="50" fillId="0" borderId="0" xfId="0" applyFont="1">
      <alignment horizontal="center" vertical="center" wrapText="1"/>
    </xf>
    <xf numFmtId="0" fontId="21" fillId="4" borderId="0" xfId="0" applyFont="1" applyFill="1">
      <alignment vertical="center"/>
    </xf>
    <xf numFmtId="0" fontId="0" fillId="0" borderId="0" xfId="0" applyFont="1">
      <alignment vertical="center"/>
    </xf>
    <xf numFmtId="0" fontId="0" fillId="0" borderId="0" xfId="0" applyFont="1">
      <alignment vertical="center"/>
    </xf>
    <xf numFmtId="49" fontId="19" fillId="34" borderId="14" xfId="0" applyFont="1" applyFill="1" applyBorder="1" applyNumberFormat="1">
      <alignment horizontal="left" vertical="center" wrapText="1"/>
    </xf>
  </cellXfs>
  <cellStyles count="8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Обычный 10 2" xfId="47"/>
    <cellStyle name="Обычный 10 3" xfId="48"/>
    <cellStyle name="Обычный 11 4 3 3 2 3 3" xfId="49"/>
    <cellStyle name="Обычный 11 4 3 3 2 3 3 2" xfId="49"/>
    <cellStyle name="Обычный 11 4 3 3 2 3 3 2 2" xfId="49"/>
    <cellStyle name="Обычный 11 4 3 3 2 3 3 3" xfId="49"/>
    <cellStyle name="Обычный 12 3 2 2 3" xfId="49"/>
    <cellStyle name="Обычный 12 3 2 2 3 2" xfId="49"/>
    <cellStyle name="Обычный 12 3 2 2 3 2 2" xfId="49"/>
    <cellStyle name="Обычный 12 3 2 2 3 2 2 2" xfId="49"/>
    <cellStyle name="Обычный 12 3 2 2 3 2 2 2 2" xfId="49"/>
    <cellStyle name="Обычный 12 3 2 2 3 2 2 3" xfId="49"/>
    <cellStyle name="Обычный 12 3 2 2 3 2 3" xfId="49"/>
    <cellStyle name="Обычный 12 3 2 2 3 3" xfId="49"/>
    <cellStyle name="Обычный 12 3 2 2 3 3 2" xfId="49"/>
    <cellStyle name="Обычный 12 3 2 2 3 4" xfId="49"/>
    <cellStyle name="Обычный 12 3 2 2 3 4 2" xfId="49"/>
    <cellStyle name="Обычный 12 3 2 2 3 5" xfId="49"/>
    <cellStyle name="Обычный 12 3 2 2 3 5 2" xfId="49"/>
    <cellStyle name="Обычный 12 3 2 2 3 6" xfId="49"/>
    <cellStyle name="Обычный 2" xfId="47"/>
    <cellStyle name="Обычный 2 15" xfId="49"/>
    <cellStyle name="Обычный 2 2" xfId="49"/>
    <cellStyle name="Обычный 3" xfId="49"/>
    <cellStyle name="Обычный 3 2" xfId="49"/>
    <cellStyle name="Обычный 3 2 2" xfId="49"/>
    <cellStyle name="Обычный 3 3" xfId="49"/>
    <cellStyle name="Обычный 4" xfId="48"/>
    <cellStyle name="Обычный 4 2" xfId="49"/>
    <cellStyle name="Обычный 4 2 2" xfId="49"/>
    <cellStyle name="Обычный 4 2 2 2" xfId="49"/>
    <cellStyle name="Обычный 4 2 3" xfId="49"/>
    <cellStyle name="Обычный_SIMPLE_1_massive2" xfId="5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sharedStrings" Target="sharedStrings.xml"/><Relationship Id="rId47" Type="http://schemas.openxmlformats.org/officeDocument/2006/relationships/theme" Target="theme/theme1.xml"/><Relationship Id="rId48"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FC18F8-2557-7613-6028-A4D80C7FCF7C}" mc:Ignorable="x14ac xr xr2 xr3">
  <sheetPr>
    <tabColor theme="3" tint="-0.25"/>
  </sheetPr>
  <dimension ref="A1:C1"/>
  <sheetViews>
    <sheetView topLeftCell="A1" workbookViewId="0">
      <selection activeCell="A1" sqref="A1"/>
    </sheetView>
  </sheetViews>
  <sheetFormatPr customHeight="1" defaultRowHeight="11.25"/>
  <cols>
    <col min="1" max="1" style="1353" width="37.140625" customWidth="1"/>
    <col min="2" max="2" style="1353" width="25.7109375" customWidth="1"/>
    <col min="3" max="3" style="1353" width="64.57421875" customWidth="1"/>
  </cols>
  <sheetData>
    <row customHeight="1" ht="11.25">
      <c r="A1" s="1111" t="s">
        <v>0</v>
      </c>
      <c r="B1" s="964" t="s">
        <v>1</v>
      </c>
      <c r="C1" s="964" t="s">
        <v>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E8FA0D-2358-1F28-7598-54D0C17DCF3A}" mc:Ignorable="x14ac xr xr2 xr3">
  <sheetPr>
    <tabColor rgb="FF8DB4E2"/>
    <outlinePr summaryRight="0" summaryBelow="0"/>
    <pageSetUpPr fitToPage="1"/>
  </sheetPr>
  <dimension ref="A1:BN3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5"/>
  <cols>
    <col min="1" max="1" style="47" width="3.57421875" hidden="1" customWidth="1"/>
    <col min="2" max="2" style="47" width="8.7109375" hidden="1" customWidth="1"/>
    <col min="3" max="5" style="47" width="3.57421875" hidden="1" customWidth="1"/>
    <col min="6" max="6" style="47" width="8.57421875" hidden="1" customWidth="1"/>
    <col min="7" max="7" style="47" width="7.57421875" hidden="1" customWidth="1"/>
    <col min="8" max="20" style="47" width="3.57421875" hidden="1" customWidth="1"/>
    <col min="21" max="21" style="47" width="8.57421875" hidden="1" customWidth="1"/>
    <col min="22" max="26" style="47" width="6.00390625" hidden="1" customWidth="1"/>
    <col min="27" max="27" style="47" width="3.00390625" customWidth="1"/>
    <col min="28" max="28" style="47" width="11.00390625" customWidth="1"/>
    <col min="29" max="29" style="47" width="40.00390625" customWidth="1"/>
    <col min="30" max="34" style="47" width="15.00390625" customWidth="1"/>
    <col min="35" max="43" style="47" width="15.00390625" hidden="1" customWidth="1"/>
    <col min="44" max="44" style="47" width="15.00390625" customWidth="1"/>
    <col min="45" max="53" style="47" width="15.00390625" hidden="1" customWidth="1"/>
    <col min="55" max="66" width="9.140625" hidden="1"/>
  </cols>
  <sheetData>
    <row customHeight="1" ht="11.25" hidden="1">
      <c r="A1" s="1418"/>
      <c r="B1" s="1419"/>
      <c r="C1" s="1419"/>
      <c r="D1" s="1419"/>
      <c r="E1" s="2065"/>
      <c r="F1" s="2066" t="s">
        <v>309</v>
      </c>
      <c r="G1" s="1419"/>
      <c r="H1" s="1419"/>
      <c r="I1" s="1419"/>
      <c r="J1" s="1419"/>
      <c r="K1" s="1419"/>
      <c r="L1" s="1419"/>
      <c r="M1" s="1419"/>
      <c r="N1" s="1419"/>
      <c r="O1" s="1419"/>
      <c r="P1" s="1419"/>
      <c r="Q1" s="1419"/>
      <c r="R1" s="1419"/>
      <c r="S1" s="1419"/>
      <c r="T1" s="1419"/>
      <c r="U1" s="1419"/>
      <c r="V1" s="2067" t="s">
        <v>92</v>
      </c>
      <c r="W1" s="2067" t="s">
        <v>97</v>
      </c>
      <c r="X1" s="2067" t="s">
        <v>93</v>
      </c>
      <c r="Y1" s="2067" t="s">
        <v>95</v>
      </c>
      <c r="Z1" s="2067" t="s">
        <v>99</v>
      </c>
      <c r="AA1" s="1418"/>
      <c r="AB1" s="1418"/>
      <c r="AC1" s="1418"/>
      <c r="AD1" s="1419"/>
      <c r="AE1" s="1419"/>
      <c r="AF1" s="1419"/>
      <c r="AG1" s="1419"/>
      <c r="AH1" s="1419"/>
      <c r="AI1" s="1419"/>
      <c r="AJ1" s="1419"/>
      <c r="AK1" s="1419"/>
      <c r="AL1" s="1419"/>
      <c r="AM1" s="1419"/>
      <c r="AN1" s="1419"/>
      <c r="AO1" s="1419"/>
      <c r="AP1" s="1419"/>
      <c r="AQ1" s="1419"/>
      <c r="AR1" s="1419"/>
      <c r="AS1" s="1419"/>
      <c r="AT1" s="1419"/>
      <c r="AU1" s="1419"/>
      <c r="AV1" s="1419"/>
      <c r="AW1" s="1419"/>
      <c r="AX1" s="1419"/>
      <c r="AY1" s="1419"/>
      <c r="AZ1" s="1419"/>
      <c r="BA1" s="1419"/>
      <c r="BB1" s="393"/>
      <c r="BC1" s="1147" t="s">
        <v>312</v>
      </c>
      <c r="BD1" s="393"/>
      <c r="BE1" s="393"/>
      <c r="BF1" s="393"/>
      <c r="BG1" s="393"/>
      <c r="BH1" s="393"/>
      <c r="BI1" s="393"/>
      <c r="BJ1" s="393"/>
      <c r="BK1" s="393"/>
      <c r="BL1" s="393"/>
      <c r="BM1" s="393"/>
      <c r="BN1" s="393"/>
    </row>
    <row customHeight="1" ht="11.25" hidden="1">
      <c r="A2" s="1419"/>
      <c r="B2" s="2069" t="s">
        <v>18</v>
      </c>
      <c r="C2" s="1419"/>
      <c r="D2" s="1419"/>
      <c r="E2" s="1419"/>
      <c r="F2" s="2070"/>
      <c r="G2" s="1419"/>
      <c r="H2" s="1419"/>
      <c r="I2" s="1419"/>
      <c r="J2" s="1419"/>
      <c r="K2" s="1419"/>
      <c r="L2" s="1419"/>
      <c r="M2" s="1419"/>
      <c r="N2" s="1419"/>
      <c r="O2" s="1419"/>
      <c r="P2" s="1419"/>
      <c r="Q2" s="1419"/>
      <c r="R2" s="1419"/>
      <c r="S2" s="1419"/>
      <c r="T2" s="1419"/>
      <c r="U2" s="1419"/>
      <c r="V2" s="1419"/>
      <c r="W2" s="1419"/>
      <c r="X2" s="1419"/>
      <c r="Y2" s="1419"/>
      <c r="Z2" s="1419"/>
      <c r="AA2" s="1419"/>
      <c r="AB2" s="1419"/>
      <c r="AC2" s="2071"/>
      <c r="AD2" s="1419"/>
      <c r="AE2" s="1419"/>
      <c r="AF2" s="1419"/>
      <c r="AG2" s="1419"/>
      <c r="AH2" s="1419"/>
      <c r="AI2" s="1366">
        <f>AI6&lt;last_year_vis</f>
        <v>0</v>
      </c>
      <c r="AJ2" s="1366">
        <f>AJ6&lt;last_year_vis</f>
        <v>0</v>
      </c>
      <c r="AK2" s="1366">
        <f>AK6&lt;last_year_vis</f>
        <v>0</v>
      </c>
      <c r="AL2" s="1366">
        <f>AL6&lt;last_year_vis</f>
        <v>0</v>
      </c>
      <c r="AM2" s="1366">
        <f>AM6&lt;last_year_vis</f>
        <v>0</v>
      </c>
      <c r="AN2" s="1366">
        <f>AN6&lt;last_year_vis</f>
        <v>0</v>
      </c>
      <c r="AO2" s="1366">
        <f>AO6&lt;last_year_vis</f>
        <v>0</v>
      </c>
      <c r="AP2" s="1366">
        <f>AP6&lt;last_year_vis</f>
        <v>0</v>
      </c>
      <c r="AQ2" s="1366">
        <f>AQ6&lt;last_year_vis</f>
        <v>0</v>
      </c>
      <c r="AR2" s="1419"/>
      <c r="AS2" s="1366">
        <f>AS6&lt;last_year_vis</f>
        <v>0</v>
      </c>
      <c r="AT2" s="1366">
        <f>AT6&lt;last_year_vis</f>
        <v>0</v>
      </c>
      <c r="AU2" s="1366">
        <f>AU6&lt;last_year_vis</f>
        <v>0</v>
      </c>
      <c r="AV2" s="1366">
        <f>AV6&lt;last_year_vis</f>
        <v>0</v>
      </c>
      <c r="AW2" s="1366">
        <f>AW6&lt;last_year_vis</f>
        <v>0</v>
      </c>
      <c r="AX2" s="1366">
        <f>AX6&lt;last_year_vis</f>
        <v>0</v>
      </c>
      <c r="AY2" s="1366">
        <f>AY6&lt;last_year_vis</f>
        <v>0</v>
      </c>
      <c r="AZ2" s="1366">
        <f>AZ6&lt;last_year_vis</f>
        <v>0</v>
      </c>
      <c r="BA2" s="1366">
        <f>BA6&lt;last_year_vis</f>
        <v>0</v>
      </c>
      <c r="BB2" s="393"/>
      <c r="BC2" s="1148"/>
      <c r="BD2" s="345"/>
      <c r="BE2" s="345"/>
      <c r="BF2" s="345"/>
      <c r="BG2" s="345"/>
      <c r="BH2" s="345"/>
      <c r="BI2" s="393"/>
      <c r="BJ2" s="393"/>
      <c r="BK2" s="393"/>
      <c r="BL2" s="393"/>
      <c r="BM2" s="393"/>
      <c r="BN2" s="393"/>
    </row>
    <row customHeight="1" ht="11.25" hidden="1">
      <c r="A3" s="1419"/>
      <c r="B3" s="1419"/>
      <c r="C3" s="1419"/>
      <c r="D3" s="1419"/>
      <c r="E3" s="2065"/>
      <c r="F3" s="1419"/>
      <c r="G3" s="1419"/>
      <c r="H3" s="1419"/>
      <c r="I3" s="1419"/>
      <c r="J3" s="1419"/>
      <c r="K3" s="1419"/>
      <c r="L3" s="1419"/>
      <c r="M3" s="1419"/>
      <c r="N3" s="1419"/>
      <c r="O3" s="1419"/>
      <c r="P3" s="1419"/>
      <c r="Q3" s="1419"/>
      <c r="R3" s="1419"/>
      <c r="S3" s="1419"/>
      <c r="T3" s="1419"/>
      <c r="U3" s="1419"/>
      <c r="V3" s="1419"/>
      <c r="W3" s="1419"/>
      <c r="X3" s="1419"/>
      <c r="Y3" s="1419"/>
      <c r="Z3" s="1419"/>
      <c r="AA3" s="1419"/>
      <c r="AB3" s="1419"/>
      <c r="AC3" s="1419"/>
      <c r="AD3" s="1419"/>
      <c r="AE3" s="1419"/>
      <c r="AF3" s="1419"/>
      <c r="AG3" s="1419"/>
      <c r="AH3" s="1419"/>
      <c r="AI3" s="1419"/>
      <c r="AJ3" s="1419"/>
      <c r="AK3" s="1419"/>
      <c r="AL3" s="1419"/>
      <c r="AM3" s="1419"/>
      <c r="AN3" s="1419"/>
      <c r="AO3" s="1419"/>
      <c r="AP3" s="1419"/>
      <c r="AQ3" s="1419"/>
      <c r="AR3" s="1419"/>
      <c r="AS3" s="1419"/>
      <c r="AT3" s="1419"/>
      <c r="AU3" s="1419"/>
      <c r="AV3" s="1419"/>
      <c r="AW3" s="1419"/>
      <c r="AX3" s="1419"/>
      <c r="AY3" s="1419"/>
      <c r="AZ3" s="1419"/>
      <c r="BA3" s="1419"/>
      <c r="BB3" s="393"/>
      <c r="BC3" s="393"/>
      <c r="BD3" s="393"/>
      <c r="BE3" s="393"/>
      <c r="BF3" s="393"/>
      <c r="BG3" s="393"/>
      <c r="BH3" s="393"/>
      <c r="BI3" s="393"/>
      <c r="BJ3" s="393"/>
      <c r="BK3" s="393"/>
      <c r="BL3" s="393"/>
      <c r="BM3" s="393"/>
      <c r="BN3" s="393"/>
    </row>
    <row customHeight="1" ht="11.25" hidden="1">
      <c r="A4" s="1419"/>
      <c r="B4" s="1419"/>
      <c r="C4" s="1419"/>
      <c r="D4" s="1419"/>
      <c r="E4" s="2065"/>
      <c r="F4" s="1419"/>
      <c r="G4" s="1419"/>
      <c r="H4" s="1419"/>
      <c r="I4" s="1419"/>
      <c r="J4" s="1419"/>
      <c r="K4" s="1419"/>
      <c r="L4" s="1419"/>
      <c r="M4" s="1419"/>
      <c r="N4" s="1419"/>
      <c r="O4" s="1419"/>
      <c r="P4" s="1419"/>
      <c r="Q4" s="1419"/>
      <c r="R4" s="1419"/>
      <c r="S4" s="1419"/>
      <c r="T4" s="1419"/>
      <c r="U4" s="1419"/>
      <c r="V4" s="1419"/>
      <c r="W4" s="1419"/>
      <c r="X4" s="1419"/>
      <c r="Y4" s="1419"/>
      <c r="Z4" s="1419"/>
      <c r="AA4" s="1419"/>
      <c r="AB4" s="1419"/>
      <c r="AC4" s="1419"/>
      <c r="AD4" s="1419"/>
      <c r="AE4" s="1419"/>
      <c r="AF4" s="1419"/>
      <c r="AG4" s="1419"/>
      <c r="AH4" s="1419"/>
      <c r="AI4" s="1419"/>
      <c r="AJ4" s="1419"/>
      <c r="AK4" s="1419"/>
      <c r="AL4" s="1419"/>
      <c r="AM4" s="1419"/>
      <c r="AN4" s="1419"/>
      <c r="AO4" s="1419"/>
      <c r="AP4" s="1419"/>
      <c r="AQ4" s="1419"/>
      <c r="AR4" s="1419"/>
      <c r="AS4" s="1419"/>
      <c r="AT4" s="1419"/>
      <c r="AU4" s="1419"/>
      <c r="AV4" s="1419"/>
      <c r="AW4" s="1419"/>
      <c r="AX4" s="1419"/>
      <c r="AY4" s="1419"/>
      <c r="AZ4" s="1419"/>
      <c r="BA4" s="1419"/>
      <c r="BB4" s="393"/>
      <c r="BC4" s="393"/>
      <c r="BD4" s="393"/>
      <c r="BE4" s="393"/>
      <c r="BF4" s="393"/>
      <c r="BG4" s="393"/>
      <c r="BH4" s="393"/>
      <c r="BI4" s="393"/>
      <c r="BJ4" s="393"/>
      <c r="BK4" s="393"/>
      <c r="BL4" s="393"/>
      <c r="BM4" s="393"/>
      <c r="BN4" s="393"/>
    </row>
    <row customHeight="1" ht="11.25" hidden="1">
      <c r="A5" s="2065"/>
      <c r="B5" s="2073"/>
      <c r="C5" s="2065"/>
      <c r="D5" s="2065"/>
      <c r="E5" s="2074" t="s">
        <v>19</v>
      </c>
      <c r="F5" s="2075"/>
      <c r="G5" s="1419"/>
      <c r="H5" s="1419"/>
      <c r="I5" s="1419"/>
      <c r="J5" s="1419"/>
      <c r="K5" s="1419"/>
      <c r="L5" s="1419"/>
      <c r="M5" s="1419"/>
      <c r="N5" s="1419"/>
      <c r="O5" s="1419"/>
      <c r="P5" s="1419"/>
      <c r="Q5" s="1419"/>
      <c r="R5" s="1419"/>
      <c r="S5" s="1419"/>
      <c r="T5" s="1419"/>
      <c r="U5" s="1419"/>
      <c r="V5" s="1419"/>
      <c r="W5" s="1419"/>
      <c r="X5" s="1419"/>
      <c r="Y5" s="1419"/>
      <c r="Z5" s="1419"/>
      <c r="AA5" s="2074">
        <v>3</v>
      </c>
      <c r="AB5" s="2076">
        <v>11</v>
      </c>
      <c r="AC5" s="2077">
        <v>40</v>
      </c>
      <c r="AD5" s="2074">
        <v>15</v>
      </c>
      <c r="AE5" s="2074">
        <v>15</v>
      </c>
      <c r="AF5" s="2074">
        <v>15</v>
      </c>
      <c r="AG5" s="2074">
        <v>15</v>
      </c>
      <c r="AH5" s="2074">
        <v>15</v>
      </c>
      <c r="AI5" s="1370">
        <v>15</v>
      </c>
      <c r="AJ5" s="1370">
        <v>15</v>
      </c>
      <c r="AK5" s="1370">
        <v>15</v>
      </c>
      <c r="AL5" s="1370">
        <v>15</v>
      </c>
      <c r="AM5" s="1370">
        <v>15</v>
      </c>
      <c r="AN5" s="1370">
        <v>15</v>
      </c>
      <c r="AO5" s="1370">
        <v>15</v>
      </c>
      <c r="AP5" s="1370">
        <v>15</v>
      </c>
      <c r="AQ5" s="1370">
        <v>15</v>
      </c>
      <c r="AR5" s="2074">
        <v>15</v>
      </c>
      <c r="AS5" s="1370">
        <v>15</v>
      </c>
      <c r="AT5" s="1370">
        <v>15</v>
      </c>
      <c r="AU5" s="1370">
        <v>15</v>
      </c>
      <c r="AV5" s="1370">
        <v>15</v>
      </c>
      <c r="AW5" s="1370">
        <v>15</v>
      </c>
      <c r="AX5" s="1370">
        <v>15</v>
      </c>
      <c r="AY5" s="1370">
        <v>15</v>
      </c>
      <c r="AZ5" s="1370">
        <v>15</v>
      </c>
      <c r="BA5" s="1370">
        <v>15</v>
      </c>
      <c r="BB5" s="393"/>
      <c r="BC5" s="1147"/>
      <c r="BD5" s="345"/>
      <c r="BE5" s="345"/>
      <c r="BF5" s="345"/>
      <c r="BG5" s="345"/>
      <c r="BH5" s="345"/>
      <c r="BI5" s="393"/>
      <c r="BJ5" s="393"/>
      <c r="BK5" s="393"/>
      <c r="BL5" s="393"/>
      <c r="BM5" s="393"/>
      <c r="BN5" s="393"/>
    </row>
    <row customHeight="1" ht="11.25" hidden="1">
      <c r="A6" s="1419"/>
      <c r="B6" s="1419"/>
      <c r="C6" s="1419"/>
      <c r="D6" s="1419"/>
      <c r="E6" s="1419"/>
      <c r="F6" s="1419"/>
      <c r="G6" s="1419"/>
      <c r="H6" s="1419"/>
      <c r="I6" s="1419"/>
      <c r="J6" s="1419"/>
      <c r="K6" s="1419"/>
      <c r="L6" s="1419"/>
      <c r="M6" s="1419"/>
      <c r="N6" s="1419"/>
      <c r="O6" s="1419"/>
      <c r="P6" s="1419"/>
      <c r="Q6" s="1419"/>
      <c r="R6" s="1419"/>
      <c r="S6" s="1419"/>
      <c r="T6" s="1419"/>
      <c r="U6" s="1419"/>
      <c r="V6" s="1419"/>
      <c r="W6" s="1419"/>
      <c r="X6" s="1419"/>
      <c r="Y6" s="1419"/>
      <c r="Z6" s="1419"/>
      <c r="AA6" s="1419"/>
      <c r="AB6" s="1419"/>
      <c r="AC6" s="1419"/>
      <c r="AD6" s="1419"/>
      <c r="AE6" s="2065">
        <f>god-2</f>
        <v>2024</v>
      </c>
      <c r="AF6" s="2065">
        <f>god-2</f>
        <v>2024</v>
      </c>
      <c r="AG6" s="2065">
        <f>god-1</f>
        <v>2025</v>
      </c>
      <c r="AH6" s="2065" cm="1" t="str">
        <f t="array" ref="AH6:AH6">god</f>
        <v>2026</v>
      </c>
      <c r="AI6" s="1363">
        <f>god+1</f>
        <v>2027</v>
      </c>
      <c r="AJ6" s="1363">
        <f>god+2</f>
        <v>2028</v>
      </c>
      <c r="AK6" s="1363">
        <f>god+3</f>
        <v>2029</v>
      </c>
      <c r="AL6" s="1363">
        <f>god+4</f>
        <v>2030</v>
      </c>
      <c r="AM6" s="1363">
        <f>god+5</f>
        <v>2031</v>
      </c>
      <c r="AN6" s="1363">
        <f>god+6</f>
        <v>2032</v>
      </c>
      <c r="AO6" s="1363">
        <f>god+7</f>
        <v>2033</v>
      </c>
      <c r="AP6" s="1363">
        <f>god+8</f>
        <v>2034</v>
      </c>
      <c r="AQ6" s="1363">
        <f>god+9</f>
        <v>2035</v>
      </c>
      <c r="AR6" s="2065" cm="1" t="str">
        <f t="array" ref="AR6:AR6">god</f>
        <v>2026</v>
      </c>
      <c r="AS6" s="1363">
        <f>god+1</f>
        <v>2027</v>
      </c>
      <c r="AT6" s="1363">
        <f>god+2</f>
        <v>2028</v>
      </c>
      <c r="AU6" s="1363">
        <f>god+3</f>
        <v>2029</v>
      </c>
      <c r="AV6" s="1363">
        <f>god+4</f>
        <v>2030</v>
      </c>
      <c r="AW6" s="1363">
        <f>god+5</f>
        <v>2031</v>
      </c>
      <c r="AX6" s="1363">
        <f>god+6</f>
        <v>2032</v>
      </c>
      <c r="AY6" s="1363">
        <f>god+7</f>
        <v>2033</v>
      </c>
      <c r="AZ6" s="1363">
        <f>god+8</f>
        <v>2034</v>
      </c>
      <c r="BA6" s="1363">
        <f>god+9</f>
        <v>2035</v>
      </c>
      <c r="BB6" s="393"/>
      <c r="BC6" s="393"/>
      <c r="BD6" s="393"/>
      <c r="BE6" s="393"/>
      <c r="BF6" s="393"/>
      <c r="BG6" s="393"/>
      <c r="BH6" s="393"/>
      <c r="BI6" s="393"/>
      <c r="BJ6" s="393"/>
      <c r="BK6" s="393"/>
      <c r="BL6" s="393"/>
      <c r="BM6" s="393"/>
      <c r="BN6" s="393"/>
    </row>
    <row customHeight="1" ht="11.25" hidden="1">
      <c r="A7" s="1419"/>
      <c r="B7" s="1419"/>
      <c r="C7" s="1419"/>
      <c r="D7" s="1419"/>
      <c r="E7" s="1419"/>
      <c r="F7" s="1419"/>
      <c r="G7" s="1419"/>
      <c r="H7" s="1419"/>
      <c r="I7" s="1419"/>
      <c r="J7" s="1419"/>
      <c r="K7" s="1419"/>
      <c r="L7" s="1419"/>
      <c r="M7" s="1419"/>
      <c r="N7" s="1419"/>
      <c r="O7" s="1419"/>
      <c r="P7" s="1419"/>
      <c r="Q7" s="1419"/>
      <c r="R7" s="1419"/>
      <c r="S7" s="1419"/>
      <c r="T7" s="1419"/>
      <c r="U7" s="1419"/>
      <c r="V7" s="1419"/>
      <c r="W7" s="1419"/>
      <c r="X7" s="1419"/>
      <c r="Y7" s="1419"/>
      <c r="Z7" s="1419"/>
      <c r="AA7" s="1419"/>
      <c r="AB7" s="1419"/>
      <c r="AC7" s="1419"/>
      <c r="AD7" s="1419"/>
      <c r="AE7" s="2065" cm="1" t="str">
        <f t="array" ref="AE7:AE7">AE25</f>
        <v>Принято органом регулирования</v>
      </c>
      <c r="AF7" s="2065" cm="1" t="str">
        <f t="array" ref="AF7:AF7">AF25</f>
        <v>Факт по данным организации</v>
      </c>
      <c r="AG7" s="2065" cm="1" t="str">
        <f t="array" ref="AG7:AG7">AG25</f>
        <v>Принято органом регулирования</v>
      </c>
      <c r="AH7" s="2065" cm="1" t="str">
        <f t="array" ref="AH7:AH7">AH25</f>
        <v>Предложение организации</v>
      </c>
      <c r="AI7" s="1363" cm="1" t="str">
        <f t="array" ref="AI7:AI7">AI25</f>
        <v>Предложение организации</v>
      </c>
      <c r="AJ7" s="1363" cm="1" t="str">
        <f t="array" ref="AJ7:AJ7">AJ25</f>
        <v>Предложение организации</v>
      </c>
      <c r="AK7" s="1363" cm="1" t="str">
        <f t="array" ref="AK7:AK7">AK25</f>
        <v>Предложение организации</v>
      </c>
      <c r="AL7" s="1363" cm="1" t="str">
        <f t="array" ref="AL7:AL7">AL25</f>
        <v>Предложение организации</v>
      </c>
      <c r="AM7" s="1363" cm="1" t="str">
        <f t="array" ref="AM7:AM7">AM25</f>
        <v>Предложение организации</v>
      </c>
      <c r="AN7" s="1363" cm="1" t="str">
        <f t="array" ref="AN7:AN7">AN25</f>
        <v>Предложение организации</v>
      </c>
      <c r="AO7" s="1363" cm="1" t="str">
        <f t="array" ref="AO7:AO7">AO25</f>
        <v>Предложение организации</v>
      </c>
      <c r="AP7" s="1363" cm="1" t="str">
        <f t="array" ref="AP7:AP7">AP25</f>
        <v>Предложение организации</v>
      </c>
      <c r="AQ7" s="1363" cm="1" t="str">
        <f t="array" ref="AQ7:AQ7">AQ25</f>
        <v>Предложение организации</v>
      </c>
      <c r="AR7" s="2065" cm="1" t="str">
        <f t="array" ref="AR7:AR7">AR25</f>
        <v>Принято органом регулирования</v>
      </c>
      <c r="AS7" s="1363" cm="1" t="str">
        <f t="array" ref="AS7:AS7">AS25</f>
        <v>Принято органом регулирования</v>
      </c>
      <c r="AT7" s="1363" cm="1" t="str">
        <f t="array" ref="AT7:AT7">AT25</f>
        <v>Принято органом регулирования</v>
      </c>
      <c r="AU7" s="1363" cm="1" t="str">
        <f t="array" ref="AU7:AU7">AU25</f>
        <v>Принято органом регулирования</v>
      </c>
      <c r="AV7" s="1363" cm="1" t="str">
        <f t="array" ref="AV7:AV7">AV25</f>
        <v>Принято органом регулирования</v>
      </c>
      <c r="AW7" s="1363" cm="1" t="str">
        <f t="array" ref="AW7:AW7">AW25</f>
        <v>Принято органом регулирования</v>
      </c>
      <c r="AX7" s="1363" cm="1" t="str">
        <f t="array" ref="AX7:AX7">AX25</f>
        <v>Принято органом регулирования</v>
      </c>
      <c r="AY7" s="1363" cm="1" t="str">
        <f t="array" ref="AY7:AY7">AY25</f>
        <v>Принято органом регулирования</v>
      </c>
      <c r="AZ7" s="1363" cm="1" t="str">
        <f t="array" ref="AZ7:AZ7">AZ25</f>
        <v>Принято органом регулирования</v>
      </c>
      <c r="BA7" s="1363" cm="1" t="str">
        <f t="array" ref="BA7:BA7">BA25</f>
        <v>Принято органом регулирования</v>
      </c>
      <c r="BB7" s="393"/>
      <c r="BC7" s="393"/>
      <c r="BD7" s="393"/>
      <c r="BE7" s="393"/>
      <c r="BF7" s="393"/>
      <c r="BG7" s="393"/>
      <c r="BH7" s="393"/>
      <c r="BI7" s="393"/>
      <c r="BJ7" s="393"/>
      <c r="BK7" s="393"/>
      <c r="BL7" s="393"/>
      <c r="BM7" s="393"/>
      <c r="BN7" s="393"/>
    </row>
    <row customHeight="1" ht="11.25" hidden="1">
      <c r="A8" s="1419"/>
      <c r="B8" s="1419"/>
      <c r="C8" s="1419"/>
      <c r="D8" s="1419"/>
      <c r="E8" s="1419"/>
      <c r="F8" s="1419"/>
      <c r="G8" s="1419"/>
      <c r="H8" s="1419"/>
      <c r="I8" s="1419"/>
      <c r="J8" s="1419"/>
      <c r="K8" s="1419"/>
      <c r="L8" s="1419"/>
      <c r="M8" s="1419"/>
      <c r="N8" s="1419"/>
      <c r="O8" s="1419"/>
      <c r="P8" s="1419"/>
      <c r="Q8" s="1419"/>
      <c r="R8" s="1419"/>
      <c r="S8" s="1419"/>
      <c r="T8" s="1419"/>
      <c r="U8" s="1419"/>
      <c r="V8" s="1419"/>
      <c r="W8" s="1419"/>
      <c r="X8" s="1419"/>
      <c r="Y8" s="1419"/>
      <c r="Z8" s="1419"/>
      <c r="AA8" s="1419"/>
      <c r="AB8" s="1419"/>
      <c r="AC8" s="1419"/>
      <c r="AD8" s="1419"/>
      <c r="AE8" s="2065" t="str">
        <f>AE6&amp;AE7</f>
        <v>2024Принято органом регулирования</v>
      </c>
      <c r="AF8" s="2065" t="str">
        <f>AF6&amp;AF7</f>
        <v>2024Факт по данным организации</v>
      </c>
      <c r="AG8" s="2065" t="str">
        <f>AG6&amp;AG7</f>
        <v>2025Принято органом регулирования</v>
      </c>
      <c r="AH8" s="2065" t="str">
        <f>AH6&amp;AH7</f>
        <v>2026Предложение организации</v>
      </c>
      <c r="AI8" s="1363" t="str">
        <f>AI6&amp;AI7</f>
        <v>2027Предложение организации</v>
      </c>
      <c r="AJ8" s="1363" t="str">
        <f>AJ6&amp;AJ7</f>
        <v>2028Предложение организации</v>
      </c>
      <c r="AK8" s="1363" t="str">
        <f>AK6&amp;AK7</f>
        <v>2029Предложение организации</v>
      </c>
      <c r="AL8" s="1363" t="str">
        <f>AL6&amp;AL7</f>
        <v>2030Предложение организации</v>
      </c>
      <c r="AM8" s="1363" t="str">
        <f>AM6&amp;AM7</f>
        <v>2031Предложение организации</v>
      </c>
      <c r="AN8" s="1363" t="str">
        <f>AN6&amp;AN7</f>
        <v>2032Предложение организации</v>
      </c>
      <c r="AO8" s="1363" t="str">
        <f>AO6&amp;AO7</f>
        <v>2033Предложение организации</v>
      </c>
      <c r="AP8" s="1363" t="str">
        <f>AP6&amp;AP7</f>
        <v>2034Предложение организации</v>
      </c>
      <c r="AQ8" s="1363" t="str">
        <f>AQ6&amp;AQ7</f>
        <v>2035Предложение организации</v>
      </c>
      <c r="AR8" s="2065" t="str">
        <f>AR6&amp;AR7</f>
        <v>2026Принято органом регулирования</v>
      </c>
      <c r="AS8" s="1363" t="str">
        <f>AS6&amp;AS7</f>
        <v>2027Принято органом регулирования</v>
      </c>
      <c r="AT8" s="1363" t="str">
        <f>AT6&amp;AT7</f>
        <v>2028Принято органом регулирования</v>
      </c>
      <c r="AU8" s="1363" t="str">
        <f>AU6&amp;AU7</f>
        <v>2029Принято органом регулирования</v>
      </c>
      <c r="AV8" s="1363" t="str">
        <f>AV6&amp;AV7</f>
        <v>2030Принято органом регулирования</v>
      </c>
      <c r="AW8" s="1363" t="str">
        <f>AW6&amp;AW7</f>
        <v>2031Принято органом регулирования</v>
      </c>
      <c r="AX8" s="1363" t="str">
        <f>AX6&amp;AX7</f>
        <v>2032Принято органом регулирования</v>
      </c>
      <c r="AY8" s="1363" t="str">
        <f>AY6&amp;AY7</f>
        <v>2033Принято органом регулирования</v>
      </c>
      <c r="AZ8" s="1363" t="str">
        <f>AZ6&amp;AZ7</f>
        <v>2034Принято органом регулирования</v>
      </c>
      <c r="BA8" s="1363" t="str">
        <f>BA6&amp;BA7</f>
        <v>2035Принято органом регулирования</v>
      </c>
      <c r="BB8" s="393"/>
      <c r="BC8" s="393"/>
      <c r="BD8" s="393"/>
      <c r="BE8" s="393"/>
      <c r="BF8" s="393"/>
      <c r="BG8" s="393"/>
      <c r="BH8" s="393"/>
      <c r="BI8" s="393"/>
      <c r="BJ8" s="393"/>
      <c r="BK8" s="393"/>
      <c r="BL8" s="393"/>
      <c r="BM8" s="393"/>
      <c r="BN8" s="393"/>
    </row>
    <row customHeight="1" ht="11.25" hidden="1">
      <c r="A9" s="2080" t="s">
        <v>354</v>
      </c>
      <c r="B9" s="2081"/>
      <c r="C9" s="1419"/>
      <c r="D9" s="1419"/>
      <c r="E9" s="1419"/>
      <c r="F9" s="2082"/>
      <c r="G9" s="1419"/>
      <c r="H9" s="1419"/>
      <c r="I9" s="1419"/>
      <c r="J9" s="1419"/>
      <c r="K9" s="1419"/>
      <c r="L9" s="1419"/>
      <c r="M9" s="1419"/>
      <c r="N9" s="1419"/>
      <c r="O9" s="1419"/>
      <c r="P9" s="1419"/>
      <c r="Q9" s="1419"/>
      <c r="R9" s="1419"/>
      <c r="S9" s="1419"/>
      <c r="T9" s="1419"/>
      <c r="U9" s="1419"/>
      <c r="V9" s="1419"/>
      <c r="W9" s="1419"/>
      <c r="X9" s="1419"/>
      <c r="Y9" s="1419"/>
      <c r="Z9" s="1419"/>
      <c r="AA9" s="1419"/>
      <c r="AB9" s="2083"/>
      <c r="AC9" s="2084"/>
      <c r="AD9" s="1419"/>
      <c r="AE9" s="2080" cm="1" t="str">
        <f t="array" ref="AE9:AE9">AE6</f>
        <v>2024</v>
      </c>
      <c r="AF9" s="2080" cm="1" t="str">
        <f t="array" ref="AF9:AF9">AF6</f>
        <v>2024</v>
      </c>
      <c r="AG9" s="2080" cm="1" t="str">
        <f t="array" ref="AG9:AG9">AG6</f>
        <v>2025</v>
      </c>
      <c r="AH9" s="2080" cm="1" t="str">
        <f t="array" ref="AH9:AH9">AH6</f>
        <v>2026</v>
      </c>
      <c r="AI9" s="1374" cm="1" t="str">
        <f t="array" ref="AI9:AI9">AI6</f>
        <v>2027</v>
      </c>
      <c r="AJ9" s="1374" cm="1" t="str">
        <f t="array" ref="AJ9:AJ9">AJ6</f>
        <v>2028</v>
      </c>
      <c r="AK9" s="1374" cm="1" t="str">
        <f t="array" ref="AK9:AK9">AK6</f>
        <v>2029</v>
      </c>
      <c r="AL9" s="1374" cm="1" t="str">
        <f t="array" ref="AL9:AL9">AL6</f>
        <v>2030</v>
      </c>
      <c r="AM9" s="1374" cm="1" t="str">
        <f t="array" ref="AM9:AM9">AM6</f>
        <v>2031</v>
      </c>
      <c r="AN9" s="1374" cm="1" t="str">
        <f t="array" ref="AN9:AN9">AN6</f>
        <v>2032</v>
      </c>
      <c r="AO9" s="1374" cm="1" t="str">
        <f t="array" ref="AO9:AO9">AO6</f>
        <v>2033</v>
      </c>
      <c r="AP9" s="1374" cm="1" t="str">
        <f t="array" ref="AP9:AP9">AP6</f>
        <v>2034</v>
      </c>
      <c r="AQ9" s="1374" cm="1" t="str">
        <f t="array" ref="AQ9:AQ9">AQ6</f>
        <v>2035</v>
      </c>
      <c r="AR9" s="2080" cm="1" t="str">
        <f t="array" ref="AR9:AR9">AR6</f>
        <v>2026</v>
      </c>
      <c r="AS9" s="1374" cm="1" t="str">
        <f t="array" ref="AS9:AS9">AS6</f>
        <v>2027</v>
      </c>
      <c r="AT9" s="1374" cm="1" t="str">
        <f t="array" ref="AT9:AT9">AT6</f>
        <v>2028</v>
      </c>
      <c r="AU9" s="1374" cm="1" t="str">
        <f t="array" ref="AU9:AU9">AU6</f>
        <v>2029</v>
      </c>
      <c r="AV9" s="1374" cm="1" t="str">
        <f t="array" ref="AV9:AV9">AV6</f>
        <v>2030</v>
      </c>
      <c r="AW9" s="1374" cm="1" t="str">
        <f t="array" ref="AW9:AW9">AW6</f>
        <v>2031</v>
      </c>
      <c r="AX9" s="1374" cm="1" t="str">
        <f t="array" ref="AX9:AX9">AX6</f>
        <v>2032</v>
      </c>
      <c r="AY9" s="1374" cm="1" t="str">
        <f t="array" ref="AY9:AY9">AY6</f>
        <v>2033</v>
      </c>
      <c r="AZ9" s="1374" cm="1" t="str">
        <f t="array" ref="AZ9:AZ9">AZ6</f>
        <v>2034</v>
      </c>
      <c r="BA9" s="1374" cm="1" t="str">
        <f t="array" ref="BA9:BA9">BA6</f>
        <v>2035</v>
      </c>
      <c r="BB9" s="393"/>
      <c r="BC9" s="393"/>
      <c r="BD9" s="345"/>
      <c r="BE9" s="345"/>
      <c r="BF9" s="345"/>
      <c r="BG9" s="345"/>
      <c r="BH9" s="345"/>
      <c r="BI9" s="393"/>
      <c r="BJ9" s="393"/>
      <c r="BK9" s="393"/>
      <c r="BL9" s="393"/>
      <c r="BM9" s="393"/>
      <c r="BN9" s="393"/>
    </row>
    <row customHeight="1" ht="11.25" hidden="1">
      <c r="A10" s="2080" t="s">
        <v>355</v>
      </c>
      <c r="B10" s="2081"/>
      <c r="C10" s="1419"/>
      <c r="D10" s="1419"/>
      <c r="E10" s="1419"/>
      <c r="F10" s="2082"/>
      <c r="G10" s="1419"/>
      <c r="H10" s="1419"/>
      <c r="I10" s="1419"/>
      <c r="J10" s="1419"/>
      <c r="K10" s="1419"/>
      <c r="L10" s="1419"/>
      <c r="M10" s="1419"/>
      <c r="N10" s="1419"/>
      <c r="O10" s="1419"/>
      <c r="P10" s="1419"/>
      <c r="Q10" s="1419"/>
      <c r="R10" s="1419"/>
      <c r="S10" s="1419"/>
      <c r="T10" s="1419"/>
      <c r="U10" s="1419"/>
      <c r="V10" s="1419"/>
      <c r="W10" s="1419"/>
      <c r="X10" s="1419"/>
      <c r="Y10" s="1419"/>
      <c r="Z10" s="1419"/>
      <c r="AA10" s="1419"/>
      <c r="AB10" s="2083"/>
      <c r="AC10" s="2084"/>
      <c r="AD10" s="1419"/>
      <c r="AE10" s="2080" cm="1" t="str">
        <f t="array" ref="AE10:AE10">AE25</f>
        <v>Принято органом регулирования</v>
      </c>
      <c r="AF10" s="2080" cm="1" t="str">
        <f t="array" ref="AF10:AF10">AF25</f>
        <v>Факт по данным организации</v>
      </c>
      <c r="AG10" s="2080" cm="1" t="str">
        <f t="array" ref="AG10:AG10">AG25</f>
        <v>Принято органом регулирования</v>
      </c>
      <c r="AH10" s="2080" cm="1" t="str">
        <f t="array" ref="AH10:AH10">AH25</f>
        <v>Предложение организации</v>
      </c>
      <c r="AI10" s="1374" cm="1" t="str">
        <f t="array" ref="AI10:AI10">AI25</f>
        <v>Предложение организации</v>
      </c>
      <c r="AJ10" s="1374" cm="1" t="str">
        <f t="array" ref="AJ10:AJ10">AJ25</f>
        <v>Предложение организации</v>
      </c>
      <c r="AK10" s="1374" cm="1" t="str">
        <f t="array" ref="AK10:AK10">AK25</f>
        <v>Предложение организации</v>
      </c>
      <c r="AL10" s="1374" cm="1" t="str">
        <f t="array" ref="AL10:AL10">AL25</f>
        <v>Предложение организации</v>
      </c>
      <c r="AM10" s="1374" cm="1" t="str">
        <f t="array" ref="AM10:AM10">AM25</f>
        <v>Предложение организации</v>
      </c>
      <c r="AN10" s="1374" cm="1" t="str">
        <f t="array" ref="AN10:AN10">AN25</f>
        <v>Предложение организации</v>
      </c>
      <c r="AO10" s="1374" cm="1" t="str">
        <f t="array" ref="AO10:AO10">AO25</f>
        <v>Предложение организации</v>
      </c>
      <c r="AP10" s="1374" cm="1" t="str">
        <f t="array" ref="AP10:AP10">AP25</f>
        <v>Предложение организации</v>
      </c>
      <c r="AQ10" s="1374" cm="1" t="str">
        <f t="array" ref="AQ10:AQ10">AQ25</f>
        <v>Предложение организации</v>
      </c>
      <c r="AR10" s="2080" cm="1" t="str">
        <f t="array" ref="AR10:AR10">AR25</f>
        <v>Принято органом регулирования</v>
      </c>
      <c r="AS10" s="1374" cm="1" t="str">
        <f t="array" ref="AS10:AS10">AS25</f>
        <v>Принято органом регулирования</v>
      </c>
      <c r="AT10" s="1374" cm="1" t="str">
        <f t="array" ref="AT10:AT10">AT25</f>
        <v>Принято органом регулирования</v>
      </c>
      <c r="AU10" s="1374" cm="1" t="str">
        <f t="array" ref="AU10:AU10">AU25</f>
        <v>Принято органом регулирования</v>
      </c>
      <c r="AV10" s="1374" cm="1" t="str">
        <f t="array" ref="AV10:AV10">AV25</f>
        <v>Принято органом регулирования</v>
      </c>
      <c r="AW10" s="1374" cm="1" t="str">
        <f t="array" ref="AW10:AW10">AW25</f>
        <v>Принято органом регулирования</v>
      </c>
      <c r="AX10" s="1374" cm="1" t="str">
        <f t="array" ref="AX10:AX10">AX25</f>
        <v>Принято органом регулирования</v>
      </c>
      <c r="AY10" s="1374" cm="1" t="str">
        <f t="array" ref="AY10:AY10">AY25</f>
        <v>Принято органом регулирования</v>
      </c>
      <c r="AZ10" s="1374" cm="1" t="str">
        <f t="array" ref="AZ10:AZ10">AZ25</f>
        <v>Принято органом регулирования</v>
      </c>
      <c r="BA10" s="1374" cm="1" t="str">
        <f t="array" ref="BA10:BA10">BA25</f>
        <v>Принято органом регулирования</v>
      </c>
      <c r="BB10" s="393"/>
      <c r="BC10" s="393"/>
      <c r="BD10" s="345"/>
      <c r="BE10" s="345"/>
      <c r="BF10" s="345"/>
      <c r="BG10" s="345"/>
      <c r="BH10" s="345"/>
      <c r="BI10" s="393"/>
      <c r="BJ10" s="393"/>
      <c r="BK10" s="393"/>
      <c r="BL10" s="393"/>
      <c r="BM10" s="393"/>
      <c r="BN10" s="393"/>
    </row>
    <row customHeight="1" ht="11.25" hidden="1">
      <c r="A11" s="1419"/>
      <c r="B11" s="1419"/>
      <c r="C11" s="1419"/>
      <c r="D11" s="1419"/>
      <c r="E11" s="1419"/>
      <c r="F11" s="1419"/>
      <c r="G11" s="1419"/>
      <c r="H11" s="1419"/>
      <c r="I11" s="1419"/>
      <c r="J11" s="1419"/>
      <c r="K11" s="1419"/>
      <c r="L11" s="1419"/>
      <c r="M11" s="1419"/>
      <c r="N11" s="1419"/>
      <c r="O11" s="1419"/>
      <c r="P11" s="1419"/>
      <c r="Q11" s="1419"/>
      <c r="R11" s="1419"/>
      <c r="S11" s="1419"/>
      <c r="T11" s="1419"/>
      <c r="U11" s="1419"/>
      <c r="V11" s="1419"/>
      <c r="W11" s="1419"/>
      <c r="X11" s="1419"/>
      <c r="Y11" s="1419"/>
      <c r="Z11" s="1419"/>
      <c r="AA11" s="1419"/>
      <c r="AB11" s="1419"/>
      <c r="AC11" s="1419"/>
      <c r="AD11" s="1419"/>
      <c r="AE11" s="1419"/>
      <c r="AF11" s="1419"/>
      <c r="AG11" s="1419"/>
      <c r="AH11" s="1419"/>
      <c r="AI11" s="1419"/>
      <c r="AJ11" s="1419"/>
      <c r="AK11" s="1419"/>
      <c r="AL11" s="1419"/>
      <c r="AM11" s="1419"/>
      <c r="AN11" s="1419"/>
      <c r="AO11" s="1419"/>
      <c r="AP11" s="1419"/>
      <c r="AQ11" s="1419"/>
      <c r="AR11" s="1419"/>
      <c r="AS11" s="1419"/>
      <c r="AT11" s="1419"/>
      <c r="AU11" s="1419"/>
      <c r="AV11" s="1419"/>
      <c r="AW11" s="1419"/>
      <c r="AX11" s="1419"/>
      <c r="AY11" s="1419"/>
      <c r="AZ11" s="1419"/>
      <c r="BA11" s="1419"/>
      <c r="BB11" s="393"/>
      <c r="BC11" s="393"/>
      <c r="BD11" s="393"/>
      <c r="BE11" s="393"/>
      <c r="BF11" s="393"/>
      <c r="BG11" s="393"/>
      <c r="BH11" s="393"/>
      <c r="BI11" s="393"/>
      <c r="BJ11" s="393"/>
      <c r="BK11" s="393"/>
      <c r="BL11" s="393"/>
      <c r="BM11" s="393"/>
      <c r="BN11" s="393"/>
    </row>
    <row customHeight="1" ht="11.25" hidden="1">
      <c r="A12" s="1419"/>
      <c r="B12" s="1419"/>
      <c r="C12" s="1419"/>
      <c r="D12" s="1419"/>
      <c r="E12" s="1419"/>
      <c r="F12" s="1419"/>
      <c r="G12" s="1419"/>
      <c r="H12" s="1419"/>
      <c r="I12" s="1419"/>
      <c r="J12" s="1419"/>
      <c r="K12" s="1419"/>
      <c r="L12" s="1419"/>
      <c r="M12" s="1419"/>
      <c r="N12" s="1419"/>
      <c r="O12" s="1419"/>
      <c r="P12" s="1419"/>
      <c r="Q12" s="1419"/>
      <c r="R12" s="1419"/>
      <c r="S12" s="1419"/>
      <c r="T12" s="1419"/>
      <c r="U12" s="1419"/>
      <c r="V12" s="1419"/>
      <c r="W12" s="1419"/>
      <c r="X12" s="1419"/>
      <c r="Y12" s="1419"/>
      <c r="Z12" s="1419"/>
      <c r="AA12" s="1419"/>
      <c r="AB12" s="1419"/>
      <c r="AC12" s="1419"/>
      <c r="AD12" s="1419"/>
      <c r="AE12" s="1419"/>
      <c r="AF12" s="1419"/>
      <c r="AG12" s="1419"/>
      <c r="AH12" s="1419"/>
      <c r="AI12" s="1419"/>
      <c r="AJ12" s="1419"/>
      <c r="AK12" s="1419"/>
      <c r="AL12" s="1419"/>
      <c r="AM12" s="1419"/>
      <c r="AN12" s="1419"/>
      <c r="AO12" s="1419"/>
      <c r="AP12" s="1419"/>
      <c r="AQ12" s="1419"/>
      <c r="AR12" s="1419"/>
      <c r="AS12" s="1419"/>
      <c r="AT12" s="1419"/>
      <c r="AU12" s="1419"/>
      <c r="AV12" s="1419"/>
      <c r="AW12" s="1419"/>
      <c r="AX12" s="1419"/>
      <c r="AY12" s="1419"/>
      <c r="AZ12" s="1419"/>
      <c r="BA12" s="1419"/>
      <c r="BB12" s="393"/>
      <c r="BC12" s="393"/>
      <c r="BD12" s="393"/>
      <c r="BE12" s="393"/>
      <c r="BF12" s="393"/>
      <c r="BG12" s="393"/>
      <c r="BH12" s="393"/>
      <c r="BI12" s="393"/>
      <c r="BJ12" s="393"/>
      <c r="BK12" s="393"/>
      <c r="BL12" s="393"/>
      <c r="BM12" s="393"/>
      <c r="BN12" s="393"/>
    </row>
    <row customHeight="1" ht="11.25" hidden="1">
      <c r="A13" s="1419"/>
      <c r="B13" s="1419"/>
      <c r="C13" s="1419"/>
      <c r="D13" s="1419"/>
      <c r="E13" s="1419"/>
      <c r="F13" s="1419"/>
      <c r="G13" s="1419"/>
      <c r="H13" s="1419"/>
      <c r="I13" s="1419"/>
      <c r="J13" s="1419"/>
      <c r="K13" s="1419"/>
      <c r="L13" s="1419"/>
      <c r="M13" s="1419"/>
      <c r="N13" s="1419"/>
      <c r="O13" s="1419"/>
      <c r="P13" s="1419"/>
      <c r="Q13" s="1419"/>
      <c r="R13" s="1419"/>
      <c r="S13" s="1419"/>
      <c r="T13" s="1419"/>
      <c r="U13" s="1419"/>
      <c r="V13" s="1419"/>
      <c r="W13" s="1419"/>
      <c r="X13" s="1419"/>
      <c r="Y13" s="1419"/>
      <c r="Z13" s="1419"/>
      <c r="AA13" s="1419"/>
      <c r="AB13" s="1419"/>
      <c r="AC13" s="1419"/>
      <c r="AD13" s="1419"/>
      <c r="AE13" s="1419"/>
      <c r="AF13" s="1419"/>
      <c r="AG13" s="1419"/>
      <c r="AH13" s="1419"/>
      <c r="AI13" s="1419"/>
      <c r="AJ13" s="1419"/>
      <c r="AK13" s="1419"/>
      <c r="AL13" s="1419"/>
      <c r="AM13" s="1419"/>
      <c r="AN13" s="1419"/>
      <c r="AO13" s="1419"/>
      <c r="AP13" s="1419"/>
      <c r="AQ13" s="1419"/>
      <c r="AR13" s="1419"/>
      <c r="AS13" s="1419"/>
      <c r="AT13" s="1419"/>
      <c r="AU13" s="1419"/>
      <c r="AV13" s="1419"/>
      <c r="AW13" s="1419"/>
      <c r="AX13" s="1419"/>
      <c r="AY13" s="1419"/>
      <c r="AZ13" s="1419"/>
      <c r="BA13" s="1419"/>
      <c r="BB13" s="393"/>
      <c r="BC13" s="393"/>
      <c r="BD13" s="393"/>
      <c r="BE13" s="393"/>
      <c r="BF13" s="393"/>
      <c r="BG13" s="393"/>
      <c r="BH13" s="393"/>
      <c r="BI13" s="393"/>
      <c r="BJ13" s="393"/>
      <c r="BK13" s="393"/>
      <c r="BL13" s="393"/>
      <c r="BM13" s="393"/>
      <c r="BN13" s="393"/>
    </row>
    <row customHeight="1" ht="11.25" hidden="1">
      <c r="A14" s="1419"/>
      <c r="B14" s="1419"/>
      <c r="C14" s="1419"/>
      <c r="D14" s="1419"/>
      <c r="E14" s="1419"/>
      <c r="F14" s="1419"/>
      <c r="G14" s="1419"/>
      <c r="H14" s="1419"/>
      <c r="I14" s="1419"/>
      <c r="J14" s="1419"/>
      <c r="K14" s="1419"/>
      <c r="L14" s="1419"/>
      <c r="M14" s="1419"/>
      <c r="N14" s="1419"/>
      <c r="O14" s="1419"/>
      <c r="P14" s="1419"/>
      <c r="Q14" s="1419"/>
      <c r="R14" s="1419"/>
      <c r="S14" s="1419"/>
      <c r="T14" s="1419"/>
      <c r="U14" s="1419"/>
      <c r="V14" s="1419"/>
      <c r="W14" s="1419"/>
      <c r="X14" s="1419"/>
      <c r="Y14" s="1419"/>
      <c r="Z14" s="1419"/>
      <c r="AA14" s="1419"/>
      <c r="AB14" s="1419"/>
      <c r="AC14" s="1419"/>
      <c r="AD14" s="1419"/>
      <c r="AE14" s="1419"/>
      <c r="AF14" s="1419"/>
      <c r="AG14" s="1419"/>
      <c r="AH14" s="1419"/>
      <c r="AI14" s="1419"/>
      <c r="AJ14" s="1419"/>
      <c r="AK14" s="1419"/>
      <c r="AL14" s="1419"/>
      <c r="AM14" s="1419"/>
      <c r="AN14" s="1419"/>
      <c r="AO14" s="1419"/>
      <c r="AP14" s="1419"/>
      <c r="AQ14" s="1419"/>
      <c r="AR14" s="1419"/>
      <c r="AS14" s="1419"/>
      <c r="AT14" s="1419"/>
      <c r="AU14" s="1419"/>
      <c r="AV14" s="1419"/>
      <c r="AW14" s="1419"/>
      <c r="AX14" s="1419"/>
      <c r="AY14" s="1419"/>
      <c r="AZ14" s="1419"/>
      <c r="BA14" s="1419"/>
      <c r="BB14" s="393"/>
      <c r="BC14" s="393"/>
      <c r="BD14" s="393"/>
      <c r="BE14" s="393"/>
      <c r="BF14" s="393"/>
      <c r="BG14" s="393"/>
      <c r="BH14" s="393"/>
      <c r="BI14" s="393"/>
      <c r="BJ14" s="393"/>
      <c r="BK14" s="393"/>
      <c r="BL14" s="393"/>
      <c r="BM14" s="393"/>
      <c r="BN14" s="393"/>
    </row>
    <row customHeight="1" ht="11.25" hidden="1">
      <c r="A15" s="1419"/>
      <c r="B15" s="1419"/>
      <c r="C15" s="1419"/>
      <c r="D15" s="1419"/>
      <c r="E15" s="1419"/>
      <c r="F15" s="1419"/>
      <c r="G15" s="1419"/>
      <c r="H15" s="1419"/>
      <c r="I15" s="1419"/>
      <c r="J15" s="1419"/>
      <c r="K15" s="1419"/>
      <c r="L15" s="1419"/>
      <c r="M15" s="1419"/>
      <c r="N15" s="1419"/>
      <c r="O15" s="1419"/>
      <c r="P15" s="1419"/>
      <c r="Q15" s="1419"/>
      <c r="R15" s="1419"/>
      <c r="S15" s="1419"/>
      <c r="T15" s="1419"/>
      <c r="U15" s="1419"/>
      <c r="V15" s="1419"/>
      <c r="W15" s="1419"/>
      <c r="X15" s="1419"/>
      <c r="Y15" s="1419"/>
      <c r="Z15" s="1419"/>
      <c r="AA15" s="1419"/>
      <c r="AB15" s="1419"/>
      <c r="AC15" s="1419"/>
      <c r="AD15" s="1419"/>
      <c r="AE15" s="1419"/>
      <c r="AF15" s="1419"/>
      <c r="AG15" s="1419"/>
      <c r="AH15" s="1419"/>
      <c r="AI15" s="1419"/>
      <c r="AJ15" s="1419"/>
      <c r="AK15" s="1419"/>
      <c r="AL15" s="1419"/>
      <c r="AM15" s="1419"/>
      <c r="AN15" s="1419"/>
      <c r="AO15" s="1419"/>
      <c r="AP15" s="1419"/>
      <c r="AQ15" s="1419"/>
      <c r="AR15" s="1419"/>
      <c r="AS15" s="1419"/>
      <c r="AT15" s="1419"/>
      <c r="AU15" s="1419"/>
      <c r="AV15" s="1419"/>
      <c r="AW15" s="1419"/>
      <c r="AX15" s="1419"/>
      <c r="AY15" s="1419"/>
      <c r="AZ15" s="1419"/>
      <c r="BA15" s="1419"/>
      <c r="BB15" s="393"/>
      <c r="BC15" s="393"/>
      <c r="BD15" s="393"/>
      <c r="BE15" s="393"/>
      <c r="BF15" s="393"/>
      <c r="BG15" s="393"/>
      <c r="BH15" s="393"/>
      <c r="BI15" s="393"/>
      <c r="BJ15" s="393"/>
      <c r="BK15" s="393"/>
      <c r="BL15" s="393"/>
      <c r="BM15" s="393"/>
      <c r="BN15" s="393"/>
    </row>
    <row customHeight="1" ht="11.25" hidden="1">
      <c r="A16" s="1419"/>
      <c r="B16" s="1419"/>
      <c r="C16" s="1419"/>
      <c r="D16" s="1419"/>
      <c r="E16" s="1419"/>
      <c r="F16" s="1419"/>
      <c r="G16" s="1419"/>
      <c r="H16" s="1419"/>
      <c r="I16" s="1419"/>
      <c r="J16" s="1419"/>
      <c r="K16" s="1419"/>
      <c r="L16" s="1419"/>
      <c r="M16" s="1419"/>
      <c r="N16" s="1419"/>
      <c r="O16" s="1419"/>
      <c r="P16" s="1419"/>
      <c r="Q16" s="1419"/>
      <c r="R16" s="1419"/>
      <c r="S16" s="1419"/>
      <c r="T16" s="1419"/>
      <c r="U16" s="1419"/>
      <c r="V16" s="1419"/>
      <c r="W16" s="1419"/>
      <c r="X16" s="1419"/>
      <c r="Y16" s="1419"/>
      <c r="Z16" s="1419"/>
      <c r="AA16" s="1419"/>
      <c r="AB16" s="1419"/>
      <c r="AC16" s="1419"/>
      <c r="AD16" s="1419"/>
      <c r="AE16" s="1419"/>
      <c r="AF16" s="1419"/>
      <c r="AG16" s="1419"/>
      <c r="AH16" s="1419"/>
      <c r="AI16" s="1419"/>
      <c r="AJ16" s="1419"/>
      <c r="AK16" s="1419"/>
      <c r="AL16" s="1419"/>
      <c r="AM16" s="1419"/>
      <c r="AN16" s="1419"/>
      <c r="AO16" s="1419"/>
      <c r="AP16" s="1419"/>
      <c r="AQ16" s="1419"/>
      <c r="AR16" s="1419"/>
      <c r="AS16" s="1419"/>
      <c r="AT16" s="1419"/>
      <c r="AU16" s="1419"/>
      <c r="AV16" s="1419"/>
      <c r="AW16" s="1419"/>
      <c r="AX16" s="1419"/>
      <c r="AY16" s="1419"/>
      <c r="AZ16" s="1419"/>
      <c r="BA16" s="1419"/>
      <c r="BB16" s="393"/>
      <c r="BC16" s="393"/>
      <c r="BD16" s="393"/>
      <c r="BE16" s="393"/>
      <c r="BF16" s="393"/>
      <c r="BG16" s="393"/>
      <c r="BH16" s="393"/>
      <c r="BI16" s="393"/>
      <c r="BJ16" s="393"/>
      <c r="BK16" s="393"/>
      <c r="BL16" s="393"/>
      <c r="BM16" s="393"/>
      <c r="BN16" s="393"/>
    </row>
    <row customHeight="1" ht="11.25" hidden="1">
      <c r="A17" s="1419"/>
      <c r="B17" s="1419"/>
      <c r="C17" s="1419"/>
      <c r="D17" s="1419"/>
      <c r="E17" s="1419"/>
      <c r="F17" s="1419"/>
      <c r="G17" s="1419"/>
      <c r="H17" s="1419"/>
      <c r="I17" s="1419"/>
      <c r="J17" s="1419"/>
      <c r="K17" s="1419"/>
      <c r="L17" s="1419"/>
      <c r="M17" s="1419"/>
      <c r="N17" s="1419"/>
      <c r="O17" s="1419"/>
      <c r="P17" s="1419"/>
      <c r="Q17" s="1419"/>
      <c r="R17" s="1419"/>
      <c r="S17" s="1419"/>
      <c r="T17" s="1419"/>
      <c r="U17" s="1419"/>
      <c r="V17" s="1419"/>
      <c r="W17" s="1419"/>
      <c r="X17" s="1419"/>
      <c r="Y17" s="1419"/>
      <c r="Z17" s="1419"/>
      <c r="AA17" s="1419"/>
      <c r="AB17" s="1419"/>
      <c r="AC17" s="1419"/>
      <c r="AD17" s="1419"/>
      <c r="AE17" s="1419"/>
      <c r="AF17" s="1419"/>
      <c r="AG17" s="1419"/>
      <c r="AH17" s="1419"/>
      <c r="AI17" s="1419"/>
      <c r="AJ17" s="1419"/>
      <c r="AK17" s="1419"/>
      <c r="AL17" s="1419"/>
      <c r="AM17" s="1419"/>
      <c r="AN17" s="1419"/>
      <c r="AO17" s="1419"/>
      <c r="AP17" s="1419"/>
      <c r="AQ17" s="1419"/>
      <c r="AR17" s="1419"/>
      <c r="AS17" s="1419"/>
      <c r="AT17" s="1419"/>
      <c r="AU17" s="1419"/>
      <c r="AV17" s="1419"/>
      <c r="AW17" s="1419"/>
      <c r="AX17" s="1419"/>
      <c r="AY17" s="1419"/>
      <c r="AZ17" s="1419"/>
      <c r="BA17" s="1419"/>
      <c r="BB17" s="393"/>
      <c r="BC17" s="393"/>
      <c r="BD17" s="393"/>
      <c r="BE17" s="393"/>
      <c r="BF17" s="393"/>
      <c r="BG17" s="393"/>
      <c r="BH17" s="393"/>
      <c r="BI17" s="393"/>
      <c r="BJ17" s="393"/>
      <c r="BK17" s="393"/>
      <c r="BL17" s="393"/>
      <c r="BM17" s="393"/>
      <c r="BN17" s="393"/>
    </row>
    <row customHeight="1" ht="11.25" hidden="1">
      <c r="A18" s="1419"/>
      <c r="B18" s="1419"/>
      <c r="C18" s="1419"/>
      <c r="D18" s="1419"/>
      <c r="E18" s="1419"/>
      <c r="F18" s="1419"/>
      <c r="G18" s="1419"/>
      <c r="H18" s="1419"/>
      <c r="I18" s="1419"/>
      <c r="J18" s="1419"/>
      <c r="K18" s="1419"/>
      <c r="L18" s="1419"/>
      <c r="M18" s="1419"/>
      <c r="N18" s="1419"/>
      <c r="O18" s="1419"/>
      <c r="P18" s="1419"/>
      <c r="Q18" s="1419"/>
      <c r="R18" s="1419"/>
      <c r="S18" s="1419"/>
      <c r="T18" s="1419"/>
      <c r="U18" s="1419"/>
      <c r="V18" s="1419"/>
      <c r="W18" s="1419"/>
      <c r="X18" s="1419"/>
      <c r="Y18" s="1419"/>
      <c r="Z18" s="1419"/>
      <c r="AA18" s="1419"/>
      <c r="AB18" s="1419"/>
      <c r="AC18" s="1419"/>
      <c r="AD18" s="1419"/>
      <c r="AE18" s="1419"/>
      <c r="AF18" s="1419"/>
      <c r="AG18" s="1419"/>
      <c r="AH18" s="1419"/>
      <c r="AI18" s="1419"/>
      <c r="AJ18" s="1419"/>
      <c r="AK18" s="1419"/>
      <c r="AL18" s="1419"/>
      <c r="AM18" s="1419"/>
      <c r="AN18" s="1419"/>
      <c r="AO18" s="1419"/>
      <c r="AP18" s="1419"/>
      <c r="AQ18" s="1419"/>
      <c r="AR18" s="1419"/>
      <c r="AS18" s="1419"/>
      <c r="AT18" s="1419"/>
      <c r="AU18" s="1419"/>
      <c r="AV18" s="1419"/>
      <c r="AW18" s="1419"/>
      <c r="AX18" s="1419"/>
      <c r="AY18" s="1419"/>
      <c r="AZ18" s="1419"/>
      <c r="BA18" s="1419"/>
      <c r="BB18" s="393"/>
      <c r="BC18" s="393"/>
      <c r="BD18" s="393"/>
      <c r="BE18" s="393"/>
      <c r="BF18" s="393"/>
      <c r="BG18" s="393"/>
      <c r="BH18" s="393"/>
      <c r="BI18" s="393"/>
      <c r="BJ18" s="393"/>
      <c r="BK18" s="393"/>
      <c r="BL18" s="393"/>
      <c r="BM18" s="393"/>
      <c r="BN18" s="393"/>
    </row>
    <row customHeight="1" ht="11.25" hidden="1">
      <c r="A19" s="1419"/>
      <c r="B19" s="1419"/>
      <c r="C19" s="1419"/>
      <c r="D19" s="1419"/>
      <c r="E19" s="1419"/>
      <c r="F19" s="1419"/>
      <c r="G19" s="1419"/>
      <c r="H19" s="1419"/>
      <c r="I19" s="1419"/>
      <c r="J19" s="1419"/>
      <c r="K19" s="1419"/>
      <c r="L19" s="1419"/>
      <c r="M19" s="1419"/>
      <c r="N19" s="1419"/>
      <c r="O19" s="1419"/>
      <c r="P19" s="1419"/>
      <c r="Q19" s="1419"/>
      <c r="R19" s="1419"/>
      <c r="S19" s="1419"/>
      <c r="T19" s="1419"/>
      <c r="U19" s="1419"/>
      <c r="V19" s="1419"/>
      <c r="W19" s="1419"/>
      <c r="X19" s="1419"/>
      <c r="Y19" s="1419"/>
      <c r="Z19" s="1419"/>
      <c r="AA19" s="1419"/>
      <c r="AB19" s="1419"/>
      <c r="AC19" s="1419"/>
      <c r="AD19" s="1419"/>
      <c r="AE19" s="1419"/>
      <c r="AF19" s="1419"/>
      <c r="AG19" s="1419"/>
      <c r="AH19" s="1419"/>
      <c r="AI19" s="1419"/>
      <c r="AJ19" s="1419"/>
      <c r="AK19" s="1419"/>
      <c r="AL19" s="1419"/>
      <c r="AM19" s="1419"/>
      <c r="AN19" s="1419"/>
      <c r="AO19" s="1419"/>
      <c r="AP19" s="1419"/>
      <c r="AQ19" s="1419"/>
      <c r="AR19" s="1419"/>
      <c r="AS19" s="1419"/>
      <c r="AT19" s="1419"/>
      <c r="AU19" s="1419"/>
      <c r="AV19" s="1419"/>
      <c r="AW19" s="1419"/>
      <c r="AX19" s="1419"/>
      <c r="AY19" s="1419"/>
      <c r="AZ19" s="1419"/>
      <c r="BA19" s="1419"/>
      <c r="BB19" s="393"/>
      <c r="BC19" s="393"/>
      <c r="BD19" s="393"/>
      <c r="BE19" s="393"/>
      <c r="BF19" s="393"/>
      <c r="BG19" s="393"/>
      <c r="BH19" s="393"/>
      <c r="BI19" s="393"/>
      <c r="BJ19" s="393"/>
      <c r="BK19" s="393"/>
      <c r="BL19" s="393"/>
      <c r="BM19" s="393"/>
      <c r="BN19" s="393"/>
    </row>
    <row customHeight="1" ht="11.25" hidden="1">
      <c r="A20" s="1419"/>
      <c r="B20" s="1419"/>
      <c r="C20" s="1419"/>
      <c r="D20" s="1419"/>
      <c r="E20" s="1419"/>
      <c r="F20" s="1419"/>
      <c r="G20" s="1419"/>
      <c r="H20" s="1419"/>
      <c r="I20" s="1419"/>
      <c r="J20" s="1419"/>
      <c r="K20" s="1419"/>
      <c r="L20" s="1419"/>
      <c r="M20" s="1419"/>
      <c r="N20" s="1419"/>
      <c r="O20" s="1419"/>
      <c r="P20" s="1419"/>
      <c r="Q20" s="1419"/>
      <c r="R20" s="1419"/>
      <c r="S20" s="1419"/>
      <c r="T20" s="1419"/>
      <c r="U20" s="1419"/>
      <c r="V20" s="1419"/>
      <c r="W20" s="1419"/>
      <c r="X20" s="1419"/>
      <c r="Y20" s="1419"/>
      <c r="Z20" s="1419"/>
      <c r="AA20" s="1419"/>
      <c r="AB20" s="1419"/>
      <c r="AC20" s="1419"/>
      <c r="AD20" s="1419"/>
      <c r="AE20" s="1419"/>
      <c r="AF20" s="1419"/>
      <c r="AG20" s="1419"/>
      <c r="AH20" s="1419"/>
      <c r="AI20" s="1419"/>
      <c r="AJ20" s="1419"/>
      <c r="AK20" s="1419"/>
      <c r="AL20" s="1419"/>
      <c r="AM20" s="1419"/>
      <c r="AN20" s="1419"/>
      <c r="AO20" s="1419"/>
      <c r="AP20" s="1419"/>
      <c r="AQ20" s="1419"/>
      <c r="AR20" s="1419"/>
      <c r="AS20" s="1419"/>
      <c r="AT20" s="1419"/>
      <c r="AU20" s="1419"/>
      <c r="AV20" s="1419"/>
      <c r="AW20" s="1419"/>
      <c r="AX20" s="1419"/>
      <c r="AY20" s="1419"/>
      <c r="AZ20" s="1419"/>
      <c r="BA20" s="1419"/>
      <c r="BB20" s="393"/>
      <c r="BC20" s="393"/>
      <c r="BD20" s="393"/>
      <c r="BE20" s="393"/>
      <c r="BF20" s="393"/>
      <c r="BG20" s="393"/>
      <c r="BH20" s="393"/>
      <c r="BI20" s="393"/>
      <c r="BJ20" s="393"/>
      <c r="BK20" s="393"/>
      <c r="BL20" s="393"/>
      <c r="BM20" s="393"/>
      <c r="BN20" s="393"/>
    </row>
    <row customHeight="1" ht="14.625">
      <c r="A21" s="1419"/>
      <c r="B21" s="1419"/>
      <c r="C21" s="1419"/>
      <c r="D21" s="1419"/>
      <c r="E21" s="2074">
        <v>15</v>
      </c>
      <c r="F21" s="1419"/>
      <c r="G21" s="1419"/>
      <c r="H21" s="1419"/>
      <c r="I21" s="1419"/>
      <c r="J21" s="1419"/>
      <c r="K21" s="1419"/>
      <c r="L21" s="1419"/>
      <c r="M21" s="1419"/>
      <c r="N21" s="1419"/>
      <c r="O21" s="1419"/>
      <c r="P21" s="1419"/>
      <c r="Q21" s="1419"/>
      <c r="R21" s="1419"/>
      <c r="S21" s="1419"/>
      <c r="T21" s="1419"/>
      <c r="U21" s="1419"/>
      <c r="V21" s="1419"/>
      <c r="W21" s="1419"/>
      <c r="X21" s="1419"/>
      <c r="Y21" s="1419"/>
      <c r="Z21" s="1419"/>
      <c r="AA21" s="2086"/>
      <c r="AB21" s="1419"/>
      <c r="AC21" s="2087" cm="1" t="str">
        <f t="array" ref="AC21:AC21">tpl_title</f>
        <v>Кемеровская область / 2026 / ОАО «СКЭК» (ИНН:4205153492, КПП:420501001) / ДПР: 2026-2026</v>
      </c>
      <c r="AD21" s="2088"/>
      <c r="AE21" s="2089"/>
      <c r="AF21" s="1419"/>
      <c r="AG21" s="1419"/>
      <c r="AH21" s="1419"/>
      <c r="AI21" s="1419"/>
      <c r="AJ21" s="1419"/>
      <c r="AK21" s="1419"/>
      <c r="AL21" s="1419"/>
      <c r="AM21" s="1419"/>
      <c r="AN21" s="1419"/>
      <c r="AO21" s="1419"/>
      <c r="AP21" s="1419"/>
      <c r="AQ21" s="1419"/>
      <c r="AR21" s="1419"/>
      <c r="AS21" s="1419"/>
      <c r="AT21" s="1419"/>
      <c r="AU21" s="1419"/>
      <c r="AV21" s="1419"/>
      <c r="AW21" s="1419"/>
      <c r="AX21" s="1419"/>
      <c r="AY21" s="1419"/>
      <c r="AZ21" s="1419"/>
      <c r="BA21" s="1419"/>
      <c r="BB21" s="393"/>
      <c r="BC21" s="393"/>
      <c r="BD21" s="393"/>
      <c r="BE21" s="393"/>
      <c r="BF21" s="393"/>
      <c r="BG21" s="393"/>
      <c r="BH21" s="393"/>
      <c r="BI21" s="393"/>
      <c r="BJ21" s="393"/>
      <c r="BK21" s="393"/>
      <c r="BL21" s="393"/>
      <c r="BM21" s="393"/>
      <c r="BN21" s="393"/>
    </row>
    <row customHeight="1" ht="21.9375">
      <c r="A22" s="1419"/>
      <c r="B22" s="1419"/>
      <c r="C22" s="1419"/>
      <c r="D22" s="1419"/>
      <c r="E22" s="2074">
        <v>22.5</v>
      </c>
      <c r="F22" s="1419"/>
      <c r="G22" s="1419"/>
      <c r="H22" s="1419"/>
      <c r="I22" s="1419"/>
      <c r="J22" s="1419"/>
      <c r="K22" s="1419"/>
      <c r="L22" s="1419"/>
      <c r="M22" s="1419"/>
      <c r="N22" s="1419"/>
      <c r="O22" s="1419"/>
      <c r="P22" s="1419"/>
      <c r="Q22" s="1419"/>
      <c r="R22" s="1419"/>
      <c r="S22" s="1419"/>
      <c r="T22" s="1419"/>
      <c r="U22" s="1419"/>
      <c r="V22" s="1419"/>
      <c r="W22" s="1419"/>
      <c r="X22" s="1419"/>
      <c r="Y22" s="1419"/>
      <c r="Z22" s="1419"/>
      <c r="AA22" s="1419"/>
      <c r="AB22" s="2090" t="s">
        <v>446</v>
      </c>
      <c r="AC22" s="2091"/>
      <c r="AD22" s="2091"/>
      <c r="AE22" s="2091"/>
      <c r="AF22" s="2091"/>
      <c r="AG22" s="2092"/>
      <c r="AH22" s="2092"/>
      <c r="AI22" s="1385"/>
      <c r="AJ22" s="1385"/>
      <c r="AK22" s="1385"/>
      <c r="AL22" s="1385"/>
      <c r="AM22" s="1385"/>
      <c r="AN22" s="1385"/>
      <c r="AO22" s="1385"/>
      <c r="AP22" s="1385"/>
      <c r="AQ22" s="1385"/>
      <c r="AR22" s="2092"/>
      <c r="AS22" s="1385"/>
      <c r="AT22" s="1385"/>
      <c r="AU22" s="1385"/>
      <c r="AV22" s="1385"/>
      <c r="AW22" s="1385"/>
      <c r="AX22" s="1385"/>
      <c r="AY22" s="1385"/>
      <c r="AZ22" s="1385"/>
      <c r="BA22" s="1385"/>
      <c r="BB22" s="393"/>
      <c r="BC22" s="393"/>
      <c r="BD22" s="393"/>
      <c r="BE22" s="393"/>
      <c r="BF22" s="393"/>
      <c r="BG22" s="393"/>
      <c r="BH22" s="393"/>
      <c r="BI22" s="393"/>
      <c r="BJ22" s="393"/>
      <c r="BK22" s="393"/>
      <c r="BL22" s="393"/>
      <c r="BM22" s="393"/>
      <c r="BN22" s="393"/>
    </row>
    <row customHeight="1" ht="14.625">
      <c r="A23" s="1419"/>
      <c r="B23" s="2073"/>
      <c r="C23" s="1419"/>
      <c r="D23" s="1419"/>
      <c r="E23" s="2094">
        <v>15</v>
      </c>
      <c r="F23" s="2066"/>
      <c r="G23" s="1419"/>
      <c r="H23" s="1419"/>
      <c r="I23" s="1419"/>
      <c r="J23" s="1419"/>
      <c r="K23" s="1419"/>
      <c r="L23" s="1419"/>
      <c r="M23" s="1419"/>
      <c r="N23" s="1419"/>
      <c r="O23" s="1419"/>
      <c r="P23" s="1419"/>
      <c r="Q23" s="1419"/>
      <c r="R23" s="1419"/>
      <c r="S23" s="1419"/>
      <c r="T23" s="1419"/>
      <c r="U23" s="1419"/>
      <c r="V23" s="1419"/>
      <c r="W23" s="1419"/>
      <c r="X23" s="1419"/>
      <c r="Y23" s="1419"/>
      <c r="Z23" s="1419"/>
      <c r="AA23" s="2073"/>
      <c r="AB23" s="2095"/>
      <c r="AC23" s="2096"/>
      <c r="AD23" s="2097"/>
      <c r="AE23" s="2098"/>
      <c r="AF23" s="1419"/>
      <c r="AG23" s="1419"/>
      <c r="AH23" s="1419"/>
      <c r="AI23" s="1419"/>
      <c r="AJ23" s="1419"/>
      <c r="AK23" s="1419"/>
      <c r="AL23" s="1419"/>
      <c r="AM23" s="1419"/>
      <c r="AN23" s="1419"/>
      <c r="AO23" s="1419"/>
      <c r="AP23" s="1419"/>
      <c r="AQ23" s="1419"/>
      <c r="AR23" s="1419"/>
      <c r="AS23" s="1419"/>
      <c r="AT23" s="1419"/>
      <c r="AU23" s="1419"/>
      <c r="AV23" s="1419"/>
      <c r="AW23" s="1419"/>
      <c r="AX23" s="1419"/>
      <c r="AY23" s="1419"/>
      <c r="AZ23" s="1419"/>
      <c r="BA23" s="1419"/>
      <c r="BB23" s="393"/>
      <c r="BC23" s="1149"/>
      <c r="BD23" s="345"/>
      <c r="BE23" s="345"/>
      <c r="BF23" s="345"/>
      <c r="BG23" s="345"/>
      <c r="BH23" s="345"/>
      <c r="BI23" s="393"/>
      <c r="BJ23" s="393"/>
      <c r="BK23" s="393"/>
      <c r="BL23" s="393"/>
      <c r="BM23" s="393"/>
      <c r="BN23" s="393"/>
    </row>
    <row customHeight="1" ht="14.625">
      <c r="A24" s="1419"/>
      <c r="B24" s="1419"/>
      <c r="C24" s="1419"/>
      <c r="D24" s="1419"/>
      <c r="E24" s="2074">
        <v>15</v>
      </c>
      <c r="F24" s="1419"/>
      <c r="G24" s="1419"/>
      <c r="H24" s="1419"/>
      <c r="I24" s="1419"/>
      <c r="J24" s="1419"/>
      <c r="K24" s="1419"/>
      <c r="L24" s="1419"/>
      <c r="M24" s="1419"/>
      <c r="N24" s="1419"/>
      <c r="O24" s="1419"/>
      <c r="P24" s="1419"/>
      <c r="Q24" s="1419"/>
      <c r="R24" s="1419"/>
      <c r="S24" s="1419"/>
      <c r="T24" s="1419"/>
      <c r="U24" s="1419"/>
      <c r="V24" s="1419"/>
      <c r="W24" s="1419"/>
      <c r="X24" s="1419"/>
      <c r="Y24" s="1419"/>
      <c r="Z24" s="1419"/>
      <c r="AA24" s="1419"/>
      <c r="AB24" s="2099" t="s">
        <v>21</v>
      </c>
      <c r="AC24" s="2099" t="s">
        <v>423</v>
      </c>
      <c r="AD24" s="2099" t="s">
        <v>359</v>
      </c>
      <c r="AE24" s="2099" t="str">
        <f>god-2&amp;" год"</f>
        <v>2024 год</v>
      </c>
      <c r="AF24" s="2100" t="str">
        <f>god-2&amp;" год"</f>
        <v>2024 год</v>
      </c>
      <c r="AG24" s="2099" t="str">
        <f>god-1&amp;" год"</f>
        <v>2025 год</v>
      </c>
      <c r="AH24" s="2100" t="str">
        <f>god&amp;" год"</f>
        <v>2026 год</v>
      </c>
      <c r="AI24" s="1392" t="str">
        <f>god+1&amp;" год"</f>
        <v>2027 год</v>
      </c>
      <c r="AJ24" s="1392" t="str">
        <f>god+2&amp;" год"</f>
        <v>2028 год</v>
      </c>
      <c r="AK24" s="1392" t="str">
        <f>god+3&amp;" год"</f>
        <v>2029 год</v>
      </c>
      <c r="AL24" s="1392" t="str">
        <f>god+4&amp;" год"</f>
        <v>2030 год</v>
      </c>
      <c r="AM24" s="1392" t="str">
        <f>god+5&amp;" год"</f>
        <v>2031 год</v>
      </c>
      <c r="AN24" s="1392" t="str">
        <f>god+6&amp;" год"</f>
        <v>2032 год</v>
      </c>
      <c r="AO24" s="1392" t="str">
        <f>god+7&amp;" год"</f>
        <v>2033 год</v>
      </c>
      <c r="AP24" s="1392" t="str">
        <f>god+8&amp;" год"</f>
        <v>2034 год</v>
      </c>
      <c r="AQ24" s="1392" t="str">
        <f>god+9&amp;" год"</f>
        <v>2035 год</v>
      </c>
      <c r="AR24" s="2099" t="str">
        <f>god&amp;" год"</f>
        <v>2026 год</v>
      </c>
      <c r="AS24" s="1391" t="str">
        <f>god+1&amp;" год"</f>
        <v>2027 год</v>
      </c>
      <c r="AT24" s="1391" t="str">
        <f>god+2&amp;" год"</f>
        <v>2028 год</v>
      </c>
      <c r="AU24" s="1391" t="str">
        <f>god+3&amp;" год"</f>
        <v>2029 год</v>
      </c>
      <c r="AV24" s="1391" t="str">
        <f>god+4&amp;" год"</f>
        <v>2030 год</v>
      </c>
      <c r="AW24" s="1391" t="str">
        <f>god+5&amp;" год"</f>
        <v>2031 год</v>
      </c>
      <c r="AX24" s="1391" t="str">
        <f>god+6&amp;" год"</f>
        <v>2032 год</v>
      </c>
      <c r="AY24" s="1391" t="str">
        <f>god+7&amp;" год"</f>
        <v>2033 год</v>
      </c>
      <c r="AZ24" s="1391" t="str">
        <f>god+8&amp;" год"</f>
        <v>2034 год</v>
      </c>
      <c r="BA24" s="1391" t="str">
        <f>god+9&amp;" год"</f>
        <v>2035 год</v>
      </c>
      <c r="BB24" s="393"/>
      <c r="BC24" s="393"/>
      <c r="BD24" s="393"/>
      <c r="BE24" s="393"/>
      <c r="BF24" s="393"/>
      <c r="BG24" s="393"/>
      <c r="BH24" s="393"/>
      <c r="BI24" s="393"/>
      <c r="BJ24" s="393"/>
      <c r="BK24" s="393"/>
      <c r="BL24" s="393"/>
      <c r="BM24" s="393"/>
      <c r="BN24" s="393"/>
    </row>
    <row customHeight="1" ht="67.275">
      <c r="A25" s="1419"/>
      <c r="B25" s="1419"/>
      <c r="C25" s="1419"/>
      <c r="D25" s="1419"/>
      <c r="E25" s="2074">
        <v>69</v>
      </c>
      <c r="F25" s="1419"/>
      <c r="G25" s="1419"/>
      <c r="H25" s="1419"/>
      <c r="I25" s="1419"/>
      <c r="J25" s="1419"/>
      <c r="K25" s="1419"/>
      <c r="L25" s="1419"/>
      <c r="M25" s="1419"/>
      <c r="N25" s="1419"/>
      <c r="O25" s="1419"/>
      <c r="P25" s="1419"/>
      <c r="Q25" s="1419"/>
      <c r="R25" s="1419"/>
      <c r="S25" s="1419"/>
      <c r="T25" s="1419"/>
      <c r="U25" s="1419"/>
      <c r="V25" s="1419"/>
      <c r="W25" s="1419"/>
      <c r="X25" s="1419"/>
      <c r="Y25" s="1419"/>
      <c r="Z25" s="1419"/>
      <c r="AA25" s="1419"/>
      <c r="AB25" s="2099"/>
      <c r="AC25" s="2099"/>
      <c r="AD25" s="2099"/>
      <c r="AE25" s="2103" t="s">
        <v>351</v>
      </c>
      <c r="AF25" s="2104" t="s">
        <v>424</v>
      </c>
      <c r="AG25" s="2099" t="s">
        <v>351</v>
      </c>
      <c r="AH25" s="2104" t="s">
        <v>352</v>
      </c>
      <c r="AI25" s="1394" t="s">
        <v>352</v>
      </c>
      <c r="AJ25" s="1394" t="s">
        <v>352</v>
      </c>
      <c r="AK25" s="1394" t="s">
        <v>352</v>
      </c>
      <c r="AL25" s="1394" t="s">
        <v>352</v>
      </c>
      <c r="AM25" s="1394" t="s">
        <v>352</v>
      </c>
      <c r="AN25" s="1394" t="s">
        <v>352</v>
      </c>
      <c r="AO25" s="1394" t="s">
        <v>352</v>
      </c>
      <c r="AP25" s="1394" t="s">
        <v>352</v>
      </c>
      <c r="AQ25" s="1394" t="s">
        <v>352</v>
      </c>
      <c r="AR25" s="2099" t="s">
        <v>351</v>
      </c>
      <c r="AS25" s="1391" t="s">
        <v>351</v>
      </c>
      <c r="AT25" s="1391" t="s">
        <v>351</v>
      </c>
      <c r="AU25" s="1391" t="s">
        <v>351</v>
      </c>
      <c r="AV25" s="1391" t="s">
        <v>351</v>
      </c>
      <c r="AW25" s="1391" t="s">
        <v>351</v>
      </c>
      <c r="AX25" s="1391" t="s">
        <v>351</v>
      </c>
      <c r="AY25" s="1391" t="s">
        <v>351</v>
      </c>
      <c r="AZ25" s="1391" t="s">
        <v>351</v>
      </c>
      <c r="BA25" s="1391" t="s">
        <v>351</v>
      </c>
      <c r="BB25" s="393"/>
      <c r="BC25" s="393"/>
      <c r="BD25" s="393"/>
      <c r="BE25" s="393"/>
      <c r="BF25" s="393"/>
      <c r="BG25" s="393"/>
      <c r="BH25" s="393"/>
      <c r="BI25" s="393"/>
      <c r="BJ25" s="393"/>
      <c r="BK25" s="393"/>
      <c r="BL25" s="393"/>
      <c r="BM25" s="393"/>
      <c r="BN25" s="393"/>
    </row>
    <row s="1512" customFormat="1" customHeight="1" ht="11.25" hidden="1">
      <c r="A26" s="2106"/>
      <c r="B26" s="2107"/>
      <c r="C26" s="2106"/>
      <c r="D26" s="2106"/>
      <c r="E26" s="2108">
        <v>0</v>
      </c>
      <c r="F26" s="1418"/>
      <c r="G26" s="2106"/>
      <c r="H26" s="2106"/>
      <c r="I26" s="2106"/>
      <c r="J26" s="2106"/>
      <c r="K26" s="2106"/>
      <c r="L26" s="2106"/>
      <c r="M26" s="2106"/>
      <c r="N26" s="2106"/>
      <c r="O26" s="2106"/>
      <c r="P26" s="2106"/>
      <c r="Q26" s="2106"/>
      <c r="R26" s="2106"/>
      <c r="S26" s="2106"/>
      <c r="T26" s="2106"/>
      <c r="U26" s="2106"/>
      <c r="V26" s="2106"/>
      <c r="W26" s="2106"/>
      <c r="X26" s="2106"/>
      <c r="Y26" s="2106"/>
      <c r="Z26" s="2106"/>
      <c r="AA26" s="1419"/>
      <c r="AB26" s="2109"/>
      <c r="AC26" s="2110"/>
      <c r="AD26" s="2089"/>
      <c r="AE26" s="2111"/>
      <c r="AF26" s="2111"/>
      <c r="AG26" s="2111"/>
      <c r="AH26" s="2111"/>
      <c r="AI26" s="1400"/>
      <c r="AJ26" s="1400"/>
      <c r="AK26" s="1400"/>
      <c r="AL26" s="1400"/>
      <c r="AM26" s="1400"/>
      <c r="AN26" s="1400"/>
      <c r="AO26" s="1400"/>
      <c r="AP26" s="1400"/>
      <c r="AQ26" s="1400"/>
      <c r="AR26" s="2111"/>
      <c r="AS26" s="1400"/>
      <c r="AT26" s="1400"/>
      <c r="AU26" s="1400"/>
      <c r="AV26" s="1400"/>
      <c r="AW26" s="1400"/>
      <c r="AX26" s="1400"/>
      <c r="AY26" s="1400"/>
      <c r="AZ26" s="1400"/>
      <c r="BA26" s="1400"/>
      <c r="BB26" s="393"/>
      <c r="BC26" s="1151"/>
      <c r="BD26" s="345"/>
      <c r="BE26" s="345"/>
      <c r="BF26" s="345"/>
      <c r="BG26" s="345"/>
      <c r="BH26" s="345"/>
      <c r="BI26" s="393"/>
      <c r="BJ26" s="393"/>
      <c r="BK26" s="393"/>
      <c r="BL26" s="393"/>
      <c r="BM26" s="393"/>
      <c r="BN26" s="393"/>
    </row>
    <row s="1441" customFormat="1" customHeight="1" ht="14.625" hidden="1">
      <c r="A27" s="1419"/>
      <c r="B27" s="1401"/>
      <c r="C27" s="1419"/>
      <c r="D27" s="1419"/>
      <c r="E27" s="1402">
        <v>15</v>
      </c>
      <c r="F27" s="1364" cm="1" t="str">
        <f t="array" ref="F27:F27">Y27</f>
        <v>0</v>
      </c>
      <c r="G27" s="1419"/>
      <c r="H27" s="1419"/>
      <c r="I27" s="1419"/>
      <c r="J27" s="1419"/>
      <c r="K27" s="1419"/>
      <c r="L27" s="1419"/>
      <c r="M27" s="1419"/>
      <c r="N27" s="1419"/>
      <c r="O27" s="1419"/>
      <c r="P27" s="1419"/>
      <c r="Q27" s="1419"/>
      <c r="R27" s="1419"/>
      <c r="S27" s="1419"/>
      <c r="T27" s="1419"/>
      <c r="U27" s="1419"/>
      <c r="V27" s="1365">
        <f>Y27&gt;0</f>
        <v>0</v>
      </c>
      <c r="W27" s="1419"/>
      <c r="X27" s="1399" t="s">
        <v>267</v>
      </c>
      <c r="Y27" s="1491">
        <v>0</v>
      </c>
      <c r="Z27" s="1513"/>
      <c r="AA27" s="1419"/>
      <c r="AB27" s="1403" cm="1" t="str">
        <f t="array" ref="AB27:AB27">INDEX('Общие сведения'!$AG$179:$AG$208,MATCH($Y27,'Общие сведения'!$Z$179:$Z$208,0))</f>
        <v>Тариф 0 () - тариф на транспортировку сточных вод</v>
      </c>
      <c r="AC27" s="1404"/>
      <c r="AD27" s="1405"/>
      <c r="AE27" s="1405"/>
      <c r="AF27" s="1405"/>
      <c r="AG27" s="1405"/>
      <c r="AH27" s="1405"/>
      <c r="AI27" s="1405"/>
      <c r="AJ27" s="1405"/>
      <c r="AK27" s="1405"/>
      <c r="AL27" s="1405"/>
      <c r="AM27" s="1405"/>
      <c r="AN27" s="1405"/>
      <c r="AO27" s="1405"/>
      <c r="AP27" s="1405"/>
      <c r="AQ27" s="1405"/>
      <c r="AR27" s="1405"/>
      <c r="AS27" s="1405"/>
      <c r="AT27" s="1405"/>
      <c r="AU27" s="1405"/>
      <c r="AV27" s="1405"/>
      <c r="AW27" s="1405"/>
      <c r="AX27" s="1405"/>
      <c r="AY27" s="1405"/>
      <c r="AZ27" s="1405"/>
      <c r="BA27" s="1405"/>
      <c r="BB27" s="393"/>
      <c r="BC27" s="1152"/>
      <c r="BD27" s="345"/>
      <c r="BE27" s="345"/>
      <c r="BF27" s="345"/>
      <c r="BG27" s="345"/>
      <c r="BH27" s="345"/>
      <c r="BI27" s="393"/>
      <c r="BJ27" s="393"/>
      <c r="BK27" s="393"/>
      <c r="BL27" s="393"/>
      <c r="BM27" s="393"/>
      <c r="BN27" s="393"/>
    </row>
    <row customHeight="1" ht="21.9375" hidden="1">
      <c r="A28" s="1419"/>
      <c r="B28" s="1418"/>
      <c r="C28" s="1419"/>
      <c r="D28" s="1419"/>
      <c r="E28" s="1370">
        <v>22.5</v>
      </c>
      <c r="F28" s="1420" cm="1" t="str">
        <f t="array" ref="F28:F28">OFFSET(E28,-1,1)</f>
        <v>0</v>
      </c>
      <c r="G28" s="1419"/>
      <c r="H28" s="1419"/>
      <c r="I28" s="1419"/>
      <c r="J28" s="1419"/>
      <c r="K28" s="1419"/>
      <c r="L28" s="1419"/>
      <c r="M28" s="1419"/>
      <c r="N28" s="1419"/>
      <c r="O28" s="1419"/>
      <c r="P28" s="1419"/>
      <c r="Q28" s="1419"/>
      <c r="R28" s="1419"/>
      <c r="S28" s="1419"/>
      <c r="T28" s="1419"/>
      <c r="U28" s="1419"/>
      <c r="V28" s="1365" cm="1" t="str">
        <f t="array" ref="V28:V28">V27</f>
        <v>false</v>
      </c>
      <c r="W28" s="1419"/>
      <c r="X28" s="1419"/>
      <c r="Y28" s="1491"/>
      <c r="Z28" s="1513"/>
      <c r="AA28" s="1419"/>
      <c r="AB28" s="1406">
        <v>1</v>
      </c>
      <c r="AC28" s="1407" t="s">
        <v>446</v>
      </c>
      <c r="AD28" s="1408"/>
      <c r="AE28" s="2129"/>
      <c r="AF28" s="2129"/>
      <c r="AG28" s="2129"/>
      <c r="AH28" s="2129"/>
      <c r="AI28" s="2129"/>
      <c r="AJ28" s="2129"/>
      <c r="AK28" s="2129"/>
      <c r="AL28" s="2129"/>
      <c r="AM28" s="2129"/>
      <c r="AN28" s="2129"/>
      <c r="AO28" s="2129"/>
      <c r="AP28" s="2129"/>
      <c r="AQ28" s="2129"/>
      <c r="AR28" s="2129"/>
      <c r="AS28" s="2129"/>
      <c r="AT28" s="2129"/>
      <c r="AU28" s="2129"/>
      <c r="AV28" s="2129"/>
      <c r="AW28" s="2129"/>
      <c r="AX28" s="2129"/>
      <c r="AY28" s="2129"/>
      <c r="AZ28" s="2129"/>
      <c r="BA28" s="2129"/>
      <c r="BB28" s="393"/>
      <c r="BC28" s="1147" t="s">
        <v>493</v>
      </c>
      <c r="BD28" s="393"/>
      <c r="BE28" s="393"/>
      <c r="BF28" s="393"/>
      <c r="BG28" s="393"/>
      <c r="BH28" s="393"/>
      <c r="BI28" s="393"/>
      <c r="BJ28" s="393"/>
      <c r="BK28" s="393"/>
      <c r="BL28" s="393"/>
      <c r="BM28" s="393"/>
      <c r="BN28" s="393"/>
    </row>
    <row customHeight="1" ht="23.400000000000002" hidden="1">
      <c r="A29" s="1419"/>
      <c r="B29" s="1419"/>
      <c r="C29" s="1419"/>
      <c r="D29" s="1419"/>
      <c r="E29" s="1370">
        <v>24</v>
      </c>
      <c r="F29" s="1420" cm="1" t="str">
        <f t="array" ref="F29:F29">OFFSET(E29,-1,1)</f>
        <v>0</v>
      </c>
      <c r="G29" s="1419"/>
      <c r="H29" s="1419"/>
      <c r="I29" s="1419"/>
      <c r="J29" s="1419"/>
      <c r="K29" s="1419"/>
      <c r="L29" s="1419"/>
      <c r="M29" s="1419"/>
      <c r="N29" s="1419"/>
      <c r="O29" s="1419"/>
      <c r="P29" s="1419"/>
      <c r="Q29" s="1419"/>
      <c r="R29" s="1419"/>
      <c r="S29" s="1419"/>
      <c r="T29" s="1419"/>
      <c r="U29" s="1419"/>
      <c r="V29" s="1365" cm="1" t="str">
        <f t="array" ref="V29:V29">V28</f>
        <v>false</v>
      </c>
      <c r="W29" s="1419"/>
      <c r="X29" s="1419"/>
      <c r="Y29" s="1491"/>
      <c r="Z29" s="1513"/>
      <c r="AA29" s="1419"/>
      <c r="AB29" s="1406">
        <v>2</v>
      </c>
      <c r="AC29" s="1407" t="s">
        <v>494</v>
      </c>
      <c r="AD29" s="1408" t="s">
        <v>430</v>
      </c>
      <c r="AE29" s="2129"/>
      <c r="AF29" s="2129"/>
      <c r="AG29" s="2129"/>
      <c r="AH29" s="2129"/>
      <c r="AI29" s="2129"/>
      <c r="AJ29" s="2129"/>
      <c r="AK29" s="2129"/>
      <c r="AL29" s="2129"/>
      <c r="AM29" s="2129"/>
      <c r="AN29" s="2129"/>
      <c r="AO29" s="2129"/>
      <c r="AP29" s="2129"/>
      <c r="AQ29" s="2129"/>
      <c r="AR29" s="2129"/>
      <c r="AS29" s="2129"/>
      <c r="AT29" s="2129"/>
      <c r="AU29" s="2129"/>
      <c r="AV29" s="2129"/>
      <c r="AW29" s="2129"/>
      <c r="AX29" s="2129"/>
      <c r="AY29" s="2129"/>
      <c r="AZ29" s="2129"/>
      <c r="BA29" s="2129"/>
      <c r="BB29" s="393"/>
      <c r="BC29" s="1147" t="s">
        <v>495</v>
      </c>
      <c r="BD29" s="393"/>
      <c r="BE29" s="393"/>
      <c r="BF29" s="393"/>
      <c r="BG29" s="393"/>
      <c r="BH29" s="393"/>
      <c r="BI29" s="393"/>
      <c r="BJ29" s="393"/>
      <c r="BK29" s="393"/>
      <c r="BL29" s="393"/>
      <c r="BM29" s="393"/>
      <c r="BN29" s="393"/>
    </row>
    <row customHeight="1" ht="69.46875" hidden="1">
      <c r="A30" s="1419"/>
      <c r="B30" s="1419"/>
      <c r="C30" s="1419"/>
      <c r="D30" s="1419"/>
      <c r="E30" s="1370">
        <v>71.25</v>
      </c>
      <c r="F30" s="1420" cm="1" t="str">
        <f t="array" ref="F30:F30">OFFSET(E30,-1,1)</f>
        <v>0</v>
      </c>
      <c r="G30" s="1419"/>
      <c r="H30" s="1419"/>
      <c r="I30" s="1419"/>
      <c r="J30" s="1419"/>
      <c r="K30" s="1419"/>
      <c r="L30" s="1419"/>
      <c r="M30" s="1419"/>
      <c r="N30" s="1419"/>
      <c r="O30" s="1419"/>
      <c r="P30" s="1419"/>
      <c r="Q30" s="1419"/>
      <c r="R30" s="1419"/>
      <c r="S30" s="1419"/>
      <c r="T30" s="1419"/>
      <c r="U30" s="1419"/>
      <c r="V30" s="1365" cm="1" t="str">
        <f t="array" ref="V30:V30">V29</f>
        <v>false</v>
      </c>
      <c r="W30" s="1419"/>
      <c r="X30" s="1419"/>
      <c r="Y30" s="1491"/>
      <c r="Z30" s="1513"/>
      <c r="AA30" s="1419"/>
      <c r="AB30" s="1406">
        <v>3</v>
      </c>
      <c r="AC30" s="1410" t="s">
        <v>496</v>
      </c>
      <c r="AD30" s="1408" t="s">
        <v>430</v>
      </c>
      <c r="AE30" s="2129"/>
      <c r="AF30" s="2129"/>
      <c r="AG30" s="2129"/>
      <c r="AH30" s="2129"/>
      <c r="AI30" s="2129"/>
      <c r="AJ30" s="2129"/>
      <c r="AK30" s="2129"/>
      <c r="AL30" s="2129"/>
      <c r="AM30" s="2129"/>
      <c r="AN30" s="2129"/>
      <c r="AO30" s="2129"/>
      <c r="AP30" s="2129"/>
      <c r="AQ30" s="2129"/>
      <c r="AR30" s="2129"/>
      <c r="AS30" s="2129"/>
      <c r="AT30" s="2129"/>
      <c r="AU30" s="2129"/>
      <c r="AV30" s="2129"/>
      <c r="AW30" s="2129"/>
      <c r="AX30" s="2129"/>
      <c r="AY30" s="2129"/>
      <c r="AZ30" s="2129"/>
      <c r="BA30" s="2129"/>
      <c r="BB30" s="393"/>
      <c r="BC30" s="1147" t="s">
        <v>497</v>
      </c>
      <c r="BD30" s="393"/>
      <c r="BE30" s="393"/>
      <c r="BF30" s="393"/>
      <c r="BG30" s="393"/>
      <c r="BH30" s="393"/>
      <c r="BI30" s="393"/>
      <c r="BJ30" s="393"/>
      <c r="BK30" s="393"/>
      <c r="BL30" s="393"/>
      <c r="BM30" s="393"/>
      <c r="BN30" s="393"/>
    </row>
    <row customHeight="1" ht="24.131250000000005" hidden="1">
      <c r="A31" s="1419"/>
      <c r="B31" s="1418"/>
      <c r="C31" s="1419"/>
      <c r="D31" s="1419"/>
      <c r="E31" s="1370">
        <v>24.75</v>
      </c>
      <c r="F31" s="1420" cm="1" t="str">
        <f t="array" ref="F31:F31">OFFSET(E31,-1,1)</f>
        <v>0</v>
      </c>
      <c r="G31" s="1419"/>
      <c r="H31" s="1419"/>
      <c r="I31" s="1419"/>
      <c r="J31" s="1419"/>
      <c r="K31" s="1419"/>
      <c r="L31" s="1419"/>
      <c r="M31" s="1419"/>
      <c r="N31" s="1419"/>
      <c r="O31" s="1419"/>
      <c r="P31" s="1419"/>
      <c r="Q31" s="1419"/>
      <c r="R31" s="1419"/>
      <c r="S31" s="1419"/>
      <c r="T31" s="1419"/>
      <c r="U31" s="1419"/>
      <c r="V31" s="1365" cm="1" t="str">
        <f t="array" ref="V31:V31">V30</f>
        <v>false</v>
      </c>
      <c r="W31" s="1419"/>
      <c r="X31" s="1419"/>
      <c r="Y31" s="1491"/>
      <c r="Z31" s="1513"/>
      <c r="AA31" s="1419"/>
      <c r="AB31" s="1406">
        <v>4</v>
      </c>
      <c r="AC31" s="1407" t="s">
        <v>435</v>
      </c>
      <c r="AD31" s="1408"/>
      <c r="AE31" s="2129"/>
      <c r="AF31" s="2129"/>
      <c r="AG31" s="2129"/>
      <c r="AH31" s="2129"/>
      <c r="AI31" s="2129"/>
      <c r="AJ31" s="2129"/>
      <c r="AK31" s="2129"/>
      <c r="AL31" s="2129"/>
      <c r="AM31" s="2129"/>
      <c r="AN31" s="2129"/>
      <c r="AO31" s="2129"/>
      <c r="AP31" s="2129"/>
      <c r="AQ31" s="2129"/>
      <c r="AR31" s="2129"/>
      <c r="AS31" s="2129"/>
      <c r="AT31" s="2129"/>
      <c r="AU31" s="2129"/>
      <c r="AV31" s="2129"/>
      <c r="AW31" s="2129"/>
      <c r="AX31" s="2129"/>
      <c r="AY31" s="2129"/>
      <c r="AZ31" s="2129"/>
      <c r="BA31" s="2129"/>
      <c r="BB31" s="393"/>
      <c r="BC31" s="1147" t="s">
        <v>498</v>
      </c>
      <c r="BD31" s="393"/>
      <c r="BE31" s="393"/>
      <c r="BF31" s="393"/>
      <c r="BG31" s="393"/>
      <c r="BH31" s="393"/>
      <c r="BI31" s="393"/>
      <c r="BJ31" s="393"/>
      <c r="BK31" s="393"/>
      <c r="BL31" s="393"/>
      <c r="BM31" s="393"/>
      <c r="BN31" s="393"/>
    </row>
    <row s="2132" customFormat="1" customHeight="1" ht="14.25">
      <c r="A32" s="1419"/>
      <c r="B32" s="1401"/>
      <c r="C32" s="1419"/>
      <c r="D32" s="1419"/>
      <c r="E32" s="1402">
        <v>15</v>
      </c>
      <c r="F32" s="1364" cm="1" t="str">
        <f t="array" ref="F32:F32">Y32</f>
        <v>1</v>
      </c>
      <c r="G32" s="1419"/>
      <c r="H32" s="1419"/>
      <c r="I32" s="1419"/>
      <c r="J32" s="1419"/>
      <c r="K32" s="1419"/>
      <c r="L32" s="1419"/>
      <c r="M32" s="1419"/>
      <c r="N32" s="1419"/>
      <c r="O32" s="1419"/>
      <c r="P32" s="1419"/>
      <c r="Q32" s="1419"/>
      <c r="R32" s="1419"/>
      <c r="S32" s="1419"/>
      <c r="T32" s="1419"/>
      <c r="U32" s="1419"/>
      <c r="V32" s="1365">
        <f>Y32&gt;0</f>
        <v>1</v>
      </c>
      <c r="W32" s="1419"/>
      <c r="X32" s="1399" cm="1" t="str">
        <f t="array" ref="X32:X32">Сценарии!$AB$55</f>
        <v>Тариф 1 (Водоотведение) - тариф на транспортировку сточных вод</v>
      </c>
      <c r="Y32" s="1491" t="s">
        <v>281</v>
      </c>
      <c r="Z32" s="1513"/>
      <c r="AA32" s="1419"/>
      <c r="AB32" s="1403" cm="1" t="str">
        <f t="array" ref="AB32:AB32">Сценарии!$AB$55</f>
        <v>Тариф 1 (Водоотведение) - тариф на транспортировку сточных вод</v>
      </c>
      <c r="AC32" s="1404"/>
      <c r="AD32" s="1405"/>
      <c r="AE32" s="1405"/>
      <c r="AF32" s="1405"/>
      <c r="AG32" s="1405"/>
      <c r="AH32" s="1405"/>
      <c r="AI32" s="1405"/>
      <c r="AJ32" s="1405"/>
      <c r="AK32" s="1405"/>
      <c r="AL32" s="1405"/>
      <c r="AM32" s="1405"/>
      <c r="AN32" s="1405"/>
      <c r="AO32" s="1405"/>
      <c r="AP32" s="1405"/>
      <c r="AQ32" s="1405"/>
      <c r="AR32" s="1405"/>
      <c r="AS32" s="1405"/>
      <c r="AT32" s="1405"/>
      <c r="AU32" s="1405"/>
      <c r="AV32" s="1405"/>
      <c r="AW32" s="1405"/>
      <c r="AX32" s="1405"/>
      <c r="AY32" s="1405"/>
      <c r="AZ32" s="1405"/>
      <c r="BA32" s="1405"/>
      <c r="BB32" s="393"/>
      <c r="BC32" s="1152"/>
      <c r="BD32" s="345"/>
      <c r="BE32" s="345"/>
      <c r="BF32" s="345"/>
      <c r="BG32" s="345"/>
      <c r="BH32" s="345"/>
      <c r="BI32" s="393"/>
      <c r="BJ32" s="393"/>
      <c r="BK32" s="393"/>
      <c r="BL32" s="393"/>
      <c r="BM32" s="393"/>
      <c r="BN32" s="393"/>
    </row>
    <row s="1624" customFormat="1" customHeight="1" ht="21.75">
      <c r="A33" s="1419"/>
      <c r="B33" s="1418"/>
      <c r="C33" s="1419"/>
      <c r="D33" s="1419"/>
      <c r="E33" s="1370">
        <v>22.5</v>
      </c>
      <c r="F33" s="1420" cm="1" t="str">
        <f t="array" ref="F33:F33">OFFSET(E33,-1,1)</f>
        <v>1</v>
      </c>
      <c r="G33" s="1419"/>
      <c r="H33" s="1419"/>
      <c r="I33" s="1419"/>
      <c r="J33" s="1419"/>
      <c r="K33" s="1419"/>
      <c r="L33" s="1419"/>
      <c r="M33" s="1419"/>
      <c r="N33" s="1419"/>
      <c r="O33" s="1419"/>
      <c r="P33" s="1419"/>
      <c r="Q33" s="1419"/>
      <c r="R33" s="1419"/>
      <c r="S33" s="1419"/>
      <c r="T33" s="1419"/>
      <c r="U33" s="1419"/>
      <c r="V33" s="1365" cm="1" t="str">
        <f t="array" ref="V33:V33">V32</f>
        <v>true</v>
      </c>
      <c r="W33" s="1419"/>
      <c r="X33" s="1419"/>
      <c r="Y33" s="1491"/>
      <c r="Z33" s="1513"/>
      <c r="AA33" s="1419"/>
      <c r="AB33" s="1406">
        <v>1</v>
      </c>
      <c r="AC33" s="1407" t="s">
        <v>446</v>
      </c>
      <c r="AD33" s="1408"/>
      <c r="AE33" s="1409"/>
      <c r="AF33" s="1409"/>
      <c r="AG33" s="1409"/>
      <c r="AH33" s="1409"/>
      <c r="AI33" s="1409"/>
      <c r="AJ33" s="1409"/>
      <c r="AK33" s="1409"/>
      <c r="AL33" s="1409"/>
      <c r="AM33" s="1409"/>
      <c r="AN33" s="1409"/>
      <c r="AO33" s="1409"/>
      <c r="AP33" s="1409"/>
      <c r="AQ33" s="1409"/>
      <c r="AR33" s="1409"/>
      <c r="AS33" s="1409"/>
      <c r="AT33" s="1409"/>
      <c r="AU33" s="1409"/>
      <c r="AV33" s="1409"/>
      <c r="AW33" s="1409"/>
      <c r="AX33" s="1409"/>
      <c r="AY33" s="1409"/>
      <c r="AZ33" s="1409"/>
      <c r="BA33" s="1409"/>
      <c r="BB33" s="393"/>
      <c r="BC33" s="1147" t="s">
        <v>493</v>
      </c>
      <c r="BD33" s="393"/>
      <c r="BE33" s="393"/>
      <c r="BF33" s="393"/>
      <c r="BG33" s="393"/>
      <c r="BH33" s="393"/>
      <c r="BI33" s="393"/>
      <c r="BJ33" s="393"/>
      <c r="BK33" s="393"/>
      <c r="BL33" s="393"/>
      <c r="BM33" s="393"/>
      <c r="BN33" s="393"/>
    </row>
    <row s="1624" customFormat="1" customHeight="1" ht="23.25">
      <c r="A34" s="1419"/>
      <c r="B34" s="1419"/>
      <c r="C34" s="1419"/>
      <c r="D34" s="1419"/>
      <c r="E34" s="1370">
        <v>24</v>
      </c>
      <c r="F34" s="1420" cm="1" t="str">
        <f t="array" ref="F34:F34">OFFSET(E34,-1,1)</f>
        <v>1</v>
      </c>
      <c r="G34" s="1419"/>
      <c r="H34" s="1419"/>
      <c r="I34" s="1419"/>
      <c r="J34" s="1419"/>
      <c r="K34" s="1419"/>
      <c r="L34" s="1419"/>
      <c r="M34" s="1419"/>
      <c r="N34" s="1419"/>
      <c r="O34" s="1419"/>
      <c r="P34" s="1419"/>
      <c r="Q34" s="1419"/>
      <c r="R34" s="1419"/>
      <c r="S34" s="1419"/>
      <c r="T34" s="1419"/>
      <c r="U34" s="1419"/>
      <c r="V34" s="1365" cm="1" t="str">
        <f t="array" ref="V34:V34">V33</f>
        <v>true</v>
      </c>
      <c r="W34" s="1419"/>
      <c r="X34" s="1419"/>
      <c r="Y34" s="1491"/>
      <c r="Z34" s="1513"/>
      <c r="AA34" s="1419"/>
      <c r="AB34" s="1406">
        <v>2</v>
      </c>
      <c r="AC34" s="1407" t="s">
        <v>494</v>
      </c>
      <c r="AD34" s="1408" t="s">
        <v>430</v>
      </c>
      <c r="AE34" s="1409"/>
      <c r="AF34" s="1409"/>
      <c r="AG34" s="1409"/>
      <c r="AH34" s="1409"/>
      <c r="AI34" s="1409"/>
      <c r="AJ34" s="1409"/>
      <c r="AK34" s="1409"/>
      <c r="AL34" s="1409"/>
      <c r="AM34" s="1409"/>
      <c r="AN34" s="1409"/>
      <c r="AO34" s="1409"/>
      <c r="AP34" s="1409"/>
      <c r="AQ34" s="1409"/>
      <c r="AR34" s="1409"/>
      <c r="AS34" s="1409"/>
      <c r="AT34" s="1409"/>
      <c r="AU34" s="1409"/>
      <c r="AV34" s="1409"/>
      <c r="AW34" s="1409"/>
      <c r="AX34" s="1409"/>
      <c r="AY34" s="1409"/>
      <c r="AZ34" s="1409"/>
      <c r="BA34" s="1409"/>
      <c r="BB34" s="393"/>
      <c r="BC34" s="1147" t="s">
        <v>495</v>
      </c>
      <c r="BD34" s="393"/>
      <c r="BE34" s="393"/>
      <c r="BF34" s="393"/>
      <c r="BG34" s="393"/>
      <c r="BH34" s="393"/>
      <c r="BI34" s="393"/>
      <c r="BJ34" s="393"/>
      <c r="BK34" s="393"/>
      <c r="BL34" s="393"/>
      <c r="BM34" s="393"/>
      <c r="BN34" s="393"/>
    </row>
    <row s="1624" customFormat="1" customHeight="1" ht="69">
      <c r="A35" s="1419"/>
      <c r="B35" s="1419"/>
      <c r="C35" s="1419"/>
      <c r="D35" s="1419"/>
      <c r="E35" s="1370">
        <v>71.25</v>
      </c>
      <c r="F35" s="1420" cm="1" t="str">
        <f t="array" ref="F35:F35">OFFSET(E35,-1,1)</f>
        <v>1</v>
      </c>
      <c r="G35" s="1419"/>
      <c r="H35" s="1419"/>
      <c r="I35" s="1419"/>
      <c r="J35" s="1419"/>
      <c r="K35" s="1419"/>
      <c r="L35" s="1419"/>
      <c r="M35" s="1419"/>
      <c r="N35" s="1419"/>
      <c r="O35" s="1419"/>
      <c r="P35" s="1419"/>
      <c r="Q35" s="1419"/>
      <c r="R35" s="1419"/>
      <c r="S35" s="1419"/>
      <c r="T35" s="1419"/>
      <c r="U35" s="1419"/>
      <c r="V35" s="1365" cm="1" t="str">
        <f t="array" ref="V35:V35">V34</f>
        <v>true</v>
      </c>
      <c r="W35" s="1419"/>
      <c r="X35" s="1419"/>
      <c r="Y35" s="1491"/>
      <c r="Z35" s="1513"/>
      <c r="AA35" s="1419"/>
      <c r="AB35" s="1406">
        <v>3</v>
      </c>
      <c r="AC35" s="1410" t="s">
        <v>496</v>
      </c>
      <c r="AD35" s="1408" t="s">
        <v>430</v>
      </c>
      <c r="AE35" s="1409"/>
      <c r="AF35" s="1409"/>
      <c r="AG35" s="1409"/>
      <c r="AH35" s="1409"/>
      <c r="AI35" s="1409"/>
      <c r="AJ35" s="1409"/>
      <c r="AK35" s="1409"/>
      <c r="AL35" s="1409"/>
      <c r="AM35" s="1409"/>
      <c r="AN35" s="1409"/>
      <c r="AO35" s="1409"/>
      <c r="AP35" s="1409"/>
      <c r="AQ35" s="1409"/>
      <c r="AR35" s="1409"/>
      <c r="AS35" s="1409"/>
      <c r="AT35" s="1409"/>
      <c r="AU35" s="1409"/>
      <c r="AV35" s="1409"/>
      <c r="AW35" s="1409"/>
      <c r="AX35" s="1409"/>
      <c r="AY35" s="1409"/>
      <c r="AZ35" s="1409"/>
      <c r="BA35" s="1409"/>
      <c r="BB35" s="393"/>
      <c r="BC35" s="1147" t="s">
        <v>497</v>
      </c>
      <c r="BD35" s="393"/>
      <c r="BE35" s="393"/>
      <c r="BF35" s="393"/>
      <c r="BG35" s="393"/>
      <c r="BH35" s="393"/>
      <c r="BI35" s="393"/>
      <c r="BJ35" s="393"/>
      <c r="BK35" s="393"/>
      <c r="BL35" s="393"/>
      <c r="BM35" s="393"/>
      <c r="BN35" s="393"/>
    </row>
    <row s="1624" customFormat="1" customHeight="1" ht="24">
      <c r="A36" s="1419"/>
      <c r="B36" s="1418"/>
      <c r="C36" s="1419"/>
      <c r="D36" s="1419"/>
      <c r="E36" s="1370">
        <v>24.75</v>
      </c>
      <c r="F36" s="1420" cm="1" t="str">
        <f t="array" ref="F36:F36">OFFSET(E36,-1,1)</f>
        <v>1</v>
      </c>
      <c r="G36" s="1419"/>
      <c r="H36" s="1419"/>
      <c r="I36" s="1419"/>
      <c r="J36" s="1419"/>
      <c r="K36" s="1419"/>
      <c r="L36" s="1419"/>
      <c r="M36" s="1419"/>
      <c r="N36" s="1419"/>
      <c r="O36" s="1419"/>
      <c r="P36" s="1419"/>
      <c r="Q36" s="1419"/>
      <c r="R36" s="1419"/>
      <c r="S36" s="1419"/>
      <c r="T36" s="1419"/>
      <c r="U36" s="1419"/>
      <c r="V36" s="1365" cm="1" t="str">
        <f t="array" ref="V36:V36">V35</f>
        <v>true</v>
      </c>
      <c r="W36" s="1419"/>
      <c r="X36" s="1419"/>
      <c r="Y36" s="1491"/>
      <c r="Z36" s="1513"/>
      <c r="AA36" s="1419"/>
      <c r="AB36" s="1406">
        <v>4</v>
      </c>
      <c r="AC36" s="1407" t="s">
        <v>435</v>
      </c>
      <c r="AD36" s="1408"/>
      <c r="AE36" s="1409"/>
      <c r="AF36" s="1409"/>
      <c r="AG36" s="1409"/>
      <c r="AH36" s="1409"/>
      <c r="AI36" s="1409"/>
      <c r="AJ36" s="1409"/>
      <c r="AK36" s="1409"/>
      <c r="AL36" s="1409"/>
      <c r="AM36" s="1409"/>
      <c r="AN36" s="1409"/>
      <c r="AO36" s="1409"/>
      <c r="AP36" s="1409"/>
      <c r="AQ36" s="1409"/>
      <c r="AR36" s="1409"/>
      <c r="AS36" s="1409"/>
      <c r="AT36" s="1409"/>
      <c r="AU36" s="1409"/>
      <c r="AV36" s="1409"/>
      <c r="AW36" s="1409"/>
      <c r="AX36" s="1409"/>
      <c r="AY36" s="1409"/>
      <c r="AZ36" s="1409"/>
      <c r="BA36" s="1409"/>
      <c r="BB36" s="393"/>
      <c r="BC36" s="1147" t="s">
        <v>498</v>
      </c>
      <c r="BD36" s="393"/>
      <c r="BE36" s="393"/>
      <c r="BF36" s="393"/>
      <c r="BG36" s="393"/>
      <c r="BH36" s="393"/>
      <c r="BI36" s="393"/>
      <c r="BJ36" s="393"/>
      <c r="BK36" s="393"/>
      <c r="BL36" s="393"/>
      <c r="BM36" s="393"/>
      <c r="BN36" s="393"/>
    </row>
    <row customHeight="1" ht="10.725000000000001">
      <c r="A37" s="2065"/>
      <c r="B37" s="2073"/>
      <c r="C37" s="2065"/>
      <c r="D37" s="2065"/>
      <c r="E37" s="2074">
        <v>11</v>
      </c>
      <c r="F37" s="2066" cm="1" t="str">
        <f t="array" ref="F37:F37">OFFSET(E37,-1,1)</f>
        <v>1</v>
      </c>
      <c r="G37" s="2065"/>
      <c r="H37" s="2065"/>
      <c r="I37" s="2065"/>
      <c r="J37" s="2065"/>
      <c r="K37" s="2065"/>
      <c r="L37" s="2065"/>
      <c r="M37" s="2065"/>
      <c r="N37" s="2065"/>
      <c r="O37" s="2065"/>
      <c r="P37" s="2065"/>
      <c r="Q37" s="2065"/>
      <c r="R37" s="2065"/>
      <c r="S37" s="2065"/>
      <c r="T37" s="2065"/>
      <c r="U37" s="2065"/>
      <c r="V37" s="2065"/>
      <c r="W37" s="2134" t="s">
        <v>176</v>
      </c>
      <c r="X37" s="1421" t="s">
        <v>499</v>
      </c>
      <c r="Y37" s="2065"/>
      <c r="Z37" s="2065"/>
      <c r="AA37" s="2065"/>
      <c r="AB37" s="2135"/>
      <c r="AC37" s="2134"/>
      <c r="AD37" s="2065"/>
      <c r="AE37" s="2065"/>
      <c r="AF37" s="2065"/>
      <c r="AG37" s="2065"/>
      <c r="AH37" s="2065"/>
      <c r="AI37" s="1363"/>
      <c r="AJ37" s="1363"/>
      <c r="AK37" s="1363"/>
      <c r="AL37" s="1363"/>
      <c r="AM37" s="1363"/>
      <c r="AN37" s="1363"/>
      <c r="AO37" s="1363"/>
      <c r="AP37" s="1363"/>
      <c r="AQ37" s="1363"/>
      <c r="AR37" s="2065"/>
      <c r="AS37" s="1363"/>
      <c r="AT37" s="1363"/>
      <c r="AU37" s="1363"/>
      <c r="AV37" s="1363"/>
      <c r="AW37" s="1363"/>
      <c r="AX37" s="1363"/>
      <c r="AY37" s="1363"/>
      <c r="AZ37" s="1363"/>
      <c r="BA37" s="1363"/>
      <c r="BB37" s="1146"/>
      <c r="BC37" s="1147"/>
      <c r="BD37" s="345"/>
      <c r="BE37" s="345"/>
      <c r="BF37" s="345"/>
      <c r="BG37" s="345"/>
      <c r="BH37" s="345"/>
      <c r="BI37" s="1146"/>
      <c r="BJ37" s="1146"/>
      <c r="BK37" s="1146"/>
      <c r="BL37" s="1146"/>
      <c r="BM37" s="1146"/>
      <c r="BN37" s="1146"/>
    </row>
  </sheetData>
  <sheetProtection formatColumns="0" formatRows="0" insertRows="0" deleteColumns="0" deleteRows="0" sort="0" autoFilter="0" insertColumns="1"/>
  <mergeCells count="7">
    <mergeCell ref="AB24:AB25"/>
    <mergeCell ref="AC24:AC25"/>
    <mergeCell ref="AD24:AD25"/>
    <mergeCell ref="Y27:Y31"/>
    <mergeCell ref="Z27:Z31"/>
    <mergeCell ref="Y32:Y36"/>
    <mergeCell ref="Z32:Z36"/>
  </mergeCells>
  <dataValidations count="2">
    <dataValidation type="decimal" allowBlank="1" showErrorMessage="1" errorTitle="Ошибка" error="Допускается ввод только неотрицательных чисел!" sqref="BA29:BA31 BA34:BA36 AZ29:AZ31 AZ34:AZ36 AY29:AY31 AY34:AY36 AX29:AX31 AX34:AX36 AW29:AW31 AW34:AW36 AV29:AV31 AV34:AV36 AU29:AU31 AU34:AU36 AT29:AT31 AT34:AT36 AS29:AS31 AS34:AS36 AR29:AR31 AR34:AR36 AQ29:AQ31 AQ34:AQ36 AP29:AP31 AP34:AP36 AO29:AO31 AO34:AO36 AN29:AN31 AN34:AN36 AM29:AM31 AM34:AM36 AL29:AL31 AL34:AL36 AK29:AK31 AK34:AK36 AJ29:AJ31 AJ34:AJ36 AI29:AI31 AI34:AI36 AH29:AH31 AH34:AH36 AG29:AG31 AG34:AG36 AF29:AF31 AF34:AF36 AE29:AE31 AE34:AE36">
      <formula1>0</formula1>
      <formula2>9.99999999999999E+23</formula2>
    </dataValidation>
    <dataValidation allowBlank="1" showErrorMessage="1" errorTitle="Ошибка" error="Допускается ввод только неотрицательных чисел!" sqref="AE26:BA26"/>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7F18B9-5808-EEB8-8799-28BA9A7B26B1}" mc:Ignorable="x14ac xr xr2 xr3">
  <sheetPr>
    <tabColor theme="6" tint="0.4"/>
    <outlinePr summaryRight="0" summaryBelow="0"/>
    <pageSetUpPr fitToPage="1"/>
  </sheetPr>
  <dimension ref="A1:BF216"/>
  <sheetViews>
    <sheetView showGridLines="0" zoomScale="110" workbookViewId="0">
      <pane xSplit="30" ySplit="25" topLeftCell="AE204" activePane="bottomRight" state="frozen"/>
      <selection pane="bottomLeft" activeCell="A26" sqref="A26"/>
      <selection pane="topRight" activeCell="AE1" sqref="AE1"/>
      <selection pane="bottomRight" activeCell="AB215" sqref="AB215"/>
    </sheetView>
  </sheetViews>
  <sheetFormatPr defaultColWidth="9.140625" customHeight="1" defaultRowHeight="11.25"/>
  <cols>
    <col min="1" max="1" style="1282" width="3.57421875" hidden="1" customWidth="1"/>
    <col min="2" max="2" style="1389" width="8.8515625" hidden="1" customWidth="1"/>
    <col min="3" max="4" style="1282" width="3.57421875" hidden="1" customWidth="1"/>
    <col min="5" max="5" style="1283" width="3.57421875" hidden="1" customWidth="1"/>
    <col min="6" max="6" style="1300" width="13.28125" hidden="1" customWidth="1"/>
    <col min="7" max="7" style="1282" width="11.421875" hidden="1" customWidth="1"/>
    <col min="8" max="8" style="1282" width="9.7109375" hidden="1" customWidth="1"/>
    <col min="9" max="9" style="1282" width="6.421875" hidden="1" customWidth="1"/>
    <col min="10" max="10" style="1282" width="3.57421875" hidden="1" customWidth="1"/>
    <col min="11" max="11" style="1282" width="6.140625" hidden="1" customWidth="1"/>
    <col min="12" max="15" style="1282" width="3.57421875" hidden="1" customWidth="1"/>
    <col min="16" max="17" style="1395" width="3.57421875" hidden="1" customWidth="1"/>
    <col min="18" max="18" style="1395" width="7.7109375" hidden="1" customWidth="1"/>
    <col min="19" max="19" style="1395" width="10.00390625" hidden="1" customWidth="1"/>
    <col min="20" max="20" style="1395" width="10.421875" hidden="1" customWidth="1"/>
    <col min="21" max="21" style="1395" width="5.8515625" hidden="1" customWidth="1"/>
    <col min="22" max="22" style="1282" width="6.140625" hidden="1" customWidth="1"/>
    <col min="23" max="23" style="1395" width="5.57421875" hidden="1" customWidth="1"/>
    <col min="24" max="24" style="1282" width="5.28125" hidden="1" customWidth="1"/>
    <col min="25" max="26" style="1282" width="3.57421875" hidden="1" customWidth="1"/>
    <col min="27" max="27" style="1282" width="3.00390625" customWidth="1"/>
    <col min="28" max="28" style="1399" width="11.00390625" customWidth="1"/>
    <col min="29" max="29" style="1399" width="50.00390625" customWidth="1"/>
    <col min="30" max="30" style="1399" width="10.29296875" customWidth="1"/>
    <col min="31" max="35" style="1282" width="13.00390625" customWidth="1"/>
    <col min="36" max="44" style="1282" width="13.00390625" hidden="1" customWidth="1"/>
    <col min="45" max="45" style="1282" width="13.00390625" customWidth="1"/>
    <col min="46" max="54" style="1282" width="13.00390625" hidden="1" customWidth="1"/>
    <col min="55" max="55" style="1399" width="46.62109375" customWidth="1"/>
    <col min="56" max="56" style="1282" width="3.00390625" customWidth="1"/>
    <col min="57" max="57" style="1282" width="9.140625" hidden="1"/>
    <col min="58" max="58" style="1284" width="9.140625" hidden="1"/>
  </cols>
  <sheetData>
    <row customHeight="1" ht="11.25" hidden="1">
      <c r="E1" s="64"/>
      <c r="F1" s="315" t="s">
        <v>309</v>
      </c>
      <c r="H1" s="64" t="s">
        <v>320</v>
      </c>
      <c r="T1" s="438" t="s">
        <v>92</v>
      </c>
      <c r="U1" s="438" t="s">
        <v>97</v>
      </c>
      <c r="V1" s="438" t="s">
        <v>93</v>
      </c>
      <c r="W1" s="438" t="s">
        <v>94</v>
      </c>
      <c r="X1" s="438" t="s">
        <v>95</v>
      </c>
      <c r="Y1" s="438" t="s">
        <v>99</v>
      </c>
      <c r="Z1" s="438" t="s">
        <v>311</v>
      </c>
      <c r="AA1" s="438" t="s">
        <v>96</v>
      </c>
      <c r="AC1" s="438" t="s">
        <v>98</v>
      </c>
      <c r="AI1" s="1282"/>
      <c r="AJ1" s="1282"/>
      <c r="AK1" s="1282"/>
      <c r="AL1" s="1282"/>
      <c r="AM1" s="1282"/>
      <c r="AN1" s="1282"/>
      <c r="AO1" s="1282"/>
      <c r="AP1" s="1282"/>
      <c r="AQ1" s="1282"/>
      <c r="AR1" s="1282"/>
      <c r="AS1" s="1282"/>
      <c r="AT1" s="1282"/>
      <c r="AU1" s="1282"/>
      <c r="AV1" s="1282"/>
      <c r="AW1" s="1282"/>
      <c r="AX1" s="1282"/>
      <c r="AY1" s="1282"/>
      <c r="AZ1" s="1282"/>
      <c r="BA1" s="1282"/>
      <c r="BB1" s="1282"/>
      <c r="BF1" s="992" t="s">
        <v>312</v>
      </c>
    </row>
    <row s="1389" customFormat="1" customHeight="1" ht="11.25" hidden="1">
      <c r="B2" s="417" t="s">
        <v>18</v>
      </c>
      <c r="F2" s="722"/>
      <c r="P2" s="631"/>
      <c r="Q2" s="631"/>
      <c r="R2" s="631"/>
      <c r="S2" s="631"/>
      <c r="T2" s="631"/>
      <c r="U2" s="631"/>
      <c r="W2" s="631"/>
      <c r="AB2" s="401"/>
      <c r="AC2" s="401"/>
      <c r="AD2" s="401"/>
      <c r="AI2" s="418">
        <f>AI6&lt;=last_year_vis</f>
        <v>1</v>
      </c>
      <c r="AJ2" s="418">
        <f>AJ6&lt;=last_year_vis</f>
        <v>0</v>
      </c>
      <c r="AK2" s="418">
        <f>AK6&lt;=last_year_vis</f>
        <v>0</v>
      </c>
      <c r="AL2" s="418">
        <f>AL6&lt;=last_year_vis</f>
        <v>0</v>
      </c>
      <c r="AM2" s="418">
        <f>AM6&lt;=last_year_vis</f>
        <v>0</v>
      </c>
      <c r="AN2" s="418">
        <f>AN6&lt;=last_year_vis</f>
        <v>0</v>
      </c>
      <c r="AO2" s="418">
        <f>AO6&lt;=last_year_vis</f>
        <v>0</v>
      </c>
      <c r="AP2" s="418">
        <f>AP6&lt;=last_year_vis</f>
        <v>0</v>
      </c>
      <c r="AQ2" s="418">
        <f>AQ6&lt;=last_year_vis</f>
        <v>0</v>
      </c>
      <c r="AR2" s="418">
        <f>AR6&lt;=last_year_vis</f>
        <v>0</v>
      </c>
      <c r="AS2" s="418">
        <f>AS6&lt;=last_year_vis</f>
        <v>1</v>
      </c>
      <c r="AT2" s="418">
        <f>AT6&lt;=last_year_vis</f>
        <v>0</v>
      </c>
      <c r="AU2" s="418">
        <f>AU6&lt;=last_year_vis</f>
        <v>0</v>
      </c>
      <c r="AV2" s="418">
        <f>AV6&lt;=last_year_vis</f>
        <v>0</v>
      </c>
      <c r="AW2" s="418">
        <f>AW6&lt;=last_year_vis</f>
        <v>0</v>
      </c>
      <c r="AX2" s="418">
        <f>AX6&lt;=last_year_vis</f>
        <v>0</v>
      </c>
      <c r="AY2" s="418">
        <f>AY6&lt;=last_year_vis</f>
        <v>0</v>
      </c>
      <c r="AZ2" s="418">
        <f>AZ6&lt;=last_year_vis</f>
        <v>0</v>
      </c>
      <c r="BA2" s="418">
        <f>BA6&lt;=last_year_vis</f>
        <v>0</v>
      </c>
      <c r="BB2" s="418">
        <f>BB6&lt;=last_year_vis</f>
        <v>0</v>
      </c>
      <c r="BC2" s="401"/>
      <c r="BF2" s="993"/>
    </row>
    <row customHeight="1" ht="11.25" hidden="1">
      <c r="E3" s="64"/>
      <c r="AI3" s="1282"/>
      <c r="AJ3" s="1282"/>
      <c r="AK3" s="1282"/>
      <c r="AL3" s="1282"/>
      <c r="AM3" s="1282"/>
      <c r="AN3" s="1282"/>
      <c r="AO3" s="1282"/>
      <c r="AP3" s="1282"/>
      <c r="AQ3" s="1282"/>
      <c r="AR3" s="1282"/>
      <c r="AS3" s="1282"/>
      <c r="AT3" s="1282"/>
      <c r="AU3" s="1282"/>
      <c r="AV3" s="1282"/>
      <c r="AW3" s="1282"/>
      <c r="AX3" s="1282"/>
      <c r="AY3" s="1282"/>
      <c r="AZ3" s="1282"/>
      <c r="BA3" s="1282"/>
      <c r="BB3" s="1282"/>
    </row>
    <row customHeight="1" ht="11.25" hidden="1">
      <c r="E4" s="64"/>
      <c r="AI4" s="1282"/>
      <c r="AJ4" s="1282"/>
      <c r="AK4" s="1282"/>
      <c r="AL4" s="1282"/>
      <c r="AM4" s="1282"/>
      <c r="AN4" s="1282"/>
      <c r="AO4" s="1282"/>
      <c r="AP4" s="1282"/>
      <c r="AQ4" s="1282"/>
      <c r="AR4" s="1282"/>
      <c r="AS4" s="1282"/>
      <c r="AT4" s="1282"/>
      <c r="AU4" s="1282"/>
      <c r="AV4" s="1282"/>
      <c r="AW4" s="1282"/>
      <c r="AX4" s="1282"/>
      <c r="AY4" s="1282"/>
      <c r="AZ4" s="1282"/>
      <c r="BA4" s="1282"/>
      <c r="BB4" s="1282"/>
    </row>
    <row s="1283" customFormat="1" customHeight="1" ht="11.25" hidden="1">
      <c r="A5" s="64"/>
      <c r="B5" s="399"/>
      <c r="C5" s="64"/>
      <c r="D5" s="64"/>
      <c r="E5" s="607" t="s">
        <v>19</v>
      </c>
      <c r="F5" s="592"/>
      <c r="P5" s="632"/>
      <c r="Q5" s="632"/>
      <c r="R5" s="632"/>
      <c r="S5" s="632"/>
      <c r="T5" s="632"/>
      <c r="U5" s="632"/>
      <c r="W5" s="632"/>
      <c r="AA5" s="607">
        <v>3</v>
      </c>
      <c r="AB5" s="605">
        <v>11</v>
      </c>
      <c r="AC5" s="605">
        <v>50</v>
      </c>
      <c r="AD5" s="605">
        <v>10.29</v>
      </c>
      <c r="AE5" s="607">
        <v>13</v>
      </c>
      <c r="AF5" s="607">
        <v>13</v>
      </c>
      <c r="AG5" s="607">
        <v>13</v>
      </c>
      <c r="AH5" s="607">
        <v>13</v>
      </c>
      <c r="AI5" s="607">
        <v>13</v>
      </c>
      <c r="AJ5" s="607">
        <v>13</v>
      </c>
      <c r="AK5" s="607">
        <v>13</v>
      </c>
      <c r="AL5" s="607">
        <v>13</v>
      </c>
      <c r="AM5" s="607">
        <v>13</v>
      </c>
      <c r="AN5" s="607">
        <v>13</v>
      </c>
      <c r="AO5" s="607">
        <v>13</v>
      </c>
      <c r="AP5" s="607">
        <v>13</v>
      </c>
      <c r="AQ5" s="607">
        <v>13</v>
      </c>
      <c r="AR5" s="607">
        <v>13</v>
      </c>
      <c r="AS5" s="607">
        <v>13</v>
      </c>
      <c r="AT5" s="607">
        <v>13</v>
      </c>
      <c r="AU5" s="607">
        <v>13</v>
      </c>
      <c r="AV5" s="607">
        <v>13</v>
      </c>
      <c r="AW5" s="607">
        <v>13</v>
      </c>
      <c r="AX5" s="607">
        <v>13</v>
      </c>
      <c r="AY5" s="607">
        <v>13</v>
      </c>
      <c r="AZ5" s="607">
        <v>13</v>
      </c>
      <c r="BA5" s="607">
        <v>13</v>
      </c>
      <c r="BB5" s="607">
        <v>13</v>
      </c>
      <c r="BC5" s="605">
        <v>20</v>
      </c>
      <c r="BD5" s="607">
        <v>3</v>
      </c>
      <c r="BF5" s="992"/>
    </row>
    <row customHeight="1" ht="11.25" hidden="1">
      <c r="A6" s="64" t="s">
        <v>349</v>
      </c>
      <c r="AE6" s="64">
        <f>god-2</f>
        <v>2024</v>
      </c>
      <c r="AF6" s="64">
        <f>god-2</f>
        <v>2024</v>
      </c>
      <c r="AG6" s="64">
        <f>god-2</f>
        <v>2024</v>
      </c>
      <c r="AH6" s="64">
        <f>god-1</f>
        <v>2025</v>
      </c>
      <c r="AI6" s="64" cm="1" t="str">
        <f t="array" ref="AI6:AI6">god</f>
        <v>2026</v>
      </c>
      <c r="AJ6" s="64">
        <f>god+1</f>
        <v>2027</v>
      </c>
      <c r="AK6" s="64">
        <f>god+2</f>
        <v>2028</v>
      </c>
      <c r="AL6" s="64">
        <f>god+3</f>
        <v>2029</v>
      </c>
      <c r="AM6" s="64">
        <f>god+4</f>
        <v>2030</v>
      </c>
      <c r="AN6" s="64">
        <f>god+5</f>
        <v>2031</v>
      </c>
      <c r="AO6" s="64">
        <f>god+6</f>
        <v>2032</v>
      </c>
      <c r="AP6" s="64">
        <f>god+7</f>
        <v>2033</v>
      </c>
      <c r="AQ6" s="64">
        <f>god+8</f>
        <v>2034</v>
      </c>
      <c r="AR6" s="64">
        <f>god+9</f>
        <v>2035</v>
      </c>
      <c r="AS6" s="64" cm="1" t="str">
        <f t="array" ref="AS6:AS6">god</f>
        <v>2026</v>
      </c>
      <c r="AT6" s="64">
        <f>god+1</f>
        <v>2027</v>
      </c>
      <c r="AU6" s="64">
        <f>god+2</f>
        <v>2028</v>
      </c>
      <c r="AV6" s="64">
        <f>god+3</f>
        <v>2029</v>
      </c>
      <c r="AW6" s="64">
        <f>god+4</f>
        <v>2030</v>
      </c>
      <c r="AX6" s="64">
        <f>god+5</f>
        <v>2031</v>
      </c>
      <c r="AY6" s="64">
        <f>god+6</f>
        <v>2032</v>
      </c>
      <c r="AZ6" s="64">
        <f>god+7</f>
        <v>2033</v>
      </c>
      <c r="BA6" s="64">
        <f>god+8</f>
        <v>2034</v>
      </c>
      <c r="BB6" s="64">
        <f>god+9</f>
        <v>2035</v>
      </c>
    </row>
    <row customHeight="1" ht="11.25" hidden="1">
      <c r="A7" s="64" t="s">
        <v>350</v>
      </c>
      <c r="AE7" s="64" cm="1" t="str">
        <f t="array" ref="AE7:AE7">AE25</f>
        <v>Принято органом регулирования</v>
      </c>
      <c r="AF7" s="64" cm="1" t="str">
        <f t="array" ref="AF7:AF7">AF25</f>
        <v>Факт по данным организации</v>
      </c>
      <c r="AG7" s="64" cm="1" t="str">
        <f t="array" ref="AG7:AG7">AG25</f>
        <v>Факт, принятый органом регулирования</v>
      </c>
      <c r="AH7" s="64" cm="1" t="str">
        <f t="array" ref="AH7:AH7">AH25</f>
        <v>Принято органом регулирования</v>
      </c>
      <c r="AI7" s="64" cm="1" t="str">
        <f t="array" ref="AI7:AI7">AI25</f>
        <v>Предложение организации</v>
      </c>
      <c r="AJ7" s="64" cm="1" t="str">
        <f t="array" ref="AJ7:AJ7">AJ25</f>
        <v>Предложение организации</v>
      </c>
      <c r="AK7" s="64" cm="1" t="str">
        <f t="array" ref="AK7:AK7">AK25</f>
        <v>Предложение организации</v>
      </c>
      <c r="AL7" s="64" cm="1" t="str">
        <f t="array" ref="AL7:AL7">AL25</f>
        <v>Предложение организации</v>
      </c>
      <c r="AM7" s="64" cm="1" t="str">
        <f t="array" ref="AM7:AM7">AM25</f>
        <v>Предложение организации</v>
      </c>
      <c r="AN7" s="64" cm="1" t="str">
        <f t="array" ref="AN7:AN7">AN25</f>
        <v>Предложение организации</v>
      </c>
      <c r="AO7" s="64" cm="1" t="str">
        <f t="array" ref="AO7:AO7">AO25</f>
        <v>Предложение организации</v>
      </c>
      <c r="AP7" s="64" cm="1" t="str">
        <f t="array" ref="AP7:AP7">AP25</f>
        <v>Предложение организации</v>
      </c>
      <c r="AQ7" s="64" cm="1" t="str">
        <f t="array" ref="AQ7:AQ7">AQ25</f>
        <v>Предложение организации</v>
      </c>
      <c r="AR7" s="64" cm="1" t="str">
        <f t="array" ref="AR7:AR7">AR25</f>
        <v>Предложение организации</v>
      </c>
      <c r="AS7" s="64" cm="1" t="str">
        <f t="array" ref="AS7:AS7">AS25</f>
        <v>Принято органом регулирования</v>
      </c>
      <c r="AT7" s="64" cm="1" t="str">
        <f t="array" ref="AT7:AT7">AT25</f>
        <v>Принято органом регулирования</v>
      </c>
      <c r="AU7" s="64" cm="1" t="str">
        <f t="array" ref="AU7:AU7">AU25</f>
        <v>Принято органом регулирования</v>
      </c>
      <c r="AV7" s="64" cm="1" t="str">
        <f t="array" ref="AV7:AV7">AV25</f>
        <v>Принято органом регулирования</v>
      </c>
      <c r="AW7" s="64" cm="1" t="str">
        <f t="array" ref="AW7:AW7">AW25</f>
        <v>Принято органом регулирования</v>
      </c>
      <c r="AX7" s="64" cm="1" t="str">
        <f t="array" ref="AX7:AX7">AX25</f>
        <v>Принято органом регулирования</v>
      </c>
      <c r="AY7" s="64" cm="1" t="str">
        <f t="array" ref="AY7:AY7">AY25</f>
        <v>Принято органом регулирования</v>
      </c>
      <c r="AZ7" s="64" cm="1" t="str">
        <f t="array" ref="AZ7:AZ7">AZ25</f>
        <v>Принято органом регулирования</v>
      </c>
      <c r="BA7" s="64" cm="1" t="str">
        <f t="array" ref="BA7:BA7">BA25</f>
        <v>Принято органом регулирования</v>
      </c>
      <c r="BB7" s="64" cm="1" t="str">
        <f t="array" ref="BB7:BB7">BB25</f>
        <v>Принято органом регулирования</v>
      </c>
    </row>
    <row customHeight="1" ht="11.25" hidden="1">
      <c r="AE8" s="64" t="str">
        <f>AE6&amp;AE7</f>
        <v>2024Принято органом регулирования</v>
      </c>
      <c r="AF8" s="64" t="str">
        <f>AF6&amp;AF7</f>
        <v>2024Факт по данным организации</v>
      </c>
      <c r="AG8" s="64" t="str">
        <f>AG6&amp;AG7</f>
        <v>2024Факт, принятый органом регулирования</v>
      </c>
      <c r="AH8" s="64" t="str">
        <f>AH6&amp;AH7</f>
        <v>2025Принято органом регулирования</v>
      </c>
      <c r="AI8" s="64" t="str">
        <f>AI6&amp;AI7</f>
        <v>2026Предложение организации</v>
      </c>
      <c r="AJ8" s="64" t="str">
        <f>AJ6&amp;AJ7</f>
        <v>2027Предложение организации</v>
      </c>
      <c r="AK8" s="64" t="str">
        <f>AK6&amp;AK7</f>
        <v>2028Предложение организации</v>
      </c>
      <c r="AL8" s="64" t="str">
        <f>AL6&amp;AL7</f>
        <v>2029Предложение организации</v>
      </c>
      <c r="AM8" s="64" t="str">
        <f>AM6&amp;AM7</f>
        <v>2030Предложение организации</v>
      </c>
      <c r="AN8" s="64" t="str">
        <f>AN6&amp;AN7</f>
        <v>2031Предложение организации</v>
      </c>
      <c r="AO8" s="64" t="str">
        <f>AO6&amp;AO7</f>
        <v>2032Предложение организации</v>
      </c>
      <c r="AP8" s="64" t="str">
        <f>AP6&amp;AP7</f>
        <v>2033Предложение организации</v>
      </c>
      <c r="AQ8" s="64" t="str">
        <f>AQ6&amp;AQ7</f>
        <v>2034Предложение организации</v>
      </c>
      <c r="AR8" s="64" t="str">
        <f>AR6&amp;AR7</f>
        <v>2035Предложение организации</v>
      </c>
      <c r="AS8" s="64" t="str">
        <f>AS6&amp;AS7</f>
        <v>2026Принято органом регулирования</v>
      </c>
      <c r="AT8" s="64" t="str">
        <f>AT6&amp;AT7</f>
        <v>2027Принято органом регулирования</v>
      </c>
      <c r="AU8" s="64" t="str">
        <f>AU6&amp;AU7</f>
        <v>2028Принято органом регулирования</v>
      </c>
      <c r="AV8" s="64" t="str">
        <f>AV6&amp;AV7</f>
        <v>2029Принято органом регулирования</v>
      </c>
      <c r="AW8" s="64" t="str">
        <f>AW6&amp;AW7</f>
        <v>2030Принято органом регулирования</v>
      </c>
      <c r="AX8" s="64" t="str">
        <f>AX6&amp;AX7</f>
        <v>2031Принято органом регулирования</v>
      </c>
      <c r="AY8" s="64" t="str">
        <f>AY6&amp;AY7</f>
        <v>2032Принято органом регулирования</v>
      </c>
      <c r="AZ8" s="64" t="str">
        <f>AZ6&amp;AZ7</f>
        <v>2033Принято органом регулирования</v>
      </c>
      <c r="BA8" s="64" t="str">
        <f>BA6&amp;BA7</f>
        <v>2034Принято органом регулирования</v>
      </c>
      <c r="BB8" s="64" t="str">
        <f>BB6&amp;BB7</f>
        <v>2035Принято органом регулирования</v>
      </c>
    </row>
    <row s="1284" customFormat="1" customHeight="1" ht="11.25" hidden="1">
      <c r="A9" s="992" t="s">
        <v>354</v>
      </c>
      <c r="B9" s="993"/>
      <c r="F9" s="994"/>
      <c r="P9" s="978"/>
      <c r="Q9" s="978"/>
      <c r="R9" s="978"/>
      <c r="S9" s="978"/>
      <c r="T9" s="978"/>
      <c r="U9" s="978"/>
      <c r="W9" s="978"/>
      <c r="AB9" s="990"/>
      <c r="AC9" s="990"/>
      <c r="AD9" s="990"/>
      <c r="AE9" s="992" cm="1" t="str">
        <f t="array" ref="AE9:AE9">AE6</f>
        <v>2024</v>
      </c>
      <c r="AF9" s="992" cm="1" t="str">
        <f t="array" ref="AF9:AF9">AF6</f>
        <v>2024</v>
      </c>
      <c r="AG9" s="992" cm="1" t="str">
        <f t="array" ref="AG9:AG9">AG6</f>
        <v>2024</v>
      </c>
      <c r="AH9" s="992" cm="1" t="str">
        <f t="array" ref="AH9:AH9">AH6</f>
        <v>2025</v>
      </c>
      <c r="AI9" s="992" cm="1" t="str">
        <f t="array" ref="AI9:AI9">AI6</f>
        <v>2026</v>
      </c>
      <c r="AJ9" s="992" cm="1" t="str">
        <f t="array" ref="AJ9:AJ9">AJ6</f>
        <v>2027</v>
      </c>
      <c r="AK9" s="992" cm="1" t="str">
        <f t="array" ref="AK9:AK9">AK6</f>
        <v>2028</v>
      </c>
      <c r="AL9" s="992" cm="1" t="str">
        <f t="array" ref="AL9:AL9">AL6</f>
        <v>2029</v>
      </c>
      <c r="AM9" s="992" cm="1" t="str">
        <f t="array" ref="AM9:AM9">AM6</f>
        <v>2030</v>
      </c>
      <c r="AN9" s="992" cm="1" t="str">
        <f t="array" ref="AN9:AN9">AN6</f>
        <v>2031</v>
      </c>
      <c r="AO9" s="992" cm="1" t="str">
        <f t="array" ref="AO9:AO9">AO6</f>
        <v>2032</v>
      </c>
      <c r="AP9" s="992" cm="1" t="str">
        <f t="array" ref="AP9:AP9">AP6</f>
        <v>2033</v>
      </c>
      <c r="AQ9" s="992" cm="1" t="str">
        <f t="array" ref="AQ9:AQ9">AQ6</f>
        <v>2034</v>
      </c>
      <c r="AR9" s="992" cm="1" t="str">
        <f t="array" ref="AR9:AR9">AR6</f>
        <v>2035</v>
      </c>
      <c r="AS9" s="992" cm="1" t="str">
        <f t="array" ref="AS9:AS9">AS6</f>
        <v>2026</v>
      </c>
      <c r="AT9" s="992" cm="1" t="str">
        <f t="array" ref="AT9:AT9">AT6</f>
        <v>2027</v>
      </c>
      <c r="AU9" s="992" cm="1" t="str">
        <f t="array" ref="AU9:AU9">AU6</f>
        <v>2028</v>
      </c>
      <c r="AV9" s="992" cm="1" t="str">
        <f t="array" ref="AV9:AV9">AV6</f>
        <v>2029</v>
      </c>
      <c r="AW9" s="992" cm="1" t="str">
        <f t="array" ref="AW9:AW9">AW6</f>
        <v>2030</v>
      </c>
      <c r="AX9" s="992" cm="1" t="str">
        <f t="array" ref="AX9:AX9">AX6</f>
        <v>2031</v>
      </c>
      <c r="AY9" s="992" cm="1" t="str">
        <f t="array" ref="AY9:AY9">AY6</f>
        <v>2032</v>
      </c>
      <c r="AZ9" s="992" cm="1" t="str">
        <f t="array" ref="AZ9:AZ9">AZ6</f>
        <v>2033</v>
      </c>
      <c r="BA9" s="992" cm="1" t="str">
        <f t="array" ref="BA9:BA9">BA6</f>
        <v>2034</v>
      </c>
      <c r="BB9" s="992" cm="1" t="str">
        <f t="array" ref="BB9:BB9">BB6</f>
        <v>2035</v>
      </c>
      <c r="BC9" s="990"/>
    </row>
    <row s="1284" customFormat="1" customHeight="1" ht="11.25" hidden="1">
      <c r="A10" s="992" t="s">
        <v>355</v>
      </c>
      <c r="B10" s="993"/>
      <c r="F10" s="994"/>
      <c r="P10" s="978"/>
      <c r="Q10" s="978"/>
      <c r="R10" s="978"/>
      <c r="S10" s="978"/>
      <c r="T10" s="978"/>
      <c r="U10" s="978"/>
      <c r="W10" s="978"/>
      <c r="AB10" s="990"/>
      <c r="AC10" s="990"/>
      <c r="AD10" s="990"/>
      <c r="AE10" s="992" cm="1" t="str">
        <f t="array" ref="AE10:AE10">AE25</f>
        <v>Принято органом регулирования</v>
      </c>
      <c r="AF10" s="992" cm="1" t="str">
        <f t="array" ref="AF10:AF10">AF25</f>
        <v>Факт по данным организации</v>
      </c>
      <c r="AG10" s="992" cm="1" t="str">
        <f t="array" ref="AG10:AG10">AG25</f>
        <v>Факт, принятый органом регулирования</v>
      </c>
      <c r="AH10" s="992" cm="1" t="str">
        <f t="array" ref="AH10:AH10">AH25</f>
        <v>Принято органом регулирования</v>
      </c>
      <c r="AI10" s="992" cm="1" t="str">
        <f t="array" ref="AI10:AI10">AI25</f>
        <v>Предложение организации</v>
      </c>
      <c r="AJ10" s="992" cm="1" t="str">
        <f t="array" ref="AJ10:AJ10">AJ25</f>
        <v>Предложение организации</v>
      </c>
      <c r="AK10" s="992" cm="1" t="str">
        <f t="array" ref="AK10:AK10">AK25</f>
        <v>Предложение организации</v>
      </c>
      <c r="AL10" s="992" cm="1" t="str">
        <f t="array" ref="AL10:AL10">AL25</f>
        <v>Предложение организации</v>
      </c>
      <c r="AM10" s="992" cm="1" t="str">
        <f t="array" ref="AM10:AM10">AM25</f>
        <v>Предложение организации</v>
      </c>
      <c r="AN10" s="992" cm="1" t="str">
        <f t="array" ref="AN10:AN10">AN25</f>
        <v>Предложение организации</v>
      </c>
      <c r="AO10" s="992" cm="1" t="str">
        <f t="array" ref="AO10:AO10">AO25</f>
        <v>Предложение организации</v>
      </c>
      <c r="AP10" s="992" cm="1" t="str">
        <f t="array" ref="AP10:AP10">AP25</f>
        <v>Предложение организации</v>
      </c>
      <c r="AQ10" s="992" cm="1" t="str">
        <f t="array" ref="AQ10:AQ10">AQ25</f>
        <v>Предложение организации</v>
      </c>
      <c r="AR10" s="992" cm="1" t="str">
        <f t="array" ref="AR10:AR10">AR25</f>
        <v>Предложение организации</v>
      </c>
      <c r="AS10" s="992" cm="1" t="str">
        <f t="array" ref="AS10:AS10">AS25</f>
        <v>Принято органом регулирования</v>
      </c>
      <c r="AT10" s="992" cm="1" t="str">
        <f t="array" ref="AT10:AT10">AT25</f>
        <v>Принято органом регулирования</v>
      </c>
      <c r="AU10" s="992" cm="1" t="str">
        <f t="array" ref="AU10:AU10">AU25</f>
        <v>Принято органом регулирования</v>
      </c>
      <c r="AV10" s="992" cm="1" t="str">
        <f t="array" ref="AV10:AV10">AV25</f>
        <v>Принято органом регулирования</v>
      </c>
      <c r="AW10" s="992" cm="1" t="str">
        <f t="array" ref="AW10:AW10">AW25</f>
        <v>Принято органом регулирования</v>
      </c>
      <c r="AX10" s="992" cm="1" t="str">
        <f t="array" ref="AX10:AX10">AX25</f>
        <v>Принято органом регулирования</v>
      </c>
      <c r="AY10" s="992" cm="1" t="str">
        <f t="array" ref="AY10:AY10">AY25</f>
        <v>Принято органом регулирования</v>
      </c>
      <c r="AZ10" s="992" cm="1" t="str">
        <f t="array" ref="AZ10:AZ10">AZ25</f>
        <v>Принято органом регулирования</v>
      </c>
      <c r="BA10" s="992" cm="1" t="str">
        <f t="array" ref="BA10:BA10">BA25</f>
        <v>Принято органом регулирования</v>
      </c>
      <c r="BB10" s="992" cm="1" t="str">
        <f t="array" ref="BB10:BB10">BB25</f>
        <v>Принято органом регулирования</v>
      </c>
      <c r="BC10" s="990"/>
    </row>
    <row s="1284" customFormat="1" customHeight="1" ht="11.25" hidden="1">
      <c r="A11" s="992" t="s">
        <v>356</v>
      </c>
      <c r="B11" s="993"/>
      <c r="F11" s="994"/>
      <c r="P11" s="978"/>
      <c r="Q11" s="978"/>
      <c r="R11" s="978"/>
      <c r="S11" s="978"/>
      <c r="T11" s="978"/>
      <c r="U11" s="978"/>
      <c r="W11" s="978"/>
      <c r="AB11" s="990"/>
      <c r="AC11" s="990"/>
      <c r="AD11" s="990"/>
      <c r="AI11" s="1284"/>
      <c r="AJ11" s="1284"/>
      <c r="AK11" s="1284"/>
      <c r="AL11" s="1284"/>
      <c r="AM11" s="1284"/>
      <c r="AN11" s="1284"/>
      <c r="AO11" s="1284"/>
      <c r="AP11" s="1284"/>
      <c r="AQ11" s="1284"/>
      <c r="AR11" s="1284"/>
      <c r="AS11" s="1284"/>
      <c r="AT11" s="1284"/>
      <c r="AU11" s="1284"/>
      <c r="AV11" s="1284"/>
      <c r="AW11" s="1284"/>
      <c r="AX11" s="1284"/>
      <c r="AY11" s="1284"/>
      <c r="AZ11" s="1284"/>
      <c r="BA11" s="1284"/>
      <c r="BB11" s="1284"/>
      <c r="BC11" s="990" cm="1" t="str">
        <f t="array" ref="BC11:BC11">BC24</f>
        <v>Ссылка на правовую норму (основание для принятия показателя в расчет тарифа)</v>
      </c>
    </row>
    <row customHeight="1" ht="11.25" hidden="1">
      <c r="AD12" s="64"/>
      <c r="AI12" s="1282"/>
      <c r="AJ12" s="1282"/>
      <c r="AK12" s="1282"/>
      <c r="AL12" s="1282"/>
      <c r="AM12" s="1282"/>
      <c r="AN12" s="1282"/>
      <c r="AO12" s="1282"/>
      <c r="AP12" s="1282"/>
      <c r="AQ12" s="1282"/>
      <c r="AR12" s="1282"/>
      <c r="AS12" s="1282"/>
      <c r="AT12" s="1282"/>
      <c r="AU12" s="1282"/>
      <c r="AV12" s="1282"/>
      <c r="AW12" s="1282"/>
      <c r="AX12" s="1282"/>
      <c r="AY12" s="1282"/>
      <c r="AZ12" s="1282"/>
      <c r="BA12" s="1282"/>
      <c r="BB12" s="1282"/>
    </row>
    <row customHeight="1" ht="11.25" hidden="1">
      <c r="AI13" s="1282"/>
      <c r="AJ13" s="1282"/>
      <c r="AK13" s="1282"/>
      <c r="AL13" s="1282"/>
      <c r="AM13" s="1282"/>
      <c r="AN13" s="1282"/>
      <c r="AO13" s="1282"/>
      <c r="AP13" s="1282"/>
      <c r="AQ13" s="1282"/>
      <c r="AR13" s="1282"/>
      <c r="AS13" s="1282"/>
      <c r="AT13" s="1282"/>
      <c r="AU13" s="1282"/>
      <c r="AV13" s="1282"/>
      <c r="AW13" s="1282"/>
      <c r="AX13" s="1282"/>
      <c r="AY13" s="1282"/>
      <c r="AZ13" s="1282"/>
      <c r="BA13" s="1282"/>
      <c r="BB13" s="1282"/>
    </row>
    <row customHeight="1" ht="11.25" hidden="1">
      <c r="AI14" s="1282"/>
      <c r="AJ14" s="1282"/>
      <c r="AK14" s="1282"/>
      <c r="AL14" s="1282"/>
      <c r="AM14" s="1282"/>
      <c r="AN14" s="1282"/>
      <c r="AO14" s="1282"/>
      <c r="AP14" s="1282"/>
      <c r="AQ14" s="1282"/>
      <c r="AR14" s="1282"/>
      <c r="AS14" s="1282"/>
      <c r="AT14" s="1282"/>
      <c r="AU14" s="1282"/>
      <c r="AV14" s="1282"/>
      <c r="AW14" s="1282"/>
      <c r="AX14" s="1282"/>
      <c r="AY14" s="1282"/>
      <c r="AZ14" s="1282"/>
      <c r="BA14" s="1282"/>
      <c r="BB14" s="1282"/>
    </row>
    <row customHeight="1" ht="11.25" hidden="1">
      <c r="AI15" s="1282"/>
      <c r="AJ15" s="1282"/>
      <c r="AK15" s="1282"/>
      <c r="AL15" s="1282"/>
      <c r="AM15" s="1282"/>
      <c r="AN15" s="1282"/>
      <c r="AO15" s="1282"/>
      <c r="AP15" s="1282"/>
      <c r="AQ15" s="1282"/>
      <c r="AR15" s="1282"/>
      <c r="AS15" s="1282"/>
      <c r="AT15" s="1282"/>
      <c r="AU15" s="1282"/>
      <c r="AV15" s="1282"/>
      <c r="AW15" s="1282"/>
      <c r="AX15" s="1282"/>
      <c r="AY15" s="1282"/>
      <c r="AZ15" s="1282"/>
      <c r="BA15" s="1282"/>
      <c r="BB15" s="1282"/>
    </row>
    <row customHeight="1" ht="11.25" hidden="1">
      <c r="AI16" s="1282"/>
      <c r="AJ16" s="1282"/>
      <c r="AK16" s="1282"/>
      <c r="AL16" s="1282"/>
      <c r="AM16" s="1282"/>
      <c r="AN16" s="1282"/>
      <c r="AO16" s="1282"/>
      <c r="AP16" s="1282"/>
      <c r="AQ16" s="1282"/>
      <c r="AR16" s="1282"/>
      <c r="AS16" s="1282"/>
      <c r="AT16" s="1282"/>
      <c r="AU16" s="1282"/>
      <c r="AV16" s="1282"/>
      <c r="AW16" s="1282"/>
      <c r="AX16" s="1282"/>
      <c r="AY16" s="1282"/>
      <c r="AZ16" s="1282"/>
      <c r="BA16" s="1282"/>
      <c r="BB16" s="1282"/>
    </row>
    <row customHeight="1" ht="11.25" hidden="1">
      <c r="AI17" s="1282"/>
      <c r="AJ17" s="1282"/>
      <c r="AK17" s="1282"/>
      <c r="AL17" s="1282"/>
      <c r="AM17" s="1282"/>
      <c r="AN17" s="1282"/>
      <c r="AO17" s="1282"/>
      <c r="AP17" s="1282"/>
      <c r="AQ17" s="1282"/>
      <c r="AR17" s="1282"/>
      <c r="AS17" s="1282"/>
      <c r="AT17" s="1282"/>
      <c r="AU17" s="1282"/>
      <c r="AV17" s="1282"/>
      <c r="AW17" s="1282"/>
      <c r="AX17" s="1282"/>
      <c r="AY17" s="1282"/>
      <c r="AZ17" s="1282"/>
      <c r="BA17" s="1282"/>
      <c r="BB17" s="1282"/>
    </row>
    <row customHeight="1" ht="11.25" hidden="1">
      <c r="AI18" s="1282"/>
      <c r="AJ18" s="1282"/>
      <c r="AK18" s="1282"/>
      <c r="AL18" s="1282"/>
      <c r="AM18" s="1282"/>
      <c r="AN18" s="1282"/>
      <c r="AO18" s="1282"/>
      <c r="AP18" s="1282"/>
      <c r="AQ18" s="1282"/>
      <c r="AR18" s="1282"/>
      <c r="AS18" s="1282"/>
      <c r="AT18" s="1282"/>
      <c r="AU18" s="1282"/>
      <c r="AV18" s="1282"/>
      <c r="AW18" s="1282"/>
      <c r="AX18" s="1282"/>
      <c r="AY18" s="1282"/>
      <c r="AZ18" s="1282"/>
      <c r="BA18" s="1282"/>
      <c r="BB18" s="1282"/>
    </row>
    <row customHeight="1" ht="11.25" hidden="1">
      <c r="AI19" s="1282"/>
      <c r="AJ19" s="1282"/>
      <c r="AK19" s="1282"/>
      <c r="AL19" s="1282"/>
      <c r="AM19" s="1282"/>
      <c r="AN19" s="1282"/>
      <c r="AO19" s="1282"/>
      <c r="AP19" s="1282"/>
      <c r="AQ19" s="1282"/>
      <c r="AR19" s="1282"/>
      <c r="AS19" s="1282"/>
      <c r="AT19" s="1282"/>
      <c r="AU19" s="1282"/>
      <c r="AV19" s="1282"/>
      <c r="AW19" s="1282"/>
      <c r="AX19" s="1282"/>
      <c r="AY19" s="1282"/>
      <c r="AZ19" s="1282"/>
      <c r="BA19" s="1282"/>
      <c r="BB19" s="1282"/>
    </row>
    <row customHeight="1" ht="11.25" hidden="1">
      <c r="AI20" s="1282"/>
      <c r="AJ20" s="1282"/>
      <c r="AK20" s="1282"/>
      <c r="AL20" s="1282"/>
      <c r="AM20" s="1282"/>
      <c r="AN20" s="1282"/>
      <c r="AO20" s="1282"/>
      <c r="AP20" s="1282"/>
      <c r="AQ20" s="1282"/>
      <c r="AR20" s="1282"/>
      <c r="AS20" s="1282"/>
      <c r="AT20" s="1282"/>
      <c r="AU20" s="1282"/>
      <c r="AV20" s="1282"/>
      <c r="AW20" s="1282"/>
      <c r="AX20" s="1282"/>
      <c r="AY20" s="1282"/>
      <c r="AZ20" s="1282"/>
      <c r="BA20" s="1282"/>
      <c r="BB20" s="1282"/>
    </row>
    <row customHeight="1" ht="14.625">
      <c r="E21" s="607">
        <v>15</v>
      </c>
      <c r="AA21" s="633"/>
      <c r="AC21" s="50" cm="1" t="str">
        <f t="array" ref="AC21:AC21">tpl_title</f>
        <v>Кемеровская область / 2026 / ОАО «СКЭК» (ИНН:4205153492, КПП:420501001) / ДПР: 2026-2026</v>
      </c>
      <c r="AI21" s="1282"/>
      <c r="AJ21" s="1282"/>
      <c r="AK21" s="1282"/>
      <c r="AL21" s="1282"/>
      <c r="AM21" s="1282"/>
      <c r="AN21" s="1282"/>
      <c r="AO21" s="1282"/>
      <c r="AP21" s="1282"/>
      <c r="AQ21" s="1282"/>
      <c r="AR21" s="1282"/>
      <c r="AS21" s="1282"/>
      <c r="AT21" s="1282"/>
      <c r="AU21" s="1282"/>
      <c r="AV21" s="1282"/>
      <c r="AW21" s="1282"/>
      <c r="AX21" s="1282"/>
      <c r="AY21" s="1282"/>
      <c r="AZ21" s="1282"/>
      <c r="BA21" s="1282"/>
      <c r="BB21" s="1282"/>
    </row>
    <row s="1379" customFormat="1" customHeight="1" ht="19.5">
      <c r="B22" s="399"/>
      <c r="E22" s="608">
        <v>20</v>
      </c>
      <c r="F22" s="50"/>
      <c r="AB22" s="285" t="s">
        <v>45</v>
      </c>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1"/>
      <c r="AZ22" s="161"/>
      <c r="BA22" s="161"/>
      <c r="BB22" s="161"/>
      <c r="BC22" s="161"/>
      <c r="BF22" s="995"/>
    </row>
    <row customHeight="1" ht="10.96875">
      <c r="E23" s="607">
        <v>11.25</v>
      </c>
      <c r="AI23" s="1282"/>
      <c r="AJ23" s="1282"/>
      <c r="AK23" s="1282"/>
      <c r="AL23" s="1282"/>
      <c r="AM23" s="1282"/>
      <c r="AN23" s="1282"/>
      <c r="AO23" s="1282"/>
      <c r="AP23" s="1282"/>
      <c r="AQ23" s="1282"/>
      <c r="AR23" s="1282"/>
      <c r="AS23" s="1282"/>
      <c r="AT23" s="1282"/>
      <c r="AU23" s="1282"/>
      <c r="AV23" s="1282"/>
      <c r="AW23" s="1282"/>
      <c r="AX23" s="1282"/>
      <c r="AY23" s="1282"/>
      <c r="AZ23" s="1282"/>
      <c r="BA23" s="1282"/>
      <c r="BB23" s="1282"/>
    </row>
    <row s="1399" customFormat="1" customHeight="1" ht="18.501413518732242">
      <c r="B24" s="399"/>
      <c r="E24" s="605">
        <v>15</v>
      </c>
      <c r="F24" s="173"/>
      <c r="AB24" s="1524" t="s">
        <v>21</v>
      </c>
      <c r="AC24" s="1525" t="s">
        <v>358</v>
      </c>
      <c r="AD24" s="1522" t="s">
        <v>359</v>
      </c>
      <c r="AE24" s="550" t="str">
        <f>god-2&amp;" год"</f>
        <v>2024 год</v>
      </c>
      <c r="AF24" s="1099" t="str">
        <f>god-2&amp;" год"</f>
        <v>2024 год</v>
      </c>
      <c r="AG24" s="325" t="str">
        <f>god-2&amp;" год"</f>
        <v>2024 год</v>
      </c>
      <c r="AH24" s="60" t="str">
        <f>god-1&amp;" год"</f>
        <v>2025 год</v>
      </c>
      <c r="AI24" s="1096" t="str">
        <f>god&amp;" год"</f>
        <v>2026 год</v>
      </c>
      <c r="AJ24" s="1096" t="str">
        <f>god+1&amp;" год"</f>
        <v>2027 год</v>
      </c>
      <c r="AK24" s="1096" t="str">
        <f>god+2&amp;" год"</f>
        <v>2028 год</v>
      </c>
      <c r="AL24" s="1096" t="str">
        <f>god+3&amp;" год"</f>
        <v>2029 год</v>
      </c>
      <c r="AM24" s="1096" t="str">
        <f>god+4&amp;" год"</f>
        <v>2030 год</v>
      </c>
      <c r="AN24" s="1096" t="str">
        <f>god+5&amp;" год"</f>
        <v>2031 год</v>
      </c>
      <c r="AO24" s="1096" t="str">
        <f>god+6&amp;" год"</f>
        <v>2032 год</v>
      </c>
      <c r="AP24" s="1096" t="str">
        <f>god+7&amp;" год"</f>
        <v>2033 год</v>
      </c>
      <c r="AQ24" s="1096" t="str">
        <f>god+8&amp;" год"</f>
        <v>2034 год</v>
      </c>
      <c r="AR24" s="1096" t="str">
        <f>god+9&amp;" год"</f>
        <v>2035 год</v>
      </c>
      <c r="AS24" s="58" t="str">
        <f>god&amp;" год"</f>
        <v>2026 год</v>
      </c>
      <c r="AT24" s="58" t="str">
        <f>god+1&amp;" год"</f>
        <v>2027 год</v>
      </c>
      <c r="AU24" s="58" t="str">
        <f>god+2&amp;" год"</f>
        <v>2028 год</v>
      </c>
      <c r="AV24" s="58" t="str">
        <f>god+3&amp;" год"</f>
        <v>2029 год</v>
      </c>
      <c r="AW24" s="58" t="str">
        <f>god+4&amp;" год"</f>
        <v>2030 год</v>
      </c>
      <c r="AX24" s="58" t="str">
        <f>god+5&amp;" год"</f>
        <v>2031 год</v>
      </c>
      <c r="AY24" s="58" t="str">
        <f>god+6&amp;" год"</f>
        <v>2032 год</v>
      </c>
      <c r="AZ24" s="58" t="str">
        <f>god+7&amp;" год"</f>
        <v>2033 год</v>
      </c>
      <c r="BA24" s="58" t="str">
        <f>god+8&amp;" год"</f>
        <v>2034 год</v>
      </c>
      <c r="BB24" s="58" t="str">
        <f>god+9&amp;" год"</f>
        <v>2035 год</v>
      </c>
      <c r="BC24" s="1523" t="s">
        <v>500</v>
      </c>
      <c r="BF24" s="990"/>
    </row>
    <row s="1399" customFormat="1" customHeight="1" ht="68.49375">
      <c r="B25" s="399"/>
      <c r="E25" s="605">
        <v>70.25</v>
      </c>
      <c r="F25" s="173"/>
      <c r="AB25" s="1524"/>
      <c r="AC25" s="1525"/>
      <c r="AD25" s="1522"/>
      <c r="AE25" s="551" t="s">
        <v>351</v>
      </c>
      <c r="AF25" s="1096" t="s">
        <v>424</v>
      </c>
      <c r="AG25" s="58" t="s">
        <v>425</v>
      </c>
      <c r="AH25" s="58" t="s">
        <v>351</v>
      </c>
      <c r="AI25" s="1100" t="s">
        <v>352</v>
      </c>
      <c r="AJ25" s="1100" t="s">
        <v>352</v>
      </c>
      <c r="AK25" s="1100" t="s">
        <v>352</v>
      </c>
      <c r="AL25" s="1100" t="s">
        <v>352</v>
      </c>
      <c r="AM25" s="1100" t="s">
        <v>352</v>
      </c>
      <c r="AN25" s="1100" t="s">
        <v>352</v>
      </c>
      <c r="AO25" s="1100" t="s">
        <v>352</v>
      </c>
      <c r="AP25" s="1100" t="s">
        <v>352</v>
      </c>
      <c r="AQ25" s="1100" t="s">
        <v>352</v>
      </c>
      <c r="AR25" s="1100" t="s">
        <v>352</v>
      </c>
      <c r="AS25" s="326" t="s">
        <v>351</v>
      </c>
      <c r="AT25" s="326" t="s">
        <v>351</v>
      </c>
      <c r="AU25" s="326" t="s">
        <v>351</v>
      </c>
      <c r="AV25" s="326" t="s">
        <v>351</v>
      </c>
      <c r="AW25" s="326" t="s">
        <v>351</v>
      </c>
      <c r="AX25" s="326" t="s">
        <v>351</v>
      </c>
      <c r="AY25" s="326" t="s">
        <v>351</v>
      </c>
      <c r="AZ25" s="326" t="s">
        <v>351</v>
      </c>
      <c r="BA25" s="326" t="s">
        <v>351</v>
      </c>
      <c r="BB25" s="326" t="s">
        <v>351</v>
      </c>
      <c r="BC25" s="1523"/>
      <c r="BF25" s="990"/>
    </row>
    <row s="1624" customFormat="1" customHeight="1" ht="15" hidden="1">
      <c r="A26" s="472"/>
      <c r="B26" s="634"/>
      <c r="C26" s="472"/>
      <c r="D26" s="472"/>
      <c r="E26" s="635">
        <v>0</v>
      </c>
      <c r="F26" s="723"/>
      <c r="G26" s="472"/>
      <c r="H26" s="472"/>
      <c r="I26" s="472"/>
      <c r="J26" s="472"/>
      <c r="K26" s="472"/>
      <c r="L26" s="472"/>
      <c r="M26" s="472"/>
      <c r="N26" s="472"/>
      <c r="O26" s="472"/>
      <c r="P26" s="472"/>
      <c r="Q26" s="472"/>
      <c r="R26" s="639" t="s">
        <v>266</v>
      </c>
      <c r="S26" s="639" t="s">
        <v>501</v>
      </c>
      <c r="T26" s="438"/>
      <c r="U26" s="472"/>
      <c r="V26" s="472"/>
      <c r="W26" s="472"/>
      <c r="X26" s="472"/>
      <c r="Y26" s="472"/>
      <c r="Z26" s="472"/>
      <c r="AA26" s="472"/>
      <c r="AC26" s="66"/>
      <c r="AD26" s="66"/>
      <c r="AE26" s="66"/>
      <c r="AF26" s="66"/>
      <c r="AI26" s="1624"/>
      <c r="AJ26" s="1624"/>
      <c r="AK26" s="1624"/>
      <c r="AL26" s="1624"/>
      <c r="AM26" s="1624"/>
      <c r="AN26" s="1624"/>
      <c r="AO26" s="1624"/>
      <c r="AP26" s="1624"/>
      <c r="AQ26" s="67"/>
      <c r="AR26" s="1624"/>
      <c r="AS26" s="1624"/>
      <c r="AT26" s="1624"/>
      <c r="AU26" s="1624"/>
      <c r="AV26" s="1624"/>
      <c r="AW26" s="1624"/>
      <c r="AX26" s="1624"/>
      <c r="AY26" s="1624"/>
      <c r="AZ26" s="1624"/>
      <c r="BA26" s="1624"/>
      <c r="BB26" s="1624"/>
      <c r="BF26" s="981"/>
    </row>
    <row customHeight="1" ht="14.625" hidden="1">
      <c r="A27" s="1282"/>
      <c r="B27" s="1389"/>
      <c r="C27" s="1282"/>
      <c r="D27" s="1282"/>
      <c r="E27" s="607">
        <v>15</v>
      </c>
      <c r="F27" s="315" cm="1" t="str">
        <f t="array" ref="F27:F27">X27</f>
        <v>0</v>
      </c>
      <c r="G27" s="1282"/>
      <c r="H27" s="1282"/>
      <c r="I27" s="1282"/>
      <c r="J27" s="1282"/>
      <c r="K27" s="1282"/>
      <c r="L27" s="1282"/>
      <c r="M27" s="1282"/>
      <c r="N27" s="1282"/>
      <c r="O27" s="1282"/>
      <c r="P27" s="1395"/>
      <c r="Q27" s="1395"/>
      <c r="R27" s="1395"/>
      <c r="S27" s="1395"/>
      <c r="T27" s="438">
        <f>X27&gt;0</f>
        <v>0</v>
      </c>
      <c r="U27" s="1395"/>
      <c r="V27" s="64" t="s">
        <v>267</v>
      </c>
      <c r="W27" s="1395"/>
      <c r="X27" s="1511">
        <v>0</v>
      </c>
      <c r="Y27" s="1493"/>
      <c r="Z27" s="1282"/>
      <c r="AA27" s="1282"/>
      <c r="AB27" s="146" cm="1" t="str">
        <f t="array" ref="AB27:AB27">INDEX('Общие сведения'!$AG$179:$AG$208,MATCH($X27,'Общие сведения'!$Z$179:$Z$208,0))</f>
        <v>Тариф 0 () - тариф на транспортировку сточных вод</v>
      </c>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282"/>
      <c r="BE27" s="1282"/>
      <c r="BF27" s="1284"/>
    </row>
    <row customHeight="1" ht="14.625" hidden="1">
      <c r="A28" s="1282"/>
      <c r="B28" s="1389"/>
      <c r="C28" s="1282"/>
      <c r="D28" s="1282"/>
      <c r="E28" s="607">
        <v>15</v>
      </c>
      <c r="F28" s="50" cm="1" t="str">
        <f t="array" ref="F28:F28">OFFSET(E28,-1,1)</f>
        <v>0</v>
      </c>
      <c r="G28" s="1282"/>
      <c r="H28" s="1282"/>
      <c r="I28" s="1282"/>
      <c r="J28" s="1282"/>
      <c r="K28" s="1282"/>
      <c r="L28" s="1282"/>
      <c r="M28" s="1282"/>
      <c r="N28" s="1282"/>
      <c r="O28" s="1282"/>
      <c r="P28" s="1395"/>
      <c r="Q28" s="1395"/>
      <c r="R28" s="387" cm="1" t="str">
        <f t="array" ref="R28:R28">INDEX('Общие сведения'!$AN$179:$AN$208,MATCH($X27,'Общие сведения'!$Z$179:$Z$208,0))</f>
        <v>true</v>
      </c>
      <c r="S28" s="387">
        <f>IF(ISERROR(SEARCH("Водоснабжение",AB27)),FALSE,TRUE)</f>
        <v>0</v>
      </c>
      <c r="T28" s="438">
        <f>AND(X27&gt;0,S28,NOT(R28))</f>
        <v>0</v>
      </c>
      <c r="U28" s="1395"/>
      <c r="V28" s="1282"/>
      <c r="W28" s="1395"/>
      <c r="X28" s="1511"/>
      <c r="Y28" s="1493"/>
      <c r="Z28" s="1282"/>
      <c r="AA28" s="1282"/>
      <c r="AB28" s="206" t="s">
        <v>281</v>
      </c>
      <c r="AC28" s="295" t="s">
        <v>502</v>
      </c>
      <c r="AD28" s="58"/>
      <c r="AE28" s="544" cm="1" t="str">
        <f t="array" ref="AE28:AE28">INDEX('Общие сведения'!$AH$179:$AH$208,MATCH($X27,'Общие сведения'!$Z$179:$Z$208,0))</f>
        <v>0</v>
      </c>
      <c r="AF28" s="328"/>
      <c r="AG28" s="328"/>
      <c r="AH28" s="328"/>
      <c r="AI28" s="328"/>
      <c r="AJ28" s="328"/>
      <c r="AK28" s="328"/>
      <c r="AL28" s="328"/>
      <c r="AM28" s="328"/>
      <c r="AN28" s="328"/>
      <c r="AO28" s="328"/>
      <c r="AP28" s="328"/>
      <c r="AQ28" s="328"/>
      <c r="AR28" s="328"/>
      <c r="AS28" s="328"/>
      <c r="AT28" s="328"/>
      <c r="AU28" s="328"/>
      <c r="AV28" s="328"/>
      <c r="AW28" s="328"/>
      <c r="AX28" s="328"/>
      <c r="AY28" s="328"/>
      <c r="AZ28" s="328"/>
      <c r="BA28" s="328"/>
      <c r="BB28" s="329"/>
      <c r="BC28" s="1880"/>
      <c r="BD28" s="1282"/>
      <c r="BE28" s="1282"/>
      <c r="BF28" s="992" t="s">
        <v>503</v>
      </c>
    </row>
    <row customHeight="1" ht="14.625" hidden="1">
      <c r="A29" s="1282"/>
      <c r="B29" s="1389"/>
      <c r="C29" s="1282"/>
      <c r="D29" s="1282"/>
      <c r="E29" s="607">
        <v>15</v>
      </c>
      <c r="F29" s="50" cm="1" t="str">
        <f t="array" ref="F29:F29">OFFSET(E29,-1,1)</f>
        <v>0</v>
      </c>
      <c r="G29" s="1282"/>
      <c r="H29" s="64" t="s">
        <v>325</v>
      </c>
      <c r="I29" s="1282"/>
      <c r="J29" s="1282"/>
      <c r="K29" s="1282"/>
      <c r="L29" s="1282"/>
      <c r="M29" s="1282"/>
      <c r="N29" s="1282"/>
      <c r="O29" s="1282"/>
      <c r="P29" s="1395"/>
      <c r="Q29" s="1395"/>
      <c r="R29" s="1395"/>
      <c r="S29" s="1395"/>
      <c r="T29" s="438" cm="1" t="str">
        <f t="array" ref="T29:T29">T28</f>
        <v>false</v>
      </c>
      <c r="U29" s="1395"/>
      <c r="V29" s="1282"/>
      <c r="W29" s="1395"/>
      <c r="X29" s="1511"/>
      <c r="Y29" s="1493"/>
      <c r="Z29" s="1282"/>
      <c r="AA29" s="1282"/>
      <c r="AB29" s="206" t="s">
        <v>504</v>
      </c>
      <c r="AC29" s="296" t="s">
        <v>505</v>
      </c>
      <c r="AD29" s="59" t="s">
        <v>506</v>
      </c>
      <c r="AE29" s="281">
        <f>AE38+AE33-AE36</f>
        <v>0</v>
      </c>
      <c r="AF29" s="281">
        <f>AF38+AF33-AF36</f>
        <v>0</v>
      </c>
      <c r="AG29" s="281">
        <f>AG38+AG33-AG36</f>
        <v>0</v>
      </c>
      <c r="AH29" s="281">
        <f>AH38+AH33-AH36</f>
        <v>0</v>
      </c>
      <c r="AI29" s="281">
        <f>AI38+AI33-AI36</f>
        <v>0</v>
      </c>
      <c r="AJ29" s="281">
        <f>AJ38+AJ33-AJ36</f>
        <v>0</v>
      </c>
      <c r="AK29" s="281">
        <f>AK38+AK33-AK36</f>
        <v>0</v>
      </c>
      <c r="AL29" s="281">
        <f>AL38+AL33-AL36</f>
        <v>0</v>
      </c>
      <c r="AM29" s="281">
        <f>AM38+AM33-AM36</f>
        <v>0</v>
      </c>
      <c r="AN29" s="281">
        <f>AN38+AN33-AN36</f>
        <v>0</v>
      </c>
      <c r="AO29" s="281">
        <f>AO38+AO33-AO36</f>
        <v>0</v>
      </c>
      <c r="AP29" s="281">
        <f>AP38+AP33-AP36</f>
        <v>0</v>
      </c>
      <c r="AQ29" s="281">
        <f>AQ38+AQ33-AQ36</f>
        <v>0</v>
      </c>
      <c r="AR29" s="281">
        <f>AR38+AR33-AR36</f>
        <v>0</v>
      </c>
      <c r="AS29" s="281">
        <f>AS38+AS33-AS36</f>
        <v>0</v>
      </c>
      <c r="AT29" s="281">
        <f>AT38+AT33-AT36</f>
        <v>0</v>
      </c>
      <c r="AU29" s="281">
        <f>AU38+AU33-AU36</f>
        <v>0</v>
      </c>
      <c r="AV29" s="281">
        <f>AV38+AV33-AV36</f>
        <v>0</v>
      </c>
      <c r="AW29" s="281">
        <f>AW38+AW33-AW36</f>
        <v>0</v>
      </c>
      <c r="AX29" s="281">
        <f>AX38+AX33-AX36</f>
        <v>0</v>
      </c>
      <c r="AY29" s="281">
        <f>AY38+AY33-AY36</f>
        <v>0</v>
      </c>
      <c r="AZ29" s="281">
        <f>AZ38+AZ33-AZ36</f>
        <v>0</v>
      </c>
      <c r="BA29" s="281">
        <f>BA38+BA33-BA36</f>
        <v>0</v>
      </c>
      <c r="BB29" s="281">
        <f>BB38+BB33-BB36</f>
        <v>0</v>
      </c>
      <c r="BC29" s="1880"/>
      <c r="BD29" s="1282"/>
      <c r="BE29" s="1282"/>
      <c r="BF29" s="992" t="s">
        <v>507</v>
      </c>
    </row>
    <row customHeight="1" ht="14.625" hidden="1">
      <c r="A30" s="1282"/>
      <c r="B30" s="1389"/>
      <c r="C30" s="1282"/>
      <c r="D30" s="1282"/>
      <c r="E30" s="607">
        <v>15</v>
      </c>
      <c r="F30" s="50" cm="1" t="str">
        <f t="array" ref="F30:F30">OFFSET(E30,-1,1)</f>
        <v>0</v>
      </c>
      <c r="G30" s="1282"/>
      <c r="H30" s="64" t="s">
        <v>508</v>
      </c>
      <c r="I30" s="1282"/>
      <c r="J30" s="1282"/>
      <c r="K30" s="1282"/>
      <c r="L30" s="1282"/>
      <c r="M30" s="1282"/>
      <c r="N30" s="1282"/>
      <c r="O30" s="1282"/>
      <c r="P30" s="1395"/>
      <c r="Q30" s="1395"/>
      <c r="R30" s="1395"/>
      <c r="S30" s="1395"/>
      <c r="T30" s="438" cm="1" t="str">
        <f t="array" ref="T30:T30">T29</f>
        <v>false</v>
      </c>
      <c r="U30" s="1395"/>
      <c r="V30" s="1282"/>
      <c r="W30" s="1395"/>
      <c r="X30" s="1511"/>
      <c r="Y30" s="1493"/>
      <c r="Z30" s="1282"/>
      <c r="AA30" s="1282"/>
      <c r="AB30" s="206" t="s">
        <v>509</v>
      </c>
      <c r="AC30" s="158" t="s">
        <v>510</v>
      </c>
      <c r="AD30" s="59" t="s">
        <v>506</v>
      </c>
      <c r="AE30" s="1922"/>
      <c r="AF30" s="1922"/>
      <c r="AG30" s="1922"/>
      <c r="AH30" s="1922"/>
      <c r="AI30" s="245"/>
      <c r="AJ30" s="1922"/>
      <c r="AK30" s="1922"/>
      <c r="AL30" s="1922"/>
      <c r="AM30" s="1922"/>
      <c r="AN30" s="1922"/>
      <c r="AO30" s="1922"/>
      <c r="AP30" s="1922"/>
      <c r="AQ30" s="1922"/>
      <c r="AR30" s="1922"/>
      <c r="AS30" s="245"/>
      <c r="AT30" s="1922"/>
      <c r="AU30" s="1922"/>
      <c r="AV30" s="1922"/>
      <c r="AW30" s="1922"/>
      <c r="AX30" s="1922"/>
      <c r="AY30" s="1922"/>
      <c r="AZ30" s="1922"/>
      <c r="BA30" s="1922"/>
      <c r="BB30" s="1922"/>
      <c r="BC30" s="1926"/>
      <c r="BD30" s="1282"/>
      <c r="BE30" s="1282"/>
      <c r="BF30" s="992" t="s">
        <v>511</v>
      </c>
    </row>
    <row customHeight="1" ht="14.625" hidden="1">
      <c r="A31" s="1282"/>
      <c r="B31" s="1389"/>
      <c r="C31" s="1282"/>
      <c r="D31" s="1282"/>
      <c r="E31" s="607">
        <v>15</v>
      </c>
      <c r="F31" s="50" cm="1" t="str">
        <f t="array" ref="F31:F31">OFFSET(E31,-1,1)</f>
        <v>0</v>
      </c>
      <c r="G31" s="1282"/>
      <c r="H31" s="64" t="s">
        <v>512</v>
      </c>
      <c r="I31" s="1282"/>
      <c r="J31" s="1282"/>
      <c r="K31" s="1282"/>
      <c r="L31" s="1282"/>
      <c r="M31" s="1282"/>
      <c r="N31" s="1282"/>
      <c r="O31" s="1282"/>
      <c r="P31" s="1395"/>
      <c r="Q31" s="1395"/>
      <c r="R31" s="1395"/>
      <c r="S31" s="1395"/>
      <c r="T31" s="438" cm="1" t="str">
        <f t="array" ref="T31:T31">T30</f>
        <v>false</v>
      </c>
      <c r="U31" s="1395"/>
      <c r="V31" s="1282"/>
      <c r="W31" s="1395"/>
      <c r="X31" s="1511"/>
      <c r="Y31" s="1493"/>
      <c r="Z31" s="1282"/>
      <c r="AA31" s="1282"/>
      <c r="AB31" s="206" t="s">
        <v>513</v>
      </c>
      <c r="AC31" s="158" t="s">
        <v>514</v>
      </c>
      <c r="AD31" s="59" t="s">
        <v>506</v>
      </c>
      <c r="AE31" s="1922"/>
      <c r="AF31" s="1922"/>
      <c r="AG31" s="1922"/>
      <c r="AH31" s="1922"/>
      <c r="AI31" s="245"/>
      <c r="AJ31" s="1922"/>
      <c r="AK31" s="1922"/>
      <c r="AL31" s="1922"/>
      <c r="AM31" s="1922"/>
      <c r="AN31" s="1922"/>
      <c r="AO31" s="1922"/>
      <c r="AP31" s="1922"/>
      <c r="AQ31" s="1922"/>
      <c r="AR31" s="1922"/>
      <c r="AS31" s="245"/>
      <c r="AT31" s="1922"/>
      <c r="AU31" s="1922"/>
      <c r="AV31" s="1922"/>
      <c r="AW31" s="1922"/>
      <c r="AX31" s="1922"/>
      <c r="AY31" s="1922"/>
      <c r="AZ31" s="1922"/>
      <c r="BA31" s="1922"/>
      <c r="BB31" s="1922"/>
      <c r="BC31" s="1926"/>
      <c r="BD31" s="1282"/>
      <c r="BE31" s="1282"/>
      <c r="BF31" s="992" t="s">
        <v>515</v>
      </c>
    </row>
    <row customHeight="1" ht="21.9375" hidden="1">
      <c r="A32" s="1282"/>
      <c r="B32" s="1389"/>
      <c r="C32" s="1282"/>
      <c r="D32" s="1282"/>
      <c r="E32" s="607">
        <v>22.5</v>
      </c>
      <c r="F32" s="50" cm="1" t="str">
        <f t="array" ref="F32:F32">OFFSET(E32,-1,1)</f>
        <v>0</v>
      </c>
      <c r="G32" s="1282"/>
      <c r="H32" s="64" t="s">
        <v>516</v>
      </c>
      <c r="I32" s="1282"/>
      <c r="J32" s="1282"/>
      <c r="K32" s="1282"/>
      <c r="L32" s="1282"/>
      <c r="M32" s="1282"/>
      <c r="N32" s="1282"/>
      <c r="O32" s="1282"/>
      <c r="P32" s="1395"/>
      <c r="Q32" s="1395"/>
      <c r="R32" s="1395"/>
      <c r="S32" s="1395"/>
      <c r="T32" s="438" cm="1" t="str">
        <f t="array" ref="T32:T32">T31</f>
        <v>false</v>
      </c>
      <c r="U32" s="1395"/>
      <c r="V32" s="1282"/>
      <c r="W32" s="1395"/>
      <c r="X32" s="1511"/>
      <c r="Y32" s="1493"/>
      <c r="Z32" s="1282"/>
      <c r="AA32" s="1282"/>
      <c r="AB32" s="206" t="s">
        <v>517</v>
      </c>
      <c r="AC32" s="296" t="s">
        <v>518</v>
      </c>
      <c r="AD32" s="59" t="s">
        <v>506</v>
      </c>
      <c r="AE32" s="1922"/>
      <c r="AF32" s="1922"/>
      <c r="AG32" s="1922"/>
      <c r="AH32" s="1922"/>
      <c r="AI32" s="245"/>
      <c r="AJ32" s="1922"/>
      <c r="AK32" s="1922"/>
      <c r="AL32" s="1922"/>
      <c r="AM32" s="1922"/>
      <c r="AN32" s="1922"/>
      <c r="AO32" s="1922"/>
      <c r="AP32" s="1922"/>
      <c r="AQ32" s="1922"/>
      <c r="AR32" s="1922"/>
      <c r="AS32" s="245"/>
      <c r="AT32" s="1922"/>
      <c r="AU32" s="1922"/>
      <c r="AV32" s="1922"/>
      <c r="AW32" s="1922"/>
      <c r="AX32" s="1922"/>
      <c r="AY32" s="1922"/>
      <c r="AZ32" s="1922"/>
      <c r="BA32" s="1922"/>
      <c r="BB32" s="1922"/>
      <c r="BC32" s="1926"/>
      <c r="BD32" s="1282"/>
      <c r="BE32" s="1282"/>
      <c r="BF32" s="992" t="s">
        <v>519</v>
      </c>
    </row>
    <row customHeight="1" ht="14.625" hidden="1">
      <c r="A33" s="1282"/>
      <c r="B33" s="1389"/>
      <c r="C33" s="1282"/>
      <c r="D33" s="1282"/>
      <c r="E33" s="607">
        <v>15</v>
      </c>
      <c r="F33" s="50" cm="1" t="str">
        <f t="array" ref="F33:F33">OFFSET(E33,-1,1)</f>
        <v>0</v>
      </c>
      <c r="G33" s="1282"/>
      <c r="H33" s="64" t="s">
        <v>324</v>
      </c>
      <c r="I33" s="1282"/>
      <c r="J33" s="1282"/>
      <c r="K33" s="1282"/>
      <c r="L33" s="1282"/>
      <c r="M33" s="1282"/>
      <c r="N33" s="1282"/>
      <c r="O33" s="1282"/>
      <c r="P33" s="1395"/>
      <c r="Q33" s="1395"/>
      <c r="R33" s="1395"/>
      <c r="S33" s="1395"/>
      <c r="T33" s="438" cm="1" t="str">
        <f t="array" ref="T33:T33">T32</f>
        <v>false</v>
      </c>
      <c r="U33" s="1395"/>
      <c r="V33" s="1282"/>
      <c r="W33" s="1395"/>
      <c r="X33" s="1511"/>
      <c r="Y33" s="1493"/>
      <c r="Z33" s="1282"/>
      <c r="AA33" s="1282"/>
      <c r="AB33" s="206" t="s">
        <v>319</v>
      </c>
      <c r="AC33" s="296" t="s">
        <v>520</v>
      </c>
      <c r="AD33" s="59" t="s">
        <v>506</v>
      </c>
      <c r="AE33" s="281">
        <f>SUM(AE34:AE35)</f>
        <v>0</v>
      </c>
      <c r="AF33" s="281">
        <f>SUM(AF34:AF35)</f>
        <v>0</v>
      </c>
      <c r="AG33" s="281">
        <f>SUM(AG34:AG35)</f>
        <v>0</v>
      </c>
      <c r="AH33" s="281">
        <f>SUM(AH34:AH35)</f>
        <v>0</v>
      </c>
      <c r="AI33" s="281">
        <f>SUM(AI34:AI35)</f>
        <v>0</v>
      </c>
      <c r="AJ33" s="281">
        <f>SUM(AJ34:AJ35)</f>
        <v>0</v>
      </c>
      <c r="AK33" s="281">
        <f>SUM(AK34:AK35)</f>
        <v>0</v>
      </c>
      <c r="AL33" s="281">
        <f>SUM(AL34:AL35)</f>
        <v>0</v>
      </c>
      <c r="AM33" s="281">
        <f>SUM(AM34:AM35)</f>
        <v>0</v>
      </c>
      <c r="AN33" s="281">
        <f>SUM(AN34:AN35)</f>
        <v>0</v>
      </c>
      <c r="AO33" s="281">
        <f>SUM(AO34:AO35)</f>
        <v>0</v>
      </c>
      <c r="AP33" s="281">
        <f>SUM(AP34:AP35)</f>
        <v>0</v>
      </c>
      <c r="AQ33" s="281">
        <f>SUM(AQ34:AQ35)</f>
        <v>0</v>
      </c>
      <c r="AR33" s="281">
        <f>SUM(AR34:AR35)</f>
        <v>0</v>
      </c>
      <c r="AS33" s="281">
        <f>SUM(AS34:AS35)</f>
        <v>0</v>
      </c>
      <c r="AT33" s="281">
        <f>SUM(AT34:AT35)</f>
        <v>0</v>
      </c>
      <c r="AU33" s="281">
        <f>SUM(AU34:AU35)</f>
        <v>0</v>
      </c>
      <c r="AV33" s="281">
        <f>SUM(AV34:AV35)</f>
        <v>0</v>
      </c>
      <c r="AW33" s="281">
        <f>SUM(AW34:AW35)</f>
        <v>0</v>
      </c>
      <c r="AX33" s="281">
        <f>SUM(AX34:AX35)</f>
        <v>0</v>
      </c>
      <c r="AY33" s="281">
        <f>SUM(AY34:AY35)</f>
        <v>0</v>
      </c>
      <c r="AZ33" s="281">
        <f>SUM(AZ34:AZ35)</f>
        <v>0</v>
      </c>
      <c r="BA33" s="281">
        <f>SUM(BA34:BA35)</f>
        <v>0</v>
      </c>
      <c r="BB33" s="281">
        <f>SUM(BB34:BB35)</f>
        <v>0</v>
      </c>
      <c r="BC33" s="1926"/>
      <c r="BD33" s="1282"/>
      <c r="BE33" s="1282"/>
      <c r="BF33" s="992" t="s">
        <v>521</v>
      </c>
    </row>
    <row customHeight="1" ht="14.625" hidden="1">
      <c r="A34" s="1282"/>
      <c r="B34" s="1389"/>
      <c r="C34" s="1282"/>
      <c r="D34" s="1282"/>
      <c r="E34" s="607">
        <v>15</v>
      </c>
      <c r="F34" s="50" cm="1" t="str">
        <f t="array" ref="F34:F34">OFFSET(E34,-1,1)</f>
        <v>0</v>
      </c>
      <c r="G34" s="1282"/>
      <c r="H34" s="64" t="s">
        <v>522</v>
      </c>
      <c r="I34" s="1282"/>
      <c r="J34" s="1282"/>
      <c r="K34" s="1282"/>
      <c r="L34" s="1282"/>
      <c r="M34" s="1282"/>
      <c r="N34" s="1282"/>
      <c r="O34" s="1282"/>
      <c r="P34" s="1395"/>
      <c r="Q34" s="1395"/>
      <c r="R34" s="1395"/>
      <c r="S34" s="1395"/>
      <c r="T34" s="438" cm="1" t="str">
        <f t="array" ref="T34:T34">T33</f>
        <v>false</v>
      </c>
      <c r="U34" s="1395"/>
      <c r="V34" s="1282"/>
      <c r="W34" s="1395"/>
      <c r="X34" s="1511"/>
      <c r="Y34" s="1493"/>
      <c r="Z34" s="1282"/>
      <c r="AA34" s="1282"/>
      <c r="AB34" s="206" t="s">
        <v>523</v>
      </c>
      <c r="AC34" s="158" t="s">
        <v>524</v>
      </c>
      <c r="AD34" s="59" t="s">
        <v>506</v>
      </c>
      <c r="AE34" s="1922"/>
      <c r="AF34" s="1922"/>
      <c r="AG34" s="1922"/>
      <c r="AH34" s="1922"/>
      <c r="AI34" s="245"/>
      <c r="AJ34" s="1922"/>
      <c r="AK34" s="1922"/>
      <c r="AL34" s="1922"/>
      <c r="AM34" s="1922"/>
      <c r="AN34" s="1922"/>
      <c r="AO34" s="1922"/>
      <c r="AP34" s="1922"/>
      <c r="AQ34" s="1922"/>
      <c r="AR34" s="1922"/>
      <c r="AS34" s="245"/>
      <c r="AT34" s="1922"/>
      <c r="AU34" s="1922"/>
      <c r="AV34" s="1922"/>
      <c r="AW34" s="1922"/>
      <c r="AX34" s="1922"/>
      <c r="AY34" s="1922"/>
      <c r="AZ34" s="1922"/>
      <c r="BA34" s="1922"/>
      <c r="BB34" s="1922"/>
      <c r="BC34" s="1926"/>
      <c r="BD34" s="1282"/>
      <c r="BE34" s="1282"/>
      <c r="BF34" s="992" t="s">
        <v>525</v>
      </c>
    </row>
    <row customHeight="1" ht="14.625" hidden="1">
      <c r="A35" s="1282"/>
      <c r="B35" s="1389"/>
      <c r="C35" s="1282"/>
      <c r="D35" s="1282"/>
      <c r="E35" s="607">
        <v>15</v>
      </c>
      <c r="F35" s="50" cm="1" t="str">
        <f t="array" ref="F35:F35">OFFSET(E35,-1,1)</f>
        <v>0</v>
      </c>
      <c r="G35" s="1282"/>
      <c r="H35" s="64" t="s">
        <v>526</v>
      </c>
      <c r="I35" s="1282"/>
      <c r="J35" s="1282"/>
      <c r="K35" s="1282"/>
      <c r="L35" s="1282"/>
      <c r="M35" s="1282"/>
      <c r="N35" s="1282"/>
      <c r="O35" s="1282"/>
      <c r="P35" s="1395"/>
      <c r="Q35" s="1395"/>
      <c r="R35" s="1395"/>
      <c r="S35" s="1395"/>
      <c r="T35" s="438" cm="1" t="str">
        <f t="array" ref="T35:T35">T34</f>
        <v>false</v>
      </c>
      <c r="U35" s="1395"/>
      <c r="V35" s="1282"/>
      <c r="W35" s="1395"/>
      <c r="X35" s="1511"/>
      <c r="Y35" s="1493"/>
      <c r="Z35" s="1282"/>
      <c r="AA35" s="1282"/>
      <c r="AB35" s="206" t="s">
        <v>527</v>
      </c>
      <c r="AC35" s="158" t="s">
        <v>528</v>
      </c>
      <c r="AD35" s="59" t="s">
        <v>506</v>
      </c>
      <c r="AE35" s="1922"/>
      <c r="AF35" s="1922"/>
      <c r="AG35" s="1922"/>
      <c r="AH35" s="1922"/>
      <c r="AI35" s="245"/>
      <c r="AJ35" s="1922"/>
      <c r="AK35" s="1922"/>
      <c r="AL35" s="1922"/>
      <c r="AM35" s="1922"/>
      <c r="AN35" s="1922"/>
      <c r="AO35" s="1922"/>
      <c r="AP35" s="1922"/>
      <c r="AQ35" s="1922"/>
      <c r="AR35" s="1922"/>
      <c r="AS35" s="245"/>
      <c r="AT35" s="1922"/>
      <c r="AU35" s="1922"/>
      <c r="AV35" s="1922"/>
      <c r="AW35" s="1922"/>
      <c r="AX35" s="1922"/>
      <c r="AY35" s="1922"/>
      <c r="AZ35" s="1922"/>
      <c r="BA35" s="1922"/>
      <c r="BB35" s="1922"/>
      <c r="BC35" s="1926"/>
      <c r="BD35" s="1282"/>
      <c r="BE35" s="1282"/>
      <c r="BF35" s="992" t="s">
        <v>529</v>
      </c>
    </row>
    <row customHeight="1" ht="14.625" hidden="1">
      <c r="A36" s="1282"/>
      <c r="B36" s="1389"/>
      <c r="C36" s="1282"/>
      <c r="D36" s="1282"/>
      <c r="E36" s="607">
        <v>15</v>
      </c>
      <c r="F36" s="50" cm="1" t="str">
        <f t="array" ref="F36:F36">OFFSET(E36,-1,1)</f>
        <v>0</v>
      </c>
      <c r="G36" s="1282"/>
      <c r="H36" s="64" t="s">
        <v>484</v>
      </c>
      <c r="I36" s="1282"/>
      <c r="J36" s="1282"/>
      <c r="K36" s="1282"/>
      <c r="L36" s="1282"/>
      <c r="M36" s="1282"/>
      <c r="N36" s="1282"/>
      <c r="O36" s="1282"/>
      <c r="P36" s="1395"/>
      <c r="Q36" s="1395"/>
      <c r="R36" s="1395"/>
      <c r="S36" s="1395"/>
      <c r="T36" s="438" cm="1" t="str">
        <f t="array" ref="T36:T36">T35</f>
        <v>false</v>
      </c>
      <c r="U36" s="1395"/>
      <c r="V36" s="1282"/>
      <c r="W36" s="1395"/>
      <c r="X36" s="1511"/>
      <c r="Y36" s="1493"/>
      <c r="Z36" s="1282"/>
      <c r="AA36" s="1282"/>
      <c r="AB36" s="206" t="s">
        <v>530</v>
      </c>
      <c r="AC36" s="295" t="s">
        <v>531</v>
      </c>
      <c r="AD36" s="59" t="s">
        <v>506</v>
      </c>
      <c r="AE36" s="1879"/>
      <c r="AF36" s="1879"/>
      <c r="AG36" s="1879"/>
      <c r="AH36" s="1879"/>
      <c r="AI36" s="242"/>
      <c r="AJ36" s="1879"/>
      <c r="AK36" s="1879"/>
      <c r="AL36" s="1879"/>
      <c r="AM36" s="1879"/>
      <c r="AN36" s="1879"/>
      <c r="AO36" s="1879"/>
      <c r="AP36" s="1879"/>
      <c r="AQ36" s="1879"/>
      <c r="AR36" s="1879"/>
      <c r="AS36" s="242"/>
      <c r="AT36" s="1879"/>
      <c r="AU36" s="1879"/>
      <c r="AV36" s="1879"/>
      <c r="AW36" s="1879"/>
      <c r="AX36" s="1879"/>
      <c r="AY36" s="1879"/>
      <c r="AZ36" s="1879"/>
      <c r="BA36" s="1879"/>
      <c r="BB36" s="1879"/>
      <c r="BC36" s="1926"/>
      <c r="BD36" s="1282"/>
      <c r="BE36" s="1282"/>
      <c r="BF36" s="992" t="s">
        <v>532</v>
      </c>
    </row>
    <row customHeight="1" ht="14.625" hidden="1">
      <c r="A37" s="1282"/>
      <c r="B37" s="1389"/>
      <c r="C37" s="1282"/>
      <c r="D37" s="1282"/>
      <c r="E37" s="607">
        <v>15</v>
      </c>
      <c r="F37" s="50" cm="1" t="str">
        <f t="array" ref="F37:F37">OFFSET(E37,-1,1)</f>
        <v>0</v>
      </c>
      <c r="G37" s="1282"/>
      <c r="H37" s="64" t="s">
        <v>488</v>
      </c>
      <c r="I37" s="1282"/>
      <c r="J37" s="1282"/>
      <c r="K37" s="1282"/>
      <c r="L37" s="1282"/>
      <c r="M37" s="1282"/>
      <c r="N37" s="1282"/>
      <c r="O37" s="1282"/>
      <c r="P37" s="1395"/>
      <c r="Q37" s="1395"/>
      <c r="R37" s="1395"/>
      <c r="S37" s="1395"/>
      <c r="T37" s="438" cm="1" t="str">
        <f t="array" ref="T37:T37">T36</f>
        <v>false</v>
      </c>
      <c r="U37" s="1395"/>
      <c r="V37" s="1282"/>
      <c r="W37" s="1395"/>
      <c r="X37" s="1511"/>
      <c r="Y37" s="1493"/>
      <c r="Z37" s="1282"/>
      <c r="AA37" s="1282"/>
      <c r="AB37" s="206" t="s">
        <v>485</v>
      </c>
      <c r="AC37" s="295" t="s">
        <v>533</v>
      </c>
      <c r="AD37" s="59" t="s">
        <v>506</v>
      </c>
      <c r="AE37" s="1922"/>
      <c r="AF37" s="1922"/>
      <c r="AG37" s="1922"/>
      <c r="AH37" s="1922"/>
      <c r="AI37" s="245"/>
      <c r="AJ37" s="1922"/>
      <c r="AK37" s="1922"/>
      <c r="AL37" s="1922"/>
      <c r="AM37" s="1922"/>
      <c r="AN37" s="1922"/>
      <c r="AO37" s="1922"/>
      <c r="AP37" s="1922"/>
      <c r="AQ37" s="1922"/>
      <c r="AR37" s="1922"/>
      <c r="AS37" s="245"/>
      <c r="AT37" s="1922"/>
      <c r="AU37" s="1922"/>
      <c r="AV37" s="1922"/>
      <c r="AW37" s="1922"/>
      <c r="AX37" s="1922"/>
      <c r="AY37" s="1922"/>
      <c r="AZ37" s="1922"/>
      <c r="BA37" s="1922"/>
      <c r="BB37" s="1922"/>
      <c r="BC37" s="1926"/>
      <c r="BD37" s="1282"/>
      <c r="BE37" s="1282"/>
      <c r="BF37" s="992" t="s">
        <v>534</v>
      </c>
    </row>
    <row customHeight="1" ht="14.625" hidden="1">
      <c r="A38" s="1282"/>
      <c r="B38" s="1389"/>
      <c r="C38" s="1282"/>
      <c r="D38" s="1282"/>
      <c r="E38" s="607">
        <v>15</v>
      </c>
      <c r="F38" s="50" cm="1" t="str">
        <f t="array" ref="F38:F38">OFFSET(E38,-1,1)</f>
        <v>0</v>
      </c>
      <c r="G38" s="1282"/>
      <c r="H38" s="64" t="s">
        <v>535</v>
      </c>
      <c r="I38" s="1282"/>
      <c r="J38" s="1282"/>
      <c r="K38" s="1282"/>
      <c r="L38" s="1282"/>
      <c r="M38" s="1282"/>
      <c r="N38" s="1282"/>
      <c r="O38" s="1282"/>
      <c r="P38" s="1395"/>
      <c r="Q38" s="1395"/>
      <c r="R38" s="1395"/>
      <c r="S38" s="1395"/>
      <c r="T38" s="438" cm="1" t="str">
        <f t="array" ref="T38:T38">T37</f>
        <v>false</v>
      </c>
      <c r="U38" s="1395"/>
      <c r="V38" s="1282"/>
      <c r="W38" s="1395"/>
      <c r="X38" s="1511"/>
      <c r="Y38" s="1493"/>
      <c r="Z38" s="1282"/>
      <c r="AA38" s="1282"/>
      <c r="AB38" s="206" t="s">
        <v>489</v>
      </c>
      <c r="AC38" s="296" t="s">
        <v>536</v>
      </c>
      <c r="AD38" s="59" t="s">
        <v>506</v>
      </c>
      <c r="AE38" s="281">
        <f>AE44+AE42</f>
        <v>0</v>
      </c>
      <c r="AF38" s="281">
        <f>AF44+AF42</f>
        <v>0</v>
      </c>
      <c r="AG38" s="281">
        <f>AG44+AG42</f>
        <v>0</v>
      </c>
      <c r="AH38" s="281">
        <f>AH44+AH42</f>
        <v>0</v>
      </c>
      <c r="AI38" s="281">
        <f>AI44+AI42</f>
        <v>0</v>
      </c>
      <c r="AJ38" s="281">
        <f>AJ44+AJ42</f>
        <v>0</v>
      </c>
      <c r="AK38" s="281">
        <f>AK44+AK42</f>
        <v>0</v>
      </c>
      <c r="AL38" s="281">
        <f>AL44+AL42</f>
        <v>0</v>
      </c>
      <c r="AM38" s="281">
        <f>AM44+AM42</f>
        <v>0</v>
      </c>
      <c r="AN38" s="281">
        <f>AN44+AN42</f>
        <v>0</v>
      </c>
      <c r="AO38" s="281">
        <f>AO44+AO42</f>
        <v>0</v>
      </c>
      <c r="AP38" s="281">
        <f>AP44+AP42</f>
        <v>0</v>
      </c>
      <c r="AQ38" s="281">
        <f>AQ44+AQ42</f>
        <v>0</v>
      </c>
      <c r="AR38" s="281">
        <f>AR44+AR42</f>
        <v>0</v>
      </c>
      <c r="AS38" s="281">
        <f>AS44+AS42</f>
        <v>0</v>
      </c>
      <c r="AT38" s="281">
        <f>AT44+AT42</f>
        <v>0</v>
      </c>
      <c r="AU38" s="281">
        <f>AU44+AU42</f>
        <v>0</v>
      </c>
      <c r="AV38" s="281">
        <f>AV44+AV42</f>
        <v>0</v>
      </c>
      <c r="AW38" s="281">
        <f>AW44+AW42</f>
        <v>0</v>
      </c>
      <c r="AX38" s="281">
        <f>AX44+AX42</f>
        <v>0</v>
      </c>
      <c r="AY38" s="281">
        <f>AY44+AY42</f>
        <v>0</v>
      </c>
      <c r="AZ38" s="281">
        <f>AZ44+AZ42</f>
        <v>0</v>
      </c>
      <c r="BA38" s="281">
        <f>BA44+BA42</f>
        <v>0</v>
      </c>
      <c r="BB38" s="281">
        <f>BB44+BB42</f>
        <v>0</v>
      </c>
      <c r="BC38" s="1926"/>
      <c r="BD38" s="1282"/>
      <c r="BE38" s="1282"/>
      <c r="BF38" s="992" t="s">
        <v>537</v>
      </c>
    </row>
    <row customHeight="1" ht="21.9375" hidden="1">
      <c r="A39" s="1282"/>
      <c r="B39" s="1389"/>
      <c r="C39" s="1282"/>
      <c r="D39" s="1282"/>
      <c r="E39" s="607">
        <v>22.5</v>
      </c>
      <c r="F39" s="50" cm="1" t="str">
        <f t="array" ref="F39:F39">OFFSET(E39,-1,1)</f>
        <v>0</v>
      </c>
      <c r="G39" s="1282"/>
      <c r="H39" s="64" t="s">
        <v>538</v>
      </c>
      <c r="I39" s="1282"/>
      <c r="J39" s="1282"/>
      <c r="K39" s="1282"/>
      <c r="L39" s="1282"/>
      <c r="M39" s="1282"/>
      <c r="N39" s="1282"/>
      <c r="O39" s="1282"/>
      <c r="P39" s="1395"/>
      <c r="Q39" s="1395"/>
      <c r="R39" s="1395"/>
      <c r="S39" s="1395"/>
      <c r="T39" s="438" cm="1" t="str">
        <f t="array" ref="T39:T39">T38</f>
        <v>false</v>
      </c>
      <c r="U39" s="1395"/>
      <c r="V39" s="1282"/>
      <c r="W39" s="1395"/>
      <c r="X39" s="1511"/>
      <c r="Y39" s="1493"/>
      <c r="Z39" s="1282"/>
      <c r="AA39" s="1282"/>
      <c r="AB39" s="206" t="s">
        <v>539</v>
      </c>
      <c r="AC39" s="158" t="s">
        <v>540</v>
      </c>
      <c r="AD39" s="59" t="s">
        <v>506</v>
      </c>
      <c r="AE39" s="1922"/>
      <c r="AF39" s="1922"/>
      <c r="AG39" s="1922"/>
      <c r="AH39" s="1922"/>
      <c r="AI39" s="245"/>
      <c r="AJ39" s="1922"/>
      <c r="AK39" s="1922"/>
      <c r="AL39" s="1922"/>
      <c r="AM39" s="1922"/>
      <c r="AN39" s="1922"/>
      <c r="AO39" s="1922"/>
      <c r="AP39" s="1922"/>
      <c r="AQ39" s="1922"/>
      <c r="AR39" s="1922"/>
      <c r="AS39" s="245"/>
      <c r="AT39" s="1922"/>
      <c r="AU39" s="1922"/>
      <c r="AV39" s="1922"/>
      <c r="AW39" s="1922"/>
      <c r="AX39" s="1922"/>
      <c r="AY39" s="1922"/>
      <c r="AZ39" s="1922"/>
      <c r="BA39" s="1922"/>
      <c r="BB39" s="1922"/>
      <c r="BC39" s="1926"/>
      <c r="BD39" s="1282"/>
      <c r="BE39" s="1282"/>
      <c r="BF39" s="992" t="s">
        <v>541</v>
      </c>
    </row>
    <row customHeight="1" ht="14.625" hidden="1">
      <c r="A40" s="1282"/>
      <c r="B40" s="1389"/>
      <c r="C40" s="1282"/>
      <c r="D40" s="1282"/>
      <c r="E40" s="607">
        <v>15</v>
      </c>
      <c r="F40" s="50" cm="1" t="str">
        <f t="array" ref="F40:F40">OFFSET(E40,-1,1)</f>
        <v>0</v>
      </c>
      <c r="G40" s="1282"/>
      <c r="H40" s="64" t="s">
        <v>542</v>
      </c>
      <c r="I40" s="1282"/>
      <c r="J40" s="1282"/>
      <c r="K40" s="1282"/>
      <c r="L40" s="1282"/>
      <c r="M40" s="1282"/>
      <c r="N40" s="1282"/>
      <c r="O40" s="1282"/>
      <c r="P40" s="1395"/>
      <c r="Q40" s="1395"/>
      <c r="R40" s="1395"/>
      <c r="S40" s="1395"/>
      <c r="T40" s="438" cm="1" t="str">
        <f t="array" ref="T40:T40">T39</f>
        <v>false</v>
      </c>
      <c r="U40" s="1395"/>
      <c r="V40" s="1282"/>
      <c r="W40" s="1395"/>
      <c r="X40" s="1511"/>
      <c r="Y40" s="1493"/>
      <c r="Z40" s="1282"/>
      <c r="AA40" s="1282"/>
      <c r="AB40" s="206" t="s">
        <v>543</v>
      </c>
      <c r="AC40" s="158" t="s">
        <v>544</v>
      </c>
      <c r="AD40" s="59" t="s">
        <v>506</v>
      </c>
      <c r="AE40" s="1922"/>
      <c r="AF40" s="1922"/>
      <c r="AG40" s="1922"/>
      <c r="AH40" s="1922"/>
      <c r="AI40" s="245"/>
      <c r="AJ40" s="1922"/>
      <c r="AK40" s="1922"/>
      <c r="AL40" s="1922"/>
      <c r="AM40" s="1922"/>
      <c r="AN40" s="1922"/>
      <c r="AO40" s="1922"/>
      <c r="AP40" s="1922"/>
      <c r="AQ40" s="1922"/>
      <c r="AR40" s="1922"/>
      <c r="AS40" s="245"/>
      <c r="AT40" s="1922"/>
      <c r="AU40" s="1922"/>
      <c r="AV40" s="1922"/>
      <c r="AW40" s="1922"/>
      <c r="AX40" s="1922"/>
      <c r="AY40" s="1922"/>
      <c r="AZ40" s="1922"/>
      <c r="BA40" s="1922"/>
      <c r="BB40" s="1922"/>
      <c r="BC40" s="1926"/>
      <c r="BD40" s="1282"/>
      <c r="BE40" s="1282"/>
      <c r="BF40" s="992" t="s">
        <v>545</v>
      </c>
    </row>
    <row customHeight="1" ht="21.9375" hidden="1">
      <c r="A41" s="1282"/>
      <c r="B41" s="1389"/>
      <c r="C41" s="1282"/>
      <c r="D41" s="1282"/>
      <c r="E41" s="607">
        <v>22.5</v>
      </c>
      <c r="F41" s="50" cm="1" t="str">
        <f t="array" ref="F41:F41">OFFSET(E41,-1,1)</f>
        <v>0</v>
      </c>
      <c r="G41" s="1282"/>
      <c r="H41" s="64" t="s">
        <v>546</v>
      </c>
      <c r="I41" s="1282"/>
      <c r="J41" s="1282"/>
      <c r="K41" s="1282"/>
      <c r="L41" s="1282"/>
      <c r="M41" s="1282"/>
      <c r="N41" s="1282"/>
      <c r="O41" s="1282"/>
      <c r="P41" s="1395"/>
      <c r="Q41" s="1395"/>
      <c r="R41" s="1395"/>
      <c r="S41" s="1395"/>
      <c r="T41" s="438" cm="1" t="str">
        <f t="array" ref="T41:T41">T40</f>
        <v>false</v>
      </c>
      <c r="U41" s="1395"/>
      <c r="V41" s="1282"/>
      <c r="W41" s="1395"/>
      <c r="X41" s="1511"/>
      <c r="Y41" s="1493"/>
      <c r="Z41" s="1282"/>
      <c r="AA41" s="1282"/>
      <c r="AB41" s="206" t="s">
        <v>547</v>
      </c>
      <c r="AC41" s="158" t="s">
        <v>548</v>
      </c>
      <c r="AD41" s="59" t="s">
        <v>506</v>
      </c>
      <c r="AE41" s="1922"/>
      <c r="AF41" s="1922"/>
      <c r="AG41" s="1922"/>
      <c r="AH41" s="1922"/>
      <c r="AI41" s="245"/>
      <c r="AJ41" s="1922"/>
      <c r="AK41" s="1922"/>
      <c r="AL41" s="1922"/>
      <c r="AM41" s="1922"/>
      <c r="AN41" s="1922"/>
      <c r="AO41" s="1922"/>
      <c r="AP41" s="1922"/>
      <c r="AQ41" s="1922"/>
      <c r="AR41" s="1922"/>
      <c r="AS41" s="245"/>
      <c r="AT41" s="1922"/>
      <c r="AU41" s="1922"/>
      <c r="AV41" s="1922"/>
      <c r="AW41" s="1922"/>
      <c r="AX41" s="1922"/>
      <c r="AY41" s="1922"/>
      <c r="AZ41" s="1922"/>
      <c r="BA41" s="1922"/>
      <c r="BB41" s="1922"/>
      <c r="BC41" s="1926"/>
      <c r="BD41" s="1282"/>
      <c r="BE41" s="1282"/>
      <c r="BF41" s="992" t="s">
        <v>549</v>
      </c>
    </row>
    <row customHeight="1" ht="14.625" hidden="1">
      <c r="A42" s="1282"/>
      <c r="B42" s="1389"/>
      <c r="C42" s="1282"/>
      <c r="D42" s="1282"/>
      <c r="E42" s="607">
        <v>15</v>
      </c>
      <c r="F42" s="50" cm="1" t="str">
        <f t="array" ref="F42:F42">OFFSET(E42,-1,1)</f>
        <v>0</v>
      </c>
      <c r="G42" s="1282"/>
      <c r="H42" s="64" t="s">
        <v>550</v>
      </c>
      <c r="I42" s="1282"/>
      <c r="J42" s="1282"/>
      <c r="K42" s="1282"/>
      <c r="L42" s="1282"/>
      <c r="M42" s="1282"/>
      <c r="N42" s="1282"/>
      <c r="O42" s="1282"/>
      <c r="P42" s="1395"/>
      <c r="Q42" s="1395"/>
      <c r="R42" s="1395"/>
      <c r="S42" s="1395"/>
      <c r="T42" s="438" cm="1" t="str">
        <f t="array" ref="T42:T42">T41</f>
        <v>false</v>
      </c>
      <c r="U42" s="1395"/>
      <c r="V42" s="1282"/>
      <c r="W42" s="1395"/>
      <c r="X42" s="1511"/>
      <c r="Y42" s="1493"/>
      <c r="Z42" s="1282"/>
      <c r="AA42" s="1282"/>
      <c r="AB42" s="206" t="s">
        <v>551</v>
      </c>
      <c r="AC42" s="295" t="s">
        <v>552</v>
      </c>
      <c r="AD42" s="59" t="s">
        <v>506</v>
      </c>
      <c r="AE42" s="1922"/>
      <c r="AF42" s="1922"/>
      <c r="AG42" s="1922"/>
      <c r="AH42" s="1922"/>
      <c r="AI42" s="245"/>
      <c r="AJ42" s="1922"/>
      <c r="AK42" s="1922"/>
      <c r="AL42" s="1922"/>
      <c r="AM42" s="1922"/>
      <c r="AN42" s="1922"/>
      <c r="AO42" s="1922"/>
      <c r="AP42" s="1922"/>
      <c r="AQ42" s="1922"/>
      <c r="AR42" s="1922"/>
      <c r="AS42" s="245"/>
      <c r="AT42" s="1922"/>
      <c r="AU42" s="1922"/>
      <c r="AV42" s="1922"/>
      <c r="AW42" s="1922"/>
      <c r="AX42" s="1922"/>
      <c r="AY42" s="1922"/>
      <c r="AZ42" s="1922"/>
      <c r="BA42" s="1922"/>
      <c r="BB42" s="1922"/>
      <c r="BC42" s="1926"/>
      <c r="BD42" s="1282"/>
      <c r="BE42" s="1282"/>
      <c r="BF42" s="992" t="s">
        <v>553</v>
      </c>
    </row>
    <row customHeight="1" ht="14.625" hidden="1">
      <c r="A43" s="1282"/>
      <c r="B43" s="1389"/>
      <c r="C43" s="1282"/>
      <c r="D43" s="1282"/>
      <c r="E43" s="607">
        <v>15</v>
      </c>
      <c r="F43" s="50" cm="1" t="str">
        <f t="array" ref="F43:F43">OFFSET(E43,-1,1)</f>
        <v>0</v>
      </c>
      <c r="G43" s="1282"/>
      <c r="H43" s="64" t="s">
        <v>554</v>
      </c>
      <c r="I43" s="1282"/>
      <c r="J43" s="1282"/>
      <c r="K43" s="1282"/>
      <c r="L43" s="1282"/>
      <c r="M43" s="1282"/>
      <c r="N43" s="1282"/>
      <c r="O43" s="1282"/>
      <c r="P43" s="1395"/>
      <c r="Q43" s="1395"/>
      <c r="R43" s="1395"/>
      <c r="S43" s="1395"/>
      <c r="T43" s="438" cm="1" t="str">
        <f t="array" ref="T43:T43">T42</f>
        <v>false</v>
      </c>
      <c r="U43" s="1395"/>
      <c r="V43" s="1282"/>
      <c r="W43" s="1395"/>
      <c r="X43" s="1511"/>
      <c r="Y43" s="1493"/>
      <c r="Z43" s="1282"/>
      <c r="AA43" s="1282"/>
      <c r="AB43" s="206" t="s">
        <v>555</v>
      </c>
      <c r="AC43" s="297" t="s">
        <v>556</v>
      </c>
      <c r="AD43" s="59" t="s">
        <v>430</v>
      </c>
      <c r="AE43" s="1791">
        <f>IF(AE38=0,0,AE42/AE38*100)</f>
        <v>0</v>
      </c>
      <c r="AF43" s="1791">
        <f>IF(AF38=0,0,AF42/AF38*100)</f>
        <v>0</v>
      </c>
      <c r="AG43" s="1791">
        <f>IF(AG38=0,0,AG42/AG38*100)</f>
        <v>0</v>
      </c>
      <c r="AH43" s="1791">
        <f>IF(AH38=0,0,AH42/AH38*100)</f>
        <v>0</v>
      </c>
      <c r="AI43" s="107">
        <f>IF(AI38=0,0,AI42/AI38*100)</f>
        <v>0</v>
      </c>
      <c r="AJ43" s="1791">
        <f>IF(AJ38=0,0,AJ42/AJ38*100)</f>
        <v>0</v>
      </c>
      <c r="AK43" s="1791">
        <f>IF(AK38=0,0,AK42/AK38*100)</f>
        <v>0</v>
      </c>
      <c r="AL43" s="1791">
        <f>IF(AL38=0,0,AL42/AL38*100)</f>
        <v>0</v>
      </c>
      <c r="AM43" s="1791">
        <f>IF(AM38=0,0,AM42/AM38*100)</f>
        <v>0</v>
      </c>
      <c r="AN43" s="1791">
        <f>IF(AN38=0,0,AN42/AN38*100)</f>
        <v>0</v>
      </c>
      <c r="AO43" s="1791">
        <f>IF(AO38=0,0,AO42/AO38*100)</f>
        <v>0</v>
      </c>
      <c r="AP43" s="1791">
        <f>IF(AP38=0,0,AP42/AP38*100)</f>
        <v>0</v>
      </c>
      <c r="AQ43" s="1791">
        <f>IF(AQ38=0,0,AQ42/AQ38*100)</f>
        <v>0</v>
      </c>
      <c r="AR43" s="1791">
        <f>IF(AR38=0,0,AR42/AR38*100)</f>
        <v>0</v>
      </c>
      <c r="AS43" s="107">
        <f>IF(AS38=0,0,AS42/AS38*100)</f>
        <v>0</v>
      </c>
      <c r="AT43" s="1791">
        <f>IF(AT38=0,0,AT42/AT38*100)</f>
        <v>0</v>
      </c>
      <c r="AU43" s="1791">
        <f>IF(AU38=0,0,AU42/AU38*100)</f>
        <v>0</v>
      </c>
      <c r="AV43" s="1791">
        <f>IF(AV38=0,0,AV42/AV38*100)</f>
        <v>0</v>
      </c>
      <c r="AW43" s="1791">
        <f>IF(AW38=0,0,AW42/AW38*100)</f>
        <v>0</v>
      </c>
      <c r="AX43" s="1791">
        <f>IF(AX38=0,0,AX42/AX38*100)</f>
        <v>0</v>
      </c>
      <c r="AY43" s="1791">
        <f>IF(AY38=0,0,AY42/AY38*100)</f>
        <v>0</v>
      </c>
      <c r="AZ43" s="1791">
        <f>IF(AZ38=0,0,AZ42/AZ38*100)</f>
        <v>0</v>
      </c>
      <c r="BA43" s="1791">
        <f>IF(BA38=0,0,BA42/BA38*100)</f>
        <v>0</v>
      </c>
      <c r="BB43" s="1791">
        <f>IF(BB38=0,0,BB42/BB38*100)</f>
        <v>0</v>
      </c>
      <c r="BC43" s="1926"/>
      <c r="BD43" s="1282"/>
      <c r="BE43" s="1282"/>
      <c r="BF43" s="992" t="s">
        <v>557</v>
      </c>
    </row>
    <row customHeight="1" ht="14.625" hidden="1">
      <c r="A44" s="1282"/>
      <c r="B44" s="1389"/>
      <c r="C44" s="1282"/>
      <c r="D44" s="1282"/>
      <c r="E44" s="607">
        <v>15</v>
      </c>
      <c r="F44" s="50" cm="1" t="str">
        <f t="array" ref="F44:F44">OFFSET(E44,-1,1)</f>
        <v>0</v>
      </c>
      <c r="G44" s="1282"/>
      <c r="H44" s="64" t="s">
        <v>558</v>
      </c>
      <c r="I44" s="1282"/>
      <c r="J44" s="1282"/>
      <c r="K44" s="1282"/>
      <c r="L44" s="1282"/>
      <c r="M44" s="1282"/>
      <c r="N44" s="1282"/>
      <c r="O44" s="1282"/>
      <c r="P44" s="1395"/>
      <c r="Q44" s="1395"/>
      <c r="R44" s="1395"/>
      <c r="S44" s="1395"/>
      <c r="T44" s="438" cm="1" t="str">
        <f t="array" ref="T44:T44">T43</f>
        <v>false</v>
      </c>
      <c r="U44" s="1395"/>
      <c r="V44" s="1282"/>
      <c r="W44" s="1395"/>
      <c r="X44" s="1511"/>
      <c r="Y44" s="1493"/>
      <c r="Z44" s="1282"/>
      <c r="AA44" s="1282"/>
      <c r="AB44" s="206" t="s">
        <v>559</v>
      </c>
      <c r="AC44" s="295" t="s">
        <v>560</v>
      </c>
      <c r="AD44" s="59" t="s">
        <v>506</v>
      </c>
      <c r="AE44" s="281">
        <f>AE45+AE49+AE52+AE62</f>
        <v>0</v>
      </c>
      <c r="AF44" s="281">
        <f>AF45+AF49+AF52+AF62</f>
        <v>0</v>
      </c>
      <c r="AG44" s="281">
        <f>AG45+AG49+AG52+AG62</f>
        <v>0</v>
      </c>
      <c r="AH44" s="281">
        <f>AH45+AH49+AH52+AH62</f>
        <v>0</v>
      </c>
      <c r="AI44" s="281">
        <f>AI45+AI49+AI52+AI62</f>
        <v>0</v>
      </c>
      <c r="AJ44" s="281">
        <f>AJ45+AJ49+AJ52+AJ62</f>
        <v>0</v>
      </c>
      <c r="AK44" s="281">
        <f>AK45+AK49+AK52+AK62</f>
        <v>0</v>
      </c>
      <c r="AL44" s="281">
        <f>AL45+AL49+AL52+AL62</f>
        <v>0</v>
      </c>
      <c r="AM44" s="281">
        <f>AM45+AM49+AM52+AM62</f>
        <v>0</v>
      </c>
      <c r="AN44" s="281">
        <f>AN45+AN49+AN52+AN62</f>
        <v>0</v>
      </c>
      <c r="AO44" s="281">
        <f>AO45+AO49+AO52+AO62</f>
        <v>0</v>
      </c>
      <c r="AP44" s="281">
        <f>AP45+AP49+AP52+AP62</f>
        <v>0</v>
      </c>
      <c r="AQ44" s="281">
        <f>AQ45+AQ49+AQ52+AQ62</f>
        <v>0</v>
      </c>
      <c r="AR44" s="281">
        <f>AR45+AR49+AR52+AR62</f>
        <v>0</v>
      </c>
      <c r="AS44" s="281">
        <f>AS45+AS49+AS52+AS62</f>
        <v>0</v>
      </c>
      <c r="AT44" s="281">
        <f>AT45+AT49+AT52+AT62</f>
        <v>0</v>
      </c>
      <c r="AU44" s="281">
        <f>AU45+AU49+AU52+AU62</f>
        <v>0</v>
      </c>
      <c r="AV44" s="281">
        <f>AV45+AV49+AV52+AV62</f>
        <v>0</v>
      </c>
      <c r="AW44" s="281">
        <f>AW45+AW49+AW52+AW62</f>
        <v>0</v>
      </c>
      <c r="AX44" s="281">
        <f>AX45+AX49+AX52+AX62</f>
        <v>0</v>
      </c>
      <c r="AY44" s="281">
        <f>AY45+AY49+AY52+AY62</f>
        <v>0</v>
      </c>
      <c r="AZ44" s="281">
        <f>AZ45+AZ49+AZ52+AZ62</f>
        <v>0</v>
      </c>
      <c r="BA44" s="281">
        <f>BA45+BA49+BA52+BA62</f>
        <v>0</v>
      </c>
      <c r="BB44" s="281">
        <f>BB45+BB49+BB52+BB62</f>
        <v>0</v>
      </c>
      <c r="BC44" s="1926"/>
      <c r="BD44" s="1282"/>
      <c r="BE44" s="1282"/>
      <c r="BF44" s="992" t="s">
        <v>561</v>
      </c>
    </row>
    <row customHeight="1" ht="14.625" hidden="1">
      <c r="A45" s="1282"/>
      <c r="B45" s="1389"/>
      <c r="C45" s="1282"/>
      <c r="D45" s="1282"/>
      <c r="E45" s="607">
        <v>15</v>
      </c>
      <c r="F45" s="50" cm="1" t="str">
        <f t="array" ref="F45:F45">OFFSET(E45,-1,1)</f>
        <v>0</v>
      </c>
      <c r="G45" s="64" t="str">
        <f>IF(OwnNeedsInPO="да","ПО","")</f>
        <v/>
      </c>
      <c r="H45" s="64" t="s">
        <v>562</v>
      </c>
      <c r="I45" s="1282"/>
      <c r="J45" s="1282"/>
      <c r="K45" s="1282"/>
      <c r="L45" s="1282"/>
      <c r="M45" s="1282"/>
      <c r="N45" s="1282"/>
      <c r="O45" s="1282"/>
      <c r="P45" s="1395"/>
      <c r="Q45" s="1395"/>
      <c r="R45" s="1395"/>
      <c r="S45" s="1395"/>
      <c r="T45" s="438" cm="1" t="str">
        <f t="array" ref="T45:T45">T44</f>
        <v>false</v>
      </c>
      <c r="U45" s="1395"/>
      <c r="V45" s="1282"/>
      <c r="W45" s="1395"/>
      <c r="X45" s="1511"/>
      <c r="Y45" s="1493"/>
      <c r="Z45" s="1282"/>
      <c r="AA45" s="1282"/>
      <c r="AB45" s="206" t="s">
        <v>563</v>
      </c>
      <c r="AC45" s="158" t="s">
        <v>564</v>
      </c>
      <c r="AD45" s="59" t="s">
        <v>506</v>
      </c>
      <c r="AE45" s="281">
        <f>SUM(AE46:AE48)</f>
        <v>0</v>
      </c>
      <c r="AF45" s="281">
        <f>SUM(AF46:AF48)</f>
        <v>0</v>
      </c>
      <c r="AG45" s="281">
        <f>SUM(AG46:AG48)</f>
        <v>0</v>
      </c>
      <c r="AH45" s="281">
        <f>SUM(AH46:AH48)</f>
        <v>0</v>
      </c>
      <c r="AI45" s="281">
        <f>SUM(AI46:AI48)</f>
        <v>0</v>
      </c>
      <c r="AJ45" s="281">
        <f>SUM(AJ46:AJ48)</f>
        <v>0</v>
      </c>
      <c r="AK45" s="281">
        <f>SUM(AK46:AK48)</f>
        <v>0</v>
      </c>
      <c r="AL45" s="281">
        <f>SUM(AL46:AL48)</f>
        <v>0</v>
      </c>
      <c r="AM45" s="281">
        <f>SUM(AM46:AM48)</f>
        <v>0</v>
      </c>
      <c r="AN45" s="281">
        <f>SUM(AN46:AN48)</f>
        <v>0</v>
      </c>
      <c r="AO45" s="281">
        <f>SUM(AO46:AO48)</f>
        <v>0</v>
      </c>
      <c r="AP45" s="281">
        <f>SUM(AP46:AP48)</f>
        <v>0</v>
      </c>
      <c r="AQ45" s="281">
        <f>SUM(AQ46:AQ48)</f>
        <v>0</v>
      </c>
      <c r="AR45" s="281">
        <f>SUM(AR46:AR48)</f>
        <v>0</v>
      </c>
      <c r="AS45" s="281">
        <f>SUM(AS46:AS48)</f>
        <v>0</v>
      </c>
      <c r="AT45" s="281">
        <f>SUM(AT46:AT48)</f>
        <v>0</v>
      </c>
      <c r="AU45" s="281">
        <f>SUM(AU46:AU48)</f>
        <v>0</v>
      </c>
      <c r="AV45" s="281">
        <f>SUM(AV46:AV48)</f>
        <v>0</v>
      </c>
      <c r="AW45" s="281">
        <f>SUM(AW46:AW48)</f>
        <v>0</v>
      </c>
      <c r="AX45" s="281">
        <f>SUM(AX46:AX48)</f>
        <v>0</v>
      </c>
      <c r="AY45" s="281">
        <f>SUM(AY46:AY48)</f>
        <v>0</v>
      </c>
      <c r="AZ45" s="281">
        <f>SUM(AZ46:AZ48)</f>
        <v>0</v>
      </c>
      <c r="BA45" s="281">
        <f>SUM(BA46:BA48)</f>
        <v>0</v>
      </c>
      <c r="BB45" s="281">
        <f>SUM(BB46:BB48)</f>
        <v>0</v>
      </c>
      <c r="BC45" s="1926"/>
      <c r="BD45" s="1282"/>
      <c r="BE45" s="1282"/>
      <c r="BF45" s="992" t="s">
        <v>565</v>
      </c>
    </row>
    <row customHeight="1" ht="14.625" hidden="1">
      <c r="A46" s="1282"/>
      <c r="B46" s="1389"/>
      <c r="C46" s="1282"/>
      <c r="D46" s="1282"/>
      <c r="E46" s="607">
        <v>15</v>
      </c>
      <c r="F46" s="50" cm="1" t="str">
        <f t="array" ref="F46:F46">OFFSET(E46,-1,1)</f>
        <v>0</v>
      </c>
      <c r="G46" s="1282"/>
      <c r="H46" s="64" t="s">
        <v>566</v>
      </c>
      <c r="I46" s="1282"/>
      <c r="J46" s="1282"/>
      <c r="K46" s="1282"/>
      <c r="L46" s="1282"/>
      <c r="M46" s="1282"/>
      <c r="N46" s="1282"/>
      <c r="O46" s="1282"/>
      <c r="P46" s="1395"/>
      <c r="Q46" s="1395"/>
      <c r="R46" s="1395"/>
      <c r="S46" s="1395"/>
      <c r="T46" s="438" cm="1" t="str">
        <f t="array" ref="T46:T46">T45</f>
        <v>false</v>
      </c>
      <c r="U46" s="1395"/>
      <c r="V46" s="1282"/>
      <c r="W46" s="1395"/>
      <c r="X46" s="1511"/>
      <c r="Y46" s="1493"/>
      <c r="Z46" s="1282"/>
      <c r="AA46" s="1282"/>
      <c r="AB46" s="206" t="s">
        <v>567</v>
      </c>
      <c r="AC46" s="298" t="s">
        <v>568</v>
      </c>
      <c r="AD46" s="59" t="s">
        <v>506</v>
      </c>
      <c r="AE46" s="1922"/>
      <c r="AF46" s="1922"/>
      <c r="AG46" s="1922"/>
      <c r="AH46" s="1922"/>
      <c r="AI46" s="245"/>
      <c r="AJ46" s="1922"/>
      <c r="AK46" s="1922"/>
      <c r="AL46" s="1922"/>
      <c r="AM46" s="1922"/>
      <c r="AN46" s="1922"/>
      <c r="AO46" s="1922"/>
      <c r="AP46" s="1922"/>
      <c r="AQ46" s="1922"/>
      <c r="AR46" s="1922"/>
      <c r="AS46" s="245"/>
      <c r="AT46" s="1922"/>
      <c r="AU46" s="1922"/>
      <c r="AV46" s="1922"/>
      <c r="AW46" s="1922"/>
      <c r="AX46" s="1922"/>
      <c r="AY46" s="1922"/>
      <c r="AZ46" s="1922"/>
      <c r="BA46" s="1922"/>
      <c r="BB46" s="1922"/>
      <c r="BC46" s="1926"/>
      <c r="BD46" s="1282"/>
      <c r="BE46" s="1282"/>
      <c r="BF46" s="992" t="s">
        <v>569</v>
      </c>
    </row>
    <row customHeight="1" ht="14.625" hidden="1">
      <c r="A47" s="1282"/>
      <c r="B47" s="1389"/>
      <c r="C47" s="1282"/>
      <c r="D47" s="1282"/>
      <c r="E47" s="607">
        <v>15</v>
      </c>
      <c r="F47" s="50" cm="1" t="str">
        <f t="array" ref="F47:F47">OFFSET(E47,-1,1)</f>
        <v>0</v>
      </c>
      <c r="G47" s="1282"/>
      <c r="H47" s="64" t="s">
        <v>570</v>
      </c>
      <c r="I47" s="1282"/>
      <c r="J47" s="1282"/>
      <c r="K47" s="1282"/>
      <c r="L47" s="1282"/>
      <c r="M47" s="1282"/>
      <c r="N47" s="1282"/>
      <c r="O47" s="1282"/>
      <c r="P47" s="1395"/>
      <c r="Q47" s="1395"/>
      <c r="R47" s="1395"/>
      <c r="S47" s="1395"/>
      <c r="T47" s="438" cm="1" t="str">
        <f t="array" ref="T47:T47">T46</f>
        <v>false</v>
      </c>
      <c r="U47" s="1395"/>
      <c r="V47" s="1282"/>
      <c r="W47" s="1395"/>
      <c r="X47" s="1511"/>
      <c r="Y47" s="1493"/>
      <c r="Z47" s="1282"/>
      <c r="AA47" s="1282"/>
      <c r="AB47" s="206" t="s">
        <v>571</v>
      </c>
      <c r="AC47" s="298" t="s">
        <v>572</v>
      </c>
      <c r="AD47" s="59" t="s">
        <v>506</v>
      </c>
      <c r="AE47" s="1922"/>
      <c r="AF47" s="1922"/>
      <c r="AG47" s="1922"/>
      <c r="AH47" s="1922"/>
      <c r="AI47" s="245"/>
      <c r="AJ47" s="1922"/>
      <c r="AK47" s="1922"/>
      <c r="AL47" s="1922"/>
      <c r="AM47" s="1922"/>
      <c r="AN47" s="1922"/>
      <c r="AO47" s="1922"/>
      <c r="AP47" s="1922"/>
      <c r="AQ47" s="1922"/>
      <c r="AR47" s="1922"/>
      <c r="AS47" s="245"/>
      <c r="AT47" s="1922"/>
      <c r="AU47" s="1922"/>
      <c r="AV47" s="1922"/>
      <c r="AW47" s="1922"/>
      <c r="AX47" s="1922"/>
      <c r="AY47" s="1922"/>
      <c r="AZ47" s="1922"/>
      <c r="BA47" s="1922"/>
      <c r="BB47" s="1922"/>
      <c r="BC47" s="1926"/>
      <c r="BD47" s="1282"/>
      <c r="BE47" s="1282"/>
      <c r="BF47" s="992" t="s">
        <v>573</v>
      </c>
    </row>
    <row customHeight="1" ht="14.625" hidden="1">
      <c r="A48" s="1282"/>
      <c r="B48" s="1389"/>
      <c r="C48" s="1282"/>
      <c r="D48" s="1282"/>
      <c r="E48" s="607">
        <v>15</v>
      </c>
      <c r="F48" s="50" cm="1" t="str">
        <f t="array" ref="F48:F48">OFFSET(E48,-1,1)</f>
        <v>0</v>
      </c>
      <c r="G48" s="1282"/>
      <c r="H48" s="64" t="s">
        <v>574</v>
      </c>
      <c r="I48" s="1282"/>
      <c r="J48" s="1282"/>
      <c r="K48" s="1282"/>
      <c r="L48" s="1282"/>
      <c r="M48" s="1282"/>
      <c r="N48" s="1282"/>
      <c r="O48" s="1282"/>
      <c r="P48" s="1395"/>
      <c r="Q48" s="1395"/>
      <c r="R48" s="1395"/>
      <c r="S48" s="1395"/>
      <c r="T48" s="438" cm="1" t="str">
        <f t="array" ref="T48:T48">T47</f>
        <v>false</v>
      </c>
      <c r="U48" s="1395"/>
      <c r="V48" s="1282"/>
      <c r="W48" s="1395"/>
      <c r="X48" s="1511"/>
      <c r="Y48" s="1493"/>
      <c r="Z48" s="1282"/>
      <c r="AA48" s="1282"/>
      <c r="AB48" s="206" t="s">
        <v>575</v>
      </c>
      <c r="AC48" s="298" t="s">
        <v>576</v>
      </c>
      <c r="AD48" s="59" t="s">
        <v>506</v>
      </c>
      <c r="AE48" s="1922"/>
      <c r="AF48" s="1922"/>
      <c r="AG48" s="1922"/>
      <c r="AH48" s="1922"/>
      <c r="AI48" s="245"/>
      <c r="AJ48" s="1922"/>
      <c r="AK48" s="1922"/>
      <c r="AL48" s="1922"/>
      <c r="AM48" s="1922"/>
      <c r="AN48" s="1922"/>
      <c r="AO48" s="1922"/>
      <c r="AP48" s="1922"/>
      <c r="AQ48" s="1922"/>
      <c r="AR48" s="1922"/>
      <c r="AS48" s="245"/>
      <c r="AT48" s="1922"/>
      <c r="AU48" s="1922"/>
      <c r="AV48" s="1922"/>
      <c r="AW48" s="1922"/>
      <c r="AX48" s="1922"/>
      <c r="AY48" s="1922"/>
      <c r="AZ48" s="1922"/>
      <c r="BA48" s="1922"/>
      <c r="BB48" s="1922"/>
      <c r="BC48" s="1926"/>
      <c r="BD48" s="1282"/>
      <c r="BE48" s="1282"/>
      <c r="BF48" s="992" t="s">
        <v>577</v>
      </c>
    </row>
    <row customHeight="1" ht="14.625" hidden="1">
      <c r="A49" s="1282"/>
      <c r="B49" s="1389"/>
      <c r="C49" s="1282"/>
      <c r="D49" s="1282"/>
      <c r="E49" s="607">
        <v>15</v>
      </c>
      <c r="F49" s="50" cm="1" t="str">
        <f t="array" ref="F49:F49">OFFSET(E49,-1,1)</f>
        <v>0</v>
      </c>
      <c r="G49" s="64" t="s">
        <v>578</v>
      </c>
      <c r="H49" s="64" t="s">
        <v>579</v>
      </c>
      <c r="I49" s="1282"/>
      <c r="J49" s="1282"/>
      <c r="K49" s="1282"/>
      <c r="L49" s="1282"/>
      <c r="M49" s="1282"/>
      <c r="N49" s="1282"/>
      <c r="O49" s="1282"/>
      <c r="P49" s="1395"/>
      <c r="Q49" s="1395"/>
      <c r="R49" s="1395"/>
      <c r="S49" s="1395"/>
      <c r="T49" s="438" cm="1" t="str">
        <f t="array" ref="T49:T49">T48</f>
        <v>false</v>
      </c>
      <c r="U49" s="1395"/>
      <c r="V49" s="1282"/>
      <c r="W49" s="1395"/>
      <c r="X49" s="1511"/>
      <c r="Y49" s="1493"/>
      <c r="Z49" s="1282"/>
      <c r="AA49" s="1282"/>
      <c r="AB49" s="206" t="s">
        <v>580</v>
      </c>
      <c r="AC49" s="158" t="s">
        <v>581</v>
      </c>
      <c r="AD49" s="59" t="s">
        <v>506</v>
      </c>
      <c r="AE49" s="281">
        <f>SUM(AE50:AE51)</f>
        <v>0</v>
      </c>
      <c r="AF49" s="281">
        <f>SUM(AF50:AF51)</f>
        <v>0</v>
      </c>
      <c r="AG49" s="281">
        <f>SUM(AG50:AG51)</f>
        <v>0</v>
      </c>
      <c r="AH49" s="281">
        <f>SUM(AH50:AH51)</f>
        <v>0</v>
      </c>
      <c r="AI49" s="281">
        <f>SUM(AI50:AI51)</f>
        <v>0</v>
      </c>
      <c r="AJ49" s="281">
        <f>SUM(AJ50:AJ51)</f>
        <v>0</v>
      </c>
      <c r="AK49" s="281">
        <f>SUM(AK50:AK51)</f>
        <v>0</v>
      </c>
      <c r="AL49" s="281">
        <f>SUM(AL50:AL51)</f>
        <v>0</v>
      </c>
      <c r="AM49" s="281">
        <f>SUM(AM50:AM51)</f>
        <v>0</v>
      </c>
      <c r="AN49" s="281">
        <f>SUM(AN50:AN51)</f>
        <v>0</v>
      </c>
      <c r="AO49" s="281">
        <f>SUM(AO50:AO51)</f>
        <v>0</v>
      </c>
      <c r="AP49" s="281">
        <f>SUM(AP50:AP51)</f>
        <v>0</v>
      </c>
      <c r="AQ49" s="281">
        <f>SUM(AQ50:AQ51)</f>
        <v>0</v>
      </c>
      <c r="AR49" s="281">
        <f>SUM(AR50:AR51)</f>
        <v>0</v>
      </c>
      <c r="AS49" s="281">
        <f>SUM(AS50:AS51)</f>
        <v>0</v>
      </c>
      <c r="AT49" s="281">
        <f>SUM(AT50:AT51)</f>
        <v>0</v>
      </c>
      <c r="AU49" s="281">
        <f>SUM(AU50:AU51)</f>
        <v>0</v>
      </c>
      <c r="AV49" s="281">
        <f>SUM(AV50:AV51)</f>
        <v>0</v>
      </c>
      <c r="AW49" s="281">
        <f>SUM(AW50:AW51)</f>
        <v>0</v>
      </c>
      <c r="AX49" s="281">
        <f>SUM(AX50:AX51)</f>
        <v>0</v>
      </c>
      <c r="AY49" s="281">
        <f>SUM(AY50:AY51)</f>
        <v>0</v>
      </c>
      <c r="AZ49" s="281">
        <f>SUM(AZ50:AZ51)</f>
        <v>0</v>
      </c>
      <c r="BA49" s="281">
        <f>SUM(BA50:BA51)</f>
        <v>0</v>
      </c>
      <c r="BB49" s="281">
        <f>SUM(BB50:BB51)</f>
        <v>0</v>
      </c>
      <c r="BC49" s="1926"/>
      <c r="BD49" s="1282"/>
      <c r="BE49" s="1282"/>
      <c r="BF49" s="992" t="s">
        <v>582</v>
      </c>
    </row>
    <row customHeight="1" ht="14.625" hidden="1">
      <c r="A50" s="1282"/>
      <c r="B50" s="1389"/>
      <c r="C50" s="1282"/>
      <c r="D50" s="1282"/>
      <c r="E50" s="607">
        <v>15</v>
      </c>
      <c r="F50" s="50" cm="1" t="str">
        <f t="array" ref="F50:F50">OFFSET(E50,-1,1)</f>
        <v>0</v>
      </c>
      <c r="G50" s="1282"/>
      <c r="H50" s="64" t="s">
        <v>583</v>
      </c>
      <c r="I50" s="1282"/>
      <c r="J50" s="1282"/>
      <c r="K50" s="1282"/>
      <c r="L50" s="1282"/>
      <c r="M50" s="1282"/>
      <c r="N50" s="1282"/>
      <c r="O50" s="1282"/>
      <c r="P50" s="1395"/>
      <c r="Q50" s="1395"/>
      <c r="R50" s="1395"/>
      <c r="S50" s="1395"/>
      <c r="T50" s="438" cm="1" t="str">
        <f t="array" ref="T50:T50">T49</f>
        <v>false</v>
      </c>
      <c r="U50" s="1395"/>
      <c r="V50" s="1282"/>
      <c r="W50" s="1395"/>
      <c r="X50" s="1511"/>
      <c r="Y50" s="1493"/>
      <c r="Z50" s="1282"/>
      <c r="AA50" s="1282"/>
      <c r="AB50" s="206" t="s">
        <v>584</v>
      </c>
      <c r="AC50" s="298" t="s">
        <v>585</v>
      </c>
      <c r="AD50" s="59" t="s">
        <v>506</v>
      </c>
      <c r="AE50" s="1922"/>
      <c r="AF50" s="1922"/>
      <c r="AG50" s="1922"/>
      <c r="AH50" s="1922"/>
      <c r="AI50" s="245"/>
      <c r="AJ50" s="1922"/>
      <c r="AK50" s="1922"/>
      <c r="AL50" s="1922"/>
      <c r="AM50" s="1922"/>
      <c r="AN50" s="1922"/>
      <c r="AO50" s="1922"/>
      <c r="AP50" s="1922"/>
      <c r="AQ50" s="1922"/>
      <c r="AR50" s="1922"/>
      <c r="AS50" s="245"/>
      <c r="AT50" s="1922"/>
      <c r="AU50" s="1922"/>
      <c r="AV50" s="1922"/>
      <c r="AW50" s="1922"/>
      <c r="AX50" s="1922"/>
      <c r="AY50" s="1922"/>
      <c r="AZ50" s="1922"/>
      <c r="BA50" s="1922"/>
      <c r="BB50" s="1922"/>
      <c r="BC50" s="1926"/>
      <c r="BD50" s="1282"/>
      <c r="BE50" s="1282"/>
      <c r="BF50" s="992" t="s">
        <v>586</v>
      </c>
    </row>
    <row customHeight="1" ht="14.625" hidden="1">
      <c r="A51" s="1282"/>
      <c r="B51" s="1389"/>
      <c r="C51" s="1282"/>
      <c r="D51" s="1282"/>
      <c r="E51" s="607">
        <v>15</v>
      </c>
      <c r="F51" s="50" cm="1" t="str">
        <f t="array" ref="F51:F51">OFFSET(E51,-1,1)</f>
        <v>0</v>
      </c>
      <c r="G51" s="1282"/>
      <c r="H51" s="64" t="s">
        <v>587</v>
      </c>
      <c r="I51" s="1282"/>
      <c r="J51" s="1282"/>
      <c r="K51" s="1282"/>
      <c r="L51" s="1282"/>
      <c r="M51" s="1282"/>
      <c r="N51" s="1282"/>
      <c r="O51" s="1282"/>
      <c r="P51" s="1395"/>
      <c r="Q51" s="1395"/>
      <c r="R51" s="1395"/>
      <c r="S51" s="1395"/>
      <c r="T51" s="438" cm="1" t="str">
        <f t="array" ref="T51:T51">T50</f>
        <v>false</v>
      </c>
      <c r="U51" s="1395"/>
      <c r="V51" s="1282"/>
      <c r="W51" s="1395"/>
      <c r="X51" s="1511"/>
      <c r="Y51" s="1493"/>
      <c r="Z51" s="1282"/>
      <c r="AA51" s="1282"/>
      <c r="AB51" s="206" t="s">
        <v>588</v>
      </c>
      <c r="AC51" s="298" t="s">
        <v>589</v>
      </c>
      <c r="AD51" s="59" t="s">
        <v>506</v>
      </c>
      <c r="AE51" s="1922"/>
      <c r="AF51" s="1922"/>
      <c r="AG51" s="1922"/>
      <c r="AH51" s="1922"/>
      <c r="AI51" s="245"/>
      <c r="AJ51" s="1922"/>
      <c r="AK51" s="1922"/>
      <c r="AL51" s="1922"/>
      <c r="AM51" s="1922"/>
      <c r="AN51" s="1922"/>
      <c r="AO51" s="1922"/>
      <c r="AP51" s="1922"/>
      <c r="AQ51" s="1922"/>
      <c r="AR51" s="1922"/>
      <c r="AS51" s="245"/>
      <c r="AT51" s="1922"/>
      <c r="AU51" s="1922"/>
      <c r="AV51" s="1922"/>
      <c r="AW51" s="1922"/>
      <c r="AX51" s="1922"/>
      <c r="AY51" s="1922"/>
      <c r="AZ51" s="1922"/>
      <c r="BA51" s="1922"/>
      <c r="BB51" s="1922"/>
      <c r="BC51" s="1926"/>
      <c r="BD51" s="1282"/>
      <c r="BE51" s="1282"/>
      <c r="BF51" s="992" t="s">
        <v>590</v>
      </c>
    </row>
    <row customHeight="1" ht="14.625" hidden="1">
      <c r="A52" s="1282"/>
      <c r="B52" s="1389"/>
      <c r="C52" s="1282"/>
      <c r="D52" s="1282"/>
      <c r="E52" s="607">
        <v>15</v>
      </c>
      <c r="F52" s="50" cm="1" t="str">
        <f t="array" ref="F52:F52">OFFSET(E52,-1,1)</f>
        <v>0</v>
      </c>
      <c r="G52" s="64" t="s">
        <v>578</v>
      </c>
      <c r="H52" s="64" t="s">
        <v>591</v>
      </c>
      <c r="I52" s="1282"/>
      <c r="J52" s="1282"/>
      <c r="K52" s="1282"/>
      <c r="L52" s="1282"/>
      <c r="M52" s="1282"/>
      <c r="N52" s="1282"/>
      <c r="O52" s="1282"/>
      <c r="P52" s="1395"/>
      <c r="Q52" s="1395"/>
      <c r="R52" s="1395"/>
      <c r="S52" s="1395"/>
      <c r="T52" s="438" cm="1" t="str">
        <f t="array" ref="T52:T52">T51</f>
        <v>false</v>
      </c>
      <c r="U52" s="1395"/>
      <c r="V52" s="1282"/>
      <c r="W52" s="1395"/>
      <c r="X52" s="1511"/>
      <c r="Y52" s="1493"/>
      <c r="Z52" s="1282"/>
      <c r="AA52" s="1282"/>
      <c r="AB52" s="206" t="s">
        <v>592</v>
      </c>
      <c r="AC52" s="158" t="s">
        <v>593</v>
      </c>
      <c r="AD52" s="59" t="s">
        <v>506</v>
      </c>
      <c r="AE52" s="281">
        <f>AE53+AE56+AE59</f>
        <v>0</v>
      </c>
      <c r="AF52" s="281">
        <f>AF53+AF56+AF59</f>
        <v>0</v>
      </c>
      <c r="AG52" s="281">
        <f>AG53+AG56+AG59</f>
        <v>0</v>
      </c>
      <c r="AH52" s="281">
        <f>AH53+AH56+AH59</f>
        <v>0</v>
      </c>
      <c r="AI52" s="281">
        <f>AI53+AI56+AI59</f>
        <v>0</v>
      </c>
      <c r="AJ52" s="281">
        <f>AJ53+AJ56+AJ59</f>
        <v>0</v>
      </c>
      <c r="AK52" s="281">
        <f>AK53+AK56+AK59</f>
        <v>0</v>
      </c>
      <c r="AL52" s="281">
        <f>AL53+AL56+AL59</f>
        <v>0</v>
      </c>
      <c r="AM52" s="281">
        <f>AM53+AM56+AM59</f>
        <v>0</v>
      </c>
      <c r="AN52" s="281">
        <f>AN53+AN56+AN59</f>
        <v>0</v>
      </c>
      <c r="AO52" s="281">
        <f>AO53+AO56+AO59</f>
        <v>0</v>
      </c>
      <c r="AP52" s="281">
        <f>AP53+AP56+AP59</f>
        <v>0</v>
      </c>
      <c r="AQ52" s="281">
        <f>AQ53+AQ56+AQ59</f>
        <v>0</v>
      </c>
      <c r="AR52" s="281">
        <f>AR53+AR56+AR59</f>
        <v>0</v>
      </c>
      <c r="AS52" s="281">
        <f>AS53+AS56+AS59</f>
        <v>0</v>
      </c>
      <c r="AT52" s="281">
        <f>AT53+AT56+AT59</f>
        <v>0</v>
      </c>
      <c r="AU52" s="281">
        <f>AU53+AU56+AU59</f>
        <v>0</v>
      </c>
      <c r="AV52" s="281">
        <f>AV53+AV56+AV59</f>
        <v>0</v>
      </c>
      <c r="AW52" s="281">
        <f>AW53+AW56+AW59</f>
        <v>0</v>
      </c>
      <c r="AX52" s="281">
        <f>AX53+AX56+AX59</f>
        <v>0</v>
      </c>
      <c r="AY52" s="281">
        <f>AY53+AY56+AY59</f>
        <v>0</v>
      </c>
      <c r="AZ52" s="281">
        <f>AZ53+AZ56+AZ59</f>
        <v>0</v>
      </c>
      <c r="BA52" s="281">
        <f>BA53+BA56+BA59</f>
        <v>0</v>
      </c>
      <c r="BB52" s="281">
        <f>BB53+BB56+BB59</f>
        <v>0</v>
      </c>
      <c r="BC52" s="1926"/>
      <c r="BD52" s="1282"/>
      <c r="BE52" s="1282"/>
      <c r="BF52" s="992" t="s">
        <v>594</v>
      </c>
    </row>
    <row customHeight="1" ht="14.625" hidden="1">
      <c r="A53" s="1282"/>
      <c r="B53" s="1389"/>
      <c r="C53" s="1282"/>
      <c r="D53" s="1282"/>
      <c r="E53" s="607">
        <v>15</v>
      </c>
      <c r="F53" s="50" cm="1" t="str">
        <f t="array" ref="F53:F53">OFFSET(E53,-1,1)</f>
        <v>0</v>
      </c>
      <c r="G53" s="1282"/>
      <c r="H53" s="64" t="s">
        <v>595</v>
      </c>
      <c r="I53" s="1282"/>
      <c r="J53" s="1282"/>
      <c r="K53" s="1282"/>
      <c r="L53" s="1282"/>
      <c r="M53" s="1282"/>
      <c r="N53" s="1282"/>
      <c r="O53" s="1282"/>
      <c r="P53" s="1395"/>
      <c r="Q53" s="1395"/>
      <c r="R53" s="1395"/>
      <c r="S53" s="1395"/>
      <c r="T53" s="438" cm="1" t="str">
        <f t="array" ref="T53:T53">T52</f>
        <v>false</v>
      </c>
      <c r="U53" s="1395"/>
      <c r="V53" s="1282"/>
      <c r="W53" s="1395"/>
      <c r="X53" s="1511"/>
      <c r="Y53" s="1493"/>
      <c r="Z53" s="1282"/>
      <c r="AA53" s="1282"/>
      <c r="AB53" s="206" t="s">
        <v>596</v>
      </c>
      <c r="AC53" s="298" t="s">
        <v>597</v>
      </c>
      <c r="AD53" s="59" t="s">
        <v>506</v>
      </c>
      <c r="AE53" s="281">
        <f>SUM(AE54:AE55)</f>
        <v>0</v>
      </c>
      <c r="AF53" s="281">
        <f>SUM(AF54:AF55)</f>
        <v>0</v>
      </c>
      <c r="AG53" s="281">
        <f>SUM(AG54:AG55)</f>
        <v>0</v>
      </c>
      <c r="AH53" s="281">
        <f>SUM(AH54:AH55)</f>
        <v>0</v>
      </c>
      <c r="AI53" s="281">
        <f>SUM(AI54:AI55)</f>
        <v>0</v>
      </c>
      <c r="AJ53" s="281">
        <f>SUM(AJ54:AJ55)</f>
        <v>0</v>
      </c>
      <c r="AK53" s="281">
        <f>SUM(AK54:AK55)</f>
        <v>0</v>
      </c>
      <c r="AL53" s="281">
        <f>SUM(AL54:AL55)</f>
        <v>0</v>
      </c>
      <c r="AM53" s="281">
        <f>SUM(AM54:AM55)</f>
        <v>0</v>
      </c>
      <c r="AN53" s="281">
        <f>SUM(AN54:AN55)</f>
        <v>0</v>
      </c>
      <c r="AO53" s="281">
        <f>SUM(AO54:AO55)</f>
        <v>0</v>
      </c>
      <c r="AP53" s="281">
        <f>SUM(AP54:AP55)</f>
        <v>0</v>
      </c>
      <c r="AQ53" s="281">
        <f>SUM(AQ54:AQ55)</f>
        <v>0</v>
      </c>
      <c r="AR53" s="281">
        <f>SUM(AR54:AR55)</f>
        <v>0</v>
      </c>
      <c r="AS53" s="281">
        <f>SUM(AS54:AS55)</f>
        <v>0</v>
      </c>
      <c r="AT53" s="281">
        <f>SUM(AT54:AT55)</f>
        <v>0</v>
      </c>
      <c r="AU53" s="281">
        <f>SUM(AU54:AU55)</f>
        <v>0</v>
      </c>
      <c r="AV53" s="281">
        <f>SUM(AV54:AV55)</f>
        <v>0</v>
      </c>
      <c r="AW53" s="281">
        <f>SUM(AW54:AW55)</f>
        <v>0</v>
      </c>
      <c r="AX53" s="281">
        <f>SUM(AX54:AX55)</f>
        <v>0</v>
      </c>
      <c r="AY53" s="281">
        <f>SUM(AY54:AY55)</f>
        <v>0</v>
      </c>
      <c r="AZ53" s="281">
        <f>SUM(AZ54:AZ55)</f>
        <v>0</v>
      </c>
      <c r="BA53" s="281">
        <f>SUM(BA54:BA55)</f>
        <v>0</v>
      </c>
      <c r="BB53" s="281">
        <f>SUM(BB54:BB55)</f>
        <v>0</v>
      </c>
      <c r="BC53" s="1926"/>
      <c r="BD53" s="1282"/>
      <c r="BE53" s="1282"/>
      <c r="BF53" s="992" t="s">
        <v>598</v>
      </c>
    </row>
    <row customHeight="1" ht="14.625" hidden="1">
      <c r="A54" s="1282"/>
      <c r="B54" s="1389"/>
      <c r="C54" s="1282"/>
      <c r="D54" s="1282"/>
      <c r="E54" s="607">
        <v>15</v>
      </c>
      <c r="F54" s="50" cm="1" t="str">
        <f t="array" ref="F54:F54">OFFSET(E54,-1,1)</f>
        <v>0</v>
      </c>
      <c r="G54" s="1282"/>
      <c r="H54" s="64" t="s">
        <v>599</v>
      </c>
      <c r="I54" s="1282"/>
      <c r="J54" s="1282"/>
      <c r="K54" s="1282"/>
      <c r="L54" s="1282"/>
      <c r="M54" s="1282"/>
      <c r="N54" s="1282"/>
      <c r="O54" s="1282"/>
      <c r="P54" s="1395"/>
      <c r="Q54" s="1395"/>
      <c r="R54" s="1395"/>
      <c r="S54" s="1395"/>
      <c r="T54" s="438" cm="1" t="str">
        <f t="array" ref="T54:T54">T53</f>
        <v>false</v>
      </c>
      <c r="U54" s="1395"/>
      <c r="V54" s="1282"/>
      <c r="W54" s="1395"/>
      <c r="X54" s="1511"/>
      <c r="Y54" s="1493"/>
      <c r="Z54" s="1282"/>
      <c r="AA54" s="1282"/>
      <c r="AB54" s="206" t="s">
        <v>600</v>
      </c>
      <c r="AC54" s="299" t="s">
        <v>585</v>
      </c>
      <c r="AD54" s="59" t="s">
        <v>506</v>
      </c>
      <c r="AE54" s="1922"/>
      <c r="AF54" s="1922"/>
      <c r="AG54" s="1922"/>
      <c r="AH54" s="1922"/>
      <c r="AI54" s="245"/>
      <c r="AJ54" s="1922"/>
      <c r="AK54" s="1922"/>
      <c r="AL54" s="1922"/>
      <c r="AM54" s="1922"/>
      <c r="AN54" s="1922"/>
      <c r="AO54" s="1922"/>
      <c r="AP54" s="1922"/>
      <c r="AQ54" s="1922"/>
      <c r="AR54" s="1922"/>
      <c r="AS54" s="245"/>
      <c r="AT54" s="1922"/>
      <c r="AU54" s="1922"/>
      <c r="AV54" s="1922"/>
      <c r="AW54" s="1922"/>
      <c r="AX54" s="1922"/>
      <c r="AY54" s="1922"/>
      <c r="AZ54" s="1922"/>
      <c r="BA54" s="1922"/>
      <c r="BB54" s="1922"/>
      <c r="BC54" s="1926"/>
      <c r="BD54" s="1282"/>
      <c r="BE54" s="1282"/>
      <c r="BF54" s="992" t="s">
        <v>601</v>
      </c>
    </row>
    <row customHeight="1" ht="14.625" hidden="1">
      <c r="A55" s="1282"/>
      <c r="B55" s="1389"/>
      <c r="C55" s="1282"/>
      <c r="D55" s="1282"/>
      <c r="E55" s="607">
        <v>15</v>
      </c>
      <c r="F55" s="50" cm="1" t="str">
        <f t="array" ref="F55:F55">OFFSET(E55,-1,1)</f>
        <v>0</v>
      </c>
      <c r="G55" s="1282"/>
      <c r="H55" s="64" t="s">
        <v>602</v>
      </c>
      <c r="I55" s="1282"/>
      <c r="J55" s="1282"/>
      <c r="K55" s="1282"/>
      <c r="L55" s="1282"/>
      <c r="M55" s="1282"/>
      <c r="N55" s="1282"/>
      <c r="O55" s="1282"/>
      <c r="P55" s="1395"/>
      <c r="Q55" s="1395"/>
      <c r="R55" s="1395"/>
      <c r="S55" s="1395"/>
      <c r="T55" s="438" cm="1" t="str">
        <f t="array" ref="T55:T55">T54</f>
        <v>false</v>
      </c>
      <c r="U55" s="1395"/>
      <c r="V55" s="1282"/>
      <c r="W55" s="1395"/>
      <c r="X55" s="1511"/>
      <c r="Y55" s="1493"/>
      <c r="Z55" s="1282"/>
      <c r="AA55" s="1282"/>
      <c r="AB55" s="206" t="s">
        <v>603</v>
      </c>
      <c r="AC55" s="299" t="s">
        <v>589</v>
      </c>
      <c r="AD55" s="59" t="s">
        <v>506</v>
      </c>
      <c r="AE55" s="1922"/>
      <c r="AF55" s="1922"/>
      <c r="AG55" s="1922"/>
      <c r="AH55" s="1922"/>
      <c r="AI55" s="245"/>
      <c r="AJ55" s="1922"/>
      <c r="AK55" s="1922"/>
      <c r="AL55" s="1922"/>
      <c r="AM55" s="1922"/>
      <c r="AN55" s="1922"/>
      <c r="AO55" s="1922"/>
      <c r="AP55" s="1922"/>
      <c r="AQ55" s="1922"/>
      <c r="AR55" s="1922"/>
      <c r="AS55" s="245"/>
      <c r="AT55" s="1922"/>
      <c r="AU55" s="1922"/>
      <c r="AV55" s="1922"/>
      <c r="AW55" s="1922"/>
      <c r="AX55" s="1922"/>
      <c r="AY55" s="1922"/>
      <c r="AZ55" s="1922"/>
      <c r="BA55" s="1922"/>
      <c r="BB55" s="1922"/>
      <c r="BC55" s="1926"/>
      <c r="BD55" s="1282"/>
      <c r="BE55" s="1282"/>
      <c r="BF55" s="992" t="s">
        <v>604</v>
      </c>
    </row>
    <row customHeight="1" ht="14.625" hidden="1">
      <c r="A56" s="1282"/>
      <c r="B56" s="1389"/>
      <c r="C56" s="1282"/>
      <c r="D56" s="1282"/>
      <c r="E56" s="607">
        <v>15</v>
      </c>
      <c r="F56" s="50" cm="1" t="str">
        <f t="array" ref="F56:F56">OFFSET(E56,-1,1)</f>
        <v>0</v>
      </c>
      <c r="G56" s="64" t="s">
        <v>605</v>
      </c>
      <c r="H56" s="64" t="s">
        <v>606</v>
      </c>
      <c r="I56" s="1282"/>
      <c r="J56" s="1282"/>
      <c r="K56" s="1282"/>
      <c r="L56" s="1282"/>
      <c r="M56" s="1282"/>
      <c r="N56" s="1282"/>
      <c r="O56" s="1282"/>
      <c r="P56" s="1395"/>
      <c r="Q56" s="1395"/>
      <c r="R56" s="1395"/>
      <c r="S56" s="1395"/>
      <c r="T56" s="438" cm="1" t="str">
        <f t="array" ref="T56:T56">T55</f>
        <v>false</v>
      </c>
      <c r="U56" s="1395"/>
      <c r="V56" s="1282"/>
      <c r="W56" s="1395"/>
      <c r="X56" s="1511"/>
      <c r="Y56" s="1493"/>
      <c r="Z56" s="1282"/>
      <c r="AA56" s="1282"/>
      <c r="AB56" s="206" t="s">
        <v>607</v>
      </c>
      <c r="AC56" s="298" t="s">
        <v>608</v>
      </c>
      <c r="AD56" s="59" t="s">
        <v>506</v>
      </c>
      <c r="AE56" s="281">
        <f>SUM(AE57:AE58)</f>
        <v>0</v>
      </c>
      <c r="AF56" s="281">
        <f>SUM(AF57:AF58)</f>
        <v>0</v>
      </c>
      <c r="AG56" s="281">
        <f>SUM(AG57:AG58)</f>
        <v>0</v>
      </c>
      <c r="AH56" s="281">
        <f>SUM(AH57:AH58)</f>
        <v>0</v>
      </c>
      <c r="AI56" s="281">
        <f>SUM(AI57:AI58)</f>
        <v>0</v>
      </c>
      <c r="AJ56" s="281">
        <f>SUM(AJ57:AJ58)</f>
        <v>0</v>
      </c>
      <c r="AK56" s="281">
        <f>SUM(AK57:AK58)</f>
        <v>0</v>
      </c>
      <c r="AL56" s="281">
        <f>SUM(AL57:AL58)</f>
        <v>0</v>
      </c>
      <c r="AM56" s="281">
        <f>SUM(AM57:AM58)</f>
        <v>0</v>
      </c>
      <c r="AN56" s="281">
        <f>SUM(AN57:AN58)</f>
        <v>0</v>
      </c>
      <c r="AO56" s="281">
        <f>SUM(AO57:AO58)</f>
        <v>0</v>
      </c>
      <c r="AP56" s="281">
        <f>SUM(AP57:AP58)</f>
        <v>0</v>
      </c>
      <c r="AQ56" s="281">
        <f>SUM(AQ57:AQ58)</f>
        <v>0</v>
      </c>
      <c r="AR56" s="281">
        <f>SUM(AR57:AR58)</f>
        <v>0</v>
      </c>
      <c r="AS56" s="281">
        <f>SUM(AS57:AS58)</f>
        <v>0</v>
      </c>
      <c r="AT56" s="281">
        <f>SUM(AT57:AT58)</f>
        <v>0</v>
      </c>
      <c r="AU56" s="281">
        <f>SUM(AU57:AU58)</f>
        <v>0</v>
      </c>
      <c r="AV56" s="281">
        <f>SUM(AV57:AV58)</f>
        <v>0</v>
      </c>
      <c r="AW56" s="281">
        <f>SUM(AW57:AW58)</f>
        <v>0</v>
      </c>
      <c r="AX56" s="281">
        <f>SUM(AX57:AX58)</f>
        <v>0</v>
      </c>
      <c r="AY56" s="281">
        <f>SUM(AY57:AY58)</f>
        <v>0</v>
      </c>
      <c r="AZ56" s="281">
        <f>SUM(AZ57:AZ58)</f>
        <v>0</v>
      </c>
      <c r="BA56" s="281">
        <f>SUM(BA57:BA58)</f>
        <v>0</v>
      </c>
      <c r="BB56" s="281">
        <f>SUM(BB57:BB58)</f>
        <v>0</v>
      </c>
      <c r="BC56" s="1926"/>
      <c r="BD56" s="1282"/>
      <c r="BE56" s="1282"/>
      <c r="BF56" s="992" t="s">
        <v>609</v>
      </c>
    </row>
    <row customHeight="1" ht="14.625" hidden="1">
      <c r="A57" s="1282"/>
      <c r="B57" s="1389"/>
      <c r="C57" s="1282"/>
      <c r="D57" s="1282"/>
      <c r="E57" s="607">
        <v>15</v>
      </c>
      <c r="F57" s="50" cm="1" t="str">
        <f t="array" ref="F57:F57">OFFSET(E57,-1,1)</f>
        <v>0</v>
      </c>
      <c r="G57" s="1282"/>
      <c r="H57" s="64" t="s">
        <v>610</v>
      </c>
      <c r="I57" s="1282"/>
      <c r="J57" s="1282"/>
      <c r="K57" s="1282"/>
      <c r="L57" s="1282"/>
      <c r="M57" s="1282"/>
      <c r="N57" s="1282"/>
      <c r="O57" s="1282"/>
      <c r="P57" s="1395"/>
      <c r="Q57" s="1395"/>
      <c r="R57" s="1395"/>
      <c r="S57" s="1395"/>
      <c r="T57" s="438" cm="1" t="str">
        <f t="array" ref="T57:T57">T56</f>
        <v>false</v>
      </c>
      <c r="U57" s="1395"/>
      <c r="V57" s="1282"/>
      <c r="W57" s="1395"/>
      <c r="X57" s="1511"/>
      <c r="Y57" s="1493"/>
      <c r="Z57" s="1282"/>
      <c r="AA57" s="1282"/>
      <c r="AB57" s="206" t="s">
        <v>611</v>
      </c>
      <c r="AC57" s="299" t="s">
        <v>585</v>
      </c>
      <c r="AD57" s="59" t="s">
        <v>506</v>
      </c>
      <c r="AE57" s="1922"/>
      <c r="AF57" s="1922"/>
      <c r="AG57" s="1922"/>
      <c r="AH57" s="1922"/>
      <c r="AI57" s="245"/>
      <c r="AJ57" s="1922"/>
      <c r="AK57" s="1922"/>
      <c r="AL57" s="1922"/>
      <c r="AM57" s="1922"/>
      <c r="AN57" s="1922"/>
      <c r="AO57" s="1922"/>
      <c r="AP57" s="1922"/>
      <c r="AQ57" s="1922"/>
      <c r="AR57" s="1922"/>
      <c r="AS57" s="245"/>
      <c r="AT57" s="1922"/>
      <c r="AU57" s="1922"/>
      <c r="AV57" s="1922"/>
      <c r="AW57" s="1922"/>
      <c r="AX57" s="1922"/>
      <c r="AY57" s="1922"/>
      <c r="AZ57" s="1922"/>
      <c r="BA57" s="1922"/>
      <c r="BB57" s="1922"/>
      <c r="BC57" s="1926"/>
      <c r="BD57" s="1282"/>
      <c r="BE57" s="1282"/>
      <c r="BF57" s="992" t="s">
        <v>612</v>
      </c>
    </row>
    <row customHeight="1" ht="14.625" hidden="1">
      <c r="A58" s="1282"/>
      <c r="B58" s="1389"/>
      <c r="C58" s="1282"/>
      <c r="D58" s="1282"/>
      <c r="E58" s="607">
        <v>15</v>
      </c>
      <c r="F58" s="50" cm="1" t="str">
        <f t="array" ref="F58:F58">OFFSET(E58,-1,1)</f>
        <v>0</v>
      </c>
      <c r="G58" s="1282"/>
      <c r="H58" s="64" t="s">
        <v>613</v>
      </c>
      <c r="I58" s="1282"/>
      <c r="J58" s="1282"/>
      <c r="K58" s="1282"/>
      <c r="L58" s="1282"/>
      <c r="M58" s="1282"/>
      <c r="N58" s="1282"/>
      <c r="O58" s="1282"/>
      <c r="P58" s="1395"/>
      <c r="Q58" s="1395"/>
      <c r="R58" s="1395"/>
      <c r="S58" s="1395"/>
      <c r="T58" s="438" cm="1" t="str">
        <f t="array" ref="T58:T58">T57</f>
        <v>false</v>
      </c>
      <c r="U58" s="1395"/>
      <c r="V58" s="1282"/>
      <c r="W58" s="1395"/>
      <c r="X58" s="1511"/>
      <c r="Y58" s="1493"/>
      <c r="Z58" s="1282"/>
      <c r="AA58" s="1282"/>
      <c r="AB58" s="206" t="s">
        <v>614</v>
      </c>
      <c r="AC58" s="299" t="s">
        <v>589</v>
      </c>
      <c r="AD58" s="59" t="s">
        <v>506</v>
      </c>
      <c r="AE58" s="1922"/>
      <c r="AF58" s="1922"/>
      <c r="AG58" s="1922"/>
      <c r="AH58" s="1922"/>
      <c r="AI58" s="245"/>
      <c r="AJ58" s="1922"/>
      <c r="AK58" s="1922"/>
      <c r="AL58" s="1922"/>
      <c r="AM58" s="1922"/>
      <c r="AN58" s="1922"/>
      <c r="AO58" s="1922"/>
      <c r="AP58" s="1922"/>
      <c r="AQ58" s="1922"/>
      <c r="AR58" s="1922"/>
      <c r="AS58" s="245"/>
      <c r="AT58" s="1922"/>
      <c r="AU58" s="1922"/>
      <c r="AV58" s="1922"/>
      <c r="AW58" s="1922"/>
      <c r="AX58" s="1922"/>
      <c r="AY58" s="1922"/>
      <c r="AZ58" s="1922"/>
      <c r="BA58" s="1922"/>
      <c r="BB58" s="1922"/>
      <c r="BC58" s="1926"/>
      <c r="BD58" s="1282"/>
      <c r="BE58" s="1282"/>
      <c r="BF58" s="992" t="s">
        <v>615</v>
      </c>
    </row>
    <row customHeight="1" ht="14.625" hidden="1">
      <c r="A59" s="1282"/>
      <c r="B59" s="1389"/>
      <c r="C59" s="1282"/>
      <c r="D59" s="1282"/>
      <c r="E59" s="607">
        <v>15</v>
      </c>
      <c r="F59" s="50" cm="1" t="str">
        <f t="array" ref="F59:F59">OFFSET(E59,-1,1)</f>
        <v>0</v>
      </c>
      <c r="G59" s="1282"/>
      <c r="H59" s="64" t="s">
        <v>616</v>
      </c>
      <c r="I59" s="1282"/>
      <c r="J59" s="1282"/>
      <c r="K59" s="1282"/>
      <c r="L59" s="1282"/>
      <c r="M59" s="1282"/>
      <c r="N59" s="1282"/>
      <c r="O59" s="1282"/>
      <c r="P59" s="1395"/>
      <c r="Q59" s="1395"/>
      <c r="R59" s="1395"/>
      <c r="S59" s="1395"/>
      <c r="T59" s="438" cm="1" t="str">
        <f t="array" ref="T59:T59">T58</f>
        <v>false</v>
      </c>
      <c r="U59" s="1395"/>
      <c r="V59" s="1282"/>
      <c r="W59" s="1395"/>
      <c r="X59" s="1511"/>
      <c r="Y59" s="1493"/>
      <c r="Z59" s="1282"/>
      <c r="AA59" s="1282"/>
      <c r="AB59" s="206" t="s">
        <v>617</v>
      </c>
      <c r="AC59" s="298" t="s">
        <v>618</v>
      </c>
      <c r="AD59" s="59" t="s">
        <v>506</v>
      </c>
      <c r="AE59" s="281">
        <f>SUM(AE60:AE61)</f>
        <v>0</v>
      </c>
      <c r="AF59" s="281">
        <f>SUM(AF60:AF61)</f>
        <v>0</v>
      </c>
      <c r="AG59" s="281">
        <f>SUM(AG60:AG61)</f>
        <v>0</v>
      </c>
      <c r="AH59" s="281">
        <f>SUM(AH60:AH61)</f>
        <v>0</v>
      </c>
      <c r="AI59" s="281">
        <f>SUM(AI60:AI61)</f>
        <v>0</v>
      </c>
      <c r="AJ59" s="281">
        <f>SUM(AJ60:AJ61)</f>
        <v>0</v>
      </c>
      <c r="AK59" s="281">
        <f>SUM(AK60:AK61)</f>
        <v>0</v>
      </c>
      <c r="AL59" s="281">
        <f>SUM(AL60:AL61)</f>
        <v>0</v>
      </c>
      <c r="AM59" s="281">
        <f>SUM(AM60:AM61)</f>
        <v>0</v>
      </c>
      <c r="AN59" s="281">
        <f>SUM(AN60:AN61)</f>
        <v>0</v>
      </c>
      <c r="AO59" s="281">
        <f>SUM(AO60:AO61)</f>
        <v>0</v>
      </c>
      <c r="AP59" s="281">
        <f>SUM(AP60:AP61)</f>
        <v>0</v>
      </c>
      <c r="AQ59" s="281">
        <f>SUM(AQ60:AQ61)</f>
        <v>0</v>
      </c>
      <c r="AR59" s="281">
        <f>SUM(AR60:AR61)</f>
        <v>0</v>
      </c>
      <c r="AS59" s="281">
        <f>SUM(AS60:AS61)</f>
        <v>0</v>
      </c>
      <c r="AT59" s="281">
        <f>SUM(AT60:AT61)</f>
        <v>0</v>
      </c>
      <c r="AU59" s="281">
        <f>SUM(AU60:AU61)</f>
        <v>0</v>
      </c>
      <c r="AV59" s="281">
        <f>SUM(AV60:AV61)</f>
        <v>0</v>
      </c>
      <c r="AW59" s="281">
        <f>SUM(AW60:AW61)</f>
        <v>0</v>
      </c>
      <c r="AX59" s="281">
        <f>SUM(AX60:AX61)</f>
        <v>0</v>
      </c>
      <c r="AY59" s="281">
        <f>SUM(AY60:AY61)</f>
        <v>0</v>
      </c>
      <c r="AZ59" s="281">
        <f>SUM(AZ60:AZ61)</f>
        <v>0</v>
      </c>
      <c r="BA59" s="281">
        <f>SUM(BA60:BA61)</f>
        <v>0</v>
      </c>
      <c r="BB59" s="281">
        <f>SUM(BB60:BB61)</f>
        <v>0</v>
      </c>
      <c r="BC59" s="1926"/>
      <c r="BD59" s="1282"/>
      <c r="BE59" s="1282"/>
      <c r="BF59" s="992" t="s">
        <v>619</v>
      </c>
    </row>
    <row customHeight="1" ht="14.625" hidden="1">
      <c r="A60" s="1282"/>
      <c r="B60" s="1389"/>
      <c r="C60" s="1282"/>
      <c r="D60" s="1282"/>
      <c r="E60" s="607">
        <v>15</v>
      </c>
      <c r="F60" s="50" cm="1" t="str">
        <f t="array" ref="F60:F60">OFFSET(E60,-1,1)</f>
        <v>0</v>
      </c>
      <c r="G60" s="1282"/>
      <c r="H60" s="64" t="s">
        <v>620</v>
      </c>
      <c r="I60" s="1282"/>
      <c r="J60" s="1282"/>
      <c r="K60" s="1282"/>
      <c r="L60" s="1282"/>
      <c r="M60" s="1282"/>
      <c r="N60" s="1282"/>
      <c r="O60" s="1282"/>
      <c r="P60" s="1395"/>
      <c r="Q60" s="1395"/>
      <c r="R60" s="1395"/>
      <c r="S60" s="1395"/>
      <c r="T60" s="438" cm="1" t="str">
        <f t="array" ref="T60:T60">T59</f>
        <v>false</v>
      </c>
      <c r="U60" s="1395"/>
      <c r="V60" s="1282"/>
      <c r="W60" s="1395"/>
      <c r="X60" s="1511"/>
      <c r="Y60" s="1493"/>
      <c r="Z60" s="1282"/>
      <c r="AA60" s="1282"/>
      <c r="AB60" s="206" t="s">
        <v>621</v>
      </c>
      <c r="AC60" s="299" t="s">
        <v>585</v>
      </c>
      <c r="AD60" s="59" t="s">
        <v>506</v>
      </c>
      <c r="AE60" s="1922"/>
      <c r="AF60" s="1922"/>
      <c r="AG60" s="1922"/>
      <c r="AH60" s="1922"/>
      <c r="AI60" s="245"/>
      <c r="AJ60" s="1922"/>
      <c r="AK60" s="1922"/>
      <c r="AL60" s="1922"/>
      <c r="AM60" s="1922"/>
      <c r="AN60" s="1922"/>
      <c r="AO60" s="1922"/>
      <c r="AP60" s="1922"/>
      <c r="AQ60" s="1922"/>
      <c r="AR60" s="1922"/>
      <c r="AS60" s="245"/>
      <c r="AT60" s="1922"/>
      <c r="AU60" s="1922"/>
      <c r="AV60" s="1922"/>
      <c r="AW60" s="1922"/>
      <c r="AX60" s="1922"/>
      <c r="AY60" s="1922"/>
      <c r="AZ60" s="1922"/>
      <c r="BA60" s="1922"/>
      <c r="BB60" s="1922"/>
      <c r="BC60" s="1926"/>
      <c r="BD60" s="1282"/>
      <c r="BE60" s="1282"/>
      <c r="BF60" s="992" t="s">
        <v>622</v>
      </c>
    </row>
    <row customHeight="1" ht="14.625" hidden="1">
      <c r="A61" s="1282"/>
      <c r="B61" s="1389"/>
      <c r="C61" s="1282"/>
      <c r="D61" s="1282"/>
      <c r="E61" s="607">
        <v>15</v>
      </c>
      <c r="F61" s="50" cm="1" t="str">
        <f t="array" ref="F61:F61">OFFSET(E61,-1,1)</f>
        <v>0</v>
      </c>
      <c r="G61" s="1282"/>
      <c r="H61" s="64" t="s">
        <v>623</v>
      </c>
      <c r="I61" s="1282"/>
      <c r="J61" s="1282"/>
      <c r="K61" s="1282"/>
      <c r="L61" s="1282"/>
      <c r="M61" s="1282"/>
      <c r="N61" s="1282"/>
      <c r="O61" s="1282"/>
      <c r="P61" s="1395"/>
      <c r="Q61" s="1395"/>
      <c r="R61" s="1395"/>
      <c r="S61" s="1395"/>
      <c r="T61" s="438" cm="1" t="str">
        <f t="array" ref="T61:T61">T60</f>
        <v>false</v>
      </c>
      <c r="U61" s="1395"/>
      <c r="V61" s="1282"/>
      <c r="W61" s="1395"/>
      <c r="X61" s="1511"/>
      <c r="Y61" s="1493"/>
      <c r="Z61" s="1282"/>
      <c r="AA61" s="1282"/>
      <c r="AB61" s="206" t="s">
        <v>624</v>
      </c>
      <c r="AC61" s="299" t="s">
        <v>589</v>
      </c>
      <c r="AD61" s="59" t="s">
        <v>506</v>
      </c>
      <c r="AE61" s="1922"/>
      <c r="AF61" s="1922"/>
      <c r="AG61" s="1922"/>
      <c r="AH61" s="1922"/>
      <c r="AI61" s="245"/>
      <c r="AJ61" s="1922"/>
      <c r="AK61" s="1922"/>
      <c r="AL61" s="1922"/>
      <c r="AM61" s="1922"/>
      <c r="AN61" s="1922"/>
      <c r="AO61" s="1922"/>
      <c r="AP61" s="1922"/>
      <c r="AQ61" s="1922"/>
      <c r="AR61" s="1922"/>
      <c r="AS61" s="245"/>
      <c r="AT61" s="1922"/>
      <c r="AU61" s="1922"/>
      <c r="AV61" s="1922"/>
      <c r="AW61" s="1922"/>
      <c r="AX61" s="1922"/>
      <c r="AY61" s="1922"/>
      <c r="AZ61" s="1922"/>
      <c r="BA61" s="1922"/>
      <c r="BB61" s="1922"/>
      <c r="BC61" s="1880"/>
      <c r="BD61" s="1282"/>
      <c r="BE61" s="1282"/>
      <c r="BF61" s="992" t="s">
        <v>625</v>
      </c>
    </row>
    <row customHeight="1" ht="21.9375" hidden="1">
      <c r="A62" s="1282"/>
      <c r="B62" s="1389"/>
      <c r="C62" s="1282"/>
      <c r="D62" s="1282"/>
      <c r="E62" s="607">
        <v>22.5</v>
      </c>
      <c r="F62" s="50" cm="1" t="str">
        <f t="array" ref="F62:F62">OFFSET(E62,-1,1)</f>
        <v>0</v>
      </c>
      <c r="G62" s="1282"/>
      <c r="H62" s="64" t="s">
        <v>626</v>
      </c>
      <c r="I62" s="442"/>
      <c r="J62" s="442"/>
      <c r="K62" s="1282"/>
      <c r="L62" s="1282"/>
      <c r="M62" s="1282"/>
      <c r="N62" s="1282"/>
      <c r="O62" s="1282"/>
      <c r="P62" s="1395"/>
      <c r="Q62" s="1395"/>
      <c r="R62" s="1395"/>
      <c r="S62" s="1395"/>
      <c r="T62" s="438" cm="1" t="str">
        <f t="array" ref="T62:T62">T61</f>
        <v>false</v>
      </c>
      <c r="U62" s="1395"/>
      <c r="V62" s="1282"/>
      <c r="W62" s="1395"/>
      <c r="X62" s="1511"/>
      <c r="Y62" s="1493"/>
      <c r="Z62" s="1282"/>
      <c r="AA62" s="1282"/>
      <c r="AB62" s="206" t="s">
        <v>627</v>
      </c>
      <c r="AC62" s="300" t="s">
        <v>628</v>
      </c>
      <c r="AD62" s="59" t="s">
        <v>506</v>
      </c>
      <c r="AE62" s="1879"/>
      <c r="AF62" s="1879"/>
      <c r="AG62" s="1879"/>
      <c r="AH62" s="1879"/>
      <c r="AI62" s="242"/>
      <c r="AJ62" s="1879"/>
      <c r="AK62" s="1879"/>
      <c r="AL62" s="1879"/>
      <c r="AM62" s="1879"/>
      <c r="AN62" s="1879"/>
      <c r="AO62" s="1879"/>
      <c r="AP62" s="1879"/>
      <c r="AQ62" s="1879"/>
      <c r="AR62" s="1879"/>
      <c r="AS62" s="242"/>
      <c r="AT62" s="1879"/>
      <c r="AU62" s="1879"/>
      <c r="AV62" s="1879"/>
      <c r="AW62" s="1879"/>
      <c r="AX62" s="1879"/>
      <c r="AY62" s="1879"/>
      <c r="AZ62" s="1879"/>
      <c r="BA62" s="1879"/>
      <c r="BB62" s="1879"/>
      <c r="BC62" s="1880"/>
      <c r="BD62" s="1282"/>
      <c r="BE62" s="1282"/>
      <c r="BF62" s="992" t="s">
        <v>629</v>
      </c>
    </row>
    <row customHeight="1" ht="14.625" hidden="1">
      <c r="A63" s="1282"/>
      <c r="B63" s="1389"/>
      <c r="C63" s="1282"/>
      <c r="D63" s="1282"/>
      <c r="E63" s="607">
        <v>15</v>
      </c>
      <c r="F63" s="315" cm="1" t="str">
        <f t="array" ref="F63:F63">OFFSET(E63,-1,1)</f>
        <v>0</v>
      </c>
      <c r="G63" s="1282"/>
      <c r="H63" s="1282"/>
      <c r="I63" s="1282"/>
      <c r="J63" s="1282"/>
      <c r="K63" s="1282"/>
      <c r="L63" s="1282"/>
      <c r="M63" s="1282"/>
      <c r="N63" s="1282"/>
      <c r="O63" s="1282"/>
      <c r="P63" s="1395"/>
      <c r="Q63" s="1395"/>
      <c r="R63" s="1395"/>
      <c r="S63" s="1395"/>
      <c r="T63" s="438" cm="1" t="str">
        <f t="array" ref="T63:T63">T62</f>
        <v>false</v>
      </c>
      <c r="U63" s="1395"/>
      <c r="V63" s="1282"/>
      <c r="W63" s="1395"/>
      <c r="X63" s="1511"/>
      <c r="Y63" s="1493"/>
      <c r="Z63" s="1282"/>
      <c r="AA63" s="1282"/>
      <c r="AB63" s="206" t="s">
        <v>630</v>
      </c>
      <c r="AC63" s="300" t="s">
        <v>631</v>
      </c>
      <c r="AD63" s="59" t="s">
        <v>506</v>
      </c>
      <c r="AE63" s="1879"/>
      <c r="AF63" s="1879"/>
      <c r="AG63" s="1879"/>
      <c r="AH63" s="1879"/>
      <c r="AI63" s="242"/>
      <c r="AJ63" s="1879"/>
      <c r="AK63" s="1879"/>
      <c r="AL63" s="1879"/>
      <c r="AM63" s="1879"/>
      <c r="AN63" s="1879"/>
      <c r="AO63" s="1879"/>
      <c r="AP63" s="1879"/>
      <c r="AQ63" s="1879"/>
      <c r="AR63" s="1879"/>
      <c r="AS63" s="242"/>
      <c r="AT63" s="1879"/>
      <c r="AU63" s="1879"/>
      <c r="AV63" s="1879"/>
      <c r="AW63" s="1879"/>
      <c r="AX63" s="1879"/>
      <c r="AY63" s="1879"/>
      <c r="AZ63" s="1879"/>
      <c r="BA63" s="1879"/>
      <c r="BB63" s="1879"/>
      <c r="BC63" s="1880"/>
      <c r="BD63" s="1282"/>
      <c r="BE63" s="1282"/>
      <c r="BF63" s="992" t="s">
        <v>632</v>
      </c>
    </row>
    <row s="1624" customFormat="1" customHeight="1" ht="11.25" hidden="1">
      <c r="A64" s="442"/>
      <c r="B64" s="634"/>
      <c r="C64" s="442"/>
      <c r="D64" s="442"/>
      <c r="E64" s="636" t="s">
        <v>362</v>
      </c>
      <c r="F64" s="1153" cm="1" t="str">
        <f t="array" ref="F64:F64">OFFSET(E64,-1,1)</f>
        <v>0</v>
      </c>
      <c r="G64" s="442"/>
      <c r="H64" s="442"/>
      <c r="I64" s="1624"/>
      <c r="J64" s="1624"/>
      <c r="K64" s="64"/>
      <c r="L64" s="442"/>
      <c r="M64" s="442"/>
      <c r="N64" s="442"/>
      <c r="O64" s="442"/>
      <c r="P64" s="442"/>
      <c r="Q64" s="442"/>
      <c r="R64" s="387"/>
      <c r="S64" s="387"/>
      <c r="T64" s="438" t="b">
        <v>0</v>
      </c>
      <c r="U64" s="442"/>
      <c r="V64" s="442"/>
      <c r="W64" s="442"/>
      <c r="X64" s="1511"/>
      <c r="Y64" s="1493"/>
      <c r="Z64" s="442"/>
      <c r="AA64" s="442"/>
      <c r="AB64" s="1624"/>
      <c r="AC64" s="66"/>
      <c r="AD64" s="66"/>
      <c r="AE64" s="310"/>
      <c r="AF64" s="310"/>
      <c r="AG64" s="310"/>
      <c r="AH64" s="310"/>
      <c r="AI64" s="310"/>
      <c r="AJ64" s="311"/>
      <c r="AK64" s="310"/>
      <c r="AL64" s="310"/>
      <c r="AM64" s="310"/>
      <c r="AN64" s="310"/>
      <c r="AO64" s="310"/>
      <c r="AP64" s="310"/>
      <c r="AQ64" s="310"/>
      <c r="AR64" s="310"/>
      <c r="AS64" s="310"/>
      <c r="AT64" s="310"/>
      <c r="AU64" s="310"/>
      <c r="AV64" s="310"/>
      <c r="AW64" s="310"/>
      <c r="AX64" s="310"/>
      <c r="AY64" s="310"/>
      <c r="AZ64" s="310"/>
      <c r="BA64" s="310"/>
      <c r="BB64" s="310"/>
      <c r="BC64" s="1624"/>
      <c r="BD64" s="1624"/>
      <c r="BE64" s="1624"/>
      <c r="BF64" s="996"/>
    </row>
    <row customHeight="1" ht="14.625" hidden="1">
      <c r="A65" s="1282"/>
      <c r="B65" s="1389"/>
      <c r="C65" s="1282"/>
      <c r="D65" s="1282"/>
      <c r="E65" s="607">
        <v>15</v>
      </c>
      <c r="F65" s="50" cm="1" t="str">
        <f t="array" ref="F65:F65">OFFSET(E65,-1,1)</f>
        <v>0</v>
      </c>
      <c r="G65" s="1282"/>
      <c r="H65" s="1282"/>
      <c r="I65" s="1282"/>
      <c r="J65" s="1282"/>
      <c r="K65" s="1282"/>
      <c r="L65" s="1282"/>
      <c r="M65" s="1282"/>
      <c r="N65" s="1282"/>
      <c r="O65" s="1282"/>
      <c r="P65" s="1395"/>
      <c r="Q65" s="1395"/>
      <c r="R65" s="387" cm="1" t="str">
        <f t="array" ref="R65:R65">INDEX('Общие сведения'!$AN$179:$AN$208,MATCH($X27,'Общие сведения'!$Z$179:$Z$208,0))</f>
        <v>true</v>
      </c>
      <c r="S65" s="387">
        <f>IF(ISERROR(SEARCH("Водоснабжение",AB27)),FALSE,TRUE)</f>
        <v>0</v>
      </c>
      <c r="T65" s="438">
        <f>AND(X27&gt;0,S65,R65)</f>
        <v>0</v>
      </c>
      <c r="U65" s="1395"/>
      <c r="V65" s="1282"/>
      <c r="W65" s="1395"/>
      <c r="X65" s="1511"/>
      <c r="Y65" s="1493"/>
      <c r="Z65" s="1282"/>
      <c r="AA65" s="1282"/>
      <c r="AB65" s="206" t="s">
        <v>281</v>
      </c>
      <c r="AC65" s="294" t="s">
        <v>502</v>
      </c>
      <c r="AD65" s="164"/>
      <c r="AE65" s="544" cm="1" t="str">
        <f t="array" ref="AE65:AE65">INDEX('Общие сведения'!$AH$179:$AH$208,MATCH($X27,'Общие сведения'!$Z$179:$Z$208,0))</f>
        <v>0</v>
      </c>
      <c r="AF65" s="328"/>
      <c r="AG65" s="328"/>
      <c r="AH65" s="328"/>
      <c r="AI65" s="328"/>
      <c r="AJ65" s="328"/>
      <c r="AK65" s="328"/>
      <c r="AL65" s="328"/>
      <c r="AM65" s="328"/>
      <c r="AN65" s="328"/>
      <c r="AO65" s="328"/>
      <c r="AP65" s="328"/>
      <c r="AQ65" s="328"/>
      <c r="AR65" s="328"/>
      <c r="AS65" s="328"/>
      <c r="AT65" s="328"/>
      <c r="AU65" s="328"/>
      <c r="AV65" s="328"/>
      <c r="AW65" s="328"/>
      <c r="AX65" s="328"/>
      <c r="AY65" s="328"/>
      <c r="AZ65" s="328"/>
      <c r="BA65" s="328"/>
      <c r="BB65" s="329"/>
      <c r="BC65" s="1880"/>
      <c r="BD65" s="1282"/>
      <c r="BE65" s="1282"/>
      <c r="BF65" s="992" t="s">
        <v>633</v>
      </c>
    </row>
    <row customHeight="1" ht="14.625" hidden="1">
      <c r="A66" s="1282"/>
      <c r="B66" s="1389"/>
      <c r="C66" s="1282"/>
      <c r="D66" s="1282"/>
      <c r="E66" s="607">
        <v>15</v>
      </c>
      <c r="F66" s="50" cm="1" t="str">
        <f t="array" ref="F66:F66">OFFSET(E66,-1,1)</f>
        <v>0</v>
      </c>
      <c r="G66" s="1282"/>
      <c r="H66" s="64" t="s">
        <v>325</v>
      </c>
      <c r="I66" s="1282"/>
      <c r="J66" s="1282"/>
      <c r="K66" s="1282"/>
      <c r="L66" s="1282"/>
      <c r="M66" s="1282"/>
      <c r="N66" s="1282"/>
      <c r="O66" s="1282"/>
      <c r="P66" s="1395"/>
      <c r="Q66" s="1395"/>
      <c r="R66" s="1395"/>
      <c r="S66" s="1395"/>
      <c r="T66" s="438" cm="1" t="str">
        <f t="array" ref="T66:T66">T65</f>
        <v>false</v>
      </c>
      <c r="U66" s="1395"/>
      <c r="V66" s="1282"/>
      <c r="W66" s="1395"/>
      <c r="X66" s="1511"/>
      <c r="Y66" s="1493"/>
      <c r="Z66" s="1282"/>
      <c r="AA66" s="1282"/>
      <c r="AB66" s="206" t="s">
        <v>504</v>
      </c>
      <c r="AC66" s="301" t="s">
        <v>634</v>
      </c>
      <c r="AD66" s="59" t="s">
        <v>506</v>
      </c>
      <c r="AE66" s="312">
        <f>AE70+AE72+AE75+AE78</f>
        <v>0</v>
      </c>
      <c r="AF66" s="312">
        <f>AF70+AF72+AF75+AF78</f>
        <v>0</v>
      </c>
      <c r="AG66" s="312">
        <f>AG70+AG72+AG75+AG78</f>
        <v>0</v>
      </c>
      <c r="AH66" s="312">
        <f>AH70+AH72+AH75+AH78</f>
        <v>0</v>
      </c>
      <c r="AI66" s="312">
        <f>AI70+AI72+AI75+AI78</f>
        <v>0</v>
      </c>
      <c r="AJ66" s="312">
        <f>AJ70+AJ72+AJ75+AJ78</f>
        <v>0</v>
      </c>
      <c r="AK66" s="312">
        <f>AK70+AK72+AK75+AK78</f>
        <v>0</v>
      </c>
      <c r="AL66" s="312">
        <f>AL70+AL72+AL75+AL78</f>
        <v>0</v>
      </c>
      <c r="AM66" s="312">
        <f>AM70+AM72+AM75+AM78</f>
        <v>0</v>
      </c>
      <c r="AN66" s="312">
        <f>AN70+AN72+AN75+AN78</f>
        <v>0</v>
      </c>
      <c r="AO66" s="312">
        <f>AO70+AO72+AO75+AO78</f>
        <v>0</v>
      </c>
      <c r="AP66" s="312">
        <f>AP70+AP72+AP75+AP78</f>
        <v>0</v>
      </c>
      <c r="AQ66" s="312">
        <f>AQ70+AQ72+AQ75+AQ78</f>
        <v>0</v>
      </c>
      <c r="AR66" s="312">
        <f>AR70+AR72+AR75+AR78</f>
        <v>0</v>
      </c>
      <c r="AS66" s="312">
        <f>AS70+AS72+AS75+AS78</f>
        <v>0</v>
      </c>
      <c r="AT66" s="312">
        <f>AT70+AT72+AT75+AT78</f>
        <v>0</v>
      </c>
      <c r="AU66" s="312">
        <f>AU70+AU72+AU75+AU78</f>
        <v>0</v>
      </c>
      <c r="AV66" s="312">
        <f>AV70+AV72+AV75+AV78</f>
        <v>0</v>
      </c>
      <c r="AW66" s="312">
        <f>AW70+AW72+AW75+AW78</f>
        <v>0</v>
      </c>
      <c r="AX66" s="312">
        <f>AX70+AX72+AX75+AX78</f>
        <v>0</v>
      </c>
      <c r="AY66" s="312">
        <f>AY70+AY72+AY75+AY78</f>
        <v>0</v>
      </c>
      <c r="AZ66" s="312">
        <f>AZ70+AZ72+AZ75+AZ78</f>
        <v>0</v>
      </c>
      <c r="BA66" s="312">
        <f>BA70+BA72+BA75+BA78</f>
        <v>0</v>
      </c>
      <c r="BB66" s="312">
        <f>BB70+BB72+BB75+BB78</f>
        <v>0</v>
      </c>
      <c r="BC66" s="1880"/>
      <c r="BD66" s="1282"/>
      <c r="BE66" s="1282"/>
      <c r="BF66" s="992" t="s">
        <v>635</v>
      </c>
    </row>
    <row customHeight="1" ht="14.625" hidden="1">
      <c r="A67" s="1282"/>
      <c r="B67" s="1389"/>
      <c r="C67" s="1282"/>
      <c r="D67" s="1282"/>
      <c r="E67" s="607">
        <v>15</v>
      </c>
      <c r="F67" s="50" cm="1" t="str">
        <f t="array" ref="F67:F67">OFFSET(E67,-1,1)</f>
        <v>0</v>
      </c>
      <c r="G67" s="1282"/>
      <c r="H67" s="64" t="s">
        <v>508</v>
      </c>
      <c r="I67" s="1282"/>
      <c r="J67" s="1282"/>
      <c r="K67" s="1282"/>
      <c r="L67" s="1282"/>
      <c r="M67" s="1282"/>
      <c r="N67" s="1282"/>
      <c r="O67" s="1282"/>
      <c r="P67" s="1395"/>
      <c r="Q67" s="1395"/>
      <c r="R67" s="1395"/>
      <c r="S67" s="1395"/>
      <c r="T67" s="438" cm="1" t="str">
        <f t="array" ref="T67:T67">T66</f>
        <v>false</v>
      </c>
      <c r="U67" s="1395"/>
      <c r="V67" s="1282"/>
      <c r="W67" s="1395"/>
      <c r="X67" s="1511"/>
      <c r="Y67" s="1493"/>
      <c r="Z67" s="1282"/>
      <c r="AA67" s="1282"/>
      <c r="AB67" s="206" t="s">
        <v>509</v>
      </c>
      <c r="AC67" s="302" t="s">
        <v>636</v>
      </c>
      <c r="AD67" s="59" t="s">
        <v>506</v>
      </c>
      <c r="AE67" s="1879"/>
      <c r="AF67" s="1879"/>
      <c r="AG67" s="1879"/>
      <c r="AH67" s="1879"/>
      <c r="AI67" s="242"/>
      <c r="AJ67" s="1879"/>
      <c r="AK67" s="1879"/>
      <c r="AL67" s="1879"/>
      <c r="AM67" s="1879"/>
      <c r="AN67" s="1879"/>
      <c r="AO67" s="1879"/>
      <c r="AP67" s="1879"/>
      <c r="AQ67" s="1879"/>
      <c r="AR67" s="1879"/>
      <c r="AS67" s="242"/>
      <c r="AT67" s="1879"/>
      <c r="AU67" s="1879"/>
      <c r="AV67" s="1879"/>
      <c r="AW67" s="1879"/>
      <c r="AX67" s="1879"/>
      <c r="AY67" s="1879"/>
      <c r="AZ67" s="1879"/>
      <c r="BA67" s="1879"/>
      <c r="BB67" s="1879"/>
      <c r="BC67" s="1880"/>
      <c r="BD67" s="1282"/>
      <c r="BE67" s="1282"/>
      <c r="BF67" s="992" t="s">
        <v>637</v>
      </c>
    </row>
    <row customHeight="1" ht="14.625" hidden="1">
      <c r="A68" s="1282"/>
      <c r="B68" s="1389"/>
      <c r="C68" s="1282"/>
      <c r="D68" s="1282"/>
      <c r="E68" s="607">
        <v>15</v>
      </c>
      <c r="F68" s="50" cm="1" t="str">
        <f t="array" ref="F68:F68">OFFSET(E68,-1,1)</f>
        <v>0</v>
      </c>
      <c r="G68" s="1282"/>
      <c r="H68" s="64" t="s">
        <v>512</v>
      </c>
      <c r="I68" s="1282"/>
      <c r="J68" s="1282"/>
      <c r="K68" s="1282"/>
      <c r="L68" s="1282"/>
      <c r="M68" s="1282"/>
      <c r="N68" s="1282"/>
      <c r="O68" s="1282"/>
      <c r="P68" s="1395"/>
      <c r="Q68" s="1395"/>
      <c r="R68" s="1395"/>
      <c r="S68" s="1395"/>
      <c r="T68" s="438" cm="1" t="str">
        <f t="array" ref="T68:T68">T67</f>
        <v>false</v>
      </c>
      <c r="U68" s="1395"/>
      <c r="V68" s="1282"/>
      <c r="W68" s="1395"/>
      <c r="X68" s="1511"/>
      <c r="Y68" s="1493"/>
      <c r="Z68" s="1282"/>
      <c r="AA68" s="1282"/>
      <c r="AB68" s="206" t="s">
        <v>513</v>
      </c>
      <c r="AC68" s="302" t="s">
        <v>638</v>
      </c>
      <c r="AD68" s="59" t="s">
        <v>506</v>
      </c>
      <c r="AE68" s="1879"/>
      <c r="AF68" s="1879"/>
      <c r="AG68" s="1879"/>
      <c r="AH68" s="1879"/>
      <c r="AI68" s="242"/>
      <c r="AJ68" s="1879"/>
      <c r="AK68" s="1879"/>
      <c r="AL68" s="1879"/>
      <c r="AM68" s="1879"/>
      <c r="AN68" s="1879"/>
      <c r="AO68" s="1879"/>
      <c r="AP68" s="1879"/>
      <c r="AQ68" s="1879"/>
      <c r="AR68" s="1879"/>
      <c r="AS68" s="242"/>
      <c r="AT68" s="1879"/>
      <c r="AU68" s="1879"/>
      <c r="AV68" s="1879"/>
      <c r="AW68" s="1879"/>
      <c r="AX68" s="1879"/>
      <c r="AY68" s="1879"/>
      <c r="AZ68" s="1879"/>
      <c r="BA68" s="1879"/>
      <c r="BB68" s="1879"/>
      <c r="BC68" s="1880"/>
      <c r="BD68" s="1282"/>
      <c r="BE68" s="1282"/>
      <c r="BF68" s="992" t="s">
        <v>639</v>
      </c>
    </row>
    <row customHeight="1" ht="21.9375" hidden="1">
      <c r="A69" s="1282"/>
      <c r="B69" s="1389"/>
      <c r="C69" s="1282"/>
      <c r="D69" s="1282"/>
      <c r="E69" s="607">
        <v>22.5</v>
      </c>
      <c r="F69" s="50" cm="1" t="str">
        <f t="array" ref="F69:F69">OFFSET(E69,-1,1)</f>
        <v>0</v>
      </c>
      <c r="G69" s="1282"/>
      <c r="H69" s="64" t="s">
        <v>516</v>
      </c>
      <c r="I69" s="1282"/>
      <c r="J69" s="1282"/>
      <c r="K69" s="1282"/>
      <c r="L69" s="1282"/>
      <c r="M69" s="1282"/>
      <c r="N69" s="1282"/>
      <c r="O69" s="1282"/>
      <c r="P69" s="1395"/>
      <c r="Q69" s="1395"/>
      <c r="R69" s="1395"/>
      <c r="S69" s="1395"/>
      <c r="T69" s="438" cm="1" t="str">
        <f t="array" ref="T69:T69">T68</f>
        <v>false</v>
      </c>
      <c r="U69" s="1395"/>
      <c r="V69" s="1282"/>
      <c r="W69" s="1395"/>
      <c r="X69" s="1511"/>
      <c r="Y69" s="1493"/>
      <c r="Z69" s="1282"/>
      <c r="AA69" s="1282"/>
      <c r="AB69" s="206" t="s">
        <v>517</v>
      </c>
      <c r="AC69" s="302" t="s">
        <v>640</v>
      </c>
      <c r="AD69" s="59" t="s">
        <v>506</v>
      </c>
      <c r="AE69" s="1879"/>
      <c r="AF69" s="1879"/>
      <c r="AG69" s="1879"/>
      <c r="AH69" s="1879"/>
      <c r="AI69" s="242"/>
      <c r="AJ69" s="1879"/>
      <c r="AK69" s="1879"/>
      <c r="AL69" s="1879"/>
      <c r="AM69" s="1879"/>
      <c r="AN69" s="1879"/>
      <c r="AO69" s="1879"/>
      <c r="AP69" s="1879"/>
      <c r="AQ69" s="1879"/>
      <c r="AR69" s="1879"/>
      <c r="AS69" s="242"/>
      <c r="AT69" s="1879"/>
      <c r="AU69" s="1879"/>
      <c r="AV69" s="1879"/>
      <c r="AW69" s="1879"/>
      <c r="AX69" s="1879"/>
      <c r="AY69" s="1879"/>
      <c r="AZ69" s="1879"/>
      <c r="BA69" s="1879"/>
      <c r="BB69" s="1879"/>
      <c r="BC69" s="1880"/>
      <c r="BD69" s="1282"/>
      <c r="BE69" s="1282"/>
      <c r="BF69" s="992" t="s">
        <v>641</v>
      </c>
    </row>
    <row customHeight="1" ht="14.625" hidden="1">
      <c r="A70" s="1282"/>
      <c r="B70" s="1389"/>
      <c r="C70" s="1282"/>
      <c r="D70" s="1282"/>
      <c r="E70" s="607">
        <v>15</v>
      </c>
      <c r="F70" s="50" cm="1" t="str">
        <f t="array" ref="F70:F70">OFFSET(E70,-1,1)</f>
        <v>0</v>
      </c>
      <c r="G70" s="1282"/>
      <c r="H70" s="64" t="s">
        <v>324</v>
      </c>
      <c r="I70" s="1282"/>
      <c r="J70" s="1282"/>
      <c r="K70" s="1282"/>
      <c r="L70" s="1282"/>
      <c r="M70" s="1282"/>
      <c r="N70" s="1282"/>
      <c r="O70" s="1282"/>
      <c r="P70" s="1395"/>
      <c r="Q70" s="1395"/>
      <c r="R70" s="1395"/>
      <c r="S70" s="1395"/>
      <c r="T70" s="438" cm="1" t="str">
        <f t="array" ref="T70:T70">T69</f>
        <v>false</v>
      </c>
      <c r="U70" s="1395"/>
      <c r="V70" s="1282"/>
      <c r="W70" s="1395"/>
      <c r="X70" s="1511"/>
      <c r="Y70" s="1493"/>
      <c r="Z70" s="1282"/>
      <c r="AA70" s="1282"/>
      <c r="AB70" s="206" t="s">
        <v>319</v>
      </c>
      <c r="AC70" s="294" t="s">
        <v>552</v>
      </c>
      <c r="AD70" s="59" t="s">
        <v>506</v>
      </c>
      <c r="AE70" s="1879"/>
      <c r="AF70" s="1879"/>
      <c r="AG70" s="1879"/>
      <c r="AH70" s="1879"/>
      <c r="AI70" s="242"/>
      <c r="AJ70" s="1879"/>
      <c r="AK70" s="1879"/>
      <c r="AL70" s="1879"/>
      <c r="AM70" s="1879"/>
      <c r="AN70" s="1879"/>
      <c r="AO70" s="1879"/>
      <c r="AP70" s="1879"/>
      <c r="AQ70" s="1879"/>
      <c r="AR70" s="1879"/>
      <c r="AS70" s="242"/>
      <c r="AT70" s="1879"/>
      <c r="AU70" s="1879"/>
      <c r="AV70" s="1879"/>
      <c r="AW70" s="1879"/>
      <c r="AX70" s="1879"/>
      <c r="AY70" s="1879"/>
      <c r="AZ70" s="1879"/>
      <c r="BA70" s="1879"/>
      <c r="BB70" s="1879"/>
      <c r="BC70" s="1880"/>
      <c r="BD70" s="1282"/>
      <c r="BE70" s="1282"/>
      <c r="BF70" s="992" t="s">
        <v>642</v>
      </c>
    </row>
    <row customHeight="1" ht="14.625" hidden="1">
      <c r="A71" s="1282"/>
      <c r="B71" s="1389"/>
      <c r="C71" s="1282"/>
      <c r="D71" s="1282"/>
      <c r="E71" s="607">
        <v>15</v>
      </c>
      <c r="F71" s="50" cm="1" t="str">
        <f t="array" ref="F71:F71">OFFSET(E71,-1,1)</f>
        <v>0</v>
      </c>
      <c r="G71" s="1282"/>
      <c r="H71" s="64" t="s">
        <v>522</v>
      </c>
      <c r="I71" s="1282"/>
      <c r="J71" s="1282"/>
      <c r="K71" s="1282"/>
      <c r="L71" s="1282"/>
      <c r="M71" s="1282"/>
      <c r="N71" s="1282"/>
      <c r="O71" s="1282"/>
      <c r="P71" s="1395"/>
      <c r="Q71" s="1395"/>
      <c r="R71" s="1395"/>
      <c r="S71" s="1395"/>
      <c r="T71" s="438" cm="1" t="str">
        <f t="array" ref="T71:T71">T70</f>
        <v>false</v>
      </c>
      <c r="U71" s="1395"/>
      <c r="V71" s="1282"/>
      <c r="W71" s="1395"/>
      <c r="X71" s="1511"/>
      <c r="Y71" s="1493"/>
      <c r="Z71" s="1282"/>
      <c r="AA71" s="1282"/>
      <c r="AB71" s="206" t="s">
        <v>523</v>
      </c>
      <c r="AC71" s="297" t="s">
        <v>556</v>
      </c>
      <c r="AD71" s="59" t="s">
        <v>430</v>
      </c>
      <c r="AE71" s="1791">
        <f>IF(AE66=0,0,AE70/AE66*100)</f>
        <v>0</v>
      </c>
      <c r="AF71" s="1791">
        <f>IF(AF66=0,0,AF70/AF66*100)</f>
        <v>0</v>
      </c>
      <c r="AG71" s="1791">
        <f>IF(AG66=0,0,AG70/AG66*100)</f>
        <v>0</v>
      </c>
      <c r="AH71" s="1791">
        <f>IF(AH66=0,0,AH70/AH66*100)</f>
        <v>0</v>
      </c>
      <c r="AI71" s="107">
        <f>IF(AI66=0,0,AI70/AI66*100)</f>
        <v>0</v>
      </c>
      <c r="AJ71" s="1791">
        <f>IF(AJ66=0,0,AJ70/AJ66*100)</f>
        <v>0</v>
      </c>
      <c r="AK71" s="1791">
        <f>IF(AK66=0,0,AK70/AK66*100)</f>
        <v>0</v>
      </c>
      <c r="AL71" s="1791">
        <f>IF(AL66=0,0,AL70/AL66*100)</f>
        <v>0</v>
      </c>
      <c r="AM71" s="1791">
        <f>IF(AM66=0,0,AM70/AM66*100)</f>
        <v>0</v>
      </c>
      <c r="AN71" s="1791">
        <f>IF(AN66=0,0,AN70/AN66*100)</f>
        <v>0</v>
      </c>
      <c r="AO71" s="1791">
        <f>IF(AO66=0,0,AO70/AO66*100)</f>
        <v>0</v>
      </c>
      <c r="AP71" s="1791">
        <f>IF(AP66=0,0,AP70/AP66*100)</f>
        <v>0</v>
      </c>
      <c r="AQ71" s="1791">
        <f>IF(AQ66=0,0,AQ70/AQ66*100)</f>
        <v>0</v>
      </c>
      <c r="AR71" s="1791">
        <f>IF(AR66=0,0,AR70/AR66*100)</f>
        <v>0</v>
      </c>
      <c r="AS71" s="107">
        <f>IF(AS66=0,0,AS70/AS66*100)</f>
        <v>0</v>
      </c>
      <c r="AT71" s="1791">
        <f>IF(AT66=0,0,AT70/AT66*100)</f>
        <v>0</v>
      </c>
      <c r="AU71" s="1791">
        <f>IF(AU66=0,0,AU70/AU66*100)</f>
        <v>0</v>
      </c>
      <c r="AV71" s="1791">
        <f>IF(AV66=0,0,AV70/AV66*100)</f>
        <v>0</v>
      </c>
      <c r="AW71" s="1791">
        <f>IF(AW66=0,0,AW70/AW66*100)</f>
        <v>0</v>
      </c>
      <c r="AX71" s="1791">
        <f>IF(AX66=0,0,AX70/AX66*100)</f>
        <v>0</v>
      </c>
      <c r="AY71" s="1791">
        <f>IF(AY66=0,0,AY70/AY66*100)</f>
        <v>0</v>
      </c>
      <c r="AZ71" s="1791">
        <f>IF(AZ66=0,0,AZ70/AZ66*100)</f>
        <v>0</v>
      </c>
      <c r="BA71" s="1791">
        <f>IF(BA66=0,0,BA70/BA66*100)</f>
        <v>0</v>
      </c>
      <c r="BB71" s="1791">
        <f>IF(BB66=0,0,BB70/BB66*100)</f>
        <v>0</v>
      </c>
      <c r="BC71" s="1926"/>
      <c r="BD71" s="1282"/>
      <c r="BE71" s="1282"/>
      <c r="BF71" s="992" t="s">
        <v>643</v>
      </c>
    </row>
    <row customHeight="1" ht="14.625" hidden="1">
      <c r="A72" s="1282"/>
      <c r="B72" s="1389"/>
      <c r="C72" s="1282"/>
      <c r="D72" s="1282"/>
      <c r="E72" s="607">
        <v>15</v>
      </c>
      <c r="F72" s="50" cm="1" t="str">
        <f t="array" ref="F72:F72">OFFSET(E72,-1,1)</f>
        <v>0</v>
      </c>
      <c r="G72" s="1282" t="str">
        <f>IF(OwnNeedsInPO="да","ПО","")</f>
        <v/>
      </c>
      <c r="H72" s="64" t="s">
        <v>484</v>
      </c>
      <c r="I72" s="1282"/>
      <c r="J72" s="1282"/>
      <c r="K72" s="1282"/>
      <c r="L72" s="1282"/>
      <c r="M72" s="1282"/>
      <c r="N72" s="1282"/>
      <c r="O72" s="1282"/>
      <c r="P72" s="1395"/>
      <c r="Q72" s="1395"/>
      <c r="R72" s="1395"/>
      <c r="S72" s="1395"/>
      <c r="T72" s="438" cm="1" t="str">
        <f t="array" ref="T72:T72">T71</f>
        <v>false</v>
      </c>
      <c r="U72" s="1395"/>
      <c r="V72" s="1282"/>
      <c r="W72" s="1395"/>
      <c r="X72" s="1511"/>
      <c r="Y72" s="1493"/>
      <c r="Z72" s="1282"/>
      <c r="AA72" s="1282"/>
      <c r="AB72" s="206" t="s">
        <v>530</v>
      </c>
      <c r="AC72" s="301" t="s">
        <v>564</v>
      </c>
      <c r="AD72" s="59" t="s">
        <v>506</v>
      </c>
      <c r="AE72" s="312">
        <f>AE73+AE74</f>
        <v>0</v>
      </c>
      <c r="AF72" s="312">
        <f>AF73+AF74</f>
        <v>0</v>
      </c>
      <c r="AG72" s="312">
        <f>AG73+AG74</f>
        <v>0</v>
      </c>
      <c r="AH72" s="312">
        <f>AH73+AH74</f>
        <v>0</v>
      </c>
      <c r="AI72" s="312">
        <f>AI73+AI74</f>
        <v>0</v>
      </c>
      <c r="AJ72" s="312">
        <f>AJ73+AJ74</f>
        <v>0</v>
      </c>
      <c r="AK72" s="312">
        <f>AK73+AK74</f>
        <v>0</v>
      </c>
      <c r="AL72" s="312">
        <f>AL73+AL74</f>
        <v>0</v>
      </c>
      <c r="AM72" s="312">
        <f>AM73+AM74</f>
        <v>0</v>
      </c>
      <c r="AN72" s="312">
        <f>AN73+AN74</f>
        <v>0</v>
      </c>
      <c r="AO72" s="312">
        <f>AO73+AO74</f>
        <v>0</v>
      </c>
      <c r="AP72" s="312">
        <f>AP73+AP74</f>
        <v>0</v>
      </c>
      <c r="AQ72" s="312">
        <f>AQ73+AQ74</f>
        <v>0</v>
      </c>
      <c r="AR72" s="312">
        <f>AR73+AR74</f>
        <v>0</v>
      </c>
      <c r="AS72" s="312">
        <f>AS73+AS74</f>
        <v>0</v>
      </c>
      <c r="AT72" s="312">
        <f>AT73+AT74</f>
        <v>0</v>
      </c>
      <c r="AU72" s="312">
        <f>AU73+AU74</f>
        <v>0</v>
      </c>
      <c r="AV72" s="312">
        <f>AV73+AV74</f>
        <v>0</v>
      </c>
      <c r="AW72" s="312">
        <f>AW73+AW74</f>
        <v>0</v>
      </c>
      <c r="AX72" s="312">
        <f>AX73+AX74</f>
        <v>0</v>
      </c>
      <c r="AY72" s="312">
        <f>AY73+AY74</f>
        <v>0</v>
      </c>
      <c r="AZ72" s="312">
        <f>AZ73+AZ74</f>
        <v>0</v>
      </c>
      <c r="BA72" s="312">
        <f>BA73+BA74</f>
        <v>0</v>
      </c>
      <c r="BB72" s="312">
        <f>BB73+BB74</f>
        <v>0</v>
      </c>
      <c r="BC72" s="1880"/>
      <c r="BD72" s="1282"/>
      <c r="BE72" s="1282"/>
      <c r="BF72" s="992" t="s">
        <v>644</v>
      </c>
    </row>
    <row customHeight="1" ht="14.625" hidden="1">
      <c r="A73" s="1282"/>
      <c r="B73" s="1389"/>
      <c r="C73" s="1282"/>
      <c r="D73" s="1282"/>
      <c r="E73" s="607">
        <v>15</v>
      </c>
      <c r="F73" s="50" cm="1" t="str">
        <f t="array" ref="F73:F73">OFFSET(E73,-1,1)</f>
        <v>0</v>
      </c>
      <c r="G73" s="1282"/>
      <c r="H73" s="64" t="s">
        <v>645</v>
      </c>
      <c r="I73" s="1282"/>
      <c r="J73" s="1282"/>
      <c r="K73" s="1282"/>
      <c r="L73" s="1282"/>
      <c r="M73" s="1282"/>
      <c r="N73" s="1282"/>
      <c r="O73" s="1282"/>
      <c r="P73" s="1395"/>
      <c r="Q73" s="1395"/>
      <c r="R73" s="1395"/>
      <c r="S73" s="1395"/>
      <c r="T73" s="438" cm="1" t="str">
        <f t="array" ref="T73:T73">T72</f>
        <v>false</v>
      </c>
      <c r="U73" s="1395"/>
      <c r="V73" s="1282"/>
      <c r="W73" s="1395"/>
      <c r="X73" s="1511"/>
      <c r="Y73" s="1493"/>
      <c r="Z73" s="1282"/>
      <c r="AA73" s="1282"/>
      <c r="AB73" s="206" t="s">
        <v>646</v>
      </c>
      <c r="AC73" s="302" t="s">
        <v>568</v>
      </c>
      <c r="AD73" s="59" t="s">
        <v>506</v>
      </c>
      <c r="AE73" s="1879"/>
      <c r="AF73" s="1879"/>
      <c r="AG73" s="1879"/>
      <c r="AH73" s="1879"/>
      <c r="AI73" s="242"/>
      <c r="AJ73" s="1879"/>
      <c r="AK73" s="1879"/>
      <c r="AL73" s="1879"/>
      <c r="AM73" s="1879"/>
      <c r="AN73" s="1879"/>
      <c r="AO73" s="1879"/>
      <c r="AP73" s="1879"/>
      <c r="AQ73" s="1879"/>
      <c r="AR73" s="1879"/>
      <c r="AS73" s="242"/>
      <c r="AT73" s="1879"/>
      <c r="AU73" s="1879"/>
      <c r="AV73" s="1879"/>
      <c r="AW73" s="1879"/>
      <c r="AX73" s="1879"/>
      <c r="AY73" s="1879"/>
      <c r="AZ73" s="1879"/>
      <c r="BA73" s="1879"/>
      <c r="BB73" s="1879"/>
      <c r="BC73" s="1880"/>
      <c r="BD73" s="1282"/>
      <c r="BE73" s="1282"/>
      <c r="BF73" s="992" t="s">
        <v>647</v>
      </c>
    </row>
    <row customHeight="1" ht="14.625" hidden="1">
      <c r="A74" s="1282"/>
      <c r="B74" s="1389"/>
      <c r="C74" s="1282"/>
      <c r="D74" s="1282"/>
      <c r="E74" s="607">
        <v>15</v>
      </c>
      <c r="F74" s="50" cm="1" t="str">
        <f t="array" ref="F74:F74">OFFSET(E74,-1,1)</f>
        <v>0</v>
      </c>
      <c r="G74" s="1282"/>
      <c r="H74" s="64" t="s">
        <v>648</v>
      </c>
      <c r="I74" s="1282"/>
      <c r="J74" s="1282"/>
      <c r="K74" s="1282"/>
      <c r="L74" s="1282"/>
      <c r="M74" s="1282"/>
      <c r="N74" s="1282"/>
      <c r="O74" s="1282"/>
      <c r="P74" s="1395"/>
      <c r="Q74" s="1395"/>
      <c r="R74" s="1395"/>
      <c r="S74" s="1395"/>
      <c r="T74" s="438" cm="1" t="str">
        <f t="array" ref="T74:T74">T73</f>
        <v>false</v>
      </c>
      <c r="U74" s="1395"/>
      <c r="V74" s="1282"/>
      <c r="W74" s="1395"/>
      <c r="X74" s="1511"/>
      <c r="Y74" s="1493"/>
      <c r="Z74" s="1282"/>
      <c r="AA74" s="1282"/>
      <c r="AB74" s="206" t="s">
        <v>649</v>
      </c>
      <c r="AC74" s="302" t="s">
        <v>572</v>
      </c>
      <c r="AD74" s="59" t="s">
        <v>506</v>
      </c>
      <c r="AE74" s="1879"/>
      <c r="AF74" s="1879"/>
      <c r="AG74" s="1879"/>
      <c r="AH74" s="1879"/>
      <c r="AI74" s="242"/>
      <c r="AJ74" s="1879"/>
      <c r="AK74" s="1879"/>
      <c r="AL74" s="1879"/>
      <c r="AM74" s="1879"/>
      <c r="AN74" s="1879"/>
      <c r="AO74" s="1879"/>
      <c r="AP74" s="1879"/>
      <c r="AQ74" s="1879"/>
      <c r="AR74" s="1879"/>
      <c r="AS74" s="242"/>
      <c r="AT74" s="1879"/>
      <c r="AU74" s="1879"/>
      <c r="AV74" s="1879"/>
      <c r="AW74" s="1879"/>
      <c r="AX74" s="1879"/>
      <c r="AY74" s="1879"/>
      <c r="AZ74" s="1879"/>
      <c r="BA74" s="1879"/>
      <c r="BB74" s="1879"/>
      <c r="BC74" s="1880"/>
      <c r="BD74" s="1282"/>
      <c r="BE74" s="1282"/>
      <c r="BF74" s="992" t="s">
        <v>650</v>
      </c>
    </row>
    <row customHeight="1" ht="14.625" hidden="1">
      <c r="A75" s="1282"/>
      <c r="B75" s="1389"/>
      <c r="C75" s="1282"/>
      <c r="D75" s="1282"/>
      <c r="E75" s="607">
        <v>15</v>
      </c>
      <c r="F75" s="50" cm="1" t="str">
        <f t="array" ref="F75:F75">OFFSET(E75,-1,1)</f>
        <v>0</v>
      </c>
      <c r="G75" s="64" t="s">
        <v>578</v>
      </c>
      <c r="H75" s="64" t="s">
        <v>488</v>
      </c>
      <c r="I75" s="1282"/>
      <c r="J75" s="1282"/>
      <c r="K75" s="1282"/>
      <c r="L75" s="1282"/>
      <c r="M75" s="1282"/>
      <c r="N75" s="1282"/>
      <c r="O75" s="1282"/>
      <c r="P75" s="1395"/>
      <c r="Q75" s="1395"/>
      <c r="R75" s="1395"/>
      <c r="S75" s="1395"/>
      <c r="T75" s="438" cm="1" t="str">
        <f t="array" ref="T75:T75">T74</f>
        <v>false</v>
      </c>
      <c r="U75" s="1395"/>
      <c r="V75" s="1282"/>
      <c r="W75" s="1395"/>
      <c r="X75" s="1511"/>
      <c r="Y75" s="1493"/>
      <c r="Z75" s="1282"/>
      <c r="AA75" s="1282"/>
      <c r="AB75" s="206" t="s">
        <v>485</v>
      </c>
      <c r="AC75" s="301" t="s">
        <v>581</v>
      </c>
      <c r="AD75" s="59" t="s">
        <v>506</v>
      </c>
      <c r="AE75" s="312">
        <f>AE76+AE77</f>
        <v>0</v>
      </c>
      <c r="AF75" s="312">
        <f>AF76+AF77</f>
        <v>0</v>
      </c>
      <c r="AG75" s="312">
        <f>AG76+AG77</f>
        <v>0</v>
      </c>
      <c r="AH75" s="312">
        <f>AH76+AH77</f>
        <v>0</v>
      </c>
      <c r="AI75" s="312">
        <f>AI76+AI77</f>
        <v>0</v>
      </c>
      <c r="AJ75" s="312">
        <f>AJ76+AJ77</f>
        <v>0</v>
      </c>
      <c r="AK75" s="312">
        <f>AK76+AK77</f>
        <v>0</v>
      </c>
      <c r="AL75" s="312">
        <f>AL76+AL77</f>
        <v>0</v>
      </c>
      <c r="AM75" s="312">
        <f>AM76+AM77</f>
        <v>0</v>
      </c>
      <c r="AN75" s="312">
        <f>AN76+AN77</f>
        <v>0</v>
      </c>
      <c r="AO75" s="312">
        <f>AO76+AO77</f>
        <v>0</v>
      </c>
      <c r="AP75" s="312">
        <f>AP76+AP77</f>
        <v>0</v>
      </c>
      <c r="AQ75" s="312">
        <f>AQ76+AQ77</f>
        <v>0</v>
      </c>
      <c r="AR75" s="312">
        <f>AR76+AR77</f>
        <v>0</v>
      </c>
      <c r="AS75" s="312">
        <f>AS76+AS77</f>
        <v>0</v>
      </c>
      <c r="AT75" s="312">
        <f>AT76+AT77</f>
        <v>0</v>
      </c>
      <c r="AU75" s="312">
        <f>AU76+AU77</f>
        <v>0</v>
      </c>
      <c r="AV75" s="312">
        <f>AV76+AV77</f>
        <v>0</v>
      </c>
      <c r="AW75" s="312">
        <f>AW76+AW77</f>
        <v>0</v>
      </c>
      <c r="AX75" s="312">
        <f>AX76+AX77</f>
        <v>0</v>
      </c>
      <c r="AY75" s="312">
        <f>AY76+AY77</f>
        <v>0</v>
      </c>
      <c r="AZ75" s="312">
        <f>AZ76+AZ77</f>
        <v>0</v>
      </c>
      <c r="BA75" s="312">
        <f>BA76+BA77</f>
        <v>0</v>
      </c>
      <c r="BB75" s="312">
        <f>BB76+BB77</f>
        <v>0</v>
      </c>
      <c r="BC75" s="1880"/>
      <c r="BD75" s="1282"/>
      <c r="BE75" s="1282"/>
      <c r="BF75" s="992" t="s">
        <v>651</v>
      </c>
    </row>
    <row customHeight="1" ht="14.625" hidden="1">
      <c r="A76" s="1282"/>
      <c r="B76" s="1389"/>
      <c r="C76" s="1282"/>
      <c r="D76" s="1282"/>
      <c r="E76" s="607">
        <v>15</v>
      </c>
      <c r="F76" s="50" cm="1" t="str">
        <f t="array" ref="F76:F76">OFFSET(E76,-1,1)</f>
        <v>0</v>
      </c>
      <c r="G76" s="1282"/>
      <c r="H76" s="64" t="s">
        <v>652</v>
      </c>
      <c r="I76" s="1282"/>
      <c r="J76" s="1282"/>
      <c r="K76" s="1282"/>
      <c r="L76" s="1282"/>
      <c r="M76" s="1282"/>
      <c r="N76" s="1282"/>
      <c r="O76" s="1282"/>
      <c r="P76" s="1395"/>
      <c r="Q76" s="1395"/>
      <c r="R76" s="1395"/>
      <c r="S76" s="1395"/>
      <c r="T76" s="438" cm="1" t="str">
        <f t="array" ref="T76:T76">T75</f>
        <v>false</v>
      </c>
      <c r="U76" s="1395"/>
      <c r="V76" s="1282"/>
      <c r="W76" s="1395"/>
      <c r="X76" s="1511"/>
      <c r="Y76" s="1493"/>
      <c r="Z76" s="1282"/>
      <c r="AA76" s="1282"/>
      <c r="AB76" s="206" t="s">
        <v>653</v>
      </c>
      <c r="AC76" s="302" t="s">
        <v>585</v>
      </c>
      <c r="AD76" s="59" t="s">
        <v>506</v>
      </c>
      <c r="AE76" s="1879"/>
      <c r="AF76" s="1879"/>
      <c r="AG76" s="1879"/>
      <c r="AH76" s="1879"/>
      <c r="AI76" s="242"/>
      <c r="AJ76" s="1879"/>
      <c r="AK76" s="1879"/>
      <c r="AL76" s="1879"/>
      <c r="AM76" s="1879"/>
      <c r="AN76" s="1879"/>
      <c r="AO76" s="1879"/>
      <c r="AP76" s="1879"/>
      <c r="AQ76" s="1879"/>
      <c r="AR76" s="1879"/>
      <c r="AS76" s="242"/>
      <c r="AT76" s="1879"/>
      <c r="AU76" s="1879"/>
      <c r="AV76" s="1879"/>
      <c r="AW76" s="1879"/>
      <c r="AX76" s="1879"/>
      <c r="AY76" s="1879"/>
      <c r="AZ76" s="1879"/>
      <c r="BA76" s="1879"/>
      <c r="BB76" s="1879"/>
      <c r="BC76" s="1880"/>
      <c r="BD76" s="1282"/>
      <c r="BE76" s="1282"/>
      <c r="BF76" s="992" t="s">
        <v>654</v>
      </c>
    </row>
    <row customHeight="1" ht="14.625" hidden="1">
      <c r="A77" s="1282"/>
      <c r="B77" s="1389"/>
      <c r="C77" s="1282"/>
      <c r="D77" s="1282"/>
      <c r="E77" s="607">
        <v>15</v>
      </c>
      <c r="F77" s="50" cm="1" t="str">
        <f t="array" ref="F77:F77">OFFSET(E77,-1,1)</f>
        <v>0</v>
      </c>
      <c r="G77" s="1282"/>
      <c r="H77" s="64" t="s">
        <v>655</v>
      </c>
      <c r="I77" s="1282"/>
      <c r="J77" s="1282"/>
      <c r="K77" s="1282"/>
      <c r="L77" s="1282"/>
      <c r="M77" s="1282"/>
      <c r="N77" s="1282"/>
      <c r="O77" s="1282"/>
      <c r="P77" s="1395"/>
      <c r="Q77" s="1395"/>
      <c r="R77" s="1395"/>
      <c r="S77" s="1395"/>
      <c r="T77" s="438" cm="1" t="str">
        <f t="array" ref="T77:T77">T76</f>
        <v>false</v>
      </c>
      <c r="U77" s="1395"/>
      <c r="V77" s="1282"/>
      <c r="W77" s="1395"/>
      <c r="X77" s="1511"/>
      <c r="Y77" s="1493"/>
      <c r="Z77" s="1282"/>
      <c r="AA77" s="1282"/>
      <c r="AB77" s="206" t="s">
        <v>656</v>
      </c>
      <c r="AC77" s="302" t="s">
        <v>589</v>
      </c>
      <c r="AD77" s="59" t="s">
        <v>506</v>
      </c>
      <c r="AE77" s="1879"/>
      <c r="AF77" s="1879"/>
      <c r="AG77" s="1879"/>
      <c r="AH77" s="1879"/>
      <c r="AI77" s="242"/>
      <c r="AJ77" s="1879"/>
      <c r="AK77" s="1879"/>
      <c r="AL77" s="1879"/>
      <c r="AM77" s="1879"/>
      <c r="AN77" s="1879"/>
      <c r="AO77" s="1879"/>
      <c r="AP77" s="1879"/>
      <c r="AQ77" s="1879"/>
      <c r="AR77" s="1879"/>
      <c r="AS77" s="242"/>
      <c r="AT77" s="1879"/>
      <c r="AU77" s="1879"/>
      <c r="AV77" s="1879"/>
      <c r="AW77" s="1879"/>
      <c r="AX77" s="1879"/>
      <c r="AY77" s="1879"/>
      <c r="AZ77" s="1879"/>
      <c r="BA77" s="1879"/>
      <c r="BB77" s="1879"/>
      <c r="BC77" s="1880"/>
      <c r="BD77" s="1282"/>
      <c r="BE77" s="1282"/>
      <c r="BF77" s="992" t="s">
        <v>657</v>
      </c>
    </row>
    <row customHeight="1" ht="21.9375" hidden="1">
      <c r="A78" s="1282"/>
      <c r="B78" s="1389"/>
      <c r="C78" s="1282"/>
      <c r="D78" s="1282"/>
      <c r="E78" s="607">
        <v>22.5</v>
      </c>
      <c r="F78" s="50" cm="1" t="str">
        <f t="array" ref="F78:F78">OFFSET(E78,-1,1)</f>
        <v>0</v>
      </c>
      <c r="G78" s="1282"/>
      <c r="H78" s="64" t="s">
        <v>535</v>
      </c>
      <c r="I78" s="442"/>
      <c r="J78" s="442"/>
      <c r="K78" s="1282"/>
      <c r="L78" s="1282"/>
      <c r="M78" s="1282"/>
      <c r="N78" s="1282"/>
      <c r="O78" s="1282"/>
      <c r="P78" s="1395"/>
      <c r="Q78" s="1395"/>
      <c r="R78" s="1395"/>
      <c r="S78" s="1395"/>
      <c r="T78" s="438" cm="1" t="str">
        <f t="array" ref="T78:T78">T77</f>
        <v>false</v>
      </c>
      <c r="U78" s="1395"/>
      <c r="V78" s="1282"/>
      <c r="W78" s="1395"/>
      <c r="X78" s="1511"/>
      <c r="Y78" s="1493"/>
      <c r="Z78" s="1282"/>
      <c r="AA78" s="1282"/>
      <c r="AB78" s="206" t="s">
        <v>489</v>
      </c>
      <c r="AC78" s="303" t="s">
        <v>628</v>
      </c>
      <c r="AD78" s="59" t="s">
        <v>506</v>
      </c>
      <c r="AE78" s="1879"/>
      <c r="AF78" s="1879"/>
      <c r="AG78" s="1879"/>
      <c r="AH78" s="1879"/>
      <c r="AI78" s="242"/>
      <c r="AJ78" s="1879"/>
      <c r="AK78" s="1879"/>
      <c r="AL78" s="1879"/>
      <c r="AM78" s="1879"/>
      <c r="AN78" s="1879"/>
      <c r="AO78" s="1879"/>
      <c r="AP78" s="1879"/>
      <c r="AQ78" s="1879"/>
      <c r="AR78" s="1879"/>
      <c r="AS78" s="242"/>
      <c r="AT78" s="1879"/>
      <c r="AU78" s="1879"/>
      <c r="AV78" s="1879"/>
      <c r="AW78" s="1879"/>
      <c r="AX78" s="1879"/>
      <c r="AY78" s="1879"/>
      <c r="AZ78" s="1879"/>
      <c r="BA78" s="1879"/>
      <c r="BB78" s="1879"/>
      <c r="BC78" s="1880"/>
      <c r="BD78" s="1282"/>
      <c r="BE78" s="1282"/>
      <c r="BF78" s="992" t="s">
        <v>658</v>
      </c>
    </row>
    <row customHeight="1" ht="14.625" hidden="1">
      <c r="A79" s="1282"/>
      <c r="B79" s="1389"/>
      <c r="C79" s="1282"/>
      <c r="D79" s="1282"/>
      <c r="E79" s="607">
        <v>15</v>
      </c>
      <c r="F79" s="315" cm="1" t="str">
        <f t="array" ref="F79:F79">OFFSET(E79,-1,1)</f>
        <v>0</v>
      </c>
      <c r="G79" s="1282"/>
      <c r="H79" s="1282"/>
      <c r="I79" s="1282"/>
      <c r="J79" s="1282"/>
      <c r="K79" s="1282"/>
      <c r="L79" s="1282"/>
      <c r="M79" s="1282"/>
      <c r="N79" s="1282"/>
      <c r="O79" s="1282"/>
      <c r="P79" s="1395"/>
      <c r="Q79" s="1395"/>
      <c r="R79" s="1395"/>
      <c r="S79" s="1395"/>
      <c r="T79" s="438" cm="1" t="str">
        <f t="array" ref="T79:T79">T78</f>
        <v>false</v>
      </c>
      <c r="U79" s="1395"/>
      <c r="V79" s="1282"/>
      <c r="W79" s="1395"/>
      <c r="X79" s="1511"/>
      <c r="Y79" s="1493"/>
      <c r="Z79" s="1282"/>
      <c r="AA79" s="1282"/>
      <c r="AB79" s="206" t="s">
        <v>630</v>
      </c>
      <c r="AC79" s="300" t="s">
        <v>631</v>
      </c>
      <c r="AD79" s="59" t="s">
        <v>506</v>
      </c>
      <c r="AE79" s="1879"/>
      <c r="AF79" s="1879"/>
      <c r="AG79" s="1879"/>
      <c r="AH79" s="1879"/>
      <c r="AI79" s="242"/>
      <c r="AJ79" s="1879"/>
      <c r="AK79" s="1879"/>
      <c r="AL79" s="1879"/>
      <c r="AM79" s="1879"/>
      <c r="AN79" s="1879"/>
      <c r="AO79" s="1879"/>
      <c r="AP79" s="1879"/>
      <c r="AQ79" s="1879"/>
      <c r="AR79" s="1879"/>
      <c r="AS79" s="242"/>
      <c r="AT79" s="1879"/>
      <c r="AU79" s="1879"/>
      <c r="AV79" s="1879"/>
      <c r="AW79" s="1879"/>
      <c r="AX79" s="1879"/>
      <c r="AY79" s="1879"/>
      <c r="AZ79" s="1879"/>
      <c r="BA79" s="1879"/>
      <c r="BB79" s="1879"/>
      <c r="BC79" s="1880"/>
      <c r="BD79" s="1282"/>
      <c r="BE79" s="1282"/>
      <c r="BF79" s="992" t="s">
        <v>659</v>
      </c>
    </row>
    <row s="1624" customFormat="1" customHeight="1" ht="11.25" hidden="1">
      <c r="A80" s="442"/>
      <c r="B80" s="634"/>
      <c r="C80" s="442"/>
      <c r="D80" s="442"/>
      <c r="E80" s="636" t="s">
        <v>362</v>
      </c>
      <c r="F80" s="1153" cm="1" t="str">
        <f t="array" ref="F80:F80">OFFSET(E80,-1,1)</f>
        <v>0</v>
      </c>
      <c r="G80" s="442"/>
      <c r="H80" s="442"/>
      <c r="I80" s="1624"/>
      <c r="J80" s="1624"/>
      <c r="K80" s="64"/>
      <c r="L80" s="442"/>
      <c r="M80" s="442"/>
      <c r="N80" s="442"/>
      <c r="O80" s="442"/>
      <c r="P80" s="442"/>
      <c r="Q80" s="442"/>
      <c r="R80" s="387"/>
      <c r="S80" s="442"/>
      <c r="T80" s="438" t="b">
        <v>0</v>
      </c>
      <c r="U80" s="442"/>
      <c r="V80" s="442"/>
      <c r="W80" s="442"/>
      <c r="X80" s="1511"/>
      <c r="Y80" s="1493"/>
      <c r="Z80" s="442"/>
      <c r="AA80" s="442"/>
      <c r="AB80" s="1624"/>
      <c r="AC80" s="66"/>
      <c r="AD80" s="66"/>
      <c r="AE80" s="310"/>
      <c r="AF80" s="310"/>
      <c r="AG80" s="310"/>
      <c r="AH80" s="310"/>
      <c r="AI80" s="310"/>
      <c r="AJ80" s="311"/>
      <c r="AK80" s="310"/>
      <c r="AL80" s="310"/>
      <c r="AM80" s="310"/>
      <c r="AN80" s="310"/>
      <c r="AO80" s="310"/>
      <c r="AP80" s="310"/>
      <c r="AQ80" s="310"/>
      <c r="AR80" s="310"/>
      <c r="AS80" s="310"/>
      <c r="AT80" s="310"/>
      <c r="AU80" s="310"/>
      <c r="AV80" s="310"/>
      <c r="AW80" s="310"/>
      <c r="AX80" s="310"/>
      <c r="AY80" s="310"/>
      <c r="AZ80" s="310"/>
      <c r="BA80" s="310"/>
      <c r="BB80" s="310"/>
      <c r="BC80" s="1624"/>
      <c r="BD80" s="1624"/>
      <c r="BE80" s="1624"/>
      <c r="BF80" s="996"/>
    </row>
    <row customHeight="1" ht="14.625" hidden="1">
      <c r="A81" s="1282"/>
      <c r="B81" s="1389"/>
      <c r="C81" s="1282"/>
      <c r="D81" s="1282"/>
      <c r="E81" s="607">
        <v>15</v>
      </c>
      <c r="F81" s="50" cm="1" t="str">
        <f t="array" ref="F81:F81">OFFSET(E81,-1,1)</f>
        <v>0</v>
      </c>
      <c r="G81" s="1282"/>
      <c r="H81" s="1282"/>
      <c r="I81" s="1282"/>
      <c r="J81" s="1282"/>
      <c r="K81" s="1282"/>
      <c r="L81" s="1282"/>
      <c r="M81" s="1282"/>
      <c r="N81" s="1282"/>
      <c r="O81" s="1282"/>
      <c r="P81" s="1395"/>
      <c r="Q81" s="1395"/>
      <c r="R81" s="387" cm="1" t="str">
        <f t="array" ref="R81:R81">INDEX('Общие сведения'!$AN$179:$AN$208,MATCH($X27,'Общие сведения'!$Z$179:$Z$208,0))</f>
        <v>true</v>
      </c>
      <c r="S81" s="455">
        <f>IF(ISERROR(SEARCH("Водоотведение",AB27)),FALSE,TRUE)</f>
        <v>0</v>
      </c>
      <c r="T81" s="438">
        <f>AND(X27&gt;0,S81,NOT(R81))</f>
        <v>0</v>
      </c>
      <c r="U81" s="1395"/>
      <c r="V81" s="1282"/>
      <c r="W81" s="1395"/>
      <c r="X81" s="1511"/>
      <c r="Y81" s="1493"/>
      <c r="Z81" s="1282"/>
      <c r="AA81" s="1282"/>
      <c r="AB81" s="206" t="s">
        <v>281</v>
      </c>
      <c r="AC81" s="103" t="s">
        <v>660</v>
      </c>
      <c r="AD81" s="163"/>
      <c r="AE81" s="544" cm="1" t="str">
        <f t="array" ref="AE81:AE81">INDEX('Общие сведения'!$AH$179:$AH$208,MATCH($X27,'Общие сведения'!$Z$179:$Z$208,0))</f>
        <v>0</v>
      </c>
      <c r="AF81" s="328"/>
      <c r="AG81" s="328"/>
      <c r="AH81" s="328"/>
      <c r="AI81" s="328"/>
      <c r="AJ81" s="328"/>
      <c r="AK81" s="328"/>
      <c r="AL81" s="328"/>
      <c r="AM81" s="328"/>
      <c r="AN81" s="328"/>
      <c r="AO81" s="328"/>
      <c r="AP81" s="328"/>
      <c r="AQ81" s="328"/>
      <c r="AR81" s="328"/>
      <c r="AS81" s="328"/>
      <c r="AT81" s="328"/>
      <c r="AU81" s="328"/>
      <c r="AV81" s="328"/>
      <c r="AW81" s="328"/>
      <c r="AX81" s="328"/>
      <c r="AY81" s="328"/>
      <c r="AZ81" s="328"/>
      <c r="BA81" s="328"/>
      <c r="BB81" s="329"/>
      <c r="BC81" s="1880"/>
      <c r="BD81" s="1282"/>
      <c r="BE81" s="1282"/>
      <c r="BF81" s="992" t="s">
        <v>661</v>
      </c>
    </row>
    <row customHeight="1" ht="14.625" hidden="1">
      <c r="A82" s="1282"/>
      <c r="B82" s="1389"/>
      <c r="C82" s="1282"/>
      <c r="D82" s="1282"/>
      <c r="E82" s="607">
        <v>15</v>
      </c>
      <c r="F82" s="50" cm="1" t="str">
        <f t="array" ref="F82:F82">OFFSET(E82,-1,1)</f>
        <v>0</v>
      </c>
      <c r="G82" s="1282"/>
      <c r="H82" s="64" t="s">
        <v>325</v>
      </c>
      <c r="I82" s="1282"/>
      <c r="J82" s="1282"/>
      <c r="K82" s="1282"/>
      <c r="L82" s="1282"/>
      <c r="M82" s="1282"/>
      <c r="N82" s="1282"/>
      <c r="O82" s="1282"/>
      <c r="P82" s="1395"/>
      <c r="Q82" s="1395"/>
      <c r="R82" s="1395"/>
      <c r="S82" s="1395"/>
      <c r="T82" s="438" cm="1" t="str">
        <f t="array" ref="T82:T82">T81</f>
        <v>false</v>
      </c>
      <c r="U82" s="1395"/>
      <c r="V82" s="1282"/>
      <c r="W82" s="1395"/>
      <c r="X82" s="1511"/>
      <c r="Y82" s="1493"/>
      <c r="Z82" s="1282"/>
      <c r="AA82" s="1282"/>
      <c r="AB82" s="206" t="s">
        <v>504</v>
      </c>
      <c r="AC82" s="103" t="s">
        <v>662</v>
      </c>
      <c r="AD82" s="59" t="s">
        <v>506</v>
      </c>
      <c r="AE82" s="313">
        <f>AE83+AE84+AE97</f>
        <v>0</v>
      </c>
      <c r="AF82" s="313">
        <f>AF83+AF84+AF97</f>
        <v>0</v>
      </c>
      <c r="AG82" s="313">
        <f>AG83+AG84+AG97</f>
        <v>0</v>
      </c>
      <c r="AH82" s="313">
        <f>AH83+AH84+AH97</f>
        <v>0</v>
      </c>
      <c r="AI82" s="313">
        <f>AI83+AI84+AI97</f>
        <v>0</v>
      </c>
      <c r="AJ82" s="313">
        <f>AJ83+AJ84+AJ97</f>
        <v>0</v>
      </c>
      <c r="AK82" s="313">
        <f>AK83+AK84+AK97</f>
        <v>0</v>
      </c>
      <c r="AL82" s="313">
        <f>AL83+AL84+AL97</f>
        <v>0</v>
      </c>
      <c r="AM82" s="313">
        <f>AM83+AM84+AM97</f>
        <v>0</v>
      </c>
      <c r="AN82" s="313">
        <f>AN83+AN84+AN97</f>
        <v>0</v>
      </c>
      <c r="AO82" s="313">
        <f>AO83+AO84+AO97</f>
        <v>0</v>
      </c>
      <c r="AP82" s="313">
        <f>AP83+AP84+AP97</f>
        <v>0</v>
      </c>
      <c r="AQ82" s="313">
        <f>AQ83+AQ84+AQ97</f>
        <v>0</v>
      </c>
      <c r="AR82" s="313">
        <f>AR83+AR84+AR97</f>
        <v>0</v>
      </c>
      <c r="AS82" s="313">
        <f>AS83+AS84+AS97</f>
        <v>0</v>
      </c>
      <c r="AT82" s="313">
        <f>AT83+AT84+AT97</f>
        <v>0</v>
      </c>
      <c r="AU82" s="313">
        <f>AU83+AU84+AU97</f>
        <v>0</v>
      </c>
      <c r="AV82" s="313">
        <f>AV83+AV84+AV97</f>
        <v>0</v>
      </c>
      <c r="AW82" s="313">
        <f>AW83+AW84+AW97</f>
        <v>0</v>
      </c>
      <c r="AX82" s="313">
        <f>AX83+AX84+AX97</f>
        <v>0</v>
      </c>
      <c r="AY82" s="313">
        <f>AY83+AY84+AY97</f>
        <v>0</v>
      </c>
      <c r="AZ82" s="313">
        <f>AZ83+AZ84+AZ97</f>
        <v>0</v>
      </c>
      <c r="BA82" s="313">
        <f>BA83+BA84+BA97</f>
        <v>0</v>
      </c>
      <c r="BB82" s="313">
        <f>BB83+BB84+BB97</f>
        <v>0</v>
      </c>
      <c r="BC82" s="1880"/>
      <c r="BD82" s="1282"/>
      <c r="BE82" s="1282"/>
      <c r="BF82" s="992" t="s">
        <v>663</v>
      </c>
    </row>
    <row customHeight="1" ht="14.625" hidden="1">
      <c r="A83" s="1282"/>
      <c r="B83" s="1389"/>
      <c r="C83" s="1282"/>
      <c r="D83" s="1282"/>
      <c r="E83" s="607">
        <v>15</v>
      </c>
      <c r="F83" s="50" cm="1" t="str">
        <f t="array" ref="F83:F83">OFFSET(E83,-1,1)</f>
        <v>0</v>
      </c>
      <c r="G83" s="64" t="str">
        <f>IF(OwnNeedsInPO="да","ПО","")</f>
        <v/>
      </c>
      <c r="H83" s="64" t="s">
        <v>324</v>
      </c>
      <c r="I83" s="1282"/>
      <c r="J83" s="1282"/>
      <c r="K83" s="1282"/>
      <c r="L83" s="1282"/>
      <c r="M83" s="1282"/>
      <c r="N83" s="1282"/>
      <c r="O83" s="1282"/>
      <c r="P83" s="1395"/>
      <c r="Q83" s="1395"/>
      <c r="R83" s="1395"/>
      <c r="S83" s="1395"/>
      <c r="T83" s="438" cm="1" t="str">
        <f t="array" ref="T83:T83">T82</f>
        <v>false</v>
      </c>
      <c r="U83" s="1395"/>
      <c r="V83" s="1282"/>
      <c r="W83" s="1395"/>
      <c r="X83" s="1511"/>
      <c r="Y83" s="1493"/>
      <c r="Z83" s="1282"/>
      <c r="AA83" s="1282"/>
      <c r="AB83" s="206" t="s">
        <v>319</v>
      </c>
      <c r="AC83" s="103" t="s">
        <v>664</v>
      </c>
      <c r="AD83" s="59" t="s">
        <v>506</v>
      </c>
      <c r="AE83" s="1879"/>
      <c r="AF83" s="1879"/>
      <c r="AG83" s="1879"/>
      <c r="AH83" s="1879"/>
      <c r="AI83" s="242"/>
      <c r="AJ83" s="1879"/>
      <c r="AK83" s="1879"/>
      <c r="AL83" s="1879"/>
      <c r="AM83" s="1879"/>
      <c r="AN83" s="1879"/>
      <c r="AO83" s="1879"/>
      <c r="AP83" s="1879"/>
      <c r="AQ83" s="1879"/>
      <c r="AR83" s="1879"/>
      <c r="AS83" s="242"/>
      <c r="AT83" s="1879"/>
      <c r="AU83" s="1879"/>
      <c r="AV83" s="1879"/>
      <c r="AW83" s="1879"/>
      <c r="AX83" s="1879"/>
      <c r="AY83" s="1879"/>
      <c r="AZ83" s="1879"/>
      <c r="BA83" s="1879"/>
      <c r="BB83" s="1879"/>
      <c r="BC83" s="1880"/>
      <c r="BD83" s="1282"/>
      <c r="BE83" s="1282"/>
      <c r="BF83" s="992" t="s">
        <v>665</v>
      </c>
    </row>
    <row customHeight="1" ht="14.625" hidden="1">
      <c r="A84" s="1282"/>
      <c r="B84" s="1389"/>
      <c r="C84" s="1282"/>
      <c r="D84" s="1282"/>
      <c r="E84" s="607">
        <v>15</v>
      </c>
      <c r="F84" s="50" cm="1" t="str">
        <f t="array" ref="F84:F84">OFFSET(E84,-1,1)</f>
        <v>0</v>
      </c>
      <c r="G84" s="64" t="s">
        <v>578</v>
      </c>
      <c r="H84" s="64" t="s">
        <v>484</v>
      </c>
      <c r="I84" s="1282"/>
      <c r="J84" s="1282"/>
      <c r="K84" s="1282"/>
      <c r="L84" s="1282"/>
      <c r="M84" s="1282"/>
      <c r="N84" s="1282"/>
      <c r="O84" s="1282"/>
      <c r="P84" s="1395"/>
      <c r="Q84" s="1395"/>
      <c r="R84" s="1395"/>
      <c r="S84" s="1395"/>
      <c r="T84" s="438" cm="1" t="str">
        <f t="array" ref="T84:T84">T83</f>
        <v>false</v>
      </c>
      <c r="U84" s="1395"/>
      <c r="V84" s="1282"/>
      <c r="W84" s="1395"/>
      <c r="X84" s="1511"/>
      <c r="Y84" s="1493"/>
      <c r="Z84" s="1282"/>
      <c r="AA84" s="1282"/>
      <c r="AB84" s="206" t="s">
        <v>530</v>
      </c>
      <c r="AC84" s="104" t="s">
        <v>666</v>
      </c>
      <c r="AD84" s="59" t="s">
        <v>506</v>
      </c>
      <c r="AE84" s="312">
        <f>AE85+AE88+AE91+AE94</f>
        <v>0</v>
      </c>
      <c r="AF84" s="312">
        <f>AF85+AF88+AF91+AF94</f>
        <v>0</v>
      </c>
      <c r="AG84" s="312">
        <f>AG85+AG88+AG91+AG94</f>
        <v>0</v>
      </c>
      <c r="AH84" s="312">
        <f>AH85+AH88+AH91+AH94</f>
        <v>0</v>
      </c>
      <c r="AI84" s="312">
        <f>AI85+AI88+AI91+AI94</f>
        <v>0</v>
      </c>
      <c r="AJ84" s="312">
        <f>AJ85+AJ88+AJ91+AJ94</f>
        <v>0</v>
      </c>
      <c r="AK84" s="312">
        <f>AK85+AK88+AK91+AK94</f>
        <v>0</v>
      </c>
      <c r="AL84" s="312">
        <f>AL85+AL88+AL91+AL94</f>
        <v>0</v>
      </c>
      <c r="AM84" s="312">
        <f>AM85+AM88+AM91+AM94</f>
        <v>0</v>
      </c>
      <c r="AN84" s="312">
        <f>AN85+AN88+AN91+AN94</f>
        <v>0</v>
      </c>
      <c r="AO84" s="312">
        <f>AO85+AO88+AO91+AO94</f>
        <v>0</v>
      </c>
      <c r="AP84" s="312">
        <f>AP85+AP88+AP91+AP94</f>
        <v>0</v>
      </c>
      <c r="AQ84" s="312">
        <f>AQ85+AQ88+AQ91+AQ94</f>
        <v>0</v>
      </c>
      <c r="AR84" s="312">
        <f>AR85+AR88+AR91+AR94</f>
        <v>0</v>
      </c>
      <c r="AS84" s="312">
        <f>AS85+AS88+AS91+AS94</f>
        <v>0</v>
      </c>
      <c r="AT84" s="312">
        <f>AT85+AT88+AT91+AT94</f>
        <v>0</v>
      </c>
      <c r="AU84" s="312">
        <f>AU85+AU88+AU91+AU94</f>
        <v>0</v>
      </c>
      <c r="AV84" s="312">
        <f>AV85+AV88+AV91+AV94</f>
        <v>0</v>
      </c>
      <c r="AW84" s="312">
        <f>AW85+AW88+AW91+AW94</f>
        <v>0</v>
      </c>
      <c r="AX84" s="312">
        <f>AX85+AX88+AX91+AX94</f>
        <v>0</v>
      </c>
      <c r="AY84" s="312">
        <f>AY85+AY88+AY91+AY94</f>
        <v>0</v>
      </c>
      <c r="AZ84" s="312">
        <f>AZ85+AZ88+AZ91+AZ94</f>
        <v>0</v>
      </c>
      <c r="BA84" s="312">
        <f>BA85+BA88+BA91+BA94</f>
        <v>0</v>
      </c>
      <c r="BB84" s="312">
        <f>BB85+BB88+BB91+BB94</f>
        <v>0</v>
      </c>
      <c r="BC84" s="1880"/>
      <c r="BD84" s="1282"/>
      <c r="BE84" s="1282"/>
      <c r="BF84" s="992" t="s">
        <v>667</v>
      </c>
    </row>
    <row customHeight="1" ht="14.625" hidden="1">
      <c r="A85" s="1282"/>
      <c r="B85" s="1389"/>
      <c r="C85" s="1282"/>
      <c r="D85" s="1282"/>
      <c r="E85" s="607">
        <v>15</v>
      </c>
      <c r="F85" s="50" cm="1" t="str">
        <f t="array" ref="F85:F85">OFFSET(E85,-1,1)</f>
        <v>0</v>
      </c>
      <c r="G85" s="1282"/>
      <c r="H85" s="64" t="s">
        <v>645</v>
      </c>
      <c r="I85" s="1282"/>
      <c r="J85" s="1282"/>
      <c r="K85" s="1282"/>
      <c r="L85" s="1282"/>
      <c r="M85" s="1282"/>
      <c r="N85" s="1282"/>
      <c r="O85" s="1282"/>
      <c r="P85" s="1395"/>
      <c r="Q85" s="1395"/>
      <c r="R85" s="1395"/>
      <c r="S85" s="1395"/>
      <c r="T85" s="438" cm="1" t="str">
        <f t="array" ref="T85:T85">T84</f>
        <v>false</v>
      </c>
      <c r="U85" s="1395"/>
      <c r="V85" s="1282"/>
      <c r="W85" s="1395"/>
      <c r="X85" s="1511"/>
      <c r="Y85" s="1493"/>
      <c r="Z85" s="1282"/>
      <c r="AA85" s="1282"/>
      <c r="AB85" s="206" t="s">
        <v>646</v>
      </c>
      <c r="AC85" s="158" t="s">
        <v>597</v>
      </c>
      <c r="AD85" s="59" t="s">
        <v>506</v>
      </c>
      <c r="AE85" s="312">
        <f>AE86+AE87</f>
        <v>0</v>
      </c>
      <c r="AF85" s="312">
        <f>AF86+AF87</f>
        <v>0</v>
      </c>
      <c r="AG85" s="312">
        <f>AG86+AG87</f>
        <v>0</v>
      </c>
      <c r="AH85" s="312">
        <f>AH86+AH87</f>
        <v>0</v>
      </c>
      <c r="AI85" s="312">
        <f>AI86+AI87</f>
        <v>0</v>
      </c>
      <c r="AJ85" s="312">
        <f>AJ86+AJ87</f>
        <v>0</v>
      </c>
      <c r="AK85" s="312">
        <f>AK86+AK87</f>
        <v>0</v>
      </c>
      <c r="AL85" s="312">
        <f>AL86+AL87</f>
        <v>0</v>
      </c>
      <c r="AM85" s="312">
        <f>AM86+AM87</f>
        <v>0</v>
      </c>
      <c r="AN85" s="312">
        <f>AN86+AN87</f>
        <v>0</v>
      </c>
      <c r="AO85" s="312">
        <f>AO86+AO87</f>
        <v>0</v>
      </c>
      <c r="AP85" s="312">
        <f>AP86+AP87</f>
        <v>0</v>
      </c>
      <c r="AQ85" s="312">
        <f>AQ86+AQ87</f>
        <v>0</v>
      </c>
      <c r="AR85" s="312">
        <f>AR86+AR87</f>
        <v>0</v>
      </c>
      <c r="AS85" s="312">
        <f>AS86+AS87</f>
        <v>0</v>
      </c>
      <c r="AT85" s="312">
        <f>AT86+AT87</f>
        <v>0</v>
      </c>
      <c r="AU85" s="312">
        <f>AU86+AU87</f>
        <v>0</v>
      </c>
      <c r="AV85" s="312">
        <f>AV86+AV87</f>
        <v>0</v>
      </c>
      <c r="AW85" s="312">
        <f>AW86+AW87</f>
        <v>0</v>
      </c>
      <c r="AX85" s="312">
        <f>AX86+AX87</f>
        <v>0</v>
      </c>
      <c r="AY85" s="312">
        <f>AY86+AY87</f>
        <v>0</v>
      </c>
      <c r="AZ85" s="312">
        <f>AZ86+AZ87</f>
        <v>0</v>
      </c>
      <c r="BA85" s="312">
        <f>BA86+BA87</f>
        <v>0</v>
      </c>
      <c r="BB85" s="312">
        <f>BB86+BB87</f>
        <v>0</v>
      </c>
      <c r="BC85" s="1880"/>
      <c r="BD85" s="1282"/>
      <c r="BE85" s="1282"/>
      <c r="BF85" s="992" t="s">
        <v>668</v>
      </c>
    </row>
    <row customHeight="1" ht="14.625" hidden="1">
      <c r="A86" s="1282"/>
      <c r="B86" s="1389"/>
      <c r="C86" s="1282"/>
      <c r="D86" s="1282"/>
      <c r="E86" s="607">
        <v>15</v>
      </c>
      <c r="F86" s="50" cm="1" t="str">
        <f t="array" ref="F86:F86">OFFSET(E86,-1,1)</f>
        <v>0</v>
      </c>
      <c r="G86" s="1282"/>
      <c r="H86" s="64" t="s">
        <v>669</v>
      </c>
      <c r="I86" s="1282"/>
      <c r="J86" s="1282"/>
      <c r="K86" s="1282"/>
      <c r="L86" s="1282"/>
      <c r="M86" s="1282"/>
      <c r="N86" s="1282"/>
      <c r="O86" s="1282"/>
      <c r="P86" s="1395"/>
      <c r="Q86" s="1395"/>
      <c r="R86" s="1395"/>
      <c r="S86" s="1395"/>
      <c r="T86" s="438" cm="1" t="str">
        <f t="array" ref="T86:T86">T85</f>
        <v>false</v>
      </c>
      <c r="U86" s="1395"/>
      <c r="V86" s="1282"/>
      <c r="W86" s="1395"/>
      <c r="X86" s="1511"/>
      <c r="Y86" s="1493"/>
      <c r="Z86" s="1282"/>
      <c r="AA86" s="1282"/>
      <c r="AB86" s="206" t="s">
        <v>670</v>
      </c>
      <c r="AC86" s="304" t="s">
        <v>585</v>
      </c>
      <c r="AD86" s="59" t="s">
        <v>506</v>
      </c>
      <c r="AE86" s="1879"/>
      <c r="AF86" s="1879"/>
      <c r="AG86" s="1879"/>
      <c r="AH86" s="1879"/>
      <c r="AI86" s="242"/>
      <c r="AJ86" s="1879"/>
      <c r="AK86" s="1879"/>
      <c r="AL86" s="1879"/>
      <c r="AM86" s="1879"/>
      <c r="AN86" s="1879"/>
      <c r="AO86" s="1879"/>
      <c r="AP86" s="1879"/>
      <c r="AQ86" s="1879"/>
      <c r="AR86" s="1879"/>
      <c r="AS86" s="242"/>
      <c r="AT86" s="1879"/>
      <c r="AU86" s="1879"/>
      <c r="AV86" s="1879"/>
      <c r="AW86" s="1879"/>
      <c r="AX86" s="1879"/>
      <c r="AY86" s="1879"/>
      <c r="AZ86" s="1879"/>
      <c r="BA86" s="1879"/>
      <c r="BB86" s="1879"/>
      <c r="BC86" s="1880"/>
      <c r="BD86" s="1282"/>
      <c r="BE86" s="1282"/>
      <c r="BF86" s="992" t="s">
        <v>671</v>
      </c>
    </row>
    <row customHeight="1" ht="14.625" hidden="1">
      <c r="A87" s="1282"/>
      <c r="B87" s="1389"/>
      <c r="C87" s="1282"/>
      <c r="D87" s="1282"/>
      <c r="E87" s="607">
        <v>15</v>
      </c>
      <c r="F87" s="50" cm="1" t="str">
        <f t="array" ref="F87:F87">OFFSET(E87,-1,1)</f>
        <v>0</v>
      </c>
      <c r="G87" s="1282"/>
      <c r="H87" s="64" t="s">
        <v>672</v>
      </c>
      <c r="I87" s="1282"/>
      <c r="J87" s="1282"/>
      <c r="K87" s="1282"/>
      <c r="L87" s="1282"/>
      <c r="M87" s="1282"/>
      <c r="N87" s="1282"/>
      <c r="O87" s="1282"/>
      <c r="P87" s="1395"/>
      <c r="Q87" s="1395"/>
      <c r="R87" s="1395"/>
      <c r="S87" s="1395"/>
      <c r="T87" s="438" cm="1" t="str">
        <f t="array" ref="T87:T87">T86</f>
        <v>false</v>
      </c>
      <c r="U87" s="1395"/>
      <c r="V87" s="1282"/>
      <c r="W87" s="1395"/>
      <c r="X87" s="1511"/>
      <c r="Y87" s="1493"/>
      <c r="Z87" s="1282"/>
      <c r="AA87" s="1282"/>
      <c r="AB87" s="206" t="s">
        <v>673</v>
      </c>
      <c r="AC87" s="304" t="s">
        <v>589</v>
      </c>
      <c r="AD87" s="59" t="s">
        <v>506</v>
      </c>
      <c r="AE87" s="1879"/>
      <c r="AF87" s="1879"/>
      <c r="AG87" s="1879"/>
      <c r="AH87" s="1879"/>
      <c r="AI87" s="242"/>
      <c r="AJ87" s="1879"/>
      <c r="AK87" s="1879"/>
      <c r="AL87" s="1879"/>
      <c r="AM87" s="1879"/>
      <c r="AN87" s="1879"/>
      <c r="AO87" s="1879"/>
      <c r="AP87" s="1879"/>
      <c r="AQ87" s="1879"/>
      <c r="AR87" s="1879"/>
      <c r="AS87" s="242"/>
      <c r="AT87" s="1879"/>
      <c r="AU87" s="1879"/>
      <c r="AV87" s="1879"/>
      <c r="AW87" s="1879"/>
      <c r="AX87" s="1879"/>
      <c r="AY87" s="1879"/>
      <c r="AZ87" s="1879"/>
      <c r="BA87" s="1879"/>
      <c r="BB87" s="1879"/>
      <c r="BC87" s="1880"/>
      <c r="BD87" s="1282"/>
      <c r="BE87" s="1282"/>
      <c r="BF87" s="992" t="s">
        <v>674</v>
      </c>
    </row>
    <row customHeight="1" ht="14.625" hidden="1">
      <c r="A88" s="1282"/>
      <c r="B88" s="1389"/>
      <c r="C88" s="1282"/>
      <c r="D88" s="1282"/>
      <c r="E88" s="607">
        <v>15</v>
      </c>
      <c r="F88" s="50" cm="1" t="str">
        <f t="array" ref="F88:F88">OFFSET(E88,-1,1)</f>
        <v>0</v>
      </c>
      <c r="G88" s="64" t="s">
        <v>605</v>
      </c>
      <c r="H88" s="64" t="s">
        <v>648</v>
      </c>
      <c r="I88" s="1282"/>
      <c r="J88" s="1282"/>
      <c r="K88" s="1282"/>
      <c r="L88" s="1282"/>
      <c r="M88" s="1282"/>
      <c r="N88" s="1282"/>
      <c r="O88" s="1282"/>
      <c r="P88" s="1395"/>
      <c r="Q88" s="1395"/>
      <c r="R88" s="1395"/>
      <c r="S88" s="1395"/>
      <c r="T88" s="438" cm="1" t="str">
        <f t="array" ref="T88:T88">T87</f>
        <v>false</v>
      </c>
      <c r="U88" s="1395"/>
      <c r="V88" s="1282"/>
      <c r="W88" s="1395"/>
      <c r="X88" s="1511"/>
      <c r="Y88" s="1493"/>
      <c r="Z88" s="1282"/>
      <c r="AA88" s="1282"/>
      <c r="AB88" s="206" t="s">
        <v>649</v>
      </c>
      <c r="AC88" s="158" t="s">
        <v>608</v>
      </c>
      <c r="AD88" s="59" t="s">
        <v>506</v>
      </c>
      <c r="AE88" s="312">
        <f>AE89+AE90</f>
        <v>0</v>
      </c>
      <c r="AF88" s="312">
        <f>AF89+AF90</f>
        <v>0</v>
      </c>
      <c r="AG88" s="312">
        <f>AG89+AG90</f>
        <v>0</v>
      </c>
      <c r="AH88" s="312">
        <f>AH89+AH90</f>
        <v>0</v>
      </c>
      <c r="AI88" s="312">
        <f>AI89+AI90</f>
        <v>0</v>
      </c>
      <c r="AJ88" s="312">
        <f>AJ89+AJ90</f>
        <v>0</v>
      </c>
      <c r="AK88" s="312">
        <f>AK89+AK90</f>
        <v>0</v>
      </c>
      <c r="AL88" s="312">
        <f>AL89+AL90</f>
        <v>0</v>
      </c>
      <c r="AM88" s="312">
        <f>AM89+AM90</f>
        <v>0</v>
      </c>
      <c r="AN88" s="312">
        <f>AN89+AN90</f>
        <v>0</v>
      </c>
      <c r="AO88" s="312">
        <f>AO89+AO90</f>
        <v>0</v>
      </c>
      <c r="AP88" s="312">
        <f>AP89+AP90</f>
        <v>0</v>
      </c>
      <c r="AQ88" s="312">
        <f>AQ89+AQ90</f>
        <v>0</v>
      </c>
      <c r="AR88" s="312">
        <f>AR89+AR90</f>
        <v>0</v>
      </c>
      <c r="AS88" s="312">
        <f>AS89+AS90</f>
        <v>0</v>
      </c>
      <c r="AT88" s="312">
        <f>AT89+AT90</f>
        <v>0</v>
      </c>
      <c r="AU88" s="312">
        <f>AU89+AU90</f>
        <v>0</v>
      </c>
      <c r="AV88" s="312">
        <f>AV89+AV90</f>
        <v>0</v>
      </c>
      <c r="AW88" s="312">
        <f>AW89+AW90</f>
        <v>0</v>
      </c>
      <c r="AX88" s="312">
        <f>AX89+AX90</f>
        <v>0</v>
      </c>
      <c r="AY88" s="312">
        <f>AY89+AY90</f>
        <v>0</v>
      </c>
      <c r="AZ88" s="312">
        <f>AZ89+AZ90</f>
        <v>0</v>
      </c>
      <c r="BA88" s="312">
        <f>BA89+BA90</f>
        <v>0</v>
      </c>
      <c r="BB88" s="312">
        <f>BB89+BB90</f>
        <v>0</v>
      </c>
      <c r="BC88" s="1880"/>
      <c r="BD88" s="1282"/>
      <c r="BE88" s="1282"/>
      <c r="BF88" s="992" t="s">
        <v>675</v>
      </c>
    </row>
    <row customHeight="1" ht="14.625" hidden="1">
      <c r="A89" s="1282"/>
      <c r="B89" s="1389"/>
      <c r="C89" s="1282"/>
      <c r="D89" s="1282"/>
      <c r="E89" s="607">
        <v>15</v>
      </c>
      <c r="F89" s="50" cm="1" t="str">
        <f t="array" ref="F89:F89">OFFSET(E89,-1,1)</f>
        <v>0</v>
      </c>
      <c r="G89" s="1282"/>
      <c r="H89" s="64" t="s">
        <v>676</v>
      </c>
      <c r="I89" s="1282"/>
      <c r="J89" s="1282"/>
      <c r="K89" s="1282"/>
      <c r="L89" s="1282"/>
      <c r="M89" s="1282"/>
      <c r="N89" s="1282"/>
      <c r="O89" s="1282"/>
      <c r="P89" s="1395"/>
      <c r="Q89" s="1395"/>
      <c r="R89" s="1395"/>
      <c r="S89" s="1395"/>
      <c r="T89" s="438" cm="1" t="str">
        <f t="array" ref="T89:T89">T88</f>
        <v>false</v>
      </c>
      <c r="U89" s="1395"/>
      <c r="V89" s="1282"/>
      <c r="W89" s="1395"/>
      <c r="X89" s="1511"/>
      <c r="Y89" s="1493"/>
      <c r="Z89" s="1282"/>
      <c r="AA89" s="1282"/>
      <c r="AB89" s="206" t="s">
        <v>677</v>
      </c>
      <c r="AC89" s="304" t="s">
        <v>585</v>
      </c>
      <c r="AD89" s="59" t="s">
        <v>506</v>
      </c>
      <c r="AE89" s="1879"/>
      <c r="AF89" s="1879"/>
      <c r="AG89" s="1879"/>
      <c r="AH89" s="1879"/>
      <c r="AI89" s="242"/>
      <c r="AJ89" s="1879"/>
      <c r="AK89" s="1879"/>
      <c r="AL89" s="1879"/>
      <c r="AM89" s="1879"/>
      <c r="AN89" s="1879"/>
      <c r="AO89" s="1879"/>
      <c r="AP89" s="1879"/>
      <c r="AQ89" s="1879"/>
      <c r="AR89" s="1879"/>
      <c r="AS89" s="242"/>
      <c r="AT89" s="1879"/>
      <c r="AU89" s="1879"/>
      <c r="AV89" s="1879"/>
      <c r="AW89" s="1879"/>
      <c r="AX89" s="1879"/>
      <c r="AY89" s="1879"/>
      <c r="AZ89" s="1879"/>
      <c r="BA89" s="1879"/>
      <c r="BB89" s="1879"/>
      <c r="BC89" s="1880"/>
      <c r="BD89" s="1282"/>
      <c r="BE89" s="1282"/>
      <c r="BF89" s="992" t="s">
        <v>678</v>
      </c>
    </row>
    <row customHeight="1" ht="14.625" hidden="1">
      <c r="A90" s="1282"/>
      <c r="B90" s="1389"/>
      <c r="C90" s="1282"/>
      <c r="D90" s="1282"/>
      <c r="E90" s="607">
        <v>15</v>
      </c>
      <c r="F90" s="50" cm="1" t="str">
        <f t="array" ref="F90:F90">OFFSET(E90,-1,1)</f>
        <v>0</v>
      </c>
      <c r="G90" s="1282"/>
      <c r="H90" s="64" t="s">
        <v>679</v>
      </c>
      <c r="I90" s="1282"/>
      <c r="J90" s="1282"/>
      <c r="K90" s="1282"/>
      <c r="L90" s="1282"/>
      <c r="M90" s="1282"/>
      <c r="N90" s="1282"/>
      <c r="O90" s="1282"/>
      <c r="P90" s="1395"/>
      <c r="Q90" s="1395"/>
      <c r="R90" s="1395"/>
      <c r="S90" s="1395"/>
      <c r="T90" s="438" cm="1" t="str">
        <f t="array" ref="T90:T90">T89</f>
        <v>false</v>
      </c>
      <c r="U90" s="1395"/>
      <c r="V90" s="1282"/>
      <c r="W90" s="1395"/>
      <c r="X90" s="1511"/>
      <c r="Y90" s="1493"/>
      <c r="Z90" s="1282"/>
      <c r="AA90" s="1282"/>
      <c r="AB90" s="206" t="s">
        <v>680</v>
      </c>
      <c r="AC90" s="304" t="s">
        <v>589</v>
      </c>
      <c r="AD90" s="59" t="s">
        <v>506</v>
      </c>
      <c r="AE90" s="1879"/>
      <c r="AF90" s="1879"/>
      <c r="AG90" s="1879"/>
      <c r="AH90" s="1879"/>
      <c r="AI90" s="242"/>
      <c r="AJ90" s="1879"/>
      <c r="AK90" s="1879"/>
      <c r="AL90" s="1879"/>
      <c r="AM90" s="1879"/>
      <c r="AN90" s="1879"/>
      <c r="AO90" s="1879"/>
      <c r="AP90" s="1879"/>
      <c r="AQ90" s="1879"/>
      <c r="AR90" s="1879"/>
      <c r="AS90" s="242"/>
      <c r="AT90" s="1879"/>
      <c r="AU90" s="1879"/>
      <c r="AV90" s="1879"/>
      <c r="AW90" s="1879"/>
      <c r="AX90" s="1879"/>
      <c r="AY90" s="1879"/>
      <c r="AZ90" s="1879"/>
      <c r="BA90" s="1879"/>
      <c r="BB90" s="1879"/>
      <c r="BC90" s="1880"/>
      <c r="BD90" s="1282"/>
      <c r="BE90" s="1282"/>
      <c r="BF90" s="992" t="s">
        <v>681</v>
      </c>
    </row>
    <row customHeight="1" ht="14.625" hidden="1">
      <c r="A91" s="1282"/>
      <c r="B91" s="1389"/>
      <c r="C91" s="1282"/>
      <c r="D91" s="1282"/>
      <c r="E91" s="607">
        <v>15</v>
      </c>
      <c r="F91" s="50" cm="1" t="str">
        <f t="array" ref="F91:F91">OFFSET(E91,-1,1)</f>
        <v>0</v>
      </c>
      <c r="G91" s="1282"/>
      <c r="H91" s="64" t="s">
        <v>682</v>
      </c>
      <c r="I91" s="1282"/>
      <c r="J91" s="1282"/>
      <c r="K91" s="1282"/>
      <c r="L91" s="1282"/>
      <c r="M91" s="1282"/>
      <c r="N91" s="1282"/>
      <c r="O91" s="1282"/>
      <c r="P91" s="1395"/>
      <c r="Q91" s="1395"/>
      <c r="R91" s="1395"/>
      <c r="S91" s="1395"/>
      <c r="T91" s="438" cm="1" t="str">
        <f t="array" ref="T91:T91">T90</f>
        <v>false</v>
      </c>
      <c r="U91" s="1395"/>
      <c r="V91" s="1282"/>
      <c r="W91" s="1395"/>
      <c r="X91" s="1511"/>
      <c r="Y91" s="1493"/>
      <c r="Z91" s="1282"/>
      <c r="AA91" s="1282"/>
      <c r="AB91" s="206" t="s">
        <v>683</v>
      </c>
      <c r="AC91" s="158" t="s">
        <v>618</v>
      </c>
      <c r="AD91" s="59" t="s">
        <v>506</v>
      </c>
      <c r="AE91" s="312">
        <f>AE92+AE93</f>
        <v>0</v>
      </c>
      <c r="AF91" s="312">
        <f>AF92+AF93</f>
        <v>0</v>
      </c>
      <c r="AG91" s="312">
        <f>AG92+AG93</f>
        <v>0</v>
      </c>
      <c r="AH91" s="312">
        <f>AH92+AH93</f>
        <v>0</v>
      </c>
      <c r="AI91" s="312">
        <f>AI92+AI93</f>
        <v>0</v>
      </c>
      <c r="AJ91" s="312">
        <f>AJ92+AJ93</f>
        <v>0</v>
      </c>
      <c r="AK91" s="312">
        <f>AK92+AK93</f>
        <v>0</v>
      </c>
      <c r="AL91" s="312">
        <f>AL92+AL93</f>
        <v>0</v>
      </c>
      <c r="AM91" s="312">
        <f>AM92+AM93</f>
        <v>0</v>
      </c>
      <c r="AN91" s="312">
        <f>AN92+AN93</f>
        <v>0</v>
      </c>
      <c r="AO91" s="312">
        <f>AO92+AO93</f>
        <v>0</v>
      </c>
      <c r="AP91" s="312">
        <f>AP92+AP93</f>
        <v>0</v>
      </c>
      <c r="AQ91" s="312">
        <f>AQ92+AQ93</f>
        <v>0</v>
      </c>
      <c r="AR91" s="312">
        <f>AR92+AR93</f>
        <v>0</v>
      </c>
      <c r="AS91" s="312">
        <f>AS92+AS93</f>
        <v>0</v>
      </c>
      <c r="AT91" s="312">
        <f>AT92+AT93</f>
        <v>0</v>
      </c>
      <c r="AU91" s="312">
        <f>AU92+AU93</f>
        <v>0</v>
      </c>
      <c r="AV91" s="312">
        <f>AV92+AV93</f>
        <v>0</v>
      </c>
      <c r="AW91" s="312">
        <f>AW92+AW93</f>
        <v>0</v>
      </c>
      <c r="AX91" s="312">
        <f>AX92+AX93</f>
        <v>0</v>
      </c>
      <c r="AY91" s="312">
        <f>AY92+AY93</f>
        <v>0</v>
      </c>
      <c r="AZ91" s="312">
        <f>AZ92+AZ93</f>
        <v>0</v>
      </c>
      <c r="BA91" s="312">
        <f>BA92+BA93</f>
        <v>0</v>
      </c>
      <c r="BB91" s="312">
        <f>BB92+BB93</f>
        <v>0</v>
      </c>
      <c r="BC91" s="1880"/>
      <c r="BD91" s="1282"/>
      <c r="BE91" s="1282"/>
      <c r="BF91" s="992" t="s">
        <v>684</v>
      </c>
    </row>
    <row customHeight="1" ht="14.625" hidden="1">
      <c r="A92" s="1282"/>
      <c r="B92" s="1389"/>
      <c r="C92" s="1282"/>
      <c r="D92" s="1282"/>
      <c r="E92" s="607">
        <v>15</v>
      </c>
      <c r="F92" s="50" cm="1" t="str">
        <f t="array" ref="F92:F92">OFFSET(E92,-1,1)</f>
        <v>0</v>
      </c>
      <c r="G92" s="1282"/>
      <c r="H92" s="64" t="s">
        <v>685</v>
      </c>
      <c r="I92" s="1282"/>
      <c r="J92" s="1282"/>
      <c r="K92" s="1282"/>
      <c r="L92" s="1282"/>
      <c r="M92" s="1282"/>
      <c r="N92" s="1282"/>
      <c r="O92" s="1282"/>
      <c r="P92" s="1395"/>
      <c r="Q92" s="1395"/>
      <c r="R92" s="1395"/>
      <c r="S92" s="1395"/>
      <c r="T92" s="438" cm="1" t="str">
        <f t="array" ref="T92:T92">T91</f>
        <v>false</v>
      </c>
      <c r="U92" s="1395"/>
      <c r="V92" s="1282"/>
      <c r="W92" s="1395"/>
      <c r="X92" s="1511"/>
      <c r="Y92" s="1493"/>
      <c r="Z92" s="1282"/>
      <c r="AA92" s="1282"/>
      <c r="AB92" s="206" t="s">
        <v>686</v>
      </c>
      <c r="AC92" s="304" t="s">
        <v>585</v>
      </c>
      <c r="AD92" s="59" t="s">
        <v>506</v>
      </c>
      <c r="AE92" s="1879"/>
      <c r="AF92" s="1879"/>
      <c r="AG92" s="1879"/>
      <c r="AH92" s="1879"/>
      <c r="AI92" s="242"/>
      <c r="AJ92" s="1879"/>
      <c r="AK92" s="1879"/>
      <c r="AL92" s="1879"/>
      <c r="AM92" s="1879"/>
      <c r="AN92" s="1879"/>
      <c r="AO92" s="1879"/>
      <c r="AP92" s="1879"/>
      <c r="AQ92" s="1879"/>
      <c r="AR92" s="1879"/>
      <c r="AS92" s="242"/>
      <c r="AT92" s="1879"/>
      <c r="AU92" s="1879"/>
      <c r="AV92" s="1879"/>
      <c r="AW92" s="1879"/>
      <c r="AX92" s="1879"/>
      <c r="AY92" s="1879"/>
      <c r="AZ92" s="1879"/>
      <c r="BA92" s="1879"/>
      <c r="BB92" s="1879"/>
      <c r="BC92" s="1880"/>
      <c r="BD92" s="1282"/>
      <c r="BE92" s="1282"/>
      <c r="BF92" s="992" t="s">
        <v>687</v>
      </c>
    </row>
    <row customHeight="1" ht="14.625" hidden="1">
      <c r="A93" s="1282"/>
      <c r="B93" s="1389"/>
      <c r="C93" s="1282"/>
      <c r="D93" s="1282"/>
      <c r="E93" s="607">
        <v>15</v>
      </c>
      <c r="F93" s="50" cm="1" t="str">
        <f t="array" ref="F93:F93">OFFSET(E93,-1,1)</f>
        <v>0</v>
      </c>
      <c r="G93" s="1282"/>
      <c r="H93" s="64" t="s">
        <v>688</v>
      </c>
      <c r="I93" s="1282"/>
      <c r="J93" s="1282"/>
      <c r="K93" s="1282"/>
      <c r="L93" s="1282"/>
      <c r="M93" s="1282"/>
      <c r="N93" s="1282"/>
      <c r="O93" s="1282"/>
      <c r="P93" s="1395"/>
      <c r="Q93" s="1395"/>
      <c r="R93" s="1395"/>
      <c r="S93" s="1395"/>
      <c r="T93" s="438" cm="1" t="str">
        <f t="array" ref="T93:T93">T92</f>
        <v>false</v>
      </c>
      <c r="U93" s="1395"/>
      <c r="V93" s="1282"/>
      <c r="W93" s="1395"/>
      <c r="X93" s="1511"/>
      <c r="Y93" s="1493"/>
      <c r="Z93" s="1282"/>
      <c r="AA93" s="1282"/>
      <c r="AB93" s="206" t="s">
        <v>689</v>
      </c>
      <c r="AC93" s="304" t="s">
        <v>589</v>
      </c>
      <c r="AD93" s="59" t="s">
        <v>506</v>
      </c>
      <c r="AE93" s="1879"/>
      <c r="AF93" s="1879"/>
      <c r="AG93" s="1879"/>
      <c r="AH93" s="1879"/>
      <c r="AI93" s="242"/>
      <c r="AJ93" s="1879"/>
      <c r="AK93" s="1879"/>
      <c r="AL93" s="1879"/>
      <c r="AM93" s="1879"/>
      <c r="AN93" s="1879"/>
      <c r="AO93" s="1879"/>
      <c r="AP93" s="1879"/>
      <c r="AQ93" s="1879"/>
      <c r="AR93" s="1879"/>
      <c r="AS93" s="242"/>
      <c r="AT93" s="1879"/>
      <c r="AU93" s="1879"/>
      <c r="AV93" s="1879"/>
      <c r="AW93" s="1879"/>
      <c r="AX93" s="1879"/>
      <c r="AY93" s="1879"/>
      <c r="AZ93" s="1879"/>
      <c r="BA93" s="1879"/>
      <c r="BB93" s="1879"/>
      <c r="BC93" s="1880"/>
      <c r="BD93" s="1282"/>
      <c r="BE93" s="1282"/>
      <c r="BF93" s="992" t="s">
        <v>690</v>
      </c>
    </row>
    <row customHeight="1" ht="14.625" hidden="1">
      <c r="A94" s="1282"/>
      <c r="B94" s="1389"/>
      <c r="C94" s="1282"/>
      <c r="D94" s="1282"/>
      <c r="E94" s="607">
        <v>15</v>
      </c>
      <c r="F94" s="50" cm="1" t="str">
        <f t="array" ref="F94:F94">OFFSET(E94,-1,1)</f>
        <v>0</v>
      </c>
      <c r="G94" s="1282"/>
      <c r="H94" s="64" t="s">
        <v>691</v>
      </c>
      <c r="I94" s="1282"/>
      <c r="J94" s="1282"/>
      <c r="K94" s="1282"/>
      <c r="L94" s="1282"/>
      <c r="M94" s="1282"/>
      <c r="N94" s="1282"/>
      <c r="O94" s="1282"/>
      <c r="P94" s="1395"/>
      <c r="Q94" s="1395"/>
      <c r="R94" s="1395"/>
      <c r="S94" s="1395"/>
      <c r="T94" s="438" cm="1" t="str">
        <f t="array" ref="T94:T94">T93</f>
        <v>false</v>
      </c>
      <c r="U94" s="1395"/>
      <c r="V94" s="1282"/>
      <c r="W94" s="1395"/>
      <c r="X94" s="1511"/>
      <c r="Y94" s="1493"/>
      <c r="Z94" s="1282"/>
      <c r="AA94" s="1282"/>
      <c r="AB94" s="206" t="s">
        <v>692</v>
      </c>
      <c r="AC94" s="158" t="s">
        <v>693</v>
      </c>
      <c r="AD94" s="59" t="s">
        <v>506</v>
      </c>
      <c r="AE94" s="312">
        <f>AE95+AE96</f>
        <v>0</v>
      </c>
      <c r="AF94" s="312">
        <f>AF95+AF96</f>
        <v>0</v>
      </c>
      <c r="AG94" s="312">
        <f>AG95+AG96</f>
        <v>0</v>
      </c>
      <c r="AH94" s="312">
        <f>AH95+AH96</f>
        <v>0</v>
      </c>
      <c r="AI94" s="312">
        <f>AI95+AI96</f>
        <v>0</v>
      </c>
      <c r="AJ94" s="312">
        <f>AJ95+AJ96</f>
        <v>0</v>
      </c>
      <c r="AK94" s="312">
        <f>AK95+AK96</f>
        <v>0</v>
      </c>
      <c r="AL94" s="312">
        <f>AL95+AL96</f>
        <v>0</v>
      </c>
      <c r="AM94" s="312">
        <f>AM95+AM96</f>
        <v>0</v>
      </c>
      <c r="AN94" s="312">
        <f>AN95+AN96</f>
        <v>0</v>
      </c>
      <c r="AO94" s="312">
        <f>AO95+AO96</f>
        <v>0</v>
      </c>
      <c r="AP94" s="312">
        <f>AP95+AP96</f>
        <v>0</v>
      </c>
      <c r="AQ94" s="312">
        <f>AQ95+AQ96</f>
        <v>0</v>
      </c>
      <c r="AR94" s="312">
        <f>AR95+AR96</f>
        <v>0</v>
      </c>
      <c r="AS94" s="312">
        <f>AS95+AS96</f>
        <v>0</v>
      </c>
      <c r="AT94" s="312">
        <f>AT95+AT96</f>
        <v>0</v>
      </c>
      <c r="AU94" s="312">
        <f>AU95+AU96</f>
        <v>0</v>
      </c>
      <c r="AV94" s="312">
        <f>AV95+AV96</f>
        <v>0</v>
      </c>
      <c r="AW94" s="312">
        <f>AW95+AW96</f>
        <v>0</v>
      </c>
      <c r="AX94" s="312">
        <f>AX95+AX96</f>
        <v>0</v>
      </c>
      <c r="AY94" s="312">
        <f>AY95+AY96</f>
        <v>0</v>
      </c>
      <c r="AZ94" s="312">
        <f>AZ95+AZ96</f>
        <v>0</v>
      </c>
      <c r="BA94" s="312">
        <f>BA95+BA96</f>
        <v>0</v>
      </c>
      <c r="BB94" s="312">
        <f>BB95+BB96</f>
        <v>0</v>
      </c>
      <c r="BC94" s="1880"/>
      <c r="BD94" s="1282"/>
      <c r="BE94" s="1282"/>
      <c r="BF94" s="992" t="s">
        <v>694</v>
      </c>
    </row>
    <row customHeight="1" ht="14.625" hidden="1">
      <c r="A95" s="1282"/>
      <c r="B95" s="1389"/>
      <c r="C95" s="1282"/>
      <c r="D95" s="1282"/>
      <c r="E95" s="607">
        <v>15</v>
      </c>
      <c r="F95" s="50" cm="1" t="str">
        <f t="array" ref="F95:F95">OFFSET(E95,-1,1)</f>
        <v>0</v>
      </c>
      <c r="G95" s="1282"/>
      <c r="H95" s="64" t="s">
        <v>695</v>
      </c>
      <c r="I95" s="1282"/>
      <c r="J95" s="1282"/>
      <c r="K95" s="1282"/>
      <c r="L95" s="1282"/>
      <c r="M95" s="1282"/>
      <c r="N95" s="1282"/>
      <c r="O95" s="1282"/>
      <c r="P95" s="1395"/>
      <c r="Q95" s="1395"/>
      <c r="R95" s="1395"/>
      <c r="S95" s="1395"/>
      <c r="T95" s="438" cm="1" t="str">
        <f t="array" ref="T95:T95">T94</f>
        <v>false</v>
      </c>
      <c r="U95" s="1395"/>
      <c r="V95" s="1282"/>
      <c r="W95" s="1395"/>
      <c r="X95" s="1511"/>
      <c r="Y95" s="1493"/>
      <c r="Z95" s="1282"/>
      <c r="AA95" s="1282"/>
      <c r="AB95" s="206" t="s">
        <v>696</v>
      </c>
      <c r="AC95" s="298" t="s">
        <v>585</v>
      </c>
      <c r="AD95" s="59" t="s">
        <v>506</v>
      </c>
      <c r="AE95" s="1879"/>
      <c r="AF95" s="1879"/>
      <c r="AG95" s="1879"/>
      <c r="AH95" s="1879"/>
      <c r="AI95" s="242"/>
      <c r="AJ95" s="1879"/>
      <c r="AK95" s="1879"/>
      <c r="AL95" s="1879"/>
      <c r="AM95" s="1879"/>
      <c r="AN95" s="1879"/>
      <c r="AO95" s="1879"/>
      <c r="AP95" s="1879"/>
      <c r="AQ95" s="1879"/>
      <c r="AR95" s="1879"/>
      <c r="AS95" s="242"/>
      <c r="AT95" s="1879"/>
      <c r="AU95" s="1879"/>
      <c r="AV95" s="1879"/>
      <c r="AW95" s="1879"/>
      <c r="AX95" s="1879"/>
      <c r="AY95" s="1879"/>
      <c r="AZ95" s="1879"/>
      <c r="BA95" s="1879"/>
      <c r="BB95" s="1879"/>
      <c r="BC95" s="1880"/>
      <c r="BD95" s="1282"/>
      <c r="BE95" s="1282"/>
      <c r="BF95" s="992" t="s">
        <v>697</v>
      </c>
    </row>
    <row customHeight="1" ht="14.625" hidden="1">
      <c r="A96" s="1282"/>
      <c r="B96" s="1389"/>
      <c r="C96" s="1282"/>
      <c r="D96" s="1282"/>
      <c r="E96" s="607">
        <v>15</v>
      </c>
      <c r="F96" s="50" cm="1" t="str">
        <f t="array" ref="F96:F96">OFFSET(E96,-1,1)</f>
        <v>0</v>
      </c>
      <c r="G96" s="1282"/>
      <c r="H96" s="64" t="s">
        <v>698</v>
      </c>
      <c r="I96" s="1282"/>
      <c r="J96" s="1282"/>
      <c r="K96" s="1282"/>
      <c r="L96" s="1282"/>
      <c r="M96" s="1282"/>
      <c r="N96" s="1282"/>
      <c r="O96" s="1282"/>
      <c r="P96" s="1395"/>
      <c r="Q96" s="1395"/>
      <c r="R96" s="1395"/>
      <c r="S96" s="1395"/>
      <c r="T96" s="438" cm="1" t="str">
        <f t="array" ref="T96:T96">T95</f>
        <v>false</v>
      </c>
      <c r="U96" s="1395"/>
      <c r="V96" s="1282"/>
      <c r="W96" s="1395"/>
      <c r="X96" s="1511"/>
      <c r="Y96" s="1493"/>
      <c r="Z96" s="1282"/>
      <c r="AA96" s="1282"/>
      <c r="AB96" s="206" t="s">
        <v>699</v>
      </c>
      <c r="AC96" s="298" t="s">
        <v>589</v>
      </c>
      <c r="AD96" s="59" t="s">
        <v>506</v>
      </c>
      <c r="AE96" s="1879"/>
      <c r="AF96" s="1879"/>
      <c r="AG96" s="1879"/>
      <c r="AH96" s="1879"/>
      <c r="AI96" s="242"/>
      <c r="AJ96" s="1879"/>
      <c r="AK96" s="1879"/>
      <c r="AL96" s="1879"/>
      <c r="AM96" s="1879"/>
      <c r="AN96" s="1879"/>
      <c r="AO96" s="1879"/>
      <c r="AP96" s="1879"/>
      <c r="AQ96" s="1879"/>
      <c r="AR96" s="1879"/>
      <c r="AS96" s="242"/>
      <c r="AT96" s="1879"/>
      <c r="AU96" s="1879"/>
      <c r="AV96" s="1879"/>
      <c r="AW96" s="1879"/>
      <c r="AX96" s="1879"/>
      <c r="AY96" s="1879"/>
      <c r="AZ96" s="1879"/>
      <c r="BA96" s="1879"/>
      <c r="BB96" s="1879"/>
      <c r="BC96" s="1880"/>
      <c r="BD96" s="1282"/>
      <c r="BE96" s="1282"/>
      <c r="BF96" s="992" t="s">
        <v>700</v>
      </c>
    </row>
    <row customHeight="1" ht="21.9375" hidden="1">
      <c r="A97" s="1282"/>
      <c r="B97" s="1389"/>
      <c r="C97" s="1282"/>
      <c r="D97" s="1282"/>
      <c r="E97" s="607">
        <v>22.5</v>
      </c>
      <c r="F97" s="50" cm="1" t="str">
        <f t="array" ref="F97:F97">OFFSET(E97,-1,1)</f>
        <v>0</v>
      </c>
      <c r="G97" s="1282"/>
      <c r="H97" s="64" t="s">
        <v>701</v>
      </c>
      <c r="I97" s="1282"/>
      <c r="J97" s="1282"/>
      <c r="K97" s="1282"/>
      <c r="L97" s="1282"/>
      <c r="M97" s="1282"/>
      <c r="N97" s="1282"/>
      <c r="O97" s="1282"/>
      <c r="P97" s="1395"/>
      <c r="Q97" s="1395"/>
      <c r="R97" s="1395"/>
      <c r="S97" s="1395"/>
      <c r="T97" s="438" cm="1" t="str">
        <f t="array" ref="T97:T97">T96</f>
        <v>false</v>
      </c>
      <c r="U97" s="1395"/>
      <c r="V97" s="1282"/>
      <c r="W97" s="1395"/>
      <c r="X97" s="1511"/>
      <c r="Y97" s="1493"/>
      <c r="Z97" s="1282"/>
      <c r="AA97" s="1282"/>
      <c r="AB97" s="206" t="s">
        <v>702</v>
      </c>
      <c r="AC97" s="305" t="s">
        <v>548</v>
      </c>
      <c r="AD97" s="59" t="s">
        <v>506</v>
      </c>
      <c r="AE97" s="1879"/>
      <c r="AF97" s="1879"/>
      <c r="AG97" s="1879"/>
      <c r="AH97" s="1879"/>
      <c r="AI97" s="242"/>
      <c r="AJ97" s="1879"/>
      <c r="AK97" s="1879"/>
      <c r="AL97" s="1879"/>
      <c r="AM97" s="1879"/>
      <c r="AN97" s="1879"/>
      <c r="AO97" s="1879"/>
      <c r="AP97" s="1879"/>
      <c r="AQ97" s="1879"/>
      <c r="AR97" s="1879"/>
      <c r="AS97" s="242"/>
      <c r="AT97" s="1879"/>
      <c r="AU97" s="1879"/>
      <c r="AV97" s="1879"/>
      <c r="AW97" s="1879"/>
      <c r="AX97" s="1879"/>
      <c r="AY97" s="1879"/>
      <c r="AZ97" s="1879"/>
      <c r="BA97" s="1879"/>
      <c r="BB97" s="1879"/>
      <c r="BC97" s="1880"/>
      <c r="BD97" s="1282"/>
      <c r="BE97" s="1282"/>
      <c r="BF97" s="992" t="s">
        <v>703</v>
      </c>
    </row>
    <row customHeight="1" ht="14.625" hidden="1">
      <c r="A98" s="1282"/>
      <c r="B98" s="1389"/>
      <c r="C98" s="1282"/>
      <c r="D98" s="1282"/>
      <c r="E98" s="607">
        <v>15</v>
      </c>
      <c r="F98" s="50" cm="1" t="str">
        <f t="array" ref="F98:F98">OFFSET(E98,-1,1)</f>
        <v>0</v>
      </c>
      <c r="G98" s="1282"/>
      <c r="H98" s="64" t="s">
        <v>488</v>
      </c>
      <c r="I98" s="1282"/>
      <c r="J98" s="1282"/>
      <c r="K98" s="1282"/>
      <c r="L98" s="1282"/>
      <c r="M98" s="1282"/>
      <c r="N98" s="1282"/>
      <c r="O98" s="1282"/>
      <c r="P98" s="1395"/>
      <c r="Q98" s="1395"/>
      <c r="R98" s="1395"/>
      <c r="S98" s="1395"/>
      <c r="T98" s="438" cm="1" t="str">
        <f t="array" ref="T98:T98">T97</f>
        <v>false</v>
      </c>
      <c r="U98" s="1395"/>
      <c r="V98" s="1282"/>
      <c r="W98" s="1395"/>
      <c r="X98" s="1511"/>
      <c r="Y98" s="1493"/>
      <c r="Z98" s="1282"/>
      <c r="AA98" s="1282"/>
      <c r="AB98" s="206" t="s">
        <v>485</v>
      </c>
      <c r="AC98" s="103" t="s">
        <v>704</v>
      </c>
      <c r="AD98" s="59" t="s">
        <v>506</v>
      </c>
      <c r="AE98" s="1879"/>
      <c r="AF98" s="1879"/>
      <c r="AG98" s="1879"/>
      <c r="AH98" s="1879"/>
      <c r="AI98" s="242"/>
      <c r="AJ98" s="1879"/>
      <c r="AK98" s="1879"/>
      <c r="AL98" s="1879"/>
      <c r="AM98" s="1879"/>
      <c r="AN98" s="1879"/>
      <c r="AO98" s="1879"/>
      <c r="AP98" s="1879"/>
      <c r="AQ98" s="1879"/>
      <c r="AR98" s="1879"/>
      <c r="AS98" s="242"/>
      <c r="AT98" s="1879"/>
      <c r="AU98" s="1879"/>
      <c r="AV98" s="1879"/>
      <c r="AW98" s="1879"/>
      <c r="AX98" s="1879"/>
      <c r="AY98" s="1879"/>
      <c r="AZ98" s="1879"/>
      <c r="BA98" s="1879"/>
      <c r="BB98" s="1879"/>
      <c r="BC98" s="1880"/>
      <c r="BD98" s="1282"/>
      <c r="BE98" s="1282"/>
      <c r="BF98" s="992" t="s">
        <v>705</v>
      </c>
    </row>
    <row customHeight="1" ht="14.625" hidden="1">
      <c r="A99" s="1282"/>
      <c r="B99" s="1389"/>
      <c r="C99" s="1282"/>
      <c r="D99" s="1282"/>
      <c r="E99" s="607">
        <v>15</v>
      </c>
      <c r="F99" s="50" cm="1" t="str">
        <f t="array" ref="F99:F99">OFFSET(E99,-1,1)</f>
        <v>0</v>
      </c>
      <c r="G99" s="1282"/>
      <c r="H99" s="64" t="s">
        <v>535</v>
      </c>
      <c r="I99" s="1282"/>
      <c r="J99" s="1282"/>
      <c r="K99" s="1282"/>
      <c r="L99" s="1282"/>
      <c r="M99" s="1282"/>
      <c r="N99" s="1282"/>
      <c r="O99" s="1282"/>
      <c r="P99" s="1395"/>
      <c r="Q99" s="1395"/>
      <c r="R99" s="1395"/>
      <c r="S99" s="1395"/>
      <c r="T99" s="438" cm="1" t="str">
        <f t="array" ref="T99:T99">T98</f>
        <v>false</v>
      </c>
      <c r="U99" s="1395"/>
      <c r="V99" s="1282"/>
      <c r="W99" s="1395"/>
      <c r="X99" s="1511"/>
      <c r="Y99" s="1493"/>
      <c r="Z99" s="1282"/>
      <c r="AA99" s="1282"/>
      <c r="AB99" s="206" t="s">
        <v>489</v>
      </c>
      <c r="AC99" s="103" t="s">
        <v>706</v>
      </c>
      <c r="AD99" s="59" t="s">
        <v>506</v>
      </c>
      <c r="AE99" s="1879"/>
      <c r="AF99" s="1879"/>
      <c r="AG99" s="1879"/>
      <c r="AH99" s="1879"/>
      <c r="AI99" s="242"/>
      <c r="AJ99" s="1879"/>
      <c r="AK99" s="1879"/>
      <c r="AL99" s="1879"/>
      <c r="AM99" s="1879"/>
      <c r="AN99" s="1879"/>
      <c r="AO99" s="1879"/>
      <c r="AP99" s="1879"/>
      <c r="AQ99" s="1879"/>
      <c r="AR99" s="1879"/>
      <c r="AS99" s="242"/>
      <c r="AT99" s="1879"/>
      <c r="AU99" s="1879"/>
      <c r="AV99" s="1879"/>
      <c r="AW99" s="1879"/>
      <c r="AX99" s="1879"/>
      <c r="AY99" s="1879"/>
      <c r="AZ99" s="1879"/>
      <c r="BA99" s="1879"/>
      <c r="BB99" s="1879"/>
      <c r="BC99" s="1880"/>
      <c r="BD99" s="1282"/>
      <c r="BE99" s="1282"/>
      <c r="BF99" s="992" t="s">
        <v>707</v>
      </c>
    </row>
    <row customHeight="1" ht="14.625" hidden="1">
      <c r="A100" s="1282"/>
      <c r="B100" s="1389"/>
      <c r="C100" s="1282"/>
      <c r="D100" s="1282"/>
      <c r="E100" s="607">
        <v>15</v>
      </c>
      <c r="F100" s="50" cm="1" t="str">
        <f t="array" ref="F100:F100">OFFSET(E100,-1,1)</f>
        <v>0</v>
      </c>
      <c r="G100" s="1282"/>
      <c r="H100" s="64" t="s">
        <v>550</v>
      </c>
      <c r="I100" s="1282"/>
      <c r="J100" s="1282"/>
      <c r="K100" s="1282"/>
      <c r="L100" s="1282"/>
      <c r="M100" s="1282"/>
      <c r="N100" s="1282"/>
      <c r="O100" s="1282"/>
      <c r="P100" s="1395"/>
      <c r="Q100" s="1395"/>
      <c r="R100" s="1395"/>
      <c r="S100" s="1395"/>
      <c r="T100" s="438" cm="1" t="str">
        <f t="array" ref="T100:T100">T99</f>
        <v>false</v>
      </c>
      <c r="U100" s="1395"/>
      <c r="V100" s="1282"/>
      <c r="W100" s="1395"/>
      <c r="X100" s="1511"/>
      <c r="Y100" s="1493"/>
      <c r="Z100" s="1282"/>
      <c r="AA100" s="1282"/>
      <c r="AB100" s="206" t="s">
        <v>551</v>
      </c>
      <c r="AC100" s="103" t="s">
        <v>708</v>
      </c>
      <c r="AD100" s="59" t="s">
        <v>506</v>
      </c>
      <c r="AE100" s="1879"/>
      <c r="AF100" s="1879"/>
      <c r="AG100" s="1879"/>
      <c r="AH100" s="1879"/>
      <c r="AI100" s="242"/>
      <c r="AJ100" s="1879"/>
      <c r="AK100" s="1879"/>
      <c r="AL100" s="1879"/>
      <c r="AM100" s="1879"/>
      <c r="AN100" s="1879"/>
      <c r="AO100" s="1879"/>
      <c r="AP100" s="1879"/>
      <c r="AQ100" s="1879"/>
      <c r="AR100" s="1879"/>
      <c r="AS100" s="242"/>
      <c r="AT100" s="1879"/>
      <c r="AU100" s="1879"/>
      <c r="AV100" s="1879"/>
      <c r="AW100" s="1879"/>
      <c r="AX100" s="1879"/>
      <c r="AY100" s="1879"/>
      <c r="AZ100" s="1879"/>
      <c r="BA100" s="1879"/>
      <c r="BB100" s="1879"/>
      <c r="BC100" s="1880"/>
      <c r="BD100" s="1282"/>
      <c r="BE100" s="1282"/>
      <c r="BF100" s="992" t="s">
        <v>709</v>
      </c>
    </row>
    <row customHeight="1" ht="14.625" hidden="1">
      <c r="A101" s="1282"/>
      <c r="B101" s="1389"/>
      <c r="C101" s="1282"/>
      <c r="D101" s="1282"/>
      <c r="E101" s="607">
        <v>15</v>
      </c>
      <c r="F101" s="50" cm="1" t="str">
        <f t="array" ref="F101:F101">OFFSET(E101,-1,1)</f>
        <v>0</v>
      </c>
      <c r="G101" s="1282"/>
      <c r="H101" s="64" t="s">
        <v>558</v>
      </c>
      <c r="I101" s="1282"/>
      <c r="J101" s="1282"/>
      <c r="K101" s="1282"/>
      <c r="L101" s="1282"/>
      <c r="M101" s="1282"/>
      <c r="N101" s="1282"/>
      <c r="O101" s="1282"/>
      <c r="P101" s="1395"/>
      <c r="Q101" s="1395"/>
      <c r="R101" s="1395"/>
      <c r="S101" s="1395"/>
      <c r="T101" s="438" cm="1" t="str">
        <f t="array" ref="T101:T101">T100</f>
        <v>false</v>
      </c>
      <c r="U101" s="1395"/>
      <c r="V101" s="1282"/>
      <c r="W101" s="1395"/>
      <c r="X101" s="1511"/>
      <c r="Y101" s="1493"/>
      <c r="Z101" s="1282"/>
      <c r="AA101" s="1282"/>
      <c r="AB101" s="206" t="s">
        <v>559</v>
      </c>
      <c r="AC101" s="104" t="s">
        <v>710</v>
      </c>
      <c r="AD101" s="59" t="s">
        <v>506</v>
      </c>
      <c r="AE101" s="312">
        <f>AE102+AE103</f>
        <v>0</v>
      </c>
      <c r="AF101" s="312">
        <f>AF102+AF103</f>
        <v>0</v>
      </c>
      <c r="AG101" s="312">
        <f>AG102+AG103</f>
        <v>0</v>
      </c>
      <c r="AH101" s="312">
        <f>AH102+AH103</f>
        <v>0</v>
      </c>
      <c r="AI101" s="312">
        <f>AI102+AI103</f>
        <v>0</v>
      </c>
      <c r="AJ101" s="312">
        <f>AJ102+AJ103</f>
        <v>0</v>
      </c>
      <c r="AK101" s="312">
        <f>AK102+AK103</f>
        <v>0</v>
      </c>
      <c r="AL101" s="312">
        <f>AL102+AL103</f>
        <v>0</v>
      </c>
      <c r="AM101" s="312">
        <f>AM102+AM103</f>
        <v>0</v>
      </c>
      <c r="AN101" s="312">
        <f>AN102+AN103</f>
        <v>0</v>
      </c>
      <c r="AO101" s="312">
        <f>AO102+AO103</f>
        <v>0</v>
      </c>
      <c r="AP101" s="312">
        <f>AP102+AP103</f>
        <v>0</v>
      </c>
      <c r="AQ101" s="312">
        <f>AQ102+AQ103</f>
        <v>0</v>
      </c>
      <c r="AR101" s="312">
        <f>AR102+AR103</f>
        <v>0</v>
      </c>
      <c r="AS101" s="312">
        <f>AS102+AS103</f>
        <v>0</v>
      </c>
      <c r="AT101" s="312">
        <f>AT102+AT103</f>
        <v>0</v>
      </c>
      <c r="AU101" s="312">
        <f>AU102+AU103</f>
        <v>0</v>
      </c>
      <c r="AV101" s="312">
        <f>AV102+AV103</f>
        <v>0</v>
      </c>
      <c r="AW101" s="312">
        <f>AW102+AW103</f>
        <v>0</v>
      </c>
      <c r="AX101" s="312">
        <f>AX102+AX103</f>
        <v>0</v>
      </c>
      <c r="AY101" s="312">
        <f>AY102+AY103</f>
        <v>0</v>
      </c>
      <c r="AZ101" s="312">
        <f>AZ102+AZ103</f>
        <v>0</v>
      </c>
      <c r="BA101" s="312">
        <f>BA102+BA103</f>
        <v>0</v>
      </c>
      <c r="BB101" s="312">
        <f>BB102+BB103</f>
        <v>0</v>
      </c>
      <c r="BC101" s="1880"/>
      <c r="BD101" s="1282"/>
      <c r="BE101" s="1282"/>
      <c r="BF101" s="992" t="s">
        <v>711</v>
      </c>
    </row>
    <row customHeight="1" ht="14.625" hidden="1">
      <c r="A102" s="1282"/>
      <c r="B102" s="1389"/>
      <c r="C102" s="1282"/>
      <c r="D102" s="1282"/>
      <c r="E102" s="607">
        <v>15</v>
      </c>
      <c r="F102" s="50" cm="1" t="str">
        <f t="array" ref="F102:F102">OFFSET(E102,-1,1)</f>
        <v>0</v>
      </c>
      <c r="G102" s="1282"/>
      <c r="H102" s="64" t="s">
        <v>562</v>
      </c>
      <c r="I102" s="1282"/>
      <c r="J102" s="1282"/>
      <c r="K102" s="1282"/>
      <c r="L102" s="1282"/>
      <c r="M102" s="1282"/>
      <c r="N102" s="1282"/>
      <c r="O102" s="1282"/>
      <c r="P102" s="1395"/>
      <c r="Q102" s="1395"/>
      <c r="R102" s="1395"/>
      <c r="S102" s="1395"/>
      <c r="T102" s="438" cm="1" t="str">
        <f t="array" ref="T102:T102">T101</f>
        <v>false</v>
      </c>
      <c r="U102" s="1395"/>
      <c r="V102" s="1282"/>
      <c r="W102" s="1395"/>
      <c r="X102" s="1511"/>
      <c r="Y102" s="1493"/>
      <c r="Z102" s="1282"/>
      <c r="AA102" s="1282"/>
      <c r="AB102" s="206" t="s">
        <v>563</v>
      </c>
      <c r="AC102" s="158" t="s">
        <v>712</v>
      </c>
      <c r="AD102" s="59" t="s">
        <v>506</v>
      </c>
      <c r="AE102" s="1879"/>
      <c r="AF102" s="1879"/>
      <c r="AG102" s="1879"/>
      <c r="AH102" s="1879"/>
      <c r="AI102" s="242"/>
      <c r="AJ102" s="1879"/>
      <c r="AK102" s="1879"/>
      <c r="AL102" s="1879"/>
      <c r="AM102" s="1879"/>
      <c r="AN102" s="1879"/>
      <c r="AO102" s="1879"/>
      <c r="AP102" s="1879"/>
      <c r="AQ102" s="1879"/>
      <c r="AR102" s="1879"/>
      <c r="AS102" s="242"/>
      <c r="AT102" s="1879"/>
      <c r="AU102" s="1879"/>
      <c r="AV102" s="1879"/>
      <c r="AW102" s="1879"/>
      <c r="AX102" s="1879"/>
      <c r="AY102" s="1879"/>
      <c r="AZ102" s="1879"/>
      <c r="BA102" s="1879"/>
      <c r="BB102" s="1879"/>
      <c r="BC102" s="1880"/>
      <c r="BD102" s="1282"/>
      <c r="BE102" s="1282"/>
      <c r="BF102" s="992" t="s">
        <v>713</v>
      </c>
    </row>
    <row customHeight="1" ht="14.625" hidden="1">
      <c r="A103" s="1282"/>
      <c r="B103" s="1389"/>
      <c r="C103" s="1282"/>
      <c r="D103" s="1282"/>
      <c r="E103" s="607">
        <v>15</v>
      </c>
      <c r="F103" s="50" cm="1" t="str">
        <f t="array" ref="F103:F103">OFFSET(E103,-1,1)</f>
        <v>0</v>
      </c>
      <c r="G103" s="1282"/>
      <c r="H103" s="64" t="s">
        <v>579</v>
      </c>
      <c r="I103" s="1282"/>
      <c r="J103" s="1282"/>
      <c r="K103" s="1282"/>
      <c r="L103" s="1282"/>
      <c r="M103" s="1282"/>
      <c r="N103" s="1282"/>
      <c r="O103" s="1282"/>
      <c r="P103" s="1395"/>
      <c r="Q103" s="1395"/>
      <c r="R103" s="1395"/>
      <c r="S103" s="1395"/>
      <c r="T103" s="438" cm="1" t="str">
        <f t="array" ref="T103:T103">T102</f>
        <v>false</v>
      </c>
      <c r="U103" s="1395"/>
      <c r="V103" s="1282"/>
      <c r="W103" s="1395"/>
      <c r="X103" s="1511"/>
      <c r="Y103" s="1493"/>
      <c r="Z103" s="1282"/>
      <c r="AA103" s="1282"/>
      <c r="AB103" s="206" t="s">
        <v>580</v>
      </c>
      <c r="AC103" s="158" t="s">
        <v>714</v>
      </c>
      <c r="AD103" s="59" t="s">
        <v>506</v>
      </c>
      <c r="AE103" s="1879"/>
      <c r="AF103" s="1879"/>
      <c r="AG103" s="1879"/>
      <c r="AH103" s="1879"/>
      <c r="AI103" s="242"/>
      <c r="AJ103" s="1879"/>
      <c r="AK103" s="1879"/>
      <c r="AL103" s="1879"/>
      <c r="AM103" s="1879"/>
      <c r="AN103" s="1879"/>
      <c r="AO103" s="1879"/>
      <c r="AP103" s="1879"/>
      <c r="AQ103" s="1879"/>
      <c r="AR103" s="1879"/>
      <c r="AS103" s="242"/>
      <c r="AT103" s="1879"/>
      <c r="AU103" s="1879"/>
      <c r="AV103" s="1879"/>
      <c r="AW103" s="1879"/>
      <c r="AX103" s="1879"/>
      <c r="AY103" s="1879"/>
      <c r="AZ103" s="1879"/>
      <c r="BA103" s="1879"/>
      <c r="BB103" s="1879"/>
      <c r="BC103" s="1880"/>
      <c r="BD103" s="1282"/>
      <c r="BE103" s="1282"/>
      <c r="BF103" s="992" t="s">
        <v>715</v>
      </c>
    </row>
    <row customHeight="1" ht="21.9375" hidden="1">
      <c r="A104" s="1282"/>
      <c r="B104" s="1389"/>
      <c r="C104" s="1282"/>
      <c r="D104" s="1282"/>
      <c r="E104" s="607">
        <v>22.5</v>
      </c>
      <c r="F104" s="50" cm="1" t="str">
        <f t="array" ref="F104:F104">OFFSET(E104,-1,1)</f>
        <v>0</v>
      </c>
      <c r="G104" s="1282"/>
      <c r="H104" s="64" t="s">
        <v>716</v>
      </c>
      <c r="I104" s="1282"/>
      <c r="J104" s="1282"/>
      <c r="K104" s="1282"/>
      <c r="L104" s="1282"/>
      <c r="M104" s="1282"/>
      <c r="N104" s="1282"/>
      <c r="O104" s="1282"/>
      <c r="P104" s="1395"/>
      <c r="Q104" s="1395"/>
      <c r="R104" s="1395"/>
      <c r="S104" s="1395"/>
      <c r="T104" s="438" cm="1" t="str">
        <f t="array" ref="T104:T104">T103</f>
        <v>false</v>
      </c>
      <c r="U104" s="1395"/>
      <c r="V104" s="1282"/>
      <c r="W104" s="1395"/>
      <c r="X104" s="1511"/>
      <c r="Y104" s="1493"/>
      <c r="Z104" s="1282"/>
      <c r="AA104" s="1282"/>
      <c r="AB104" s="206" t="s">
        <v>717</v>
      </c>
      <c r="AC104" s="306" t="s">
        <v>628</v>
      </c>
      <c r="AD104" s="59" t="s">
        <v>506</v>
      </c>
      <c r="AE104" s="1879"/>
      <c r="AF104" s="1879"/>
      <c r="AG104" s="1879"/>
      <c r="AH104" s="1879"/>
      <c r="AI104" s="242"/>
      <c r="AJ104" s="1879"/>
      <c r="AK104" s="1879"/>
      <c r="AL104" s="1879"/>
      <c r="AM104" s="1879"/>
      <c r="AN104" s="1879"/>
      <c r="AO104" s="1879"/>
      <c r="AP104" s="1879"/>
      <c r="AQ104" s="1879"/>
      <c r="AR104" s="1879"/>
      <c r="AS104" s="242"/>
      <c r="AT104" s="1879"/>
      <c r="AU104" s="1879"/>
      <c r="AV104" s="1879"/>
      <c r="AW104" s="1879"/>
      <c r="AX104" s="1879"/>
      <c r="AY104" s="1879"/>
      <c r="AZ104" s="1879"/>
      <c r="BA104" s="1879"/>
      <c r="BB104" s="1879"/>
      <c r="BC104" s="1880"/>
      <c r="BD104" s="1282"/>
      <c r="BE104" s="1282"/>
      <c r="BF104" s="992" t="s">
        <v>718</v>
      </c>
    </row>
    <row customHeight="1" ht="14.625" hidden="1">
      <c r="A105" s="1282"/>
      <c r="B105" s="1389"/>
      <c r="C105" s="1282"/>
      <c r="D105" s="1282"/>
      <c r="E105" s="607">
        <v>15</v>
      </c>
      <c r="F105" s="50" cm="1" t="str">
        <f t="array" ref="F105:F105">OFFSET(E105,-1,1)</f>
        <v>0</v>
      </c>
      <c r="G105" s="1282"/>
      <c r="H105" s="64" t="s">
        <v>719</v>
      </c>
      <c r="I105" s="1282"/>
      <c r="J105" s="1282"/>
      <c r="K105" s="1282"/>
      <c r="L105" s="1282"/>
      <c r="M105" s="1282"/>
      <c r="N105" s="1282"/>
      <c r="O105" s="1282"/>
      <c r="P105" s="1395"/>
      <c r="Q105" s="1395"/>
      <c r="R105" s="1395"/>
      <c r="S105" s="1395"/>
      <c r="T105" s="438" cm="1" t="str">
        <f t="array" ref="T105:T105">T104</f>
        <v>false</v>
      </c>
      <c r="U105" s="1395"/>
      <c r="V105" s="1282"/>
      <c r="W105" s="1395"/>
      <c r="X105" s="1511"/>
      <c r="Y105" s="1493"/>
      <c r="Z105" s="1282"/>
      <c r="AA105" s="1282"/>
      <c r="AB105" s="206" t="s">
        <v>720</v>
      </c>
      <c r="AC105" s="103" t="s">
        <v>721</v>
      </c>
      <c r="AD105" s="59" t="s">
        <v>506</v>
      </c>
      <c r="AE105" s="1879"/>
      <c r="AF105" s="1879"/>
      <c r="AG105" s="1879"/>
      <c r="AH105" s="1879"/>
      <c r="AI105" s="242"/>
      <c r="AJ105" s="1879"/>
      <c r="AK105" s="1879"/>
      <c r="AL105" s="1879"/>
      <c r="AM105" s="1879"/>
      <c r="AN105" s="1879"/>
      <c r="AO105" s="1879"/>
      <c r="AP105" s="1879"/>
      <c r="AQ105" s="1879"/>
      <c r="AR105" s="1879"/>
      <c r="AS105" s="242"/>
      <c r="AT105" s="1879"/>
      <c r="AU105" s="1879"/>
      <c r="AV105" s="1879"/>
      <c r="AW105" s="1879"/>
      <c r="AX105" s="1879"/>
      <c r="AY105" s="1879"/>
      <c r="AZ105" s="1879"/>
      <c r="BA105" s="1879"/>
      <c r="BB105" s="1879"/>
      <c r="BC105" s="1880"/>
      <c r="BD105" s="1282"/>
      <c r="BE105" s="1282"/>
      <c r="BF105" s="992" t="s">
        <v>722</v>
      </c>
    </row>
    <row s="1624" customFormat="1" customHeight="1" ht="11.25" hidden="1">
      <c r="A106" s="442"/>
      <c r="B106" s="634"/>
      <c r="C106" s="442"/>
      <c r="D106" s="442"/>
      <c r="E106" s="636" t="s">
        <v>362</v>
      </c>
      <c r="F106" s="1153" cm="1" t="str">
        <f t="array" ref="F106:F106">OFFSET(E106,-1,1)</f>
        <v>0</v>
      </c>
      <c r="G106" s="442"/>
      <c r="H106" s="442"/>
      <c r="I106" s="442"/>
      <c r="J106" s="442"/>
      <c r="K106" s="64"/>
      <c r="L106" s="442"/>
      <c r="M106" s="442"/>
      <c r="N106" s="442"/>
      <c r="O106" s="442"/>
      <c r="P106" s="442"/>
      <c r="Q106" s="442"/>
      <c r="R106" s="387"/>
      <c r="S106" s="387"/>
      <c r="T106" s="438" t="b">
        <v>0</v>
      </c>
      <c r="U106" s="442"/>
      <c r="V106" s="442"/>
      <c r="W106" s="442"/>
      <c r="X106" s="1511"/>
      <c r="Y106" s="1493"/>
      <c r="Z106" s="442"/>
      <c r="AA106" s="442"/>
      <c r="AB106" s="1624"/>
      <c r="AC106" s="66"/>
      <c r="AD106" s="66"/>
      <c r="AE106" s="310"/>
      <c r="AF106" s="310"/>
      <c r="AG106" s="310"/>
      <c r="AH106" s="310"/>
      <c r="AI106" s="310"/>
      <c r="AJ106" s="311"/>
      <c r="AK106" s="310"/>
      <c r="AL106" s="310"/>
      <c r="AM106" s="310"/>
      <c r="AN106" s="310"/>
      <c r="AO106" s="310"/>
      <c r="AP106" s="310"/>
      <c r="AQ106" s="310"/>
      <c r="AR106" s="310"/>
      <c r="AS106" s="310"/>
      <c r="AT106" s="310"/>
      <c r="AU106" s="310"/>
      <c r="AV106" s="310"/>
      <c r="AW106" s="310"/>
      <c r="AX106" s="310"/>
      <c r="AY106" s="310"/>
      <c r="AZ106" s="310"/>
      <c r="BA106" s="310"/>
      <c r="BB106" s="310"/>
      <c r="BC106" s="1624"/>
      <c r="BD106" s="1624"/>
      <c r="BE106" s="1624"/>
      <c r="BF106" s="996"/>
    </row>
    <row customHeight="1" ht="14.625" hidden="1">
      <c r="A107" s="1282"/>
      <c r="B107" s="1389"/>
      <c r="C107" s="1282"/>
      <c r="D107" s="1282"/>
      <c r="E107" s="607">
        <v>15</v>
      </c>
      <c r="F107" s="50" cm="1" t="str">
        <f t="array" ref="F107:F107">OFFSET(E107,-1,1)</f>
        <v>0</v>
      </c>
      <c r="G107" s="1282"/>
      <c r="H107" s="1282"/>
      <c r="I107" s="1282"/>
      <c r="J107" s="1282"/>
      <c r="K107" s="1282"/>
      <c r="L107" s="1282"/>
      <c r="M107" s="1282"/>
      <c r="N107" s="1282"/>
      <c r="O107" s="1282"/>
      <c r="P107" s="1395"/>
      <c r="Q107" s="1395"/>
      <c r="R107" s="387" cm="1" t="str">
        <f t="array" ref="R107:R107">INDEX('Общие сведения'!$AN$179:$AN$208,MATCH($X27,'Общие сведения'!$Z$179:$Z$208,0))</f>
        <v>true</v>
      </c>
      <c r="S107" s="455">
        <f>IF(ISERROR(SEARCH("Водоотведение",AB27)),FALSE,TRUE)</f>
        <v>0</v>
      </c>
      <c r="T107" s="438">
        <f>AND(X27&gt;0,S107,R107)</f>
        <v>0</v>
      </c>
      <c r="U107" s="1395"/>
      <c r="V107" s="1282"/>
      <c r="W107" s="1395"/>
      <c r="X107" s="1511"/>
      <c r="Y107" s="1493"/>
      <c r="Z107" s="1282"/>
      <c r="AA107" s="1282"/>
      <c r="AB107" s="206" t="s">
        <v>281</v>
      </c>
      <c r="AC107" s="53" t="s">
        <v>660</v>
      </c>
      <c r="AD107" s="163"/>
      <c r="AE107" s="544" cm="1" t="str">
        <f t="array" ref="AE107:AE107">INDEX('Общие сведения'!$AH$179:$AH$208,MATCH($X27,'Общие сведения'!$Z$179:$Z$208,0))</f>
        <v>0</v>
      </c>
      <c r="AF107" s="328"/>
      <c r="AG107" s="328"/>
      <c r="AH107" s="328"/>
      <c r="AI107" s="328"/>
      <c r="AJ107" s="328"/>
      <c r="AK107" s="328"/>
      <c r="AL107" s="328"/>
      <c r="AM107" s="328"/>
      <c r="AN107" s="328"/>
      <c r="AO107" s="328"/>
      <c r="AP107" s="328"/>
      <c r="AQ107" s="328"/>
      <c r="AR107" s="328"/>
      <c r="AS107" s="328"/>
      <c r="AT107" s="328"/>
      <c r="AU107" s="328"/>
      <c r="AV107" s="328"/>
      <c r="AW107" s="328"/>
      <c r="AX107" s="328"/>
      <c r="AY107" s="328"/>
      <c r="AZ107" s="328"/>
      <c r="BA107" s="328"/>
      <c r="BB107" s="329"/>
      <c r="BC107" s="1880"/>
      <c r="BD107" s="1282"/>
      <c r="BE107" s="1282"/>
      <c r="BF107" s="992" t="s">
        <v>723</v>
      </c>
    </row>
    <row customHeight="1" ht="14.625" hidden="1">
      <c r="A108" s="1282"/>
      <c r="B108" s="1389"/>
      <c r="C108" s="1282"/>
      <c r="D108" s="1282"/>
      <c r="E108" s="607">
        <v>15</v>
      </c>
      <c r="F108" s="50" cm="1" t="str">
        <f t="array" ref="F108:F108">OFFSET(E108,-1,1)</f>
        <v>0</v>
      </c>
      <c r="G108" s="1282"/>
      <c r="H108" s="64" t="s">
        <v>325</v>
      </c>
      <c r="I108" s="1282"/>
      <c r="J108" s="1282"/>
      <c r="K108" s="1282"/>
      <c r="L108" s="1282"/>
      <c r="M108" s="1282"/>
      <c r="N108" s="1282"/>
      <c r="O108" s="1282"/>
      <c r="P108" s="1395"/>
      <c r="Q108" s="1395"/>
      <c r="R108" s="1395"/>
      <c r="S108" s="1395"/>
      <c r="T108" s="438" cm="1" t="str">
        <f t="array" ref="T108:T108">T107</f>
        <v>false</v>
      </c>
      <c r="U108" s="1395"/>
      <c r="V108" s="1282"/>
      <c r="W108" s="1395"/>
      <c r="X108" s="1511"/>
      <c r="Y108" s="1493"/>
      <c r="Z108" s="1282"/>
      <c r="AA108" s="1282"/>
      <c r="AB108" s="206" t="s">
        <v>504</v>
      </c>
      <c r="AC108" s="307" t="s">
        <v>724</v>
      </c>
      <c r="AD108" s="59" t="s">
        <v>506</v>
      </c>
      <c r="AE108" s="312">
        <f>AE109+AE111+AE110</f>
        <v>0</v>
      </c>
      <c r="AF108" s="312">
        <f>AF109+AF111+AF110</f>
        <v>0</v>
      </c>
      <c r="AG108" s="312">
        <f>AG109+AG111+AG110</f>
        <v>0</v>
      </c>
      <c r="AH108" s="312">
        <f>AH109+AH111+AH110</f>
        <v>0</v>
      </c>
      <c r="AI108" s="312">
        <f>AI109+AI111+AI110</f>
        <v>0</v>
      </c>
      <c r="AJ108" s="312">
        <f>AJ109+AJ111+AJ110</f>
        <v>0</v>
      </c>
      <c r="AK108" s="312">
        <f>AK109+AK111+AK110</f>
        <v>0</v>
      </c>
      <c r="AL108" s="312">
        <f>AL109+AL111+AL110</f>
        <v>0</v>
      </c>
      <c r="AM108" s="312">
        <f>AM109+AM111+AM110</f>
        <v>0</v>
      </c>
      <c r="AN108" s="312">
        <f>AN109+AN111+AN110</f>
        <v>0</v>
      </c>
      <c r="AO108" s="312">
        <f>AO109+AO111+AO110</f>
        <v>0</v>
      </c>
      <c r="AP108" s="312">
        <f>AP109+AP111+AP110</f>
        <v>0</v>
      </c>
      <c r="AQ108" s="312">
        <f>AQ109+AQ111+AQ110</f>
        <v>0</v>
      </c>
      <c r="AR108" s="312">
        <f>AR109+AR111+AR110</f>
        <v>0</v>
      </c>
      <c r="AS108" s="312">
        <f>AS109+AS111+AS110</f>
        <v>0</v>
      </c>
      <c r="AT108" s="312">
        <f>AT109+AT111+AT110</f>
        <v>0</v>
      </c>
      <c r="AU108" s="312">
        <f>AU109+AU111+AU110</f>
        <v>0</v>
      </c>
      <c r="AV108" s="312">
        <f>AV109+AV111+AV110</f>
        <v>0</v>
      </c>
      <c r="AW108" s="312">
        <f>AW109+AW111+AW110</f>
        <v>0</v>
      </c>
      <c r="AX108" s="312">
        <f>AX109+AX111+AX110</f>
        <v>0</v>
      </c>
      <c r="AY108" s="312">
        <f>AY109+AY111+AY110</f>
        <v>0</v>
      </c>
      <c r="AZ108" s="312">
        <f>AZ109+AZ111+AZ110</f>
        <v>0</v>
      </c>
      <c r="BA108" s="312">
        <f>BA109+BA111+BA110</f>
        <v>0</v>
      </c>
      <c r="BB108" s="312">
        <f>BB109+BB111+BB110</f>
        <v>0</v>
      </c>
      <c r="BC108" s="1880"/>
      <c r="BD108" s="1282"/>
      <c r="BE108" s="1282"/>
      <c r="BF108" s="992" t="s">
        <v>725</v>
      </c>
    </row>
    <row customHeight="1" ht="14.625" hidden="1">
      <c r="A109" s="1282"/>
      <c r="B109" s="1389"/>
      <c r="C109" s="1282"/>
      <c r="D109" s="1282"/>
      <c r="E109" s="607">
        <v>15</v>
      </c>
      <c r="F109" s="50" cm="1" t="str">
        <f t="array" ref="F109:F109">OFFSET(E109,-1,1)</f>
        <v>0</v>
      </c>
      <c r="G109" s="1282"/>
      <c r="H109" s="64" t="s">
        <v>508</v>
      </c>
      <c r="I109" s="1282"/>
      <c r="J109" s="1282"/>
      <c r="K109" s="1282"/>
      <c r="L109" s="1282"/>
      <c r="M109" s="1282"/>
      <c r="N109" s="1282"/>
      <c r="O109" s="1282"/>
      <c r="P109" s="1395"/>
      <c r="Q109" s="1395"/>
      <c r="R109" s="1395"/>
      <c r="S109" s="1395"/>
      <c r="T109" s="438" cm="1" t="str">
        <f t="array" ref="T109:T109">T108</f>
        <v>false</v>
      </c>
      <c r="U109" s="1395"/>
      <c r="V109" s="1282"/>
      <c r="W109" s="1395"/>
      <c r="X109" s="1511"/>
      <c r="Y109" s="1493"/>
      <c r="Z109" s="1282"/>
      <c r="AA109" s="1282"/>
      <c r="AB109" s="206" t="s">
        <v>509</v>
      </c>
      <c r="AC109" s="180" t="s">
        <v>726</v>
      </c>
      <c r="AD109" s="59" t="s">
        <v>506</v>
      </c>
      <c r="AE109" s="1922"/>
      <c r="AF109" s="1922"/>
      <c r="AG109" s="1922"/>
      <c r="AH109" s="1922"/>
      <c r="AI109" s="245"/>
      <c r="AJ109" s="1922"/>
      <c r="AK109" s="1922"/>
      <c r="AL109" s="1922"/>
      <c r="AM109" s="1922"/>
      <c r="AN109" s="1922"/>
      <c r="AO109" s="1922"/>
      <c r="AP109" s="1922"/>
      <c r="AQ109" s="1922"/>
      <c r="AR109" s="1922"/>
      <c r="AS109" s="245"/>
      <c r="AT109" s="1922"/>
      <c r="AU109" s="1922"/>
      <c r="AV109" s="1922"/>
      <c r="AW109" s="1922"/>
      <c r="AX109" s="1922"/>
      <c r="AY109" s="1922"/>
      <c r="AZ109" s="1922"/>
      <c r="BA109" s="1922"/>
      <c r="BB109" s="1922"/>
      <c r="BC109" s="1880"/>
      <c r="BD109" s="1282"/>
      <c r="BE109" s="1282"/>
      <c r="BF109" s="992" t="s">
        <v>727</v>
      </c>
    </row>
    <row customHeight="1" ht="14.625" hidden="1">
      <c r="A110" s="1282"/>
      <c r="B110" s="1389"/>
      <c r="C110" s="1282"/>
      <c r="D110" s="1282"/>
      <c r="E110" s="607">
        <v>15</v>
      </c>
      <c r="F110" s="50" cm="1" t="str">
        <f t="array" ref="F110:F110">OFFSET(E110,-1,1)</f>
        <v>0</v>
      </c>
      <c r="G110" s="1282"/>
      <c r="H110" s="64" t="s">
        <v>512</v>
      </c>
      <c r="I110" s="1282"/>
      <c r="J110" s="1282"/>
      <c r="K110" s="1282"/>
      <c r="L110" s="1282"/>
      <c r="M110" s="1282"/>
      <c r="N110" s="1282"/>
      <c r="O110" s="1282"/>
      <c r="P110" s="1395"/>
      <c r="Q110" s="1395"/>
      <c r="R110" s="1395"/>
      <c r="S110" s="1395"/>
      <c r="T110" s="438" cm="1" t="str">
        <f t="array" ref="T110:T110">T109</f>
        <v>false</v>
      </c>
      <c r="U110" s="1395"/>
      <c r="V110" s="1282"/>
      <c r="W110" s="1395"/>
      <c r="X110" s="1511"/>
      <c r="Y110" s="1493"/>
      <c r="Z110" s="1282"/>
      <c r="AA110" s="1282"/>
      <c r="AB110" s="206" t="s">
        <v>513</v>
      </c>
      <c r="AC110" s="180" t="s">
        <v>728</v>
      </c>
      <c r="AD110" s="59" t="s">
        <v>506</v>
      </c>
      <c r="AE110" s="1922"/>
      <c r="AF110" s="1922"/>
      <c r="AG110" s="1922"/>
      <c r="AH110" s="1922"/>
      <c r="AI110" s="245"/>
      <c r="AJ110" s="1922"/>
      <c r="AK110" s="1922"/>
      <c r="AL110" s="1922"/>
      <c r="AM110" s="1922"/>
      <c r="AN110" s="1922"/>
      <c r="AO110" s="1922"/>
      <c r="AP110" s="1922"/>
      <c r="AQ110" s="1922"/>
      <c r="AR110" s="1922"/>
      <c r="AS110" s="245"/>
      <c r="AT110" s="1922"/>
      <c r="AU110" s="1922"/>
      <c r="AV110" s="1922"/>
      <c r="AW110" s="1922"/>
      <c r="AX110" s="1922"/>
      <c r="AY110" s="1922"/>
      <c r="AZ110" s="1922"/>
      <c r="BA110" s="1922"/>
      <c r="BB110" s="1922"/>
      <c r="BC110" s="1880"/>
      <c r="BD110" s="1282"/>
      <c r="BE110" s="1282"/>
      <c r="BF110" s="992" t="s">
        <v>729</v>
      </c>
    </row>
    <row customHeight="1" ht="21.9375" hidden="1">
      <c r="A111" s="1282"/>
      <c r="B111" s="1389"/>
      <c r="C111" s="1282"/>
      <c r="D111" s="1282"/>
      <c r="E111" s="607">
        <v>22.5</v>
      </c>
      <c r="F111" s="50" cm="1" t="str">
        <f t="array" ref="F111:F111">OFFSET(E111,-1,1)</f>
        <v>0</v>
      </c>
      <c r="G111" s="1282"/>
      <c r="H111" s="64" t="s">
        <v>516</v>
      </c>
      <c r="I111" s="1282"/>
      <c r="J111" s="1282"/>
      <c r="K111" s="1282"/>
      <c r="L111" s="1282"/>
      <c r="M111" s="1282"/>
      <c r="N111" s="1282"/>
      <c r="O111" s="1282"/>
      <c r="P111" s="1395"/>
      <c r="Q111" s="1395"/>
      <c r="R111" s="1395"/>
      <c r="S111" s="1395"/>
      <c r="T111" s="438" cm="1" t="str">
        <f t="array" ref="T111:T111">T110</f>
        <v>false</v>
      </c>
      <c r="U111" s="1395"/>
      <c r="V111" s="1282"/>
      <c r="W111" s="1395"/>
      <c r="X111" s="1511"/>
      <c r="Y111" s="1493"/>
      <c r="Z111" s="1282"/>
      <c r="AA111" s="1282"/>
      <c r="AB111" s="206" t="s">
        <v>517</v>
      </c>
      <c r="AC111" s="180" t="s">
        <v>628</v>
      </c>
      <c r="AD111" s="59" t="s">
        <v>506</v>
      </c>
      <c r="AE111" s="1922"/>
      <c r="AF111" s="1922"/>
      <c r="AG111" s="1922"/>
      <c r="AH111" s="1922"/>
      <c r="AI111" s="245"/>
      <c r="AJ111" s="1922"/>
      <c r="AK111" s="1922"/>
      <c r="AL111" s="1922"/>
      <c r="AM111" s="1922"/>
      <c r="AN111" s="1922"/>
      <c r="AO111" s="1922"/>
      <c r="AP111" s="1922"/>
      <c r="AQ111" s="1922"/>
      <c r="AR111" s="1922"/>
      <c r="AS111" s="245"/>
      <c r="AT111" s="1922"/>
      <c r="AU111" s="1922"/>
      <c r="AV111" s="1922"/>
      <c r="AW111" s="1922"/>
      <c r="AX111" s="1922"/>
      <c r="AY111" s="1922"/>
      <c r="AZ111" s="1922"/>
      <c r="BA111" s="1922"/>
      <c r="BB111" s="1922"/>
      <c r="BC111" s="1880"/>
      <c r="BD111" s="1282"/>
      <c r="BE111" s="1282"/>
      <c r="BF111" s="992" t="s">
        <v>730</v>
      </c>
    </row>
    <row customHeight="1" ht="21.9375" hidden="1">
      <c r="A112" s="1282"/>
      <c r="B112" s="1389"/>
      <c r="C112" s="1282"/>
      <c r="D112" s="1282"/>
      <c r="E112" s="607">
        <v>22.5</v>
      </c>
      <c r="F112" s="50" cm="1" t="str">
        <f t="array" ref="F112:F112">OFFSET(E112,-1,1)</f>
        <v>0</v>
      </c>
      <c r="G112" s="64" t="s">
        <v>578</v>
      </c>
      <c r="H112" s="64" t="s">
        <v>324</v>
      </c>
      <c r="I112" s="1282"/>
      <c r="J112" s="1282"/>
      <c r="K112" s="1282"/>
      <c r="L112" s="1282"/>
      <c r="M112" s="1282"/>
      <c r="N112" s="1282"/>
      <c r="O112" s="1282"/>
      <c r="P112" s="1395"/>
      <c r="Q112" s="1395"/>
      <c r="R112" s="1395"/>
      <c r="S112" s="1395"/>
      <c r="T112" s="438" cm="1" t="str">
        <f t="array" ref="T112:T112">T111</f>
        <v>false</v>
      </c>
      <c r="U112" s="1395"/>
      <c r="V112" s="1282"/>
      <c r="W112" s="1395"/>
      <c r="X112" s="1511"/>
      <c r="Y112" s="1493"/>
      <c r="Z112" s="1282"/>
      <c r="AA112" s="1282"/>
      <c r="AB112" s="206" t="s">
        <v>319</v>
      </c>
      <c r="AC112" s="307" t="s">
        <v>731</v>
      </c>
      <c r="AD112" s="59" t="s">
        <v>506</v>
      </c>
      <c r="AE112" s="312">
        <f>AE113+AE114+AE117</f>
        <v>0</v>
      </c>
      <c r="AF112" s="312">
        <f>AF113+AF114+AF117</f>
        <v>0</v>
      </c>
      <c r="AG112" s="312">
        <f>AG113+AG114+AG117</f>
        <v>0</v>
      </c>
      <c r="AH112" s="312">
        <f>AH113+AH114+AH117</f>
        <v>0</v>
      </c>
      <c r="AI112" s="312">
        <f>AI113+AI114+AI117</f>
        <v>0</v>
      </c>
      <c r="AJ112" s="312">
        <f>AJ113+AJ114+AJ117</f>
        <v>0</v>
      </c>
      <c r="AK112" s="312">
        <f>AK113+AK114+AK117</f>
        <v>0</v>
      </c>
      <c r="AL112" s="312">
        <f>AL113+AL114+AL117</f>
        <v>0</v>
      </c>
      <c r="AM112" s="312">
        <f>AM113+AM114+AM117</f>
        <v>0</v>
      </c>
      <c r="AN112" s="312">
        <f>AN113+AN114+AN117</f>
        <v>0</v>
      </c>
      <c r="AO112" s="312">
        <f>AO113+AO114+AO117</f>
        <v>0</v>
      </c>
      <c r="AP112" s="312">
        <f>AP113+AP114+AP117</f>
        <v>0</v>
      </c>
      <c r="AQ112" s="312">
        <f>AQ113+AQ114+AQ117</f>
        <v>0</v>
      </c>
      <c r="AR112" s="312">
        <f>AR113+AR114+AR117</f>
        <v>0</v>
      </c>
      <c r="AS112" s="312">
        <f>AS113+AS114+AS117</f>
        <v>0</v>
      </c>
      <c r="AT112" s="312">
        <f>AT113+AT114+AT117</f>
        <v>0</v>
      </c>
      <c r="AU112" s="312">
        <f>AU113+AU114+AU117</f>
        <v>0</v>
      </c>
      <c r="AV112" s="312">
        <f>AV113+AV114+AV117</f>
        <v>0</v>
      </c>
      <c r="AW112" s="312">
        <f>AW113+AW114+AW117</f>
        <v>0</v>
      </c>
      <c r="AX112" s="312">
        <f>AX113+AX114+AX117</f>
        <v>0</v>
      </c>
      <c r="AY112" s="312">
        <f>AY113+AY114+AY117</f>
        <v>0</v>
      </c>
      <c r="AZ112" s="312">
        <f>AZ113+AZ114+AZ117</f>
        <v>0</v>
      </c>
      <c r="BA112" s="312">
        <f>BA113+BA114+BA117</f>
        <v>0</v>
      </c>
      <c r="BB112" s="312">
        <f>BB113+BB114+BB117</f>
        <v>0</v>
      </c>
      <c r="BC112" s="1880"/>
      <c r="BD112" s="1282"/>
      <c r="BE112" s="1282"/>
      <c r="BF112" s="992" t="s">
        <v>732</v>
      </c>
    </row>
    <row customHeight="1" ht="14.625" hidden="1">
      <c r="A113" s="1282"/>
      <c r="B113" s="1389"/>
      <c r="C113" s="1282"/>
      <c r="D113" s="1282"/>
      <c r="E113" s="607">
        <v>15</v>
      </c>
      <c r="F113" s="50" cm="1" t="str">
        <f t="array" ref="F113:F113">OFFSET(E113,-1,1)</f>
        <v>0</v>
      </c>
      <c r="G113" s="1282"/>
      <c r="H113" s="64" t="s">
        <v>522</v>
      </c>
      <c r="I113" s="1282"/>
      <c r="J113" s="1282"/>
      <c r="K113" s="1282"/>
      <c r="L113" s="1282"/>
      <c r="M113" s="1282"/>
      <c r="N113" s="1282"/>
      <c r="O113" s="1282"/>
      <c r="P113" s="1395"/>
      <c r="Q113" s="1395"/>
      <c r="R113" s="1395"/>
      <c r="S113" s="1395"/>
      <c r="T113" s="438" cm="1" t="str">
        <f t="array" ref="T113:T113">T112</f>
        <v>false</v>
      </c>
      <c r="U113" s="1395"/>
      <c r="V113" s="1282"/>
      <c r="W113" s="1395"/>
      <c r="X113" s="1511"/>
      <c r="Y113" s="1493"/>
      <c r="Z113" s="1282"/>
      <c r="AA113" s="1282"/>
      <c r="AB113" s="206" t="s">
        <v>523</v>
      </c>
      <c r="AC113" s="180" t="s">
        <v>733</v>
      </c>
      <c r="AD113" s="59" t="s">
        <v>506</v>
      </c>
      <c r="AE113" s="1922"/>
      <c r="AF113" s="1922"/>
      <c r="AG113" s="1922"/>
      <c r="AH113" s="1922"/>
      <c r="AI113" s="245"/>
      <c r="AJ113" s="1922"/>
      <c r="AK113" s="1922"/>
      <c r="AL113" s="1922"/>
      <c r="AM113" s="1922"/>
      <c r="AN113" s="1922"/>
      <c r="AO113" s="1922"/>
      <c r="AP113" s="1922"/>
      <c r="AQ113" s="1922"/>
      <c r="AR113" s="1922"/>
      <c r="AS113" s="245"/>
      <c r="AT113" s="1922"/>
      <c r="AU113" s="1922"/>
      <c r="AV113" s="1922"/>
      <c r="AW113" s="1922"/>
      <c r="AX113" s="1922"/>
      <c r="AY113" s="1922"/>
      <c r="AZ113" s="1922"/>
      <c r="BA113" s="1922"/>
      <c r="BB113" s="1922"/>
      <c r="BC113" s="1880"/>
      <c r="BD113" s="1282"/>
      <c r="BE113" s="1282"/>
      <c r="BF113" s="992" t="s">
        <v>734</v>
      </c>
    </row>
    <row customHeight="1" ht="14.625" hidden="1">
      <c r="A114" s="1282"/>
      <c r="B114" s="1389"/>
      <c r="C114" s="1282"/>
      <c r="D114" s="1282"/>
      <c r="E114" s="607">
        <v>15</v>
      </c>
      <c r="F114" s="50" cm="1" t="str">
        <f t="array" ref="F114:F114">OFFSET(E114,-1,1)</f>
        <v>0</v>
      </c>
      <c r="G114" s="1282"/>
      <c r="H114" s="64" t="s">
        <v>526</v>
      </c>
      <c r="I114" s="1282"/>
      <c r="J114" s="1282"/>
      <c r="K114" s="1282"/>
      <c r="L114" s="1282"/>
      <c r="M114" s="1282"/>
      <c r="N114" s="1282"/>
      <c r="O114" s="1282"/>
      <c r="P114" s="1395"/>
      <c r="Q114" s="1395"/>
      <c r="R114" s="1395"/>
      <c r="S114" s="1395"/>
      <c r="T114" s="438" cm="1" t="str">
        <f t="array" ref="T114:T114">T113</f>
        <v>false</v>
      </c>
      <c r="U114" s="1395"/>
      <c r="V114" s="1282"/>
      <c r="W114" s="1395"/>
      <c r="X114" s="1511"/>
      <c r="Y114" s="1493"/>
      <c r="Z114" s="1282"/>
      <c r="AA114" s="1282"/>
      <c r="AB114" s="206" t="s">
        <v>527</v>
      </c>
      <c r="AC114" s="308" t="s">
        <v>735</v>
      </c>
      <c r="AD114" s="59" t="s">
        <v>506</v>
      </c>
      <c r="AE114" s="312">
        <f>AE115+AE116</f>
        <v>0</v>
      </c>
      <c r="AF114" s="312">
        <f>AF115+AF116</f>
        <v>0</v>
      </c>
      <c r="AG114" s="312">
        <f>AG115+AG116</f>
        <v>0</v>
      </c>
      <c r="AH114" s="312">
        <f>AH115+AH116</f>
        <v>0</v>
      </c>
      <c r="AI114" s="312">
        <f>AI115+AI116</f>
        <v>0</v>
      </c>
      <c r="AJ114" s="312">
        <f>AJ115+AJ116</f>
        <v>0</v>
      </c>
      <c r="AK114" s="312">
        <f>AK115+AK116</f>
        <v>0</v>
      </c>
      <c r="AL114" s="312">
        <f>AL115+AL116</f>
        <v>0</v>
      </c>
      <c r="AM114" s="312">
        <f>AM115+AM116</f>
        <v>0</v>
      </c>
      <c r="AN114" s="312">
        <f>AN115+AN116</f>
        <v>0</v>
      </c>
      <c r="AO114" s="312">
        <f>AO115+AO116</f>
        <v>0</v>
      </c>
      <c r="AP114" s="312">
        <f>AP115+AP116</f>
        <v>0</v>
      </c>
      <c r="AQ114" s="312">
        <f>AQ115+AQ116</f>
        <v>0</v>
      </c>
      <c r="AR114" s="312">
        <f>AR115+AR116</f>
        <v>0</v>
      </c>
      <c r="AS114" s="312">
        <f>AS115+AS116</f>
        <v>0</v>
      </c>
      <c r="AT114" s="312">
        <f>AT115+AT116</f>
        <v>0</v>
      </c>
      <c r="AU114" s="312">
        <f>AU115+AU116</f>
        <v>0</v>
      </c>
      <c r="AV114" s="312">
        <f>AV115+AV116</f>
        <v>0</v>
      </c>
      <c r="AW114" s="312">
        <f>AW115+AW116</f>
        <v>0</v>
      </c>
      <c r="AX114" s="312">
        <f>AX115+AX116</f>
        <v>0</v>
      </c>
      <c r="AY114" s="312">
        <f>AY115+AY116</f>
        <v>0</v>
      </c>
      <c r="AZ114" s="312">
        <f>AZ115+AZ116</f>
        <v>0</v>
      </c>
      <c r="BA114" s="312">
        <f>BA115+BA116</f>
        <v>0</v>
      </c>
      <c r="BB114" s="312">
        <f>BB115+BB116</f>
        <v>0</v>
      </c>
      <c r="BC114" s="1880"/>
      <c r="BD114" s="1282"/>
      <c r="BE114" s="1282"/>
      <c r="BF114" s="992" t="s">
        <v>736</v>
      </c>
    </row>
    <row customHeight="1" ht="14.625" hidden="1">
      <c r="A115" s="1282"/>
      <c r="B115" s="1389"/>
      <c r="C115" s="1282"/>
      <c r="D115" s="1282"/>
      <c r="E115" s="607">
        <v>15</v>
      </c>
      <c r="F115" s="50" cm="1" t="str">
        <f t="array" ref="F115:F115">OFFSET(E115,-1,1)</f>
        <v>0</v>
      </c>
      <c r="G115" s="1282"/>
      <c r="H115" s="64" t="s">
        <v>737</v>
      </c>
      <c r="I115" s="1282"/>
      <c r="J115" s="1282"/>
      <c r="K115" s="1282"/>
      <c r="L115" s="1282"/>
      <c r="M115" s="1282"/>
      <c r="N115" s="1282"/>
      <c r="O115" s="1282"/>
      <c r="P115" s="1395"/>
      <c r="Q115" s="1395"/>
      <c r="R115" s="1395"/>
      <c r="S115" s="1395"/>
      <c r="T115" s="438" cm="1" t="str">
        <f t="array" ref="T115:T115">T114</f>
        <v>false</v>
      </c>
      <c r="U115" s="1395"/>
      <c r="V115" s="1282"/>
      <c r="W115" s="1395"/>
      <c r="X115" s="1511"/>
      <c r="Y115" s="1493"/>
      <c r="Z115" s="1282"/>
      <c r="AA115" s="1282"/>
      <c r="AB115" s="206" t="s">
        <v>738</v>
      </c>
      <c r="AC115" s="309" t="s">
        <v>585</v>
      </c>
      <c r="AD115" s="59" t="s">
        <v>506</v>
      </c>
      <c r="AE115" s="1922"/>
      <c r="AF115" s="1922"/>
      <c r="AG115" s="1922"/>
      <c r="AH115" s="1922"/>
      <c r="AI115" s="245"/>
      <c r="AJ115" s="1922"/>
      <c r="AK115" s="1922"/>
      <c r="AL115" s="1922"/>
      <c r="AM115" s="1922"/>
      <c r="AN115" s="1922"/>
      <c r="AO115" s="1922"/>
      <c r="AP115" s="1922"/>
      <c r="AQ115" s="1922"/>
      <c r="AR115" s="1922"/>
      <c r="AS115" s="245"/>
      <c r="AT115" s="1922"/>
      <c r="AU115" s="1922"/>
      <c r="AV115" s="1922"/>
      <c r="AW115" s="1922"/>
      <c r="AX115" s="1922"/>
      <c r="AY115" s="1922"/>
      <c r="AZ115" s="1922"/>
      <c r="BA115" s="1922"/>
      <c r="BB115" s="1922"/>
      <c r="BC115" s="1880"/>
      <c r="BD115" s="1282"/>
      <c r="BE115" s="1282"/>
      <c r="BF115" s="992" t="s">
        <v>739</v>
      </c>
    </row>
    <row customHeight="1" ht="14.625" hidden="1">
      <c r="A116" s="1282"/>
      <c r="B116" s="1389"/>
      <c r="C116" s="1282"/>
      <c r="D116" s="1282"/>
      <c r="E116" s="607">
        <v>15</v>
      </c>
      <c r="F116" s="50" cm="1" t="str">
        <f t="array" ref="F116:F116">OFFSET(E116,-1,1)</f>
        <v>0</v>
      </c>
      <c r="G116" s="1282"/>
      <c r="H116" s="64" t="s">
        <v>740</v>
      </c>
      <c r="I116" s="1282"/>
      <c r="J116" s="1282"/>
      <c r="K116" s="1282"/>
      <c r="L116" s="1282"/>
      <c r="M116" s="1282"/>
      <c r="N116" s="1282"/>
      <c r="O116" s="1282"/>
      <c r="P116" s="1395"/>
      <c r="Q116" s="1395"/>
      <c r="R116" s="1395"/>
      <c r="S116" s="1395"/>
      <c r="T116" s="438" cm="1" t="str">
        <f t="array" ref="T116:T116">T115</f>
        <v>false</v>
      </c>
      <c r="U116" s="1395"/>
      <c r="V116" s="1282"/>
      <c r="W116" s="1395"/>
      <c r="X116" s="1511"/>
      <c r="Y116" s="1493"/>
      <c r="Z116" s="1282"/>
      <c r="AA116" s="1282"/>
      <c r="AB116" s="206" t="s">
        <v>741</v>
      </c>
      <c r="AC116" s="309" t="s">
        <v>589</v>
      </c>
      <c r="AD116" s="59" t="s">
        <v>506</v>
      </c>
      <c r="AE116" s="1922"/>
      <c r="AF116" s="1922"/>
      <c r="AG116" s="1922"/>
      <c r="AH116" s="1922"/>
      <c r="AI116" s="245"/>
      <c r="AJ116" s="1922"/>
      <c r="AK116" s="1922"/>
      <c r="AL116" s="1922"/>
      <c r="AM116" s="1922"/>
      <c r="AN116" s="1922"/>
      <c r="AO116" s="1922"/>
      <c r="AP116" s="1922"/>
      <c r="AQ116" s="1922"/>
      <c r="AR116" s="1922"/>
      <c r="AS116" s="245"/>
      <c r="AT116" s="1922"/>
      <c r="AU116" s="1922"/>
      <c r="AV116" s="1922"/>
      <c r="AW116" s="1922"/>
      <c r="AX116" s="1922"/>
      <c r="AY116" s="1922"/>
      <c r="AZ116" s="1922"/>
      <c r="BA116" s="1922"/>
      <c r="BB116" s="1922"/>
      <c r="BC116" s="1880"/>
      <c r="BD116" s="1282"/>
      <c r="BE116" s="1282"/>
      <c r="BF116" s="992" t="s">
        <v>742</v>
      </c>
    </row>
    <row customHeight="1" ht="21.9375" hidden="1">
      <c r="A117" s="1282"/>
      <c r="B117" s="1389"/>
      <c r="C117" s="1282"/>
      <c r="D117" s="1282"/>
      <c r="E117" s="607">
        <v>22.5</v>
      </c>
      <c r="F117" s="50" cm="1" t="str">
        <f t="array" ref="F117:F117">OFFSET(E117,-1,1)</f>
        <v>0</v>
      </c>
      <c r="G117" s="1282"/>
      <c r="H117" s="64" t="s">
        <v>743</v>
      </c>
      <c r="I117" s="1282"/>
      <c r="J117" s="1282"/>
      <c r="K117" s="1282"/>
      <c r="L117" s="1282"/>
      <c r="M117" s="1282"/>
      <c r="N117" s="1282"/>
      <c r="O117" s="1282"/>
      <c r="P117" s="1395"/>
      <c r="Q117" s="1395"/>
      <c r="R117" s="1395"/>
      <c r="S117" s="1395"/>
      <c r="T117" s="438" cm="1" t="str">
        <f t="array" ref="T117:T117">T116</f>
        <v>false</v>
      </c>
      <c r="U117" s="1395"/>
      <c r="V117" s="1282"/>
      <c r="W117" s="1395"/>
      <c r="X117" s="1511"/>
      <c r="Y117" s="1493"/>
      <c r="Z117" s="1282"/>
      <c r="AA117" s="1282"/>
      <c r="AB117" s="206" t="s">
        <v>744</v>
      </c>
      <c r="AC117" s="303" t="s">
        <v>548</v>
      </c>
      <c r="AD117" s="59" t="s">
        <v>506</v>
      </c>
      <c r="AE117" s="1879"/>
      <c r="AF117" s="1879"/>
      <c r="AG117" s="1879"/>
      <c r="AH117" s="1879"/>
      <c r="AI117" s="242"/>
      <c r="AJ117" s="1879"/>
      <c r="AK117" s="1879"/>
      <c r="AL117" s="1879"/>
      <c r="AM117" s="1879"/>
      <c r="AN117" s="1879"/>
      <c r="AO117" s="1879"/>
      <c r="AP117" s="1879"/>
      <c r="AQ117" s="1879"/>
      <c r="AR117" s="1879"/>
      <c r="AS117" s="242"/>
      <c r="AT117" s="1879"/>
      <c r="AU117" s="1879"/>
      <c r="AV117" s="1879"/>
      <c r="AW117" s="1879"/>
      <c r="AX117" s="1879"/>
      <c r="AY117" s="1879"/>
      <c r="AZ117" s="1879"/>
      <c r="BA117" s="1879"/>
      <c r="BB117" s="1879"/>
      <c r="BC117" s="1880"/>
      <c r="BD117" s="1282"/>
      <c r="BE117" s="1282"/>
      <c r="BF117" s="992" t="s">
        <v>745</v>
      </c>
    </row>
    <row s="1624" customFormat="1" customHeight="1" ht="21.910504427823152">
      <c r="A118" s="1282"/>
      <c r="B118" s="1389"/>
      <c r="C118" s="1282"/>
      <c r="D118" s="1282"/>
      <c r="E118" s="607">
        <v>15</v>
      </c>
      <c r="F118" s="315" cm="1" t="str">
        <f t="array" ref="F118:F118">X118</f>
        <v>1</v>
      </c>
      <c r="G118" s="1282"/>
      <c r="H118" s="1282"/>
      <c r="I118" s="1282"/>
      <c r="J118" s="1282"/>
      <c r="K118" s="1282"/>
      <c r="L118" s="1282"/>
      <c r="M118" s="1282"/>
      <c r="N118" s="1282"/>
      <c r="O118" s="1282"/>
      <c r="P118" s="1395"/>
      <c r="Q118" s="1395"/>
      <c r="R118" s="1395"/>
      <c r="S118" s="1395"/>
      <c r="T118" s="438">
        <f>X118&gt;0</f>
        <v>1</v>
      </c>
      <c r="U118" s="1395"/>
      <c r="V118" s="64" cm="1" t="str">
        <f t="array" ref="V118:V118">ИИКА!$AB$32</f>
        <v>Тариф 1 (Водоотведение) - тариф на транспортировку сточных вод</v>
      </c>
      <c r="W118" s="1395"/>
      <c r="X118" s="1511" t="s">
        <v>281</v>
      </c>
      <c r="Y118" s="1493"/>
      <c r="Z118" s="1282"/>
      <c r="AA118" s="1282"/>
      <c r="AB118" s="146" cm="1" t="str">
        <f t="array" ref="AB118:AB118">ИИКА!$AB$32</f>
        <v>Тариф 1 (Водоотведение) - тариф на транспортировку сточных вод</v>
      </c>
      <c r="AC118" s="146"/>
      <c r="AD118" s="146"/>
      <c r="AE118" s="146"/>
      <c r="AF118" s="146"/>
      <c r="AG118" s="146"/>
      <c r="AH118" s="146"/>
      <c r="AI118" s="146"/>
      <c r="AJ118" s="146"/>
      <c r="AK118" s="146"/>
      <c r="AL118" s="146"/>
      <c r="AM118" s="146"/>
      <c r="AN118" s="146"/>
      <c r="AO118" s="146"/>
      <c r="AP118" s="146"/>
      <c r="AQ118" s="146"/>
      <c r="AR118" s="146"/>
      <c r="AS118" s="146"/>
      <c r="AT118" s="146"/>
      <c r="AU118" s="146"/>
      <c r="AV118" s="146"/>
      <c r="AW118" s="146"/>
      <c r="AX118" s="146"/>
      <c r="AY118" s="146"/>
      <c r="AZ118" s="146"/>
      <c r="BA118" s="146"/>
      <c r="BB118" s="146"/>
      <c r="BC118" s="146"/>
      <c r="BD118" s="1282"/>
      <c r="BE118" s="1282"/>
      <c r="BF118" s="1284"/>
    </row>
    <row s="1624" customFormat="1" customHeight="1" ht="14.25" hidden="1">
      <c r="A119" s="1282"/>
      <c r="B119" s="1389"/>
      <c r="C119" s="1282"/>
      <c r="D119" s="1282"/>
      <c r="E119" s="607">
        <v>15</v>
      </c>
      <c r="F119" s="50" cm="1" t="str">
        <f t="array" ref="F119:F119">OFFSET(E119,-1,1)</f>
        <v>1</v>
      </c>
      <c r="G119" s="1282"/>
      <c r="H119" s="1282"/>
      <c r="I119" s="1282"/>
      <c r="J119" s="1282"/>
      <c r="K119" s="1282"/>
      <c r="L119" s="1282"/>
      <c r="M119" s="1282"/>
      <c r="N119" s="1282"/>
      <c r="O119" s="1282"/>
      <c r="P119" s="1395"/>
      <c r="Q119" s="1395"/>
      <c r="R119" s="387" cm="1" t="str">
        <f t="array" ref="R119:R119">INDEX('Общие сведения'!$AN$179:$AN$208,MATCH($X118,'Общие сведения'!$Z$179:$Z$208,0))</f>
        <v>true</v>
      </c>
      <c r="S119" s="387">
        <f>IF(ISERROR(SEARCH("Водоснабжение",AB118)),FALSE,TRUE)</f>
        <v>0</v>
      </c>
      <c r="T119" s="438">
        <f>AND(X118&gt;0,S119,NOT(R119))</f>
        <v>0</v>
      </c>
      <c r="U119" s="1395"/>
      <c r="V119" s="1282"/>
      <c r="W119" s="1395"/>
      <c r="X119" s="1511"/>
      <c r="Y119" s="1493"/>
      <c r="Z119" s="1282"/>
      <c r="AA119" s="1282"/>
      <c r="AB119" s="206" t="s">
        <v>281</v>
      </c>
      <c r="AC119" s="295" t="s">
        <v>502</v>
      </c>
      <c r="AD119" s="58"/>
      <c r="AE119" s="544" cm="1" t="str">
        <f t="array" ref="AE119:AE119">INDEX('Общие сведения'!$AH$179:$AH$208,MATCH($X118,'Общие сведения'!$Z$179:$Z$208,0))</f>
        <v>без дифференциации</v>
      </c>
      <c r="AF119" s="328"/>
      <c r="AG119" s="328"/>
      <c r="AH119" s="328"/>
      <c r="AI119" s="328"/>
      <c r="AJ119" s="328"/>
      <c r="AK119" s="328"/>
      <c r="AL119" s="328"/>
      <c r="AM119" s="328"/>
      <c r="AN119" s="328"/>
      <c r="AO119" s="328"/>
      <c r="AP119" s="328"/>
      <c r="AQ119" s="328"/>
      <c r="AR119" s="328"/>
      <c r="AS119" s="328"/>
      <c r="AT119" s="328"/>
      <c r="AU119" s="328"/>
      <c r="AV119" s="328"/>
      <c r="AW119" s="328"/>
      <c r="AX119" s="328"/>
      <c r="AY119" s="328"/>
      <c r="AZ119" s="328"/>
      <c r="BA119" s="328"/>
      <c r="BB119" s="329"/>
      <c r="BC119" s="1880"/>
      <c r="BD119" s="1282"/>
      <c r="BE119" s="1282"/>
      <c r="BF119" s="992" t="s">
        <v>503</v>
      </c>
    </row>
    <row s="1624" customFormat="1" customHeight="1" ht="14.25" hidden="1">
      <c r="A120" s="1282"/>
      <c r="B120" s="1389"/>
      <c r="C120" s="1282"/>
      <c r="D120" s="1282"/>
      <c r="E120" s="607">
        <v>15</v>
      </c>
      <c r="F120" s="50" cm="1" t="str">
        <f t="array" ref="F120:F120">OFFSET(E120,-1,1)</f>
        <v>1</v>
      </c>
      <c r="G120" s="1282"/>
      <c r="H120" s="64" t="s">
        <v>325</v>
      </c>
      <c r="I120" s="1282"/>
      <c r="J120" s="1282"/>
      <c r="K120" s="1282"/>
      <c r="L120" s="1282"/>
      <c r="M120" s="1282"/>
      <c r="N120" s="1282"/>
      <c r="O120" s="1282"/>
      <c r="P120" s="1395"/>
      <c r="Q120" s="1395"/>
      <c r="R120" s="1395"/>
      <c r="S120" s="1395"/>
      <c r="T120" s="438" cm="1" t="str">
        <f t="array" ref="T120:T120">T119</f>
        <v>false</v>
      </c>
      <c r="U120" s="1395"/>
      <c r="V120" s="1282"/>
      <c r="W120" s="1395"/>
      <c r="X120" s="1511"/>
      <c r="Y120" s="1493"/>
      <c r="Z120" s="1282"/>
      <c r="AA120" s="1282"/>
      <c r="AB120" s="206" t="s">
        <v>504</v>
      </c>
      <c r="AC120" s="296" t="s">
        <v>505</v>
      </c>
      <c r="AD120" s="59" t="s">
        <v>506</v>
      </c>
      <c r="AE120" s="281">
        <f>AE129+AE124-AE127</f>
        <v>0</v>
      </c>
      <c r="AF120" s="281">
        <f>AF129+AF124-AF127</f>
        <v>0</v>
      </c>
      <c r="AG120" s="281">
        <f>AG129+AG124-AG127</f>
        <v>0</v>
      </c>
      <c r="AH120" s="281">
        <f>AH129+AH124-AH127</f>
        <v>0</v>
      </c>
      <c r="AI120" s="281">
        <f>AI129+AI124-AI127</f>
        <v>0</v>
      </c>
      <c r="AJ120" s="281">
        <f>AJ129+AJ124-AJ127</f>
        <v>0</v>
      </c>
      <c r="AK120" s="281">
        <f>AK129+AK124-AK127</f>
        <v>0</v>
      </c>
      <c r="AL120" s="281">
        <f>AL129+AL124-AL127</f>
        <v>0</v>
      </c>
      <c r="AM120" s="281">
        <f>AM129+AM124-AM127</f>
        <v>0</v>
      </c>
      <c r="AN120" s="281">
        <f>AN129+AN124-AN127</f>
        <v>0</v>
      </c>
      <c r="AO120" s="281">
        <f>AO129+AO124-AO127</f>
        <v>0</v>
      </c>
      <c r="AP120" s="281">
        <f>AP129+AP124-AP127</f>
        <v>0</v>
      </c>
      <c r="AQ120" s="281">
        <f>AQ129+AQ124-AQ127</f>
        <v>0</v>
      </c>
      <c r="AR120" s="281">
        <f>AR129+AR124-AR127</f>
        <v>0</v>
      </c>
      <c r="AS120" s="281">
        <f>AS129+AS124-AS127</f>
        <v>0</v>
      </c>
      <c r="AT120" s="281">
        <f>AT129+AT124-AT127</f>
        <v>0</v>
      </c>
      <c r="AU120" s="281">
        <f>AU129+AU124-AU127</f>
        <v>0</v>
      </c>
      <c r="AV120" s="281">
        <f>AV129+AV124-AV127</f>
        <v>0</v>
      </c>
      <c r="AW120" s="281">
        <f>AW129+AW124-AW127</f>
        <v>0</v>
      </c>
      <c r="AX120" s="281">
        <f>AX129+AX124-AX127</f>
        <v>0</v>
      </c>
      <c r="AY120" s="281">
        <f>AY129+AY124-AY127</f>
        <v>0</v>
      </c>
      <c r="AZ120" s="281">
        <f>AZ129+AZ124-AZ127</f>
        <v>0</v>
      </c>
      <c r="BA120" s="281">
        <f>BA129+BA124-BA127</f>
        <v>0</v>
      </c>
      <c r="BB120" s="281">
        <f>BB129+BB124-BB127</f>
        <v>0</v>
      </c>
      <c r="BC120" s="1880"/>
      <c r="BD120" s="1282"/>
      <c r="BE120" s="1282"/>
      <c r="BF120" s="992" t="s">
        <v>507</v>
      </c>
    </row>
    <row s="1624" customFormat="1" customHeight="1" ht="14.25" hidden="1">
      <c r="A121" s="1282"/>
      <c r="B121" s="1389"/>
      <c r="C121" s="1282"/>
      <c r="D121" s="1282"/>
      <c r="E121" s="607">
        <v>15</v>
      </c>
      <c r="F121" s="50" cm="1" t="str">
        <f t="array" ref="F121:F121">OFFSET(E121,-1,1)</f>
        <v>1</v>
      </c>
      <c r="G121" s="1282"/>
      <c r="H121" s="64" t="s">
        <v>508</v>
      </c>
      <c r="I121" s="1282"/>
      <c r="J121" s="1282"/>
      <c r="K121" s="1282"/>
      <c r="L121" s="1282"/>
      <c r="M121" s="1282"/>
      <c r="N121" s="1282"/>
      <c r="O121" s="1282"/>
      <c r="P121" s="1395"/>
      <c r="Q121" s="1395"/>
      <c r="R121" s="1395"/>
      <c r="S121" s="1395"/>
      <c r="T121" s="438" cm="1" t="str">
        <f t="array" ref="T121:T121">T120</f>
        <v>false</v>
      </c>
      <c r="U121" s="1395"/>
      <c r="V121" s="1282"/>
      <c r="W121" s="1395"/>
      <c r="X121" s="1511"/>
      <c r="Y121" s="1493"/>
      <c r="Z121" s="1282"/>
      <c r="AA121" s="1282"/>
      <c r="AB121" s="206" t="s">
        <v>509</v>
      </c>
      <c r="AC121" s="158" t="s">
        <v>510</v>
      </c>
      <c r="AD121" s="59" t="s">
        <v>506</v>
      </c>
      <c r="AE121" s="1922"/>
      <c r="AF121" s="1922"/>
      <c r="AG121" s="1922"/>
      <c r="AH121" s="1922"/>
      <c r="AI121" s="245"/>
      <c r="AJ121" s="1922"/>
      <c r="AK121" s="1922"/>
      <c r="AL121" s="1922"/>
      <c r="AM121" s="1922"/>
      <c r="AN121" s="1922"/>
      <c r="AO121" s="1922"/>
      <c r="AP121" s="1922"/>
      <c r="AQ121" s="1922"/>
      <c r="AR121" s="1922"/>
      <c r="AS121" s="245"/>
      <c r="AT121" s="1922"/>
      <c r="AU121" s="1922"/>
      <c r="AV121" s="1922"/>
      <c r="AW121" s="1922"/>
      <c r="AX121" s="1922"/>
      <c r="AY121" s="1922"/>
      <c r="AZ121" s="1922"/>
      <c r="BA121" s="1922"/>
      <c r="BB121" s="1922"/>
      <c r="BC121" s="1926"/>
      <c r="BD121" s="1282"/>
      <c r="BE121" s="1282"/>
      <c r="BF121" s="992" t="s">
        <v>511</v>
      </c>
    </row>
    <row s="1624" customFormat="1" customHeight="1" ht="14.25" hidden="1">
      <c r="A122" s="1282"/>
      <c r="B122" s="1389"/>
      <c r="C122" s="1282"/>
      <c r="D122" s="1282"/>
      <c r="E122" s="607">
        <v>15</v>
      </c>
      <c r="F122" s="50" cm="1" t="str">
        <f t="array" ref="F122:F122">OFFSET(E122,-1,1)</f>
        <v>1</v>
      </c>
      <c r="G122" s="1282"/>
      <c r="H122" s="64" t="s">
        <v>512</v>
      </c>
      <c r="I122" s="1282"/>
      <c r="J122" s="1282"/>
      <c r="K122" s="1282"/>
      <c r="L122" s="1282"/>
      <c r="M122" s="1282"/>
      <c r="N122" s="1282"/>
      <c r="O122" s="1282"/>
      <c r="P122" s="1395"/>
      <c r="Q122" s="1395"/>
      <c r="R122" s="1395"/>
      <c r="S122" s="1395"/>
      <c r="T122" s="438" cm="1" t="str">
        <f t="array" ref="T122:T122">T121</f>
        <v>false</v>
      </c>
      <c r="U122" s="1395"/>
      <c r="V122" s="1282"/>
      <c r="W122" s="1395"/>
      <c r="X122" s="1511"/>
      <c r="Y122" s="1493"/>
      <c r="Z122" s="1282"/>
      <c r="AA122" s="1282"/>
      <c r="AB122" s="206" t="s">
        <v>513</v>
      </c>
      <c r="AC122" s="158" t="s">
        <v>514</v>
      </c>
      <c r="AD122" s="59" t="s">
        <v>506</v>
      </c>
      <c r="AE122" s="1922"/>
      <c r="AF122" s="1922"/>
      <c r="AG122" s="1922"/>
      <c r="AH122" s="1922"/>
      <c r="AI122" s="245"/>
      <c r="AJ122" s="1922"/>
      <c r="AK122" s="1922"/>
      <c r="AL122" s="1922"/>
      <c r="AM122" s="1922"/>
      <c r="AN122" s="1922"/>
      <c r="AO122" s="1922"/>
      <c r="AP122" s="1922"/>
      <c r="AQ122" s="1922"/>
      <c r="AR122" s="1922"/>
      <c r="AS122" s="245"/>
      <c r="AT122" s="1922"/>
      <c r="AU122" s="1922"/>
      <c r="AV122" s="1922"/>
      <c r="AW122" s="1922"/>
      <c r="AX122" s="1922"/>
      <c r="AY122" s="1922"/>
      <c r="AZ122" s="1922"/>
      <c r="BA122" s="1922"/>
      <c r="BB122" s="1922"/>
      <c r="BC122" s="1926"/>
      <c r="BD122" s="1282"/>
      <c r="BE122" s="1282"/>
      <c r="BF122" s="992" t="s">
        <v>515</v>
      </c>
    </row>
    <row s="1624" customFormat="1" customHeight="1" ht="21.75" hidden="1">
      <c r="A123" s="1282"/>
      <c r="B123" s="1389"/>
      <c r="C123" s="1282"/>
      <c r="D123" s="1282"/>
      <c r="E123" s="607">
        <v>22.5</v>
      </c>
      <c r="F123" s="50" cm="1" t="str">
        <f t="array" ref="F123:F123">OFFSET(E123,-1,1)</f>
        <v>1</v>
      </c>
      <c r="G123" s="1282"/>
      <c r="H123" s="64" t="s">
        <v>516</v>
      </c>
      <c r="I123" s="1282"/>
      <c r="J123" s="1282"/>
      <c r="K123" s="1282"/>
      <c r="L123" s="1282"/>
      <c r="M123" s="1282"/>
      <c r="N123" s="1282"/>
      <c r="O123" s="1282"/>
      <c r="P123" s="1395"/>
      <c r="Q123" s="1395"/>
      <c r="R123" s="1395"/>
      <c r="S123" s="1395"/>
      <c r="T123" s="438" cm="1" t="str">
        <f t="array" ref="T123:T123">T122</f>
        <v>false</v>
      </c>
      <c r="U123" s="1395"/>
      <c r="V123" s="1282"/>
      <c r="W123" s="1395"/>
      <c r="X123" s="1511"/>
      <c r="Y123" s="1493"/>
      <c r="Z123" s="1282"/>
      <c r="AA123" s="1282"/>
      <c r="AB123" s="206" t="s">
        <v>517</v>
      </c>
      <c r="AC123" s="296" t="s">
        <v>518</v>
      </c>
      <c r="AD123" s="59" t="s">
        <v>506</v>
      </c>
      <c r="AE123" s="1922"/>
      <c r="AF123" s="1922"/>
      <c r="AG123" s="1922"/>
      <c r="AH123" s="1922"/>
      <c r="AI123" s="245"/>
      <c r="AJ123" s="1922"/>
      <c r="AK123" s="1922"/>
      <c r="AL123" s="1922"/>
      <c r="AM123" s="1922"/>
      <c r="AN123" s="1922"/>
      <c r="AO123" s="1922"/>
      <c r="AP123" s="1922"/>
      <c r="AQ123" s="1922"/>
      <c r="AR123" s="1922"/>
      <c r="AS123" s="245"/>
      <c r="AT123" s="1922"/>
      <c r="AU123" s="1922"/>
      <c r="AV123" s="1922"/>
      <c r="AW123" s="1922"/>
      <c r="AX123" s="1922"/>
      <c r="AY123" s="1922"/>
      <c r="AZ123" s="1922"/>
      <c r="BA123" s="1922"/>
      <c r="BB123" s="1922"/>
      <c r="BC123" s="1926"/>
      <c r="BD123" s="1282"/>
      <c r="BE123" s="1282"/>
      <c r="BF123" s="992" t="s">
        <v>519</v>
      </c>
    </row>
    <row s="1624" customFormat="1" customHeight="1" ht="14.25" hidden="1">
      <c r="A124" s="1282"/>
      <c r="B124" s="1389"/>
      <c r="C124" s="1282"/>
      <c r="D124" s="1282"/>
      <c r="E124" s="607">
        <v>15</v>
      </c>
      <c r="F124" s="50" cm="1" t="str">
        <f t="array" ref="F124:F124">OFFSET(E124,-1,1)</f>
        <v>1</v>
      </c>
      <c r="G124" s="1282"/>
      <c r="H124" s="64" t="s">
        <v>324</v>
      </c>
      <c r="I124" s="1282"/>
      <c r="J124" s="1282"/>
      <c r="K124" s="1282"/>
      <c r="L124" s="1282"/>
      <c r="M124" s="1282"/>
      <c r="N124" s="1282"/>
      <c r="O124" s="1282"/>
      <c r="P124" s="1395"/>
      <c r="Q124" s="1395"/>
      <c r="R124" s="1395"/>
      <c r="S124" s="1395"/>
      <c r="T124" s="438" cm="1" t="str">
        <f t="array" ref="T124:T124">T123</f>
        <v>false</v>
      </c>
      <c r="U124" s="1395"/>
      <c r="V124" s="1282"/>
      <c r="W124" s="1395"/>
      <c r="X124" s="1511"/>
      <c r="Y124" s="1493"/>
      <c r="Z124" s="1282"/>
      <c r="AA124" s="1282"/>
      <c r="AB124" s="206" t="s">
        <v>319</v>
      </c>
      <c r="AC124" s="296" t="s">
        <v>520</v>
      </c>
      <c r="AD124" s="59" t="s">
        <v>506</v>
      </c>
      <c r="AE124" s="281">
        <f>SUM(AE125:AE126)</f>
        <v>0</v>
      </c>
      <c r="AF124" s="281">
        <f>SUM(AF125:AF126)</f>
        <v>0</v>
      </c>
      <c r="AG124" s="281">
        <f>SUM(AG125:AG126)</f>
        <v>0</v>
      </c>
      <c r="AH124" s="281">
        <f>SUM(AH125:AH126)</f>
        <v>0</v>
      </c>
      <c r="AI124" s="281">
        <f>SUM(AI125:AI126)</f>
        <v>0</v>
      </c>
      <c r="AJ124" s="281">
        <f>SUM(AJ125:AJ126)</f>
        <v>0</v>
      </c>
      <c r="AK124" s="281">
        <f>SUM(AK125:AK126)</f>
        <v>0</v>
      </c>
      <c r="AL124" s="281">
        <f>SUM(AL125:AL126)</f>
        <v>0</v>
      </c>
      <c r="AM124" s="281">
        <f>SUM(AM125:AM126)</f>
        <v>0</v>
      </c>
      <c r="AN124" s="281">
        <f>SUM(AN125:AN126)</f>
        <v>0</v>
      </c>
      <c r="AO124" s="281">
        <f>SUM(AO125:AO126)</f>
        <v>0</v>
      </c>
      <c r="AP124" s="281">
        <f>SUM(AP125:AP126)</f>
        <v>0</v>
      </c>
      <c r="AQ124" s="281">
        <f>SUM(AQ125:AQ126)</f>
        <v>0</v>
      </c>
      <c r="AR124" s="281">
        <f>SUM(AR125:AR126)</f>
        <v>0</v>
      </c>
      <c r="AS124" s="281">
        <f>SUM(AS125:AS126)</f>
        <v>0</v>
      </c>
      <c r="AT124" s="281">
        <f>SUM(AT125:AT126)</f>
        <v>0</v>
      </c>
      <c r="AU124" s="281">
        <f>SUM(AU125:AU126)</f>
        <v>0</v>
      </c>
      <c r="AV124" s="281">
        <f>SUM(AV125:AV126)</f>
        <v>0</v>
      </c>
      <c r="AW124" s="281">
        <f>SUM(AW125:AW126)</f>
        <v>0</v>
      </c>
      <c r="AX124" s="281">
        <f>SUM(AX125:AX126)</f>
        <v>0</v>
      </c>
      <c r="AY124" s="281">
        <f>SUM(AY125:AY126)</f>
        <v>0</v>
      </c>
      <c r="AZ124" s="281">
        <f>SUM(AZ125:AZ126)</f>
        <v>0</v>
      </c>
      <c r="BA124" s="281">
        <f>SUM(BA125:BA126)</f>
        <v>0</v>
      </c>
      <c r="BB124" s="281">
        <f>SUM(BB125:BB126)</f>
        <v>0</v>
      </c>
      <c r="BC124" s="1926"/>
      <c r="BD124" s="1282"/>
      <c r="BE124" s="1282"/>
      <c r="BF124" s="992" t="s">
        <v>521</v>
      </c>
    </row>
    <row s="1624" customFormat="1" customHeight="1" ht="14.25" hidden="1">
      <c r="A125" s="1282"/>
      <c r="B125" s="1389"/>
      <c r="C125" s="1282"/>
      <c r="D125" s="1282"/>
      <c r="E125" s="607">
        <v>15</v>
      </c>
      <c r="F125" s="50" cm="1" t="str">
        <f t="array" ref="F125:F125">OFFSET(E125,-1,1)</f>
        <v>1</v>
      </c>
      <c r="G125" s="1282"/>
      <c r="H125" s="64" t="s">
        <v>522</v>
      </c>
      <c r="I125" s="1282"/>
      <c r="J125" s="1282"/>
      <c r="K125" s="1282"/>
      <c r="L125" s="1282"/>
      <c r="M125" s="1282"/>
      <c r="N125" s="1282"/>
      <c r="O125" s="1282"/>
      <c r="P125" s="1395"/>
      <c r="Q125" s="1395"/>
      <c r="R125" s="1395"/>
      <c r="S125" s="1395"/>
      <c r="T125" s="438" cm="1" t="str">
        <f t="array" ref="T125:T125">T124</f>
        <v>false</v>
      </c>
      <c r="U125" s="1395"/>
      <c r="V125" s="1282"/>
      <c r="W125" s="1395"/>
      <c r="X125" s="1511"/>
      <c r="Y125" s="1493"/>
      <c r="Z125" s="1282"/>
      <c r="AA125" s="1282"/>
      <c r="AB125" s="206" t="s">
        <v>523</v>
      </c>
      <c r="AC125" s="158" t="s">
        <v>524</v>
      </c>
      <c r="AD125" s="59" t="s">
        <v>506</v>
      </c>
      <c r="AE125" s="1922"/>
      <c r="AF125" s="1922"/>
      <c r="AG125" s="1922"/>
      <c r="AH125" s="1922"/>
      <c r="AI125" s="245"/>
      <c r="AJ125" s="1922"/>
      <c r="AK125" s="1922"/>
      <c r="AL125" s="1922"/>
      <c r="AM125" s="1922"/>
      <c r="AN125" s="1922"/>
      <c r="AO125" s="1922"/>
      <c r="AP125" s="1922"/>
      <c r="AQ125" s="1922"/>
      <c r="AR125" s="1922"/>
      <c r="AS125" s="245"/>
      <c r="AT125" s="1922"/>
      <c r="AU125" s="1922"/>
      <c r="AV125" s="1922"/>
      <c r="AW125" s="1922"/>
      <c r="AX125" s="1922"/>
      <c r="AY125" s="1922"/>
      <c r="AZ125" s="1922"/>
      <c r="BA125" s="1922"/>
      <c r="BB125" s="1922"/>
      <c r="BC125" s="1926"/>
      <c r="BD125" s="1282"/>
      <c r="BE125" s="1282"/>
      <c r="BF125" s="992" t="s">
        <v>525</v>
      </c>
    </row>
    <row s="1624" customFormat="1" customHeight="1" ht="14.25" hidden="1">
      <c r="A126" s="1282"/>
      <c r="B126" s="1389"/>
      <c r="C126" s="1282"/>
      <c r="D126" s="1282"/>
      <c r="E126" s="607">
        <v>15</v>
      </c>
      <c r="F126" s="50" cm="1" t="str">
        <f t="array" ref="F126:F126">OFFSET(E126,-1,1)</f>
        <v>1</v>
      </c>
      <c r="G126" s="1282"/>
      <c r="H126" s="64" t="s">
        <v>526</v>
      </c>
      <c r="I126" s="1282"/>
      <c r="J126" s="1282"/>
      <c r="K126" s="1282"/>
      <c r="L126" s="1282"/>
      <c r="M126" s="1282"/>
      <c r="N126" s="1282"/>
      <c r="O126" s="1282"/>
      <c r="P126" s="1395"/>
      <c r="Q126" s="1395"/>
      <c r="R126" s="1395"/>
      <c r="S126" s="1395"/>
      <c r="T126" s="438" cm="1" t="str">
        <f t="array" ref="T126:T126">T125</f>
        <v>false</v>
      </c>
      <c r="U126" s="1395"/>
      <c r="V126" s="1282"/>
      <c r="W126" s="1395"/>
      <c r="X126" s="1511"/>
      <c r="Y126" s="1493"/>
      <c r="Z126" s="1282"/>
      <c r="AA126" s="1282"/>
      <c r="AB126" s="206" t="s">
        <v>527</v>
      </c>
      <c r="AC126" s="158" t="s">
        <v>528</v>
      </c>
      <c r="AD126" s="59" t="s">
        <v>506</v>
      </c>
      <c r="AE126" s="1922"/>
      <c r="AF126" s="1922"/>
      <c r="AG126" s="1922"/>
      <c r="AH126" s="1922"/>
      <c r="AI126" s="245"/>
      <c r="AJ126" s="1922"/>
      <c r="AK126" s="1922"/>
      <c r="AL126" s="1922"/>
      <c r="AM126" s="1922"/>
      <c r="AN126" s="1922"/>
      <c r="AO126" s="1922"/>
      <c r="AP126" s="1922"/>
      <c r="AQ126" s="1922"/>
      <c r="AR126" s="1922"/>
      <c r="AS126" s="245"/>
      <c r="AT126" s="1922"/>
      <c r="AU126" s="1922"/>
      <c r="AV126" s="1922"/>
      <c r="AW126" s="1922"/>
      <c r="AX126" s="1922"/>
      <c r="AY126" s="1922"/>
      <c r="AZ126" s="1922"/>
      <c r="BA126" s="1922"/>
      <c r="BB126" s="1922"/>
      <c r="BC126" s="1926"/>
      <c r="BD126" s="1282"/>
      <c r="BE126" s="1282"/>
      <c r="BF126" s="992" t="s">
        <v>529</v>
      </c>
    </row>
    <row s="1624" customFormat="1" customHeight="1" ht="14.25" hidden="1">
      <c r="A127" s="1282"/>
      <c r="B127" s="1389"/>
      <c r="C127" s="1282"/>
      <c r="D127" s="1282"/>
      <c r="E127" s="607">
        <v>15</v>
      </c>
      <c r="F127" s="50" cm="1" t="str">
        <f t="array" ref="F127:F127">OFFSET(E127,-1,1)</f>
        <v>1</v>
      </c>
      <c r="G127" s="1282"/>
      <c r="H127" s="64" t="s">
        <v>484</v>
      </c>
      <c r="I127" s="1282"/>
      <c r="J127" s="1282"/>
      <c r="K127" s="1282"/>
      <c r="L127" s="1282"/>
      <c r="M127" s="1282"/>
      <c r="N127" s="1282"/>
      <c r="O127" s="1282"/>
      <c r="P127" s="1395"/>
      <c r="Q127" s="1395"/>
      <c r="R127" s="1395"/>
      <c r="S127" s="1395"/>
      <c r="T127" s="438" cm="1" t="str">
        <f t="array" ref="T127:T127">T126</f>
        <v>false</v>
      </c>
      <c r="U127" s="1395"/>
      <c r="V127" s="1282"/>
      <c r="W127" s="1395"/>
      <c r="X127" s="1511"/>
      <c r="Y127" s="1493"/>
      <c r="Z127" s="1282"/>
      <c r="AA127" s="1282"/>
      <c r="AB127" s="206" t="s">
        <v>530</v>
      </c>
      <c r="AC127" s="295" t="s">
        <v>531</v>
      </c>
      <c r="AD127" s="59" t="s">
        <v>506</v>
      </c>
      <c r="AE127" s="1879"/>
      <c r="AF127" s="1879"/>
      <c r="AG127" s="1879"/>
      <c r="AH127" s="1879"/>
      <c r="AI127" s="242"/>
      <c r="AJ127" s="1879"/>
      <c r="AK127" s="1879"/>
      <c r="AL127" s="1879"/>
      <c r="AM127" s="1879"/>
      <c r="AN127" s="1879"/>
      <c r="AO127" s="1879"/>
      <c r="AP127" s="1879"/>
      <c r="AQ127" s="1879"/>
      <c r="AR127" s="1879"/>
      <c r="AS127" s="242"/>
      <c r="AT127" s="1879"/>
      <c r="AU127" s="1879"/>
      <c r="AV127" s="1879"/>
      <c r="AW127" s="1879"/>
      <c r="AX127" s="1879"/>
      <c r="AY127" s="1879"/>
      <c r="AZ127" s="1879"/>
      <c r="BA127" s="1879"/>
      <c r="BB127" s="1879"/>
      <c r="BC127" s="1926"/>
      <c r="BD127" s="1282"/>
      <c r="BE127" s="1282"/>
      <c r="BF127" s="992" t="s">
        <v>532</v>
      </c>
    </row>
    <row s="1624" customFormat="1" customHeight="1" ht="14.25" hidden="1">
      <c r="A128" s="1282"/>
      <c r="B128" s="1389"/>
      <c r="C128" s="1282"/>
      <c r="D128" s="1282"/>
      <c r="E128" s="607">
        <v>15</v>
      </c>
      <c r="F128" s="50" cm="1" t="str">
        <f t="array" ref="F128:F128">OFFSET(E128,-1,1)</f>
        <v>1</v>
      </c>
      <c r="G128" s="1282"/>
      <c r="H128" s="64" t="s">
        <v>488</v>
      </c>
      <c r="I128" s="1282"/>
      <c r="J128" s="1282"/>
      <c r="K128" s="1282"/>
      <c r="L128" s="1282"/>
      <c r="M128" s="1282"/>
      <c r="N128" s="1282"/>
      <c r="O128" s="1282"/>
      <c r="P128" s="1395"/>
      <c r="Q128" s="1395"/>
      <c r="R128" s="1395"/>
      <c r="S128" s="1395"/>
      <c r="T128" s="438" cm="1" t="str">
        <f t="array" ref="T128:T128">T127</f>
        <v>false</v>
      </c>
      <c r="U128" s="1395"/>
      <c r="V128" s="1282"/>
      <c r="W128" s="1395"/>
      <c r="X128" s="1511"/>
      <c r="Y128" s="1493"/>
      <c r="Z128" s="1282"/>
      <c r="AA128" s="1282"/>
      <c r="AB128" s="206" t="s">
        <v>485</v>
      </c>
      <c r="AC128" s="295" t="s">
        <v>533</v>
      </c>
      <c r="AD128" s="59" t="s">
        <v>506</v>
      </c>
      <c r="AE128" s="1922"/>
      <c r="AF128" s="1922"/>
      <c r="AG128" s="1922"/>
      <c r="AH128" s="1922"/>
      <c r="AI128" s="245"/>
      <c r="AJ128" s="1922"/>
      <c r="AK128" s="1922"/>
      <c r="AL128" s="1922"/>
      <c r="AM128" s="1922"/>
      <c r="AN128" s="1922"/>
      <c r="AO128" s="1922"/>
      <c r="AP128" s="1922"/>
      <c r="AQ128" s="1922"/>
      <c r="AR128" s="1922"/>
      <c r="AS128" s="245"/>
      <c r="AT128" s="1922"/>
      <c r="AU128" s="1922"/>
      <c r="AV128" s="1922"/>
      <c r="AW128" s="1922"/>
      <c r="AX128" s="1922"/>
      <c r="AY128" s="1922"/>
      <c r="AZ128" s="1922"/>
      <c r="BA128" s="1922"/>
      <c r="BB128" s="1922"/>
      <c r="BC128" s="1926"/>
      <c r="BD128" s="1282"/>
      <c r="BE128" s="1282"/>
      <c r="BF128" s="992" t="s">
        <v>534</v>
      </c>
    </row>
    <row s="1624" customFormat="1" customHeight="1" ht="14.25" hidden="1">
      <c r="A129" s="1282"/>
      <c r="B129" s="1389"/>
      <c r="C129" s="1282"/>
      <c r="D129" s="1282"/>
      <c r="E129" s="607">
        <v>15</v>
      </c>
      <c r="F129" s="50" cm="1" t="str">
        <f t="array" ref="F129:F129">OFFSET(E129,-1,1)</f>
        <v>1</v>
      </c>
      <c r="G129" s="1282"/>
      <c r="H129" s="64" t="s">
        <v>535</v>
      </c>
      <c r="I129" s="1282"/>
      <c r="J129" s="1282"/>
      <c r="K129" s="1282"/>
      <c r="L129" s="1282"/>
      <c r="M129" s="1282"/>
      <c r="N129" s="1282"/>
      <c r="O129" s="1282"/>
      <c r="P129" s="1395"/>
      <c r="Q129" s="1395"/>
      <c r="R129" s="1395"/>
      <c r="S129" s="1395"/>
      <c r="T129" s="438" cm="1" t="str">
        <f t="array" ref="T129:T129">T128</f>
        <v>false</v>
      </c>
      <c r="U129" s="1395"/>
      <c r="V129" s="1282"/>
      <c r="W129" s="1395"/>
      <c r="X129" s="1511"/>
      <c r="Y129" s="1493"/>
      <c r="Z129" s="1282"/>
      <c r="AA129" s="1282"/>
      <c r="AB129" s="206" t="s">
        <v>489</v>
      </c>
      <c r="AC129" s="296" t="s">
        <v>536</v>
      </c>
      <c r="AD129" s="59" t="s">
        <v>506</v>
      </c>
      <c r="AE129" s="281">
        <f>AE135+AE133</f>
        <v>0</v>
      </c>
      <c r="AF129" s="281">
        <f>AF135+AF133</f>
        <v>0</v>
      </c>
      <c r="AG129" s="281">
        <f>AG135+AG133</f>
        <v>0</v>
      </c>
      <c r="AH129" s="281">
        <f>AH135+AH133</f>
        <v>0</v>
      </c>
      <c r="AI129" s="281">
        <f>AI135+AI133</f>
        <v>0</v>
      </c>
      <c r="AJ129" s="281">
        <f>AJ135+AJ133</f>
        <v>0</v>
      </c>
      <c r="AK129" s="281">
        <f>AK135+AK133</f>
        <v>0</v>
      </c>
      <c r="AL129" s="281">
        <f>AL135+AL133</f>
        <v>0</v>
      </c>
      <c r="AM129" s="281">
        <f>AM135+AM133</f>
        <v>0</v>
      </c>
      <c r="AN129" s="281">
        <f>AN135+AN133</f>
        <v>0</v>
      </c>
      <c r="AO129" s="281">
        <f>AO135+AO133</f>
        <v>0</v>
      </c>
      <c r="AP129" s="281">
        <f>AP135+AP133</f>
        <v>0</v>
      </c>
      <c r="AQ129" s="281">
        <f>AQ135+AQ133</f>
        <v>0</v>
      </c>
      <c r="AR129" s="281">
        <f>AR135+AR133</f>
        <v>0</v>
      </c>
      <c r="AS129" s="281">
        <f>AS135+AS133</f>
        <v>0</v>
      </c>
      <c r="AT129" s="281">
        <f>AT135+AT133</f>
        <v>0</v>
      </c>
      <c r="AU129" s="281">
        <f>AU135+AU133</f>
        <v>0</v>
      </c>
      <c r="AV129" s="281">
        <f>AV135+AV133</f>
        <v>0</v>
      </c>
      <c r="AW129" s="281">
        <f>AW135+AW133</f>
        <v>0</v>
      </c>
      <c r="AX129" s="281">
        <f>AX135+AX133</f>
        <v>0</v>
      </c>
      <c r="AY129" s="281">
        <f>AY135+AY133</f>
        <v>0</v>
      </c>
      <c r="AZ129" s="281">
        <f>AZ135+AZ133</f>
        <v>0</v>
      </c>
      <c r="BA129" s="281">
        <f>BA135+BA133</f>
        <v>0</v>
      </c>
      <c r="BB129" s="281">
        <f>BB135+BB133</f>
        <v>0</v>
      </c>
      <c r="BC129" s="1926"/>
      <c r="BD129" s="1282"/>
      <c r="BE129" s="1282"/>
      <c r="BF129" s="992" t="s">
        <v>537</v>
      </c>
    </row>
    <row s="1624" customFormat="1" customHeight="1" ht="21.75" hidden="1">
      <c r="A130" s="1282"/>
      <c r="B130" s="1389"/>
      <c r="C130" s="1282"/>
      <c r="D130" s="1282"/>
      <c r="E130" s="607">
        <v>22.5</v>
      </c>
      <c r="F130" s="50" cm="1" t="str">
        <f t="array" ref="F130:F130">OFFSET(E130,-1,1)</f>
        <v>1</v>
      </c>
      <c r="G130" s="1282"/>
      <c r="H130" s="64" t="s">
        <v>538</v>
      </c>
      <c r="I130" s="1282"/>
      <c r="J130" s="1282"/>
      <c r="K130" s="1282"/>
      <c r="L130" s="1282"/>
      <c r="M130" s="1282"/>
      <c r="N130" s="1282"/>
      <c r="O130" s="1282"/>
      <c r="P130" s="1395"/>
      <c r="Q130" s="1395"/>
      <c r="R130" s="1395"/>
      <c r="S130" s="1395"/>
      <c r="T130" s="438" cm="1" t="str">
        <f t="array" ref="T130:T130">T129</f>
        <v>false</v>
      </c>
      <c r="U130" s="1395"/>
      <c r="V130" s="1282"/>
      <c r="W130" s="1395"/>
      <c r="X130" s="1511"/>
      <c r="Y130" s="1493"/>
      <c r="Z130" s="1282"/>
      <c r="AA130" s="1282"/>
      <c r="AB130" s="206" t="s">
        <v>539</v>
      </c>
      <c r="AC130" s="158" t="s">
        <v>540</v>
      </c>
      <c r="AD130" s="59" t="s">
        <v>506</v>
      </c>
      <c r="AE130" s="1922"/>
      <c r="AF130" s="1922"/>
      <c r="AG130" s="1922"/>
      <c r="AH130" s="1922"/>
      <c r="AI130" s="245"/>
      <c r="AJ130" s="1922"/>
      <c r="AK130" s="1922"/>
      <c r="AL130" s="1922"/>
      <c r="AM130" s="1922"/>
      <c r="AN130" s="1922"/>
      <c r="AO130" s="1922"/>
      <c r="AP130" s="1922"/>
      <c r="AQ130" s="1922"/>
      <c r="AR130" s="1922"/>
      <c r="AS130" s="245"/>
      <c r="AT130" s="1922"/>
      <c r="AU130" s="1922"/>
      <c r="AV130" s="1922"/>
      <c r="AW130" s="1922"/>
      <c r="AX130" s="1922"/>
      <c r="AY130" s="1922"/>
      <c r="AZ130" s="1922"/>
      <c r="BA130" s="1922"/>
      <c r="BB130" s="1922"/>
      <c r="BC130" s="1926"/>
      <c r="BD130" s="1282"/>
      <c r="BE130" s="1282"/>
      <c r="BF130" s="992" t="s">
        <v>541</v>
      </c>
    </row>
    <row s="1624" customFormat="1" customHeight="1" ht="14.25" hidden="1">
      <c r="A131" s="1282"/>
      <c r="B131" s="1389"/>
      <c r="C131" s="1282"/>
      <c r="D131" s="1282"/>
      <c r="E131" s="607">
        <v>15</v>
      </c>
      <c r="F131" s="50" cm="1" t="str">
        <f t="array" ref="F131:F131">OFFSET(E131,-1,1)</f>
        <v>1</v>
      </c>
      <c r="G131" s="1282"/>
      <c r="H131" s="64" t="s">
        <v>542</v>
      </c>
      <c r="I131" s="1282"/>
      <c r="J131" s="1282"/>
      <c r="K131" s="1282"/>
      <c r="L131" s="1282"/>
      <c r="M131" s="1282"/>
      <c r="N131" s="1282"/>
      <c r="O131" s="1282"/>
      <c r="P131" s="1395"/>
      <c r="Q131" s="1395"/>
      <c r="R131" s="1395"/>
      <c r="S131" s="1395"/>
      <c r="T131" s="438" cm="1" t="str">
        <f t="array" ref="T131:T131">T130</f>
        <v>false</v>
      </c>
      <c r="U131" s="1395"/>
      <c r="V131" s="1282"/>
      <c r="W131" s="1395"/>
      <c r="X131" s="1511"/>
      <c r="Y131" s="1493"/>
      <c r="Z131" s="1282"/>
      <c r="AA131" s="1282"/>
      <c r="AB131" s="206" t="s">
        <v>543</v>
      </c>
      <c r="AC131" s="158" t="s">
        <v>544</v>
      </c>
      <c r="AD131" s="59" t="s">
        <v>506</v>
      </c>
      <c r="AE131" s="1922"/>
      <c r="AF131" s="1922"/>
      <c r="AG131" s="1922"/>
      <c r="AH131" s="1922"/>
      <c r="AI131" s="245"/>
      <c r="AJ131" s="1922"/>
      <c r="AK131" s="1922"/>
      <c r="AL131" s="1922"/>
      <c r="AM131" s="1922"/>
      <c r="AN131" s="1922"/>
      <c r="AO131" s="1922"/>
      <c r="AP131" s="1922"/>
      <c r="AQ131" s="1922"/>
      <c r="AR131" s="1922"/>
      <c r="AS131" s="245"/>
      <c r="AT131" s="1922"/>
      <c r="AU131" s="1922"/>
      <c r="AV131" s="1922"/>
      <c r="AW131" s="1922"/>
      <c r="AX131" s="1922"/>
      <c r="AY131" s="1922"/>
      <c r="AZ131" s="1922"/>
      <c r="BA131" s="1922"/>
      <c r="BB131" s="1922"/>
      <c r="BC131" s="1926"/>
      <c r="BD131" s="1282"/>
      <c r="BE131" s="1282"/>
      <c r="BF131" s="992" t="s">
        <v>545</v>
      </c>
    </row>
    <row s="1624" customFormat="1" customHeight="1" ht="21.75" hidden="1">
      <c r="A132" s="1282"/>
      <c r="B132" s="1389"/>
      <c r="C132" s="1282"/>
      <c r="D132" s="1282"/>
      <c r="E132" s="607">
        <v>22.5</v>
      </c>
      <c r="F132" s="50" cm="1" t="str">
        <f t="array" ref="F132:F132">OFFSET(E132,-1,1)</f>
        <v>1</v>
      </c>
      <c r="G132" s="1282"/>
      <c r="H132" s="64" t="s">
        <v>546</v>
      </c>
      <c r="I132" s="1282"/>
      <c r="J132" s="1282"/>
      <c r="K132" s="1282"/>
      <c r="L132" s="1282"/>
      <c r="M132" s="1282"/>
      <c r="N132" s="1282"/>
      <c r="O132" s="1282"/>
      <c r="P132" s="1395"/>
      <c r="Q132" s="1395"/>
      <c r="R132" s="1395"/>
      <c r="S132" s="1395"/>
      <c r="T132" s="438" cm="1" t="str">
        <f t="array" ref="T132:T132">T131</f>
        <v>false</v>
      </c>
      <c r="U132" s="1395"/>
      <c r="V132" s="1282"/>
      <c r="W132" s="1395"/>
      <c r="X132" s="1511"/>
      <c r="Y132" s="1493"/>
      <c r="Z132" s="1282"/>
      <c r="AA132" s="1282"/>
      <c r="AB132" s="206" t="s">
        <v>547</v>
      </c>
      <c r="AC132" s="158" t="s">
        <v>548</v>
      </c>
      <c r="AD132" s="59" t="s">
        <v>506</v>
      </c>
      <c r="AE132" s="1922"/>
      <c r="AF132" s="1922"/>
      <c r="AG132" s="1922"/>
      <c r="AH132" s="1922"/>
      <c r="AI132" s="245"/>
      <c r="AJ132" s="1922"/>
      <c r="AK132" s="1922"/>
      <c r="AL132" s="1922"/>
      <c r="AM132" s="1922"/>
      <c r="AN132" s="1922"/>
      <c r="AO132" s="1922"/>
      <c r="AP132" s="1922"/>
      <c r="AQ132" s="1922"/>
      <c r="AR132" s="1922"/>
      <c r="AS132" s="245"/>
      <c r="AT132" s="1922"/>
      <c r="AU132" s="1922"/>
      <c r="AV132" s="1922"/>
      <c r="AW132" s="1922"/>
      <c r="AX132" s="1922"/>
      <c r="AY132" s="1922"/>
      <c r="AZ132" s="1922"/>
      <c r="BA132" s="1922"/>
      <c r="BB132" s="1922"/>
      <c r="BC132" s="1926"/>
      <c r="BD132" s="1282"/>
      <c r="BE132" s="1282"/>
      <c r="BF132" s="992" t="s">
        <v>549</v>
      </c>
    </row>
    <row s="1624" customFormat="1" customHeight="1" ht="14.25" hidden="1">
      <c r="A133" s="1282"/>
      <c r="B133" s="1389"/>
      <c r="C133" s="1282"/>
      <c r="D133" s="1282"/>
      <c r="E133" s="607">
        <v>15</v>
      </c>
      <c r="F133" s="50" cm="1" t="str">
        <f t="array" ref="F133:F133">OFFSET(E133,-1,1)</f>
        <v>1</v>
      </c>
      <c r="G133" s="1282"/>
      <c r="H133" s="64" t="s">
        <v>550</v>
      </c>
      <c r="I133" s="1282"/>
      <c r="J133" s="1282"/>
      <c r="K133" s="1282"/>
      <c r="L133" s="1282"/>
      <c r="M133" s="1282"/>
      <c r="N133" s="1282"/>
      <c r="O133" s="1282"/>
      <c r="P133" s="1395"/>
      <c r="Q133" s="1395"/>
      <c r="R133" s="1395"/>
      <c r="S133" s="1395"/>
      <c r="T133" s="438" cm="1" t="str">
        <f t="array" ref="T133:T133">T132</f>
        <v>false</v>
      </c>
      <c r="U133" s="1395"/>
      <c r="V133" s="1282"/>
      <c r="W133" s="1395"/>
      <c r="X133" s="1511"/>
      <c r="Y133" s="1493"/>
      <c r="Z133" s="1282"/>
      <c r="AA133" s="1282"/>
      <c r="AB133" s="206" t="s">
        <v>551</v>
      </c>
      <c r="AC133" s="295" t="s">
        <v>552</v>
      </c>
      <c r="AD133" s="59" t="s">
        <v>506</v>
      </c>
      <c r="AE133" s="1922"/>
      <c r="AF133" s="1922"/>
      <c r="AG133" s="1922"/>
      <c r="AH133" s="1922"/>
      <c r="AI133" s="245"/>
      <c r="AJ133" s="1922"/>
      <c r="AK133" s="1922"/>
      <c r="AL133" s="1922"/>
      <c r="AM133" s="1922"/>
      <c r="AN133" s="1922"/>
      <c r="AO133" s="1922"/>
      <c r="AP133" s="1922"/>
      <c r="AQ133" s="1922"/>
      <c r="AR133" s="1922"/>
      <c r="AS133" s="245"/>
      <c r="AT133" s="1922"/>
      <c r="AU133" s="1922"/>
      <c r="AV133" s="1922"/>
      <c r="AW133" s="1922"/>
      <c r="AX133" s="1922"/>
      <c r="AY133" s="1922"/>
      <c r="AZ133" s="1922"/>
      <c r="BA133" s="1922"/>
      <c r="BB133" s="1922"/>
      <c r="BC133" s="1926"/>
      <c r="BD133" s="1282"/>
      <c r="BE133" s="1282"/>
      <c r="BF133" s="992" t="s">
        <v>553</v>
      </c>
    </row>
    <row s="1624" customFormat="1" customHeight="1" ht="14.25" hidden="1">
      <c r="A134" s="1282"/>
      <c r="B134" s="1389"/>
      <c r="C134" s="1282"/>
      <c r="D134" s="1282"/>
      <c r="E134" s="607">
        <v>15</v>
      </c>
      <c r="F134" s="50" cm="1" t="str">
        <f t="array" ref="F134:F134">OFFSET(E134,-1,1)</f>
        <v>1</v>
      </c>
      <c r="G134" s="1282"/>
      <c r="H134" s="64" t="s">
        <v>554</v>
      </c>
      <c r="I134" s="1282"/>
      <c r="J134" s="1282"/>
      <c r="K134" s="1282"/>
      <c r="L134" s="1282"/>
      <c r="M134" s="1282"/>
      <c r="N134" s="1282"/>
      <c r="O134" s="1282"/>
      <c r="P134" s="1395"/>
      <c r="Q134" s="1395"/>
      <c r="R134" s="1395"/>
      <c r="S134" s="1395"/>
      <c r="T134" s="438" cm="1" t="str">
        <f t="array" ref="T134:T134">T133</f>
        <v>false</v>
      </c>
      <c r="U134" s="1395"/>
      <c r="V134" s="1282"/>
      <c r="W134" s="1395"/>
      <c r="X134" s="1511"/>
      <c r="Y134" s="1493"/>
      <c r="Z134" s="1282"/>
      <c r="AA134" s="1282"/>
      <c r="AB134" s="206" t="s">
        <v>555</v>
      </c>
      <c r="AC134" s="297" t="s">
        <v>556</v>
      </c>
      <c r="AD134" s="59" t="s">
        <v>430</v>
      </c>
      <c r="AE134" s="1791">
        <f>IF(AE129=0,0,AE133/AE129*100)</f>
        <v>0</v>
      </c>
      <c r="AF134" s="1791">
        <f>IF(AF129=0,0,AF133/AF129*100)</f>
        <v>0</v>
      </c>
      <c r="AG134" s="1791">
        <f>IF(AG129=0,0,AG133/AG129*100)</f>
        <v>0</v>
      </c>
      <c r="AH134" s="1791">
        <f>IF(AH129=0,0,AH133/AH129*100)</f>
        <v>0</v>
      </c>
      <c r="AI134" s="107">
        <f>IF(AI129=0,0,AI133/AI129*100)</f>
        <v>0</v>
      </c>
      <c r="AJ134" s="1791">
        <f>IF(AJ129=0,0,AJ133/AJ129*100)</f>
        <v>0</v>
      </c>
      <c r="AK134" s="1791">
        <f>IF(AK129=0,0,AK133/AK129*100)</f>
        <v>0</v>
      </c>
      <c r="AL134" s="1791">
        <f>IF(AL129=0,0,AL133/AL129*100)</f>
        <v>0</v>
      </c>
      <c r="AM134" s="1791">
        <f>IF(AM129=0,0,AM133/AM129*100)</f>
        <v>0</v>
      </c>
      <c r="AN134" s="1791">
        <f>IF(AN129=0,0,AN133/AN129*100)</f>
        <v>0</v>
      </c>
      <c r="AO134" s="1791">
        <f>IF(AO129=0,0,AO133/AO129*100)</f>
        <v>0</v>
      </c>
      <c r="AP134" s="1791">
        <f>IF(AP129=0,0,AP133/AP129*100)</f>
        <v>0</v>
      </c>
      <c r="AQ134" s="1791">
        <f>IF(AQ129=0,0,AQ133/AQ129*100)</f>
        <v>0</v>
      </c>
      <c r="AR134" s="1791">
        <f>IF(AR129=0,0,AR133/AR129*100)</f>
        <v>0</v>
      </c>
      <c r="AS134" s="107">
        <f>IF(AS129=0,0,AS133/AS129*100)</f>
        <v>0</v>
      </c>
      <c r="AT134" s="1791">
        <f>IF(AT129=0,0,AT133/AT129*100)</f>
        <v>0</v>
      </c>
      <c r="AU134" s="1791">
        <f>IF(AU129=0,0,AU133/AU129*100)</f>
        <v>0</v>
      </c>
      <c r="AV134" s="1791">
        <f>IF(AV129=0,0,AV133/AV129*100)</f>
        <v>0</v>
      </c>
      <c r="AW134" s="1791">
        <f>IF(AW129=0,0,AW133/AW129*100)</f>
        <v>0</v>
      </c>
      <c r="AX134" s="1791">
        <f>IF(AX129=0,0,AX133/AX129*100)</f>
        <v>0</v>
      </c>
      <c r="AY134" s="1791">
        <f>IF(AY129=0,0,AY133/AY129*100)</f>
        <v>0</v>
      </c>
      <c r="AZ134" s="1791">
        <f>IF(AZ129=0,0,AZ133/AZ129*100)</f>
        <v>0</v>
      </c>
      <c r="BA134" s="1791">
        <f>IF(BA129=0,0,BA133/BA129*100)</f>
        <v>0</v>
      </c>
      <c r="BB134" s="1791">
        <f>IF(BB129=0,0,BB133/BB129*100)</f>
        <v>0</v>
      </c>
      <c r="BC134" s="1926"/>
      <c r="BD134" s="1282"/>
      <c r="BE134" s="1282"/>
      <c r="BF134" s="992" t="s">
        <v>557</v>
      </c>
    </row>
    <row s="1624" customFormat="1" customHeight="1" ht="14.25" hidden="1">
      <c r="A135" s="1282"/>
      <c r="B135" s="1389"/>
      <c r="C135" s="1282"/>
      <c r="D135" s="1282"/>
      <c r="E135" s="607">
        <v>15</v>
      </c>
      <c r="F135" s="50" cm="1" t="str">
        <f t="array" ref="F135:F135">OFFSET(E135,-1,1)</f>
        <v>1</v>
      </c>
      <c r="G135" s="1282"/>
      <c r="H135" s="64" t="s">
        <v>558</v>
      </c>
      <c r="I135" s="1282"/>
      <c r="J135" s="1282"/>
      <c r="K135" s="1282"/>
      <c r="L135" s="1282"/>
      <c r="M135" s="1282"/>
      <c r="N135" s="1282"/>
      <c r="O135" s="1282"/>
      <c r="P135" s="1395"/>
      <c r="Q135" s="1395"/>
      <c r="R135" s="1395"/>
      <c r="S135" s="1395"/>
      <c r="T135" s="438" cm="1" t="str">
        <f t="array" ref="T135:T135">T134</f>
        <v>false</v>
      </c>
      <c r="U135" s="1395"/>
      <c r="V135" s="1282"/>
      <c r="W135" s="1395"/>
      <c r="X135" s="1511"/>
      <c r="Y135" s="1493"/>
      <c r="Z135" s="1282"/>
      <c r="AA135" s="1282"/>
      <c r="AB135" s="206" t="s">
        <v>559</v>
      </c>
      <c r="AC135" s="295" t="s">
        <v>560</v>
      </c>
      <c r="AD135" s="59" t="s">
        <v>506</v>
      </c>
      <c r="AE135" s="281">
        <f>AE136+AE140+AE143+AE153</f>
        <v>0</v>
      </c>
      <c r="AF135" s="281">
        <f>AF136+AF140+AF143+AF153</f>
        <v>0</v>
      </c>
      <c r="AG135" s="281">
        <f>AG136+AG140+AG143+AG153</f>
        <v>0</v>
      </c>
      <c r="AH135" s="281">
        <f>AH136+AH140+AH143+AH153</f>
        <v>0</v>
      </c>
      <c r="AI135" s="281">
        <f>AI136+AI140+AI143+AI153</f>
        <v>0</v>
      </c>
      <c r="AJ135" s="281">
        <f>AJ136+AJ140+AJ143+AJ153</f>
        <v>0</v>
      </c>
      <c r="AK135" s="281">
        <f>AK136+AK140+AK143+AK153</f>
        <v>0</v>
      </c>
      <c r="AL135" s="281">
        <f>AL136+AL140+AL143+AL153</f>
        <v>0</v>
      </c>
      <c r="AM135" s="281">
        <f>AM136+AM140+AM143+AM153</f>
        <v>0</v>
      </c>
      <c r="AN135" s="281">
        <f>AN136+AN140+AN143+AN153</f>
        <v>0</v>
      </c>
      <c r="AO135" s="281">
        <f>AO136+AO140+AO143+AO153</f>
        <v>0</v>
      </c>
      <c r="AP135" s="281">
        <f>AP136+AP140+AP143+AP153</f>
        <v>0</v>
      </c>
      <c r="AQ135" s="281">
        <f>AQ136+AQ140+AQ143+AQ153</f>
        <v>0</v>
      </c>
      <c r="AR135" s="281">
        <f>AR136+AR140+AR143+AR153</f>
        <v>0</v>
      </c>
      <c r="AS135" s="281">
        <f>AS136+AS140+AS143+AS153</f>
        <v>0</v>
      </c>
      <c r="AT135" s="281">
        <f>AT136+AT140+AT143+AT153</f>
        <v>0</v>
      </c>
      <c r="AU135" s="281">
        <f>AU136+AU140+AU143+AU153</f>
        <v>0</v>
      </c>
      <c r="AV135" s="281">
        <f>AV136+AV140+AV143+AV153</f>
        <v>0</v>
      </c>
      <c r="AW135" s="281">
        <f>AW136+AW140+AW143+AW153</f>
        <v>0</v>
      </c>
      <c r="AX135" s="281">
        <f>AX136+AX140+AX143+AX153</f>
        <v>0</v>
      </c>
      <c r="AY135" s="281">
        <f>AY136+AY140+AY143+AY153</f>
        <v>0</v>
      </c>
      <c r="AZ135" s="281">
        <f>AZ136+AZ140+AZ143+AZ153</f>
        <v>0</v>
      </c>
      <c r="BA135" s="281">
        <f>BA136+BA140+BA143+BA153</f>
        <v>0</v>
      </c>
      <c r="BB135" s="281">
        <f>BB136+BB140+BB143+BB153</f>
        <v>0</v>
      </c>
      <c r="BC135" s="1926"/>
      <c r="BD135" s="1282"/>
      <c r="BE135" s="1282"/>
      <c r="BF135" s="992" t="s">
        <v>561</v>
      </c>
    </row>
    <row s="1624" customFormat="1" customHeight="1" ht="14.25" hidden="1">
      <c r="A136" s="1282"/>
      <c r="B136" s="1389"/>
      <c r="C136" s="1282"/>
      <c r="D136" s="1282"/>
      <c r="E136" s="607">
        <v>15</v>
      </c>
      <c r="F136" s="50" cm="1" t="str">
        <f t="array" ref="F136:F136">OFFSET(E136,-1,1)</f>
        <v>1</v>
      </c>
      <c r="G136" s="64" t="str">
        <f>IF(OwnNeedsInPO="да","ПО","")</f>
        <v/>
      </c>
      <c r="H136" s="64" t="s">
        <v>562</v>
      </c>
      <c r="I136" s="1282"/>
      <c r="J136" s="1282"/>
      <c r="K136" s="1282"/>
      <c r="L136" s="1282"/>
      <c r="M136" s="1282"/>
      <c r="N136" s="1282"/>
      <c r="O136" s="1282"/>
      <c r="P136" s="1395"/>
      <c r="Q136" s="1395"/>
      <c r="R136" s="1395"/>
      <c r="S136" s="1395"/>
      <c r="T136" s="438" cm="1" t="str">
        <f t="array" ref="T136:T136">T135</f>
        <v>false</v>
      </c>
      <c r="U136" s="1395"/>
      <c r="V136" s="1282"/>
      <c r="W136" s="1395"/>
      <c r="X136" s="1511"/>
      <c r="Y136" s="1493"/>
      <c r="Z136" s="1282"/>
      <c r="AA136" s="1282"/>
      <c r="AB136" s="206" t="s">
        <v>563</v>
      </c>
      <c r="AC136" s="158" t="s">
        <v>564</v>
      </c>
      <c r="AD136" s="59" t="s">
        <v>506</v>
      </c>
      <c r="AE136" s="281">
        <f>SUM(AE137:AE139)</f>
        <v>0</v>
      </c>
      <c r="AF136" s="281">
        <f>SUM(AF137:AF139)</f>
        <v>0</v>
      </c>
      <c r="AG136" s="281">
        <f>SUM(AG137:AG139)</f>
        <v>0</v>
      </c>
      <c r="AH136" s="281">
        <f>SUM(AH137:AH139)</f>
        <v>0</v>
      </c>
      <c r="AI136" s="281">
        <f>SUM(AI137:AI139)</f>
        <v>0</v>
      </c>
      <c r="AJ136" s="281">
        <f>SUM(AJ137:AJ139)</f>
        <v>0</v>
      </c>
      <c r="AK136" s="281">
        <f>SUM(AK137:AK139)</f>
        <v>0</v>
      </c>
      <c r="AL136" s="281">
        <f>SUM(AL137:AL139)</f>
        <v>0</v>
      </c>
      <c r="AM136" s="281">
        <f>SUM(AM137:AM139)</f>
        <v>0</v>
      </c>
      <c r="AN136" s="281">
        <f>SUM(AN137:AN139)</f>
        <v>0</v>
      </c>
      <c r="AO136" s="281">
        <f>SUM(AO137:AO139)</f>
        <v>0</v>
      </c>
      <c r="AP136" s="281">
        <f>SUM(AP137:AP139)</f>
        <v>0</v>
      </c>
      <c r="AQ136" s="281">
        <f>SUM(AQ137:AQ139)</f>
        <v>0</v>
      </c>
      <c r="AR136" s="281">
        <f>SUM(AR137:AR139)</f>
        <v>0</v>
      </c>
      <c r="AS136" s="281">
        <f>SUM(AS137:AS139)</f>
        <v>0</v>
      </c>
      <c r="AT136" s="281">
        <f>SUM(AT137:AT139)</f>
        <v>0</v>
      </c>
      <c r="AU136" s="281">
        <f>SUM(AU137:AU139)</f>
        <v>0</v>
      </c>
      <c r="AV136" s="281">
        <f>SUM(AV137:AV139)</f>
        <v>0</v>
      </c>
      <c r="AW136" s="281">
        <f>SUM(AW137:AW139)</f>
        <v>0</v>
      </c>
      <c r="AX136" s="281">
        <f>SUM(AX137:AX139)</f>
        <v>0</v>
      </c>
      <c r="AY136" s="281">
        <f>SUM(AY137:AY139)</f>
        <v>0</v>
      </c>
      <c r="AZ136" s="281">
        <f>SUM(AZ137:AZ139)</f>
        <v>0</v>
      </c>
      <c r="BA136" s="281">
        <f>SUM(BA137:BA139)</f>
        <v>0</v>
      </c>
      <c r="BB136" s="281">
        <f>SUM(BB137:BB139)</f>
        <v>0</v>
      </c>
      <c r="BC136" s="1926"/>
      <c r="BD136" s="1282"/>
      <c r="BE136" s="1282"/>
      <c r="BF136" s="992" t="s">
        <v>565</v>
      </c>
    </row>
    <row s="1624" customFormat="1" customHeight="1" ht="14.25" hidden="1">
      <c r="A137" s="1282"/>
      <c r="B137" s="1389"/>
      <c r="C137" s="1282"/>
      <c r="D137" s="1282"/>
      <c r="E137" s="607">
        <v>15</v>
      </c>
      <c r="F137" s="50" cm="1" t="str">
        <f t="array" ref="F137:F137">OFFSET(E137,-1,1)</f>
        <v>1</v>
      </c>
      <c r="G137" s="1282"/>
      <c r="H137" s="64" t="s">
        <v>566</v>
      </c>
      <c r="I137" s="1282"/>
      <c r="J137" s="1282"/>
      <c r="K137" s="1282"/>
      <c r="L137" s="1282"/>
      <c r="M137" s="1282"/>
      <c r="N137" s="1282"/>
      <c r="O137" s="1282"/>
      <c r="P137" s="1395"/>
      <c r="Q137" s="1395"/>
      <c r="R137" s="1395"/>
      <c r="S137" s="1395"/>
      <c r="T137" s="438" cm="1" t="str">
        <f t="array" ref="T137:T137">T136</f>
        <v>false</v>
      </c>
      <c r="U137" s="1395"/>
      <c r="V137" s="1282"/>
      <c r="W137" s="1395"/>
      <c r="X137" s="1511"/>
      <c r="Y137" s="1493"/>
      <c r="Z137" s="1282"/>
      <c r="AA137" s="1282"/>
      <c r="AB137" s="206" t="s">
        <v>567</v>
      </c>
      <c r="AC137" s="298" t="s">
        <v>568</v>
      </c>
      <c r="AD137" s="59" t="s">
        <v>506</v>
      </c>
      <c r="AE137" s="1922"/>
      <c r="AF137" s="1922"/>
      <c r="AG137" s="1922"/>
      <c r="AH137" s="1922"/>
      <c r="AI137" s="245"/>
      <c r="AJ137" s="1922"/>
      <c r="AK137" s="1922"/>
      <c r="AL137" s="1922"/>
      <c r="AM137" s="1922"/>
      <c r="AN137" s="1922"/>
      <c r="AO137" s="1922"/>
      <c r="AP137" s="1922"/>
      <c r="AQ137" s="1922"/>
      <c r="AR137" s="1922"/>
      <c r="AS137" s="245"/>
      <c r="AT137" s="1922"/>
      <c r="AU137" s="1922"/>
      <c r="AV137" s="1922"/>
      <c r="AW137" s="1922"/>
      <c r="AX137" s="1922"/>
      <c r="AY137" s="1922"/>
      <c r="AZ137" s="1922"/>
      <c r="BA137" s="1922"/>
      <c r="BB137" s="1922"/>
      <c r="BC137" s="1926"/>
      <c r="BD137" s="1282"/>
      <c r="BE137" s="1282"/>
      <c r="BF137" s="992" t="s">
        <v>569</v>
      </c>
    </row>
    <row s="1624" customFormat="1" customHeight="1" ht="14.25" hidden="1">
      <c r="A138" s="1282"/>
      <c r="B138" s="1389"/>
      <c r="C138" s="1282"/>
      <c r="D138" s="1282"/>
      <c r="E138" s="607">
        <v>15</v>
      </c>
      <c r="F138" s="50" cm="1" t="str">
        <f t="array" ref="F138:F138">OFFSET(E138,-1,1)</f>
        <v>1</v>
      </c>
      <c r="G138" s="1282"/>
      <c r="H138" s="64" t="s">
        <v>570</v>
      </c>
      <c r="I138" s="1282"/>
      <c r="J138" s="1282"/>
      <c r="K138" s="1282"/>
      <c r="L138" s="1282"/>
      <c r="M138" s="1282"/>
      <c r="N138" s="1282"/>
      <c r="O138" s="1282"/>
      <c r="P138" s="1395"/>
      <c r="Q138" s="1395"/>
      <c r="R138" s="1395"/>
      <c r="S138" s="1395"/>
      <c r="T138" s="438" cm="1" t="str">
        <f t="array" ref="T138:T138">T137</f>
        <v>false</v>
      </c>
      <c r="U138" s="1395"/>
      <c r="V138" s="1282"/>
      <c r="W138" s="1395"/>
      <c r="X138" s="1511"/>
      <c r="Y138" s="1493"/>
      <c r="Z138" s="1282"/>
      <c r="AA138" s="1282"/>
      <c r="AB138" s="206" t="s">
        <v>571</v>
      </c>
      <c r="AC138" s="298" t="s">
        <v>572</v>
      </c>
      <c r="AD138" s="59" t="s">
        <v>506</v>
      </c>
      <c r="AE138" s="1922"/>
      <c r="AF138" s="1922"/>
      <c r="AG138" s="1922"/>
      <c r="AH138" s="1922"/>
      <c r="AI138" s="245"/>
      <c r="AJ138" s="1922"/>
      <c r="AK138" s="1922"/>
      <c r="AL138" s="1922"/>
      <c r="AM138" s="1922"/>
      <c r="AN138" s="1922"/>
      <c r="AO138" s="1922"/>
      <c r="AP138" s="1922"/>
      <c r="AQ138" s="1922"/>
      <c r="AR138" s="1922"/>
      <c r="AS138" s="245"/>
      <c r="AT138" s="1922"/>
      <c r="AU138" s="1922"/>
      <c r="AV138" s="1922"/>
      <c r="AW138" s="1922"/>
      <c r="AX138" s="1922"/>
      <c r="AY138" s="1922"/>
      <c r="AZ138" s="1922"/>
      <c r="BA138" s="1922"/>
      <c r="BB138" s="1922"/>
      <c r="BC138" s="1926"/>
      <c r="BD138" s="1282"/>
      <c r="BE138" s="1282"/>
      <c r="BF138" s="992" t="s">
        <v>573</v>
      </c>
    </row>
    <row s="1624" customFormat="1" customHeight="1" ht="14.25" hidden="1">
      <c r="A139" s="1282"/>
      <c r="B139" s="1389"/>
      <c r="C139" s="1282"/>
      <c r="D139" s="1282"/>
      <c r="E139" s="607">
        <v>15</v>
      </c>
      <c r="F139" s="50" cm="1" t="str">
        <f t="array" ref="F139:F139">OFFSET(E139,-1,1)</f>
        <v>1</v>
      </c>
      <c r="G139" s="1282"/>
      <c r="H139" s="64" t="s">
        <v>574</v>
      </c>
      <c r="I139" s="1282"/>
      <c r="J139" s="1282"/>
      <c r="K139" s="1282"/>
      <c r="L139" s="1282"/>
      <c r="M139" s="1282"/>
      <c r="N139" s="1282"/>
      <c r="O139" s="1282"/>
      <c r="P139" s="1395"/>
      <c r="Q139" s="1395"/>
      <c r="R139" s="1395"/>
      <c r="S139" s="1395"/>
      <c r="T139" s="438" cm="1" t="str">
        <f t="array" ref="T139:T139">T138</f>
        <v>false</v>
      </c>
      <c r="U139" s="1395"/>
      <c r="V139" s="1282"/>
      <c r="W139" s="1395"/>
      <c r="X139" s="1511"/>
      <c r="Y139" s="1493"/>
      <c r="Z139" s="1282"/>
      <c r="AA139" s="1282"/>
      <c r="AB139" s="206" t="s">
        <v>575</v>
      </c>
      <c r="AC139" s="298" t="s">
        <v>576</v>
      </c>
      <c r="AD139" s="59" t="s">
        <v>506</v>
      </c>
      <c r="AE139" s="1922"/>
      <c r="AF139" s="1922"/>
      <c r="AG139" s="1922"/>
      <c r="AH139" s="1922"/>
      <c r="AI139" s="245"/>
      <c r="AJ139" s="1922"/>
      <c r="AK139" s="1922"/>
      <c r="AL139" s="1922"/>
      <c r="AM139" s="1922"/>
      <c r="AN139" s="1922"/>
      <c r="AO139" s="1922"/>
      <c r="AP139" s="1922"/>
      <c r="AQ139" s="1922"/>
      <c r="AR139" s="1922"/>
      <c r="AS139" s="245"/>
      <c r="AT139" s="1922"/>
      <c r="AU139" s="1922"/>
      <c r="AV139" s="1922"/>
      <c r="AW139" s="1922"/>
      <c r="AX139" s="1922"/>
      <c r="AY139" s="1922"/>
      <c r="AZ139" s="1922"/>
      <c r="BA139" s="1922"/>
      <c r="BB139" s="1922"/>
      <c r="BC139" s="1926"/>
      <c r="BD139" s="1282"/>
      <c r="BE139" s="1282"/>
      <c r="BF139" s="992" t="s">
        <v>577</v>
      </c>
    </row>
    <row s="1624" customFormat="1" customHeight="1" ht="14.25" hidden="1">
      <c r="A140" s="1282"/>
      <c r="B140" s="1389"/>
      <c r="C140" s="1282"/>
      <c r="D140" s="1282"/>
      <c r="E140" s="607">
        <v>15</v>
      </c>
      <c r="F140" s="50" cm="1" t="str">
        <f t="array" ref="F140:F140">OFFSET(E140,-1,1)</f>
        <v>1</v>
      </c>
      <c r="G140" s="64" t="s">
        <v>578</v>
      </c>
      <c r="H140" s="64" t="s">
        <v>579</v>
      </c>
      <c r="I140" s="1282"/>
      <c r="J140" s="1282"/>
      <c r="K140" s="1282"/>
      <c r="L140" s="1282"/>
      <c r="M140" s="1282"/>
      <c r="N140" s="1282"/>
      <c r="O140" s="1282"/>
      <c r="P140" s="1395"/>
      <c r="Q140" s="1395"/>
      <c r="R140" s="1395"/>
      <c r="S140" s="1395"/>
      <c r="T140" s="438" cm="1" t="str">
        <f t="array" ref="T140:T140">T139</f>
        <v>false</v>
      </c>
      <c r="U140" s="1395"/>
      <c r="V140" s="1282"/>
      <c r="W140" s="1395"/>
      <c r="X140" s="1511"/>
      <c r="Y140" s="1493"/>
      <c r="Z140" s="1282"/>
      <c r="AA140" s="1282"/>
      <c r="AB140" s="206" t="s">
        <v>580</v>
      </c>
      <c r="AC140" s="158" t="s">
        <v>581</v>
      </c>
      <c r="AD140" s="59" t="s">
        <v>506</v>
      </c>
      <c r="AE140" s="281">
        <f>SUM(AE141:AE142)</f>
        <v>0</v>
      </c>
      <c r="AF140" s="281">
        <f>SUM(AF141:AF142)</f>
        <v>0</v>
      </c>
      <c r="AG140" s="281">
        <f>SUM(AG141:AG142)</f>
        <v>0</v>
      </c>
      <c r="AH140" s="281">
        <f>SUM(AH141:AH142)</f>
        <v>0</v>
      </c>
      <c r="AI140" s="281">
        <f>SUM(AI141:AI142)</f>
        <v>0</v>
      </c>
      <c r="AJ140" s="281">
        <f>SUM(AJ141:AJ142)</f>
        <v>0</v>
      </c>
      <c r="AK140" s="281">
        <f>SUM(AK141:AK142)</f>
        <v>0</v>
      </c>
      <c r="AL140" s="281">
        <f>SUM(AL141:AL142)</f>
        <v>0</v>
      </c>
      <c r="AM140" s="281">
        <f>SUM(AM141:AM142)</f>
        <v>0</v>
      </c>
      <c r="AN140" s="281">
        <f>SUM(AN141:AN142)</f>
        <v>0</v>
      </c>
      <c r="AO140" s="281">
        <f>SUM(AO141:AO142)</f>
        <v>0</v>
      </c>
      <c r="AP140" s="281">
        <f>SUM(AP141:AP142)</f>
        <v>0</v>
      </c>
      <c r="AQ140" s="281">
        <f>SUM(AQ141:AQ142)</f>
        <v>0</v>
      </c>
      <c r="AR140" s="281">
        <f>SUM(AR141:AR142)</f>
        <v>0</v>
      </c>
      <c r="AS140" s="281">
        <f>SUM(AS141:AS142)</f>
        <v>0</v>
      </c>
      <c r="AT140" s="281">
        <f>SUM(AT141:AT142)</f>
        <v>0</v>
      </c>
      <c r="AU140" s="281">
        <f>SUM(AU141:AU142)</f>
        <v>0</v>
      </c>
      <c r="AV140" s="281">
        <f>SUM(AV141:AV142)</f>
        <v>0</v>
      </c>
      <c r="AW140" s="281">
        <f>SUM(AW141:AW142)</f>
        <v>0</v>
      </c>
      <c r="AX140" s="281">
        <f>SUM(AX141:AX142)</f>
        <v>0</v>
      </c>
      <c r="AY140" s="281">
        <f>SUM(AY141:AY142)</f>
        <v>0</v>
      </c>
      <c r="AZ140" s="281">
        <f>SUM(AZ141:AZ142)</f>
        <v>0</v>
      </c>
      <c r="BA140" s="281">
        <f>SUM(BA141:BA142)</f>
        <v>0</v>
      </c>
      <c r="BB140" s="281">
        <f>SUM(BB141:BB142)</f>
        <v>0</v>
      </c>
      <c r="BC140" s="1926"/>
      <c r="BD140" s="1282"/>
      <c r="BE140" s="1282"/>
      <c r="BF140" s="992" t="s">
        <v>582</v>
      </c>
    </row>
    <row s="1624" customFormat="1" customHeight="1" ht="14.25" hidden="1">
      <c r="A141" s="1282"/>
      <c r="B141" s="1389"/>
      <c r="C141" s="1282"/>
      <c r="D141" s="1282"/>
      <c r="E141" s="607">
        <v>15</v>
      </c>
      <c r="F141" s="50" cm="1" t="str">
        <f t="array" ref="F141:F141">OFFSET(E141,-1,1)</f>
        <v>1</v>
      </c>
      <c r="G141" s="1282"/>
      <c r="H141" s="64" t="s">
        <v>583</v>
      </c>
      <c r="I141" s="1282"/>
      <c r="J141" s="1282"/>
      <c r="K141" s="1282"/>
      <c r="L141" s="1282"/>
      <c r="M141" s="1282"/>
      <c r="N141" s="1282"/>
      <c r="O141" s="1282"/>
      <c r="P141" s="1395"/>
      <c r="Q141" s="1395"/>
      <c r="R141" s="1395"/>
      <c r="S141" s="1395"/>
      <c r="T141" s="438" cm="1" t="str">
        <f t="array" ref="T141:T141">T140</f>
        <v>false</v>
      </c>
      <c r="U141" s="1395"/>
      <c r="V141" s="1282"/>
      <c r="W141" s="1395"/>
      <c r="X141" s="1511"/>
      <c r="Y141" s="1493"/>
      <c r="Z141" s="1282"/>
      <c r="AA141" s="1282"/>
      <c r="AB141" s="206" t="s">
        <v>584</v>
      </c>
      <c r="AC141" s="298" t="s">
        <v>585</v>
      </c>
      <c r="AD141" s="59" t="s">
        <v>506</v>
      </c>
      <c r="AE141" s="1922"/>
      <c r="AF141" s="1922"/>
      <c r="AG141" s="1922"/>
      <c r="AH141" s="1922"/>
      <c r="AI141" s="245"/>
      <c r="AJ141" s="1922"/>
      <c r="AK141" s="1922"/>
      <c r="AL141" s="1922"/>
      <c r="AM141" s="1922"/>
      <c r="AN141" s="1922"/>
      <c r="AO141" s="1922"/>
      <c r="AP141" s="1922"/>
      <c r="AQ141" s="1922"/>
      <c r="AR141" s="1922"/>
      <c r="AS141" s="245"/>
      <c r="AT141" s="1922"/>
      <c r="AU141" s="1922"/>
      <c r="AV141" s="1922"/>
      <c r="AW141" s="1922"/>
      <c r="AX141" s="1922"/>
      <c r="AY141" s="1922"/>
      <c r="AZ141" s="1922"/>
      <c r="BA141" s="1922"/>
      <c r="BB141" s="1922"/>
      <c r="BC141" s="1926"/>
      <c r="BD141" s="1282"/>
      <c r="BE141" s="1282"/>
      <c r="BF141" s="992" t="s">
        <v>586</v>
      </c>
    </row>
    <row s="1624" customFormat="1" customHeight="1" ht="14.25" hidden="1">
      <c r="A142" s="1282"/>
      <c r="B142" s="1389"/>
      <c r="C142" s="1282"/>
      <c r="D142" s="1282"/>
      <c r="E142" s="607">
        <v>15</v>
      </c>
      <c r="F142" s="50" cm="1" t="str">
        <f t="array" ref="F142:F142">OFFSET(E142,-1,1)</f>
        <v>1</v>
      </c>
      <c r="G142" s="1282"/>
      <c r="H142" s="64" t="s">
        <v>587</v>
      </c>
      <c r="I142" s="1282"/>
      <c r="J142" s="1282"/>
      <c r="K142" s="1282"/>
      <c r="L142" s="1282"/>
      <c r="M142" s="1282"/>
      <c r="N142" s="1282"/>
      <c r="O142" s="1282"/>
      <c r="P142" s="1395"/>
      <c r="Q142" s="1395"/>
      <c r="R142" s="1395"/>
      <c r="S142" s="1395"/>
      <c r="T142" s="438" cm="1" t="str">
        <f t="array" ref="T142:T142">T141</f>
        <v>false</v>
      </c>
      <c r="U142" s="1395"/>
      <c r="V142" s="1282"/>
      <c r="W142" s="1395"/>
      <c r="X142" s="1511"/>
      <c r="Y142" s="1493"/>
      <c r="Z142" s="1282"/>
      <c r="AA142" s="1282"/>
      <c r="AB142" s="206" t="s">
        <v>588</v>
      </c>
      <c r="AC142" s="298" t="s">
        <v>589</v>
      </c>
      <c r="AD142" s="59" t="s">
        <v>506</v>
      </c>
      <c r="AE142" s="1922"/>
      <c r="AF142" s="1922"/>
      <c r="AG142" s="1922"/>
      <c r="AH142" s="1922"/>
      <c r="AI142" s="245"/>
      <c r="AJ142" s="1922"/>
      <c r="AK142" s="1922"/>
      <c r="AL142" s="1922"/>
      <c r="AM142" s="1922"/>
      <c r="AN142" s="1922"/>
      <c r="AO142" s="1922"/>
      <c r="AP142" s="1922"/>
      <c r="AQ142" s="1922"/>
      <c r="AR142" s="1922"/>
      <c r="AS142" s="245"/>
      <c r="AT142" s="1922"/>
      <c r="AU142" s="1922"/>
      <c r="AV142" s="1922"/>
      <c r="AW142" s="1922"/>
      <c r="AX142" s="1922"/>
      <c r="AY142" s="1922"/>
      <c r="AZ142" s="1922"/>
      <c r="BA142" s="1922"/>
      <c r="BB142" s="1922"/>
      <c r="BC142" s="1926"/>
      <c r="BD142" s="1282"/>
      <c r="BE142" s="1282"/>
      <c r="BF142" s="992" t="s">
        <v>590</v>
      </c>
    </row>
    <row s="1624" customFormat="1" customHeight="1" ht="14.25" hidden="1">
      <c r="A143" s="1282"/>
      <c r="B143" s="1389"/>
      <c r="C143" s="1282"/>
      <c r="D143" s="1282"/>
      <c r="E143" s="607">
        <v>15</v>
      </c>
      <c r="F143" s="50" cm="1" t="str">
        <f t="array" ref="F143:F143">OFFSET(E143,-1,1)</f>
        <v>1</v>
      </c>
      <c r="G143" s="64" t="s">
        <v>578</v>
      </c>
      <c r="H143" s="64" t="s">
        <v>591</v>
      </c>
      <c r="I143" s="1282"/>
      <c r="J143" s="1282"/>
      <c r="K143" s="1282"/>
      <c r="L143" s="1282"/>
      <c r="M143" s="1282"/>
      <c r="N143" s="1282"/>
      <c r="O143" s="1282"/>
      <c r="P143" s="1395"/>
      <c r="Q143" s="1395"/>
      <c r="R143" s="1395"/>
      <c r="S143" s="1395"/>
      <c r="T143" s="438" cm="1" t="str">
        <f t="array" ref="T143:T143">T142</f>
        <v>false</v>
      </c>
      <c r="U143" s="1395"/>
      <c r="V143" s="1282"/>
      <c r="W143" s="1395"/>
      <c r="X143" s="1511"/>
      <c r="Y143" s="1493"/>
      <c r="Z143" s="1282"/>
      <c r="AA143" s="1282"/>
      <c r="AB143" s="206" t="s">
        <v>592</v>
      </c>
      <c r="AC143" s="158" t="s">
        <v>593</v>
      </c>
      <c r="AD143" s="59" t="s">
        <v>506</v>
      </c>
      <c r="AE143" s="281">
        <f>AE144+AE147+AE150</f>
        <v>0</v>
      </c>
      <c r="AF143" s="281">
        <f>AF144+AF147+AF150</f>
        <v>0</v>
      </c>
      <c r="AG143" s="281">
        <f>AG144+AG147+AG150</f>
        <v>0</v>
      </c>
      <c r="AH143" s="281">
        <f>AH144+AH147+AH150</f>
        <v>0</v>
      </c>
      <c r="AI143" s="281">
        <f>AI144+AI147+AI150</f>
        <v>0</v>
      </c>
      <c r="AJ143" s="281">
        <f>AJ144+AJ147+AJ150</f>
        <v>0</v>
      </c>
      <c r="AK143" s="281">
        <f>AK144+AK147+AK150</f>
        <v>0</v>
      </c>
      <c r="AL143" s="281">
        <f>AL144+AL147+AL150</f>
        <v>0</v>
      </c>
      <c r="AM143" s="281">
        <f>AM144+AM147+AM150</f>
        <v>0</v>
      </c>
      <c r="AN143" s="281">
        <f>AN144+AN147+AN150</f>
        <v>0</v>
      </c>
      <c r="AO143" s="281">
        <f>AO144+AO147+AO150</f>
        <v>0</v>
      </c>
      <c r="AP143" s="281">
        <f>AP144+AP147+AP150</f>
        <v>0</v>
      </c>
      <c r="AQ143" s="281">
        <f>AQ144+AQ147+AQ150</f>
        <v>0</v>
      </c>
      <c r="AR143" s="281">
        <f>AR144+AR147+AR150</f>
        <v>0</v>
      </c>
      <c r="AS143" s="281">
        <f>AS144+AS147+AS150</f>
        <v>0</v>
      </c>
      <c r="AT143" s="281">
        <f>AT144+AT147+AT150</f>
        <v>0</v>
      </c>
      <c r="AU143" s="281">
        <f>AU144+AU147+AU150</f>
        <v>0</v>
      </c>
      <c r="AV143" s="281">
        <f>AV144+AV147+AV150</f>
        <v>0</v>
      </c>
      <c r="AW143" s="281">
        <f>AW144+AW147+AW150</f>
        <v>0</v>
      </c>
      <c r="AX143" s="281">
        <f>AX144+AX147+AX150</f>
        <v>0</v>
      </c>
      <c r="AY143" s="281">
        <f>AY144+AY147+AY150</f>
        <v>0</v>
      </c>
      <c r="AZ143" s="281">
        <f>AZ144+AZ147+AZ150</f>
        <v>0</v>
      </c>
      <c r="BA143" s="281">
        <f>BA144+BA147+BA150</f>
        <v>0</v>
      </c>
      <c r="BB143" s="281">
        <f>BB144+BB147+BB150</f>
        <v>0</v>
      </c>
      <c r="BC143" s="1926"/>
      <c r="BD143" s="1282"/>
      <c r="BE143" s="1282"/>
      <c r="BF143" s="992" t="s">
        <v>594</v>
      </c>
    </row>
    <row s="1624" customFormat="1" customHeight="1" ht="14.25" hidden="1">
      <c r="A144" s="1282"/>
      <c r="B144" s="1389"/>
      <c r="C144" s="1282"/>
      <c r="D144" s="1282"/>
      <c r="E144" s="607">
        <v>15</v>
      </c>
      <c r="F144" s="50" cm="1" t="str">
        <f t="array" ref="F144:F144">OFFSET(E144,-1,1)</f>
        <v>1</v>
      </c>
      <c r="G144" s="1282"/>
      <c r="H144" s="64" t="s">
        <v>595</v>
      </c>
      <c r="I144" s="1282"/>
      <c r="J144" s="1282"/>
      <c r="K144" s="1282"/>
      <c r="L144" s="1282"/>
      <c r="M144" s="1282"/>
      <c r="N144" s="1282"/>
      <c r="O144" s="1282"/>
      <c r="P144" s="1395"/>
      <c r="Q144" s="1395"/>
      <c r="R144" s="1395"/>
      <c r="S144" s="1395"/>
      <c r="T144" s="438" cm="1" t="str">
        <f t="array" ref="T144:T144">T143</f>
        <v>false</v>
      </c>
      <c r="U144" s="1395"/>
      <c r="V144" s="1282"/>
      <c r="W144" s="1395"/>
      <c r="X144" s="1511"/>
      <c r="Y144" s="1493"/>
      <c r="Z144" s="1282"/>
      <c r="AA144" s="1282"/>
      <c r="AB144" s="206" t="s">
        <v>596</v>
      </c>
      <c r="AC144" s="298" t="s">
        <v>597</v>
      </c>
      <c r="AD144" s="59" t="s">
        <v>506</v>
      </c>
      <c r="AE144" s="281">
        <f>SUM(AE145:AE146)</f>
        <v>0</v>
      </c>
      <c r="AF144" s="281">
        <f>SUM(AF145:AF146)</f>
        <v>0</v>
      </c>
      <c r="AG144" s="281">
        <f>SUM(AG145:AG146)</f>
        <v>0</v>
      </c>
      <c r="AH144" s="281">
        <f>SUM(AH145:AH146)</f>
        <v>0</v>
      </c>
      <c r="AI144" s="281">
        <f>SUM(AI145:AI146)</f>
        <v>0</v>
      </c>
      <c r="AJ144" s="281">
        <f>SUM(AJ145:AJ146)</f>
        <v>0</v>
      </c>
      <c r="AK144" s="281">
        <f>SUM(AK145:AK146)</f>
        <v>0</v>
      </c>
      <c r="AL144" s="281">
        <f>SUM(AL145:AL146)</f>
        <v>0</v>
      </c>
      <c r="AM144" s="281">
        <f>SUM(AM145:AM146)</f>
        <v>0</v>
      </c>
      <c r="AN144" s="281">
        <f>SUM(AN145:AN146)</f>
        <v>0</v>
      </c>
      <c r="AO144" s="281">
        <f>SUM(AO145:AO146)</f>
        <v>0</v>
      </c>
      <c r="AP144" s="281">
        <f>SUM(AP145:AP146)</f>
        <v>0</v>
      </c>
      <c r="AQ144" s="281">
        <f>SUM(AQ145:AQ146)</f>
        <v>0</v>
      </c>
      <c r="AR144" s="281">
        <f>SUM(AR145:AR146)</f>
        <v>0</v>
      </c>
      <c r="AS144" s="281">
        <f>SUM(AS145:AS146)</f>
        <v>0</v>
      </c>
      <c r="AT144" s="281">
        <f>SUM(AT145:AT146)</f>
        <v>0</v>
      </c>
      <c r="AU144" s="281">
        <f>SUM(AU145:AU146)</f>
        <v>0</v>
      </c>
      <c r="AV144" s="281">
        <f>SUM(AV145:AV146)</f>
        <v>0</v>
      </c>
      <c r="AW144" s="281">
        <f>SUM(AW145:AW146)</f>
        <v>0</v>
      </c>
      <c r="AX144" s="281">
        <f>SUM(AX145:AX146)</f>
        <v>0</v>
      </c>
      <c r="AY144" s="281">
        <f>SUM(AY145:AY146)</f>
        <v>0</v>
      </c>
      <c r="AZ144" s="281">
        <f>SUM(AZ145:AZ146)</f>
        <v>0</v>
      </c>
      <c r="BA144" s="281">
        <f>SUM(BA145:BA146)</f>
        <v>0</v>
      </c>
      <c r="BB144" s="281">
        <f>SUM(BB145:BB146)</f>
        <v>0</v>
      </c>
      <c r="BC144" s="1926"/>
      <c r="BD144" s="1282"/>
      <c r="BE144" s="1282"/>
      <c r="BF144" s="992" t="s">
        <v>598</v>
      </c>
    </row>
    <row s="1624" customFormat="1" customHeight="1" ht="14.25" hidden="1">
      <c r="A145" s="1282"/>
      <c r="B145" s="1389"/>
      <c r="C145" s="1282"/>
      <c r="D145" s="1282"/>
      <c r="E145" s="607">
        <v>15</v>
      </c>
      <c r="F145" s="50" cm="1" t="str">
        <f t="array" ref="F145:F145">OFFSET(E145,-1,1)</f>
        <v>1</v>
      </c>
      <c r="G145" s="1282"/>
      <c r="H145" s="64" t="s">
        <v>599</v>
      </c>
      <c r="I145" s="1282"/>
      <c r="J145" s="1282"/>
      <c r="K145" s="1282"/>
      <c r="L145" s="1282"/>
      <c r="M145" s="1282"/>
      <c r="N145" s="1282"/>
      <c r="O145" s="1282"/>
      <c r="P145" s="1395"/>
      <c r="Q145" s="1395"/>
      <c r="R145" s="1395"/>
      <c r="S145" s="1395"/>
      <c r="T145" s="438" cm="1" t="str">
        <f t="array" ref="T145:T145">T144</f>
        <v>false</v>
      </c>
      <c r="U145" s="1395"/>
      <c r="V145" s="1282"/>
      <c r="W145" s="1395"/>
      <c r="X145" s="1511"/>
      <c r="Y145" s="1493"/>
      <c r="Z145" s="1282"/>
      <c r="AA145" s="1282"/>
      <c r="AB145" s="206" t="s">
        <v>600</v>
      </c>
      <c r="AC145" s="299" t="s">
        <v>585</v>
      </c>
      <c r="AD145" s="59" t="s">
        <v>506</v>
      </c>
      <c r="AE145" s="1922"/>
      <c r="AF145" s="1922"/>
      <c r="AG145" s="1922"/>
      <c r="AH145" s="1922"/>
      <c r="AI145" s="245"/>
      <c r="AJ145" s="1922"/>
      <c r="AK145" s="1922"/>
      <c r="AL145" s="1922"/>
      <c r="AM145" s="1922"/>
      <c r="AN145" s="1922"/>
      <c r="AO145" s="1922"/>
      <c r="AP145" s="1922"/>
      <c r="AQ145" s="1922"/>
      <c r="AR145" s="1922"/>
      <c r="AS145" s="245"/>
      <c r="AT145" s="1922"/>
      <c r="AU145" s="1922"/>
      <c r="AV145" s="1922"/>
      <c r="AW145" s="1922"/>
      <c r="AX145" s="1922"/>
      <c r="AY145" s="1922"/>
      <c r="AZ145" s="1922"/>
      <c r="BA145" s="1922"/>
      <c r="BB145" s="1922"/>
      <c r="BC145" s="1926"/>
      <c r="BD145" s="1282"/>
      <c r="BE145" s="1282"/>
      <c r="BF145" s="992" t="s">
        <v>601</v>
      </c>
    </row>
    <row s="1624" customFormat="1" customHeight="1" ht="14.25" hidden="1">
      <c r="A146" s="1282"/>
      <c r="B146" s="1389"/>
      <c r="C146" s="1282"/>
      <c r="D146" s="1282"/>
      <c r="E146" s="607">
        <v>15</v>
      </c>
      <c r="F146" s="50" cm="1" t="str">
        <f t="array" ref="F146:F146">OFFSET(E146,-1,1)</f>
        <v>1</v>
      </c>
      <c r="G146" s="1282"/>
      <c r="H146" s="64" t="s">
        <v>602</v>
      </c>
      <c r="I146" s="1282"/>
      <c r="J146" s="1282"/>
      <c r="K146" s="1282"/>
      <c r="L146" s="1282"/>
      <c r="M146" s="1282"/>
      <c r="N146" s="1282"/>
      <c r="O146" s="1282"/>
      <c r="P146" s="1395"/>
      <c r="Q146" s="1395"/>
      <c r="R146" s="1395"/>
      <c r="S146" s="1395"/>
      <c r="T146" s="438" cm="1" t="str">
        <f t="array" ref="T146:T146">T145</f>
        <v>false</v>
      </c>
      <c r="U146" s="1395"/>
      <c r="V146" s="1282"/>
      <c r="W146" s="1395"/>
      <c r="X146" s="1511"/>
      <c r="Y146" s="1493"/>
      <c r="Z146" s="1282"/>
      <c r="AA146" s="1282"/>
      <c r="AB146" s="206" t="s">
        <v>603</v>
      </c>
      <c r="AC146" s="299" t="s">
        <v>589</v>
      </c>
      <c r="AD146" s="59" t="s">
        <v>506</v>
      </c>
      <c r="AE146" s="1922"/>
      <c r="AF146" s="1922"/>
      <c r="AG146" s="1922"/>
      <c r="AH146" s="1922"/>
      <c r="AI146" s="245"/>
      <c r="AJ146" s="1922"/>
      <c r="AK146" s="1922"/>
      <c r="AL146" s="1922"/>
      <c r="AM146" s="1922"/>
      <c r="AN146" s="1922"/>
      <c r="AO146" s="1922"/>
      <c r="AP146" s="1922"/>
      <c r="AQ146" s="1922"/>
      <c r="AR146" s="1922"/>
      <c r="AS146" s="245"/>
      <c r="AT146" s="1922"/>
      <c r="AU146" s="1922"/>
      <c r="AV146" s="1922"/>
      <c r="AW146" s="1922"/>
      <c r="AX146" s="1922"/>
      <c r="AY146" s="1922"/>
      <c r="AZ146" s="1922"/>
      <c r="BA146" s="1922"/>
      <c r="BB146" s="1922"/>
      <c r="BC146" s="1926"/>
      <c r="BD146" s="1282"/>
      <c r="BE146" s="1282"/>
      <c r="BF146" s="992" t="s">
        <v>604</v>
      </c>
    </row>
    <row s="1624" customFormat="1" customHeight="1" ht="14.25" hidden="1">
      <c r="A147" s="1282"/>
      <c r="B147" s="1389"/>
      <c r="C147" s="1282"/>
      <c r="D147" s="1282"/>
      <c r="E147" s="607">
        <v>15</v>
      </c>
      <c r="F147" s="50" cm="1" t="str">
        <f t="array" ref="F147:F147">OFFSET(E147,-1,1)</f>
        <v>1</v>
      </c>
      <c r="G147" s="64" t="s">
        <v>605</v>
      </c>
      <c r="H147" s="64" t="s">
        <v>606</v>
      </c>
      <c r="I147" s="1282"/>
      <c r="J147" s="1282"/>
      <c r="K147" s="1282"/>
      <c r="L147" s="1282"/>
      <c r="M147" s="1282"/>
      <c r="N147" s="1282"/>
      <c r="O147" s="1282"/>
      <c r="P147" s="1395"/>
      <c r="Q147" s="1395"/>
      <c r="R147" s="1395"/>
      <c r="S147" s="1395"/>
      <c r="T147" s="438" cm="1" t="str">
        <f t="array" ref="T147:T147">T146</f>
        <v>false</v>
      </c>
      <c r="U147" s="1395"/>
      <c r="V147" s="1282"/>
      <c r="W147" s="1395"/>
      <c r="X147" s="1511"/>
      <c r="Y147" s="1493"/>
      <c r="Z147" s="1282"/>
      <c r="AA147" s="1282"/>
      <c r="AB147" s="206" t="s">
        <v>607</v>
      </c>
      <c r="AC147" s="298" t="s">
        <v>608</v>
      </c>
      <c r="AD147" s="59" t="s">
        <v>506</v>
      </c>
      <c r="AE147" s="281">
        <f>SUM(AE148:AE149)</f>
        <v>0</v>
      </c>
      <c r="AF147" s="281">
        <f>SUM(AF148:AF149)</f>
        <v>0</v>
      </c>
      <c r="AG147" s="281">
        <f>SUM(AG148:AG149)</f>
        <v>0</v>
      </c>
      <c r="AH147" s="281">
        <f>SUM(AH148:AH149)</f>
        <v>0</v>
      </c>
      <c r="AI147" s="281">
        <f>SUM(AI148:AI149)</f>
        <v>0</v>
      </c>
      <c r="AJ147" s="281">
        <f>SUM(AJ148:AJ149)</f>
        <v>0</v>
      </c>
      <c r="AK147" s="281">
        <f>SUM(AK148:AK149)</f>
        <v>0</v>
      </c>
      <c r="AL147" s="281">
        <f>SUM(AL148:AL149)</f>
        <v>0</v>
      </c>
      <c r="AM147" s="281">
        <f>SUM(AM148:AM149)</f>
        <v>0</v>
      </c>
      <c r="AN147" s="281">
        <f>SUM(AN148:AN149)</f>
        <v>0</v>
      </c>
      <c r="AO147" s="281">
        <f>SUM(AO148:AO149)</f>
        <v>0</v>
      </c>
      <c r="AP147" s="281">
        <f>SUM(AP148:AP149)</f>
        <v>0</v>
      </c>
      <c r="AQ147" s="281">
        <f>SUM(AQ148:AQ149)</f>
        <v>0</v>
      </c>
      <c r="AR147" s="281">
        <f>SUM(AR148:AR149)</f>
        <v>0</v>
      </c>
      <c r="AS147" s="281">
        <f>SUM(AS148:AS149)</f>
        <v>0</v>
      </c>
      <c r="AT147" s="281">
        <f>SUM(AT148:AT149)</f>
        <v>0</v>
      </c>
      <c r="AU147" s="281">
        <f>SUM(AU148:AU149)</f>
        <v>0</v>
      </c>
      <c r="AV147" s="281">
        <f>SUM(AV148:AV149)</f>
        <v>0</v>
      </c>
      <c r="AW147" s="281">
        <f>SUM(AW148:AW149)</f>
        <v>0</v>
      </c>
      <c r="AX147" s="281">
        <f>SUM(AX148:AX149)</f>
        <v>0</v>
      </c>
      <c r="AY147" s="281">
        <f>SUM(AY148:AY149)</f>
        <v>0</v>
      </c>
      <c r="AZ147" s="281">
        <f>SUM(AZ148:AZ149)</f>
        <v>0</v>
      </c>
      <c r="BA147" s="281">
        <f>SUM(BA148:BA149)</f>
        <v>0</v>
      </c>
      <c r="BB147" s="281">
        <f>SUM(BB148:BB149)</f>
        <v>0</v>
      </c>
      <c r="BC147" s="1926"/>
      <c r="BD147" s="1282"/>
      <c r="BE147" s="1282"/>
      <c r="BF147" s="992" t="s">
        <v>609</v>
      </c>
    </row>
    <row s="1624" customFormat="1" customHeight="1" ht="14.25" hidden="1">
      <c r="A148" s="1282"/>
      <c r="B148" s="1389"/>
      <c r="C148" s="1282"/>
      <c r="D148" s="1282"/>
      <c r="E148" s="607">
        <v>15</v>
      </c>
      <c r="F148" s="50" cm="1" t="str">
        <f t="array" ref="F148:F148">OFFSET(E148,-1,1)</f>
        <v>1</v>
      </c>
      <c r="G148" s="1282"/>
      <c r="H148" s="64" t="s">
        <v>610</v>
      </c>
      <c r="I148" s="1282"/>
      <c r="J148" s="1282"/>
      <c r="K148" s="1282"/>
      <c r="L148" s="1282"/>
      <c r="M148" s="1282"/>
      <c r="N148" s="1282"/>
      <c r="O148" s="1282"/>
      <c r="P148" s="1395"/>
      <c r="Q148" s="1395"/>
      <c r="R148" s="1395"/>
      <c r="S148" s="1395"/>
      <c r="T148" s="438" cm="1" t="str">
        <f t="array" ref="T148:T148">T147</f>
        <v>false</v>
      </c>
      <c r="U148" s="1395"/>
      <c r="V148" s="1282"/>
      <c r="W148" s="1395"/>
      <c r="X148" s="1511"/>
      <c r="Y148" s="1493"/>
      <c r="Z148" s="1282"/>
      <c r="AA148" s="1282"/>
      <c r="AB148" s="206" t="s">
        <v>611</v>
      </c>
      <c r="AC148" s="299" t="s">
        <v>585</v>
      </c>
      <c r="AD148" s="59" t="s">
        <v>506</v>
      </c>
      <c r="AE148" s="1922"/>
      <c r="AF148" s="1922"/>
      <c r="AG148" s="1922"/>
      <c r="AH148" s="1922"/>
      <c r="AI148" s="245"/>
      <c r="AJ148" s="1922"/>
      <c r="AK148" s="1922"/>
      <c r="AL148" s="1922"/>
      <c r="AM148" s="1922"/>
      <c r="AN148" s="1922"/>
      <c r="AO148" s="1922"/>
      <c r="AP148" s="1922"/>
      <c r="AQ148" s="1922"/>
      <c r="AR148" s="1922"/>
      <c r="AS148" s="245"/>
      <c r="AT148" s="1922"/>
      <c r="AU148" s="1922"/>
      <c r="AV148" s="1922"/>
      <c r="AW148" s="1922"/>
      <c r="AX148" s="1922"/>
      <c r="AY148" s="1922"/>
      <c r="AZ148" s="1922"/>
      <c r="BA148" s="1922"/>
      <c r="BB148" s="1922"/>
      <c r="BC148" s="1926"/>
      <c r="BD148" s="1282"/>
      <c r="BE148" s="1282"/>
      <c r="BF148" s="992" t="s">
        <v>612</v>
      </c>
    </row>
    <row s="1624" customFormat="1" customHeight="1" ht="14.25" hidden="1">
      <c r="A149" s="1282"/>
      <c r="B149" s="1389"/>
      <c r="C149" s="1282"/>
      <c r="D149" s="1282"/>
      <c r="E149" s="607">
        <v>15</v>
      </c>
      <c r="F149" s="50" cm="1" t="str">
        <f t="array" ref="F149:F149">OFFSET(E149,-1,1)</f>
        <v>1</v>
      </c>
      <c r="G149" s="1282"/>
      <c r="H149" s="64" t="s">
        <v>613</v>
      </c>
      <c r="I149" s="1282"/>
      <c r="J149" s="1282"/>
      <c r="K149" s="1282"/>
      <c r="L149" s="1282"/>
      <c r="M149" s="1282"/>
      <c r="N149" s="1282"/>
      <c r="O149" s="1282"/>
      <c r="P149" s="1395"/>
      <c r="Q149" s="1395"/>
      <c r="R149" s="1395"/>
      <c r="S149" s="1395"/>
      <c r="T149" s="438" cm="1" t="str">
        <f t="array" ref="T149:T149">T148</f>
        <v>false</v>
      </c>
      <c r="U149" s="1395"/>
      <c r="V149" s="1282"/>
      <c r="W149" s="1395"/>
      <c r="X149" s="1511"/>
      <c r="Y149" s="1493"/>
      <c r="Z149" s="1282"/>
      <c r="AA149" s="1282"/>
      <c r="AB149" s="206" t="s">
        <v>614</v>
      </c>
      <c r="AC149" s="299" t="s">
        <v>589</v>
      </c>
      <c r="AD149" s="59" t="s">
        <v>506</v>
      </c>
      <c r="AE149" s="1922"/>
      <c r="AF149" s="1922"/>
      <c r="AG149" s="1922"/>
      <c r="AH149" s="1922"/>
      <c r="AI149" s="245"/>
      <c r="AJ149" s="1922"/>
      <c r="AK149" s="1922"/>
      <c r="AL149" s="1922"/>
      <c r="AM149" s="1922"/>
      <c r="AN149" s="1922"/>
      <c r="AO149" s="1922"/>
      <c r="AP149" s="1922"/>
      <c r="AQ149" s="1922"/>
      <c r="AR149" s="1922"/>
      <c r="AS149" s="245"/>
      <c r="AT149" s="1922"/>
      <c r="AU149" s="1922"/>
      <c r="AV149" s="1922"/>
      <c r="AW149" s="1922"/>
      <c r="AX149" s="1922"/>
      <c r="AY149" s="1922"/>
      <c r="AZ149" s="1922"/>
      <c r="BA149" s="1922"/>
      <c r="BB149" s="1922"/>
      <c r="BC149" s="1926"/>
      <c r="BD149" s="1282"/>
      <c r="BE149" s="1282"/>
      <c r="BF149" s="992" t="s">
        <v>615</v>
      </c>
    </row>
    <row s="1624" customFormat="1" customHeight="1" ht="14.25" hidden="1">
      <c r="A150" s="1282"/>
      <c r="B150" s="1389"/>
      <c r="C150" s="1282"/>
      <c r="D150" s="1282"/>
      <c r="E150" s="607">
        <v>15</v>
      </c>
      <c r="F150" s="50" cm="1" t="str">
        <f t="array" ref="F150:F150">OFFSET(E150,-1,1)</f>
        <v>1</v>
      </c>
      <c r="G150" s="1282"/>
      <c r="H150" s="64" t="s">
        <v>616</v>
      </c>
      <c r="I150" s="1282"/>
      <c r="J150" s="1282"/>
      <c r="K150" s="1282"/>
      <c r="L150" s="1282"/>
      <c r="M150" s="1282"/>
      <c r="N150" s="1282"/>
      <c r="O150" s="1282"/>
      <c r="P150" s="1395"/>
      <c r="Q150" s="1395"/>
      <c r="R150" s="1395"/>
      <c r="S150" s="1395"/>
      <c r="T150" s="438" cm="1" t="str">
        <f t="array" ref="T150:T150">T149</f>
        <v>false</v>
      </c>
      <c r="U150" s="1395"/>
      <c r="V150" s="1282"/>
      <c r="W150" s="1395"/>
      <c r="X150" s="1511"/>
      <c r="Y150" s="1493"/>
      <c r="Z150" s="1282"/>
      <c r="AA150" s="1282"/>
      <c r="AB150" s="206" t="s">
        <v>617</v>
      </c>
      <c r="AC150" s="298" t="s">
        <v>618</v>
      </c>
      <c r="AD150" s="59" t="s">
        <v>506</v>
      </c>
      <c r="AE150" s="281">
        <f>SUM(AE151:AE152)</f>
        <v>0</v>
      </c>
      <c r="AF150" s="281">
        <f>SUM(AF151:AF152)</f>
        <v>0</v>
      </c>
      <c r="AG150" s="281">
        <f>SUM(AG151:AG152)</f>
        <v>0</v>
      </c>
      <c r="AH150" s="281">
        <f>SUM(AH151:AH152)</f>
        <v>0</v>
      </c>
      <c r="AI150" s="281">
        <f>SUM(AI151:AI152)</f>
        <v>0</v>
      </c>
      <c r="AJ150" s="281">
        <f>SUM(AJ151:AJ152)</f>
        <v>0</v>
      </c>
      <c r="AK150" s="281">
        <f>SUM(AK151:AK152)</f>
        <v>0</v>
      </c>
      <c r="AL150" s="281">
        <f>SUM(AL151:AL152)</f>
        <v>0</v>
      </c>
      <c r="AM150" s="281">
        <f>SUM(AM151:AM152)</f>
        <v>0</v>
      </c>
      <c r="AN150" s="281">
        <f>SUM(AN151:AN152)</f>
        <v>0</v>
      </c>
      <c r="AO150" s="281">
        <f>SUM(AO151:AO152)</f>
        <v>0</v>
      </c>
      <c r="AP150" s="281">
        <f>SUM(AP151:AP152)</f>
        <v>0</v>
      </c>
      <c r="AQ150" s="281">
        <f>SUM(AQ151:AQ152)</f>
        <v>0</v>
      </c>
      <c r="AR150" s="281">
        <f>SUM(AR151:AR152)</f>
        <v>0</v>
      </c>
      <c r="AS150" s="281">
        <f>SUM(AS151:AS152)</f>
        <v>0</v>
      </c>
      <c r="AT150" s="281">
        <f>SUM(AT151:AT152)</f>
        <v>0</v>
      </c>
      <c r="AU150" s="281">
        <f>SUM(AU151:AU152)</f>
        <v>0</v>
      </c>
      <c r="AV150" s="281">
        <f>SUM(AV151:AV152)</f>
        <v>0</v>
      </c>
      <c r="AW150" s="281">
        <f>SUM(AW151:AW152)</f>
        <v>0</v>
      </c>
      <c r="AX150" s="281">
        <f>SUM(AX151:AX152)</f>
        <v>0</v>
      </c>
      <c r="AY150" s="281">
        <f>SUM(AY151:AY152)</f>
        <v>0</v>
      </c>
      <c r="AZ150" s="281">
        <f>SUM(AZ151:AZ152)</f>
        <v>0</v>
      </c>
      <c r="BA150" s="281">
        <f>SUM(BA151:BA152)</f>
        <v>0</v>
      </c>
      <c r="BB150" s="281">
        <f>SUM(BB151:BB152)</f>
        <v>0</v>
      </c>
      <c r="BC150" s="1926"/>
      <c r="BD150" s="1282"/>
      <c r="BE150" s="1282"/>
      <c r="BF150" s="992" t="s">
        <v>619</v>
      </c>
    </row>
    <row s="1624" customFormat="1" customHeight="1" ht="14.25" hidden="1">
      <c r="A151" s="1282"/>
      <c r="B151" s="1389"/>
      <c r="C151" s="1282"/>
      <c r="D151" s="1282"/>
      <c r="E151" s="607">
        <v>15</v>
      </c>
      <c r="F151" s="50" cm="1" t="str">
        <f t="array" ref="F151:F151">OFFSET(E151,-1,1)</f>
        <v>1</v>
      </c>
      <c r="G151" s="1282"/>
      <c r="H151" s="64" t="s">
        <v>620</v>
      </c>
      <c r="I151" s="1282"/>
      <c r="J151" s="1282"/>
      <c r="K151" s="1282"/>
      <c r="L151" s="1282"/>
      <c r="M151" s="1282"/>
      <c r="N151" s="1282"/>
      <c r="O151" s="1282"/>
      <c r="P151" s="1395"/>
      <c r="Q151" s="1395"/>
      <c r="R151" s="1395"/>
      <c r="S151" s="1395"/>
      <c r="T151" s="438" cm="1" t="str">
        <f t="array" ref="T151:T151">T150</f>
        <v>false</v>
      </c>
      <c r="U151" s="1395"/>
      <c r="V151" s="1282"/>
      <c r="W151" s="1395"/>
      <c r="X151" s="1511"/>
      <c r="Y151" s="1493"/>
      <c r="Z151" s="1282"/>
      <c r="AA151" s="1282"/>
      <c r="AB151" s="206" t="s">
        <v>621</v>
      </c>
      <c r="AC151" s="299" t="s">
        <v>585</v>
      </c>
      <c r="AD151" s="59" t="s">
        <v>506</v>
      </c>
      <c r="AE151" s="1922"/>
      <c r="AF151" s="1922"/>
      <c r="AG151" s="1922"/>
      <c r="AH151" s="1922"/>
      <c r="AI151" s="245"/>
      <c r="AJ151" s="1922"/>
      <c r="AK151" s="1922"/>
      <c r="AL151" s="1922"/>
      <c r="AM151" s="1922"/>
      <c r="AN151" s="1922"/>
      <c r="AO151" s="1922"/>
      <c r="AP151" s="1922"/>
      <c r="AQ151" s="1922"/>
      <c r="AR151" s="1922"/>
      <c r="AS151" s="245"/>
      <c r="AT151" s="1922"/>
      <c r="AU151" s="1922"/>
      <c r="AV151" s="1922"/>
      <c r="AW151" s="1922"/>
      <c r="AX151" s="1922"/>
      <c r="AY151" s="1922"/>
      <c r="AZ151" s="1922"/>
      <c r="BA151" s="1922"/>
      <c r="BB151" s="1922"/>
      <c r="BC151" s="1926"/>
      <c r="BD151" s="1282"/>
      <c r="BE151" s="1282"/>
      <c r="BF151" s="992" t="s">
        <v>622</v>
      </c>
    </row>
    <row s="1624" customFormat="1" customHeight="1" ht="14.25" hidden="1">
      <c r="A152" s="1282"/>
      <c r="B152" s="1389"/>
      <c r="C152" s="1282"/>
      <c r="D152" s="1282"/>
      <c r="E152" s="607">
        <v>15</v>
      </c>
      <c r="F152" s="50" cm="1" t="str">
        <f t="array" ref="F152:F152">OFFSET(E152,-1,1)</f>
        <v>1</v>
      </c>
      <c r="G152" s="1282"/>
      <c r="H152" s="64" t="s">
        <v>623</v>
      </c>
      <c r="I152" s="1282"/>
      <c r="J152" s="1282"/>
      <c r="K152" s="1282"/>
      <c r="L152" s="1282"/>
      <c r="M152" s="1282"/>
      <c r="N152" s="1282"/>
      <c r="O152" s="1282"/>
      <c r="P152" s="1395"/>
      <c r="Q152" s="1395"/>
      <c r="R152" s="1395"/>
      <c r="S152" s="1395"/>
      <c r="T152" s="438" cm="1" t="str">
        <f t="array" ref="T152:T152">T151</f>
        <v>false</v>
      </c>
      <c r="U152" s="1395"/>
      <c r="V152" s="1282"/>
      <c r="W152" s="1395"/>
      <c r="X152" s="1511"/>
      <c r="Y152" s="1493"/>
      <c r="Z152" s="1282"/>
      <c r="AA152" s="1282"/>
      <c r="AB152" s="206" t="s">
        <v>624</v>
      </c>
      <c r="AC152" s="299" t="s">
        <v>589</v>
      </c>
      <c r="AD152" s="59" t="s">
        <v>506</v>
      </c>
      <c r="AE152" s="1922"/>
      <c r="AF152" s="1922"/>
      <c r="AG152" s="1922"/>
      <c r="AH152" s="1922"/>
      <c r="AI152" s="245"/>
      <c r="AJ152" s="1922"/>
      <c r="AK152" s="1922"/>
      <c r="AL152" s="1922"/>
      <c r="AM152" s="1922"/>
      <c r="AN152" s="1922"/>
      <c r="AO152" s="1922"/>
      <c r="AP152" s="1922"/>
      <c r="AQ152" s="1922"/>
      <c r="AR152" s="1922"/>
      <c r="AS152" s="245"/>
      <c r="AT152" s="1922"/>
      <c r="AU152" s="1922"/>
      <c r="AV152" s="1922"/>
      <c r="AW152" s="1922"/>
      <c r="AX152" s="1922"/>
      <c r="AY152" s="1922"/>
      <c r="AZ152" s="1922"/>
      <c r="BA152" s="1922"/>
      <c r="BB152" s="1922"/>
      <c r="BC152" s="1880"/>
      <c r="BD152" s="1282"/>
      <c r="BE152" s="1282"/>
      <c r="BF152" s="992" t="s">
        <v>625</v>
      </c>
    </row>
    <row s="1624" customFormat="1" customHeight="1" ht="21.75" hidden="1">
      <c r="A153" s="1282"/>
      <c r="B153" s="1389"/>
      <c r="C153" s="1282"/>
      <c r="D153" s="1282"/>
      <c r="E153" s="607">
        <v>22.5</v>
      </c>
      <c r="F153" s="50" cm="1" t="str">
        <f t="array" ref="F153:F153">OFFSET(E153,-1,1)</f>
        <v>1</v>
      </c>
      <c r="G153" s="1282"/>
      <c r="H153" s="64" t="s">
        <v>626</v>
      </c>
      <c r="I153" s="442"/>
      <c r="J153" s="442"/>
      <c r="K153" s="1282"/>
      <c r="L153" s="1282"/>
      <c r="M153" s="1282"/>
      <c r="N153" s="1282"/>
      <c r="O153" s="1282"/>
      <c r="P153" s="1395"/>
      <c r="Q153" s="1395"/>
      <c r="R153" s="1395"/>
      <c r="S153" s="1395"/>
      <c r="T153" s="438" cm="1" t="str">
        <f t="array" ref="T153:T153">T152</f>
        <v>false</v>
      </c>
      <c r="U153" s="1395"/>
      <c r="V153" s="1282"/>
      <c r="W153" s="1395"/>
      <c r="X153" s="1511"/>
      <c r="Y153" s="1493"/>
      <c r="Z153" s="1282"/>
      <c r="AA153" s="1282"/>
      <c r="AB153" s="206" t="s">
        <v>627</v>
      </c>
      <c r="AC153" s="300" t="s">
        <v>628</v>
      </c>
      <c r="AD153" s="59" t="s">
        <v>506</v>
      </c>
      <c r="AE153" s="1879"/>
      <c r="AF153" s="1879"/>
      <c r="AG153" s="1879"/>
      <c r="AH153" s="1879"/>
      <c r="AI153" s="242"/>
      <c r="AJ153" s="1879"/>
      <c r="AK153" s="1879"/>
      <c r="AL153" s="1879"/>
      <c r="AM153" s="1879"/>
      <c r="AN153" s="1879"/>
      <c r="AO153" s="1879"/>
      <c r="AP153" s="1879"/>
      <c r="AQ153" s="1879"/>
      <c r="AR153" s="1879"/>
      <c r="AS153" s="242"/>
      <c r="AT153" s="1879"/>
      <c r="AU153" s="1879"/>
      <c r="AV153" s="1879"/>
      <c r="AW153" s="1879"/>
      <c r="AX153" s="1879"/>
      <c r="AY153" s="1879"/>
      <c r="AZ153" s="1879"/>
      <c r="BA153" s="1879"/>
      <c r="BB153" s="1879"/>
      <c r="BC153" s="1880"/>
      <c r="BD153" s="1282"/>
      <c r="BE153" s="1282"/>
      <c r="BF153" s="992" t="s">
        <v>629</v>
      </c>
    </row>
    <row s="1624" customFormat="1" customHeight="1" ht="14.25" hidden="1">
      <c r="A154" s="1282"/>
      <c r="B154" s="1389"/>
      <c r="C154" s="1282"/>
      <c r="D154" s="1282"/>
      <c r="E154" s="607">
        <v>15</v>
      </c>
      <c r="F154" s="315" cm="1" t="str">
        <f t="array" ref="F154:F154">OFFSET(E154,-1,1)</f>
        <v>1</v>
      </c>
      <c r="G154" s="1282"/>
      <c r="H154" s="1282"/>
      <c r="I154" s="1282"/>
      <c r="J154" s="1282"/>
      <c r="K154" s="1282"/>
      <c r="L154" s="1282"/>
      <c r="M154" s="1282"/>
      <c r="N154" s="1282"/>
      <c r="O154" s="1282"/>
      <c r="P154" s="1395"/>
      <c r="Q154" s="1395"/>
      <c r="R154" s="1395"/>
      <c r="S154" s="1395"/>
      <c r="T154" s="438" cm="1" t="str">
        <f t="array" ref="T154:T154">T153</f>
        <v>false</v>
      </c>
      <c r="U154" s="1395"/>
      <c r="V154" s="1282"/>
      <c r="W154" s="1395"/>
      <c r="X154" s="1511"/>
      <c r="Y154" s="1493"/>
      <c r="Z154" s="1282"/>
      <c r="AA154" s="1282"/>
      <c r="AB154" s="206" t="s">
        <v>630</v>
      </c>
      <c r="AC154" s="300" t="s">
        <v>631</v>
      </c>
      <c r="AD154" s="59" t="s">
        <v>506</v>
      </c>
      <c r="AE154" s="1879"/>
      <c r="AF154" s="1879"/>
      <c r="AG154" s="1879"/>
      <c r="AH154" s="1879"/>
      <c r="AI154" s="242"/>
      <c r="AJ154" s="1879"/>
      <c r="AK154" s="1879"/>
      <c r="AL154" s="1879"/>
      <c r="AM154" s="1879"/>
      <c r="AN154" s="1879"/>
      <c r="AO154" s="1879"/>
      <c r="AP154" s="1879"/>
      <c r="AQ154" s="1879"/>
      <c r="AR154" s="1879"/>
      <c r="AS154" s="242"/>
      <c r="AT154" s="1879"/>
      <c r="AU154" s="1879"/>
      <c r="AV154" s="1879"/>
      <c r="AW154" s="1879"/>
      <c r="AX154" s="1879"/>
      <c r="AY154" s="1879"/>
      <c r="AZ154" s="1879"/>
      <c r="BA154" s="1879"/>
      <c r="BB154" s="1879"/>
      <c r="BC154" s="1880"/>
      <c r="BD154" s="1282"/>
      <c r="BE154" s="1282"/>
      <c r="BF154" s="992" t="s">
        <v>632</v>
      </c>
    </row>
    <row s="1624" customFormat="1" customHeight="1" ht="11.25" hidden="1">
      <c r="A155" s="442"/>
      <c r="B155" s="634"/>
      <c r="C155" s="442"/>
      <c r="D155" s="442"/>
      <c r="E155" s="636" t="s">
        <v>362</v>
      </c>
      <c r="F155" s="1153" cm="1" t="str">
        <f t="array" ref="F155:F155">OFFSET(E155,-1,1)</f>
        <v>1</v>
      </c>
      <c r="G155" s="442"/>
      <c r="H155" s="442"/>
      <c r="I155" s="1624"/>
      <c r="J155" s="1624"/>
      <c r="K155" s="64"/>
      <c r="L155" s="442"/>
      <c r="M155" s="442"/>
      <c r="N155" s="442"/>
      <c r="O155" s="442"/>
      <c r="P155" s="442"/>
      <c r="Q155" s="442"/>
      <c r="R155" s="387"/>
      <c r="S155" s="387"/>
      <c r="T155" s="438" t="b">
        <v>0</v>
      </c>
      <c r="U155" s="442"/>
      <c r="V155" s="442"/>
      <c r="W155" s="442"/>
      <c r="X155" s="1511"/>
      <c r="Y155" s="1493"/>
      <c r="Z155" s="442"/>
      <c r="AA155" s="442"/>
      <c r="AB155" s="1624"/>
      <c r="AC155" s="66"/>
      <c r="AD155" s="66"/>
      <c r="AE155" s="310"/>
      <c r="AF155" s="310"/>
      <c r="AG155" s="310"/>
      <c r="AH155" s="310"/>
      <c r="AI155" s="310"/>
      <c r="AJ155" s="311"/>
      <c r="AK155" s="310"/>
      <c r="AL155" s="310"/>
      <c r="AM155" s="310"/>
      <c r="AN155" s="310"/>
      <c r="AO155" s="310"/>
      <c r="AP155" s="310"/>
      <c r="AQ155" s="310"/>
      <c r="AR155" s="310"/>
      <c r="AS155" s="310"/>
      <c r="AT155" s="310"/>
      <c r="AU155" s="310"/>
      <c r="AV155" s="310"/>
      <c r="AW155" s="310"/>
      <c r="AX155" s="310"/>
      <c r="AY155" s="310"/>
      <c r="AZ155" s="310"/>
      <c r="BA155" s="310"/>
      <c r="BB155" s="310"/>
      <c r="BC155" s="1624"/>
      <c r="BD155" s="1624"/>
      <c r="BE155" s="1624"/>
      <c r="BF155" s="996"/>
    </row>
    <row s="1624" customFormat="1" customHeight="1" ht="14.25" hidden="1">
      <c r="A156" s="1282"/>
      <c r="B156" s="1389"/>
      <c r="C156" s="1282"/>
      <c r="D156" s="1282"/>
      <c r="E156" s="607">
        <v>15</v>
      </c>
      <c r="F156" s="50" cm="1" t="str">
        <f t="array" ref="F156:F156">OFFSET(E156,-1,1)</f>
        <v>1</v>
      </c>
      <c r="G156" s="1282"/>
      <c r="H156" s="1282"/>
      <c r="I156" s="1282"/>
      <c r="J156" s="1282"/>
      <c r="K156" s="1282"/>
      <c r="L156" s="1282"/>
      <c r="M156" s="1282"/>
      <c r="N156" s="1282"/>
      <c r="O156" s="1282"/>
      <c r="P156" s="1395"/>
      <c r="Q156" s="1395"/>
      <c r="R156" s="387" cm="1" t="str">
        <f t="array" ref="R156:R156">INDEX('Общие сведения'!$AN$179:$AN$208,MATCH($X118,'Общие сведения'!$Z$179:$Z$208,0))</f>
        <v>true</v>
      </c>
      <c r="S156" s="387">
        <f>IF(ISERROR(SEARCH("Водоснабжение",AB118)),FALSE,TRUE)</f>
        <v>0</v>
      </c>
      <c r="T156" s="438">
        <f>AND(X118&gt;0,S156,R156)</f>
        <v>0</v>
      </c>
      <c r="U156" s="1395"/>
      <c r="V156" s="1282"/>
      <c r="W156" s="1395"/>
      <c r="X156" s="1511"/>
      <c r="Y156" s="1493"/>
      <c r="Z156" s="1282"/>
      <c r="AA156" s="1282"/>
      <c r="AB156" s="206" t="s">
        <v>281</v>
      </c>
      <c r="AC156" s="294" t="s">
        <v>502</v>
      </c>
      <c r="AD156" s="164"/>
      <c r="AE156" s="544" cm="1" t="str">
        <f t="array" ref="AE156:AE156">INDEX('Общие сведения'!$AH$179:$AH$208,MATCH($X118,'Общие сведения'!$Z$179:$Z$208,0))</f>
        <v>без дифференциации</v>
      </c>
      <c r="AF156" s="328"/>
      <c r="AG156" s="328"/>
      <c r="AH156" s="328"/>
      <c r="AI156" s="328"/>
      <c r="AJ156" s="328"/>
      <c r="AK156" s="328"/>
      <c r="AL156" s="328"/>
      <c r="AM156" s="328"/>
      <c r="AN156" s="328"/>
      <c r="AO156" s="328"/>
      <c r="AP156" s="328"/>
      <c r="AQ156" s="328"/>
      <c r="AR156" s="328"/>
      <c r="AS156" s="328"/>
      <c r="AT156" s="328"/>
      <c r="AU156" s="328"/>
      <c r="AV156" s="328"/>
      <c r="AW156" s="328"/>
      <c r="AX156" s="328"/>
      <c r="AY156" s="328"/>
      <c r="AZ156" s="328"/>
      <c r="BA156" s="328"/>
      <c r="BB156" s="329"/>
      <c r="BC156" s="1880"/>
      <c r="BD156" s="1282"/>
      <c r="BE156" s="1282"/>
      <c r="BF156" s="992" t="s">
        <v>633</v>
      </c>
    </row>
    <row s="1624" customFormat="1" customHeight="1" ht="14.25" hidden="1">
      <c r="A157" s="1282"/>
      <c r="B157" s="1389"/>
      <c r="C157" s="1282"/>
      <c r="D157" s="1282"/>
      <c r="E157" s="607">
        <v>15</v>
      </c>
      <c r="F157" s="50" cm="1" t="str">
        <f t="array" ref="F157:F157">OFFSET(E157,-1,1)</f>
        <v>1</v>
      </c>
      <c r="G157" s="1282"/>
      <c r="H157" s="64" t="s">
        <v>325</v>
      </c>
      <c r="I157" s="1282"/>
      <c r="J157" s="1282"/>
      <c r="K157" s="1282"/>
      <c r="L157" s="1282"/>
      <c r="M157" s="1282"/>
      <c r="N157" s="1282"/>
      <c r="O157" s="1282"/>
      <c r="P157" s="1395"/>
      <c r="Q157" s="1395"/>
      <c r="R157" s="1395"/>
      <c r="S157" s="1395"/>
      <c r="T157" s="438" cm="1" t="str">
        <f t="array" ref="T157:T157">T156</f>
        <v>false</v>
      </c>
      <c r="U157" s="1395"/>
      <c r="V157" s="1282"/>
      <c r="W157" s="1395"/>
      <c r="X157" s="1511"/>
      <c r="Y157" s="1493"/>
      <c r="Z157" s="1282"/>
      <c r="AA157" s="1282"/>
      <c r="AB157" s="206" t="s">
        <v>504</v>
      </c>
      <c r="AC157" s="301" t="s">
        <v>634</v>
      </c>
      <c r="AD157" s="59" t="s">
        <v>506</v>
      </c>
      <c r="AE157" s="312">
        <f>AE161+AE163+AE166+AE169</f>
        <v>0</v>
      </c>
      <c r="AF157" s="312">
        <f>AF161+AF163+AF166+AF169</f>
        <v>0</v>
      </c>
      <c r="AG157" s="312">
        <f>AG161+AG163+AG166+AG169</f>
        <v>0</v>
      </c>
      <c r="AH157" s="312">
        <f>AH161+AH163+AH166+AH169</f>
        <v>0</v>
      </c>
      <c r="AI157" s="312">
        <f>AI161+AI163+AI166+AI169</f>
        <v>0</v>
      </c>
      <c r="AJ157" s="312">
        <f>AJ161+AJ163+AJ166+AJ169</f>
        <v>0</v>
      </c>
      <c r="AK157" s="312">
        <f>AK161+AK163+AK166+AK169</f>
        <v>0</v>
      </c>
      <c r="AL157" s="312">
        <f>AL161+AL163+AL166+AL169</f>
        <v>0</v>
      </c>
      <c r="AM157" s="312">
        <f>AM161+AM163+AM166+AM169</f>
        <v>0</v>
      </c>
      <c r="AN157" s="312">
        <f>AN161+AN163+AN166+AN169</f>
        <v>0</v>
      </c>
      <c r="AO157" s="312">
        <f>AO161+AO163+AO166+AO169</f>
        <v>0</v>
      </c>
      <c r="AP157" s="312">
        <f>AP161+AP163+AP166+AP169</f>
        <v>0</v>
      </c>
      <c r="AQ157" s="312">
        <f>AQ161+AQ163+AQ166+AQ169</f>
        <v>0</v>
      </c>
      <c r="AR157" s="312">
        <f>AR161+AR163+AR166+AR169</f>
        <v>0</v>
      </c>
      <c r="AS157" s="312">
        <f>AS161+AS163+AS166+AS169</f>
        <v>0</v>
      </c>
      <c r="AT157" s="312">
        <f>AT161+AT163+AT166+AT169</f>
        <v>0</v>
      </c>
      <c r="AU157" s="312">
        <f>AU161+AU163+AU166+AU169</f>
        <v>0</v>
      </c>
      <c r="AV157" s="312">
        <f>AV161+AV163+AV166+AV169</f>
        <v>0</v>
      </c>
      <c r="AW157" s="312">
        <f>AW161+AW163+AW166+AW169</f>
        <v>0</v>
      </c>
      <c r="AX157" s="312">
        <f>AX161+AX163+AX166+AX169</f>
        <v>0</v>
      </c>
      <c r="AY157" s="312">
        <f>AY161+AY163+AY166+AY169</f>
        <v>0</v>
      </c>
      <c r="AZ157" s="312">
        <f>AZ161+AZ163+AZ166+AZ169</f>
        <v>0</v>
      </c>
      <c r="BA157" s="312">
        <f>BA161+BA163+BA166+BA169</f>
        <v>0</v>
      </c>
      <c r="BB157" s="312">
        <f>BB161+BB163+BB166+BB169</f>
        <v>0</v>
      </c>
      <c r="BC157" s="1880"/>
      <c r="BD157" s="1282"/>
      <c r="BE157" s="1282"/>
      <c r="BF157" s="992" t="s">
        <v>635</v>
      </c>
    </row>
    <row s="1624" customFormat="1" customHeight="1" ht="14.25" hidden="1">
      <c r="A158" s="1282"/>
      <c r="B158" s="1389"/>
      <c r="C158" s="1282"/>
      <c r="D158" s="1282"/>
      <c r="E158" s="607">
        <v>15</v>
      </c>
      <c r="F158" s="50" cm="1" t="str">
        <f t="array" ref="F158:F158">OFFSET(E158,-1,1)</f>
        <v>1</v>
      </c>
      <c r="G158" s="1282"/>
      <c r="H158" s="64" t="s">
        <v>508</v>
      </c>
      <c r="I158" s="1282"/>
      <c r="J158" s="1282"/>
      <c r="K158" s="1282"/>
      <c r="L158" s="1282"/>
      <c r="M158" s="1282"/>
      <c r="N158" s="1282"/>
      <c r="O158" s="1282"/>
      <c r="P158" s="1395"/>
      <c r="Q158" s="1395"/>
      <c r="R158" s="1395"/>
      <c r="S158" s="1395"/>
      <c r="T158" s="438" cm="1" t="str">
        <f t="array" ref="T158:T158">T157</f>
        <v>false</v>
      </c>
      <c r="U158" s="1395"/>
      <c r="V158" s="1282"/>
      <c r="W158" s="1395"/>
      <c r="X158" s="1511"/>
      <c r="Y158" s="1493"/>
      <c r="Z158" s="1282"/>
      <c r="AA158" s="1282"/>
      <c r="AB158" s="206" t="s">
        <v>509</v>
      </c>
      <c r="AC158" s="302" t="s">
        <v>636</v>
      </c>
      <c r="AD158" s="59" t="s">
        <v>506</v>
      </c>
      <c r="AE158" s="1879"/>
      <c r="AF158" s="1879"/>
      <c r="AG158" s="1879"/>
      <c r="AH158" s="1879"/>
      <c r="AI158" s="242"/>
      <c r="AJ158" s="1879"/>
      <c r="AK158" s="1879"/>
      <c r="AL158" s="1879"/>
      <c r="AM158" s="1879"/>
      <c r="AN158" s="1879"/>
      <c r="AO158" s="1879"/>
      <c r="AP158" s="1879"/>
      <c r="AQ158" s="1879"/>
      <c r="AR158" s="1879"/>
      <c r="AS158" s="242"/>
      <c r="AT158" s="1879"/>
      <c r="AU158" s="1879"/>
      <c r="AV158" s="1879"/>
      <c r="AW158" s="1879"/>
      <c r="AX158" s="1879"/>
      <c r="AY158" s="1879"/>
      <c r="AZ158" s="1879"/>
      <c r="BA158" s="1879"/>
      <c r="BB158" s="1879"/>
      <c r="BC158" s="1880"/>
      <c r="BD158" s="1282"/>
      <c r="BE158" s="1282"/>
      <c r="BF158" s="992" t="s">
        <v>637</v>
      </c>
    </row>
    <row s="1624" customFormat="1" customHeight="1" ht="14.25" hidden="1">
      <c r="A159" s="1282"/>
      <c r="B159" s="1389"/>
      <c r="C159" s="1282"/>
      <c r="D159" s="1282"/>
      <c r="E159" s="607">
        <v>15</v>
      </c>
      <c r="F159" s="50" cm="1" t="str">
        <f t="array" ref="F159:F159">OFFSET(E159,-1,1)</f>
        <v>1</v>
      </c>
      <c r="G159" s="1282"/>
      <c r="H159" s="64" t="s">
        <v>512</v>
      </c>
      <c r="I159" s="1282"/>
      <c r="J159" s="1282"/>
      <c r="K159" s="1282"/>
      <c r="L159" s="1282"/>
      <c r="M159" s="1282"/>
      <c r="N159" s="1282"/>
      <c r="O159" s="1282"/>
      <c r="P159" s="1395"/>
      <c r="Q159" s="1395"/>
      <c r="R159" s="1395"/>
      <c r="S159" s="1395"/>
      <c r="T159" s="438" cm="1" t="str">
        <f t="array" ref="T159:T159">T158</f>
        <v>false</v>
      </c>
      <c r="U159" s="1395"/>
      <c r="V159" s="1282"/>
      <c r="W159" s="1395"/>
      <c r="X159" s="1511"/>
      <c r="Y159" s="1493"/>
      <c r="Z159" s="1282"/>
      <c r="AA159" s="1282"/>
      <c r="AB159" s="206" t="s">
        <v>513</v>
      </c>
      <c r="AC159" s="302" t="s">
        <v>638</v>
      </c>
      <c r="AD159" s="59" t="s">
        <v>506</v>
      </c>
      <c r="AE159" s="1879"/>
      <c r="AF159" s="1879"/>
      <c r="AG159" s="1879"/>
      <c r="AH159" s="1879"/>
      <c r="AI159" s="242"/>
      <c r="AJ159" s="1879"/>
      <c r="AK159" s="1879"/>
      <c r="AL159" s="1879"/>
      <c r="AM159" s="1879"/>
      <c r="AN159" s="1879"/>
      <c r="AO159" s="1879"/>
      <c r="AP159" s="1879"/>
      <c r="AQ159" s="1879"/>
      <c r="AR159" s="1879"/>
      <c r="AS159" s="242"/>
      <c r="AT159" s="1879"/>
      <c r="AU159" s="1879"/>
      <c r="AV159" s="1879"/>
      <c r="AW159" s="1879"/>
      <c r="AX159" s="1879"/>
      <c r="AY159" s="1879"/>
      <c r="AZ159" s="1879"/>
      <c r="BA159" s="1879"/>
      <c r="BB159" s="1879"/>
      <c r="BC159" s="1880"/>
      <c r="BD159" s="1282"/>
      <c r="BE159" s="1282"/>
      <c r="BF159" s="992" t="s">
        <v>639</v>
      </c>
    </row>
    <row s="1624" customFormat="1" customHeight="1" ht="21.75" hidden="1">
      <c r="A160" s="1282"/>
      <c r="B160" s="1389"/>
      <c r="C160" s="1282"/>
      <c r="D160" s="1282"/>
      <c r="E160" s="607">
        <v>22.5</v>
      </c>
      <c r="F160" s="50" cm="1" t="str">
        <f t="array" ref="F160:F160">OFFSET(E160,-1,1)</f>
        <v>1</v>
      </c>
      <c r="G160" s="1282"/>
      <c r="H160" s="64" t="s">
        <v>516</v>
      </c>
      <c r="I160" s="1282"/>
      <c r="J160" s="1282"/>
      <c r="K160" s="1282"/>
      <c r="L160" s="1282"/>
      <c r="M160" s="1282"/>
      <c r="N160" s="1282"/>
      <c r="O160" s="1282"/>
      <c r="P160" s="1395"/>
      <c r="Q160" s="1395"/>
      <c r="R160" s="1395"/>
      <c r="S160" s="1395"/>
      <c r="T160" s="438" cm="1" t="str">
        <f t="array" ref="T160:T160">T159</f>
        <v>false</v>
      </c>
      <c r="U160" s="1395"/>
      <c r="V160" s="1282"/>
      <c r="W160" s="1395"/>
      <c r="X160" s="1511"/>
      <c r="Y160" s="1493"/>
      <c r="Z160" s="1282"/>
      <c r="AA160" s="1282"/>
      <c r="AB160" s="206" t="s">
        <v>517</v>
      </c>
      <c r="AC160" s="302" t="s">
        <v>640</v>
      </c>
      <c r="AD160" s="59" t="s">
        <v>506</v>
      </c>
      <c r="AE160" s="1879"/>
      <c r="AF160" s="1879"/>
      <c r="AG160" s="1879"/>
      <c r="AH160" s="1879"/>
      <c r="AI160" s="242"/>
      <c r="AJ160" s="1879"/>
      <c r="AK160" s="1879"/>
      <c r="AL160" s="1879"/>
      <c r="AM160" s="1879"/>
      <c r="AN160" s="1879"/>
      <c r="AO160" s="1879"/>
      <c r="AP160" s="1879"/>
      <c r="AQ160" s="1879"/>
      <c r="AR160" s="1879"/>
      <c r="AS160" s="242"/>
      <c r="AT160" s="1879"/>
      <c r="AU160" s="1879"/>
      <c r="AV160" s="1879"/>
      <c r="AW160" s="1879"/>
      <c r="AX160" s="1879"/>
      <c r="AY160" s="1879"/>
      <c r="AZ160" s="1879"/>
      <c r="BA160" s="1879"/>
      <c r="BB160" s="1879"/>
      <c r="BC160" s="1880"/>
      <c r="BD160" s="1282"/>
      <c r="BE160" s="1282"/>
      <c r="BF160" s="992" t="s">
        <v>641</v>
      </c>
    </row>
    <row s="1624" customFormat="1" customHeight="1" ht="14.25" hidden="1">
      <c r="A161" s="1282"/>
      <c r="B161" s="1389"/>
      <c r="C161" s="1282"/>
      <c r="D161" s="1282"/>
      <c r="E161" s="607">
        <v>15</v>
      </c>
      <c r="F161" s="50" cm="1" t="str">
        <f t="array" ref="F161:F161">OFFSET(E161,-1,1)</f>
        <v>1</v>
      </c>
      <c r="G161" s="1282"/>
      <c r="H161" s="64" t="s">
        <v>324</v>
      </c>
      <c r="I161" s="1282"/>
      <c r="J161" s="1282"/>
      <c r="K161" s="1282"/>
      <c r="L161" s="1282"/>
      <c r="M161" s="1282"/>
      <c r="N161" s="1282"/>
      <c r="O161" s="1282"/>
      <c r="P161" s="1395"/>
      <c r="Q161" s="1395"/>
      <c r="R161" s="1395"/>
      <c r="S161" s="1395"/>
      <c r="T161" s="438" cm="1" t="str">
        <f t="array" ref="T161:T161">T160</f>
        <v>false</v>
      </c>
      <c r="U161" s="1395"/>
      <c r="V161" s="1282"/>
      <c r="W161" s="1395"/>
      <c r="X161" s="1511"/>
      <c r="Y161" s="1493"/>
      <c r="Z161" s="1282"/>
      <c r="AA161" s="1282"/>
      <c r="AB161" s="206" t="s">
        <v>319</v>
      </c>
      <c r="AC161" s="294" t="s">
        <v>552</v>
      </c>
      <c r="AD161" s="59" t="s">
        <v>506</v>
      </c>
      <c r="AE161" s="1879"/>
      <c r="AF161" s="1879"/>
      <c r="AG161" s="1879"/>
      <c r="AH161" s="1879"/>
      <c r="AI161" s="242"/>
      <c r="AJ161" s="1879"/>
      <c r="AK161" s="1879"/>
      <c r="AL161" s="1879"/>
      <c r="AM161" s="1879"/>
      <c r="AN161" s="1879"/>
      <c r="AO161" s="1879"/>
      <c r="AP161" s="1879"/>
      <c r="AQ161" s="1879"/>
      <c r="AR161" s="1879"/>
      <c r="AS161" s="242"/>
      <c r="AT161" s="1879"/>
      <c r="AU161" s="1879"/>
      <c r="AV161" s="1879"/>
      <c r="AW161" s="1879"/>
      <c r="AX161" s="1879"/>
      <c r="AY161" s="1879"/>
      <c r="AZ161" s="1879"/>
      <c r="BA161" s="1879"/>
      <c r="BB161" s="1879"/>
      <c r="BC161" s="1880"/>
      <c r="BD161" s="1282"/>
      <c r="BE161" s="1282"/>
      <c r="BF161" s="992" t="s">
        <v>642</v>
      </c>
    </row>
    <row s="1624" customFormat="1" customHeight="1" ht="14.25" hidden="1">
      <c r="A162" s="1282"/>
      <c r="B162" s="1389"/>
      <c r="C162" s="1282"/>
      <c r="D162" s="1282"/>
      <c r="E162" s="607">
        <v>15</v>
      </c>
      <c r="F162" s="50" cm="1" t="str">
        <f t="array" ref="F162:F162">OFFSET(E162,-1,1)</f>
        <v>1</v>
      </c>
      <c r="G162" s="1282"/>
      <c r="H162" s="64" t="s">
        <v>522</v>
      </c>
      <c r="I162" s="1282"/>
      <c r="J162" s="1282"/>
      <c r="K162" s="1282"/>
      <c r="L162" s="1282"/>
      <c r="M162" s="1282"/>
      <c r="N162" s="1282"/>
      <c r="O162" s="1282"/>
      <c r="P162" s="1395"/>
      <c r="Q162" s="1395"/>
      <c r="R162" s="1395"/>
      <c r="S162" s="1395"/>
      <c r="T162" s="438" cm="1" t="str">
        <f t="array" ref="T162:T162">T161</f>
        <v>false</v>
      </c>
      <c r="U162" s="1395"/>
      <c r="V162" s="1282"/>
      <c r="W162" s="1395"/>
      <c r="X162" s="1511"/>
      <c r="Y162" s="1493"/>
      <c r="Z162" s="1282"/>
      <c r="AA162" s="1282"/>
      <c r="AB162" s="206" t="s">
        <v>523</v>
      </c>
      <c r="AC162" s="297" t="s">
        <v>556</v>
      </c>
      <c r="AD162" s="59" t="s">
        <v>430</v>
      </c>
      <c r="AE162" s="1791">
        <f>IF(AE157=0,0,AE161/AE157*100)</f>
        <v>0</v>
      </c>
      <c r="AF162" s="1791">
        <f>IF(AF157=0,0,AF161/AF157*100)</f>
        <v>0</v>
      </c>
      <c r="AG162" s="1791">
        <f>IF(AG157=0,0,AG161/AG157*100)</f>
        <v>0</v>
      </c>
      <c r="AH162" s="1791">
        <f>IF(AH157=0,0,AH161/AH157*100)</f>
        <v>0</v>
      </c>
      <c r="AI162" s="107">
        <f>IF(AI157=0,0,AI161/AI157*100)</f>
        <v>0</v>
      </c>
      <c r="AJ162" s="1791">
        <f>IF(AJ157=0,0,AJ161/AJ157*100)</f>
        <v>0</v>
      </c>
      <c r="AK162" s="1791">
        <f>IF(AK157=0,0,AK161/AK157*100)</f>
        <v>0</v>
      </c>
      <c r="AL162" s="1791">
        <f>IF(AL157=0,0,AL161/AL157*100)</f>
        <v>0</v>
      </c>
      <c r="AM162" s="1791">
        <f>IF(AM157=0,0,AM161/AM157*100)</f>
        <v>0</v>
      </c>
      <c r="AN162" s="1791">
        <f>IF(AN157=0,0,AN161/AN157*100)</f>
        <v>0</v>
      </c>
      <c r="AO162" s="1791">
        <f>IF(AO157=0,0,AO161/AO157*100)</f>
        <v>0</v>
      </c>
      <c r="AP162" s="1791">
        <f>IF(AP157=0,0,AP161/AP157*100)</f>
        <v>0</v>
      </c>
      <c r="AQ162" s="1791">
        <f>IF(AQ157=0,0,AQ161/AQ157*100)</f>
        <v>0</v>
      </c>
      <c r="AR162" s="1791">
        <f>IF(AR157=0,0,AR161/AR157*100)</f>
        <v>0</v>
      </c>
      <c r="AS162" s="107">
        <f>IF(AS157=0,0,AS161/AS157*100)</f>
        <v>0</v>
      </c>
      <c r="AT162" s="1791">
        <f>IF(AT157=0,0,AT161/AT157*100)</f>
        <v>0</v>
      </c>
      <c r="AU162" s="1791">
        <f>IF(AU157=0,0,AU161/AU157*100)</f>
        <v>0</v>
      </c>
      <c r="AV162" s="1791">
        <f>IF(AV157=0,0,AV161/AV157*100)</f>
        <v>0</v>
      </c>
      <c r="AW162" s="1791">
        <f>IF(AW157=0,0,AW161/AW157*100)</f>
        <v>0</v>
      </c>
      <c r="AX162" s="1791">
        <f>IF(AX157=0,0,AX161/AX157*100)</f>
        <v>0</v>
      </c>
      <c r="AY162" s="1791">
        <f>IF(AY157=0,0,AY161/AY157*100)</f>
        <v>0</v>
      </c>
      <c r="AZ162" s="1791">
        <f>IF(AZ157=0,0,AZ161/AZ157*100)</f>
        <v>0</v>
      </c>
      <c r="BA162" s="1791">
        <f>IF(BA157=0,0,BA161/BA157*100)</f>
        <v>0</v>
      </c>
      <c r="BB162" s="1791">
        <f>IF(BB157=0,0,BB161/BB157*100)</f>
        <v>0</v>
      </c>
      <c r="BC162" s="1926"/>
      <c r="BD162" s="1282"/>
      <c r="BE162" s="1282"/>
      <c r="BF162" s="992" t="s">
        <v>643</v>
      </c>
    </row>
    <row s="1624" customFormat="1" customHeight="1" ht="14.25" hidden="1">
      <c r="A163" s="1282"/>
      <c r="B163" s="1389"/>
      <c r="C163" s="1282"/>
      <c r="D163" s="1282"/>
      <c r="E163" s="607">
        <v>15</v>
      </c>
      <c r="F163" s="50" cm="1" t="str">
        <f t="array" ref="F163:F163">OFFSET(E163,-1,1)</f>
        <v>1</v>
      </c>
      <c r="G163" s="1282" t="str">
        <f>IF(OwnNeedsInPO="да","ПО","")</f>
        <v/>
      </c>
      <c r="H163" s="64" t="s">
        <v>484</v>
      </c>
      <c r="I163" s="1282"/>
      <c r="J163" s="1282"/>
      <c r="K163" s="1282"/>
      <c r="L163" s="1282"/>
      <c r="M163" s="1282"/>
      <c r="N163" s="1282"/>
      <c r="O163" s="1282"/>
      <c r="P163" s="1395"/>
      <c r="Q163" s="1395"/>
      <c r="R163" s="1395"/>
      <c r="S163" s="1395"/>
      <c r="T163" s="438" cm="1" t="str">
        <f t="array" ref="T163:T163">T162</f>
        <v>false</v>
      </c>
      <c r="U163" s="1395"/>
      <c r="V163" s="1282"/>
      <c r="W163" s="1395"/>
      <c r="X163" s="1511"/>
      <c r="Y163" s="1493"/>
      <c r="Z163" s="1282"/>
      <c r="AA163" s="1282"/>
      <c r="AB163" s="206" t="s">
        <v>530</v>
      </c>
      <c r="AC163" s="301" t="s">
        <v>564</v>
      </c>
      <c r="AD163" s="59" t="s">
        <v>506</v>
      </c>
      <c r="AE163" s="312">
        <f>AE164+AE165</f>
        <v>0</v>
      </c>
      <c r="AF163" s="312">
        <f>AF164+AF165</f>
        <v>0</v>
      </c>
      <c r="AG163" s="312">
        <f>AG164+AG165</f>
        <v>0</v>
      </c>
      <c r="AH163" s="312">
        <f>AH164+AH165</f>
        <v>0</v>
      </c>
      <c r="AI163" s="312">
        <f>AI164+AI165</f>
        <v>0</v>
      </c>
      <c r="AJ163" s="312">
        <f>AJ164+AJ165</f>
        <v>0</v>
      </c>
      <c r="AK163" s="312">
        <f>AK164+AK165</f>
        <v>0</v>
      </c>
      <c r="AL163" s="312">
        <f>AL164+AL165</f>
        <v>0</v>
      </c>
      <c r="AM163" s="312">
        <f>AM164+AM165</f>
        <v>0</v>
      </c>
      <c r="AN163" s="312">
        <f>AN164+AN165</f>
        <v>0</v>
      </c>
      <c r="AO163" s="312">
        <f>AO164+AO165</f>
        <v>0</v>
      </c>
      <c r="AP163" s="312">
        <f>AP164+AP165</f>
        <v>0</v>
      </c>
      <c r="AQ163" s="312">
        <f>AQ164+AQ165</f>
        <v>0</v>
      </c>
      <c r="AR163" s="312">
        <f>AR164+AR165</f>
        <v>0</v>
      </c>
      <c r="AS163" s="312">
        <f>AS164+AS165</f>
        <v>0</v>
      </c>
      <c r="AT163" s="312">
        <f>AT164+AT165</f>
        <v>0</v>
      </c>
      <c r="AU163" s="312">
        <f>AU164+AU165</f>
        <v>0</v>
      </c>
      <c r="AV163" s="312">
        <f>AV164+AV165</f>
        <v>0</v>
      </c>
      <c r="AW163" s="312">
        <f>AW164+AW165</f>
        <v>0</v>
      </c>
      <c r="AX163" s="312">
        <f>AX164+AX165</f>
        <v>0</v>
      </c>
      <c r="AY163" s="312">
        <f>AY164+AY165</f>
        <v>0</v>
      </c>
      <c r="AZ163" s="312">
        <f>AZ164+AZ165</f>
        <v>0</v>
      </c>
      <c r="BA163" s="312">
        <f>BA164+BA165</f>
        <v>0</v>
      </c>
      <c r="BB163" s="312">
        <f>BB164+BB165</f>
        <v>0</v>
      </c>
      <c r="BC163" s="1880"/>
      <c r="BD163" s="1282"/>
      <c r="BE163" s="1282"/>
      <c r="BF163" s="992" t="s">
        <v>644</v>
      </c>
    </row>
    <row s="1624" customFormat="1" customHeight="1" ht="14.25" hidden="1">
      <c r="A164" s="1282"/>
      <c r="B164" s="1389"/>
      <c r="C164" s="1282"/>
      <c r="D164" s="1282"/>
      <c r="E164" s="607">
        <v>15</v>
      </c>
      <c r="F164" s="50" cm="1" t="str">
        <f t="array" ref="F164:F164">OFFSET(E164,-1,1)</f>
        <v>1</v>
      </c>
      <c r="G164" s="1282"/>
      <c r="H164" s="64" t="s">
        <v>645</v>
      </c>
      <c r="I164" s="1282"/>
      <c r="J164" s="1282"/>
      <c r="K164" s="1282"/>
      <c r="L164" s="1282"/>
      <c r="M164" s="1282"/>
      <c r="N164" s="1282"/>
      <c r="O164" s="1282"/>
      <c r="P164" s="1395"/>
      <c r="Q164" s="1395"/>
      <c r="R164" s="1395"/>
      <c r="S164" s="1395"/>
      <c r="T164" s="438" cm="1" t="str">
        <f t="array" ref="T164:T164">T163</f>
        <v>false</v>
      </c>
      <c r="U164" s="1395"/>
      <c r="V164" s="1282"/>
      <c r="W164" s="1395"/>
      <c r="X164" s="1511"/>
      <c r="Y164" s="1493"/>
      <c r="Z164" s="1282"/>
      <c r="AA164" s="1282"/>
      <c r="AB164" s="206" t="s">
        <v>646</v>
      </c>
      <c r="AC164" s="302" t="s">
        <v>568</v>
      </c>
      <c r="AD164" s="59" t="s">
        <v>506</v>
      </c>
      <c r="AE164" s="1879"/>
      <c r="AF164" s="1879"/>
      <c r="AG164" s="1879"/>
      <c r="AH164" s="1879"/>
      <c r="AI164" s="242"/>
      <c r="AJ164" s="1879"/>
      <c r="AK164" s="1879"/>
      <c r="AL164" s="1879"/>
      <c r="AM164" s="1879"/>
      <c r="AN164" s="1879"/>
      <c r="AO164" s="1879"/>
      <c r="AP164" s="1879"/>
      <c r="AQ164" s="1879"/>
      <c r="AR164" s="1879"/>
      <c r="AS164" s="242"/>
      <c r="AT164" s="1879"/>
      <c r="AU164" s="1879"/>
      <c r="AV164" s="1879"/>
      <c r="AW164" s="1879"/>
      <c r="AX164" s="1879"/>
      <c r="AY164" s="1879"/>
      <c r="AZ164" s="1879"/>
      <c r="BA164" s="1879"/>
      <c r="BB164" s="1879"/>
      <c r="BC164" s="1880"/>
      <c r="BD164" s="1282"/>
      <c r="BE164" s="1282"/>
      <c r="BF164" s="992" t="s">
        <v>647</v>
      </c>
    </row>
    <row s="1624" customFormat="1" customHeight="1" ht="14.25" hidden="1">
      <c r="A165" s="1282"/>
      <c r="B165" s="1389"/>
      <c r="C165" s="1282"/>
      <c r="D165" s="1282"/>
      <c r="E165" s="607">
        <v>15</v>
      </c>
      <c r="F165" s="50" cm="1" t="str">
        <f t="array" ref="F165:F165">OFFSET(E165,-1,1)</f>
        <v>1</v>
      </c>
      <c r="G165" s="1282"/>
      <c r="H165" s="64" t="s">
        <v>648</v>
      </c>
      <c r="I165" s="1282"/>
      <c r="J165" s="1282"/>
      <c r="K165" s="1282"/>
      <c r="L165" s="1282"/>
      <c r="M165" s="1282"/>
      <c r="N165" s="1282"/>
      <c r="O165" s="1282"/>
      <c r="P165" s="1395"/>
      <c r="Q165" s="1395"/>
      <c r="R165" s="1395"/>
      <c r="S165" s="1395"/>
      <c r="T165" s="438" cm="1" t="str">
        <f t="array" ref="T165:T165">T164</f>
        <v>false</v>
      </c>
      <c r="U165" s="1395"/>
      <c r="V165" s="1282"/>
      <c r="W165" s="1395"/>
      <c r="X165" s="1511"/>
      <c r="Y165" s="1493"/>
      <c r="Z165" s="1282"/>
      <c r="AA165" s="1282"/>
      <c r="AB165" s="206" t="s">
        <v>649</v>
      </c>
      <c r="AC165" s="302" t="s">
        <v>572</v>
      </c>
      <c r="AD165" s="59" t="s">
        <v>506</v>
      </c>
      <c r="AE165" s="1879"/>
      <c r="AF165" s="1879"/>
      <c r="AG165" s="1879"/>
      <c r="AH165" s="1879"/>
      <c r="AI165" s="242"/>
      <c r="AJ165" s="1879"/>
      <c r="AK165" s="1879"/>
      <c r="AL165" s="1879"/>
      <c r="AM165" s="1879"/>
      <c r="AN165" s="1879"/>
      <c r="AO165" s="1879"/>
      <c r="AP165" s="1879"/>
      <c r="AQ165" s="1879"/>
      <c r="AR165" s="1879"/>
      <c r="AS165" s="242"/>
      <c r="AT165" s="1879"/>
      <c r="AU165" s="1879"/>
      <c r="AV165" s="1879"/>
      <c r="AW165" s="1879"/>
      <c r="AX165" s="1879"/>
      <c r="AY165" s="1879"/>
      <c r="AZ165" s="1879"/>
      <c r="BA165" s="1879"/>
      <c r="BB165" s="1879"/>
      <c r="BC165" s="1880"/>
      <c r="BD165" s="1282"/>
      <c r="BE165" s="1282"/>
      <c r="BF165" s="992" t="s">
        <v>650</v>
      </c>
    </row>
    <row s="1624" customFormat="1" customHeight="1" ht="14.25" hidden="1">
      <c r="A166" s="1282"/>
      <c r="B166" s="1389"/>
      <c r="C166" s="1282"/>
      <c r="D166" s="1282"/>
      <c r="E166" s="607">
        <v>15</v>
      </c>
      <c r="F166" s="50" cm="1" t="str">
        <f t="array" ref="F166:F166">OFFSET(E166,-1,1)</f>
        <v>1</v>
      </c>
      <c r="G166" s="64" t="s">
        <v>578</v>
      </c>
      <c r="H166" s="64" t="s">
        <v>488</v>
      </c>
      <c r="I166" s="1282"/>
      <c r="J166" s="1282"/>
      <c r="K166" s="1282"/>
      <c r="L166" s="1282"/>
      <c r="M166" s="1282"/>
      <c r="N166" s="1282"/>
      <c r="O166" s="1282"/>
      <c r="P166" s="1395"/>
      <c r="Q166" s="1395"/>
      <c r="R166" s="1395"/>
      <c r="S166" s="1395"/>
      <c r="T166" s="438" cm="1" t="str">
        <f t="array" ref="T166:T166">T165</f>
        <v>false</v>
      </c>
      <c r="U166" s="1395"/>
      <c r="V166" s="1282"/>
      <c r="W166" s="1395"/>
      <c r="X166" s="1511"/>
      <c r="Y166" s="1493"/>
      <c r="Z166" s="1282"/>
      <c r="AA166" s="1282"/>
      <c r="AB166" s="206" t="s">
        <v>485</v>
      </c>
      <c r="AC166" s="301" t="s">
        <v>581</v>
      </c>
      <c r="AD166" s="59" t="s">
        <v>506</v>
      </c>
      <c r="AE166" s="312">
        <f>AE167+AE168</f>
        <v>0</v>
      </c>
      <c r="AF166" s="312">
        <f>AF167+AF168</f>
        <v>0</v>
      </c>
      <c r="AG166" s="312">
        <f>AG167+AG168</f>
        <v>0</v>
      </c>
      <c r="AH166" s="312">
        <f>AH167+AH168</f>
        <v>0</v>
      </c>
      <c r="AI166" s="312">
        <f>AI167+AI168</f>
        <v>0</v>
      </c>
      <c r="AJ166" s="312">
        <f>AJ167+AJ168</f>
        <v>0</v>
      </c>
      <c r="AK166" s="312">
        <f>AK167+AK168</f>
        <v>0</v>
      </c>
      <c r="AL166" s="312">
        <f>AL167+AL168</f>
        <v>0</v>
      </c>
      <c r="AM166" s="312">
        <f>AM167+AM168</f>
        <v>0</v>
      </c>
      <c r="AN166" s="312">
        <f>AN167+AN168</f>
        <v>0</v>
      </c>
      <c r="AO166" s="312">
        <f>AO167+AO168</f>
        <v>0</v>
      </c>
      <c r="AP166" s="312">
        <f>AP167+AP168</f>
        <v>0</v>
      </c>
      <c r="AQ166" s="312">
        <f>AQ167+AQ168</f>
        <v>0</v>
      </c>
      <c r="AR166" s="312">
        <f>AR167+AR168</f>
        <v>0</v>
      </c>
      <c r="AS166" s="312">
        <f>AS167+AS168</f>
        <v>0</v>
      </c>
      <c r="AT166" s="312">
        <f>AT167+AT168</f>
        <v>0</v>
      </c>
      <c r="AU166" s="312">
        <f>AU167+AU168</f>
        <v>0</v>
      </c>
      <c r="AV166" s="312">
        <f>AV167+AV168</f>
        <v>0</v>
      </c>
      <c r="AW166" s="312">
        <f>AW167+AW168</f>
        <v>0</v>
      </c>
      <c r="AX166" s="312">
        <f>AX167+AX168</f>
        <v>0</v>
      </c>
      <c r="AY166" s="312">
        <f>AY167+AY168</f>
        <v>0</v>
      </c>
      <c r="AZ166" s="312">
        <f>AZ167+AZ168</f>
        <v>0</v>
      </c>
      <c r="BA166" s="312">
        <f>BA167+BA168</f>
        <v>0</v>
      </c>
      <c r="BB166" s="312">
        <f>BB167+BB168</f>
        <v>0</v>
      </c>
      <c r="BC166" s="1880"/>
      <c r="BD166" s="1282"/>
      <c r="BE166" s="1282"/>
      <c r="BF166" s="992" t="s">
        <v>651</v>
      </c>
    </row>
    <row s="1624" customFormat="1" customHeight="1" ht="14.25" hidden="1">
      <c r="A167" s="1282"/>
      <c r="B167" s="1389"/>
      <c r="C167" s="1282"/>
      <c r="D167" s="1282"/>
      <c r="E167" s="607">
        <v>15</v>
      </c>
      <c r="F167" s="50" cm="1" t="str">
        <f t="array" ref="F167:F167">OFFSET(E167,-1,1)</f>
        <v>1</v>
      </c>
      <c r="G167" s="1282"/>
      <c r="H167" s="64" t="s">
        <v>652</v>
      </c>
      <c r="I167" s="1282"/>
      <c r="J167" s="1282"/>
      <c r="K167" s="1282"/>
      <c r="L167" s="1282"/>
      <c r="M167" s="1282"/>
      <c r="N167" s="1282"/>
      <c r="O167" s="1282"/>
      <c r="P167" s="1395"/>
      <c r="Q167" s="1395"/>
      <c r="R167" s="1395"/>
      <c r="S167" s="1395"/>
      <c r="T167" s="438" cm="1" t="str">
        <f t="array" ref="T167:T167">T166</f>
        <v>false</v>
      </c>
      <c r="U167" s="1395"/>
      <c r="V167" s="1282"/>
      <c r="W167" s="1395"/>
      <c r="X167" s="1511"/>
      <c r="Y167" s="1493"/>
      <c r="Z167" s="1282"/>
      <c r="AA167" s="1282"/>
      <c r="AB167" s="206" t="s">
        <v>653</v>
      </c>
      <c r="AC167" s="302" t="s">
        <v>585</v>
      </c>
      <c r="AD167" s="59" t="s">
        <v>506</v>
      </c>
      <c r="AE167" s="1879"/>
      <c r="AF167" s="1879"/>
      <c r="AG167" s="1879"/>
      <c r="AH167" s="1879"/>
      <c r="AI167" s="242"/>
      <c r="AJ167" s="1879"/>
      <c r="AK167" s="1879"/>
      <c r="AL167" s="1879"/>
      <c r="AM167" s="1879"/>
      <c r="AN167" s="1879"/>
      <c r="AO167" s="1879"/>
      <c r="AP167" s="1879"/>
      <c r="AQ167" s="1879"/>
      <c r="AR167" s="1879"/>
      <c r="AS167" s="242"/>
      <c r="AT167" s="1879"/>
      <c r="AU167" s="1879"/>
      <c r="AV167" s="1879"/>
      <c r="AW167" s="1879"/>
      <c r="AX167" s="1879"/>
      <c r="AY167" s="1879"/>
      <c r="AZ167" s="1879"/>
      <c r="BA167" s="1879"/>
      <c r="BB167" s="1879"/>
      <c r="BC167" s="1880"/>
      <c r="BD167" s="1282"/>
      <c r="BE167" s="1282"/>
      <c r="BF167" s="992" t="s">
        <v>654</v>
      </c>
    </row>
    <row s="1624" customFormat="1" customHeight="1" ht="14.25" hidden="1">
      <c r="A168" s="1282"/>
      <c r="B168" s="1389"/>
      <c r="C168" s="1282"/>
      <c r="D168" s="1282"/>
      <c r="E168" s="607">
        <v>15</v>
      </c>
      <c r="F168" s="50" cm="1" t="str">
        <f t="array" ref="F168:F168">OFFSET(E168,-1,1)</f>
        <v>1</v>
      </c>
      <c r="G168" s="1282"/>
      <c r="H168" s="64" t="s">
        <v>655</v>
      </c>
      <c r="I168" s="1282"/>
      <c r="J168" s="1282"/>
      <c r="K168" s="1282"/>
      <c r="L168" s="1282"/>
      <c r="M168" s="1282"/>
      <c r="N168" s="1282"/>
      <c r="O168" s="1282"/>
      <c r="P168" s="1395"/>
      <c r="Q168" s="1395"/>
      <c r="R168" s="1395"/>
      <c r="S168" s="1395"/>
      <c r="T168" s="438" cm="1" t="str">
        <f t="array" ref="T168:T168">T167</f>
        <v>false</v>
      </c>
      <c r="U168" s="1395"/>
      <c r="V168" s="1282"/>
      <c r="W168" s="1395"/>
      <c r="X168" s="1511"/>
      <c r="Y168" s="1493"/>
      <c r="Z168" s="1282"/>
      <c r="AA168" s="1282"/>
      <c r="AB168" s="206" t="s">
        <v>656</v>
      </c>
      <c r="AC168" s="302" t="s">
        <v>589</v>
      </c>
      <c r="AD168" s="59" t="s">
        <v>506</v>
      </c>
      <c r="AE168" s="1879"/>
      <c r="AF168" s="1879"/>
      <c r="AG168" s="1879"/>
      <c r="AH168" s="1879"/>
      <c r="AI168" s="242"/>
      <c r="AJ168" s="1879"/>
      <c r="AK168" s="1879"/>
      <c r="AL168" s="1879"/>
      <c r="AM168" s="1879"/>
      <c r="AN168" s="1879"/>
      <c r="AO168" s="1879"/>
      <c r="AP168" s="1879"/>
      <c r="AQ168" s="1879"/>
      <c r="AR168" s="1879"/>
      <c r="AS168" s="242"/>
      <c r="AT168" s="1879"/>
      <c r="AU168" s="1879"/>
      <c r="AV168" s="1879"/>
      <c r="AW168" s="1879"/>
      <c r="AX168" s="1879"/>
      <c r="AY168" s="1879"/>
      <c r="AZ168" s="1879"/>
      <c r="BA168" s="1879"/>
      <c r="BB168" s="1879"/>
      <c r="BC168" s="1880"/>
      <c r="BD168" s="1282"/>
      <c r="BE168" s="1282"/>
      <c r="BF168" s="992" t="s">
        <v>657</v>
      </c>
    </row>
    <row s="1624" customFormat="1" customHeight="1" ht="21.75" hidden="1">
      <c r="A169" s="1282"/>
      <c r="B169" s="1389"/>
      <c r="C169" s="1282"/>
      <c r="D169" s="1282"/>
      <c r="E169" s="607">
        <v>22.5</v>
      </c>
      <c r="F169" s="50" cm="1" t="str">
        <f t="array" ref="F169:F169">OFFSET(E169,-1,1)</f>
        <v>1</v>
      </c>
      <c r="G169" s="1282"/>
      <c r="H169" s="64" t="s">
        <v>535</v>
      </c>
      <c r="I169" s="442"/>
      <c r="J169" s="442"/>
      <c r="K169" s="1282"/>
      <c r="L169" s="1282"/>
      <c r="M169" s="1282"/>
      <c r="N169" s="1282"/>
      <c r="O169" s="1282"/>
      <c r="P169" s="1395"/>
      <c r="Q169" s="1395"/>
      <c r="R169" s="1395"/>
      <c r="S169" s="1395"/>
      <c r="T169" s="438" cm="1" t="str">
        <f t="array" ref="T169:T169">T168</f>
        <v>false</v>
      </c>
      <c r="U169" s="1395"/>
      <c r="V169" s="1282"/>
      <c r="W169" s="1395"/>
      <c r="X169" s="1511"/>
      <c r="Y169" s="1493"/>
      <c r="Z169" s="1282"/>
      <c r="AA169" s="1282"/>
      <c r="AB169" s="206" t="s">
        <v>489</v>
      </c>
      <c r="AC169" s="303" t="s">
        <v>628</v>
      </c>
      <c r="AD169" s="59" t="s">
        <v>506</v>
      </c>
      <c r="AE169" s="1879"/>
      <c r="AF169" s="1879"/>
      <c r="AG169" s="1879"/>
      <c r="AH169" s="1879"/>
      <c r="AI169" s="242"/>
      <c r="AJ169" s="1879"/>
      <c r="AK169" s="1879"/>
      <c r="AL169" s="1879"/>
      <c r="AM169" s="1879"/>
      <c r="AN169" s="1879"/>
      <c r="AO169" s="1879"/>
      <c r="AP169" s="1879"/>
      <c r="AQ169" s="1879"/>
      <c r="AR169" s="1879"/>
      <c r="AS169" s="242"/>
      <c r="AT169" s="1879"/>
      <c r="AU169" s="1879"/>
      <c r="AV169" s="1879"/>
      <c r="AW169" s="1879"/>
      <c r="AX169" s="1879"/>
      <c r="AY169" s="1879"/>
      <c r="AZ169" s="1879"/>
      <c r="BA169" s="1879"/>
      <c r="BB169" s="1879"/>
      <c r="BC169" s="1880"/>
      <c r="BD169" s="1282"/>
      <c r="BE169" s="1282"/>
      <c r="BF169" s="992" t="s">
        <v>658</v>
      </c>
    </row>
    <row s="1624" customFormat="1" customHeight="1" ht="14.25" hidden="1">
      <c r="A170" s="1282"/>
      <c r="B170" s="1389"/>
      <c r="C170" s="1282"/>
      <c r="D170" s="1282"/>
      <c r="E170" s="607">
        <v>15</v>
      </c>
      <c r="F170" s="315" cm="1" t="str">
        <f t="array" ref="F170:F170">OFFSET(E170,-1,1)</f>
        <v>1</v>
      </c>
      <c r="G170" s="1282"/>
      <c r="H170" s="1282"/>
      <c r="I170" s="1282"/>
      <c r="J170" s="1282"/>
      <c r="K170" s="1282"/>
      <c r="L170" s="1282"/>
      <c r="M170" s="1282"/>
      <c r="N170" s="1282"/>
      <c r="O170" s="1282"/>
      <c r="P170" s="1395"/>
      <c r="Q170" s="1395"/>
      <c r="R170" s="1395"/>
      <c r="S170" s="1395"/>
      <c r="T170" s="438" cm="1" t="str">
        <f t="array" ref="T170:T170">T169</f>
        <v>false</v>
      </c>
      <c r="U170" s="1395"/>
      <c r="V170" s="1282"/>
      <c r="W170" s="1395"/>
      <c r="X170" s="1511"/>
      <c r="Y170" s="1493"/>
      <c r="Z170" s="1282"/>
      <c r="AA170" s="1282"/>
      <c r="AB170" s="206" t="s">
        <v>630</v>
      </c>
      <c r="AC170" s="300" t="s">
        <v>631</v>
      </c>
      <c r="AD170" s="59" t="s">
        <v>506</v>
      </c>
      <c r="AE170" s="1879"/>
      <c r="AF170" s="1879"/>
      <c r="AG170" s="1879"/>
      <c r="AH170" s="1879"/>
      <c r="AI170" s="242"/>
      <c r="AJ170" s="1879"/>
      <c r="AK170" s="1879"/>
      <c r="AL170" s="1879"/>
      <c r="AM170" s="1879"/>
      <c r="AN170" s="1879"/>
      <c r="AO170" s="1879"/>
      <c r="AP170" s="1879"/>
      <c r="AQ170" s="1879"/>
      <c r="AR170" s="1879"/>
      <c r="AS170" s="242"/>
      <c r="AT170" s="1879"/>
      <c r="AU170" s="1879"/>
      <c r="AV170" s="1879"/>
      <c r="AW170" s="1879"/>
      <c r="AX170" s="1879"/>
      <c r="AY170" s="1879"/>
      <c r="AZ170" s="1879"/>
      <c r="BA170" s="1879"/>
      <c r="BB170" s="1879"/>
      <c r="BC170" s="1880"/>
      <c r="BD170" s="1282"/>
      <c r="BE170" s="1282"/>
      <c r="BF170" s="992" t="s">
        <v>659</v>
      </c>
    </row>
    <row s="1624" customFormat="1" customHeight="1" ht="11.25" hidden="1">
      <c r="A171" s="442"/>
      <c r="B171" s="634"/>
      <c r="C171" s="442"/>
      <c r="D171" s="442"/>
      <c r="E171" s="636" t="s">
        <v>362</v>
      </c>
      <c r="F171" s="1153" cm="1" t="str">
        <f t="array" ref="F171:F171">OFFSET(E171,-1,1)</f>
        <v>1</v>
      </c>
      <c r="G171" s="442"/>
      <c r="H171" s="442"/>
      <c r="I171" s="1624"/>
      <c r="J171" s="1624"/>
      <c r="K171" s="64"/>
      <c r="L171" s="442"/>
      <c r="M171" s="442"/>
      <c r="N171" s="442"/>
      <c r="O171" s="442"/>
      <c r="P171" s="442"/>
      <c r="Q171" s="442"/>
      <c r="R171" s="387"/>
      <c r="S171" s="442"/>
      <c r="T171" s="438" t="b">
        <v>0</v>
      </c>
      <c r="U171" s="442"/>
      <c r="V171" s="442"/>
      <c r="W171" s="442"/>
      <c r="X171" s="1511"/>
      <c r="Y171" s="1493"/>
      <c r="Z171" s="442"/>
      <c r="AA171" s="442"/>
      <c r="AB171" s="1624"/>
      <c r="AC171" s="66"/>
      <c r="AD171" s="66"/>
      <c r="AE171" s="310"/>
      <c r="AF171" s="310"/>
      <c r="AG171" s="310"/>
      <c r="AH171" s="310"/>
      <c r="AI171" s="310"/>
      <c r="AJ171" s="311"/>
      <c r="AK171" s="310"/>
      <c r="AL171" s="310"/>
      <c r="AM171" s="310"/>
      <c r="AN171" s="310"/>
      <c r="AO171" s="310"/>
      <c r="AP171" s="310"/>
      <c r="AQ171" s="310"/>
      <c r="AR171" s="310"/>
      <c r="AS171" s="310"/>
      <c r="AT171" s="310"/>
      <c r="AU171" s="310"/>
      <c r="AV171" s="310"/>
      <c r="AW171" s="310"/>
      <c r="AX171" s="310"/>
      <c r="AY171" s="310"/>
      <c r="AZ171" s="310"/>
      <c r="BA171" s="310"/>
      <c r="BB171" s="310"/>
      <c r="BC171" s="1624"/>
      <c r="BD171" s="1624"/>
      <c r="BE171" s="1624"/>
      <c r="BF171" s="996"/>
    </row>
    <row s="1624" customFormat="1" customHeight="1" ht="14.25" hidden="1">
      <c r="A172" s="1282"/>
      <c r="B172" s="1389"/>
      <c r="C172" s="1282"/>
      <c r="D172" s="1282"/>
      <c r="E172" s="607">
        <v>15</v>
      </c>
      <c r="F172" s="50" cm="1" t="str">
        <f t="array" ref="F172:F172">OFFSET(E172,-1,1)</f>
        <v>1</v>
      </c>
      <c r="G172" s="1282"/>
      <c r="H172" s="1282"/>
      <c r="I172" s="1282"/>
      <c r="J172" s="1282"/>
      <c r="K172" s="1282"/>
      <c r="L172" s="1282"/>
      <c r="M172" s="1282"/>
      <c r="N172" s="1282"/>
      <c r="O172" s="1282"/>
      <c r="P172" s="1395"/>
      <c r="Q172" s="1395"/>
      <c r="R172" s="387" cm="1" t="str">
        <f t="array" ref="R172:R172">INDEX('Общие сведения'!$AN$179:$AN$208,MATCH($X118,'Общие сведения'!$Z$179:$Z$208,0))</f>
        <v>true</v>
      </c>
      <c r="S172" s="455">
        <f>IF(ISERROR(SEARCH("Водоотведение",AB118)),FALSE,TRUE)</f>
        <v>1</v>
      </c>
      <c r="T172" s="438">
        <f>AND(X118&gt;0,S172,NOT(R172))</f>
        <v>0</v>
      </c>
      <c r="U172" s="1395"/>
      <c r="V172" s="1282"/>
      <c r="W172" s="1395"/>
      <c r="X172" s="1511"/>
      <c r="Y172" s="1493"/>
      <c r="Z172" s="1282"/>
      <c r="AA172" s="1282"/>
      <c r="AB172" s="206" t="s">
        <v>281</v>
      </c>
      <c r="AC172" s="103" t="s">
        <v>660</v>
      </c>
      <c r="AD172" s="163"/>
      <c r="AE172" s="544" cm="1" t="str">
        <f t="array" ref="AE172:AE172">INDEX('Общие сведения'!$AH$179:$AH$208,MATCH($X118,'Общие сведения'!$Z$179:$Z$208,0))</f>
        <v>без дифференциации</v>
      </c>
      <c r="AF172" s="328"/>
      <c r="AG172" s="328"/>
      <c r="AH172" s="328"/>
      <c r="AI172" s="328"/>
      <c r="AJ172" s="328"/>
      <c r="AK172" s="328"/>
      <c r="AL172" s="328"/>
      <c r="AM172" s="328"/>
      <c r="AN172" s="328"/>
      <c r="AO172" s="328"/>
      <c r="AP172" s="328"/>
      <c r="AQ172" s="328"/>
      <c r="AR172" s="328"/>
      <c r="AS172" s="328"/>
      <c r="AT172" s="328"/>
      <c r="AU172" s="328"/>
      <c r="AV172" s="328"/>
      <c r="AW172" s="328"/>
      <c r="AX172" s="328"/>
      <c r="AY172" s="328"/>
      <c r="AZ172" s="328"/>
      <c r="BA172" s="328"/>
      <c r="BB172" s="329"/>
      <c r="BC172" s="1880"/>
      <c r="BD172" s="1282"/>
      <c r="BE172" s="1282"/>
      <c r="BF172" s="992" t="s">
        <v>661</v>
      </c>
    </row>
    <row s="1624" customFormat="1" customHeight="1" ht="14.25" hidden="1">
      <c r="A173" s="1282"/>
      <c r="B173" s="1389"/>
      <c r="C173" s="1282"/>
      <c r="D173" s="1282"/>
      <c r="E173" s="607">
        <v>15</v>
      </c>
      <c r="F173" s="50" cm="1" t="str">
        <f t="array" ref="F173:F173">OFFSET(E173,-1,1)</f>
        <v>1</v>
      </c>
      <c r="G173" s="1282"/>
      <c r="H173" s="64" t="s">
        <v>325</v>
      </c>
      <c r="I173" s="1282"/>
      <c r="J173" s="1282"/>
      <c r="K173" s="1282"/>
      <c r="L173" s="1282"/>
      <c r="M173" s="1282"/>
      <c r="N173" s="1282"/>
      <c r="O173" s="1282"/>
      <c r="P173" s="1395"/>
      <c r="Q173" s="1395"/>
      <c r="R173" s="1395"/>
      <c r="S173" s="1395"/>
      <c r="T173" s="438" cm="1" t="str">
        <f t="array" ref="T173:T173">T172</f>
        <v>false</v>
      </c>
      <c r="U173" s="1395"/>
      <c r="V173" s="1282"/>
      <c r="W173" s="1395"/>
      <c r="X173" s="1511"/>
      <c r="Y173" s="1493"/>
      <c r="Z173" s="1282"/>
      <c r="AA173" s="1282"/>
      <c r="AB173" s="206" t="s">
        <v>504</v>
      </c>
      <c r="AC173" s="103" t="s">
        <v>662</v>
      </c>
      <c r="AD173" s="59" t="s">
        <v>506</v>
      </c>
      <c r="AE173" s="313">
        <f>AE174+AE175+AE188</f>
        <v>0</v>
      </c>
      <c r="AF173" s="313">
        <f>AF174+AF175+AF188</f>
        <v>0</v>
      </c>
      <c r="AG173" s="313">
        <f>AG174+AG175+AG188</f>
        <v>0</v>
      </c>
      <c r="AH173" s="313">
        <f>AH174+AH175+AH188</f>
        <v>0</v>
      </c>
      <c r="AI173" s="313">
        <f>AI174+AI175+AI188</f>
        <v>0</v>
      </c>
      <c r="AJ173" s="313">
        <f>AJ174+AJ175+AJ188</f>
        <v>0</v>
      </c>
      <c r="AK173" s="313">
        <f>AK174+AK175+AK188</f>
        <v>0</v>
      </c>
      <c r="AL173" s="313">
        <f>AL174+AL175+AL188</f>
        <v>0</v>
      </c>
      <c r="AM173" s="313">
        <f>AM174+AM175+AM188</f>
        <v>0</v>
      </c>
      <c r="AN173" s="313">
        <f>AN174+AN175+AN188</f>
        <v>0</v>
      </c>
      <c r="AO173" s="313">
        <f>AO174+AO175+AO188</f>
        <v>0</v>
      </c>
      <c r="AP173" s="313">
        <f>AP174+AP175+AP188</f>
        <v>0</v>
      </c>
      <c r="AQ173" s="313">
        <f>AQ174+AQ175+AQ188</f>
        <v>0</v>
      </c>
      <c r="AR173" s="313">
        <f>AR174+AR175+AR188</f>
        <v>0</v>
      </c>
      <c r="AS173" s="313">
        <f>AS174+AS175+AS188</f>
        <v>0</v>
      </c>
      <c r="AT173" s="313">
        <f>AT174+AT175+AT188</f>
        <v>0</v>
      </c>
      <c r="AU173" s="313">
        <f>AU174+AU175+AU188</f>
        <v>0</v>
      </c>
      <c r="AV173" s="313">
        <f>AV174+AV175+AV188</f>
        <v>0</v>
      </c>
      <c r="AW173" s="313">
        <f>AW174+AW175+AW188</f>
        <v>0</v>
      </c>
      <c r="AX173" s="313">
        <f>AX174+AX175+AX188</f>
        <v>0</v>
      </c>
      <c r="AY173" s="313">
        <f>AY174+AY175+AY188</f>
        <v>0</v>
      </c>
      <c r="AZ173" s="313">
        <f>AZ174+AZ175+AZ188</f>
        <v>0</v>
      </c>
      <c r="BA173" s="313">
        <f>BA174+BA175+BA188</f>
        <v>0</v>
      </c>
      <c r="BB173" s="313">
        <f>BB174+BB175+BB188</f>
        <v>0</v>
      </c>
      <c r="BC173" s="1880"/>
      <c r="BD173" s="1282"/>
      <c r="BE173" s="1282"/>
      <c r="BF173" s="992" t="s">
        <v>663</v>
      </c>
    </row>
    <row s="1624" customFormat="1" customHeight="1" ht="14.25" hidden="1">
      <c r="A174" s="1282"/>
      <c r="B174" s="1389"/>
      <c r="C174" s="1282"/>
      <c r="D174" s="1282"/>
      <c r="E174" s="607">
        <v>15</v>
      </c>
      <c r="F174" s="50" cm="1" t="str">
        <f t="array" ref="F174:F174">OFFSET(E174,-1,1)</f>
        <v>1</v>
      </c>
      <c r="G174" s="64" t="str">
        <f>IF(OwnNeedsInPO="да","ПО","")</f>
        <v/>
      </c>
      <c r="H174" s="64" t="s">
        <v>324</v>
      </c>
      <c r="I174" s="1282"/>
      <c r="J174" s="1282"/>
      <c r="K174" s="1282"/>
      <c r="L174" s="1282"/>
      <c r="M174" s="1282"/>
      <c r="N174" s="1282"/>
      <c r="O174" s="1282"/>
      <c r="P174" s="1395"/>
      <c r="Q174" s="1395"/>
      <c r="R174" s="1395"/>
      <c r="S174" s="1395"/>
      <c r="T174" s="438" cm="1" t="str">
        <f t="array" ref="T174:T174">T173</f>
        <v>false</v>
      </c>
      <c r="U174" s="1395"/>
      <c r="V174" s="1282"/>
      <c r="W174" s="1395"/>
      <c r="X174" s="1511"/>
      <c r="Y174" s="1493"/>
      <c r="Z174" s="1282"/>
      <c r="AA174" s="1282"/>
      <c r="AB174" s="206" t="s">
        <v>319</v>
      </c>
      <c r="AC174" s="103" t="s">
        <v>664</v>
      </c>
      <c r="AD174" s="59" t="s">
        <v>506</v>
      </c>
      <c r="AE174" s="1879"/>
      <c r="AF174" s="1879"/>
      <c r="AG174" s="1879"/>
      <c r="AH174" s="1879"/>
      <c r="AI174" s="242"/>
      <c r="AJ174" s="1879"/>
      <c r="AK174" s="1879"/>
      <c r="AL174" s="1879"/>
      <c r="AM174" s="1879"/>
      <c r="AN174" s="1879"/>
      <c r="AO174" s="1879"/>
      <c r="AP174" s="1879"/>
      <c r="AQ174" s="1879"/>
      <c r="AR174" s="1879"/>
      <c r="AS174" s="242"/>
      <c r="AT174" s="1879"/>
      <c r="AU174" s="1879"/>
      <c r="AV174" s="1879"/>
      <c r="AW174" s="1879"/>
      <c r="AX174" s="1879"/>
      <c r="AY174" s="1879"/>
      <c r="AZ174" s="1879"/>
      <c r="BA174" s="1879"/>
      <c r="BB174" s="1879"/>
      <c r="BC174" s="1880"/>
      <c r="BD174" s="1282"/>
      <c r="BE174" s="1282"/>
      <c r="BF174" s="992" t="s">
        <v>665</v>
      </c>
    </row>
    <row s="1624" customFormat="1" customHeight="1" ht="14.25" hidden="1">
      <c r="A175" s="1282"/>
      <c r="B175" s="1389"/>
      <c r="C175" s="1282"/>
      <c r="D175" s="1282"/>
      <c r="E175" s="607">
        <v>15</v>
      </c>
      <c r="F175" s="50" cm="1" t="str">
        <f t="array" ref="F175:F175">OFFSET(E175,-1,1)</f>
        <v>1</v>
      </c>
      <c r="G175" s="64" t="s">
        <v>578</v>
      </c>
      <c r="H175" s="64" t="s">
        <v>484</v>
      </c>
      <c r="I175" s="1282"/>
      <c r="J175" s="1282"/>
      <c r="K175" s="1282"/>
      <c r="L175" s="1282"/>
      <c r="M175" s="1282"/>
      <c r="N175" s="1282"/>
      <c r="O175" s="1282"/>
      <c r="P175" s="1395"/>
      <c r="Q175" s="1395"/>
      <c r="R175" s="1395"/>
      <c r="S175" s="1395"/>
      <c r="T175" s="438" cm="1" t="str">
        <f t="array" ref="T175:T175">T174</f>
        <v>false</v>
      </c>
      <c r="U175" s="1395"/>
      <c r="V175" s="1282"/>
      <c r="W175" s="1395"/>
      <c r="X175" s="1511"/>
      <c r="Y175" s="1493"/>
      <c r="Z175" s="1282"/>
      <c r="AA175" s="1282"/>
      <c r="AB175" s="206" t="s">
        <v>530</v>
      </c>
      <c r="AC175" s="104" t="s">
        <v>666</v>
      </c>
      <c r="AD175" s="59" t="s">
        <v>506</v>
      </c>
      <c r="AE175" s="312">
        <f>AE176+AE179+AE182+AE185</f>
        <v>0</v>
      </c>
      <c r="AF175" s="312">
        <f>AF176+AF179+AF182+AF185</f>
        <v>0</v>
      </c>
      <c r="AG175" s="312">
        <f>AG176+AG179+AG182+AG185</f>
        <v>0</v>
      </c>
      <c r="AH175" s="312">
        <f>AH176+AH179+AH182+AH185</f>
        <v>0</v>
      </c>
      <c r="AI175" s="312">
        <f>AI176+AI179+AI182+AI185</f>
        <v>0</v>
      </c>
      <c r="AJ175" s="312">
        <f>AJ176+AJ179+AJ182+AJ185</f>
        <v>0</v>
      </c>
      <c r="AK175" s="312">
        <f>AK176+AK179+AK182+AK185</f>
        <v>0</v>
      </c>
      <c r="AL175" s="312">
        <f>AL176+AL179+AL182+AL185</f>
        <v>0</v>
      </c>
      <c r="AM175" s="312">
        <f>AM176+AM179+AM182+AM185</f>
        <v>0</v>
      </c>
      <c r="AN175" s="312">
        <f>AN176+AN179+AN182+AN185</f>
        <v>0</v>
      </c>
      <c r="AO175" s="312">
        <f>AO176+AO179+AO182+AO185</f>
        <v>0</v>
      </c>
      <c r="AP175" s="312">
        <f>AP176+AP179+AP182+AP185</f>
        <v>0</v>
      </c>
      <c r="AQ175" s="312">
        <f>AQ176+AQ179+AQ182+AQ185</f>
        <v>0</v>
      </c>
      <c r="AR175" s="312">
        <f>AR176+AR179+AR182+AR185</f>
        <v>0</v>
      </c>
      <c r="AS175" s="312">
        <f>AS176+AS179+AS182+AS185</f>
        <v>0</v>
      </c>
      <c r="AT175" s="312">
        <f>AT176+AT179+AT182+AT185</f>
        <v>0</v>
      </c>
      <c r="AU175" s="312">
        <f>AU176+AU179+AU182+AU185</f>
        <v>0</v>
      </c>
      <c r="AV175" s="312">
        <f>AV176+AV179+AV182+AV185</f>
        <v>0</v>
      </c>
      <c r="AW175" s="312">
        <f>AW176+AW179+AW182+AW185</f>
        <v>0</v>
      </c>
      <c r="AX175" s="312">
        <f>AX176+AX179+AX182+AX185</f>
        <v>0</v>
      </c>
      <c r="AY175" s="312">
        <f>AY176+AY179+AY182+AY185</f>
        <v>0</v>
      </c>
      <c r="AZ175" s="312">
        <f>AZ176+AZ179+AZ182+AZ185</f>
        <v>0</v>
      </c>
      <c r="BA175" s="312">
        <f>BA176+BA179+BA182+BA185</f>
        <v>0</v>
      </c>
      <c r="BB175" s="312">
        <f>BB176+BB179+BB182+BB185</f>
        <v>0</v>
      </c>
      <c r="BC175" s="1880"/>
      <c r="BD175" s="1282"/>
      <c r="BE175" s="1282"/>
      <c r="BF175" s="992" t="s">
        <v>667</v>
      </c>
    </row>
    <row s="1624" customFormat="1" customHeight="1" ht="14.25" hidden="1">
      <c r="A176" s="1282"/>
      <c r="B176" s="1389"/>
      <c r="C176" s="1282"/>
      <c r="D176" s="1282"/>
      <c r="E176" s="607">
        <v>15</v>
      </c>
      <c r="F176" s="50" cm="1" t="str">
        <f t="array" ref="F176:F176">OFFSET(E176,-1,1)</f>
        <v>1</v>
      </c>
      <c r="G176" s="1282"/>
      <c r="H176" s="64" t="s">
        <v>645</v>
      </c>
      <c r="I176" s="1282"/>
      <c r="J176" s="1282"/>
      <c r="K176" s="1282"/>
      <c r="L176" s="1282"/>
      <c r="M176" s="1282"/>
      <c r="N176" s="1282"/>
      <c r="O176" s="1282"/>
      <c r="P176" s="1395"/>
      <c r="Q176" s="1395"/>
      <c r="R176" s="1395"/>
      <c r="S176" s="1395"/>
      <c r="T176" s="438" cm="1" t="str">
        <f t="array" ref="T176:T176">T175</f>
        <v>false</v>
      </c>
      <c r="U176" s="1395"/>
      <c r="V176" s="1282"/>
      <c r="W176" s="1395"/>
      <c r="X176" s="1511"/>
      <c r="Y176" s="1493"/>
      <c r="Z176" s="1282"/>
      <c r="AA176" s="1282"/>
      <c r="AB176" s="206" t="s">
        <v>646</v>
      </c>
      <c r="AC176" s="158" t="s">
        <v>597</v>
      </c>
      <c r="AD176" s="59" t="s">
        <v>506</v>
      </c>
      <c r="AE176" s="312">
        <f>AE177+AE178</f>
        <v>0</v>
      </c>
      <c r="AF176" s="312">
        <f>AF177+AF178</f>
        <v>0</v>
      </c>
      <c r="AG176" s="312">
        <f>AG177+AG178</f>
        <v>0</v>
      </c>
      <c r="AH176" s="312">
        <f>AH177+AH178</f>
        <v>0</v>
      </c>
      <c r="AI176" s="312">
        <f>AI177+AI178</f>
        <v>0</v>
      </c>
      <c r="AJ176" s="312">
        <f>AJ177+AJ178</f>
        <v>0</v>
      </c>
      <c r="AK176" s="312">
        <f>AK177+AK178</f>
        <v>0</v>
      </c>
      <c r="AL176" s="312">
        <f>AL177+AL178</f>
        <v>0</v>
      </c>
      <c r="AM176" s="312">
        <f>AM177+AM178</f>
        <v>0</v>
      </c>
      <c r="AN176" s="312">
        <f>AN177+AN178</f>
        <v>0</v>
      </c>
      <c r="AO176" s="312">
        <f>AO177+AO178</f>
        <v>0</v>
      </c>
      <c r="AP176" s="312">
        <f>AP177+AP178</f>
        <v>0</v>
      </c>
      <c r="AQ176" s="312">
        <f>AQ177+AQ178</f>
        <v>0</v>
      </c>
      <c r="AR176" s="312">
        <f>AR177+AR178</f>
        <v>0</v>
      </c>
      <c r="AS176" s="312">
        <f>AS177+AS178</f>
        <v>0</v>
      </c>
      <c r="AT176" s="312">
        <f>AT177+AT178</f>
        <v>0</v>
      </c>
      <c r="AU176" s="312">
        <f>AU177+AU178</f>
        <v>0</v>
      </c>
      <c r="AV176" s="312">
        <f>AV177+AV178</f>
        <v>0</v>
      </c>
      <c r="AW176" s="312">
        <f>AW177+AW178</f>
        <v>0</v>
      </c>
      <c r="AX176" s="312">
        <f>AX177+AX178</f>
        <v>0</v>
      </c>
      <c r="AY176" s="312">
        <f>AY177+AY178</f>
        <v>0</v>
      </c>
      <c r="AZ176" s="312">
        <f>AZ177+AZ178</f>
        <v>0</v>
      </c>
      <c r="BA176" s="312">
        <f>BA177+BA178</f>
        <v>0</v>
      </c>
      <c r="BB176" s="312">
        <f>BB177+BB178</f>
        <v>0</v>
      </c>
      <c r="BC176" s="1880"/>
      <c r="BD176" s="1282"/>
      <c r="BE176" s="1282"/>
      <c r="BF176" s="992" t="s">
        <v>668</v>
      </c>
    </row>
    <row s="1624" customFormat="1" customHeight="1" ht="14.25" hidden="1">
      <c r="A177" s="1282"/>
      <c r="B177" s="1389"/>
      <c r="C177" s="1282"/>
      <c r="D177" s="1282"/>
      <c r="E177" s="607">
        <v>15</v>
      </c>
      <c r="F177" s="50" cm="1" t="str">
        <f t="array" ref="F177:F177">OFFSET(E177,-1,1)</f>
        <v>1</v>
      </c>
      <c r="G177" s="1282"/>
      <c r="H177" s="64" t="s">
        <v>669</v>
      </c>
      <c r="I177" s="1282"/>
      <c r="J177" s="1282"/>
      <c r="K177" s="1282"/>
      <c r="L177" s="1282"/>
      <c r="M177" s="1282"/>
      <c r="N177" s="1282"/>
      <c r="O177" s="1282"/>
      <c r="P177" s="1395"/>
      <c r="Q177" s="1395"/>
      <c r="R177" s="1395"/>
      <c r="S177" s="1395"/>
      <c r="T177" s="438" cm="1" t="str">
        <f t="array" ref="T177:T177">T176</f>
        <v>false</v>
      </c>
      <c r="U177" s="1395"/>
      <c r="V177" s="1282"/>
      <c r="W177" s="1395"/>
      <c r="X177" s="1511"/>
      <c r="Y177" s="1493"/>
      <c r="Z177" s="1282"/>
      <c r="AA177" s="1282"/>
      <c r="AB177" s="206" t="s">
        <v>670</v>
      </c>
      <c r="AC177" s="304" t="s">
        <v>585</v>
      </c>
      <c r="AD177" s="59" t="s">
        <v>506</v>
      </c>
      <c r="AE177" s="1879"/>
      <c r="AF177" s="1879"/>
      <c r="AG177" s="1879"/>
      <c r="AH177" s="1879"/>
      <c r="AI177" s="242"/>
      <c r="AJ177" s="1879"/>
      <c r="AK177" s="1879"/>
      <c r="AL177" s="1879"/>
      <c r="AM177" s="1879"/>
      <c r="AN177" s="1879"/>
      <c r="AO177" s="1879"/>
      <c r="AP177" s="1879"/>
      <c r="AQ177" s="1879"/>
      <c r="AR177" s="1879"/>
      <c r="AS177" s="242"/>
      <c r="AT177" s="1879"/>
      <c r="AU177" s="1879"/>
      <c r="AV177" s="1879"/>
      <c r="AW177" s="1879"/>
      <c r="AX177" s="1879"/>
      <c r="AY177" s="1879"/>
      <c r="AZ177" s="1879"/>
      <c r="BA177" s="1879"/>
      <c r="BB177" s="1879"/>
      <c r="BC177" s="1880"/>
      <c r="BD177" s="1282"/>
      <c r="BE177" s="1282"/>
      <c r="BF177" s="992" t="s">
        <v>671</v>
      </c>
    </row>
    <row s="1624" customFormat="1" customHeight="1" ht="14.25" hidden="1">
      <c r="A178" s="1282"/>
      <c r="B178" s="1389"/>
      <c r="C178" s="1282"/>
      <c r="D178" s="1282"/>
      <c r="E178" s="607">
        <v>15</v>
      </c>
      <c r="F178" s="50" cm="1" t="str">
        <f t="array" ref="F178:F178">OFFSET(E178,-1,1)</f>
        <v>1</v>
      </c>
      <c r="G178" s="1282"/>
      <c r="H178" s="64" t="s">
        <v>672</v>
      </c>
      <c r="I178" s="1282"/>
      <c r="J178" s="1282"/>
      <c r="K178" s="1282"/>
      <c r="L178" s="1282"/>
      <c r="M178" s="1282"/>
      <c r="N178" s="1282"/>
      <c r="O178" s="1282"/>
      <c r="P178" s="1395"/>
      <c r="Q178" s="1395"/>
      <c r="R178" s="1395"/>
      <c r="S178" s="1395"/>
      <c r="T178" s="438" cm="1" t="str">
        <f t="array" ref="T178:T178">T177</f>
        <v>false</v>
      </c>
      <c r="U178" s="1395"/>
      <c r="V178" s="1282"/>
      <c r="W178" s="1395"/>
      <c r="X178" s="1511"/>
      <c r="Y178" s="1493"/>
      <c r="Z178" s="1282"/>
      <c r="AA178" s="1282"/>
      <c r="AB178" s="206" t="s">
        <v>673</v>
      </c>
      <c r="AC178" s="304" t="s">
        <v>589</v>
      </c>
      <c r="AD178" s="59" t="s">
        <v>506</v>
      </c>
      <c r="AE178" s="1879"/>
      <c r="AF178" s="1879"/>
      <c r="AG178" s="1879"/>
      <c r="AH178" s="1879"/>
      <c r="AI178" s="242"/>
      <c r="AJ178" s="1879"/>
      <c r="AK178" s="1879"/>
      <c r="AL178" s="1879"/>
      <c r="AM178" s="1879"/>
      <c r="AN178" s="1879"/>
      <c r="AO178" s="1879"/>
      <c r="AP178" s="1879"/>
      <c r="AQ178" s="1879"/>
      <c r="AR178" s="1879"/>
      <c r="AS178" s="242"/>
      <c r="AT178" s="1879"/>
      <c r="AU178" s="1879"/>
      <c r="AV178" s="1879"/>
      <c r="AW178" s="1879"/>
      <c r="AX178" s="1879"/>
      <c r="AY178" s="1879"/>
      <c r="AZ178" s="1879"/>
      <c r="BA178" s="1879"/>
      <c r="BB178" s="1879"/>
      <c r="BC178" s="1880"/>
      <c r="BD178" s="1282"/>
      <c r="BE178" s="1282"/>
      <c r="BF178" s="992" t="s">
        <v>674</v>
      </c>
    </row>
    <row s="1624" customFormat="1" customHeight="1" ht="14.25" hidden="1">
      <c r="A179" s="1282"/>
      <c r="B179" s="1389"/>
      <c r="C179" s="1282"/>
      <c r="D179" s="1282"/>
      <c r="E179" s="607">
        <v>15</v>
      </c>
      <c r="F179" s="50" cm="1" t="str">
        <f t="array" ref="F179:F179">OFFSET(E179,-1,1)</f>
        <v>1</v>
      </c>
      <c r="G179" s="64" t="s">
        <v>605</v>
      </c>
      <c r="H179" s="64" t="s">
        <v>648</v>
      </c>
      <c r="I179" s="1282"/>
      <c r="J179" s="1282"/>
      <c r="K179" s="1282"/>
      <c r="L179" s="1282"/>
      <c r="M179" s="1282"/>
      <c r="N179" s="1282"/>
      <c r="O179" s="1282"/>
      <c r="P179" s="1395"/>
      <c r="Q179" s="1395"/>
      <c r="R179" s="1395"/>
      <c r="S179" s="1395"/>
      <c r="T179" s="438" cm="1" t="str">
        <f t="array" ref="T179:T179">T178</f>
        <v>false</v>
      </c>
      <c r="U179" s="1395"/>
      <c r="V179" s="1282"/>
      <c r="W179" s="1395"/>
      <c r="X179" s="1511"/>
      <c r="Y179" s="1493"/>
      <c r="Z179" s="1282"/>
      <c r="AA179" s="1282"/>
      <c r="AB179" s="206" t="s">
        <v>649</v>
      </c>
      <c r="AC179" s="158" t="s">
        <v>608</v>
      </c>
      <c r="AD179" s="59" t="s">
        <v>506</v>
      </c>
      <c r="AE179" s="312">
        <f>AE180+AE181</f>
        <v>0</v>
      </c>
      <c r="AF179" s="312">
        <f>AF180+AF181</f>
        <v>0</v>
      </c>
      <c r="AG179" s="312">
        <f>AG180+AG181</f>
        <v>0</v>
      </c>
      <c r="AH179" s="312">
        <f>AH180+AH181</f>
        <v>0</v>
      </c>
      <c r="AI179" s="312">
        <f>AI180+AI181</f>
        <v>0</v>
      </c>
      <c r="AJ179" s="312">
        <f>AJ180+AJ181</f>
        <v>0</v>
      </c>
      <c r="AK179" s="312">
        <f>AK180+AK181</f>
        <v>0</v>
      </c>
      <c r="AL179" s="312">
        <f>AL180+AL181</f>
        <v>0</v>
      </c>
      <c r="AM179" s="312">
        <f>AM180+AM181</f>
        <v>0</v>
      </c>
      <c r="AN179" s="312">
        <f>AN180+AN181</f>
        <v>0</v>
      </c>
      <c r="AO179" s="312">
        <f>AO180+AO181</f>
        <v>0</v>
      </c>
      <c r="AP179" s="312">
        <f>AP180+AP181</f>
        <v>0</v>
      </c>
      <c r="AQ179" s="312">
        <f>AQ180+AQ181</f>
        <v>0</v>
      </c>
      <c r="AR179" s="312">
        <f>AR180+AR181</f>
        <v>0</v>
      </c>
      <c r="AS179" s="312">
        <f>AS180+AS181</f>
        <v>0</v>
      </c>
      <c r="AT179" s="312">
        <f>AT180+AT181</f>
        <v>0</v>
      </c>
      <c r="AU179" s="312">
        <f>AU180+AU181</f>
        <v>0</v>
      </c>
      <c r="AV179" s="312">
        <f>AV180+AV181</f>
        <v>0</v>
      </c>
      <c r="AW179" s="312">
        <f>AW180+AW181</f>
        <v>0</v>
      </c>
      <c r="AX179" s="312">
        <f>AX180+AX181</f>
        <v>0</v>
      </c>
      <c r="AY179" s="312">
        <f>AY180+AY181</f>
        <v>0</v>
      </c>
      <c r="AZ179" s="312">
        <f>AZ180+AZ181</f>
        <v>0</v>
      </c>
      <c r="BA179" s="312">
        <f>BA180+BA181</f>
        <v>0</v>
      </c>
      <c r="BB179" s="312">
        <f>BB180+BB181</f>
        <v>0</v>
      </c>
      <c r="BC179" s="1880"/>
      <c r="BD179" s="1282"/>
      <c r="BE179" s="1282"/>
      <c r="BF179" s="992" t="s">
        <v>675</v>
      </c>
    </row>
    <row s="1624" customFormat="1" customHeight="1" ht="14.25" hidden="1">
      <c r="A180" s="1282"/>
      <c r="B180" s="1389"/>
      <c r="C180" s="1282"/>
      <c r="D180" s="1282"/>
      <c r="E180" s="607">
        <v>15</v>
      </c>
      <c r="F180" s="50" cm="1" t="str">
        <f t="array" ref="F180:F180">OFFSET(E180,-1,1)</f>
        <v>1</v>
      </c>
      <c r="G180" s="1282"/>
      <c r="H180" s="64" t="s">
        <v>676</v>
      </c>
      <c r="I180" s="1282"/>
      <c r="J180" s="1282"/>
      <c r="K180" s="1282"/>
      <c r="L180" s="1282"/>
      <c r="M180" s="1282"/>
      <c r="N180" s="1282"/>
      <c r="O180" s="1282"/>
      <c r="P180" s="1395"/>
      <c r="Q180" s="1395"/>
      <c r="R180" s="1395"/>
      <c r="S180" s="1395"/>
      <c r="T180" s="438" cm="1" t="str">
        <f t="array" ref="T180:T180">T179</f>
        <v>false</v>
      </c>
      <c r="U180" s="1395"/>
      <c r="V180" s="1282"/>
      <c r="W180" s="1395"/>
      <c r="X180" s="1511"/>
      <c r="Y180" s="1493"/>
      <c r="Z180" s="1282"/>
      <c r="AA180" s="1282"/>
      <c r="AB180" s="206" t="s">
        <v>677</v>
      </c>
      <c r="AC180" s="304" t="s">
        <v>585</v>
      </c>
      <c r="AD180" s="59" t="s">
        <v>506</v>
      </c>
      <c r="AE180" s="1879"/>
      <c r="AF180" s="1879"/>
      <c r="AG180" s="1879"/>
      <c r="AH180" s="1879"/>
      <c r="AI180" s="242"/>
      <c r="AJ180" s="1879"/>
      <c r="AK180" s="1879"/>
      <c r="AL180" s="1879"/>
      <c r="AM180" s="1879"/>
      <c r="AN180" s="1879"/>
      <c r="AO180" s="1879"/>
      <c r="AP180" s="1879"/>
      <c r="AQ180" s="1879"/>
      <c r="AR180" s="1879"/>
      <c r="AS180" s="242"/>
      <c r="AT180" s="1879"/>
      <c r="AU180" s="1879"/>
      <c r="AV180" s="1879"/>
      <c r="AW180" s="1879"/>
      <c r="AX180" s="1879"/>
      <c r="AY180" s="1879"/>
      <c r="AZ180" s="1879"/>
      <c r="BA180" s="1879"/>
      <c r="BB180" s="1879"/>
      <c r="BC180" s="1880"/>
      <c r="BD180" s="1282"/>
      <c r="BE180" s="1282"/>
      <c r="BF180" s="992" t="s">
        <v>678</v>
      </c>
    </row>
    <row s="1624" customFormat="1" customHeight="1" ht="14.25" hidden="1">
      <c r="A181" s="1282"/>
      <c r="B181" s="1389"/>
      <c r="C181" s="1282"/>
      <c r="D181" s="1282"/>
      <c r="E181" s="607">
        <v>15</v>
      </c>
      <c r="F181" s="50" cm="1" t="str">
        <f t="array" ref="F181:F181">OFFSET(E181,-1,1)</f>
        <v>1</v>
      </c>
      <c r="G181" s="1282"/>
      <c r="H181" s="64" t="s">
        <v>679</v>
      </c>
      <c r="I181" s="1282"/>
      <c r="J181" s="1282"/>
      <c r="K181" s="1282"/>
      <c r="L181" s="1282"/>
      <c r="M181" s="1282"/>
      <c r="N181" s="1282"/>
      <c r="O181" s="1282"/>
      <c r="P181" s="1395"/>
      <c r="Q181" s="1395"/>
      <c r="R181" s="1395"/>
      <c r="S181" s="1395"/>
      <c r="T181" s="438" cm="1" t="str">
        <f t="array" ref="T181:T181">T180</f>
        <v>false</v>
      </c>
      <c r="U181" s="1395"/>
      <c r="V181" s="1282"/>
      <c r="W181" s="1395"/>
      <c r="X181" s="1511"/>
      <c r="Y181" s="1493"/>
      <c r="Z181" s="1282"/>
      <c r="AA181" s="1282"/>
      <c r="AB181" s="206" t="s">
        <v>680</v>
      </c>
      <c r="AC181" s="304" t="s">
        <v>589</v>
      </c>
      <c r="AD181" s="59" t="s">
        <v>506</v>
      </c>
      <c r="AE181" s="1879"/>
      <c r="AF181" s="1879"/>
      <c r="AG181" s="1879"/>
      <c r="AH181" s="1879"/>
      <c r="AI181" s="242"/>
      <c r="AJ181" s="1879"/>
      <c r="AK181" s="1879"/>
      <c r="AL181" s="1879"/>
      <c r="AM181" s="1879"/>
      <c r="AN181" s="1879"/>
      <c r="AO181" s="1879"/>
      <c r="AP181" s="1879"/>
      <c r="AQ181" s="1879"/>
      <c r="AR181" s="1879"/>
      <c r="AS181" s="242"/>
      <c r="AT181" s="1879"/>
      <c r="AU181" s="1879"/>
      <c r="AV181" s="1879"/>
      <c r="AW181" s="1879"/>
      <c r="AX181" s="1879"/>
      <c r="AY181" s="1879"/>
      <c r="AZ181" s="1879"/>
      <c r="BA181" s="1879"/>
      <c r="BB181" s="1879"/>
      <c r="BC181" s="1880"/>
      <c r="BD181" s="1282"/>
      <c r="BE181" s="1282"/>
      <c r="BF181" s="992" t="s">
        <v>681</v>
      </c>
    </row>
    <row s="1624" customFormat="1" customHeight="1" ht="14.25" hidden="1">
      <c r="A182" s="1282"/>
      <c r="B182" s="1389"/>
      <c r="C182" s="1282"/>
      <c r="D182" s="1282"/>
      <c r="E182" s="607">
        <v>15</v>
      </c>
      <c r="F182" s="50" cm="1" t="str">
        <f t="array" ref="F182:F182">OFFSET(E182,-1,1)</f>
        <v>1</v>
      </c>
      <c r="G182" s="1282"/>
      <c r="H182" s="64" t="s">
        <v>682</v>
      </c>
      <c r="I182" s="1282"/>
      <c r="J182" s="1282"/>
      <c r="K182" s="1282"/>
      <c r="L182" s="1282"/>
      <c r="M182" s="1282"/>
      <c r="N182" s="1282"/>
      <c r="O182" s="1282"/>
      <c r="P182" s="1395"/>
      <c r="Q182" s="1395"/>
      <c r="R182" s="1395"/>
      <c r="S182" s="1395"/>
      <c r="T182" s="438" cm="1" t="str">
        <f t="array" ref="T182:T182">T181</f>
        <v>false</v>
      </c>
      <c r="U182" s="1395"/>
      <c r="V182" s="1282"/>
      <c r="W182" s="1395"/>
      <c r="X182" s="1511"/>
      <c r="Y182" s="1493"/>
      <c r="Z182" s="1282"/>
      <c r="AA182" s="1282"/>
      <c r="AB182" s="206" t="s">
        <v>683</v>
      </c>
      <c r="AC182" s="158" t="s">
        <v>618</v>
      </c>
      <c r="AD182" s="59" t="s">
        <v>506</v>
      </c>
      <c r="AE182" s="312">
        <f>AE183+AE184</f>
        <v>0</v>
      </c>
      <c r="AF182" s="312">
        <f>AF183+AF184</f>
        <v>0</v>
      </c>
      <c r="AG182" s="312">
        <f>AG183+AG184</f>
        <v>0</v>
      </c>
      <c r="AH182" s="312">
        <f>AH183+AH184</f>
        <v>0</v>
      </c>
      <c r="AI182" s="312">
        <f>AI183+AI184</f>
        <v>0</v>
      </c>
      <c r="AJ182" s="312">
        <f>AJ183+AJ184</f>
        <v>0</v>
      </c>
      <c r="AK182" s="312">
        <f>AK183+AK184</f>
        <v>0</v>
      </c>
      <c r="AL182" s="312">
        <f>AL183+AL184</f>
        <v>0</v>
      </c>
      <c r="AM182" s="312">
        <f>AM183+AM184</f>
        <v>0</v>
      </c>
      <c r="AN182" s="312">
        <f>AN183+AN184</f>
        <v>0</v>
      </c>
      <c r="AO182" s="312">
        <f>AO183+AO184</f>
        <v>0</v>
      </c>
      <c r="AP182" s="312">
        <f>AP183+AP184</f>
        <v>0</v>
      </c>
      <c r="AQ182" s="312">
        <f>AQ183+AQ184</f>
        <v>0</v>
      </c>
      <c r="AR182" s="312">
        <f>AR183+AR184</f>
        <v>0</v>
      </c>
      <c r="AS182" s="312">
        <f>AS183+AS184</f>
        <v>0</v>
      </c>
      <c r="AT182" s="312">
        <f>AT183+AT184</f>
        <v>0</v>
      </c>
      <c r="AU182" s="312">
        <f>AU183+AU184</f>
        <v>0</v>
      </c>
      <c r="AV182" s="312">
        <f>AV183+AV184</f>
        <v>0</v>
      </c>
      <c r="AW182" s="312">
        <f>AW183+AW184</f>
        <v>0</v>
      </c>
      <c r="AX182" s="312">
        <f>AX183+AX184</f>
        <v>0</v>
      </c>
      <c r="AY182" s="312">
        <f>AY183+AY184</f>
        <v>0</v>
      </c>
      <c r="AZ182" s="312">
        <f>AZ183+AZ184</f>
        <v>0</v>
      </c>
      <c r="BA182" s="312">
        <f>BA183+BA184</f>
        <v>0</v>
      </c>
      <c r="BB182" s="312">
        <f>BB183+BB184</f>
        <v>0</v>
      </c>
      <c r="BC182" s="1880"/>
      <c r="BD182" s="1282"/>
      <c r="BE182" s="1282"/>
      <c r="BF182" s="992" t="s">
        <v>684</v>
      </c>
    </row>
    <row s="1624" customFormat="1" customHeight="1" ht="14.25" hidden="1">
      <c r="A183" s="1282"/>
      <c r="B183" s="1389"/>
      <c r="C183" s="1282"/>
      <c r="D183" s="1282"/>
      <c r="E183" s="607">
        <v>15</v>
      </c>
      <c r="F183" s="50" cm="1" t="str">
        <f t="array" ref="F183:F183">OFFSET(E183,-1,1)</f>
        <v>1</v>
      </c>
      <c r="G183" s="1282"/>
      <c r="H183" s="64" t="s">
        <v>685</v>
      </c>
      <c r="I183" s="1282"/>
      <c r="J183" s="1282"/>
      <c r="K183" s="1282"/>
      <c r="L183" s="1282"/>
      <c r="M183" s="1282"/>
      <c r="N183" s="1282"/>
      <c r="O183" s="1282"/>
      <c r="P183" s="1395"/>
      <c r="Q183" s="1395"/>
      <c r="R183" s="1395"/>
      <c r="S183" s="1395"/>
      <c r="T183" s="438" cm="1" t="str">
        <f t="array" ref="T183:T183">T182</f>
        <v>false</v>
      </c>
      <c r="U183" s="1395"/>
      <c r="V183" s="1282"/>
      <c r="W183" s="1395"/>
      <c r="X183" s="1511"/>
      <c r="Y183" s="1493"/>
      <c r="Z183" s="1282"/>
      <c r="AA183" s="1282"/>
      <c r="AB183" s="206" t="s">
        <v>686</v>
      </c>
      <c r="AC183" s="304" t="s">
        <v>585</v>
      </c>
      <c r="AD183" s="59" t="s">
        <v>506</v>
      </c>
      <c r="AE183" s="1879"/>
      <c r="AF183" s="1879"/>
      <c r="AG183" s="1879"/>
      <c r="AH183" s="1879"/>
      <c r="AI183" s="242"/>
      <c r="AJ183" s="1879"/>
      <c r="AK183" s="1879"/>
      <c r="AL183" s="1879"/>
      <c r="AM183" s="1879"/>
      <c r="AN183" s="1879"/>
      <c r="AO183" s="1879"/>
      <c r="AP183" s="1879"/>
      <c r="AQ183" s="1879"/>
      <c r="AR183" s="1879"/>
      <c r="AS183" s="242"/>
      <c r="AT183" s="1879"/>
      <c r="AU183" s="1879"/>
      <c r="AV183" s="1879"/>
      <c r="AW183" s="1879"/>
      <c r="AX183" s="1879"/>
      <c r="AY183" s="1879"/>
      <c r="AZ183" s="1879"/>
      <c r="BA183" s="1879"/>
      <c r="BB183" s="1879"/>
      <c r="BC183" s="1880"/>
      <c r="BD183" s="1282"/>
      <c r="BE183" s="1282"/>
      <c r="BF183" s="992" t="s">
        <v>687</v>
      </c>
    </row>
    <row s="1624" customFormat="1" customHeight="1" ht="14.25" hidden="1">
      <c r="A184" s="1282"/>
      <c r="B184" s="1389"/>
      <c r="C184" s="1282"/>
      <c r="D184" s="1282"/>
      <c r="E184" s="607">
        <v>15</v>
      </c>
      <c r="F184" s="50" cm="1" t="str">
        <f t="array" ref="F184:F184">OFFSET(E184,-1,1)</f>
        <v>1</v>
      </c>
      <c r="G184" s="1282"/>
      <c r="H184" s="64" t="s">
        <v>688</v>
      </c>
      <c r="I184" s="1282"/>
      <c r="J184" s="1282"/>
      <c r="K184" s="1282"/>
      <c r="L184" s="1282"/>
      <c r="M184" s="1282"/>
      <c r="N184" s="1282"/>
      <c r="O184" s="1282"/>
      <c r="P184" s="1395"/>
      <c r="Q184" s="1395"/>
      <c r="R184" s="1395"/>
      <c r="S184" s="1395"/>
      <c r="T184" s="438" cm="1" t="str">
        <f t="array" ref="T184:T184">T183</f>
        <v>false</v>
      </c>
      <c r="U184" s="1395"/>
      <c r="V184" s="1282"/>
      <c r="W184" s="1395"/>
      <c r="X184" s="1511"/>
      <c r="Y184" s="1493"/>
      <c r="Z184" s="1282"/>
      <c r="AA184" s="1282"/>
      <c r="AB184" s="206" t="s">
        <v>689</v>
      </c>
      <c r="AC184" s="304" t="s">
        <v>589</v>
      </c>
      <c r="AD184" s="59" t="s">
        <v>506</v>
      </c>
      <c r="AE184" s="1879"/>
      <c r="AF184" s="1879"/>
      <c r="AG184" s="1879"/>
      <c r="AH184" s="1879"/>
      <c r="AI184" s="242"/>
      <c r="AJ184" s="1879"/>
      <c r="AK184" s="1879"/>
      <c r="AL184" s="1879"/>
      <c r="AM184" s="1879"/>
      <c r="AN184" s="1879"/>
      <c r="AO184" s="1879"/>
      <c r="AP184" s="1879"/>
      <c r="AQ184" s="1879"/>
      <c r="AR184" s="1879"/>
      <c r="AS184" s="242"/>
      <c r="AT184" s="1879"/>
      <c r="AU184" s="1879"/>
      <c r="AV184" s="1879"/>
      <c r="AW184" s="1879"/>
      <c r="AX184" s="1879"/>
      <c r="AY184" s="1879"/>
      <c r="AZ184" s="1879"/>
      <c r="BA184" s="1879"/>
      <c r="BB184" s="1879"/>
      <c r="BC184" s="1880"/>
      <c r="BD184" s="1282"/>
      <c r="BE184" s="1282"/>
      <c r="BF184" s="992" t="s">
        <v>690</v>
      </c>
    </row>
    <row s="1624" customFormat="1" customHeight="1" ht="14.25" hidden="1">
      <c r="A185" s="1282"/>
      <c r="B185" s="1389"/>
      <c r="C185" s="1282"/>
      <c r="D185" s="1282"/>
      <c r="E185" s="607">
        <v>15</v>
      </c>
      <c r="F185" s="50" cm="1" t="str">
        <f t="array" ref="F185:F185">OFFSET(E185,-1,1)</f>
        <v>1</v>
      </c>
      <c r="G185" s="1282"/>
      <c r="H185" s="64" t="s">
        <v>691</v>
      </c>
      <c r="I185" s="1282"/>
      <c r="J185" s="1282"/>
      <c r="K185" s="1282"/>
      <c r="L185" s="1282"/>
      <c r="M185" s="1282"/>
      <c r="N185" s="1282"/>
      <c r="O185" s="1282"/>
      <c r="P185" s="1395"/>
      <c r="Q185" s="1395"/>
      <c r="R185" s="1395"/>
      <c r="S185" s="1395"/>
      <c r="T185" s="438" cm="1" t="str">
        <f t="array" ref="T185:T185">T184</f>
        <v>false</v>
      </c>
      <c r="U185" s="1395"/>
      <c r="V185" s="1282"/>
      <c r="W185" s="1395"/>
      <c r="X185" s="1511"/>
      <c r="Y185" s="1493"/>
      <c r="Z185" s="1282"/>
      <c r="AA185" s="1282"/>
      <c r="AB185" s="206" t="s">
        <v>692</v>
      </c>
      <c r="AC185" s="158" t="s">
        <v>693</v>
      </c>
      <c r="AD185" s="59" t="s">
        <v>506</v>
      </c>
      <c r="AE185" s="312">
        <f>AE186+AE187</f>
        <v>0</v>
      </c>
      <c r="AF185" s="312">
        <f>AF186+AF187</f>
        <v>0</v>
      </c>
      <c r="AG185" s="312">
        <f>AG186+AG187</f>
        <v>0</v>
      </c>
      <c r="AH185" s="312">
        <f>AH186+AH187</f>
        <v>0</v>
      </c>
      <c r="AI185" s="312">
        <f>AI186+AI187</f>
        <v>0</v>
      </c>
      <c r="AJ185" s="312">
        <f>AJ186+AJ187</f>
        <v>0</v>
      </c>
      <c r="AK185" s="312">
        <f>AK186+AK187</f>
        <v>0</v>
      </c>
      <c r="AL185" s="312">
        <f>AL186+AL187</f>
        <v>0</v>
      </c>
      <c r="AM185" s="312">
        <f>AM186+AM187</f>
        <v>0</v>
      </c>
      <c r="AN185" s="312">
        <f>AN186+AN187</f>
        <v>0</v>
      </c>
      <c r="AO185" s="312">
        <f>AO186+AO187</f>
        <v>0</v>
      </c>
      <c r="AP185" s="312">
        <f>AP186+AP187</f>
        <v>0</v>
      </c>
      <c r="AQ185" s="312">
        <f>AQ186+AQ187</f>
        <v>0</v>
      </c>
      <c r="AR185" s="312">
        <f>AR186+AR187</f>
        <v>0</v>
      </c>
      <c r="AS185" s="312">
        <f>AS186+AS187</f>
        <v>0</v>
      </c>
      <c r="AT185" s="312">
        <f>AT186+AT187</f>
        <v>0</v>
      </c>
      <c r="AU185" s="312">
        <f>AU186+AU187</f>
        <v>0</v>
      </c>
      <c r="AV185" s="312">
        <f>AV186+AV187</f>
        <v>0</v>
      </c>
      <c r="AW185" s="312">
        <f>AW186+AW187</f>
        <v>0</v>
      </c>
      <c r="AX185" s="312">
        <f>AX186+AX187</f>
        <v>0</v>
      </c>
      <c r="AY185" s="312">
        <f>AY186+AY187</f>
        <v>0</v>
      </c>
      <c r="AZ185" s="312">
        <f>AZ186+AZ187</f>
        <v>0</v>
      </c>
      <c r="BA185" s="312">
        <f>BA186+BA187</f>
        <v>0</v>
      </c>
      <c r="BB185" s="312">
        <f>BB186+BB187</f>
        <v>0</v>
      </c>
      <c r="BC185" s="1880"/>
      <c r="BD185" s="1282"/>
      <c r="BE185" s="1282"/>
      <c r="BF185" s="992" t="s">
        <v>694</v>
      </c>
    </row>
    <row s="1624" customFormat="1" customHeight="1" ht="14.25" hidden="1">
      <c r="A186" s="1282"/>
      <c r="B186" s="1389"/>
      <c r="C186" s="1282"/>
      <c r="D186" s="1282"/>
      <c r="E186" s="607">
        <v>15</v>
      </c>
      <c r="F186" s="50" cm="1" t="str">
        <f t="array" ref="F186:F186">OFFSET(E186,-1,1)</f>
        <v>1</v>
      </c>
      <c r="G186" s="1282"/>
      <c r="H186" s="64" t="s">
        <v>695</v>
      </c>
      <c r="I186" s="1282"/>
      <c r="J186" s="1282"/>
      <c r="K186" s="1282"/>
      <c r="L186" s="1282"/>
      <c r="M186" s="1282"/>
      <c r="N186" s="1282"/>
      <c r="O186" s="1282"/>
      <c r="P186" s="1395"/>
      <c r="Q186" s="1395"/>
      <c r="R186" s="1395"/>
      <c r="S186" s="1395"/>
      <c r="T186" s="438" cm="1" t="str">
        <f t="array" ref="T186:T186">T185</f>
        <v>false</v>
      </c>
      <c r="U186" s="1395"/>
      <c r="V186" s="1282"/>
      <c r="W186" s="1395"/>
      <c r="X186" s="1511"/>
      <c r="Y186" s="1493"/>
      <c r="Z186" s="1282"/>
      <c r="AA186" s="1282"/>
      <c r="AB186" s="206" t="s">
        <v>696</v>
      </c>
      <c r="AC186" s="298" t="s">
        <v>585</v>
      </c>
      <c r="AD186" s="59" t="s">
        <v>506</v>
      </c>
      <c r="AE186" s="1879"/>
      <c r="AF186" s="1879"/>
      <c r="AG186" s="1879"/>
      <c r="AH186" s="1879"/>
      <c r="AI186" s="242"/>
      <c r="AJ186" s="1879"/>
      <c r="AK186" s="1879"/>
      <c r="AL186" s="1879"/>
      <c r="AM186" s="1879"/>
      <c r="AN186" s="1879"/>
      <c r="AO186" s="1879"/>
      <c r="AP186" s="1879"/>
      <c r="AQ186" s="1879"/>
      <c r="AR186" s="1879"/>
      <c r="AS186" s="242"/>
      <c r="AT186" s="1879"/>
      <c r="AU186" s="1879"/>
      <c r="AV186" s="1879"/>
      <c r="AW186" s="1879"/>
      <c r="AX186" s="1879"/>
      <c r="AY186" s="1879"/>
      <c r="AZ186" s="1879"/>
      <c r="BA186" s="1879"/>
      <c r="BB186" s="1879"/>
      <c r="BC186" s="1880"/>
      <c r="BD186" s="1282"/>
      <c r="BE186" s="1282"/>
      <c r="BF186" s="992" t="s">
        <v>697</v>
      </c>
    </row>
    <row s="1624" customFormat="1" customHeight="1" ht="14.25" hidden="1">
      <c r="A187" s="1282"/>
      <c r="B187" s="1389"/>
      <c r="C187" s="1282"/>
      <c r="D187" s="1282"/>
      <c r="E187" s="607">
        <v>15</v>
      </c>
      <c r="F187" s="50" cm="1" t="str">
        <f t="array" ref="F187:F187">OFFSET(E187,-1,1)</f>
        <v>1</v>
      </c>
      <c r="G187" s="1282"/>
      <c r="H187" s="64" t="s">
        <v>698</v>
      </c>
      <c r="I187" s="1282"/>
      <c r="J187" s="1282"/>
      <c r="K187" s="1282"/>
      <c r="L187" s="1282"/>
      <c r="M187" s="1282"/>
      <c r="N187" s="1282"/>
      <c r="O187" s="1282"/>
      <c r="P187" s="1395"/>
      <c r="Q187" s="1395"/>
      <c r="R187" s="1395"/>
      <c r="S187" s="1395"/>
      <c r="T187" s="438" cm="1" t="str">
        <f t="array" ref="T187:T187">T186</f>
        <v>false</v>
      </c>
      <c r="U187" s="1395"/>
      <c r="V187" s="1282"/>
      <c r="W187" s="1395"/>
      <c r="X187" s="1511"/>
      <c r="Y187" s="1493"/>
      <c r="Z187" s="1282"/>
      <c r="AA187" s="1282"/>
      <c r="AB187" s="206" t="s">
        <v>699</v>
      </c>
      <c r="AC187" s="298" t="s">
        <v>589</v>
      </c>
      <c r="AD187" s="59" t="s">
        <v>506</v>
      </c>
      <c r="AE187" s="1879"/>
      <c r="AF187" s="1879"/>
      <c r="AG187" s="1879"/>
      <c r="AH187" s="1879"/>
      <c r="AI187" s="242"/>
      <c r="AJ187" s="1879"/>
      <c r="AK187" s="1879"/>
      <c r="AL187" s="1879"/>
      <c r="AM187" s="1879"/>
      <c r="AN187" s="1879"/>
      <c r="AO187" s="1879"/>
      <c r="AP187" s="1879"/>
      <c r="AQ187" s="1879"/>
      <c r="AR187" s="1879"/>
      <c r="AS187" s="242"/>
      <c r="AT187" s="1879"/>
      <c r="AU187" s="1879"/>
      <c r="AV187" s="1879"/>
      <c r="AW187" s="1879"/>
      <c r="AX187" s="1879"/>
      <c r="AY187" s="1879"/>
      <c r="AZ187" s="1879"/>
      <c r="BA187" s="1879"/>
      <c r="BB187" s="1879"/>
      <c r="BC187" s="1880"/>
      <c r="BD187" s="1282"/>
      <c r="BE187" s="1282"/>
      <c r="BF187" s="992" t="s">
        <v>700</v>
      </c>
    </row>
    <row s="1624" customFormat="1" customHeight="1" ht="21.75" hidden="1">
      <c r="A188" s="1282"/>
      <c r="B188" s="1389"/>
      <c r="C188" s="1282"/>
      <c r="D188" s="1282"/>
      <c r="E188" s="607">
        <v>22.5</v>
      </c>
      <c r="F188" s="50" cm="1" t="str">
        <f t="array" ref="F188:F188">OFFSET(E188,-1,1)</f>
        <v>1</v>
      </c>
      <c r="G188" s="1282"/>
      <c r="H188" s="64" t="s">
        <v>701</v>
      </c>
      <c r="I188" s="1282"/>
      <c r="J188" s="1282"/>
      <c r="K188" s="1282"/>
      <c r="L188" s="1282"/>
      <c r="M188" s="1282"/>
      <c r="N188" s="1282"/>
      <c r="O188" s="1282"/>
      <c r="P188" s="1395"/>
      <c r="Q188" s="1395"/>
      <c r="R188" s="1395"/>
      <c r="S188" s="1395"/>
      <c r="T188" s="438" cm="1" t="str">
        <f t="array" ref="T188:T188">T187</f>
        <v>false</v>
      </c>
      <c r="U188" s="1395"/>
      <c r="V188" s="1282"/>
      <c r="W188" s="1395"/>
      <c r="X188" s="1511"/>
      <c r="Y188" s="1493"/>
      <c r="Z188" s="1282"/>
      <c r="AA188" s="1282"/>
      <c r="AB188" s="206" t="s">
        <v>702</v>
      </c>
      <c r="AC188" s="305" t="s">
        <v>548</v>
      </c>
      <c r="AD188" s="59" t="s">
        <v>506</v>
      </c>
      <c r="AE188" s="1879"/>
      <c r="AF188" s="1879"/>
      <c r="AG188" s="1879"/>
      <c r="AH188" s="1879"/>
      <c r="AI188" s="242"/>
      <c r="AJ188" s="1879"/>
      <c r="AK188" s="1879"/>
      <c r="AL188" s="1879"/>
      <c r="AM188" s="1879"/>
      <c r="AN188" s="1879"/>
      <c r="AO188" s="1879"/>
      <c r="AP188" s="1879"/>
      <c r="AQ188" s="1879"/>
      <c r="AR188" s="1879"/>
      <c r="AS188" s="242"/>
      <c r="AT188" s="1879"/>
      <c r="AU188" s="1879"/>
      <c r="AV188" s="1879"/>
      <c r="AW188" s="1879"/>
      <c r="AX188" s="1879"/>
      <c r="AY188" s="1879"/>
      <c r="AZ188" s="1879"/>
      <c r="BA188" s="1879"/>
      <c r="BB188" s="1879"/>
      <c r="BC188" s="1880"/>
      <c r="BD188" s="1282"/>
      <c r="BE188" s="1282"/>
      <c r="BF188" s="992" t="s">
        <v>703</v>
      </c>
    </row>
    <row s="1624" customFormat="1" customHeight="1" ht="14.25" hidden="1">
      <c r="A189" s="1282"/>
      <c r="B189" s="1389"/>
      <c r="C189" s="1282"/>
      <c r="D189" s="1282"/>
      <c r="E189" s="607">
        <v>15</v>
      </c>
      <c r="F189" s="50" cm="1" t="str">
        <f t="array" ref="F189:F189">OFFSET(E189,-1,1)</f>
        <v>1</v>
      </c>
      <c r="G189" s="1282"/>
      <c r="H189" s="64" t="s">
        <v>488</v>
      </c>
      <c r="I189" s="1282"/>
      <c r="J189" s="1282"/>
      <c r="K189" s="1282"/>
      <c r="L189" s="1282"/>
      <c r="M189" s="1282"/>
      <c r="N189" s="1282"/>
      <c r="O189" s="1282"/>
      <c r="P189" s="1395"/>
      <c r="Q189" s="1395"/>
      <c r="R189" s="1395"/>
      <c r="S189" s="1395"/>
      <c r="T189" s="438" cm="1" t="str">
        <f t="array" ref="T189:T189">T188</f>
        <v>false</v>
      </c>
      <c r="U189" s="1395"/>
      <c r="V189" s="1282"/>
      <c r="W189" s="1395"/>
      <c r="X189" s="1511"/>
      <c r="Y189" s="1493"/>
      <c r="Z189" s="1282"/>
      <c r="AA189" s="1282"/>
      <c r="AB189" s="206" t="s">
        <v>485</v>
      </c>
      <c r="AC189" s="103" t="s">
        <v>704</v>
      </c>
      <c r="AD189" s="59" t="s">
        <v>506</v>
      </c>
      <c r="AE189" s="1879"/>
      <c r="AF189" s="1879"/>
      <c r="AG189" s="1879"/>
      <c r="AH189" s="1879"/>
      <c r="AI189" s="242"/>
      <c r="AJ189" s="1879"/>
      <c r="AK189" s="1879"/>
      <c r="AL189" s="1879"/>
      <c r="AM189" s="1879"/>
      <c r="AN189" s="1879"/>
      <c r="AO189" s="1879"/>
      <c r="AP189" s="1879"/>
      <c r="AQ189" s="1879"/>
      <c r="AR189" s="1879"/>
      <c r="AS189" s="242"/>
      <c r="AT189" s="1879"/>
      <c r="AU189" s="1879"/>
      <c r="AV189" s="1879"/>
      <c r="AW189" s="1879"/>
      <c r="AX189" s="1879"/>
      <c r="AY189" s="1879"/>
      <c r="AZ189" s="1879"/>
      <c r="BA189" s="1879"/>
      <c r="BB189" s="1879"/>
      <c r="BC189" s="1880"/>
      <c r="BD189" s="1282"/>
      <c r="BE189" s="1282"/>
      <c r="BF189" s="992" t="s">
        <v>705</v>
      </c>
    </row>
    <row s="1624" customFormat="1" customHeight="1" ht="14.25" hidden="1">
      <c r="A190" s="1282"/>
      <c r="B190" s="1389"/>
      <c r="C190" s="1282"/>
      <c r="D190" s="1282"/>
      <c r="E190" s="607">
        <v>15</v>
      </c>
      <c r="F190" s="50" cm="1" t="str">
        <f t="array" ref="F190:F190">OFFSET(E190,-1,1)</f>
        <v>1</v>
      </c>
      <c r="G190" s="1282"/>
      <c r="H190" s="64" t="s">
        <v>535</v>
      </c>
      <c r="I190" s="1282"/>
      <c r="J190" s="1282"/>
      <c r="K190" s="1282"/>
      <c r="L190" s="1282"/>
      <c r="M190" s="1282"/>
      <c r="N190" s="1282"/>
      <c r="O190" s="1282"/>
      <c r="P190" s="1395"/>
      <c r="Q190" s="1395"/>
      <c r="R190" s="1395"/>
      <c r="S190" s="1395"/>
      <c r="T190" s="438" cm="1" t="str">
        <f t="array" ref="T190:T190">T189</f>
        <v>false</v>
      </c>
      <c r="U190" s="1395"/>
      <c r="V190" s="1282"/>
      <c r="W190" s="1395"/>
      <c r="X190" s="1511"/>
      <c r="Y190" s="1493"/>
      <c r="Z190" s="1282"/>
      <c r="AA190" s="1282"/>
      <c r="AB190" s="206" t="s">
        <v>489</v>
      </c>
      <c r="AC190" s="103" t="s">
        <v>706</v>
      </c>
      <c r="AD190" s="59" t="s">
        <v>506</v>
      </c>
      <c r="AE190" s="1879"/>
      <c r="AF190" s="1879"/>
      <c r="AG190" s="1879"/>
      <c r="AH190" s="1879"/>
      <c r="AI190" s="242"/>
      <c r="AJ190" s="1879"/>
      <c r="AK190" s="1879"/>
      <c r="AL190" s="1879"/>
      <c r="AM190" s="1879"/>
      <c r="AN190" s="1879"/>
      <c r="AO190" s="1879"/>
      <c r="AP190" s="1879"/>
      <c r="AQ190" s="1879"/>
      <c r="AR190" s="1879"/>
      <c r="AS190" s="242"/>
      <c r="AT190" s="1879"/>
      <c r="AU190" s="1879"/>
      <c r="AV190" s="1879"/>
      <c r="AW190" s="1879"/>
      <c r="AX190" s="1879"/>
      <c r="AY190" s="1879"/>
      <c r="AZ190" s="1879"/>
      <c r="BA190" s="1879"/>
      <c r="BB190" s="1879"/>
      <c r="BC190" s="1880"/>
      <c r="BD190" s="1282"/>
      <c r="BE190" s="1282"/>
      <c r="BF190" s="992" t="s">
        <v>707</v>
      </c>
    </row>
    <row s="1624" customFormat="1" customHeight="1" ht="14.25" hidden="1">
      <c r="A191" s="1282"/>
      <c r="B191" s="1389"/>
      <c r="C191" s="1282"/>
      <c r="D191" s="1282"/>
      <c r="E191" s="607">
        <v>15</v>
      </c>
      <c r="F191" s="50" cm="1" t="str">
        <f t="array" ref="F191:F191">OFFSET(E191,-1,1)</f>
        <v>1</v>
      </c>
      <c r="G191" s="1282"/>
      <c r="H191" s="64" t="s">
        <v>550</v>
      </c>
      <c r="I191" s="1282"/>
      <c r="J191" s="1282"/>
      <c r="K191" s="1282"/>
      <c r="L191" s="1282"/>
      <c r="M191" s="1282"/>
      <c r="N191" s="1282"/>
      <c r="O191" s="1282"/>
      <c r="P191" s="1395"/>
      <c r="Q191" s="1395"/>
      <c r="R191" s="1395"/>
      <c r="S191" s="1395"/>
      <c r="T191" s="438" cm="1" t="str">
        <f t="array" ref="T191:T191">T190</f>
        <v>false</v>
      </c>
      <c r="U191" s="1395"/>
      <c r="V191" s="1282"/>
      <c r="W191" s="1395"/>
      <c r="X191" s="1511"/>
      <c r="Y191" s="1493"/>
      <c r="Z191" s="1282"/>
      <c r="AA191" s="1282"/>
      <c r="AB191" s="206" t="s">
        <v>551</v>
      </c>
      <c r="AC191" s="103" t="s">
        <v>708</v>
      </c>
      <c r="AD191" s="59" t="s">
        <v>506</v>
      </c>
      <c r="AE191" s="1879"/>
      <c r="AF191" s="1879"/>
      <c r="AG191" s="1879"/>
      <c r="AH191" s="1879"/>
      <c r="AI191" s="242"/>
      <c r="AJ191" s="1879"/>
      <c r="AK191" s="1879"/>
      <c r="AL191" s="1879"/>
      <c r="AM191" s="1879"/>
      <c r="AN191" s="1879"/>
      <c r="AO191" s="1879"/>
      <c r="AP191" s="1879"/>
      <c r="AQ191" s="1879"/>
      <c r="AR191" s="1879"/>
      <c r="AS191" s="242"/>
      <c r="AT191" s="1879"/>
      <c r="AU191" s="1879"/>
      <c r="AV191" s="1879"/>
      <c r="AW191" s="1879"/>
      <c r="AX191" s="1879"/>
      <c r="AY191" s="1879"/>
      <c r="AZ191" s="1879"/>
      <c r="BA191" s="1879"/>
      <c r="BB191" s="1879"/>
      <c r="BC191" s="1880"/>
      <c r="BD191" s="1282"/>
      <c r="BE191" s="1282"/>
      <c r="BF191" s="992" t="s">
        <v>709</v>
      </c>
    </row>
    <row s="1624" customFormat="1" customHeight="1" ht="14.25" hidden="1">
      <c r="A192" s="1282"/>
      <c r="B192" s="1389"/>
      <c r="C192" s="1282"/>
      <c r="D192" s="1282"/>
      <c r="E192" s="607">
        <v>15</v>
      </c>
      <c r="F192" s="50" cm="1" t="str">
        <f t="array" ref="F192:F192">OFFSET(E192,-1,1)</f>
        <v>1</v>
      </c>
      <c r="G192" s="1282"/>
      <c r="H192" s="64" t="s">
        <v>558</v>
      </c>
      <c r="I192" s="1282"/>
      <c r="J192" s="1282"/>
      <c r="K192" s="1282"/>
      <c r="L192" s="1282"/>
      <c r="M192" s="1282"/>
      <c r="N192" s="1282"/>
      <c r="O192" s="1282"/>
      <c r="P192" s="1395"/>
      <c r="Q192" s="1395"/>
      <c r="R192" s="1395"/>
      <c r="S192" s="1395"/>
      <c r="T192" s="438" cm="1" t="str">
        <f t="array" ref="T192:T192">T191</f>
        <v>false</v>
      </c>
      <c r="U192" s="1395"/>
      <c r="V192" s="1282"/>
      <c r="W192" s="1395"/>
      <c r="X192" s="1511"/>
      <c r="Y192" s="1493"/>
      <c r="Z192" s="1282"/>
      <c r="AA192" s="1282"/>
      <c r="AB192" s="206" t="s">
        <v>559</v>
      </c>
      <c r="AC192" s="104" t="s">
        <v>710</v>
      </c>
      <c r="AD192" s="59" t="s">
        <v>506</v>
      </c>
      <c r="AE192" s="312">
        <f>AE193+AE194</f>
        <v>0</v>
      </c>
      <c r="AF192" s="312">
        <f>AF193+AF194</f>
        <v>0</v>
      </c>
      <c r="AG192" s="312">
        <f>AG193+AG194</f>
        <v>0</v>
      </c>
      <c r="AH192" s="312">
        <f>AH193+AH194</f>
        <v>0</v>
      </c>
      <c r="AI192" s="312">
        <f>AI193+AI194</f>
        <v>0</v>
      </c>
      <c r="AJ192" s="312">
        <f>AJ193+AJ194</f>
        <v>0</v>
      </c>
      <c r="AK192" s="312">
        <f>AK193+AK194</f>
        <v>0</v>
      </c>
      <c r="AL192" s="312">
        <f>AL193+AL194</f>
        <v>0</v>
      </c>
      <c r="AM192" s="312">
        <f>AM193+AM194</f>
        <v>0</v>
      </c>
      <c r="AN192" s="312">
        <f>AN193+AN194</f>
        <v>0</v>
      </c>
      <c r="AO192" s="312">
        <f>AO193+AO194</f>
        <v>0</v>
      </c>
      <c r="AP192" s="312">
        <f>AP193+AP194</f>
        <v>0</v>
      </c>
      <c r="AQ192" s="312">
        <f>AQ193+AQ194</f>
        <v>0</v>
      </c>
      <c r="AR192" s="312">
        <f>AR193+AR194</f>
        <v>0</v>
      </c>
      <c r="AS192" s="312">
        <f>AS193+AS194</f>
        <v>0</v>
      </c>
      <c r="AT192" s="312">
        <f>AT193+AT194</f>
        <v>0</v>
      </c>
      <c r="AU192" s="312">
        <f>AU193+AU194</f>
        <v>0</v>
      </c>
      <c r="AV192" s="312">
        <f>AV193+AV194</f>
        <v>0</v>
      </c>
      <c r="AW192" s="312">
        <f>AW193+AW194</f>
        <v>0</v>
      </c>
      <c r="AX192" s="312">
        <f>AX193+AX194</f>
        <v>0</v>
      </c>
      <c r="AY192" s="312">
        <f>AY193+AY194</f>
        <v>0</v>
      </c>
      <c r="AZ192" s="312">
        <f>AZ193+AZ194</f>
        <v>0</v>
      </c>
      <c r="BA192" s="312">
        <f>BA193+BA194</f>
        <v>0</v>
      </c>
      <c r="BB192" s="312">
        <f>BB193+BB194</f>
        <v>0</v>
      </c>
      <c r="BC192" s="1880"/>
      <c r="BD192" s="1282"/>
      <c r="BE192" s="1282"/>
      <c r="BF192" s="992" t="s">
        <v>711</v>
      </c>
    </row>
    <row s="1624" customFormat="1" customHeight="1" ht="14.25" hidden="1">
      <c r="A193" s="1282"/>
      <c r="B193" s="1389"/>
      <c r="C193" s="1282"/>
      <c r="D193" s="1282"/>
      <c r="E193" s="607">
        <v>15</v>
      </c>
      <c r="F193" s="50" cm="1" t="str">
        <f t="array" ref="F193:F193">OFFSET(E193,-1,1)</f>
        <v>1</v>
      </c>
      <c r="G193" s="1282"/>
      <c r="H193" s="64" t="s">
        <v>562</v>
      </c>
      <c r="I193" s="1282"/>
      <c r="J193" s="1282"/>
      <c r="K193" s="1282"/>
      <c r="L193" s="1282"/>
      <c r="M193" s="1282"/>
      <c r="N193" s="1282"/>
      <c r="O193" s="1282"/>
      <c r="P193" s="1395"/>
      <c r="Q193" s="1395"/>
      <c r="R193" s="1395"/>
      <c r="S193" s="1395"/>
      <c r="T193" s="438" cm="1" t="str">
        <f t="array" ref="T193:T193">T192</f>
        <v>false</v>
      </c>
      <c r="U193" s="1395"/>
      <c r="V193" s="1282"/>
      <c r="W193" s="1395"/>
      <c r="X193" s="1511"/>
      <c r="Y193" s="1493"/>
      <c r="Z193" s="1282"/>
      <c r="AA193" s="1282"/>
      <c r="AB193" s="206" t="s">
        <v>563</v>
      </c>
      <c r="AC193" s="158" t="s">
        <v>712</v>
      </c>
      <c r="AD193" s="59" t="s">
        <v>506</v>
      </c>
      <c r="AE193" s="1879"/>
      <c r="AF193" s="1879"/>
      <c r="AG193" s="1879"/>
      <c r="AH193" s="1879"/>
      <c r="AI193" s="242"/>
      <c r="AJ193" s="1879"/>
      <c r="AK193" s="1879"/>
      <c r="AL193" s="1879"/>
      <c r="AM193" s="1879"/>
      <c r="AN193" s="1879"/>
      <c r="AO193" s="1879"/>
      <c r="AP193" s="1879"/>
      <c r="AQ193" s="1879"/>
      <c r="AR193" s="1879"/>
      <c r="AS193" s="242"/>
      <c r="AT193" s="1879"/>
      <c r="AU193" s="1879"/>
      <c r="AV193" s="1879"/>
      <c r="AW193" s="1879"/>
      <c r="AX193" s="1879"/>
      <c r="AY193" s="1879"/>
      <c r="AZ193" s="1879"/>
      <c r="BA193" s="1879"/>
      <c r="BB193" s="1879"/>
      <c r="BC193" s="1880"/>
      <c r="BD193" s="1282"/>
      <c r="BE193" s="1282"/>
      <c r="BF193" s="992" t="s">
        <v>713</v>
      </c>
    </row>
    <row s="1624" customFormat="1" customHeight="1" ht="14.25" hidden="1">
      <c r="A194" s="1282"/>
      <c r="B194" s="1389"/>
      <c r="C194" s="1282"/>
      <c r="D194" s="1282"/>
      <c r="E194" s="607">
        <v>15</v>
      </c>
      <c r="F194" s="50" cm="1" t="str">
        <f t="array" ref="F194:F194">OFFSET(E194,-1,1)</f>
        <v>1</v>
      </c>
      <c r="G194" s="1282"/>
      <c r="H194" s="64" t="s">
        <v>579</v>
      </c>
      <c r="I194" s="1282"/>
      <c r="J194" s="1282"/>
      <c r="K194" s="1282"/>
      <c r="L194" s="1282"/>
      <c r="M194" s="1282"/>
      <c r="N194" s="1282"/>
      <c r="O194" s="1282"/>
      <c r="P194" s="1395"/>
      <c r="Q194" s="1395"/>
      <c r="R194" s="1395"/>
      <c r="S194" s="1395"/>
      <c r="T194" s="438" cm="1" t="str">
        <f t="array" ref="T194:T194">T193</f>
        <v>false</v>
      </c>
      <c r="U194" s="1395"/>
      <c r="V194" s="1282"/>
      <c r="W194" s="1395"/>
      <c r="X194" s="1511"/>
      <c r="Y194" s="1493"/>
      <c r="Z194" s="1282"/>
      <c r="AA194" s="1282"/>
      <c r="AB194" s="206" t="s">
        <v>580</v>
      </c>
      <c r="AC194" s="158" t="s">
        <v>714</v>
      </c>
      <c r="AD194" s="59" t="s">
        <v>506</v>
      </c>
      <c r="AE194" s="1879"/>
      <c r="AF194" s="1879"/>
      <c r="AG194" s="1879"/>
      <c r="AH194" s="1879"/>
      <c r="AI194" s="242"/>
      <c r="AJ194" s="1879"/>
      <c r="AK194" s="1879"/>
      <c r="AL194" s="1879"/>
      <c r="AM194" s="1879"/>
      <c r="AN194" s="1879"/>
      <c r="AO194" s="1879"/>
      <c r="AP194" s="1879"/>
      <c r="AQ194" s="1879"/>
      <c r="AR194" s="1879"/>
      <c r="AS194" s="242"/>
      <c r="AT194" s="1879"/>
      <c r="AU194" s="1879"/>
      <c r="AV194" s="1879"/>
      <c r="AW194" s="1879"/>
      <c r="AX194" s="1879"/>
      <c r="AY194" s="1879"/>
      <c r="AZ194" s="1879"/>
      <c r="BA194" s="1879"/>
      <c r="BB194" s="1879"/>
      <c r="BC194" s="1880"/>
      <c r="BD194" s="1282"/>
      <c r="BE194" s="1282"/>
      <c r="BF194" s="992" t="s">
        <v>715</v>
      </c>
    </row>
    <row s="1624" customFormat="1" customHeight="1" ht="21.75" hidden="1">
      <c r="A195" s="1282"/>
      <c r="B195" s="1389"/>
      <c r="C195" s="1282"/>
      <c r="D195" s="1282"/>
      <c r="E195" s="607">
        <v>22.5</v>
      </c>
      <c r="F195" s="50" cm="1" t="str">
        <f t="array" ref="F195:F195">OFFSET(E195,-1,1)</f>
        <v>1</v>
      </c>
      <c r="G195" s="1282"/>
      <c r="H195" s="64" t="s">
        <v>716</v>
      </c>
      <c r="I195" s="1282"/>
      <c r="J195" s="1282"/>
      <c r="K195" s="1282"/>
      <c r="L195" s="1282"/>
      <c r="M195" s="1282"/>
      <c r="N195" s="1282"/>
      <c r="O195" s="1282"/>
      <c r="P195" s="1395"/>
      <c r="Q195" s="1395"/>
      <c r="R195" s="1395"/>
      <c r="S195" s="1395"/>
      <c r="T195" s="438" cm="1" t="str">
        <f t="array" ref="T195:T195">T194</f>
        <v>false</v>
      </c>
      <c r="U195" s="1395"/>
      <c r="V195" s="1282"/>
      <c r="W195" s="1395"/>
      <c r="X195" s="1511"/>
      <c r="Y195" s="1493"/>
      <c r="Z195" s="1282"/>
      <c r="AA195" s="1282"/>
      <c r="AB195" s="206" t="s">
        <v>717</v>
      </c>
      <c r="AC195" s="306" t="s">
        <v>628</v>
      </c>
      <c r="AD195" s="59" t="s">
        <v>506</v>
      </c>
      <c r="AE195" s="1879"/>
      <c r="AF195" s="1879"/>
      <c r="AG195" s="1879"/>
      <c r="AH195" s="1879"/>
      <c r="AI195" s="242"/>
      <c r="AJ195" s="1879"/>
      <c r="AK195" s="1879"/>
      <c r="AL195" s="1879"/>
      <c r="AM195" s="1879"/>
      <c r="AN195" s="1879"/>
      <c r="AO195" s="1879"/>
      <c r="AP195" s="1879"/>
      <c r="AQ195" s="1879"/>
      <c r="AR195" s="1879"/>
      <c r="AS195" s="242"/>
      <c r="AT195" s="1879"/>
      <c r="AU195" s="1879"/>
      <c r="AV195" s="1879"/>
      <c r="AW195" s="1879"/>
      <c r="AX195" s="1879"/>
      <c r="AY195" s="1879"/>
      <c r="AZ195" s="1879"/>
      <c r="BA195" s="1879"/>
      <c r="BB195" s="1879"/>
      <c r="BC195" s="1880"/>
      <c r="BD195" s="1282"/>
      <c r="BE195" s="1282"/>
      <c r="BF195" s="992" t="s">
        <v>718</v>
      </c>
    </row>
    <row s="1624" customFormat="1" customHeight="1" ht="14.25" hidden="1">
      <c r="A196" s="1282"/>
      <c r="B196" s="1389"/>
      <c r="C196" s="1282"/>
      <c r="D196" s="1282"/>
      <c r="E196" s="607">
        <v>15</v>
      </c>
      <c r="F196" s="50" cm="1" t="str">
        <f t="array" ref="F196:F196">OFFSET(E196,-1,1)</f>
        <v>1</v>
      </c>
      <c r="G196" s="1282"/>
      <c r="H196" s="64" t="s">
        <v>719</v>
      </c>
      <c r="I196" s="1282"/>
      <c r="J196" s="1282"/>
      <c r="K196" s="1282"/>
      <c r="L196" s="1282"/>
      <c r="M196" s="1282"/>
      <c r="N196" s="1282"/>
      <c r="O196" s="1282"/>
      <c r="P196" s="1395"/>
      <c r="Q196" s="1395"/>
      <c r="R196" s="1395"/>
      <c r="S196" s="1395"/>
      <c r="T196" s="438" cm="1" t="str">
        <f t="array" ref="T196:T196">T195</f>
        <v>false</v>
      </c>
      <c r="U196" s="1395"/>
      <c r="V196" s="1282"/>
      <c r="W196" s="1395"/>
      <c r="X196" s="1511"/>
      <c r="Y196" s="1493"/>
      <c r="Z196" s="1282"/>
      <c r="AA196" s="1282"/>
      <c r="AB196" s="206" t="s">
        <v>720</v>
      </c>
      <c r="AC196" s="103" t="s">
        <v>721</v>
      </c>
      <c r="AD196" s="59" t="s">
        <v>506</v>
      </c>
      <c r="AE196" s="1879"/>
      <c r="AF196" s="1879"/>
      <c r="AG196" s="1879"/>
      <c r="AH196" s="1879"/>
      <c r="AI196" s="242"/>
      <c r="AJ196" s="1879"/>
      <c r="AK196" s="1879"/>
      <c r="AL196" s="1879"/>
      <c r="AM196" s="1879"/>
      <c r="AN196" s="1879"/>
      <c r="AO196" s="1879"/>
      <c r="AP196" s="1879"/>
      <c r="AQ196" s="1879"/>
      <c r="AR196" s="1879"/>
      <c r="AS196" s="242"/>
      <c r="AT196" s="1879"/>
      <c r="AU196" s="1879"/>
      <c r="AV196" s="1879"/>
      <c r="AW196" s="1879"/>
      <c r="AX196" s="1879"/>
      <c r="AY196" s="1879"/>
      <c r="AZ196" s="1879"/>
      <c r="BA196" s="1879"/>
      <c r="BB196" s="1879"/>
      <c r="BC196" s="1880"/>
      <c r="BD196" s="1282"/>
      <c r="BE196" s="1282"/>
      <c r="BF196" s="992" t="s">
        <v>722</v>
      </c>
    </row>
    <row s="1624" customFormat="1" customHeight="1" ht="11.25" hidden="1">
      <c r="A197" s="442"/>
      <c r="B197" s="634"/>
      <c r="C197" s="442"/>
      <c r="D197" s="442"/>
      <c r="E197" s="636" t="s">
        <v>362</v>
      </c>
      <c r="F197" s="1153" cm="1" t="str">
        <f t="array" ref="F197:F197">OFFSET(E197,-1,1)</f>
        <v>1</v>
      </c>
      <c r="G197" s="442"/>
      <c r="H197" s="442"/>
      <c r="I197" s="442"/>
      <c r="J197" s="442"/>
      <c r="K197" s="64"/>
      <c r="L197" s="442"/>
      <c r="M197" s="442"/>
      <c r="N197" s="442"/>
      <c r="O197" s="442"/>
      <c r="P197" s="442"/>
      <c r="Q197" s="442"/>
      <c r="R197" s="387"/>
      <c r="S197" s="387"/>
      <c r="T197" s="438" t="b">
        <v>0</v>
      </c>
      <c r="U197" s="442"/>
      <c r="V197" s="442"/>
      <c r="W197" s="442"/>
      <c r="X197" s="1511"/>
      <c r="Y197" s="1493"/>
      <c r="Z197" s="442"/>
      <c r="AA197" s="442"/>
      <c r="AB197" s="1624"/>
      <c r="AC197" s="66"/>
      <c r="AD197" s="66"/>
      <c r="AE197" s="310"/>
      <c r="AF197" s="310"/>
      <c r="AG197" s="310"/>
      <c r="AH197" s="310"/>
      <c r="AI197" s="310"/>
      <c r="AJ197" s="311"/>
      <c r="AK197" s="310"/>
      <c r="AL197" s="310"/>
      <c r="AM197" s="310"/>
      <c r="AN197" s="310"/>
      <c r="AO197" s="310"/>
      <c r="AP197" s="310"/>
      <c r="AQ197" s="310"/>
      <c r="AR197" s="310"/>
      <c r="AS197" s="310"/>
      <c r="AT197" s="310"/>
      <c r="AU197" s="310"/>
      <c r="AV197" s="310"/>
      <c r="AW197" s="310"/>
      <c r="AX197" s="310"/>
      <c r="AY197" s="310"/>
      <c r="AZ197" s="310"/>
      <c r="BA197" s="310"/>
      <c r="BB197" s="310"/>
      <c r="BC197" s="1624"/>
      <c r="BD197" s="1624"/>
      <c r="BE197" s="1624"/>
      <c r="BF197" s="996"/>
    </row>
    <row s="1624" customFormat="1" customHeight="1" ht="23.274140791459516">
      <c r="A198" s="1282"/>
      <c r="B198" s="1389"/>
      <c r="C198" s="1282"/>
      <c r="D198" s="1282"/>
      <c r="E198" s="607">
        <v>15</v>
      </c>
      <c r="F198" s="50" cm="1" t="str">
        <f t="array" ref="F198:F198">OFFSET(E198,-1,1)</f>
        <v>1</v>
      </c>
      <c r="G198" s="1282"/>
      <c r="H198" s="1282"/>
      <c r="I198" s="1282"/>
      <c r="J198" s="1282"/>
      <c r="K198" s="1282"/>
      <c r="L198" s="1282"/>
      <c r="M198" s="1282"/>
      <c r="N198" s="1282"/>
      <c r="O198" s="1282"/>
      <c r="P198" s="1395"/>
      <c r="Q198" s="1395"/>
      <c r="R198" s="387" cm="1" t="str">
        <f t="array" ref="R198:R198">INDEX('Общие сведения'!$AN$179:$AN$208,MATCH($X118,'Общие сведения'!$Z$179:$Z$208,0))</f>
        <v>true</v>
      </c>
      <c r="S198" s="455">
        <f>IF(ISERROR(SEARCH("Водоотведение",AB118)),FALSE,TRUE)</f>
        <v>1</v>
      </c>
      <c r="T198" s="438">
        <f>AND(X118&gt;0,S198,R198)</f>
        <v>1</v>
      </c>
      <c r="U198" s="1395"/>
      <c r="V198" s="1282"/>
      <c r="W198" s="1395"/>
      <c r="X198" s="1511"/>
      <c r="Y198" s="1493"/>
      <c r="Z198" s="1282"/>
      <c r="AA198" s="1282"/>
      <c r="AB198" s="206" t="s">
        <v>281</v>
      </c>
      <c r="AC198" s="53" t="s">
        <v>660</v>
      </c>
      <c r="AD198" s="163"/>
      <c r="AE198" s="544" cm="1" t="str">
        <f t="array" ref="AE198:AE198">INDEX('Общие сведения'!$AH$179:$AH$208,MATCH($X118,'Общие сведения'!$Z$179:$Z$208,0))</f>
        <v>без дифференциации</v>
      </c>
      <c r="AF198" s="328"/>
      <c r="AG198" s="328"/>
      <c r="AH198" s="328"/>
      <c r="AI198" s="328"/>
      <c r="AJ198" s="328"/>
      <c r="AK198" s="328"/>
      <c r="AL198" s="328"/>
      <c r="AM198" s="328"/>
      <c r="AN198" s="328"/>
      <c r="AO198" s="328"/>
      <c r="AP198" s="328"/>
      <c r="AQ198" s="328"/>
      <c r="AR198" s="328"/>
      <c r="AS198" s="328"/>
      <c r="AT198" s="328"/>
      <c r="AU198" s="328"/>
      <c r="AV198" s="328"/>
      <c r="AW198" s="328"/>
      <c r="AX198" s="328"/>
      <c r="AY198" s="328"/>
      <c r="AZ198" s="328"/>
      <c r="BA198" s="328"/>
      <c r="BB198" s="329"/>
      <c r="BC198" s="166"/>
      <c r="BD198" s="1282"/>
      <c r="BE198" s="1282"/>
      <c r="BF198" s="992" t="s">
        <v>723</v>
      </c>
    </row>
    <row s="1624" customFormat="1" customHeight="1" ht="22.592322609641332">
      <c r="A199" s="1282"/>
      <c r="B199" s="1389"/>
      <c r="C199" s="1282"/>
      <c r="D199" s="1282"/>
      <c r="E199" s="607">
        <v>15</v>
      </c>
      <c r="F199" s="50" cm="1" t="str">
        <f t="array" ref="F199:F199">OFFSET(E199,-1,1)</f>
        <v>1</v>
      </c>
      <c r="G199" s="1282"/>
      <c r="H199" s="64" t="s">
        <v>325</v>
      </c>
      <c r="I199" s="1282"/>
      <c r="J199" s="1282"/>
      <c r="K199" s="1282"/>
      <c r="L199" s="1282"/>
      <c r="M199" s="1282"/>
      <c r="N199" s="1282"/>
      <c r="O199" s="1282"/>
      <c r="P199" s="1395"/>
      <c r="Q199" s="1395"/>
      <c r="R199" s="1395"/>
      <c r="S199" s="1395"/>
      <c r="T199" s="438" cm="1" t="str">
        <f t="array" ref="T199:T199">T198</f>
        <v>true</v>
      </c>
      <c r="U199" s="1395"/>
      <c r="V199" s="1282"/>
      <c r="W199" s="1395"/>
      <c r="X199" s="1511"/>
      <c r="Y199" s="1493"/>
      <c r="Z199" s="1282"/>
      <c r="AA199" s="1282"/>
      <c r="AB199" s="206" t="s">
        <v>504</v>
      </c>
      <c r="AC199" s="307" t="s">
        <v>724</v>
      </c>
      <c r="AD199" s="59" t="s">
        <v>506</v>
      </c>
      <c r="AE199" s="312">
        <f>AE200+AE202+AE201</f>
        <v>36.8</v>
      </c>
      <c r="AF199" s="312">
        <f>AF200+AF202+AF201</f>
        <v>36.31109</v>
      </c>
      <c r="AG199" s="312">
        <f>AG200+AG202+AG201</f>
        <v>36.31109</v>
      </c>
      <c r="AH199" s="312">
        <f>AH200+AH202+AH201</f>
        <v>37.30283</v>
      </c>
      <c r="AI199" s="312">
        <f>AI200+AI202+AI201</f>
        <v>36.311</v>
      </c>
      <c r="AJ199" s="312">
        <f>AJ200+AJ202+AJ201</f>
        <v>0</v>
      </c>
      <c r="AK199" s="312">
        <f>AK200+AK202+AK201</f>
        <v>0</v>
      </c>
      <c r="AL199" s="312">
        <f>AL200+AL202+AL201</f>
        <v>0</v>
      </c>
      <c r="AM199" s="312">
        <f>AM200+AM202+AM201</f>
        <v>0</v>
      </c>
      <c r="AN199" s="312">
        <f>AN200+AN202+AN201</f>
        <v>0</v>
      </c>
      <c r="AO199" s="312">
        <f>AO200+AO202+AO201</f>
        <v>0</v>
      </c>
      <c r="AP199" s="312">
        <f>AP200+AP202+AP201</f>
        <v>0</v>
      </c>
      <c r="AQ199" s="312">
        <f>AQ200+AQ202+AQ201</f>
        <v>0</v>
      </c>
      <c r="AR199" s="312">
        <f>AR200+AR202+AR201</f>
        <v>0</v>
      </c>
      <c r="AS199" s="312">
        <f>AS200+AS202+AS201</f>
        <v>35.62504</v>
      </c>
      <c r="AT199" s="312">
        <f>AT200+AT202+AT201</f>
        <v>0</v>
      </c>
      <c r="AU199" s="312">
        <f>AU200+AU202+AU201</f>
        <v>0</v>
      </c>
      <c r="AV199" s="312">
        <f>AV200+AV202+AV201</f>
        <v>0</v>
      </c>
      <c r="AW199" s="312">
        <f>AW200+AW202+AW201</f>
        <v>0</v>
      </c>
      <c r="AX199" s="312">
        <f>AX200+AX202+AX201</f>
        <v>0</v>
      </c>
      <c r="AY199" s="312">
        <f>AY200+AY202+AY201</f>
        <v>0</v>
      </c>
      <c r="AZ199" s="312">
        <f>AZ200+AZ202+AZ201</f>
        <v>0</v>
      </c>
      <c r="BA199" s="312">
        <f>BA200+BA202+BA201</f>
        <v>0</v>
      </c>
      <c r="BB199" s="312">
        <f>BB200+BB202+BB201</f>
        <v>0</v>
      </c>
      <c r="BC199" s="166"/>
      <c r="BD199" s="1282"/>
      <c r="BE199" s="1282"/>
      <c r="BF199" s="992" t="s">
        <v>725</v>
      </c>
    </row>
    <row s="1624" customFormat="1" customHeight="1" ht="22.592322609641332">
      <c r="A200" s="1282"/>
      <c r="B200" s="1389"/>
      <c r="C200" s="1282"/>
      <c r="D200" s="1282"/>
      <c r="E200" s="607">
        <v>15</v>
      </c>
      <c r="F200" s="50" cm="1" t="str">
        <f t="array" ref="F200:F200">OFFSET(E200,-1,1)</f>
        <v>1</v>
      </c>
      <c r="G200" s="1282"/>
      <c r="H200" s="64" t="s">
        <v>508</v>
      </c>
      <c r="I200" s="1282"/>
      <c r="J200" s="1282"/>
      <c r="K200" s="1282"/>
      <c r="L200" s="1282"/>
      <c r="M200" s="1282"/>
      <c r="N200" s="1282"/>
      <c r="O200" s="1282"/>
      <c r="P200" s="1395"/>
      <c r="Q200" s="1395"/>
      <c r="R200" s="1395"/>
      <c r="S200" s="1395"/>
      <c r="T200" s="438" cm="1" t="str">
        <f t="array" ref="T200:T200">T199</f>
        <v>true</v>
      </c>
      <c r="U200" s="1395"/>
      <c r="V200" s="1282"/>
      <c r="W200" s="1395"/>
      <c r="X200" s="1511"/>
      <c r="Y200" s="1493"/>
      <c r="Z200" s="1282"/>
      <c r="AA200" s="1282"/>
      <c r="AB200" s="206" t="s">
        <v>509</v>
      </c>
      <c r="AC200" s="180" t="s">
        <v>726</v>
      </c>
      <c r="AD200" s="59" t="s">
        <v>506</v>
      </c>
      <c r="AE200" s="245"/>
      <c r="AF200" s="245"/>
      <c r="AG200" s="245"/>
      <c r="AH200" s="245"/>
      <c r="AI200" s="245"/>
      <c r="AJ200" s="245"/>
      <c r="AK200" s="245"/>
      <c r="AL200" s="245"/>
      <c r="AM200" s="245"/>
      <c r="AN200" s="245"/>
      <c r="AO200" s="245"/>
      <c r="AP200" s="245"/>
      <c r="AQ200" s="245"/>
      <c r="AR200" s="245"/>
      <c r="AS200" s="245"/>
      <c r="AT200" s="245"/>
      <c r="AU200" s="245"/>
      <c r="AV200" s="245"/>
      <c r="AW200" s="245"/>
      <c r="AX200" s="245"/>
      <c r="AY200" s="245"/>
      <c r="AZ200" s="245"/>
      <c r="BA200" s="245"/>
      <c r="BB200" s="245"/>
      <c r="BC200" s="166"/>
      <c r="BD200" s="1282"/>
      <c r="BE200" s="1282"/>
      <c r="BF200" s="992" t="s">
        <v>727</v>
      </c>
    </row>
    <row s="1624" customFormat="1" customHeight="1" ht="28.046868064186786">
      <c r="A201" s="1282"/>
      <c r="B201" s="1389"/>
      <c r="C201" s="1282"/>
      <c r="D201" s="1282"/>
      <c r="E201" s="607">
        <v>15</v>
      </c>
      <c r="F201" s="50" cm="1" t="str">
        <f t="array" ref="F201:F201">OFFSET(E201,-1,1)</f>
        <v>1</v>
      </c>
      <c r="G201" s="1282"/>
      <c r="H201" s="64" t="s">
        <v>512</v>
      </c>
      <c r="I201" s="1282"/>
      <c r="J201" s="1282"/>
      <c r="K201" s="1282"/>
      <c r="L201" s="1282"/>
      <c r="M201" s="1282"/>
      <c r="N201" s="1282"/>
      <c r="O201" s="1282"/>
      <c r="P201" s="1395"/>
      <c r="Q201" s="1395"/>
      <c r="R201" s="1395"/>
      <c r="S201" s="1395"/>
      <c r="T201" s="438" cm="1" t="str">
        <f t="array" ref="T201:T201">T200</f>
        <v>true</v>
      </c>
      <c r="U201" s="1395"/>
      <c r="V201" s="1282"/>
      <c r="W201" s="1395"/>
      <c r="X201" s="1511"/>
      <c r="Y201" s="1493"/>
      <c r="Z201" s="1282"/>
      <c r="AA201" s="1282"/>
      <c r="AB201" s="206" t="s">
        <v>513</v>
      </c>
      <c r="AC201" s="180" t="s">
        <v>728</v>
      </c>
      <c r="AD201" s="59" t="s">
        <v>506</v>
      </c>
      <c r="AE201" s="245">
        <v>36.8</v>
      </c>
      <c r="AF201" s="245">
        <v>36.31109</v>
      </c>
      <c r="AG201" s="245" cm="1" t="str">
        <f t="array" ref="AG201:AG201">AF201</f>
        <v>36.31109</v>
      </c>
      <c r="AH201" s="245">
        <v>37.30283</v>
      </c>
      <c r="AI201" s="245" cm="1" t="str">
        <f t="array" ref="AI201:AI201">AI203</f>
        <v>36.311</v>
      </c>
      <c r="AJ201" s="245"/>
      <c r="AK201" s="245"/>
      <c r="AL201" s="245"/>
      <c r="AM201" s="245"/>
      <c r="AN201" s="245"/>
      <c r="AO201" s="245"/>
      <c r="AP201" s="245"/>
      <c r="AQ201" s="245"/>
      <c r="AR201" s="245"/>
      <c r="AS201" s="245" cm="1" t="str">
        <f t="array" ref="AS201:AS201">AS203</f>
        <v>35.62504</v>
      </c>
      <c r="AT201" s="245"/>
      <c r="AU201" s="245"/>
      <c r="AV201" s="245"/>
      <c r="AW201" s="245"/>
      <c r="AX201" s="245"/>
      <c r="AY201" s="245"/>
      <c r="AZ201" s="245"/>
      <c r="BA201" s="245"/>
      <c r="BB201" s="245"/>
      <c r="BC201" s="166"/>
      <c r="BD201" s="1282"/>
      <c r="BE201" s="1282"/>
      <c r="BF201" s="992" t="s">
        <v>729</v>
      </c>
    </row>
    <row s="1624" customFormat="1" customHeight="1" ht="26.00141351873224">
      <c r="A202" s="1282"/>
      <c r="B202" s="1389"/>
      <c r="C202" s="1282"/>
      <c r="D202" s="1282"/>
      <c r="E202" s="607">
        <v>22.5</v>
      </c>
      <c r="F202" s="50" cm="1" t="str">
        <f t="array" ref="F202:F202">OFFSET(E202,-1,1)</f>
        <v>1</v>
      </c>
      <c r="G202" s="1282"/>
      <c r="H202" s="64" t="s">
        <v>516</v>
      </c>
      <c r="I202" s="1282"/>
      <c r="J202" s="1282"/>
      <c r="K202" s="1282"/>
      <c r="L202" s="1282"/>
      <c r="M202" s="1282"/>
      <c r="N202" s="1282"/>
      <c r="O202" s="1282"/>
      <c r="P202" s="1395"/>
      <c r="Q202" s="1395"/>
      <c r="R202" s="1395"/>
      <c r="S202" s="1395"/>
      <c r="T202" s="438" cm="1" t="str">
        <f t="array" ref="T202:T202">T201</f>
        <v>true</v>
      </c>
      <c r="U202" s="1395"/>
      <c r="V202" s="1282"/>
      <c r="W202" s="1395"/>
      <c r="X202" s="1511"/>
      <c r="Y202" s="1493"/>
      <c r="Z202" s="1282"/>
      <c r="AA202" s="1282"/>
      <c r="AB202" s="206" t="s">
        <v>517</v>
      </c>
      <c r="AC202" s="180" t="s">
        <v>628</v>
      </c>
      <c r="AD202" s="59" t="s">
        <v>506</v>
      </c>
      <c r="AE202" s="245"/>
      <c r="AF202" s="245"/>
      <c r="AG202" s="245"/>
      <c r="AH202" s="245"/>
      <c r="AI202" s="245"/>
      <c r="AJ202" s="245"/>
      <c r="AK202" s="245"/>
      <c r="AL202" s="245"/>
      <c r="AM202" s="245"/>
      <c r="AN202" s="245"/>
      <c r="AO202" s="245"/>
      <c r="AP202" s="245"/>
      <c r="AQ202" s="245"/>
      <c r="AR202" s="245"/>
      <c r="AS202" s="245"/>
      <c r="AT202" s="245"/>
      <c r="AU202" s="245"/>
      <c r="AV202" s="245"/>
      <c r="AW202" s="245"/>
      <c r="AX202" s="245"/>
      <c r="AY202" s="245"/>
      <c r="AZ202" s="245"/>
      <c r="BA202" s="245"/>
      <c r="BB202" s="245"/>
      <c r="BC202" s="166"/>
      <c r="BD202" s="1282"/>
      <c r="BE202" s="1282"/>
      <c r="BF202" s="992" t="s">
        <v>730</v>
      </c>
    </row>
    <row s="1624" customFormat="1" customHeight="1" ht="26.683231700550422">
      <c r="A203" s="1282"/>
      <c r="B203" s="1389"/>
      <c r="C203" s="1282"/>
      <c r="D203" s="1282"/>
      <c r="E203" s="607">
        <v>22.5</v>
      </c>
      <c r="F203" s="50" cm="1" t="str">
        <f t="array" ref="F203:F203">OFFSET(E203,-1,1)</f>
        <v>1</v>
      </c>
      <c r="G203" s="64" t="s">
        <v>578</v>
      </c>
      <c r="H203" s="64" t="s">
        <v>324</v>
      </c>
      <c r="I203" s="1282"/>
      <c r="J203" s="1282"/>
      <c r="K203" s="1282"/>
      <c r="L203" s="1282"/>
      <c r="M203" s="1282"/>
      <c r="N203" s="1282"/>
      <c r="O203" s="1282"/>
      <c r="P203" s="1395"/>
      <c r="Q203" s="1395"/>
      <c r="R203" s="1395"/>
      <c r="S203" s="1395"/>
      <c r="T203" s="438" cm="1" t="str">
        <f t="array" ref="T203:T203">T202</f>
        <v>true</v>
      </c>
      <c r="U203" s="1395"/>
      <c r="V203" s="1282"/>
      <c r="W203" s="1395"/>
      <c r="X203" s="1511"/>
      <c r="Y203" s="1493"/>
      <c r="Z203" s="1282"/>
      <c r="AA203" s="1282"/>
      <c r="AB203" s="206" t="s">
        <v>319</v>
      </c>
      <c r="AC203" s="307" t="s">
        <v>731</v>
      </c>
      <c r="AD203" s="59" t="s">
        <v>506</v>
      </c>
      <c r="AE203" s="312">
        <f>AE204+AE205+AE208</f>
        <v>36.8</v>
      </c>
      <c r="AF203" s="312">
        <f>AF204+AF205+AF208</f>
        <v>36.31109</v>
      </c>
      <c r="AG203" s="312">
        <f>AG204+AG205+AG208</f>
        <v>36.31109</v>
      </c>
      <c r="AH203" s="312">
        <f>AH204+AH205+AH208</f>
        <v>37.30283</v>
      </c>
      <c r="AI203" s="312">
        <f>AI204+AI205+AI208</f>
        <v>36.311</v>
      </c>
      <c r="AJ203" s="312">
        <f>AJ204+AJ205+AJ208</f>
        <v>0</v>
      </c>
      <c r="AK203" s="312">
        <f>AK204+AK205+AK208</f>
        <v>0</v>
      </c>
      <c r="AL203" s="312">
        <f>AL204+AL205+AL208</f>
        <v>0</v>
      </c>
      <c r="AM203" s="312">
        <f>AM204+AM205+AM208</f>
        <v>0</v>
      </c>
      <c r="AN203" s="312">
        <f>AN204+AN205+AN208</f>
        <v>0</v>
      </c>
      <c r="AO203" s="312">
        <f>AO204+AO205+AO208</f>
        <v>0</v>
      </c>
      <c r="AP203" s="312">
        <f>AP204+AP205+AP208</f>
        <v>0</v>
      </c>
      <c r="AQ203" s="312">
        <f>AQ204+AQ205+AQ208</f>
        <v>0</v>
      </c>
      <c r="AR203" s="312">
        <f>AR204+AR205+AR208</f>
        <v>0</v>
      </c>
      <c r="AS203" s="312">
        <f>AS204+AS205+AS208</f>
        <v>35.62504</v>
      </c>
      <c r="AT203" s="312">
        <f>AT204+AT205+AT208</f>
        <v>0</v>
      </c>
      <c r="AU203" s="312">
        <f>AU204+AU205+AU208</f>
        <v>0</v>
      </c>
      <c r="AV203" s="312">
        <f>AV204+AV205+AV208</f>
        <v>0</v>
      </c>
      <c r="AW203" s="312">
        <f>AW204+AW205+AW208</f>
        <v>0</v>
      </c>
      <c r="AX203" s="312">
        <f>AX204+AX205+AX208</f>
        <v>0</v>
      </c>
      <c r="AY203" s="312">
        <f>AY204+AY205+AY208</f>
        <v>0</v>
      </c>
      <c r="AZ203" s="312">
        <f>AZ204+AZ205+AZ208</f>
        <v>0</v>
      </c>
      <c r="BA203" s="312">
        <f>BA204+BA205+BA208</f>
        <v>0</v>
      </c>
      <c r="BB203" s="312">
        <f>BB204+BB205+BB208</f>
        <v>0</v>
      </c>
      <c r="BC203" s="166"/>
      <c r="BD203" s="1282"/>
      <c r="BE203" s="1282"/>
      <c r="BF203" s="992" t="s">
        <v>732</v>
      </c>
    </row>
    <row s="1624" customFormat="1" customHeight="1" ht="20.546868064186786">
      <c r="A204" s="1282"/>
      <c r="B204" s="1389"/>
      <c r="C204" s="1282"/>
      <c r="D204" s="1282"/>
      <c r="E204" s="607">
        <v>15</v>
      </c>
      <c r="F204" s="50" cm="1" t="str">
        <f t="array" ref="F204:F204">OFFSET(E204,-1,1)</f>
        <v>1</v>
      </c>
      <c r="G204" s="1282"/>
      <c r="H204" s="64" t="s">
        <v>522</v>
      </c>
      <c r="I204" s="1282"/>
      <c r="J204" s="1282"/>
      <c r="K204" s="1282"/>
      <c r="L204" s="1282"/>
      <c r="M204" s="1282"/>
      <c r="N204" s="1282"/>
      <c r="O204" s="1282"/>
      <c r="P204" s="1395"/>
      <c r="Q204" s="1395"/>
      <c r="R204" s="1395"/>
      <c r="S204" s="1395"/>
      <c r="T204" s="438" cm="1" t="str">
        <f t="array" ref="T204:T204">T203</f>
        <v>true</v>
      </c>
      <c r="U204" s="1395"/>
      <c r="V204" s="1282"/>
      <c r="W204" s="1395"/>
      <c r="X204" s="1511"/>
      <c r="Y204" s="1493"/>
      <c r="Z204" s="1282"/>
      <c r="AA204" s="1282"/>
      <c r="AB204" s="206" t="s">
        <v>523</v>
      </c>
      <c r="AC204" s="180" t="s">
        <v>733</v>
      </c>
      <c r="AD204" s="59" t="s">
        <v>506</v>
      </c>
      <c r="AE204" s="245"/>
      <c r="AF204" s="245"/>
      <c r="AG204" s="245"/>
      <c r="AH204" s="245"/>
      <c r="AI204" s="245"/>
      <c r="AJ204" s="245"/>
      <c r="AK204" s="245"/>
      <c r="AL204" s="245"/>
      <c r="AM204" s="245"/>
      <c r="AN204" s="245"/>
      <c r="AO204" s="245"/>
      <c r="AP204" s="245"/>
      <c r="AQ204" s="245"/>
      <c r="AR204" s="245"/>
      <c r="AS204" s="245"/>
      <c r="AT204" s="245"/>
      <c r="AU204" s="245"/>
      <c r="AV204" s="245"/>
      <c r="AW204" s="245"/>
      <c r="AX204" s="245"/>
      <c r="AY204" s="245"/>
      <c r="AZ204" s="245"/>
      <c r="BA204" s="245"/>
      <c r="BB204" s="245"/>
      <c r="BC204" s="166"/>
      <c r="BD204" s="1282"/>
      <c r="BE204" s="1282"/>
      <c r="BF204" s="992" t="s">
        <v>734</v>
      </c>
    </row>
    <row s="1624" customFormat="1" customHeight="1" ht="21.910504427823152">
      <c r="A205" s="1282"/>
      <c r="B205" s="1389"/>
      <c r="C205" s="1282"/>
      <c r="D205" s="1282"/>
      <c r="E205" s="607">
        <v>15</v>
      </c>
      <c r="F205" s="50" cm="1" t="str">
        <f t="array" ref="F205:F205">OFFSET(E205,-1,1)</f>
        <v>1</v>
      </c>
      <c r="G205" s="1282"/>
      <c r="H205" s="64" t="s">
        <v>526</v>
      </c>
      <c r="I205" s="1282"/>
      <c r="J205" s="1282"/>
      <c r="K205" s="1282"/>
      <c r="L205" s="1282"/>
      <c r="M205" s="1282"/>
      <c r="N205" s="1282"/>
      <c r="O205" s="1282"/>
      <c r="P205" s="1395"/>
      <c r="Q205" s="1395"/>
      <c r="R205" s="1395"/>
      <c r="S205" s="1395"/>
      <c r="T205" s="438" cm="1" t="str">
        <f t="array" ref="T205:T205">T204</f>
        <v>true</v>
      </c>
      <c r="U205" s="1395"/>
      <c r="V205" s="1282"/>
      <c r="W205" s="1395"/>
      <c r="X205" s="1511"/>
      <c r="Y205" s="1493"/>
      <c r="Z205" s="1282"/>
      <c r="AA205" s="1282"/>
      <c r="AB205" s="206" t="s">
        <v>527</v>
      </c>
      <c r="AC205" s="308" t="s">
        <v>735</v>
      </c>
      <c r="AD205" s="59" t="s">
        <v>506</v>
      </c>
      <c r="AE205" s="312">
        <f>AE206+AE207</f>
        <v>36.8</v>
      </c>
      <c r="AF205" s="312">
        <f>AF206+AF207</f>
        <v>36.31109</v>
      </c>
      <c r="AG205" s="312">
        <f>AG206+AG207</f>
        <v>36.31109</v>
      </c>
      <c r="AH205" s="312">
        <f>AH206+AH207</f>
        <v>37.30283</v>
      </c>
      <c r="AI205" s="312">
        <f>AI206+AI207</f>
        <v>36.311</v>
      </c>
      <c r="AJ205" s="312">
        <f>AJ206+AJ207</f>
        <v>0</v>
      </c>
      <c r="AK205" s="312">
        <f>AK206+AK207</f>
        <v>0</v>
      </c>
      <c r="AL205" s="312">
        <f>AL206+AL207</f>
        <v>0</v>
      </c>
      <c r="AM205" s="312">
        <f>AM206+AM207</f>
        <v>0</v>
      </c>
      <c r="AN205" s="312">
        <f>AN206+AN207</f>
        <v>0</v>
      </c>
      <c r="AO205" s="312">
        <f>AO206+AO207</f>
        <v>0</v>
      </c>
      <c r="AP205" s="312">
        <f>AP206+AP207</f>
        <v>0</v>
      </c>
      <c r="AQ205" s="312">
        <f>AQ206+AQ207</f>
        <v>0</v>
      </c>
      <c r="AR205" s="312">
        <f>AR206+AR207</f>
        <v>0</v>
      </c>
      <c r="AS205" s="312">
        <f>AS206+AS207</f>
        <v>35.62504</v>
      </c>
      <c r="AT205" s="312">
        <f>AT206+AT207</f>
        <v>0</v>
      </c>
      <c r="AU205" s="312">
        <f>AU206+AU207</f>
        <v>0</v>
      </c>
      <c r="AV205" s="312">
        <f>AV206+AV207</f>
        <v>0</v>
      </c>
      <c r="AW205" s="312">
        <f>AW206+AW207</f>
        <v>0</v>
      </c>
      <c r="AX205" s="312">
        <f>AX206+AX207</f>
        <v>0</v>
      </c>
      <c r="AY205" s="312">
        <f>AY206+AY207</f>
        <v>0</v>
      </c>
      <c r="AZ205" s="312">
        <f>AZ206+AZ207</f>
        <v>0</v>
      </c>
      <c r="BA205" s="312">
        <f>BA206+BA207</f>
        <v>0</v>
      </c>
      <c r="BB205" s="312">
        <f>BB206+BB207</f>
        <v>0</v>
      </c>
      <c r="BC205" s="166"/>
      <c r="BD205" s="1282"/>
      <c r="BE205" s="1282"/>
      <c r="BF205" s="992" t="s">
        <v>736</v>
      </c>
    </row>
    <row s="1624" customFormat="1" customHeight="1" ht="33.75">
      <c r="A206" s="1282"/>
      <c r="B206" s="1389"/>
      <c r="C206" s="1282"/>
      <c r="D206" s="1282"/>
      <c r="E206" s="607">
        <v>15</v>
      </c>
      <c r="F206" s="50" cm="1" t="str">
        <f t="array" ref="F206:F206">OFFSET(E206,-1,1)</f>
        <v>1</v>
      </c>
      <c r="G206" s="1282"/>
      <c r="H206" s="64" t="s">
        <v>737</v>
      </c>
      <c r="I206" s="1282"/>
      <c r="J206" s="1282"/>
      <c r="K206" s="1282"/>
      <c r="L206" s="1282"/>
      <c r="M206" s="1282"/>
      <c r="N206" s="1282"/>
      <c r="O206" s="1282"/>
      <c r="P206" s="1395"/>
      <c r="Q206" s="1395"/>
      <c r="R206" s="1395"/>
      <c r="S206" s="1395"/>
      <c r="T206" s="438" cm="1" t="str">
        <f t="array" ref="T206:T206">T205</f>
        <v>true</v>
      </c>
      <c r="U206" s="1395"/>
      <c r="V206" s="1282"/>
      <c r="W206" s="1395"/>
      <c r="X206" s="1511"/>
      <c r="Y206" s="1493"/>
      <c r="Z206" s="1282"/>
      <c r="AA206" s="1282"/>
      <c r="AB206" s="206" t="s">
        <v>738</v>
      </c>
      <c r="AC206" s="309" t="s">
        <v>585</v>
      </c>
      <c r="AD206" s="59" t="s">
        <v>506</v>
      </c>
      <c r="AE206" s="245">
        <v>36.8</v>
      </c>
      <c r="AF206" s="245">
        <v>36.31109</v>
      </c>
      <c r="AG206" s="245" cm="1" t="str">
        <f t="array" ref="AG206:AG206">AF206</f>
        <v>36.31109</v>
      </c>
      <c r="AH206" s="245">
        <v>37.30283</v>
      </c>
      <c r="AI206" s="245">
        <v>36.311</v>
      </c>
      <c r="AJ206" s="245"/>
      <c r="AK206" s="245"/>
      <c r="AL206" s="245"/>
      <c r="AM206" s="245"/>
      <c r="AN206" s="245"/>
      <c r="AO206" s="245"/>
      <c r="AP206" s="245"/>
      <c r="AQ206" s="245"/>
      <c r="AR206" s="245"/>
      <c r="AS206" s="245">
        <v>35.62504</v>
      </c>
      <c r="AT206" s="245"/>
      <c r="AU206" s="245"/>
      <c r="AV206" s="245"/>
      <c r="AW206" s="245"/>
      <c r="AX206" s="245"/>
      <c r="AY206" s="245"/>
      <c r="AZ206" s="245"/>
      <c r="BA206" s="245"/>
      <c r="BB206" s="245"/>
      <c r="BC206" s="166" t="s">
        <v>746</v>
      </c>
      <c r="BD206" s="1282"/>
      <c r="BE206" s="1282"/>
      <c r="BF206" s="992" t="s">
        <v>739</v>
      </c>
    </row>
    <row s="1624" customFormat="1" customHeight="1" ht="14.25">
      <c r="A207" s="1282"/>
      <c r="B207" s="1389"/>
      <c r="C207" s="1282"/>
      <c r="D207" s="1282"/>
      <c r="E207" s="607">
        <v>15</v>
      </c>
      <c r="F207" s="50" cm="1" t="str">
        <f t="array" ref="F207:F207">OFFSET(E207,-1,1)</f>
        <v>1</v>
      </c>
      <c r="G207" s="1282"/>
      <c r="H207" s="64" t="s">
        <v>740</v>
      </c>
      <c r="I207" s="1282"/>
      <c r="J207" s="1282"/>
      <c r="K207" s="1282"/>
      <c r="L207" s="1282"/>
      <c r="M207" s="1282"/>
      <c r="N207" s="1282"/>
      <c r="O207" s="1282"/>
      <c r="P207" s="1395"/>
      <c r="Q207" s="1395"/>
      <c r="R207" s="1395"/>
      <c r="S207" s="1395"/>
      <c r="T207" s="438" cm="1" t="str">
        <f t="array" ref="T207:T207">T206</f>
        <v>true</v>
      </c>
      <c r="U207" s="1395"/>
      <c r="V207" s="1282"/>
      <c r="W207" s="1395"/>
      <c r="X207" s="1511"/>
      <c r="Y207" s="1493"/>
      <c r="Z207" s="1282"/>
      <c r="AA207" s="1282"/>
      <c r="AB207" s="206" t="s">
        <v>741</v>
      </c>
      <c r="AC207" s="309" t="s">
        <v>589</v>
      </c>
      <c r="AD207" s="59" t="s">
        <v>506</v>
      </c>
      <c r="AE207" s="245"/>
      <c r="AF207" s="245"/>
      <c r="AG207" s="245"/>
      <c r="AH207" s="245"/>
      <c r="AI207" s="245"/>
      <c r="AJ207" s="245"/>
      <c r="AK207" s="245"/>
      <c r="AL207" s="245"/>
      <c r="AM207" s="245"/>
      <c r="AN207" s="245"/>
      <c r="AO207" s="245"/>
      <c r="AP207" s="245"/>
      <c r="AQ207" s="245"/>
      <c r="AR207" s="245"/>
      <c r="AS207" s="245"/>
      <c r="AT207" s="245"/>
      <c r="AU207" s="245"/>
      <c r="AV207" s="245"/>
      <c r="AW207" s="245"/>
      <c r="AX207" s="245"/>
      <c r="AY207" s="245"/>
      <c r="AZ207" s="245"/>
      <c r="BA207" s="245"/>
      <c r="BB207" s="245"/>
      <c r="BC207" s="166"/>
      <c r="BD207" s="1282"/>
      <c r="BE207" s="1282"/>
      <c r="BF207" s="992" t="s">
        <v>742</v>
      </c>
    </row>
    <row s="1624" customFormat="1" customHeight="1" ht="21.75">
      <c r="A208" s="1282"/>
      <c r="B208" s="1389"/>
      <c r="C208" s="1282"/>
      <c r="D208" s="1282"/>
      <c r="E208" s="607">
        <v>22.5</v>
      </c>
      <c r="F208" s="50" cm="1" t="str">
        <f t="array" ref="F208:F208">OFFSET(E208,-1,1)</f>
        <v>1</v>
      </c>
      <c r="G208" s="1282"/>
      <c r="H208" s="64" t="s">
        <v>743</v>
      </c>
      <c r="I208" s="1282"/>
      <c r="J208" s="1282"/>
      <c r="K208" s="1282"/>
      <c r="L208" s="1282"/>
      <c r="M208" s="1282"/>
      <c r="N208" s="1282"/>
      <c r="O208" s="1282"/>
      <c r="P208" s="1395"/>
      <c r="Q208" s="1395"/>
      <c r="R208" s="1395"/>
      <c r="S208" s="1395"/>
      <c r="T208" s="438" cm="1" t="str">
        <f t="array" ref="T208:T208">T207</f>
        <v>true</v>
      </c>
      <c r="U208" s="1395"/>
      <c r="V208" s="1282"/>
      <c r="W208" s="1395"/>
      <c r="X208" s="1511"/>
      <c r="Y208" s="1493"/>
      <c r="Z208" s="1282"/>
      <c r="AA208" s="1282"/>
      <c r="AB208" s="206" t="s">
        <v>744</v>
      </c>
      <c r="AC208" s="303" t="s">
        <v>548</v>
      </c>
      <c r="AD208" s="59" t="s">
        <v>506</v>
      </c>
      <c r="AE208" s="242"/>
      <c r="AF208" s="242"/>
      <c r="AG208" s="242"/>
      <c r="AH208" s="242"/>
      <c r="AI208" s="242"/>
      <c r="AJ208" s="242"/>
      <c r="AK208" s="242"/>
      <c r="AL208" s="242"/>
      <c r="AM208" s="242"/>
      <c r="AN208" s="242"/>
      <c r="AO208" s="242"/>
      <c r="AP208" s="242"/>
      <c r="AQ208" s="242"/>
      <c r="AR208" s="242"/>
      <c r="AS208" s="242"/>
      <c r="AT208" s="242"/>
      <c r="AU208" s="242"/>
      <c r="AV208" s="242"/>
      <c r="AW208" s="242"/>
      <c r="AX208" s="242"/>
      <c r="AY208" s="242"/>
      <c r="AZ208" s="242"/>
      <c r="BA208" s="242"/>
      <c r="BB208" s="242"/>
      <c r="BC208" s="166"/>
      <c r="BD208" s="1282"/>
      <c r="BE208" s="1282"/>
      <c r="BF208" s="992" t="s">
        <v>745</v>
      </c>
    </row>
    <row customHeight="1" ht="14.625">
      <c r="E209" s="607">
        <v>15</v>
      </c>
      <c r="U209" s="387" t="s">
        <v>176</v>
      </c>
      <c r="V209" s="106" t="s">
        <v>747</v>
      </c>
      <c r="AB209" s="482"/>
      <c r="AC209" s="441"/>
      <c r="AD209" s="483"/>
      <c r="AE209" s="927"/>
      <c r="AF209" s="927"/>
      <c r="AG209" s="927"/>
      <c r="AH209" s="927"/>
      <c r="AI209" s="927"/>
      <c r="AJ209" s="927"/>
      <c r="AK209" s="927"/>
      <c r="AL209" s="927"/>
      <c r="AM209" s="927"/>
      <c r="AN209" s="927"/>
      <c r="AO209" s="927"/>
      <c r="AP209" s="927"/>
      <c r="AQ209" s="927"/>
      <c r="AR209" s="927"/>
      <c r="AS209" s="927"/>
      <c r="AT209" s="927"/>
      <c r="AU209" s="927"/>
      <c r="AV209" s="927"/>
      <c r="AW209" s="927"/>
      <c r="AX209" s="927"/>
      <c r="AY209" s="927"/>
      <c r="AZ209" s="927"/>
      <c r="BA209" s="927"/>
      <c r="BB209" s="927"/>
      <c r="BC209" s="928"/>
    </row>
    <row s="1282" customFormat="1" customHeight="1" ht="18.501413518732242">
      <c r="B210" s="484"/>
      <c r="E210" s="609">
        <v>11.25</v>
      </c>
      <c r="F210" s="724"/>
      <c r="K210" s="64"/>
      <c r="P210" s="455"/>
      <c r="Q210" s="455"/>
      <c r="R210" s="455"/>
      <c r="S210" s="455"/>
      <c r="T210" s="462"/>
      <c r="U210" s="462"/>
      <c r="V210" s="477"/>
      <c r="W210" s="462"/>
      <c r="X210" s="462"/>
      <c r="Y210" s="462"/>
      <c r="Z210" s="462"/>
      <c r="AA210" s="462"/>
      <c r="AB210" s="1514" t="s">
        <v>392</v>
      </c>
      <c r="AC210" s="1514"/>
      <c r="AD210" s="1514"/>
      <c r="AE210" s="1515"/>
      <c r="AF210" s="1515"/>
      <c r="AG210" s="1515"/>
      <c r="AH210" s="1515"/>
      <c r="AI210" s="1515"/>
      <c r="AJ210" s="1515"/>
      <c r="AK210" s="1515"/>
      <c r="AL210" s="1515"/>
      <c r="AM210" s="1515"/>
      <c r="AN210" s="1515"/>
      <c r="AO210" s="1515"/>
      <c r="AP210" s="1515"/>
      <c r="AQ210" s="1515"/>
      <c r="AR210" s="1515"/>
      <c r="AS210" s="1515"/>
      <c r="AT210" s="1515"/>
      <c r="AU210" s="1515"/>
      <c r="AV210" s="1515"/>
      <c r="AW210" s="1515"/>
      <c r="AX210" s="1515"/>
      <c r="AY210" s="1515"/>
      <c r="AZ210" s="1515"/>
      <c r="BA210" s="1515"/>
      <c r="BB210" s="1515"/>
      <c r="BC210" s="1515"/>
      <c r="BD210" s="462"/>
      <c r="BF210" s="997"/>
    </row>
    <row customHeight="1" ht="38.955958973277696">
      <c r="E211" s="607">
        <v>15</v>
      </c>
      <c r="T211" s="462"/>
      <c r="U211" s="462"/>
      <c r="V211" s="477"/>
      <c r="W211" s="462"/>
      <c r="X211" s="462"/>
      <c r="Y211" s="462"/>
      <c r="Z211" s="462"/>
      <c r="AA211" s="637"/>
      <c r="AB211" s="1516" t="s">
        <v>748</v>
      </c>
      <c r="AC211" s="1517"/>
      <c r="AD211" s="1517"/>
      <c r="AE211" s="1517"/>
      <c r="AF211" s="1517"/>
      <c r="AG211" s="1517"/>
      <c r="AH211" s="1517"/>
      <c r="AI211" s="1517"/>
      <c r="AJ211" s="2181"/>
      <c r="AK211" s="2181"/>
      <c r="AL211" s="2181"/>
      <c r="AM211" s="2181"/>
      <c r="AN211" s="2181"/>
      <c r="AO211" s="2181"/>
      <c r="AP211" s="2181"/>
      <c r="AQ211" s="2181"/>
      <c r="AR211" s="2181"/>
      <c r="AS211" s="1517"/>
      <c r="AT211" s="2181"/>
      <c r="AU211" s="2181"/>
      <c r="AV211" s="2181"/>
      <c r="AW211" s="2181"/>
      <c r="AX211" s="2181"/>
      <c r="AY211" s="2181"/>
      <c r="AZ211" s="2181"/>
      <c r="BA211" s="2181"/>
      <c r="BB211" s="2181"/>
      <c r="BC211" s="1518"/>
      <c r="BD211" s="462"/>
    </row>
    <row customHeight="1" ht="14.625" hidden="1">
      <c r="A212" s="1282"/>
      <c r="B212" s="1389"/>
      <c r="C212" s="1282"/>
      <c r="D212" s="1282"/>
      <c r="E212" s="607">
        <v>15</v>
      </c>
      <c r="F212" s="1300"/>
      <c r="G212" s="1282"/>
      <c r="H212" s="1282"/>
      <c r="I212" s="1282"/>
      <c r="J212" s="1282"/>
      <c r="K212" s="1282"/>
      <c r="L212" s="1282"/>
      <c r="M212" s="1282"/>
      <c r="N212" s="1282"/>
      <c r="O212" s="1282"/>
      <c r="P212" s="1395"/>
      <c r="Q212" s="1395"/>
      <c r="R212" s="1395"/>
      <c r="S212" s="1395"/>
      <c r="T212" s="438">
        <f>ROW(W212)&gt;ROW(W$212)</f>
        <v>0</v>
      </c>
      <c r="U212" s="462"/>
      <c r="V212" s="477"/>
      <c r="W212" s="733" t="s">
        <v>172</v>
      </c>
      <c r="X212" s="462"/>
      <c r="Y212" s="462"/>
      <c r="Z212" s="462"/>
      <c r="AA212" s="638" t="s">
        <v>173</v>
      </c>
      <c r="AB212" s="2182"/>
      <c r="AC212" s="2183"/>
      <c r="AD212" s="2183"/>
      <c r="AE212" s="2183"/>
      <c r="AF212" s="2183"/>
      <c r="AG212" s="2183"/>
      <c r="AH212" s="2183"/>
      <c r="AI212" s="1520"/>
      <c r="AJ212" s="2183"/>
      <c r="AK212" s="2183"/>
      <c r="AL212" s="2183"/>
      <c r="AM212" s="2183"/>
      <c r="AN212" s="2183"/>
      <c r="AO212" s="2183"/>
      <c r="AP212" s="2183"/>
      <c r="AQ212" s="2183"/>
      <c r="AR212" s="2183"/>
      <c r="AS212" s="1520"/>
      <c r="AT212" s="2183"/>
      <c r="AU212" s="2183"/>
      <c r="AV212" s="2183"/>
      <c r="AW212" s="2183"/>
      <c r="AX212" s="2183"/>
      <c r="AY212" s="2183"/>
      <c r="AZ212" s="2183"/>
      <c r="BA212" s="2183"/>
      <c r="BB212" s="2183"/>
      <c r="BC212" s="2185"/>
      <c r="BD212" s="462"/>
      <c r="BE212" s="1282"/>
      <c r="BF212" s="1284"/>
    </row>
    <row s="1624" customFormat="1" customHeight="1" ht="31.4559589732777">
      <c r="A213" s="1282"/>
      <c r="B213" s="1389"/>
      <c r="C213" s="1282"/>
      <c r="D213" s="1282"/>
      <c r="E213" s="607">
        <v>15</v>
      </c>
      <c r="F213" s="1300"/>
      <c r="G213" s="1282"/>
      <c r="H213" s="1282"/>
      <c r="I213" s="1282"/>
      <c r="J213" s="1282"/>
      <c r="K213" s="1282"/>
      <c r="L213" s="1282"/>
      <c r="M213" s="1282"/>
      <c r="N213" s="1282"/>
      <c r="O213" s="1282"/>
      <c r="P213" s="1395"/>
      <c r="Q213" s="1395"/>
      <c r="R213" s="1395"/>
      <c r="S213" s="1395"/>
      <c r="T213" s="438">
        <f>ROW(W213)&gt;ROW(W$212)</f>
        <v>1</v>
      </c>
      <c r="U213" s="462"/>
      <c r="V213" s="477"/>
      <c r="W213" s="733"/>
      <c r="X213" s="462"/>
      <c r="Y213" s="462"/>
      <c r="Z213" s="462" t="s">
        <v>228</v>
      </c>
      <c r="AA213" s="638" t="s">
        <v>173</v>
      </c>
      <c r="AB213" s="1519" t="s">
        <v>749</v>
      </c>
      <c r="AC213" s="1520"/>
      <c r="AD213" s="1520"/>
      <c r="AE213" s="1520"/>
      <c r="AF213" s="1520"/>
      <c r="AG213" s="1520"/>
      <c r="AH213" s="1520"/>
      <c r="AI213" s="1520"/>
      <c r="AJ213" s="1520"/>
      <c r="AK213" s="1520"/>
      <c r="AL213" s="1520"/>
      <c r="AM213" s="1520"/>
      <c r="AN213" s="1520"/>
      <c r="AO213" s="1520"/>
      <c r="AP213" s="1520"/>
      <c r="AQ213" s="1520"/>
      <c r="AR213" s="1520"/>
      <c r="AS213" s="1520"/>
      <c r="AT213" s="1520"/>
      <c r="AU213" s="1520"/>
      <c r="AV213" s="1520"/>
      <c r="AW213" s="1520"/>
      <c r="AX213" s="1520"/>
      <c r="AY213" s="1520"/>
      <c r="AZ213" s="1520"/>
      <c r="BA213" s="1520"/>
      <c r="BB213" s="1520"/>
      <c r="BC213" s="1521"/>
      <c r="BD213" s="462"/>
      <c r="BE213" s="1282"/>
      <c r="BF213" s="1284"/>
    </row>
    <row s="1624" customFormat="1" customHeight="1" ht="29.410504427823152">
      <c r="A214" s="1282"/>
      <c r="B214" s="1389"/>
      <c r="C214" s="1282"/>
      <c r="D214" s="1282"/>
      <c r="E214" s="607">
        <v>15</v>
      </c>
      <c r="F214" s="1300"/>
      <c r="G214" s="1282"/>
      <c r="H214" s="1282"/>
      <c r="I214" s="1282"/>
      <c r="J214" s="1282"/>
      <c r="K214" s="1282"/>
      <c r="L214" s="1282"/>
      <c r="M214" s="1282"/>
      <c r="N214" s="1282"/>
      <c r="O214" s="1282"/>
      <c r="P214" s="1395"/>
      <c r="Q214" s="1395"/>
      <c r="R214" s="1395"/>
      <c r="S214" s="1395"/>
      <c r="T214" s="438">
        <f>ROW(W214)&gt;ROW(W$212)</f>
        <v>1</v>
      </c>
      <c r="U214" s="462"/>
      <c r="V214" s="477"/>
      <c r="W214" s="733"/>
      <c r="X214" s="462"/>
      <c r="Y214" s="462"/>
      <c r="Z214" s="462" t="s">
        <v>228</v>
      </c>
      <c r="AA214" s="638" t="s">
        <v>173</v>
      </c>
      <c r="AB214" s="1519" t="s">
        <v>750</v>
      </c>
      <c r="AC214" s="1520"/>
      <c r="AD214" s="1520"/>
      <c r="AE214" s="1520"/>
      <c r="AF214" s="1520"/>
      <c r="AG214" s="1520"/>
      <c r="AH214" s="1520"/>
      <c r="AI214" s="1520"/>
      <c r="AJ214" s="1520"/>
      <c r="AK214" s="1520"/>
      <c r="AL214" s="1520"/>
      <c r="AM214" s="1520"/>
      <c r="AN214" s="1520"/>
      <c r="AO214" s="1520"/>
      <c r="AP214" s="1520"/>
      <c r="AQ214" s="1520"/>
      <c r="AR214" s="1520"/>
      <c r="AS214" s="1520"/>
      <c r="AT214" s="1520"/>
      <c r="AU214" s="1520"/>
      <c r="AV214" s="1520"/>
      <c r="AW214" s="1520"/>
      <c r="AX214" s="1520"/>
      <c r="AY214" s="1520"/>
      <c r="AZ214" s="1520"/>
      <c r="BA214" s="1520"/>
      <c r="BB214" s="1520"/>
      <c r="BC214" s="1521"/>
      <c r="BD214" s="462"/>
      <c r="BE214" s="1282"/>
      <c r="BF214" s="1284"/>
    </row>
    <row customHeight="1" ht="14.625">
      <c r="E215" s="607">
        <v>15</v>
      </c>
      <c r="T215" s="462"/>
      <c r="U215" s="462"/>
      <c r="V215" s="462"/>
      <c r="W215" s="733" t="s">
        <v>396</v>
      </c>
      <c r="X215" s="462"/>
      <c r="Y215" s="462"/>
      <c r="Z215" s="462"/>
      <c r="AA215" s="462"/>
      <c r="AB215" s="623"/>
      <c r="AC215" s="487" t="s">
        <v>397</v>
      </c>
      <c r="AD215" s="478"/>
      <c r="AE215" s="479"/>
      <c r="AF215" s="479"/>
      <c r="AG215" s="479"/>
      <c r="AH215" s="479"/>
      <c r="AI215" s="479"/>
      <c r="AJ215" s="479"/>
      <c r="AK215" s="479"/>
      <c r="AL215" s="479"/>
      <c r="AM215" s="479"/>
      <c r="AN215" s="479"/>
      <c r="AO215" s="479"/>
      <c r="AP215" s="479"/>
      <c r="AQ215" s="479"/>
      <c r="AR215" s="479"/>
      <c r="AS215" s="479"/>
      <c r="AT215" s="479"/>
      <c r="AU215" s="479"/>
      <c r="AV215" s="479"/>
      <c r="AW215" s="479"/>
      <c r="AX215" s="479"/>
      <c r="AY215" s="479"/>
      <c r="AZ215" s="479"/>
      <c r="BA215" s="479"/>
      <c r="BB215" s="479"/>
      <c r="BC215" s="480"/>
      <c r="BD215" s="462"/>
    </row>
    <row customHeight="1" ht="10.725000000000001">
      <c r="E216" s="607">
        <v>11</v>
      </c>
      <c r="T216" s="462"/>
      <c r="U216" s="462"/>
      <c r="V216" s="462"/>
      <c r="W216" s="462"/>
      <c r="X216" s="462"/>
      <c r="Y216" s="462"/>
      <c r="Z216" s="462"/>
      <c r="AA216" s="462"/>
      <c r="AB216" s="481"/>
      <c r="AC216" s="481"/>
      <c r="AD216" s="481"/>
      <c r="AE216" s="462"/>
      <c r="AF216" s="462"/>
      <c r="AG216" s="462"/>
      <c r="AH216" s="462"/>
      <c r="AI216" s="462"/>
      <c r="AJ216" s="462"/>
      <c r="AK216" s="462"/>
      <c r="AL216" s="462"/>
      <c r="AM216" s="462"/>
      <c r="AN216" s="462"/>
      <c r="AO216" s="462"/>
      <c r="AP216" s="462"/>
      <c r="AQ216" s="462"/>
      <c r="AR216" s="462"/>
      <c r="AS216" s="462"/>
      <c r="AT216" s="462"/>
      <c r="AU216" s="462"/>
      <c r="AV216" s="462"/>
      <c r="AW216" s="462"/>
      <c r="AX216" s="462"/>
      <c r="AY216" s="462"/>
      <c r="AZ216" s="462"/>
      <c r="BA216" s="462"/>
      <c r="BB216" s="462"/>
      <c r="BC216" s="481"/>
      <c r="BD216" s="462"/>
    </row>
  </sheetData>
  <sheetProtection formatColumns="0" formatRows="0" insertRows="0" deleteColumns="0" deleteRows="0" sort="0" autoFilter="0" insertColumns="1"/>
  <mergeCells count="13">
    <mergeCell ref="AD24:AD25"/>
    <mergeCell ref="BC24:BC25"/>
    <mergeCell ref="AB24:AB25"/>
    <mergeCell ref="AC24:AC25"/>
    <mergeCell ref="X27:X117"/>
    <mergeCell ref="Y27:Y117"/>
    <mergeCell ref="AB210:BC210"/>
    <mergeCell ref="AB211:BC211"/>
    <mergeCell ref="AB212:BC212"/>
    <mergeCell ref="X118:X208"/>
    <mergeCell ref="Y118:Y208"/>
    <mergeCell ref="AB213:BC213"/>
    <mergeCell ref="AB214:BC214"/>
  </mergeCells>
  <dataValidations count="1">
    <dataValidation type="decimal" allowBlank="1" showErrorMessage="1" errorTitle="Ошибка" error="Допускается ввод только неотрицательных чисел!" sqref="AE67:BB70 AE113:BB113 AE109:BB111 AE30:BB32 AE34:BB37 AE39:BB42 AE46:BB48 AE50:BB51 AE54:BB55 AE57:BB58 AE73:BB74 AE60:BB63 AE86:BB87 AE89:BB90 AE92:BB93 BB115:BB117 BB121:BB123 BB125:BB128 BB130:BB133 BB137:BB139 BB141:BB142 BB145:BB146 BB148:BB149 BB151:BB154 BB158:BB161 BB164:BB165 BB167:BB170 BB174 BB177:BB178 BB180:BB181 BB183:BB184 BB186:BB191 BB193:BB196 BB200:BB202 BB204 BB206:BB208 BA115:BA117 BA121:BA123 BA125:BA128 BA130:BA133 BA137:BA139 BA141:BA142 BA145:BA146 BA148:BA149 BA151:BA154 BA158:BA161 BA164:BA165 BA167:BA170 BA174 BA177:BA178 BA180:BA181 BA183:BA184 BA186:BA191 BA193:BA196 BA200:BA202 BA204 BA206:BA208 AZ115:AZ117 AZ121:AZ123 AZ125:AZ128 AZ130:AZ133 AZ137:AZ139 AZ141:AZ142 AZ145:AZ146 AZ148:AZ149 AZ151:AZ154 AZ158:AZ161 AZ164:AZ165 AZ167:AZ170 AZ174 AZ177:AZ178 AZ180:AZ181 AZ183:AZ184 AZ186:AZ191 AZ193:AZ196 AZ200:AZ202 AZ204 AZ206:AZ208 AY115:AY117 AY121:AY123 AY125:AY128 AY130:AY133 AY137:AY139 AY141:AY142 AY145:AY146 AY148:AY149 AY151:AY154 AY158:AY161 AY164:AY165 AY167:AY170 AY174 AY177:AY178 AY180:AY181 AY183:AY184 AY186:AY191 AY193:AY196 AY200:AY202 AY204 AY206:AY208 AX115:AX117 AX121:AX123 AX125:AX128 AX130:AX133 AX137:AX139 AX141:AX142 AX145:AX146 AX148:AX149 AX151:AX154 AX158:AX161 AX164:AX165 AX167:AX170 AX174 AX177:AX178 AX180:AX181 AX183:AX184 AX186:AX191 AX193:AX196 AX200:AX202 AX204 AX206:AX208 AW115:AW117 AW121:AW123 AW125:AW128 AW130:AW133 AW137:AW139 AW141:AW142 AW145:AW146 AW148:AW149 AW151:AW154 AW158:AW161 AW164:AW165 AW167:AW170 AW174 AW177:AW178 AW180:AW181 AW183:AW184 AW186:AW191 AW193:AW196 AW200:AW202 AW204 AW206:AW208 AV115:AV117 AV121:AV123 AV125:AV128 AV130:AV133 AV137:AV139 AV141:AV142 AV145:AV146 AV148:AV149 AV151:AV154 AV158:AV161 AV164:AV165 AV167:AV170 AV174 AV177:AV178 AV180:AV181 AV183:AV184 AV186:AV191 AV193:AV196 AV200:AV202 AV204 AV206:AV208 AU115:AU117 AU121:AU123 AU125:AU128 AU130:AU133 AU137:AU139 AU141:AU142 AU145:AU146 AU148:AU149 AU151:AU154 AU158:AU161 AU164:AU165 AU167:AU170 AU174 AU177:AU178 AU180:AU181 AU183:AU184 AU186:AU191 AU193:AU196 AU200:AU202 AU204 AU206:AU208 AT115:AT117 AT121:AT123 AT125:AT128 AT130:AT133 AT137:AT139 AT141:AT142 AT145:AT146 AT148:AT149 AT151:AT154 AT158:AT161 AT164:AT165 AT167:AT170 AT174 AT177:AT178 AT180:AT181 AT183:AT184 AT186:AT191 AT193:AT196 AT200:AT202 AT204 AT206:AT208 AS115:AS117 AS121:AS123 AS125:AS128 AS130:AS133 AS137:AS139 AS141:AS142 AS145:AS146 AS148:AS149 AS151:AS154 AS158:AS161 AS164:AS165 AS167:AS170 AS174 AS177:AS178 AS180:AS181 AS183:AS184 AS186:AS191 AS193:AS196 AS200:AS202 AS204 AS206:AS208 AR115:AR117 AR121:AR123 AR125:AR128 AR130:AR133 AR137:AR139 AR141:AR142 AR145:AR146 AR148:AR149 AR151:AR154 AR158:AR161 AR164:AR165 AR167:AR170 AR174 AR177:AR178 AR180:AR181 AR183:AR184 AR186:AR191 AR193:AR196 AR200:AR202 AR204 AR206:AR208 AQ115:AQ117 AQ121:AQ123 AQ125:AQ128 AQ130:AQ133 AQ137:AQ139 AQ141:AQ142 AQ145:AQ146 AQ148:AQ149 AQ151:AQ154 AQ158:AQ161 AQ164:AQ165 AQ167:AQ170 AQ174 AQ177:AQ178 AQ180:AQ181 AQ183:AQ184 AQ186:AQ191 AQ193:AQ196 AQ200:AQ202 AQ204 AQ206:AQ208 AP115:AP117 AP121:AP123 AP125:AP128 AP130:AP133 AP137:AP139 AP141:AP142 AP145:AP146 AP148:AP149 AP151:AP154 AP158:AP161 AP164:AP165 AP167:AP170 AP174 AP177:AP178 AP180:AP181 AP183:AP184 AP186:AP191 AP193:AP196 AP200:AP202 AP204 AP206:AP208 AO115:AO117 AO121:AO123 AO125:AO128 AO130:AO133 AO137:AO139 AO141:AO142 AO145:AO146 AO148:AO149 AO151:AO154 AO158:AO161 AO164:AO165 AO167:AO170 AO174 AO177:AO178 AO180:AO181 AO183:AO184 AO186:AO191 AO193:AO196 AO200:AO202 AO204 AO206:AO208 AN115:AN117 AN121:AN123 AN125:AN128 AN130:AN133 AN137:AN139 AN141:AN142 AN145:AN146 AN148:AN149 AN151:AN154 AN158:AN161 AN164:AN165 AN167:AN170 AN174 AN177:AN178 AN180:AN181 AN183:AN184 AN186:AN191 AN193:AN196 AN200:AN202 AN204 AN206:AN208 AM115:AM117 AM121:AM123 AM125:AM128 AM130:AM133 AM137:AM139 AM141:AM142 AM145:AM146 AM148:AM149 AM151:AM154 AM158:AM161 AM164:AM165 AM167:AM170 AM174 AM177:AM178 AM180:AM181 AM183:AM184 AM186:AM191 AM193:AM196 AM200:AM202 AM204 AM206:AM208 AL115:AL117 AL121:AL123 AL125:AL128 AL130:AL133 AL137:AL139 AL141:AL142 AL145:AL146 AL148:AL149 AL151:AL154 AL158:AL161 AL164:AL165 AL167:AL170 AL174 AL177:AL178 AL180:AL181 AL183:AL184 AL186:AL191 AL193:AL196 AL200:AL202 AL204 AL206:AL208 AK115:AK117 AK121:AK123 AK125:AK128 AK130:AK133 AK137:AK139 AK141:AK142 AK145:AK146 AK148:AK149 AK151:AK154 AK158:AK161 AK164:AK165 AK167:AK170 AK174 AK177:AK178 AK180:AK181 AK183:AK184 AK186:AK191 AK193:AK196 AK200:AK202 AK204 AK206:AK208 AJ115:AJ117 AJ121:AJ123 AJ125:AJ128 AJ130:AJ133 AJ137:AJ139 AJ141:AJ142 AJ145:AJ146 AJ148:AJ149 AJ151:AJ154 AJ158:AJ161 AJ164:AJ165 AJ167:AJ170 AJ174 AJ177:AJ178 AJ180:AJ181 AJ183:AJ184 AJ186:AJ191 AJ193:AJ196 AJ200:AJ202 AJ204 AJ206:AJ208 AI115:AI117 AI121:AI123 AI125:AI128 AI130:AI133 AI137:AI139 AI141:AI142 AI145:AI146 AI148:AI149 AI151:AI154 AI158:AI161 AI164:AI165 AI167:AI170 AI174 AI177:AI178 AI180:AI181 AI183:AI184 AI186:AI191 AI193:AI196 AI200:AI202 AI204 AI206:AI208 AH115:AH117 AH121:AH123 AH125:AH128 AH130:AH133 AH137:AH139 AH141:AH142 AH145:AH146 AH148:AH149 AH151:AH154 AH158:AH161 AH164:AH165 AH167:AH170 AH174 AH177:AH178 AH180:AH181 AH183:AH184 AH186:AH191 AH193:AH196 AH200:AH202 AH204 AH206:AH208 AG115:AG117 AG121:AG123 AG125:AG128 AG130:AG133 AG137:AG139 AG141:AG142 AG145:AG146 AG148:AG149 AG151:AG154 AG158:AG161 AG164:AG165 AG167:AG170 AG174 AG177:AG178 AG180:AG181 AG183:AG184 AG186:AG191 AG193:AG196 AG200:AG202 AG204 AG206:AG208 AF115:AF117 AF121:AF123 AF125:AF128 AF130:AF133 AF137:AF139 AF141:AF142 AF145:AF146 AF148:AF149 AF151:AF154 AF158:AF161 AF164:AF165 AF167:AF170 AF174 AF177:AF178 AF180:AF181 AF183:AF184 AF186:AF191 AF193:AF196 AF200:AF202 AF204 AF206:AF208 AE115:AE117 AE121:AE123 AE125:AE128 AE130:AE133 AE137:AE139 AE141:AE142 AE145:AE146 AE148:AE149 AE151:AE154 AE158:AE161 AE164:AE165 AE167:AE170 AE174 AE177:AE178 AE180:AE181 AE183:AE184 AE186:AE191 AE193:AE196 AE200:AE202 AE204 AE206:AE208 AE95:BB100 AE102:BB105 AE83:BB83 AE76:BB79">
      <formula1>0</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EB92A8-96A4-1E14-5578-D06AF91C9ED8}" mc:Ignorable="x14ac xr xr2 xr3">
  <sheetPr>
    <tabColor rgb="FF002060"/>
    <outlinePr summaryRight="0" summaryBelow="0"/>
    <pageSetUpPr fitToPage="1"/>
  </sheetPr>
  <dimension ref="A1:AW48"/>
  <sheetViews>
    <sheetView showGridLines="0" zoomScale="110" workbookViewId="0">
      <pane xSplit="29" ySplit="27" topLeftCell="AD38" activePane="bottomRight" state="frozen"/>
      <selection pane="bottomLeft" activeCell="A28" sqref="A28"/>
      <selection pane="topRight" activeCell="AD1" sqref="AD1"/>
      <selection pane="bottomRight" activeCell="AL35" sqref="AL35"/>
    </sheetView>
  </sheetViews>
  <sheetFormatPr defaultColWidth="8.7109375" customHeight="1" defaultRowHeight="11.25"/>
  <cols>
    <col min="1" max="1" style="998" width="4.57421875" hidden="1" customWidth="1"/>
    <col min="2" max="2" style="1412" width="6.7109375" hidden="1" customWidth="1"/>
    <col min="3" max="3" style="1412" width="3.8515625" hidden="1" customWidth="1"/>
    <col min="4" max="4" style="1412" width="2.7109375" hidden="1" customWidth="1"/>
    <col min="5" max="5" style="1372" width="2.7109375" hidden="1" customWidth="1"/>
    <col min="6" max="6" style="1412" width="3.57421875" hidden="1" customWidth="1"/>
    <col min="7" max="19" style="1412" width="2.7109375" hidden="1" customWidth="1"/>
    <col min="20" max="20" style="1412" width="7.7109375" hidden="1" customWidth="1"/>
    <col min="21" max="21" style="1412" width="5.8515625" hidden="1" customWidth="1"/>
    <col min="22" max="22" style="1412" width="7.7109375" hidden="1" customWidth="1"/>
    <col min="23" max="23" style="1412" width="6.140625" hidden="1" customWidth="1"/>
    <col min="24" max="25" style="1412" width="5.57421875" hidden="1" customWidth="1"/>
    <col min="26" max="26" style="1412" width="5.28125" hidden="1" customWidth="1"/>
    <col min="27" max="27" style="1412" width="3.00390625" customWidth="1"/>
    <col min="28" max="28" style="1412" width="11.7109375" customWidth="1"/>
    <col min="29" max="29" style="1412" width="18.86328125" customWidth="1"/>
    <col min="30" max="30" style="1542" width="13.57421875" customWidth="1"/>
    <col min="31" max="31" style="1542" width="13.00390625" customWidth="1"/>
    <col min="32" max="32" style="1542" width="7.29296875" customWidth="1"/>
    <col min="33" max="35" style="1542" width="17.86328125" customWidth="1"/>
    <col min="36" max="36" style="1542" width="7.43359375" customWidth="1"/>
    <col min="37" max="40" style="1542" width="12.57421875" customWidth="1"/>
    <col min="41" max="41" style="1412" width="40.140625" customWidth="1"/>
    <col min="42" max="42" style="1412" width="20.00390625" customWidth="1"/>
    <col min="43" max="43" style="1412" width="3.00390625" customWidth="1"/>
    <col min="44" max="44" style="1412" width="8.7109375" hidden="1"/>
    <col min="45" max="47" style="1377" width="8.7109375" hidden="1"/>
    <col min="48" max="49" style="1372" width="8.7109375" hidden="1"/>
  </cols>
  <sheetData>
    <row customHeight="1" ht="11.25" hidden="1">
      <c r="E1" s="461"/>
      <c r="F1" s="461" t="s">
        <v>309</v>
      </c>
      <c r="H1" s="461" t="s">
        <v>310</v>
      </c>
      <c r="T1" s="1348" t="s">
        <v>92</v>
      </c>
      <c r="U1" s="438" t="s">
        <v>97</v>
      </c>
      <c r="V1" s="438" t="s">
        <v>93</v>
      </c>
      <c r="W1" s="438" t="s">
        <v>94</v>
      </c>
      <c r="X1" s="438" t="s">
        <v>95</v>
      </c>
      <c r="Z1" s="438" t="s">
        <v>99</v>
      </c>
      <c r="AA1" s="438" t="s">
        <v>96</v>
      </c>
      <c r="AB1" s="438" t="s">
        <v>311</v>
      </c>
      <c r="AC1" s="438" t="s">
        <v>98</v>
      </c>
      <c r="AS1" s="1002" t="s">
        <v>312</v>
      </c>
      <c r="AT1" s="1002" t="s">
        <v>313</v>
      </c>
      <c r="AU1" s="1002" t="s">
        <v>314</v>
      </c>
      <c r="AV1" s="625" t="s">
        <v>317</v>
      </c>
      <c r="AW1" s="625" t="s">
        <v>318</v>
      </c>
    </row>
    <row customHeight="1" ht="11.25" hidden="1">
      <c r="B2" s="1349" t="s">
        <v>18</v>
      </c>
      <c r="E2" s="461"/>
    </row>
    <row customHeight="1" ht="11.25" hidden="1">
      <c r="E3" s="461"/>
      <c r="AK3" s="1282" cm="1" t="str">
        <f t="array" ref="AK3:AK3">god</f>
        <v>2026</v>
      </c>
      <c r="AL3" s="513"/>
      <c r="AM3" s="513" cm="1" t="str">
        <f t="array" ref="AM3:AM3">god</f>
        <v>2026</v>
      </c>
      <c r="AN3" s="513"/>
    </row>
    <row customHeight="1" ht="11.25" hidden="1">
      <c r="E4" s="461"/>
      <c r="AK4" s="513"/>
      <c r="AL4" s="513"/>
      <c r="AM4" s="513"/>
      <c r="AN4" s="513"/>
    </row>
    <row s="1372" customFormat="1" customHeight="1" ht="11.25" hidden="1">
      <c r="A5" s="998"/>
      <c r="B5" s="461"/>
      <c r="C5" s="461"/>
      <c r="D5" s="461"/>
      <c r="E5" s="625" t="s">
        <v>19</v>
      </c>
      <c r="AA5" s="625">
        <v>3</v>
      </c>
      <c r="AB5" s="625">
        <v>11.71</v>
      </c>
      <c r="AC5" s="625">
        <v>18.86</v>
      </c>
      <c r="AD5" s="627">
        <v>13.57</v>
      </c>
      <c r="AE5" s="627">
        <v>13</v>
      </c>
      <c r="AF5" s="627">
        <v>7.29</v>
      </c>
      <c r="AG5" s="627">
        <v>17.86</v>
      </c>
      <c r="AH5" s="627">
        <v>17.86</v>
      </c>
      <c r="AI5" s="627">
        <v>17.86</v>
      </c>
      <c r="AJ5" s="627">
        <v>7.43</v>
      </c>
      <c r="AK5" s="1283">
        <v>12.57</v>
      </c>
      <c r="AL5" s="626">
        <v>12.57</v>
      </c>
      <c r="AM5" s="626">
        <v>12.57</v>
      </c>
      <c r="AN5" s="626">
        <v>12.57</v>
      </c>
      <c r="AO5" s="625">
        <v>20</v>
      </c>
      <c r="AP5" s="625">
        <v>20</v>
      </c>
      <c r="AQ5" s="625">
        <v>3</v>
      </c>
      <c r="AS5" s="1002"/>
      <c r="AT5" s="1002"/>
      <c r="AU5" s="1002"/>
    </row>
    <row customHeight="1" ht="11.25" hidden="1">
      <c r="A6" s="998" t="s">
        <v>320</v>
      </c>
      <c r="AC6" s="461" t="s">
        <v>321</v>
      </c>
      <c r="AD6" s="495" t="s">
        <v>322</v>
      </c>
      <c r="AE6" s="495" t="s">
        <v>323</v>
      </c>
      <c r="AF6" s="495" t="s">
        <v>325</v>
      </c>
      <c r="AG6" s="495" t="s">
        <v>324</v>
      </c>
      <c r="AH6" s="495" t="s">
        <v>484</v>
      </c>
      <c r="AI6" s="495" t="s">
        <v>488</v>
      </c>
      <c r="AJ6" s="495" t="s">
        <v>535</v>
      </c>
      <c r="AK6" s="513" t="s">
        <v>554</v>
      </c>
      <c r="AL6" s="513" t="s">
        <v>751</v>
      </c>
      <c r="AM6" s="513" t="s">
        <v>752</v>
      </c>
      <c r="AN6" s="513" t="s">
        <v>753</v>
      </c>
      <c r="AO6" s="461" t="s">
        <v>754</v>
      </c>
      <c r="AP6" s="461" t="s">
        <v>755</v>
      </c>
    </row>
    <row customHeight="1" ht="11.25" hidden="1">
      <c r="AK7" s="513"/>
      <c r="AL7" s="513"/>
      <c r="AM7" s="513"/>
      <c r="AN7" s="513"/>
    </row>
    <row customHeight="1" ht="11.25" hidden="1">
      <c r="AK8" s="513"/>
      <c r="AL8" s="513"/>
      <c r="AM8" s="513"/>
      <c r="AN8" s="513"/>
    </row>
    <row s="1377" customFormat="1" customHeight="1" ht="11.25" hidden="1">
      <c r="A9" s="1001" t="s">
        <v>756</v>
      </c>
      <c r="AD9" s="1005" cm="1" t="str">
        <f t="array" ref="AD9:AD9">AD24</f>
        <v>Тип материала трубопровода</v>
      </c>
      <c r="AE9" s="1005" cm="1" t="str">
        <f t="array" ref="AE9:AE9">AE24</f>
        <v>Тип грунта</v>
      </c>
      <c r="AF9" s="1005" cm="1" t="str">
        <f t="array" ref="AF9:AF9">AF24</f>
        <v>Глубина грунта, м</v>
      </c>
      <c r="AG9" s="1005" cm="1" t="str">
        <f t="array" ref="AG9:AG9">AG24</f>
        <v>Средняя стоимость строительства 1 км трубопровода, 
тыс. руб.</v>
      </c>
      <c r="AH9" s="1005" cm="1" t="str">
        <f t="array" ref="AH9:AH9">AH24</f>
        <v>Средняя стоимость строительства 1 км трубопровода диаметром 500 мм, тыс.руб.</v>
      </c>
      <c r="AI9" s="1005" cm="1" t="str">
        <f t="array" ref="AI9:AI9">AI24</f>
        <v>Источник информации по средней стоимости строительства</v>
      </c>
      <c r="AJ9" s="1005" cm="1" t="str">
        <f t="array" ref="AJ9:AJ9">AJ24</f>
        <v>Kd</v>
      </c>
      <c r="AK9" s="1003" cm="1" t="str">
        <f t="array" ref="AK9:AK9">AK27</f>
        <v>км</v>
      </c>
      <c r="AL9" s="1003" cm="1" t="str">
        <f t="array" ref="AL9:AL9">AL27</f>
        <v>усл.км</v>
      </c>
      <c r="AM9" s="1003" cm="1" t="str">
        <f t="array" ref="AM9:AM9">AM27</f>
        <v>км</v>
      </c>
      <c r="AN9" s="1003" cm="1" t="str">
        <f t="array" ref="AN9:AN9">AN27</f>
        <v>усл.км</v>
      </c>
      <c r="AO9" s="1005"/>
      <c r="AP9" s="1005"/>
      <c r="AV9" s="625"/>
      <c r="AW9" s="625"/>
    </row>
    <row s="1377" customFormat="1" customHeight="1" ht="11.25" hidden="1">
      <c r="A10" s="1001" t="s">
        <v>355</v>
      </c>
      <c r="AD10" s="1003"/>
      <c r="AE10" s="1003"/>
      <c r="AF10" s="1003"/>
      <c r="AG10" s="1003"/>
      <c r="AH10" s="1003"/>
      <c r="AI10" s="1003"/>
      <c r="AJ10" s="1003"/>
      <c r="AK10" s="1284" cm="1" t="str">
        <f t="array" ref="AK10:AK10">AK26</f>
        <v>Предложение организации</v>
      </c>
      <c r="AL10" s="1004" cm="1" t="str">
        <f t="array" ref="AL10:AL10">AK10</f>
        <v>Предложение организации</v>
      </c>
      <c r="AM10" s="1004" cm="1" t="str">
        <f t="array" ref="AM10:AM10">AM26</f>
        <v>Принято органом регулирования</v>
      </c>
      <c r="AN10" s="1004" cm="1" t="str">
        <f t="array" ref="AN10:AN10">AM10</f>
        <v>Принято органом регулирования</v>
      </c>
      <c r="AV10" s="625"/>
      <c r="AW10" s="625"/>
    </row>
    <row s="1377" customFormat="1" customHeight="1" ht="11.25" hidden="1">
      <c r="A11" s="1001" t="s">
        <v>356</v>
      </c>
      <c r="AD11" s="1003"/>
      <c r="AE11" s="1003"/>
      <c r="AF11" s="1003"/>
      <c r="AG11" s="1003"/>
      <c r="AH11" s="1003"/>
      <c r="AI11" s="1003"/>
      <c r="AJ11" s="1003"/>
      <c r="AK11" s="1004"/>
      <c r="AL11" s="1004"/>
      <c r="AM11" s="1004"/>
      <c r="AN11" s="1004"/>
      <c r="AO11" s="1002" cm="1" t="str">
        <f t="array" ref="AO11:AO11">AO24</f>
        <v>Ссылка на правовую норму (основание для принятия показателя в расчет тарифа)</v>
      </c>
      <c r="AP11" s="1002" cm="1" t="str">
        <f t="array" ref="AP11:AP11">AP24</f>
        <v>Комментарии</v>
      </c>
      <c r="AV11" s="625"/>
      <c r="AW11" s="625"/>
    </row>
    <row s="1377" customFormat="1" customHeight="1" ht="11.25" hidden="1">
      <c r="A12" s="1001" t="s">
        <v>327</v>
      </c>
      <c r="AC12" s="1002" t="s">
        <v>314</v>
      </c>
      <c r="AD12" s="1003"/>
      <c r="AE12" s="1003"/>
      <c r="AF12" s="1003"/>
      <c r="AG12" s="1003"/>
      <c r="AH12" s="1003"/>
      <c r="AI12" s="1003"/>
      <c r="AJ12" s="1003"/>
      <c r="AK12" s="1004"/>
      <c r="AL12" s="1004"/>
      <c r="AM12" s="1004"/>
      <c r="AN12" s="1004"/>
      <c r="AV12" s="625"/>
      <c r="AW12" s="625"/>
    </row>
    <row customHeight="1" ht="11.25" hidden="1">
      <c r="AK13" s="513"/>
      <c r="AL13" s="513"/>
      <c r="AM13" s="513"/>
      <c r="AN13" s="513"/>
    </row>
    <row customHeight="1" ht="11.25" hidden="1">
      <c r="AK14" s="1285"/>
      <c r="AL14" s="1285"/>
      <c r="AM14" s="1285"/>
      <c r="AN14" s="1285"/>
    </row>
    <row customHeight="1" ht="11.25" hidden="1">
      <c r="AK15" s="1285"/>
      <c r="AL15" s="1285"/>
      <c r="AM15" s="1285"/>
      <c r="AN15" s="1285"/>
    </row>
    <row customHeight="1" ht="11.25" hidden="1">
      <c r="AK16" s="1285"/>
      <c r="AL16" s="1285"/>
      <c r="AM16" s="1285"/>
      <c r="AN16" s="1285"/>
    </row>
    <row customHeight="1" ht="11.25" hidden="1">
      <c r="AK17" s="1285"/>
      <c r="AL17" s="1285"/>
      <c r="AM17" s="1285"/>
      <c r="AN17" s="1285"/>
    </row>
    <row customHeight="1" ht="11.25" hidden="1">
      <c r="AC18" s="461" t="s">
        <v>757</v>
      </c>
    </row>
    <row customHeight="1" ht="11.25" hidden="1"/>
    <row customHeight="1" ht="11.25" hidden="1"/>
    <row customHeight="1" ht="14.625">
      <c r="E21" s="625">
        <v>15</v>
      </c>
      <c r="AA21" s="461"/>
      <c r="AC21" s="496" cm="1" t="str">
        <f t="array" ref="AC21:AC21">tpl_title</f>
        <v>Кемеровская область / 2026 / ОАО «СКЭК» (ИНН:4205153492, КПП:420501001) / ДПР: 2026-2026</v>
      </c>
    </row>
    <row customHeight="1" ht="19.5">
      <c r="E22" s="625">
        <v>20</v>
      </c>
      <c r="AB22" s="1286" t="s">
        <v>47</v>
      </c>
      <c r="AC22" s="1287"/>
      <c r="AD22" s="1288"/>
      <c r="AE22" s="1288"/>
      <c r="AF22" s="1288"/>
      <c r="AG22" s="1288"/>
      <c r="AH22" s="1288"/>
      <c r="AI22" s="1288"/>
      <c r="AJ22" s="1288"/>
      <c r="AK22" s="514"/>
      <c r="AL22" s="514"/>
      <c r="AM22" s="514"/>
      <c r="AN22" s="514"/>
      <c r="AO22" s="1289"/>
      <c r="AP22" s="1289"/>
    </row>
    <row customHeight="1" ht="10.96875">
      <c r="E23" s="625">
        <v>11.25</v>
      </c>
      <c r="AB23" s="1526"/>
      <c r="AC23" s="1526"/>
      <c r="AD23" s="1526"/>
      <c r="AE23" s="1526"/>
      <c r="AF23" s="1526"/>
      <c r="AG23" s="1526"/>
      <c r="AH23" s="1526"/>
      <c r="AI23" s="1526"/>
      <c r="AJ23" s="1526"/>
      <c r="AK23" s="1526"/>
      <c r="AL23" s="1526"/>
      <c r="AM23" s="1526"/>
      <c r="AN23" s="497"/>
    </row>
    <row customHeight="1" ht="10.96875">
      <c r="E24" s="625">
        <v>11.25</v>
      </c>
      <c r="AB24" s="1522" t="s">
        <v>758</v>
      </c>
      <c r="AC24" s="1527" t="s">
        <v>759</v>
      </c>
      <c r="AD24" s="1527" t="s">
        <v>760</v>
      </c>
      <c r="AE24" s="1527" t="s">
        <v>761</v>
      </c>
      <c r="AF24" s="1527" t="s">
        <v>762</v>
      </c>
      <c r="AG24" s="1527" t="s">
        <v>763</v>
      </c>
      <c r="AH24" s="1527" t="s">
        <v>764</v>
      </c>
      <c r="AI24" s="1528" t="s">
        <v>765</v>
      </c>
      <c r="AJ24" s="1531" t="s">
        <v>766</v>
      </c>
      <c r="AK24" s="1532" t="s">
        <v>767</v>
      </c>
      <c r="AL24" s="1533"/>
      <c r="AM24" s="1533"/>
      <c r="AN24" s="1534"/>
      <c r="AO24" s="1535" t="s">
        <v>500</v>
      </c>
      <c r="AP24" s="1535" t="s">
        <v>360</v>
      </c>
    </row>
    <row customHeight="1" ht="14.625">
      <c r="E25" s="625">
        <v>15</v>
      </c>
      <c r="AB25" s="1522"/>
      <c r="AC25" s="1527"/>
      <c r="AD25" s="1527"/>
      <c r="AE25" s="1527"/>
      <c r="AF25" s="1527"/>
      <c r="AG25" s="1527"/>
      <c r="AH25" s="1527"/>
      <c r="AI25" s="1529"/>
      <c r="AJ25" s="1531"/>
      <c r="AK25" s="1524" t="str">
        <f>god&amp;" год"</f>
        <v>2026 год</v>
      </c>
      <c r="AL25" s="1536"/>
      <c r="AM25" s="1536"/>
      <c r="AN25" s="1537"/>
      <c r="AO25" s="1535"/>
      <c r="AP25" s="1535"/>
    </row>
    <row customHeight="1" ht="48.75">
      <c r="E26" s="625">
        <v>50</v>
      </c>
      <c r="AB26" s="1522"/>
      <c r="AC26" s="1527"/>
      <c r="AD26" s="1527"/>
      <c r="AE26" s="1527"/>
      <c r="AF26" s="1527"/>
      <c r="AG26" s="1527"/>
      <c r="AH26" s="1527"/>
      <c r="AI26" s="1529"/>
      <c r="AJ26" s="1531"/>
      <c r="AK26" s="1538" t="s">
        <v>352</v>
      </c>
      <c r="AL26" s="1538"/>
      <c r="AM26" s="1535" t="s">
        <v>351</v>
      </c>
      <c r="AN26" s="1535"/>
      <c r="AO26" s="1535"/>
      <c r="AP26" s="1535"/>
    </row>
    <row customHeight="1" ht="13.893750000000002">
      <c r="E27" s="625">
        <v>14.25</v>
      </c>
      <c r="AB27" s="1522"/>
      <c r="AC27" s="1527"/>
      <c r="AD27" s="1527"/>
      <c r="AE27" s="1527"/>
      <c r="AF27" s="1527"/>
      <c r="AG27" s="1527"/>
      <c r="AH27" s="1527"/>
      <c r="AI27" s="1530"/>
      <c r="AJ27" s="1531"/>
      <c r="AK27" s="515" t="s">
        <v>377</v>
      </c>
      <c r="AL27" s="515" t="s">
        <v>768</v>
      </c>
      <c r="AM27" s="515" t="s">
        <v>377</v>
      </c>
      <c r="AN27" s="515" t="s">
        <v>768</v>
      </c>
      <c r="AO27" s="1535"/>
      <c r="AP27" s="1535"/>
    </row>
    <row customHeight="1" ht="11.25" hidden="1">
      <c r="E28" s="625">
        <v>0</v>
      </c>
      <c r="AB28" s="700"/>
      <c r="AC28" s="1154"/>
      <c r="AD28" s="701"/>
      <c r="AE28" s="701"/>
      <c r="AF28" s="701"/>
      <c r="AG28" s="701"/>
      <c r="AH28" s="701"/>
      <c r="AI28" s="1155"/>
      <c r="AJ28" s="1156"/>
      <c r="AK28" s="694"/>
      <c r="AL28" s="694"/>
      <c r="AM28" s="694"/>
      <c r="AN28" s="694"/>
      <c r="AO28" s="694"/>
      <c r="AP28" s="694"/>
    </row>
    <row customHeight="1" ht="14.625" hidden="1">
      <c r="A29" s="998"/>
      <c r="B29" s="1412"/>
      <c r="C29" s="1412"/>
      <c r="D29" s="1412"/>
      <c r="E29" s="625">
        <v>15</v>
      </c>
      <c r="F29" s="1290" cm="1" t="str">
        <f t="array" ref="F29:F29">X29</f>
        <v>0</v>
      </c>
      <c r="G29" s="461" t="s">
        <v>769</v>
      </c>
      <c r="H29" s="1412"/>
      <c r="I29" s="1412"/>
      <c r="J29" s="1412"/>
      <c r="K29" s="1412"/>
      <c r="L29" s="1412"/>
      <c r="M29" s="1412"/>
      <c r="N29" s="1412"/>
      <c r="O29" s="1412"/>
      <c r="P29" s="1412"/>
      <c r="Q29" s="1412"/>
      <c r="R29" s="1412"/>
      <c r="S29" s="1412"/>
      <c r="T29" s="438">
        <f>X29&gt;0</f>
        <v>0</v>
      </c>
      <c r="U29" s="1412"/>
      <c r="V29" s="461" t="s">
        <v>267</v>
      </c>
      <c r="W29" s="1412"/>
      <c r="X29" s="1541">
        <v>0</v>
      </c>
      <c r="Y29" s="1412"/>
      <c r="Z29" s="1542"/>
      <c r="AA29" s="1412"/>
      <c r="AB29" s="1157" cm="1" t="str">
        <f t="array" ref="AB29:AB29">INDEX('Общие сведения'!$AG$179:$AG$208,MATCH($X29,'Общие сведения'!$Z$179:$Z$208,0))</f>
        <v>Тариф 0 () - тариф на транспортировку сточных вод</v>
      </c>
      <c r="AC29" s="1158"/>
      <c r="AD29" s="146"/>
      <c r="AE29" s="146"/>
      <c r="AF29" s="146"/>
      <c r="AG29" s="146"/>
      <c r="AH29" s="146"/>
      <c r="AI29" s="146"/>
      <c r="AJ29" s="146"/>
      <c r="AK29" s="1159">
        <f>SUM(AK30:AK31)</f>
        <v>0</v>
      </c>
      <c r="AL29" s="516">
        <f>SUM(AL30:AL31)</f>
        <v>0</v>
      </c>
      <c r="AM29" s="516">
        <f>SUM(AM30:AM31)</f>
        <v>0</v>
      </c>
      <c r="AN29" s="516">
        <f>SUM(AN30:AN31)</f>
        <v>0</v>
      </c>
      <c r="AO29" s="1158"/>
      <c r="AP29" s="1158"/>
      <c r="AQ29" s="1412"/>
      <c r="AR29" s="1412"/>
      <c r="AS29" s="1377"/>
      <c r="AT29" s="1377"/>
      <c r="AU29" s="1377"/>
      <c r="AV29" s="1372"/>
      <c r="AW29" s="1372"/>
    </row>
    <row customHeight="1" ht="14.625" hidden="1">
      <c r="A30" s="998"/>
      <c r="B30" s="1412"/>
      <c r="C30" s="1412"/>
      <c r="D30" s="1412"/>
      <c r="E30" s="625">
        <v>15</v>
      </c>
      <c r="F30" s="50" cm="1" t="str">
        <f t="array" ref="F30:F30">OFFSET(E30,-1,1)</f>
        <v>0</v>
      </c>
      <c r="G30" s="1412"/>
      <c r="H30" s="461" cm="1" t="str">
        <f t="array" ref="H30:H30">AB30</f>
        <v>0</v>
      </c>
      <c r="I30" s="1412"/>
      <c r="J30" s="1412"/>
      <c r="K30" s="1412"/>
      <c r="L30" s="1412"/>
      <c r="M30" s="1412"/>
      <c r="N30" s="1412"/>
      <c r="O30" s="1412"/>
      <c r="P30" s="1412"/>
      <c r="Q30" s="1412"/>
      <c r="R30" s="1412"/>
      <c r="S30" s="1412"/>
      <c r="T30" s="438">
        <f>AND(F30&gt;0,AB30&gt;0)</f>
        <v>0</v>
      </c>
      <c r="U30" s="1412"/>
      <c r="V30" s="1412"/>
      <c r="W30" s="733" t="s">
        <v>172</v>
      </c>
      <c r="X30" s="1541"/>
      <c r="Y30" s="1412"/>
      <c r="Z30" s="1542"/>
      <c r="AA30" s="1160" t="s">
        <v>173</v>
      </c>
      <c r="AB30" s="644">
        <v>0</v>
      </c>
      <c r="AC30" s="2199"/>
      <c r="AD30" s="2200"/>
      <c r="AE30" s="2200"/>
      <c r="AF30" s="2201"/>
      <c r="AG30" s="2202"/>
      <c r="AH30" s="2202"/>
      <c r="AI30" s="2203"/>
      <c r="AJ30" s="1166">
        <f>IF(AH30=0,0,AG30/AH30)</f>
        <v>0</v>
      </c>
      <c r="AK30" s="2205"/>
      <c r="AL30" s="2206">
        <f>AK30*$AJ30</f>
        <v>0</v>
      </c>
      <c r="AM30" s="2205"/>
      <c r="AN30" s="517">
        <f>AM30*$AJ30</f>
        <v>0</v>
      </c>
      <c r="AO30" s="2208"/>
      <c r="AP30" s="2208"/>
      <c r="AQ30" s="1412"/>
      <c r="AR30" s="1412"/>
      <c r="AS30" s="1002" t="s">
        <v>770</v>
      </c>
      <c r="AT30" s="1002" t="s">
        <v>771</v>
      </c>
      <c r="AU30" s="1002" cm="1" t="str">
        <f t="array" ref="AU30:AU30">AC30</f>
        <v>0</v>
      </c>
      <c r="AV30" s="1372"/>
      <c r="AW30" s="625" t="b">
        <v>1</v>
      </c>
    </row>
    <row customHeight="1" ht="14.625" hidden="1">
      <c r="A31" s="998"/>
      <c r="B31" s="1412"/>
      <c r="C31" s="1000"/>
      <c r="D31" s="1412"/>
      <c r="E31" s="625">
        <v>15</v>
      </c>
      <c r="F31" s="50" cm="1" t="str">
        <f t="array" ref="F31:F31">OFFSET(E31,-1,1)</f>
        <v>0</v>
      </c>
      <c r="G31" s="1000"/>
      <c r="H31" s="461" t="str">
        <f>"!= 0"</f>
        <v>!= 0</v>
      </c>
      <c r="I31" s="1412"/>
      <c r="J31" s="1412"/>
      <c r="K31" s="1412"/>
      <c r="L31" s="1412"/>
      <c r="M31" s="1412"/>
      <c r="N31" s="1412"/>
      <c r="O31" s="1412"/>
      <c r="P31" s="1412"/>
      <c r="Q31" s="1412"/>
      <c r="R31" s="1412"/>
      <c r="S31" s="1412"/>
      <c r="T31" s="438" cm="1" t="str">
        <f t="array" ref="T31:T31">T29</f>
        <v>false</v>
      </c>
      <c r="U31" s="1412"/>
      <c r="V31" s="1412"/>
      <c r="W31" s="733" t="s">
        <v>772</v>
      </c>
      <c r="X31" s="1541"/>
      <c r="Y31" s="1412"/>
      <c r="Z31" s="1542"/>
      <c r="AA31" s="1412"/>
      <c r="AB31" s="1170"/>
      <c r="AC31" s="1171" t="s">
        <v>176</v>
      </c>
      <c r="AD31" s="1291"/>
      <c r="AE31" s="1291"/>
      <c r="AF31" s="1291"/>
      <c r="AG31" s="1291"/>
      <c r="AH31" s="1291"/>
      <c r="AI31" s="1291"/>
      <c r="AJ31" s="1291"/>
      <c r="AK31" s="1291"/>
      <c r="AL31" s="1291"/>
      <c r="AM31" s="1291"/>
      <c r="AN31" s="1291"/>
      <c r="AO31" s="1350"/>
      <c r="AP31" s="1172"/>
      <c r="AQ31" s="1412"/>
      <c r="AR31" s="1412"/>
      <c r="AS31" s="1377"/>
      <c r="AT31" s="1377"/>
      <c r="AU31" s="1377"/>
      <c r="AV31" s="625" t="s">
        <v>771</v>
      </c>
      <c r="AW31" s="1372"/>
    </row>
    <row s="1624" customFormat="1" customHeight="1" ht="29.410504427823152">
      <c r="A32" s="998"/>
      <c r="B32" s="1412"/>
      <c r="C32" s="1412"/>
      <c r="D32" s="1412"/>
      <c r="E32" s="625">
        <v>15</v>
      </c>
      <c r="F32" s="1290" cm="1" t="str">
        <f t="array" ref="F32:F32">X32</f>
        <v>1</v>
      </c>
      <c r="G32" s="461" t="s">
        <v>769</v>
      </c>
      <c r="H32" s="1412"/>
      <c r="I32" s="1412"/>
      <c r="J32" s="1412"/>
      <c r="K32" s="1412"/>
      <c r="L32" s="1412"/>
      <c r="M32" s="1412"/>
      <c r="N32" s="1412"/>
      <c r="O32" s="1412"/>
      <c r="P32" s="1412"/>
      <c r="Q32" s="1412"/>
      <c r="R32" s="1412"/>
      <c r="S32" s="1412"/>
      <c r="T32" s="438">
        <f>X32&gt;0</f>
        <v>1</v>
      </c>
      <c r="U32" s="1412"/>
      <c r="V32" s="461" cm="1" t="str">
        <f t="array" ref="V32:V32">Баланс!$AB$118</f>
        <v>Тариф 1 (Водоотведение) - тариф на транспортировку сточных вод</v>
      </c>
      <c r="W32" s="1412"/>
      <c r="X32" s="1541" t="s">
        <v>281</v>
      </c>
      <c r="Y32" s="1412"/>
      <c r="Z32" s="1542"/>
      <c r="AA32" s="1412"/>
      <c r="AB32" s="1157" cm="1" t="str">
        <f t="array" ref="AB32:AB32">Баланс!$AB$118</f>
        <v>Тариф 1 (Водоотведение) - тариф на транспортировку сточных вод</v>
      </c>
      <c r="AC32" s="1158"/>
      <c r="AD32" s="146"/>
      <c r="AE32" s="146"/>
      <c r="AF32" s="146"/>
      <c r="AG32" s="146"/>
      <c r="AH32" s="146"/>
      <c r="AI32" s="146"/>
      <c r="AJ32" s="146"/>
      <c r="AK32" s="1159">
        <f>SUM(AK33:AK35)</f>
        <v>1.053</v>
      </c>
      <c r="AL32" s="516">
        <f>SUM(AL33:AL35)</f>
        <v>0.713229626247401</v>
      </c>
      <c r="AM32" s="516">
        <f>SUM(AM33:AM35)</f>
        <v>1.053</v>
      </c>
      <c r="AN32" s="516">
        <f>SUM(AN33:AN35)</f>
        <v>0.446511006012289</v>
      </c>
      <c r="AO32" s="1158"/>
      <c r="AP32" s="1158"/>
      <c r="AQ32" s="1412"/>
      <c r="AR32" s="1412"/>
      <c r="AS32" s="1377"/>
      <c r="AT32" s="1377"/>
      <c r="AU32" s="1377"/>
      <c r="AV32" s="1372"/>
      <c r="AW32" s="1372"/>
    </row>
    <row s="1624" customFormat="1" customHeight="1" ht="14.25" hidden="1">
      <c r="A33" s="998"/>
      <c r="B33" s="1412"/>
      <c r="C33" s="1412"/>
      <c r="D33" s="1412"/>
      <c r="E33" s="625">
        <v>15</v>
      </c>
      <c r="F33" s="50" cm="1" t="str">
        <f t="array" ref="F33:F33">OFFSET(E33,-1,1)</f>
        <v>1</v>
      </c>
      <c r="G33" s="1412"/>
      <c r="H33" s="461" cm="1" t="str">
        <f t="array" ref="H33:H33">AB33</f>
        <v>0</v>
      </c>
      <c r="I33" s="1412"/>
      <c r="J33" s="1412"/>
      <c r="K33" s="1412"/>
      <c r="L33" s="1412"/>
      <c r="M33" s="1412"/>
      <c r="N33" s="1412"/>
      <c r="O33" s="1412"/>
      <c r="P33" s="1412"/>
      <c r="Q33" s="1412"/>
      <c r="R33" s="1412"/>
      <c r="S33" s="1412"/>
      <c r="T33" s="438">
        <f>AND(F33&gt;0,AB33&gt;0)</f>
        <v>0</v>
      </c>
      <c r="U33" s="1412"/>
      <c r="V33" s="1412"/>
      <c r="W33" s="733" t="s">
        <v>172</v>
      </c>
      <c r="X33" s="1541"/>
      <c r="Y33" s="1412"/>
      <c r="Z33" s="1542"/>
      <c r="AA33" s="1160" t="s">
        <v>173</v>
      </c>
      <c r="AB33" s="644">
        <v>0</v>
      </c>
      <c r="AC33" s="2199"/>
      <c r="AD33" s="2200"/>
      <c r="AE33" s="2200"/>
      <c r="AF33" s="2201"/>
      <c r="AG33" s="2202"/>
      <c r="AH33" s="2202"/>
      <c r="AI33" s="2203"/>
      <c r="AJ33" s="1166">
        <f>IF(AH33=0,0,AG33/AH33)</f>
        <v>0</v>
      </c>
      <c r="AK33" s="2205"/>
      <c r="AL33" s="2206">
        <f>AK33*$AJ33</f>
        <v>0</v>
      </c>
      <c r="AM33" s="2205"/>
      <c r="AN33" s="517">
        <f>AM33*$AJ33</f>
        <v>0</v>
      </c>
      <c r="AO33" s="2208"/>
      <c r="AP33" s="2208"/>
      <c r="AQ33" s="1412"/>
      <c r="AR33" s="1412"/>
      <c r="AS33" s="1002" t="s">
        <v>770</v>
      </c>
      <c r="AT33" s="1002" t="s">
        <v>771</v>
      </c>
      <c r="AU33" s="1002" cm="1" t="str">
        <f t="array" ref="AU33:AU33">AC33</f>
        <v>0</v>
      </c>
      <c r="AV33" s="1372"/>
      <c r="AW33" s="625" t="b">
        <v>1</v>
      </c>
    </row>
    <row s="1624" customFormat="1" customHeight="1" ht="38.955958973277696">
      <c r="A34" s="998"/>
      <c r="B34" s="1412"/>
      <c r="C34" s="1412"/>
      <c r="D34" s="1412"/>
      <c r="E34" s="625">
        <v>15</v>
      </c>
      <c r="F34" s="50" cm="1" t="str">
        <f t="array" ref="F34:F34">OFFSET(E34,-1,1)</f>
        <v>1</v>
      </c>
      <c r="G34" s="1412"/>
      <c r="H34" s="461" cm="1" t="str">
        <f t="array" ref="H34:H34">AB34</f>
        <v>1</v>
      </c>
      <c r="I34" s="1412"/>
      <c r="J34" s="1412"/>
      <c r="K34" s="1412"/>
      <c r="L34" s="1412"/>
      <c r="M34" s="1412"/>
      <c r="N34" s="1412"/>
      <c r="O34" s="1412"/>
      <c r="P34" s="1412"/>
      <c r="Q34" s="1412"/>
      <c r="R34" s="1412"/>
      <c r="S34" s="1412"/>
      <c r="T34" s="438">
        <f>AND(F34&gt;0,AB34&gt;0)</f>
        <v>1</v>
      </c>
      <c r="U34" s="1412"/>
      <c r="V34" s="1412"/>
      <c r="W34" s="733"/>
      <c r="X34" s="1541"/>
      <c r="Y34" s="1412"/>
      <c r="Z34" s="1542"/>
      <c r="AA34" s="1160" t="s">
        <v>173</v>
      </c>
      <c r="AB34" s="644" t="s">
        <v>281</v>
      </c>
      <c r="AC34" s="1161" t="s">
        <v>773</v>
      </c>
      <c r="AD34" s="1162" t="s">
        <v>774</v>
      </c>
      <c r="AE34" s="1162" t="s">
        <v>775</v>
      </c>
      <c r="AF34" s="1163">
        <v>3</v>
      </c>
      <c r="AG34" s="1164">
        <v>14633.23</v>
      </c>
      <c r="AH34" s="1164">
        <v>34509.32</v>
      </c>
      <c r="AI34" s="1165" t="s">
        <v>776</v>
      </c>
      <c r="AJ34" s="1166">
        <f>IF(AH34=0,0,AG34/AH34)</f>
        <v>0.424037042746713</v>
      </c>
      <c r="AK34" s="1167">
        <v>1.053</v>
      </c>
      <c r="AL34" s="1168">
        <f>(22162.3/32720.04)*1.053</f>
        <v>0.713229626247401</v>
      </c>
      <c r="AM34" s="1167" cm="1" t="str">
        <f t="array" ref="AM34:AM34">AK34</f>
        <v>1.053</v>
      </c>
      <c r="AN34" s="517">
        <f>AM34*$AJ34</f>
        <v>0.446511006012289</v>
      </c>
      <c r="AO34" s="1169" t="s">
        <v>777</v>
      </c>
      <c r="AP34" s="1169"/>
      <c r="AQ34" s="1412"/>
      <c r="AR34" s="1412"/>
      <c r="AS34" s="1002" t="s">
        <v>770</v>
      </c>
      <c r="AT34" s="1002" t="s">
        <v>771</v>
      </c>
      <c r="AU34" s="1002" cm="1" t="str">
        <f t="array" ref="AU34:AU34">AC34</f>
        <v>196-205</v>
      </c>
      <c r="AV34" s="1372"/>
      <c r="AW34" s="625" t="b">
        <v>1</v>
      </c>
    </row>
    <row s="1624" customFormat="1" customHeight="1" ht="14.25">
      <c r="A35" s="998"/>
      <c r="B35" s="1412"/>
      <c r="C35" s="1000"/>
      <c r="D35" s="1412"/>
      <c r="E35" s="625">
        <v>15</v>
      </c>
      <c r="F35" s="50" cm="1" t="str">
        <f t="array" ref="F35:F35">OFFSET(E35,-1,1)</f>
        <v>1</v>
      </c>
      <c r="G35" s="1000"/>
      <c r="H35" s="461" t="str">
        <f>"!= 0"</f>
        <v>!= 0</v>
      </c>
      <c r="I35" s="1412"/>
      <c r="J35" s="1412"/>
      <c r="K35" s="1412"/>
      <c r="L35" s="1412"/>
      <c r="M35" s="1412"/>
      <c r="N35" s="1412"/>
      <c r="O35" s="1412"/>
      <c r="P35" s="1412"/>
      <c r="Q35" s="1412"/>
      <c r="R35" s="1412"/>
      <c r="S35" s="1412"/>
      <c r="T35" s="438" cm="1" t="str">
        <f t="array" ref="T35:T35">T32</f>
        <v>true</v>
      </c>
      <c r="U35" s="1412"/>
      <c r="V35" s="1412"/>
      <c r="W35" s="733" t="s">
        <v>772</v>
      </c>
      <c r="X35" s="1541"/>
      <c r="Y35" s="1412"/>
      <c r="Z35" s="1542"/>
      <c r="AA35" s="1412"/>
      <c r="AB35" s="1170"/>
      <c r="AC35" s="1171" t="s">
        <v>176</v>
      </c>
      <c r="AD35" s="1291"/>
      <c r="AE35" s="1291"/>
      <c r="AF35" s="1291"/>
      <c r="AG35" s="1291"/>
      <c r="AH35" s="1291"/>
      <c r="AI35" s="1291"/>
      <c r="AJ35" s="1291"/>
      <c r="AK35" s="1291"/>
      <c r="AL35" s="1291"/>
      <c r="AM35" s="1291"/>
      <c r="AN35" s="1291"/>
      <c r="AO35" s="1350"/>
      <c r="AP35" s="1172"/>
      <c r="AQ35" s="1412"/>
      <c r="AR35" s="1412"/>
      <c r="AS35" s="1377"/>
      <c r="AT35" s="1377"/>
      <c r="AU35" s="1377"/>
      <c r="AV35" s="625" t="s">
        <v>771</v>
      </c>
      <c r="AW35" s="1372"/>
    </row>
    <row customHeight="1" ht="10.96875">
      <c r="E36" s="625">
        <v>11.25</v>
      </c>
      <c r="U36" s="1173" t="s">
        <v>176</v>
      </c>
      <c r="V36" s="1174" t="s">
        <v>778</v>
      </c>
      <c r="AB36" s="508"/>
      <c r="AC36" s="509"/>
      <c r="AD36" s="508"/>
      <c r="AE36" s="508"/>
      <c r="AF36" s="508"/>
      <c r="AG36" s="508"/>
      <c r="AH36" s="508"/>
      <c r="AI36" s="508"/>
      <c r="AJ36" s="508"/>
      <c r="AK36" s="510"/>
      <c r="AL36" s="510"/>
    </row>
    <row s="1282" customFormat="1" customHeight="1" ht="14.625">
      <c r="A37" s="999"/>
      <c r="E37" s="626">
        <v>15</v>
      </c>
      <c r="AB37" s="1522" t="s">
        <v>392</v>
      </c>
      <c r="AC37" s="1522"/>
      <c r="AD37" s="1522"/>
      <c r="AE37" s="1522"/>
      <c r="AF37" s="1522"/>
      <c r="AG37" s="1522"/>
      <c r="AH37" s="1522"/>
      <c r="AI37" s="1522"/>
      <c r="AJ37" s="1522"/>
      <c r="AK37" s="1543"/>
      <c r="AL37" s="1543"/>
      <c r="AM37" s="1543"/>
      <c r="AN37" s="1543"/>
      <c r="AO37" s="1543"/>
      <c r="AP37" s="1543"/>
      <c r="AS37" s="1004"/>
      <c r="AT37" s="1004"/>
      <c r="AU37" s="1004"/>
      <c r="AV37" s="626"/>
      <c r="AW37" s="626"/>
    </row>
    <row s="1282" customFormat="1" customHeight="1" ht="34.18323170055042">
      <c r="A38" s="999"/>
      <c r="E38" s="626">
        <v>15</v>
      </c>
      <c r="AA38" s="1292"/>
      <c r="AB38" s="1544" t="s">
        <v>779</v>
      </c>
      <c r="AC38" s="1544"/>
      <c r="AD38" s="1544"/>
      <c r="AE38" s="1544"/>
      <c r="AF38" s="1544"/>
      <c r="AG38" s="1544"/>
      <c r="AH38" s="1544"/>
      <c r="AI38" s="1544"/>
      <c r="AJ38" s="1544"/>
      <c r="AK38" s="1545"/>
      <c r="AL38" s="1545"/>
      <c r="AM38" s="1545"/>
      <c r="AN38" s="1545"/>
      <c r="AO38" s="1545"/>
      <c r="AP38" s="1545"/>
      <c r="AS38" s="1004"/>
      <c r="AT38" s="1004"/>
      <c r="AU38" s="1004"/>
      <c r="AV38" s="626"/>
      <c r="AW38" s="626"/>
    </row>
    <row s="1282" customFormat="1" customHeight="1" ht="14.625" hidden="1">
      <c r="A39" s="999"/>
      <c r="B39" s="1282"/>
      <c r="C39" s="1282"/>
      <c r="D39" s="1282"/>
      <c r="E39" s="626">
        <v>15</v>
      </c>
      <c r="F39" s="1282"/>
      <c r="G39" s="1282"/>
      <c r="H39" s="1282"/>
      <c r="I39" s="1282"/>
      <c r="J39" s="1282"/>
      <c r="K39" s="1282"/>
      <c r="L39" s="1282"/>
      <c r="M39" s="1282"/>
      <c r="N39" s="1282"/>
      <c r="O39" s="1282"/>
      <c r="P39" s="1282"/>
      <c r="Q39" s="1282"/>
      <c r="R39" s="1282"/>
      <c r="S39" s="1282"/>
      <c r="T39" s="438">
        <f>ROW(Y39)&gt;ROW(Y$39)</f>
        <v>0</v>
      </c>
      <c r="U39" s="1282"/>
      <c r="V39" s="1282"/>
      <c r="W39" s="733" t="s">
        <v>172</v>
      </c>
      <c r="X39" s="1282"/>
      <c r="Y39" s="1282"/>
      <c r="Z39" s="1282"/>
      <c r="AA39" s="1175" t="s">
        <v>173</v>
      </c>
      <c r="AB39" s="2242"/>
      <c r="AC39" s="1832"/>
      <c r="AD39" s="1832"/>
      <c r="AE39" s="1832"/>
      <c r="AF39" s="1832"/>
      <c r="AG39" s="1832"/>
      <c r="AH39" s="1832"/>
      <c r="AI39" s="1832"/>
      <c r="AJ39" s="1832"/>
      <c r="AK39" s="1832"/>
      <c r="AL39" s="1832"/>
      <c r="AM39" s="1832"/>
      <c r="AN39" s="1832"/>
      <c r="AO39" s="1832"/>
      <c r="AP39" s="2243"/>
      <c r="AQ39" s="1282"/>
      <c r="AR39" s="1282"/>
      <c r="AS39" s="1004"/>
      <c r="AT39" s="1004"/>
      <c r="AU39" s="1004"/>
      <c r="AV39" s="626"/>
      <c r="AW39" s="626"/>
    </row>
    <row s="2245" customFormat="1" customHeight="1" ht="45.77414079145951">
      <c r="A40" s="999"/>
      <c r="B40" s="1282"/>
      <c r="C40" s="1282"/>
      <c r="D40" s="1282"/>
      <c r="E40" s="626">
        <v>15</v>
      </c>
      <c r="F40" s="1282"/>
      <c r="G40" s="1282"/>
      <c r="H40" s="1282"/>
      <c r="I40" s="1282"/>
      <c r="J40" s="1282"/>
      <c r="K40" s="1282"/>
      <c r="L40" s="1282"/>
      <c r="M40" s="1282"/>
      <c r="N40" s="1282"/>
      <c r="O40" s="1282"/>
      <c r="P40" s="1282"/>
      <c r="Q40" s="1282"/>
      <c r="R40" s="1282"/>
      <c r="S40" s="1282"/>
      <c r="T40" s="438">
        <f>ROW(Y40)&gt;ROW(Y$39)</f>
        <v>1</v>
      </c>
      <c r="U40" s="1282"/>
      <c r="V40" s="1282"/>
      <c r="W40" s="733"/>
      <c r="X40" s="1282"/>
      <c r="Y40" s="1282"/>
      <c r="Z40" s="1282"/>
      <c r="AA40" s="1175" t="s">
        <v>173</v>
      </c>
      <c r="AB40" s="1539" t="s">
        <v>780</v>
      </c>
      <c r="AC40" s="1505"/>
      <c r="AD40" s="1505"/>
      <c r="AE40" s="1505"/>
      <c r="AF40" s="1505"/>
      <c r="AG40" s="1505"/>
      <c r="AH40" s="1505"/>
      <c r="AI40" s="1505"/>
      <c r="AJ40" s="1505"/>
      <c r="AK40" s="1505"/>
      <c r="AL40" s="1505"/>
      <c r="AM40" s="1505"/>
      <c r="AN40" s="1505"/>
      <c r="AO40" s="1505"/>
      <c r="AP40" s="1540"/>
      <c r="AQ40" s="1282"/>
      <c r="AR40" s="1282"/>
      <c r="AS40" s="1004"/>
      <c r="AT40" s="1004"/>
      <c r="AU40" s="1004"/>
      <c r="AV40" s="626"/>
      <c r="AW40" s="626"/>
    </row>
    <row s="2248" customFormat="1" customHeight="1" ht="32.137777155095876">
      <c r="A41" s="999"/>
      <c r="B41" s="1282"/>
      <c r="C41" s="1282"/>
      <c r="D41" s="1282"/>
      <c r="E41" s="626">
        <v>15</v>
      </c>
      <c r="F41" s="1282"/>
      <c r="G41" s="1282"/>
      <c r="H41" s="1282"/>
      <c r="I41" s="1282"/>
      <c r="J41" s="1282"/>
      <c r="K41" s="1282"/>
      <c r="L41" s="1282"/>
      <c r="M41" s="1282"/>
      <c r="N41" s="1282"/>
      <c r="O41" s="1282"/>
      <c r="P41" s="1282"/>
      <c r="Q41" s="1282"/>
      <c r="R41" s="1282"/>
      <c r="S41" s="1282"/>
      <c r="T41" s="438">
        <f>ROW(Y41)&gt;ROW(Y$39)</f>
        <v>1</v>
      </c>
      <c r="U41" s="1282"/>
      <c r="V41" s="1282"/>
      <c r="W41" s="733"/>
      <c r="X41" s="1282"/>
      <c r="Y41" s="1282"/>
      <c r="Z41" s="1282"/>
      <c r="AA41" s="1175" t="s">
        <v>173</v>
      </c>
      <c r="AB41" s="1539" t="s">
        <v>781</v>
      </c>
      <c r="AC41" s="1505"/>
      <c r="AD41" s="1505"/>
      <c r="AE41" s="1505"/>
      <c r="AF41" s="1505"/>
      <c r="AG41" s="1505"/>
      <c r="AH41" s="1505"/>
      <c r="AI41" s="1505"/>
      <c r="AJ41" s="1505"/>
      <c r="AK41" s="1505"/>
      <c r="AL41" s="1505"/>
      <c r="AM41" s="1505"/>
      <c r="AN41" s="1505"/>
      <c r="AO41" s="1505"/>
      <c r="AP41" s="1540"/>
      <c r="AQ41" s="1282"/>
      <c r="AR41" s="1282"/>
      <c r="AS41" s="1004"/>
      <c r="AT41" s="1004"/>
      <c r="AU41" s="1004"/>
      <c r="AV41" s="626"/>
      <c r="AW41" s="626"/>
    </row>
    <row s="2249" customFormat="1" customHeight="1" ht="32.137777155095876">
      <c r="A42" s="999"/>
      <c r="B42" s="1282"/>
      <c r="C42" s="1282"/>
      <c r="D42" s="1282"/>
      <c r="E42" s="626">
        <v>15</v>
      </c>
      <c r="F42" s="1282"/>
      <c r="G42" s="1282"/>
      <c r="H42" s="1282"/>
      <c r="I42" s="1282"/>
      <c r="J42" s="1282"/>
      <c r="K42" s="1282"/>
      <c r="L42" s="1282"/>
      <c r="M42" s="1282"/>
      <c r="N42" s="1282"/>
      <c r="O42" s="1282"/>
      <c r="P42" s="1282"/>
      <c r="Q42" s="1282"/>
      <c r="R42" s="1282"/>
      <c r="S42" s="1282"/>
      <c r="T42" s="438">
        <f>ROW(Y42)&gt;ROW(Y$39)</f>
        <v>1</v>
      </c>
      <c r="U42" s="1282"/>
      <c r="V42" s="1282"/>
      <c r="W42" s="733"/>
      <c r="X42" s="1282"/>
      <c r="Y42" s="1282"/>
      <c r="Z42" s="1282"/>
      <c r="AA42" s="1175" t="s">
        <v>173</v>
      </c>
      <c r="AB42" s="1539" t="s">
        <v>782</v>
      </c>
      <c r="AC42" s="1505"/>
      <c r="AD42" s="1505"/>
      <c r="AE42" s="1505"/>
      <c r="AF42" s="1505"/>
      <c r="AG42" s="1505"/>
      <c r="AH42" s="1505"/>
      <c r="AI42" s="1505"/>
      <c r="AJ42" s="1505"/>
      <c r="AK42" s="1505"/>
      <c r="AL42" s="1505"/>
      <c r="AM42" s="1505"/>
      <c r="AN42" s="1505"/>
      <c r="AO42" s="1505"/>
      <c r="AP42" s="1540"/>
      <c r="AQ42" s="1282"/>
      <c r="AR42" s="1282"/>
      <c r="AS42" s="1004"/>
      <c r="AT42" s="1004"/>
      <c r="AU42" s="1004"/>
      <c r="AV42" s="626"/>
      <c r="AW42" s="626"/>
    </row>
    <row s="2250" customFormat="1" customHeight="1" ht="49.8650498823686">
      <c r="A43" s="999"/>
      <c r="B43" s="1282"/>
      <c r="C43" s="1282"/>
      <c r="D43" s="1282"/>
      <c r="E43" s="626">
        <v>15</v>
      </c>
      <c r="F43" s="1282"/>
      <c r="G43" s="1282"/>
      <c r="H43" s="1282"/>
      <c r="I43" s="1282"/>
      <c r="J43" s="1282"/>
      <c r="K43" s="1282"/>
      <c r="L43" s="1282"/>
      <c r="M43" s="1282"/>
      <c r="N43" s="1282"/>
      <c r="O43" s="1282"/>
      <c r="P43" s="1282"/>
      <c r="Q43" s="1282"/>
      <c r="R43" s="1282"/>
      <c r="S43" s="1282"/>
      <c r="T43" s="438">
        <f>ROW(Y43)&gt;ROW(Y$39)</f>
        <v>1</v>
      </c>
      <c r="U43" s="1282"/>
      <c r="V43" s="1282"/>
      <c r="W43" s="733"/>
      <c r="X43" s="1282"/>
      <c r="Y43" s="1282"/>
      <c r="Z43" s="1282"/>
      <c r="AA43" s="1175" t="s">
        <v>173</v>
      </c>
      <c r="AB43" s="1539" t="s">
        <v>783</v>
      </c>
      <c r="AC43" s="1505"/>
      <c r="AD43" s="1505"/>
      <c r="AE43" s="1505"/>
      <c r="AF43" s="1505"/>
      <c r="AG43" s="1505"/>
      <c r="AH43" s="1505"/>
      <c r="AI43" s="1505"/>
      <c r="AJ43" s="1505"/>
      <c r="AK43" s="1505"/>
      <c r="AL43" s="1505"/>
      <c r="AM43" s="1505"/>
      <c r="AN43" s="1505"/>
      <c r="AO43" s="1505"/>
      <c r="AP43" s="1540"/>
      <c r="AQ43" s="1282"/>
      <c r="AR43" s="1282"/>
      <c r="AS43" s="1004"/>
      <c r="AT43" s="1004"/>
      <c r="AU43" s="1004"/>
      <c r="AV43" s="626"/>
      <c r="AW43" s="626"/>
    </row>
    <row s="2251" customFormat="1" customHeight="1" ht="21.22868624600497">
      <c r="A44" s="999"/>
      <c r="B44" s="1282"/>
      <c r="C44" s="1282"/>
      <c r="D44" s="1282"/>
      <c r="E44" s="626">
        <v>15</v>
      </c>
      <c r="F44" s="1282"/>
      <c r="G44" s="1282"/>
      <c r="H44" s="1282"/>
      <c r="I44" s="1282"/>
      <c r="J44" s="1282"/>
      <c r="K44" s="1282"/>
      <c r="L44" s="1282"/>
      <c r="M44" s="1282"/>
      <c r="N44" s="1282"/>
      <c r="O44" s="1282"/>
      <c r="P44" s="1282"/>
      <c r="Q44" s="1282"/>
      <c r="R44" s="1282"/>
      <c r="S44" s="1282"/>
      <c r="T44" s="438">
        <f>ROW(Y44)&gt;ROW(Y$39)</f>
        <v>1</v>
      </c>
      <c r="U44" s="1282"/>
      <c r="V44" s="1282"/>
      <c r="W44" s="733"/>
      <c r="X44" s="1282"/>
      <c r="Y44" s="1282"/>
      <c r="Z44" s="1282"/>
      <c r="AA44" s="1175" t="s">
        <v>173</v>
      </c>
      <c r="AB44" s="1539" t="s">
        <v>784</v>
      </c>
      <c r="AC44" s="1505"/>
      <c r="AD44" s="1505"/>
      <c r="AE44" s="1505"/>
      <c r="AF44" s="1505"/>
      <c r="AG44" s="1505"/>
      <c r="AH44" s="1505"/>
      <c r="AI44" s="1505"/>
      <c r="AJ44" s="1505"/>
      <c r="AK44" s="1505"/>
      <c r="AL44" s="1505"/>
      <c r="AM44" s="1505"/>
      <c r="AN44" s="1505"/>
      <c r="AO44" s="1505"/>
      <c r="AP44" s="1540"/>
      <c r="AQ44" s="1282"/>
      <c r="AR44" s="1282"/>
      <c r="AS44" s="1004"/>
      <c r="AT44" s="1004"/>
      <c r="AU44" s="1004"/>
      <c r="AV44" s="626"/>
      <c r="AW44" s="626"/>
    </row>
    <row s="2252" customFormat="1" customHeight="1" ht="25.319595336914062">
      <c r="A45" s="999"/>
      <c r="B45" s="1282"/>
      <c r="C45" s="1282"/>
      <c r="D45" s="1282"/>
      <c r="E45" s="626">
        <v>15</v>
      </c>
      <c r="F45" s="1282"/>
      <c r="G45" s="1282"/>
      <c r="H45" s="1282"/>
      <c r="I45" s="1282"/>
      <c r="J45" s="1282"/>
      <c r="K45" s="1282"/>
      <c r="L45" s="1282"/>
      <c r="M45" s="1282"/>
      <c r="N45" s="1282"/>
      <c r="O45" s="1282"/>
      <c r="P45" s="1282"/>
      <c r="Q45" s="1282"/>
      <c r="R45" s="1282"/>
      <c r="S45" s="1282"/>
      <c r="T45" s="438">
        <f>ROW(Y45)&gt;ROW(Y$39)</f>
        <v>1</v>
      </c>
      <c r="U45" s="1282"/>
      <c r="V45" s="1282"/>
      <c r="W45" s="733"/>
      <c r="X45" s="1282"/>
      <c r="Y45" s="1282"/>
      <c r="Z45" s="1282"/>
      <c r="AA45" s="1175" t="s">
        <v>173</v>
      </c>
      <c r="AB45" s="1539" t="s">
        <v>785</v>
      </c>
      <c r="AC45" s="1505"/>
      <c r="AD45" s="1505"/>
      <c r="AE45" s="1505"/>
      <c r="AF45" s="1505"/>
      <c r="AG45" s="1505"/>
      <c r="AH45" s="1505"/>
      <c r="AI45" s="1505"/>
      <c r="AJ45" s="1505"/>
      <c r="AK45" s="1505"/>
      <c r="AL45" s="1505"/>
      <c r="AM45" s="1505"/>
      <c r="AN45" s="1505"/>
      <c r="AO45" s="1505"/>
      <c r="AP45" s="1540"/>
      <c r="AQ45" s="1282"/>
      <c r="AR45" s="1282"/>
      <c r="AS45" s="1004"/>
      <c r="AT45" s="1004"/>
      <c r="AU45" s="1004"/>
      <c r="AV45" s="626"/>
      <c r="AW45" s="626"/>
    </row>
    <row s="2253" customFormat="1" customHeight="1" ht="34.18323170055042">
      <c r="A46" s="999"/>
      <c r="B46" s="1282"/>
      <c r="C46" s="1282"/>
      <c r="D46" s="1282"/>
      <c r="E46" s="626">
        <v>15</v>
      </c>
      <c r="F46" s="1282"/>
      <c r="G46" s="1282"/>
      <c r="H46" s="1282"/>
      <c r="I46" s="1282"/>
      <c r="J46" s="1282"/>
      <c r="K46" s="1282"/>
      <c r="L46" s="1282"/>
      <c r="M46" s="1282"/>
      <c r="N46" s="1282"/>
      <c r="O46" s="1282"/>
      <c r="P46" s="1282"/>
      <c r="Q46" s="1282"/>
      <c r="R46" s="1282"/>
      <c r="S46" s="1282"/>
      <c r="T46" s="438">
        <f>ROW(Y46)&gt;ROW(Y$39)</f>
        <v>1</v>
      </c>
      <c r="U46" s="1282"/>
      <c r="V46" s="1282"/>
      <c r="W46" s="733"/>
      <c r="X46" s="1282"/>
      <c r="Y46" s="1282"/>
      <c r="Z46" s="1282"/>
      <c r="AA46" s="1175" t="s">
        <v>173</v>
      </c>
      <c r="AB46" s="1539" t="s">
        <v>786</v>
      </c>
      <c r="AC46" s="1505"/>
      <c r="AD46" s="1505"/>
      <c r="AE46" s="1505"/>
      <c r="AF46" s="1505"/>
      <c r="AG46" s="1505"/>
      <c r="AH46" s="1505"/>
      <c r="AI46" s="1505"/>
      <c r="AJ46" s="1505"/>
      <c r="AK46" s="1505"/>
      <c r="AL46" s="1505"/>
      <c r="AM46" s="1505"/>
      <c r="AN46" s="1505"/>
      <c r="AO46" s="1505"/>
      <c r="AP46" s="1540"/>
      <c r="AQ46" s="1282"/>
      <c r="AR46" s="1282"/>
      <c r="AS46" s="1004"/>
      <c r="AT46" s="1004"/>
      <c r="AU46" s="1004"/>
      <c r="AV46" s="626"/>
      <c r="AW46" s="626"/>
    </row>
    <row s="1282" customFormat="1" customHeight="1" ht="14.625">
      <c r="A47" s="999"/>
      <c r="E47" s="626">
        <v>15</v>
      </c>
      <c r="W47" s="733" t="s">
        <v>396</v>
      </c>
      <c r="AB47" s="1293"/>
      <c r="AC47" s="1294" t="s">
        <v>397</v>
      </c>
      <c r="AD47" s="1295"/>
      <c r="AE47" s="1295"/>
      <c r="AF47" s="1295"/>
      <c r="AG47" s="1295"/>
      <c r="AH47" s="1295"/>
      <c r="AI47" s="1295"/>
      <c r="AJ47" s="1295"/>
      <c r="AK47" s="1296"/>
      <c r="AL47" s="1296"/>
      <c r="AM47" s="1296"/>
      <c r="AN47" s="1296"/>
      <c r="AO47" s="1351"/>
      <c r="AP47" s="1297"/>
      <c r="AS47" s="1004"/>
      <c r="AT47" s="1004"/>
      <c r="AU47" s="1004"/>
      <c r="AV47" s="626"/>
      <c r="AW47" s="626"/>
    </row>
    <row customHeight="1" ht="10.725000000000001">
      <c r="E48" s="625">
        <v>11</v>
      </c>
      <c r="AC48" s="511"/>
      <c r="AQ48" s="461"/>
    </row>
  </sheetData>
  <sheetProtection formatColumns="0" formatRows="0" insertRows="0" deleteColumns="0" deleteRows="0" sort="0" autoFilter="0" insertColumns="1"/>
  <mergeCells count="30">
    <mergeCell ref="AB39:AP39"/>
    <mergeCell ref="X29:X31"/>
    <mergeCell ref="Z29:Z31"/>
    <mergeCell ref="AB37:AP37"/>
    <mergeCell ref="AB38:AP38"/>
    <mergeCell ref="AO24:AO27"/>
    <mergeCell ref="AP24:AP27"/>
    <mergeCell ref="AK25:AN25"/>
    <mergeCell ref="AK26:AL26"/>
    <mergeCell ref="AM26:AN26"/>
    <mergeCell ref="AB23:AM23"/>
    <mergeCell ref="AB24:AB27"/>
    <mergeCell ref="AC24:AC27"/>
    <mergeCell ref="AD24:AD27"/>
    <mergeCell ref="AE24:AE27"/>
    <mergeCell ref="AF24:AF27"/>
    <mergeCell ref="AG24:AG27"/>
    <mergeCell ref="AH24:AH27"/>
    <mergeCell ref="AI24:AI27"/>
    <mergeCell ref="AJ24:AJ27"/>
    <mergeCell ref="AK24:AN24"/>
    <mergeCell ref="X32:X35"/>
    <mergeCell ref="Z32:Z35"/>
    <mergeCell ref="AB40:AP40"/>
    <mergeCell ref="AB41:AP41"/>
    <mergeCell ref="AB42:AP42"/>
    <mergeCell ref="AB43:AP43"/>
    <mergeCell ref="AB44:AP44"/>
    <mergeCell ref="AB45:AP45"/>
    <mergeCell ref="AB46:AP46"/>
  </mergeCells>
  <dataValidations count="7">
    <dataValidation type="whole" allowBlank="1" showErrorMessage="1" errorTitle="Ошибка" error="Допускается ввод только неотрицательных целых чисел!" sqref="AF30 AF33:AF3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I30 AI33:AI34">
      <formula1>ist_info_build_list</formula1>
    </dataValidation>
    <dataValidation type="list" allowBlank="1" showInputMessage="1" showErrorMessage="1" errorTitle="Ошибка" error="Выберите значение из списка" prompt="Выберите значение из списка" sqref="AC30">
      <formula1>diametr_list</formula1>
    </dataValidation>
    <dataValidation type="list" allowBlank="1" showInputMessage="1" errorTitle="Ошибка" error="Выберите значение из списка" prompt="Выберите значение из списка или введите свой вариант" sqref="AD30 AD33:AD34">
      <formula1>material_list</formula1>
    </dataValidation>
    <dataValidation type="list" allowBlank="1" showInputMessage="1" errorTitle="Ошибка" error="Выберите значение из списка" prompt="Выберите значение из списка или введите свой вариант" sqref="AE30 AE33:AE34">
      <formula1>grunt_list</formula1>
    </dataValidation>
    <dataValidation type="decimal" allowBlank="1" showErrorMessage="1" errorTitle="Ошибка" error="Допускается ввод только неотрицательных чисел!" sqref="AH29 AM30 AK30 AG30:AH30 AH32 AG33:AG34 AH33:AH34 AK33:AK34 AM33:AM34">
      <formula1>0</formula1>
      <formula2>9.99999999999999E+23</formula2>
    </dataValidation>
    <dataValidation type="list" allowBlank="1" showInputMessage="1" showErrorMessage="1" errorTitle="Ошибка" error="Выберите значение из списка" sqref="AC33:AC34">
      <formula1>diametr_list_vo</formula1>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89A842-2348-3298-D91A-08D9F0D2DDD5}" mc:Ignorable="x14ac xr xr2 xr3">
  <sheetPr>
    <tabColor rgb="FF002060"/>
    <outlinePr summaryRight="0" summaryBelow="0"/>
    <pageSetUpPr fitToPage="1"/>
  </sheetPr>
  <dimension ref="A1:BJ4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82" width="3.57421875" hidden="1" customWidth="1"/>
    <col min="2" max="2" style="1389" width="8.57421875" hidden="1" customWidth="1"/>
    <col min="3" max="3" style="1282" width="6.28125" hidden="1" customWidth="1"/>
    <col min="4" max="4" style="1282" width="6.140625" hidden="1" customWidth="1"/>
    <col min="5" max="5" style="1283" width="3.57421875" hidden="1" customWidth="1"/>
    <col min="6" max="10" style="1282" width="3.57421875" hidden="1" customWidth="1"/>
    <col min="11" max="11" style="1282" width="7.421875" hidden="1" customWidth="1"/>
    <col min="12" max="12" style="1282" width="6.7109375" hidden="1" customWidth="1"/>
    <col min="13" max="19" style="1282" width="3.57421875" hidden="1" customWidth="1"/>
    <col min="20" max="20" style="1282" width="10.00390625" hidden="1" customWidth="1"/>
    <col min="21" max="26" style="1282" width="6.8515625" hidden="1" customWidth="1"/>
    <col min="27" max="27" style="1282" width="3.00390625" customWidth="1"/>
    <col min="28" max="28" style="1282" width="9.7109375" customWidth="1"/>
    <col min="29" max="29" style="1282" width="20.00390625" customWidth="1"/>
    <col min="30" max="30" style="1282" width="8.57421875" customWidth="1"/>
    <col min="31" max="35" style="1282" width="12.57421875" customWidth="1"/>
    <col min="36" max="44" style="1282" width="12.57421875" hidden="1" customWidth="1"/>
    <col min="45" max="45" style="1282" width="12.57421875" customWidth="1"/>
    <col min="46" max="54" style="1282" width="12.57421875" hidden="1" customWidth="1"/>
    <col min="55" max="55" style="1282" width="20.00390625" customWidth="1"/>
    <col min="56" max="56" style="1282" width="3.00390625" customWidth="1"/>
    <col min="57" max="57" style="1282" width="9.140625" hidden="1"/>
    <col min="58" max="60" style="1284" width="9.140625" hidden="1"/>
    <col min="61" max="62" style="1283" width="9.140625" hidden="1"/>
  </cols>
  <sheetData>
    <row customHeight="1" ht="11.25" hidden="1">
      <c r="E1" s="64"/>
      <c r="F1" s="64" t="s">
        <v>309</v>
      </c>
      <c r="G1" s="64" t="s">
        <v>320</v>
      </c>
      <c r="H1" s="64" t="s">
        <v>346</v>
      </c>
      <c r="T1" s="438" t="s">
        <v>92</v>
      </c>
      <c r="U1" s="438" t="s">
        <v>97</v>
      </c>
      <c r="V1" s="438" t="s">
        <v>93</v>
      </c>
      <c r="W1" s="438" t="s">
        <v>94</v>
      </c>
      <c r="X1" s="438" t="s">
        <v>95</v>
      </c>
      <c r="Z1" s="438" t="s">
        <v>99</v>
      </c>
      <c r="AA1" s="440" t="s">
        <v>96</v>
      </c>
      <c r="AB1" s="440" t="s">
        <v>311</v>
      </c>
      <c r="AC1" s="439" t="s">
        <v>98</v>
      </c>
      <c r="AI1" s="1282"/>
      <c r="AJ1" s="1282"/>
      <c r="AK1" s="1282"/>
      <c r="AL1" s="1282"/>
      <c r="AM1" s="1282"/>
      <c r="AN1" s="1282"/>
      <c r="AO1" s="1282"/>
      <c r="AP1" s="1282"/>
      <c r="AQ1" s="1282"/>
      <c r="AR1" s="1282"/>
      <c r="AS1" s="1282"/>
      <c r="AT1" s="1282"/>
      <c r="AU1" s="1282"/>
      <c r="AV1" s="1282"/>
      <c r="AW1" s="1282"/>
      <c r="AX1" s="1282"/>
      <c r="AY1" s="1282"/>
      <c r="AZ1" s="1282"/>
      <c r="BA1" s="1282"/>
      <c r="BB1" s="1282"/>
      <c r="BF1" s="992" t="s">
        <v>312</v>
      </c>
      <c r="BG1" s="992" t="s">
        <v>313</v>
      </c>
      <c r="BH1" s="992" t="s">
        <v>314</v>
      </c>
      <c r="BI1" s="607" t="s">
        <v>317</v>
      </c>
      <c r="BJ1" s="607" t="s">
        <v>318</v>
      </c>
    </row>
    <row s="1389" customFormat="1" customHeight="1" ht="11.25" hidden="1">
      <c r="B2" s="417" t="s">
        <v>18</v>
      </c>
      <c r="AI2" s="418">
        <f>AI6&lt;=last_year_vis</f>
        <v>1</v>
      </c>
      <c r="AJ2" s="418">
        <f>AJ6&lt;=last_year_vis</f>
        <v>0</v>
      </c>
      <c r="AK2" s="418">
        <f>AK6&lt;=last_year_vis</f>
        <v>0</v>
      </c>
      <c r="AL2" s="418">
        <f>AL6&lt;=last_year_vis</f>
        <v>0</v>
      </c>
      <c r="AM2" s="418">
        <f>AM6&lt;=last_year_vis</f>
        <v>0</v>
      </c>
      <c r="AN2" s="418">
        <f>AN6&lt;=last_year_vis</f>
        <v>0</v>
      </c>
      <c r="AO2" s="418">
        <f>AO6&lt;=last_year_vis</f>
        <v>0</v>
      </c>
      <c r="AP2" s="418">
        <f>AP6&lt;=last_year_vis</f>
        <v>0</v>
      </c>
      <c r="AQ2" s="418">
        <f>AQ6&lt;=last_year_vis</f>
        <v>0</v>
      </c>
      <c r="AR2" s="418">
        <f>AR6&lt;=last_year_vis</f>
        <v>0</v>
      </c>
      <c r="AS2" s="418">
        <f>AS6&lt;=last_year_vis</f>
        <v>1</v>
      </c>
      <c r="AT2" s="418">
        <f>AT6&lt;=last_year_vis</f>
        <v>0</v>
      </c>
      <c r="AU2" s="418">
        <f>AU6&lt;=last_year_vis</f>
        <v>0</v>
      </c>
      <c r="AV2" s="418">
        <f>AV6&lt;=last_year_vis</f>
        <v>0</v>
      </c>
      <c r="AW2" s="418">
        <f>AW6&lt;=last_year_vis</f>
        <v>0</v>
      </c>
      <c r="AX2" s="418">
        <f>AX6&lt;=last_year_vis</f>
        <v>0</v>
      </c>
      <c r="AY2" s="418">
        <f>AY6&lt;=last_year_vis</f>
        <v>0</v>
      </c>
      <c r="AZ2" s="418">
        <f>AZ6&lt;=last_year_vis</f>
        <v>0</v>
      </c>
      <c r="BA2" s="418">
        <f>BA6&lt;=last_year_vis</f>
        <v>0</v>
      </c>
      <c r="BB2" s="418">
        <f>BB6&lt;=last_year_vis</f>
        <v>0</v>
      </c>
      <c r="BF2" s="993"/>
      <c r="BG2" s="993"/>
      <c r="BH2" s="993"/>
      <c r="BI2" s="1006"/>
      <c r="BJ2" s="1006"/>
    </row>
    <row customHeight="1" ht="11.25" hidden="1">
      <c r="E3" s="64"/>
      <c r="AI3" s="1282"/>
      <c r="AJ3" s="1282"/>
      <c r="AK3" s="1282"/>
      <c r="AL3" s="1282"/>
      <c r="AM3" s="1282"/>
      <c r="AN3" s="1282"/>
      <c r="AO3" s="1282"/>
      <c r="AP3" s="1282"/>
      <c r="AQ3" s="1282"/>
      <c r="AR3" s="1282"/>
      <c r="AS3" s="1282"/>
      <c r="AT3" s="1282"/>
      <c r="AU3" s="1282"/>
      <c r="AV3" s="1282"/>
      <c r="AW3" s="1282"/>
      <c r="AX3" s="1282"/>
      <c r="AY3" s="1282"/>
      <c r="AZ3" s="1282"/>
      <c r="BA3" s="1282"/>
      <c r="BB3" s="1282"/>
    </row>
    <row customHeight="1" ht="11.25" hidden="1">
      <c r="E4" s="64"/>
      <c r="AI4" s="1282"/>
      <c r="AJ4" s="1282"/>
      <c r="AK4" s="1282"/>
      <c r="AL4" s="1282"/>
      <c r="AM4" s="1282"/>
      <c r="AN4" s="1282"/>
      <c r="AO4" s="1282"/>
      <c r="AP4" s="1282"/>
      <c r="AQ4" s="1282"/>
      <c r="AR4" s="1282"/>
      <c r="AS4" s="1282"/>
      <c r="AT4" s="1282"/>
      <c r="AU4" s="1282"/>
      <c r="AV4" s="1282"/>
      <c r="AW4" s="1282"/>
      <c r="AX4" s="1282"/>
      <c r="AY4" s="1282"/>
      <c r="AZ4" s="1282"/>
      <c r="BA4" s="1282"/>
      <c r="BB4" s="1282"/>
    </row>
    <row s="1283" customFormat="1" customHeight="1" ht="11.25" hidden="1">
      <c r="A5" s="64"/>
      <c r="B5" s="399"/>
      <c r="C5" s="64"/>
      <c r="D5" s="64"/>
      <c r="E5" s="607" t="s">
        <v>19</v>
      </c>
      <c r="AA5" s="607">
        <v>3</v>
      </c>
      <c r="AB5" s="607">
        <v>9.71</v>
      </c>
      <c r="AC5" s="607">
        <v>20</v>
      </c>
      <c r="AD5" s="607">
        <v>8.57</v>
      </c>
      <c r="AE5" s="607">
        <v>12.57</v>
      </c>
      <c r="AF5" s="607">
        <v>12.57</v>
      </c>
      <c r="AG5" s="607">
        <v>12.57</v>
      </c>
      <c r="AH5" s="607">
        <v>12.57</v>
      </c>
      <c r="AI5" s="607">
        <v>12.57</v>
      </c>
      <c r="AJ5" s="607">
        <v>12.57</v>
      </c>
      <c r="AK5" s="607">
        <v>12.57</v>
      </c>
      <c r="AL5" s="607">
        <v>12.57</v>
      </c>
      <c r="AM5" s="607">
        <v>12.57</v>
      </c>
      <c r="AN5" s="607">
        <v>12.57</v>
      </c>
      <c r="AO5" s="607">
        <v>12.57</v>
      </c>
      <c r="AP5" s="607">
        <v>12.57</v>
      </c>
      <c r="AQ5" s="607">
        <v>12.57</v>
      </c>
      <c r="AR5" s="607">
        <v>12.57</v>
      </c>
      <c r="AS5" s="607">
        <v>12.57</v>
      </c>
      <c r="AT5" s="607">
        <v>12.57</v>
      </c>
      <c r="AU5" s="607">
        <v>12.57</v>
      </c>
      <c r="AV5" s="607">
        <v>12.57</v>
      </c>
      <c r="AW5" s="607">
        <v>12.57</v>
      </c>
      <c r="AX5" s="607">
        <v>12.57</v>
      </c>
      <c r="AY5" s="607">
        <v>12.57</v>
      </c>
      <c r="AZ5" s="607">
        <v>12.57</v>
      </c>
      <c r="BA5" s="607">
        <v>12.57</v>
      </c>
      <c r="BB5" s="607">
        <v>12.57</v>
      </c>
      <c r="BC5" s="607">
        <v>20</v>
      </c>
      <c r="BD5" s="607">
        <v>3</v>
      </c>
      <c r="BF5" s="992"/>
      <c r="BG5" s="992"/>
      <c r="BH5" s="992"/>
    </row>
    <row customHeight="1" ht="11.25" hidden="1">
      <c r="A6" s="64" t="s">
        <v>349</v>
      </c>
      <c r="AE6" s="64">
        <f>god-2</f>
        <v>2024</v>
      </c>
      <c r="AF6" s="64">
        <f>god-2</f>
        <v>2024</v>
      </c>
      <c r="AG6" s="64">
        <f>god-2</f>
        <v>2024</v>
      </c>
      <c r="AH6" s="64">
        <f>god-1</f>
        <v>2025</v>
      </c>
      <c r="AI6" s="64" cm="1" t="str">
        <f t="array" ref="AI6:AI6">god</f>
        <v>2026</v>
      </c>
      <c r="AJ6" s="64">
        <f>god+1</f>
        <v>2027</v>
      </c>
      <c r="AK6" s="64">
        <f>god+2</f>
        <v>2028</v>
      </c>
      <c r="AL6" s="64">
        <f>god+3</f>
        <v>2029</v>
      </c>
      <c r="AM6" s="64">
        <f>god+4</f>
        <v>2030</v>
      </c>
      <c r="AN6" s="64">
        <f>god+5</f>
        <v>2031</v>
      </c>
      <c r="AO6" s="64">
        <f>god+6</f>
        <v>2032</v>
      </c>
      <c r="AP6" s="64">
        <f>god+7</f>
        <v>2033</v>
      </c>
      <c r="AQ6" s="64">
        <f>god+8</f>
        <v>2034</v>
      </c>
      <c r="AR6" s="64">
        <f>god+9</f>
        <v>2035</v>
      </c>
      <c r="AS6" s="64" cm="1" t="str">
        <f t="array" ref="AS6:AS6">god</f>
        <v>2026</v>
      </c>
      <c r="AT6" s="64">
        <f>god+1</f>
        <v>2027</v>
      </c>
      <c r="AU6" s="64">
        <f>god+2</f>
        <v>2028</v>
      </c>
      <c r="AV6" s="64">
        <f>god+3</f>
        <v>2029</v>
      </c>
      <c r="AW6" s="64">
        <f>god+4</f>
        <v>2030</v>
      </c>
      <c r="AX6" s="64">
        <f>god+5</f>
        <v>2031</v>
      </c>
      <c r="AY6" s="64">
        <f>god+6</f>
        <v>2032</v>
      </c>
      <c r="AZ6" s="64">
        <f>god+7</f>
        <v>2033</v>
      </c>
      <c r="BA6" s="64">
        <f>god+8</f>
        <v>2034</v>
      </c>
      <c r="BB6" s="64">
        <f>god+9</f>
        <v>2035</v>
      </c>
    </row>
    <row customHeight="1" ht="11.25" hidden="1">
      <c r="A7" s="64" t="s">
        <v>350</v>
      </c>
      <c r="AE7" s="64" cm="1" t="str">
        <f t="array" ref="AE7:AE7">AE25</f>
        <v>Принято органом регулирования</v>
      </c>
      <c r="AF7" s="64" cm="1" t="str">
        <f t="array" ref="AF7:AF7">AF25</f>
        <v>Факт по данным организации</v>
      </c>
      <c r="AG7" s="64" cm="1" t="str">
        <f t="array" ref="AG7:AG7">AG25</f>
        <v>Факт, принятый органом регулирования</v>
      </c>
      <c r="AH7" s="64" cm="1" t="str">
        <f t="array" ref="AH7:AH7">AH25</f>
        <v>Принято органом регулирования</v>
      </c>
      <c r="AI7" s="64" cm="1" t="str">
        <f t="array" ref="AI7:AI7">AI25</f>
        <v>Предложение организации</v>
      </c>
      <c r="AJ7" s="64" cm="1" t="str">
        <f t="array" ref="AJ7:AJ7">AJ25</f>
        <v>Предложение организации</v>
      </c>
      <c r="AK7" s="64" cm="1" t="str">
        <f t="array" ref="AK7:AK7">AK25</f>
        <v>Предложение организации</v>
      </c>
      <c r="AL7" s="64" cm="1" t="str">
        <f t="array" ref="AL7:AL7">AL25</f>
        <v>Предложение организации</v>
      </c>
      <c r="AM7" s="64" cm="1" t="str">
        <f t="array" ref="AM7:AM7">AM25</f>
        <v>Предложение организации</v>
      </c>
      <c r="AN7" s="64" cm="1" t="str">
        <f t="array" ref="AN7:AN7">AN25</f>
        <v>Предложение организации</v>
      </c>
      <c r="AO7" s="64" cm="1" t="str">
        <f t="array" ref="AO7:AO7">AO25</f>
        <v>Предложение организации</v>
      </c>
      <c r="AP7" s="64" cm="1" t="str">
        <f t="array" ref="AP7:AP7">AP25</f>
        <v>Предложение организации</v>
      </c>
      <c r="AQ7" s="64" cm="1" t="str">
        <f t="array" ref="AQ7:AQ7">AQ25</f>
        <v>Предложение организации</v>
      </c>
      <c r="AR7" s="64" cm="1" t="str">
        <f t="array" ref="AR7:AR7">AR25</f>
        <v>Предложение организации</v>
      </c>
      <c r="AS7" s="64" cm="1" t="str">
        <f t="array" ref="AS7:AS7">AS25</f>
        <v>Принято органом регулирования</v>
      </c>
      <c r="AT7" s="64" cm="1" t="str">
        <f t="array" ref="AT7:AT7">AT25</f>
        <v>Принято органом регулирования</v>
      </c>
      <c r="AU7" s="64" cm="1" t="str">
        <f t="array" ref="AU7:AU7">AU25</f>
        <v>Принято органом регулирования</v>
      </c>
      <c r="AV7" s="64" cm="1" t="str">
        <f t="array" ref="AV7:AV7">AV25</f>
        <v>Принято органом регулирования</v>
      </c>
      <c r="AW7" s="64" cm="1" t="str">
        <f t="array" ref="AW7:AW7">AW25</f>
        <v>Принято органом регулирования</v>
      </c>
      <c r="AX7" s="64" cm="1" t="str">
        <f t="array" ref="AX7:AX7">AX25</f>
        <v>Принято органом регулирования</v>
      </c>
      <c r="AY7" s="64" cm="1" t="str">
        <f t="array" ref="AY7:AY7">AY25</f>
        <v>Принято органом регулирования</v>
      </c>
      <c r="AZ7" s="64" cm="1" t="str">
        <f t="array" ref="AZ7:AZ7">AZ25</f>
        <v>Принято органом регулирования</v>
      </c>
      <c r="BA7" s="64" cm="1" t="str">
        <f t="array" ref="BA7:BA7">BA25</f>
        <v>Принято органом регулирования</v>
      </c>
      <c r="BB7" s="64" cm="1" t="str">
        <f t="array" ref="BB7:BB7">BB25</f>
        <v>Принято органом регулирования</v>
      </c>
    </row>
    <row customHeight="1" ht="11.25" hidden="1">
      <c r="AI8" s="1282"/>
      <c r="AJ8" s="1282"/>
      <c r="AK8" s="1282"/>
      <c r="AL8" s="1282"/>
      <c r="AM8" s="1282"/>
      <c r="AN8" s="1282"/>
      <c r="AO8" s="1282"/>
      <c r="AP8" s="1282"/>
      <c r="AQ8" s="1282"/>
      <c r="AR8" s="1282"/>
      <c r="AS8" s="1282"/>
      <c r="AT8" s="1282"/>
      <c r="AU8" s="1282"/>
      <c r="AV8" s="1282"/>
      <c r="AW8" s="1282"/>
      <c r="AX8" s="1282"/>
      <c r="AY8" s="1282"/>
      <c r="AZ8" s="1282"/>
      <c r="BA8" s="1282"/>
      <c r="BB8" s="1282"/>
    </row>
    <row s="1284" customFormat="1" customHeight="1" ht="11.25" hidden="1">
      <c r="A9" s="992" t="s">
        <v>354</v>
      </c>
      <c r="B9" s="993"/>
      <c r="AE9" s="992" cm="1" t="str">
        <f t="array" ref="AE9:AE9">AE6</f>
        <v>2024</v>
      </c>
      <c r="AF9" s="992" cm="1" t="str">
        <f t="array" ref="AF9:AF9">AF6</f>
        <v>2024</v>
      </c>
      <c r="AG9" s="992" cm="1" t="str">
        <f t="array" ref="AG9:AG9">AG6</f>
        <v>2024</v>
      </c>
      <c r="AH9" s="992" cm="1" t="str">
        <f t="array" ref="AH9:AH9">AH6</f>
        <v>2025</v>
      </c>
      <c r="AI9" s="992" cm="1" t="str">
        <f t="array" ref="AI9:AI9">AI6</f>
        <v>2026</v>
      </c>
      <c r="AJ9" s="992" cm="1" t="str">
        <f t="array" ref="AJ9:AJ9">AJ6</f>
        <v>2027</v>
      </c>
      <c r="AK9" s="992" cm="1" t="str">
        <f t="array" ref="AK9:AK9">AK6</f>
        <v>2028</v>
      </c>
      <c r="AL9" s="992" cm="1" t="str">
        <f t="array" ref="AL9:AL9">AL6</f>
        <v>2029</v>
      </c>
      <c r="AM9" s="992" cm="1" t="str">
        <f t="array" ref="AM9:AM9">AM6</f>
        <v>2030</v>
      </c>
      <c r="AN9" s="992" cm="1" t="str">
        <f t="array" ref="AN9:AN9">AN6</f>
        <v>2031</v>
      </c>
      <c r="AO9" s="992" cm="1" t="str">
        <f t="array" ref="AO9:AO9">AO6</f>
        <v>2032</v>
      </c>
      <c r="AP9" s="992" cm="1" t="str">
        <f t="array" ref="AP9:AP9">AP6</f>
        <v>2033</v>
      </c>
      <c r="AQ9" s="992" cm="1" t="str">
        <f t="array" ref="AQ9:AQ9">AQ6</f>
        <v>2034</v>
      </c>
      <c r="AR9" s="992" cm="1" t="str">
        <f t="array" ref="AR9:AR9">AR6</f>
        <v>2035</v>
      </c>
      <c r="AS9" s="992" cm="1" t="str">
        <f t="array" ref="AS9:AS9">AS6</f>
        <v>2026</v>
      </c>
      <c r="AT9" s="992" cm="1" t="str">
        <f t="array" ref="AT9:AT9">AT6</f>
        <v>2027</v>
      </c>
      <c r="AU9" s="992" cm="1" t="str">
        <f t="array" ref="AU9:AU9">AU6</f>
        <v>2028</v>
      </c>
      <c r="AV9" s="992" cm="1" t="str">
        <f t="array" ref="AV9:AV9">AV6</f>
        <v>2029</v>
      </c>
      <c r="AW9" s="992" cm="1" t="str">
        <f t="array" ref="AW9:AW9">AW6</f>
        <v>2030</v>
      </c>
      <c r="AX9" s="992" cm="1" t="str">
        <f t="array" ref="AX9:AX9">AX6</f>
        <v>2031</v>
      </c>
      <c r="AY9" s="992" cm="1" t="str">
        <f t="array" ref="AY9:AY9">AY6</f>
        <v>2032</v>
      </c>
      <c r="AZ9" s="992" cm="1" t="str">
        <f t="array" ref="AZ9:AZ9">AZ6</f>
        <v>2033</v>
      </c>
      <c r="BA9" s="992" cm="1" t="str">
        <f t="array" ref="BA9:BA9">BA6</f>
        <v>2034</v>
      </c>
      <c r="BB9" s="992" cm="1" t="str">
        <f t="array" ref="BB9:BB9">BB6</f>
        <v>2035</v>
      </c>
      <c r="BI9" s="607"/>
      <c r="BJ9" s="607"/>
    </row>
    <row s="1284" customFormat="1" customHeight="1" ht="11.25" hidden="1">
      <c r="A10" s="992" t="s">
        <v>355</v>
      </c>
      <c r="B10" s="993"/>
      <c r="AE10" s="992" cm="1" t="str">
        <f t="array" ref="AE10:AE10">AE25</f>
        <v>Принято органом регулирования</v>
      </c>
      <c r="AF10" s="992" cm="1" t="str">
        <f t="array" ref="AF10:AF10">AF25</f>
        <v>Факт по данным организации</v>
      </c>
      <c r="AG10" s="992" cm="1" t="str">
        <f t="array" ref="AG10:AG10">AG25</f>
        <v>Факт, принятый органом регулирования</v>
      </c>
      <c r="AH10" s="992" cm="1" t="str">
        <f t="array" ref="AH10:AH10">AH25</f>
        <v>Принято органом регулирования</v>
      </c>
      <c r="AI10" s="992" cm="1" t="str">
        <f t="array" ref="AI10:AI10">AI25</f>
        <v>Предложение организации</v>
      </c>
      <c r="AJ10" s="992" cm="1" t="str">
        <f t="array" ref="AJ10:AJ10">AJ25</f>
        <v>Предложение организации</v>
      </c>
      <c r="AK10" s="992" cm="1" t="str">
        <f t="array" ref="AK10:AK10">AK25</f>
        <v>Предложение организации</v>
      </c>
      <c r="AL10" s="992" cm="1" t="str">
        <f t="array" ref="AL10:AL10">AL25</f>
        <v>Предложение организации</v>
      </c>
      <c r="AM10" s="992" cm="1" t="str">
        <f t="array" ref="AM10:AM10">AM25</f>
        <v>Предложение организации</v>
      </c>
      <c r="AN10" s="992" cm="1" t="str">
        <f t="array" ref="AN10:AN10">AN25</f>
        <v>Предложение организации</v>
      </c>
      <c r="AO10" s="992" cm="1" t="str">
        <f t="array" ref="AO10:AO10">AO25</f>
        <v>Предложение организации</v>
      </c>
      <c r="AP10" s="992" cm="1" t="str">
        <f t="array" ref="AP10:AP10">AP25</f>
        <v>Предложение организации</v>
      </c>
      <c r="AQ10" s="992" cm="1" t="str">
        <f t="array" ref="AQ10:AQ10">AQ25</f>
        <v>Предложение организации</v>
      </c>
      <c r="AR10" s="992" cm="1" t="str">
        <f t="array" ref="AR10:AR10">AR25</f>
        <v>Предложение организации</v>
      </c>
      <c r="AS10" s="992" cm="1" t="str">
        <f t="array" ref="AS10:AS10">AS25</f>
        <v>Принято органом регулирования</v>
      </c>
      <c r="AT10" s="992" cm="1" t="str">
        <f t="array" ref="AT10:AT10">AT25</f>
        <v>Принято органом регулирования</v>
      </c>
      <c r="AU10" s="992" cm="1" t="str">
        <f t="array" ref="AU10:AU10">AU25</f>
        <v>Принято органом регулирования</v>
      </c>
      <c r="AV10" s="992" cm="1" t="str">
        <f t="array" ref="AV10:AV10">AV25</f>
        <v>Принято органом регулирования</v>
      </c>
      <c r="AW10" s="992" cm="1" t="str">
        <f t="array" ref="AW10:AW10">AW25</f>
        <v>Принято органом регулирования</v>
      </c>
      <c r="AX10" s="992" cm="1" t="str">
        <f t="array" ref="AX10:AX10">AX25</f>
        <v>Принято органом регулирования</v>
      </c>
      <c r="AY10" s="992" cm="1" t="str">
        <f t="array" ref="AY10:AY10">AY25</f>
        <v>Принято органом регулирования</v>
      </c>
      <c r="AZ10" s="992" cm="1" t="str">
        <f t="array" ref="AZ10:AZ10">AZ25</f>
        <v>Принято органом регулирования</v>
      </c>
      <c r="BA10" s="992" cm="1" t="str">
        <f t="array" ref="BA10:BA10">BA25</f>
        <v>Принято органом регулирования</v>
      </c>
      <c r="BB10" s="992" cm="1" t="str">
        <f t="array" ref="BB10:BB10">BB25</f>
        <v>Принято органом регулирования</v>
      </c>
      <c r="BI10" s="607"/>
      <c r="BJ10" s="607"/>
    </row>
    <row s="1284" customFormat="1" customHeight="1" ht="11.25" hidden="1">
      <c r="A11" s="992" t="s">
        <v>356</v>
      </c>
      <c r="B11" s="993"/>
      <c r="AI11" s="1284"/>
      <c r="AJ11" s="1284"/>
      <c r="AK11" s="1284"/>
      <c r="AL11" s="1284"/>
      <c r="AM11" s="1284"/>
      <c r="AN11" s="1284"/>
      <c r="AO11" s="1284"/>
      <c r="AP11" s="1284"/>
      <c r="AQ11" s="1284"/>
      <c r="AR11" s="1284"/>
      <c r="AS11" s="1284"/>
      <c r="AT11" s="1284"/>
      <c r="AU11" s="1284"/>
      <c r="AV11" s="1284"/>
      <c r="AW11" s="1284"/>
      <c r="AX11" s="1284"/>
      <c r="AY11" s="1284"/>
      <c r="AZ11" s="1284"/>
      <c r="BA11" s="1284"/>
      <c r="BB11" s="1284"/>
      <c r="BC11" s="992" cm="1" t="str">
        <f t="array" ref="BC11:BC11">BC24</f>
        <v>Ссылка на правовую норму (основание для принятия показателя в расчет тарифа)</v>
      </c>
      <c r="BI11" s="607"/>
      <c r="BJ11" s="607"/>
    </row>
    <row s="1284" customFormat="1" customHeight="1" ht="11.25" hidden="1">
      <c r="A12" s="992" t="s">
        <v>327</v>
      </c>
      <c r="B12" s="993"/>
      <c r="AC12" s="992" t="s">
        <v>314</v>
      </c>
      <c r="AI12" s="1284"/>
      <c r="AJ12" s="1284"/>
      <c r="AK12" s="1284"/>
      <c r="AL12" s="1284"/>
      <c r="AM12" s="1284"/>
      <c r="AN12" s="1284"/>
      <c r="AO12" s="1284"/>
      <c r="AP12" s="1284"/>
      <c r="AQ12" s="1284"/>
      <c r="AR12" s="1284"/>
      <c r="AS12" s="1284"/>
      <c r="AT12" s="1284"/>
      <c r="AU12" s="1284"/>
      <c r="AV12" s="1284"/>
      <c r="AW12" s="1284"/>
      <c r="AX12" s="1284"/>
      <c r="AY12" s="1284"/>
      <c r="AZ12" s="1284"/>
      <c r="BA12" s="1284"/>
      <c r="BB12" s="1284"/>
      <c r="BI12" s="607"/>
      <c r="BJ12" s="607"/>
    </row>
    <row customHeight="1" ht="11.25" hidden="1">
      <c r="AI13" s="1282"/>
      <c r="AJ13" s="1282"/>
      <c r="AK13" s="1282"/>
      <c r="AL13" s="1282"/>
      <c r="AM13" s="1282"/>
      <c r="AN13" s="1282"/>
      <c r="AO13" s="1282"/>
      <c r="AP13" s="1282"/>
      <c r="AQ13" s="1282"/>
      <c r="AR13" s="1282"/>
      <c r="AS13" s="1282"/>
      <c r="AT13" s="1282"/>
      <c r="AU13" s="1282"/>
      <c r="AV13" s="1282"/>
      <c r="AW13" s="1282"/>
      <c r="AX13" s="1282"/>
      <c r="AY13" s="1282"/>
      <c r="AZ13" s="1282"/>
      <c r="BA13" s="1282"/>
      <c r="BB13" s="1282"/>
    </row>
    <row customHeight="1" ht="11.25" hidden="1">
      <c r="AI14" s="1282"/>
      <c r="AJ14" s="1282"/>
      <c r="AK14" s="1282"/>
      <c r="AL14" s="1282"/>
      <c r="AM14" s="1282"/>
      <c r="AN14" s="1282"/>
      <c r="AO14" s="1282"/>
      <c r="AP14" s="1282"/>
      <c r="AQ14" s="1282"/>
      <c r="AR14" s="1282"/>
      <c r="AS14" s="1282"/>
      <c r="AT14" s="1282"/>
      <c r="AU14" s="1282"/>
      <c r="AV14" s="1282"/>
      <c r="AW14" s="1282"/>
      <c r="AX14" s="1282"/>
      <c r="AY14" s="1282"/>
      <c r="AZ14" s="1282"/>
      <c r="BA14" s="1282"/>
      <c r="BB14" s="1282"/>
    </row>
    <row customHeight="1" ht="11.25" hidden="1">
      <c r="AI15" s="1282"/>
      <c r="AJ15" s="1282"/>
      <c r="AK15" s="1282"/>
      <c r="AL15" s="1282"/>
      <c r="AM15" s="1282"/>
      <c r="AN15" s="1282"/>
      <c r="AO15" s="1282"/>
      <c r="AP15" s="1282"/>
      <c r="AQ15" s="1282"/>
      <c r="AR15" s="1282"/>
      <c r="AS15" s="1282"/>
      <c r="AT15" s="1282"/>
      <c r="AU15" s="1282"/>
      <c r="AV15" s="1282"/>
      <c r="AW15" s="1282"/>
      <c r="AX15" s="1282"/>
      <c r="AY15" s="1282"/>
      <c r="AZ15" s="1282"/>
      <c r="BA15" s="1282"/>
      <c r="BB15" s="1282"/>
    </row>
    <row customHeight="1" ht="11.25" hidden="1">
      <c r="AI16" s="1282"/>
      <c r="AJ16" s="1282"/>
      <c r="AK16" s="1282"/>
      <c r="AL16" s="1282"/>
      <c r="AM16" s="1282"/>
      <c r="AN16" s="1282"/>
      <c r="AO16" s="1282"/>
      <c r="AP16" s="1282"/>
      <c r="AQ16" s="1282"/>
      <c r="AR16" s="1282"/>
      <c r="AS16" s="1282"/>
      <c r="AT16" s="1282"/>
      <c r="AU16" s="1282"/>
      <c r="AV16" s="1282"/>
      <c r="AW16" s="1282"/>
      <c r="AX16" s="1282"/>
      <c r="AY16" s="1282"/>
      <c r="AZ16" s="1282"/>
      <c r="BA16" s="1282"/>
      <c r="BB16" s="1282"/>
    </row>
    <row customHeight="1" ht="11.25" hidden="1">
      <c r="AI17" s="1282"/>
      <c r="AJ17" s="1282"/>
      <c r="AK17" s="1282"/>
      <c r="AL17" s="1282"/>
      <c r="AM17" s="1282"/>
      <c r="AN17" s="1282"/>
      <c r="AO17" s="1282"/>
      <c r="AP17" s="1282"/>
      <c r="AQ17" s="1282"/>
      <c r="AR17" s="1282"/>
      <c r="AS17" s="1282"/>
      <c r="AT17" s="1282"/>
      <c r="AU17" s="1282"/>
      <c r="AV17" s="1282"/>
      <c r="AW17" s="1282"/>
      <c r="AX17" s="1282"/>
      <c r="AY17" s="1282"/>
      <c r="AZ17" s="1282"/>
      <c r="BA17" s="1282"/>
      <c r="BB17" s="1282"/>
    </row>
    <row customHeight="1" ht="11.25" hidden="1">
      <c r="A18" s="64" t="s">
        <v>357</v>
      </c>
      <c r="AC18" s="64" t="s">
        <v>197</v>
      </c>
      <c r="AI18" s="1282"/>
      <c r="AJ18" s="1282"/>
      <c r="AK18" s="1282"/>
      <c r="AL18" s="1282"/>
      <c r="AM18" s="1282"/>
      <c r="AN18" s="1282"/>
      <c r="AO18" s="1282"/>
      <c r="AP18" s="1282"/>
      <c r="AQ18" s="1282"/>
      <c r="AR18" s="1282"/>
      <c r="AS18" s="1282"/>
      <c r="AT18" s="1282"/>
      <c r="AU18" s="1282"/>
      <c r="AV18" s="1282"/>
      <c r="AW18" s="1282"/>
      <c r="AX18" s="1282"/>
      <c r="AY18" s="1282"/>
      <c r="AZ18" s="1282"/>
      <c r="BA18" s="1282"/>
      <c r="BB18" s="1282"/>
    </row>
    <row customHeight="1" ht="11.25" hidden="1">
      <c r="AI19" s="1282"/>
      <c r="AJ19" s="1282"/>
      <c r="AK19" s="1282"/>
      <c r="AL19" s="1282"/>
      <c r="AM19" s="1282"/>
      <c r="AN19" s="1282"/>
      <c r="AO19" s="1282"/>
      <c r="AP19" s="1282"/>
      <c r="AQ19" s="1282"/>
      <c r="AR19" s="1282"/>
      <c r="AS19" s="1282"/>
      <c r="AT19" s="1282"/>
      <c r="AU19" s="1282"/>
      <c r="AV19" s="1282"/>
      <c r="AW19" s="1282"/>
      <c r="AX19" s="1282"/>
      <c r="AY19" s="1282"/>
      <c r="AZ19" s="1282"/>
      <c r="BA19" s="1282"/>
      <c r="BB19" s="1282"/>
    </row>
    <row customHeight="1" ht="11.25" hidden="1">
      <c r="AI20" s="1282"/>
      <c r="AJ20" s="1282"/>
      <c r="AK20" s="1282"/>
      <c r="AL20" s="1282"/>
      <c r="AM20" s="1282"/>
      <c r="AN20" s="1282"/>
      <c r="AO20" s="1282"/>
      <c r="AP20" s="1282"/>
      <c r="AQ20" s="1282"/>
      <c r="AR20" s="1282"/>
      <c r="AS20" s="1282"/>
      <c r="AT20" s="1282"/>
      <c r="AU20" s="1282"/>
      <c r="AV20" s="1282"/>
      <c r="AW20" s="1282"/>
      <c r="AX20" s="1282"/>
      <c r="AY20" s="1282"/>
      <c r="AZ20" s="1282"/>
      <c r="BA20" s="1282"/>
      <c r="BB20" s="1282"/>
    </row>
    <row customHeight="1" ht="14.625">
      <c r="E21" s="607">
        <v>15</v>
      </c>
      <c r="AA21" s="633"/>
      <c r="AC21" s="50" cm="1" t="str">
        <f t="array" ref="AC21:AC21">tpl_title</f>
        <v>Кемеровская область / 2026 / ОАО «СКЭК» (ИНН:4205153492, КПП:420501001) / ДПР: 2026-2026</v>
      </c>
      <c r="AI21" s="1282"/>
      <c r="AJ21" s="1282"/>
      <c r="AK21" s="1282"/>
      <c r="AL21" s="1282"/>
      <c r="AM21" s="1282"/>
      <c r="AN21" s="1282"/>
      <c r="AO21" s="1282"/>
      <c r="AP21" s="1282"/>
      <c r="AQ21" s="1282"/>
      <c r="AR21" s="1282"/>
      <c r="AS21" s="1282"/>
      <c r="AT21" s="1282"/>
      <c r="AU21" s="1282"/>
      <c r="AV21" s="1282"/>
      <c r="AW21" s="1282"/>
      <c r="AX21" s="1282"/>
      <c r="AY21" s="1282"/>
      <c r="AZ21" s="1282"/>
      <c r="BA21" s="1282"/>
      <c r="BB21" s="1282"/>
    </row>
    <row s="1379" customFormat="1" customHeight="1" ht="14.625">
      <c r="B22" s="399"/>
      <c r="E22" s="608">
        <v>15</v>
      </c>
      <c r="AB22" s="286" t="s">
        <v>787</v>
      </c>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69"/>
      <c r="BA22" s="169"/>
      <c r="BB22" s="169"/>
      <c r="BC22" s="169"/>
      <c r="BF22" s="995"/>
      <c r="BG22" s="995"/>
      <c r="BH22" s="995"/>
      <c r="BI22" s="608"/>
      <c r="BJ22" s="608"/>
    </row>
    <row s="1379" customFormat="1" customHeight="1" ht="10.96875">
      <c r="B23" s="399"/>
      <c r="E23" s="608">
        <v>11.25</v>
      </c>
      <c r="AB23" s="167"/>
      <c r="AC23" s="167"/>
      <c r="AD23" s="167"/>
      <c r="AE23" s="168"/>
      <c r="AF23" s="168"/>
      <c r="AG23" s="168"/>
      <c r="AH23" s="168"/>
      <c r="AI23" s="167"/>
      <c r="AJ23" s="167"/>
      <c r="AK23" s="167"/>
      <c r="AL23" s="167"/>
      <c r="AM23" s="167"/>
      <c r="AN23" s="167"/>
      <c r="AO23" s="167"/>
      <c r="AP23" s="167"/>
      <c r="AQ23" s="167"/>
      <c r="AR23" s="167"/>
      <c r="AS23" s="167"/>
      <c r="AT23" s="167"/>
      <c r="AU23" s="167"/>
      <c r="AV23" s="167"/>
      <c r="AW23" s="167"/>
      <c r="AX23" s="167"/>
      <c r="AY23" s="167"/>
      <c r="AZ23" s="167"/>
      <c r="BA23" s="167"/>
      <c r="BB23" s="167"/>
      <c r="BC23" s="167"/>
      <c r="BF23" s="995"/>
      <c r="BG23" s="995"/>
      <c r="BH23" s="995"/>
      <c r="BI23" s="608"/>
      <c r="BJ23" s="608"/>
    </row>
    <row s="1399" customFormat="1" customHeight="1" ht="14.625">
      <c r="B24" s="401"/>
      <c r="E24" s="605">
        <v>15</v>
      </c>
      <c r="AB24" s="1546" t="s">
        <v>21</v>
      </c>
      <c r="AC24" s="1546" t="s">
        <v>358</v>
      </c>
      <c r="AD24" s="1546" t="s">
        <v>359</v>
      </c>
      <c r="AE24" s="325" t="str">
        <f>god-2&amp;" год"</f>
        <v>2024 год</v>
      </c>
      <c r="AF24" s="1099" t="str">
        <f>god-2&amp;" год"</f>
        <v>2024 год</v>
      </c>
      <c r="AG24" s="325" t="str">
        <f>god-2&amp;" год"</f>
        <v>2024 год</v>
      </c>
      <c r="AH24" s="60" t="str">
        <f>god-1&amp;" год"</f>
        <v>2025 год</v>
      </c>
      <c r="AI24" s="1096" t="str">
        <f>god&amp;" год"</f>
        <v>2026 год</v>
      </c>
      <c r="AJ24" s="1096" t="str">
        <f>god+1&amp;" год"</f>
        <v>2027 год</v>
      </c>
      <c r="AK24" s="1096" t="str">
        <f>god+2&amp;" год"</f>
        <v>2028 год</v>
      </c>
      <c r="AL24" s="1096" t="str">
        <f>god+3&amp;" год"</f>
        <v>2029 год</v>
      </c>
      <c r="AM24" s="1096" t="str">
        <f>god+4&amp;" год"</f>
        <v>2030 год</v>
      </c>
      <c r="AN24" s="1096" t="str">
        <f>god+5&amp;" год"</f>
        <v>2031 год</v>
      </c>
      <c r="AO24" s="1096" t="str">
        <f>god+6&amp;" год"</f>
        <v>2032 год</v>
      </c>
      <c r="AP24" s="1096" t="str">
        <f>god+7&amp;" год"</f>
        <v>2033 год</v>
      </c>
      <c r="AQ24" s="1096" t="str">
        <f>god+8&amp;" год"</f>
        <v>2034 год</v>
      </c>
      <c r="AR24" s="1096" t="str">
        <f>god+9&amp;" год"</f>
        <v>2035 год</v>
      </c>
      <c r="AS24" s="58" t="str">
        <f>god&amp;" год"</f>
        <v>2026 год</v>
      </c>
      <c r="AT24" s="58" t="str">
        <f>god+1&amp;" год"</f>
        <v>2027 год</v>
      </c>
      <c r="AU24" s="58" t="str">
        <f>god+2&amp;" год"</f>
        <v>2028 год</v>
      </c>
      <c r="AV24" s="58" t="str">
        <f>god+3&amp;" год"</f>
        <v>2029 год</v>
      </c>
      <c r="AW24" s="58" t="str">
        <f>god+4&amp;" год"</f>
        <v>2030 год</v>
      </c>
      <c r="AX24" s="58" t="str">
        <f>god+5&amp;" год"</f>
        <v>2031 год</v>
      </c>
      <c r="AY24" s="58" t="str">
        <f>god+6&amp;" год"</f>
        <v>2032 год</v>
      </c>
      <c r="AZ24" s="58" t="str">
        <f>god+7&amp;" год"</f>
        <v>2033 год</v>
      </c>
      <c r="BA24" s="58" t="str">
        <f>god+8&amp;" год"</f>
        <v>2034 год</v>
      </c>
      <c r="BB24" s="58" t="str">
        <f>god+9&amp;" год"</f>
        <v>2035 год</v>
      </c>
      <c r="BC24" s="1523" t="s">
        <v>500</v>
      </c>
      <c r="BF24" s="990"/>
      <c r="BG24" s="990"/>
      <c r="BH24" s="990"/>
      <c r="BI24" s="605"/>
      <c r="BJ24" s="605"/>
    </row>
    <row s="1399" customFormat="1" customHeight="1" ht="48.75">
      <c r="B25" s="401"/>
      <c r="E25" s="605">
        <v>50</v>
      </c>
      <c r="F25" s="110" t="s">
        <v>361</v>
      </c>
      <c r="AB25" s="1546"/>
      <c r="AC25" s="1546"/>
      <c r="AD25" s="1546"/>
      <c r="AE25" s="58" t="s">
        <v>351</v>
      </c>
      <c r="AF25" s="1096" t="s">
        <v>424</v>
      </c>
      <c r="AG25" s="58" t="s">
        <v>425</v>
      </c>
      <c r="AH25" s="58" t="s">
        <v>351</v>
      </c>
      <c r="AI25" s="1100" t="s">
        <v>352</v>
      </c>
      <c r="AJ25" s="1100" t="s">
        <v>352</v>
      </c>
      <c r="AK25" s="1100" t="s">
        <v>352</v>
      </c>
      <c r="AL25" s="1100" t="s">
        <v>352</v>
      </c>
      <c r="AM25" s="1100" t="s">
        <v>352</v>
      </c>
      <c r="AN25" s="1100" t="s">
        <v>352</v>
      </c>
      <c r="AO25" s="1100" t="s">
        <v>352</v>
      </c>
      <c r="AP25" s="1100" t="s">
        <v>352</v>
      </c>
      <c r="AQ25" s="1100" t="s">
        <v>352</v>
      </c>
      <c r="AR25" s="1100" t="s">
        <v>352</v>
      </c>
      <c r="AS25" s="326" t="s">
        <v>351</v>
      </c>
      <c r="AT25" s="326" t="s">
        <v>351</v>
      </c>
      <c r="AU25" s="326" t="s">
        <v>351</v>
      </c>
      <c r="AV25" s="326" t="s">
        <v>351</v>
      </c>
      <c r="AW25" s="326" t="s">
        <v>351</v>
      </c>
      <c r="AX25" s="326" t="s">
        <v>351</v>
      </c>
      <c r="AY25" s="326" t="s">
        <v>351</v>
      </c>
      <c r="AZ25" s="326" t="s">
        <v>351</v>
      </c>
      <c r="BA25" s="326" t="s">
        <v>351</v>
      </c>
      <c r="BB25" s="326" t="s">
        <v>351</v>
      </c>
      <c r="BC25" s="1523"/>
      <c r="BF25" s="990"/>
      <c r="BG25" s="990"/>
      <c r="BH25" s="990"/>
      <c r="BI25" s="605"/>
      <c r="BJ25" s="605"/>
    </row>
    <row s="1624" customFormat="1" customHeight="1" ht="11.25" hidden="1">
      <c r="A26" s="472"/>
      <c r="B26" s="634"/>
      <c r="C26" s="472"/>
      <c r="D26" s="472"/>
      <c r="E26" s="635">
        <v>0</v>
      </c>
      <c r="F26" s="455"/>
      <c r="G26" s="472"/>
      <c r="H26" s="472"/>
      <c r="I26" s="472"/>
      <c r="J26" s="472"/>
      <c r="K26" s="472"/>
      <c r="L26" s="472"/>
      <c r="M26" s="472"/>
      <c r="N26" s="472"/>
      <c r="O26" s="472"/>
      <c r="P26" s="472"/>
      <c r="Q26" s="472"/>
      <c r="R26" s="472"/>
      <c r="S26" s="472"/>
      <c r="T26" s="472"/>
      <c r="U26" s="472"/>
      <c r="V26" s="472"/>
      <c r="W26" s="472"/>
      <c r="X26" s="472"/>
      <c r="Y26" s="472"/>
      <c r="Z26" s="472"/>
      <c r="AA26" s="472"/>
      <c r="AC26" s="66"/>
      <c r="AD26" s="66"/>
      <c r="AE26" s="66"/>
      <c r="AF26" s="66"/>
      <c r="AI26" s="1624"/>
      <c r="AJ26" s="1624"/>
      <c r="AK26" s="1624"/>
      <c r="AL26" s="1624"/>
      <c r="AM26" s="1624"/>
      <c r="AN26" s="1624"/>
      <c r="AO26" s="1624"/>
      <c r="AP26" s="1624"/>
      <c r="AQ26" s="67"/>
      <c r="AR26" s="1624"/>
      <c r="AS26" s="1624"/>
      <c r="AT26" s="1624"/>
      <c r="AU26" s="1624"/>
      <c r="AV26" s="1624"/>
      <c r="AW26" s="1624"/>
      <c r="AX26" s="1624"/>
      <c r="AY26" s="1624"/>
      <c r="AZ26" s="1624"/>
      <c r="BA26" s="1624"/>
      <c r="BB26" s="1624"/>
      <c r="BF26" s="981"/>
      <c r="BG26" s="981"/>
      <c r="BH26" s="981"/>
      <c r="BI26" s="599"/>
      <c r="BJ26" s="599"/>
    </row>
    <row s="1399" customFormat="1" customHeight="1" ht="14.625" hidden="1">
      <c r="A27" s="1399"/>
      <c r="B27" s="401"/>
      <c r="C27" s="1399"/>
      <c r="D27" s="1399"/>
      <c r="E27" s="605">
        <v>15</v>
      </c>
      <c r="F27" s="315" cm="1" t="str">
        <f t="array" ref="F27:F27">X27</f>
        <v>0</v>
      </c>
      <c r="G27" s="112"/>
      <c r="H27" s="112"/>
      <c r="I27" s="1399"/>
      <c r="J27" s="1399"/>
      <c r="K27" s="1399"/>
      <c r="L27" s="1399"/>
      <c r="M27" s="1399"/>
      <c r="N27" s="1399"/>
      <c r="O27" s="1399"/>
      <c r="P27" s="1399"/>
      <c r="Q27" s="1399"/>
      <c r="R27" s="1399"/>
      <c r="S27" s="1399"/>
      <c r="T27" s="438">
        <f>X27&gt;0</f>
        <v>0</v>
      </c>
      <c r="U27" s="1399"/>
      <c r="V27" s="110" t="s">
        <v>267</v>
      </c>
      <c r="W27" s="1399"/>
      <c r="X27" s="1491">
        <v>0</v>
      </c>
      <c r="Y27" s="1399"/>
      <c r="Z27" s="1513"/>
      <c r="AA27" s="1399"/>
      <c r="AB27" s="149" cm="1" t="str">
        <f t="array" ref="AB27:AB27">INDEX('Общие сведения'!$AG$179:$AG$208,MATCH($X27,'Общие сведения'!$Z$179:$Z$208,0))</f>
        <v>Тариф 0 () - тариф на транспортировку сточных вод</v>
      </c>
      <c r="AC27" s="146"/>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399"/>
      <c r="BE27" s="1399"/>
      <c r="BF27" s="990"/>
      <c r="BG27" s="990"/>
      <c r="BH27" s="990"/>
      <c r="BI27" s="605"/>
      <c r="BJ27" s="605"/>
    </row>
    <row s="1513" customFormat="1" customHeight="1" ht="14.625" hidden="1">
      <c r="A28" s="1513"/>
      <c r="B28" s="401"/>
      <c r="C28" s="1513"/>
      <c r="D28" s="456"/>
      <c r="E28" s="233">
        <v>15</v>
      </c>
      <c r="F28" s="50" cm="1" t="str">
        <f t="array" ref="F28:F28">OFFSET(E28,-1,1)</f>
        <v>0</v>
      </c>
      <c r="G28" s="1513"/>
      <c r="H28" s="112" cm="1" t="str">
        <f t="array" ref="H28:H28">AC28</f>
        <v>Всего по тарифу</v>
      </c>
      <c r="I28" s="1513"/>
      <c r="J28" s="1513"/>
      <c r="K28" s="456" t="str">
        <f>F28&amp;"komm"</f>
        <v>0komm</v>
      </c>
      <c r="L28" s="893" cm="1" t="str">
        <f t="array" ref="L28:L28">BC28</f>
        <v>0</v>
      </c>
      <c r="M28" s="1513"/>
      <c r="N28" s="1513"/>
      <c r="O28" s="1513"/>
      <c r="P28" s="1513"/>
      <c r="Q28" s="1513"/>
      <c r="R28" s="1513"/>
      <c r="S28" s="1513"/>
      <c r="T28" s="438" cm="1" t="str">
        <f t="array" ref="T28:T28">T27</f>
        <v>false</v>
      </c>
      <c r="U28" s="1513"/>
      <c r="V28" s="1513"/>
      <c r="W28" s="1513"/>
      <c r="X28" s="1491"/>
      <c r="Y28" s="1513"/>
      <c r="Z28" s="1513"/>
      <c r="AA28" s="1513"/>
      <c r="AB28" s="111"/>
      <c r="AC28" s="104" t="s">
        <v>788</v>
      </c>
      <c r="AD28" s="59" t="s">
        <v>789</v>
      </c>
      <c r="AE28" s="108">
        <f>SUM(AE29:AE30)</f>
        <v>0</v>
      </c>
      <c r="AF28" s="108">
        <f>SUM(AF29:AF30)</f>
        <v>0</v>
      </c>
      <c r="AG28" s="108">
        <f>SUM(AG29:AG30)</f>
        <v>0</v>
      </c>
      <c r="AH28" s="108">
        <f>SUM(AH29:AH30)</f>
        <v>0</v>
      </c>
      <c r="AI28" s="108">
        <f>SUM(AI29:AI30)</f>
        <v>0</v>
      </c>
      <c r="AJ28" s="108">
        <f>SUM(AJ29:AJ30)</f>
        <v>0</v>
      </c>
      <c r="AK28" s="108">
        <f>SUM(AK29:AK30)</f>
        <v>0</v>
      </c>
      <c r="AL28" s="108">
        <f>SUM(AL29:AL30)</f>
        <v>0</v>
      </c>
      <c r="AM28" s="108">
        <f>SUM(AM29:AM30)</f>
        <v>0</v>
      </c>
      <c r="AN28" s="108">
        <f>SUM(AN29:AN30)</f>
        <v>0</v>
      </c>
      <c r="AO28" s="108">
        <f>SUM(AO29:AO30)</f>
        <v>0</v>
      </c>
      <c r="AP28" s="108">
        <f>SUM(AP29:AP30)</f>
        <v>0</v>
      </c>
      <c r="AQ28" s="108">
        <f>SUM(AQ29:AQ30)</f>
        <v>0</v>
      </c>
      <c r="AR28" s="108">
        <f>SUM(AR29:AR30)</f>
        <v>0</v>
      </c>
      <c r="AS28" s="108">
        <f>SUM(AS29:AS30)</f>
        <v>0</v>
      </c>
      <c r="AT28" s="108">
        <f>SUM(AT29:AT30)</f>
        <v>0</v>
      </c>
      <c r="AU28" s="108">
        <f>SUM(AU29:AU30)</f>
        <v>0</v>
      </c>
      <c r="AV28" s="108">
        <f>SUM(AV29:AV30)</f>
        <v>0</v>
      </c>
      <c r="AW28" s="108">
        <f>SUM(AW29:AW30)</f>
        <v>0</v>
      </c>
      <c r="AX28" s="108">
        <f>SUM(AX29:AX30)</f>
        <v>0</v>
      </c>
      <c r="AY28" s="108">
        <f>SUM(AY29:AY30)</f>
        <v>0</v>
      </c>
      <c r="AZ28" s="108">
        <f>SUM(AZ29:AZ30)</f>
        <v>0</v>
      </c>
      <c r="BA28" s="108">
        <f>SUM(BA29:BA30)</f>
        <v>0</v>
      </c>
      <c r="BB28" s="108">
        <f>SUM(BB29:BB30)</f>
        <v>0</v>
      </c>
      <c r="BC28" s="1880"/>
      <c r="BD28" s="1513"/>
      <c r="BE28" s="1513"/>
      <c r="BF28" s="1007" t="s">
        <v>790</v>
      </c>
      <c r="BG28" s="1007"/>
      <c r="BH28" s="1007"/>
      <c r="BI28" s="233"/>
      <c r="BJ28" s="233"/>
    </row>
    <row s="1513" customFormat="1" customHeight="1" ht="14.625" hidden="1">
      <c r="A29" s="1513"/>
      <c r="B29" s="401"/>
      <c r="C29" s="1513"/>
      <c r="D29" s="1513"/>
      <c r="E29" s="233">
        <v>15</v>
      </c>
      <c r="F29" s="50" cm="1" t="str">
        <f t="array" ref="F29:F29">OFFSET(E29,-1,1)</f>
        <v>0</v>
      </c>
      <c r="G29" s="112" t="s">
        <v>321</v>
      </c>
      <c r="H29" s="112" cm="1" t="str">
        <f t="array" ref="H29:H29">AC29</f>
        <v>0</v>
      </c>
      <c r="I29" s="1513"/>
      <c r="J29" s="1513"/>
      <c r="K29" s="1513"/>
      <c r="L29" s="1513"/>
      <c r="M29" s="1513"/>
      <c r="N29" s="1513"/>
      <c r="O29" s="1513"/>
      <c r="P29" s="1513"/>
      <c r="Q29" s="1513"/>
      <c r="R29" s="1513"/>
      <c r="S29" s="1513"/>
      <c r="T29" s="438">
        <f>AND(F29&gt;0,AB29&gt;0)</f>
        <v>0</v>
      </c>
      <c r="U29" s="1513"/>
      <c r="V29" s="1513"/>
      <c r="W29" s="733" t="s">
        <v>172</v>
      </c>
      <c r="X29" s="1491"/>
      <c r="Y29" s="1513"/>
      <c r="Z29" s="1513"/>
      <c r="AA29" s="638" t="s">
        <v>173</v>
      </c>
      <c r="AB29" s="55">
        <v>0</v>
      </c>
      <c r="AC29" s="2264"/>
      <c r="AD29" s="59" t="s">
        <v>789</v>
      </c>
      <c r="AE29" s="1791"/>
      <c r="AF29" s="1791"/>
      <c r="AG29" s="1791"/>
      <c r="AH29" s="1791"/>
      <c r="AI29" s="107"/>
      <c r="AJ29" s="1791"/>
      <c r="AK29" s="1791"/>
      <c r="AL29" s="1791"/>
      <c r="AM29" s="1791"/>
      <c r="AN29" s="1791"/>
      <c r="AO29" s="1791"/>
      <c r="AP29" s="1791"/>
      <c r="AQ29" s="1791"/>
      <c r="AR29" s="1791"/>
      <c r="AS29" s="107"/>
      <c r="AT29" s="1791"/>
      <c r="AU29" s="1791"/>
      <c r="AV29" s="1791"/>
      <c r="AW29" s="1791"/>
      <c r="AX29" s="1791"/>
      <c r="AY29" s="1791"/>
      <c r="AZ29" s="1791"/>
      <c r="BA29" s="1791"/>
      <c r="BB29" s="1791"/>
      <c r="BC29" s="1880"/>
      <c r="BD29" s="1513"/>
      <c r="BE29" s="1513"/>
      <c r="BF29" s="1007" t="s">
        <v>791</v>
      </c>
      <c r="BG29" s="1007" t="s">
        <v>792</v>
      </c>
      <c r="BH29" s="1007" cm="1" t="str">
        <f t="array" ref="BH29:BH29">AC29</f>
        <v>0</v>
      </c>
      <c r="BI29" s="233"/>
      <c r="BJ29" s="233" t="b">
        <v>1</v>
      </c>
    </row>
    <row s="1379" customFormat="1" customHeight="1" ht="14.625" hidden="1">
      <c r="A30" s="1379"/>
      <c r="B30" s="399"/>
      <c r="C30" s="1379"/>
      <c r="D30" s="1379"/>
      <c r="E30" s="608">
        <v>15</v>
      </c>
      <c r="F30" s="50" cm="1" t="str">
        <f t="array" ref="F30:F30">OFFSET(E30,-1,1)</f>
        <v>0</v>
      </c>
      <c r="G30" s="1379"/>
      <c r="H30" s="109" t="str">
        <f>"!== 'Всего по тарифу'"</f>
        <v>!== 'Всего по тарифу'</v>
      </c>
      <c r="I30" s="1379"/>
      <c r="J30" s="1379"/>
      <c r="K30" s="1379"/>
      <c r="L30" s="1379"/>
      <c r="M30" s="1379"/>
      <c r="N30" s="1379"/>
      <c r="O30" s="1379"/>
      <c r="P30" s="1379"/>
      <c r="Q30" s="1379"/>
      <c r="R30" s="1379"/>
      <c r="S30" s="1379"/>
      <c r="T30" s="438" cm="1" t="str">
        <f t="array" ref="T30:T30">T27</f>
        <v>false</v>
      </c>
      <c r="U30" s="1379"/>
      <c r="V30" s="1379"/>
      <c r="W30" s="733" t="s">
        <v>793</v>
      </c>
      <c r="X30" s="1491"/>
      <c r="Y30" s="1379"/>
      <c r="Z30" s="1513"/>
      <c r="AA30" s="1379"/>
      <c r="AB30" s="141"/>
      <c r="AC30" s="144" t="s">
        <v>176</v>
      </c>
      <c r="AD30" s="142"/>
      <c r="AE30" s="142"/>
      <c r="AF30" s="142"/>
      <c r="AG30" s="142"/>
      <c r="AH30" s="142"/>
      <c r="AI30" s="142"/>
      <c r="AJ30" s="142"/>
      <c r="AK30" s="142"/>
      <c r="AL30" s="142"/>
      <c r="AM30" s="142"/>
      <c r="AN30" s="142"/>
      <c r="AO30" s="142"/>
      <c r="AP30" s="142"/>
      <c r="AQ30" s="142"/>
      <c r="AR30" s="142"/>
      <c r="AS30" s="142"/>
      <c r="AT30" s="142"/>
      <c r="AU30" s="142"/>
      <c r="AV30" s="142"/>
      <c r="AW30" s="142"/>
      <c r="AX30" s="142"/>
      <c r="AY30" s="142"/>
      <c r="AZ30" s="142"/>
      <c r="BA30" s="142"/>
      <c r="BB30" s="142"/>
      <c r="BC30" s="153"/>
      <c r="BD30" s="1379"/>
      <c r="BE30" s="1379"/>
      <c r="BF30" s="995"/>
      <c r="BG30" s="995"/>
      <c r="BH30" s="995"/>
      <c r="BI30" s="608" t="s">
        <v>792</v>
      </c>
      <c r="BJ30" s="608"/>
    </row>
    <row s="2267" customFormat="1" customHeight="1" ht="14.25">
      <c r="A31" s="1399"/>
      <c r="B31" s="401"/>
      <c r="C31" s="1399"/>
      <c r="D31" s="1399"/>
      <c r="E31" s="605">
        <v>15</v>
      </c>
      <c r="F31" s="315" cm="1" t="str">
        <f t="array" ref="F31:F31">X31</f>
        <v>1</v>
      </c>
      <c r="G31" s="112"/>
      <c r="H31" s="112"/>
      <c r="I31" s="1399"/>
      <c r="J31" s="1399"/>
      <c r="K31" s="1399"/>
      <c r="L31" s="1399"/>
      <c r="M31" s="1399"/>
      <c r="N31" s="1399"/>
      <c r="O31" s="1399"/>
      <c r="P31" s="1399"/>
      <c r="Q31" s="1399"/>
      <c r="R31" s="1399"/>
      <c r="S31" s="1399"/>
      <c r="T31" s="438">
        <f>X31&gt;0</f>
        <v>1</v>
      </c>
      <c r="U31" s="1399"/>
      <c r="V31" s="110" cm="1" t="str">
        <f t="array" ref="V31:V31">'Условные метры'!$AB$32</f>
        <v>Тариф 1 (Водоотведение) - тариф на транспортировку сточных вод</v>
      </c>
      <c r="W31" s="1399"/>
      <c r="X31" s="1491" t="s">
        <v>281</v>
      </c>
      <c r="Y31" s="1399"/>
      <c r="Z31" s="1513"/>
      <c r="AA31" s="1399"/>
      <c r="AB31" s="149" cm="1" t="str">
        <f t="array" ref="AB31:AB31">'Условные метры'!$AB$32</f>
        <v>Тариф 1 (Водоотведение) - тариф на транспортировку сточных вод</v>
      </c>
      <c r="AC31" s="146"/>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399"/>
      <c r="BE31" s="1399"/>
      <c r="BF31" s="990"/>
      <c r="BG31" s="990"/>
      <c r="BH31" s="990"/>
      <c r="BI31" s="605"/>
      <c r="BJ31" s="605"/>
    </row>
    <row s="1401" customFormat="1" customHeight="1" ht="14.25">
      <c r="A32" s="1513"/>
      <c r="B32" s="401"/>
      <c r="C32" s="1513"/>
      <c r="D32" s="456"/>
      <c r="E32" s="233">
        <v>15</v>
      </c>
      <c r="F32" s="50" cm="1" t="str">
        <f t="array" ref="F32:F32">OFFSET(E32,-1,1)</f>
        <v>1</v>
      </c>
      <c r="G32" s="1513"/>
      <c r="H32" s="112" cm="1" t="str">
        <f t="array" ref="H32:H32">AC32</f>
        <v>Всего по тарифу</v>
      </c>
      <c r="I32" s="1513"/>
      <c r="J32" s="1513"/>
      <c r="K32" s="456" t="str">
        <f>F32&amp;"komm"</f>
        <v>1komm</v>
      </c>
      <c r="L32" s="893" cm="1" t="str">
        <f t="array" ref="L32:L32">BC32</f>
        <v>0</v>
      </c>
      <c r="M32" s="1513"/>
      <c r="N32" s="1513"/>
      <c r="O32" s="1513"/>
      <c r="P32" s="1513"/>
      <c r="Q32" s="1513"/>
      <c r="R32" s="1513"/>
      <c r="S32" s="1513"/>
      <c r="T32" s="438" cm="1" t="str">
        <f t="array" ref="T32:T32">T31</f>
        <v>true</v>
      </c>
      <c r="U32" s="1513"/>
      <c r="V32" s="1513"/>
      <c r="W32" s="1513"/>
      <c r="X32" s="1491"/>
      <c r="Y32" s="1513"/>
      <c r="Z32" s="1513"/>
      <c r="AA32" s="1513"/>
      <c r="AB32" s="111"/>
      <c r="AC32" s="104" t="s">
        <v>788</v>
      </c>
      <c r="AD32" s="59" t="s">
        <v>789</v>
      </c>
      <c r="AE32" s="108">
        <f>SUM(AE33:AE34)</f>
        <v>0</v>
      </c>
      <c r="AF32" s="108">
        <f>SUM(AF33:AF34)</f>
        <v>0</v>
      </c>
      <c r="AG32" s="108">
        <f>SUM(AG33:AG34)</f>
        <v>0</v>
      </c>
      <c r="AH32" s="108">
        <f>SUM(AH33:AH34)</f>
        <v>0</v>
      </c>
      <c r="AI32" s="108">
        <f>SUM(AI33:AI34)</f>
        <v>0</v>
      </c>
      <c r="AJ32" s="108">
        <f>SUM(AJ33:AJ34)</f>
        <v>0</v>
      </c>
      <c r="AK32" s="108">
        <f>SUM(AK33:AK34)</f>
        <v>0</v>
      </c>
      <c r="AL32" s="108">
        <f>SUM(AL33:AL34)</f>
        <v>0</v>
      </c>
      <c r="AM32" s="108">
        <f>SUM(AM33:AM34)</f>
        <v>0</v>
      </c>
      <c r="AN32" s="108">
        <f>SUM(AN33:AN34)</f>
        <v>0</v>
      </c>
      <c r="AO32" s="108">
        <f>SUM(AO33:AO34)</f>
        <v>0</v>
      </c>
      <c r="AP32" s="108">
        <f>SUM(AP33:AP34)</f>
        <v>0</v>
      </c>
      <c r="AQ32" s="108">
        <f>SUM(AQ33:AQ34)</f>
        <v>0</v>
      </c>
      <c r="AR32" s="108">
        <f>SUM(AR33:AR34)</f>
        <v>0</v>
      </c>
      <c r="AS32" s="108">
        <f>SUM(AS33:AS34)</f>
        <v>0</v>
      </c>
      <c r="AT32" s="108">
        <f>SUM(AT33:AT34)</f>
        <v>0</v>
      </c>
      <c r="AU32" s="108">
        <f>SUM(AU33:AU34)</f>
        <v>0</v>
      </c>
      <c r="AV32" s="108">
        <f>SUM(AV33:AV34)</f>
        <v>0</v>
      </c>
      <c r="AW32" s="108">
        <f>SUM(AW33:AW34)</f>
        <v>0</v>
      </c>
      <c r="AX32" s="108">
        <f>SUM(AX33:AX34)</f>
        <v>0</v>
      </c>
      <c r="AY32" s="108">
        <f>SUM(AY33:AY34)</f>
        <v>0</v>
      </c>
      <c r="AZ32" s="108">
        <f>SUM(AZ33:AZ34)</f>
        <v>0</v>
      </c>
      <c r="BA32" s="108">
        <f>SUM(BA33:BA34)</f>
        <v>0</v>
      </c>
      <c r="BB32" s="108">
        <f>SUM(BB33:BB34)</f>
        <v>0</v>
      </c>
      <c r="BC32" s="166"/>
      <c r="BD32" s="1513"/>
      <c r="BE32" s="1513"/>
      <c r="BF32" s="1007" t="s">
        <v>790</v>
      </c>
      <c r="BG32" s="1007"/>
      <c r="BH32" s="1007"/>
      <c r="BI32" s="233"/>
      <c r="BJ32" s="233"/>
    </row>
    <row s="1401" customFormat="1" customHeight="1" ht="14.25" hidden="1">
      <c r="A33" s="1513"/>
      <c r="B33" s="401"/>
      <c r="C33" s="1513"/>
      <c r="D33" s="1513"/>
      <c r="E33" s="233">
        <v>15</v>
      </c>
      <c r="F33" s="50" cm="1" t="str">
        <f t="array" ref="F33:F33">OFFSET(E33,-1,1)</f>
        <v>1</v>
      </c>
      <c r="G33" s="112" t="s">
        <v>321</v>
      </c>
      <c r="H33" s="112" cm="1" t="str">
        <f t="array" ref="H33:H33">AC33</f>
        <v>0</v>
      </c>
      <c r="I33" s="1513"/>
      <c r="J33" s="1513"/>
      <c r="K33" s="1513"/>
      <c r="L33" s="1513"/>
      <c r="M33" s="1513"/>
      <c r="N33" s="1513"/>
      <c r="O33" s="1513"/>
      <c r="P33" s="1513"/>
      <c r="Q33" s="1513"/>
      <c r="R33" s="1513"/>
      <c r="S33" s="1513"/>
      <c r="T33" s="438">
        <f>AND(F33&gt;0,AB33&gt;0)</f>
        <v>0</v>
      </c>
      <c r="U33" s="1513"/>
      <c r="V33" s="1513"/>
      <c r="W33" s="733" t="s">
        <v>172</v>
      </c>
      <c r="X33" s="1491"/>
      <c r="Y33" s="1513"/>
      <c r="Z33" s="1513"/>
      <c r="AA33" s="638" t="s">
        <v>173</v>
      </c>
      <c r="AB33" s="55">
        <v>0</v>
      </c>
      <c r="AC33" s="2264"/>
      <c r="AD33" s="59" t="s">
        <v>789</v>
      </c>
      <c r="AE33" s="1791"/>
      <c r="AF33" s="1791"/>
      <c r="AG33" s="1791"/>
      <c r="AH33" s="1791"/>
      <c r="AI33" s="107"/>
      <c r="AJ33" s="1791"/>
      <c r="AK33" s="1791"/>
      <c r="AL33" s="1791"/>
      <c r="AM33" s="1791"/>
      <c r="AN33" s="1791"/>
      <c r="AO33" s="1791"/>
      <c r="AP33" s="1791"/>
      <c r="AQ33" s="1791"/>
      <c r="AR33" s="1791"/>
      <c r="AS33" s="107"/>
      <c r="AT33" s="1791"/>
      <c r="AU33" s="1791"/>
      <c r="AV33" s="1791"/>
      <c r="AW33" s="1791"/>
      <c r="AX33" s="1791"/>
      <c r="AY33" s="1791"/>
      <c r="AZ33" s="1791"/>
      <c r="BA33" s="1791"/>
      <c r="BB33" s="1791"/>
      <c r="BC33" s="1880"/>
      <c r="BD33" s="1513"/>
      <c r="BE33" s="1513"/>
      <c r="BF33" s="1007" t="s">
        <v>791</v>
      </c>
      <c r="BG33" s="1007" t="s">
        <v>792</v>
      </c>
      <c r="BH33" s="1007" cm="1" t="str">
        <f t="array" ref="BH33:BH33">AC33</f>
        <v>0</v>
      </c>
      <c r="BI33" s="233"/>
      <c r="BJ33" s="233" t="b">
        <v>1</v>
      </c>
    </row>
    <row s="1379" customFormat="1" customHeight="1" ht="14.25">
      <c r="A34" s="1379"/>
      <c r="B34" s="399"/>
      <c r="C34" s="1379"/>
      <c r="D34" s="1379"/>
      <c r="E34" s="608">
        <v>15</v>
      </c>
      <c r="F34" s="50" cm="1" t="str">
        <f t="array" ref="F34:F34">OFFSET(E34,-1,1)</f>
        <v>1</v>
      </c>
      <c r="G34" s="1379"/>
      <c r="H34" s="109" t="str">
        <f>"!== 'Всего по тарифу'"</f>
        <v>!== 'Всего по тарифу'</v>
      </c>
      <c r="I34" s="1379"/>
      <c r="J34" s="1379"/>
      <c r="K34" s="1379"/>
      <c r="L34" s="1379"/>
      <c r="M34" s="1379"/>
      <c r="N34" s="1379"/>
      <c r="O34" s="1379"/>
      <c r="P34" s="1379"/>
      <c r="Q34" s="1379"/>
      <c r="R34" s="1379"/>
      <c r="S34" s="1379"/>
      <c r="T34" s="438" cm="1" t="str">
        <f t="array" ref="T34:T34">T31</f>
        <v>true</v>
      </c>
      <c r="U34" s="1379"/>
      <c r="V34" s="1379"/>
      <c r="W34" s="733" t="s">
        <v>793</v>
      </c>
      <c r="X34" s="1491"/>
      <c r="Y34" s="1379"/>
      <c r="Z34" s="1513"/>
      <c r="AA34" s="1379"/>
      <c r="AB34" s="141"/>
      <c r="AC34" s="144" t="s">
        <v>176</v>
      </c>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2"/>
      <c r="BC34" s="153"/>
      <c r="BD34" s="1379"/>
      <c r="BE34" s="1379"/>
      <c r="BF34" s="995"/>
      <c r="BG34" s="995"/>
      <c r="BH34" s="995"/>
      <c r="BI34" s="608" t="s">
        <v>792</v>
      </c>
      <c r="BJ34" s="608"/>
    </row>
    <row s="1624" customFormat="1" customHeight="1" ht="10.96875">
      <c r="A35" s="472"/>
      <c r="B35" s="634"/>
      <c r="C35" s="472"/>
      <c r="D35" s="472"/>
      <c r="E35" s="635">
        <v>11.25</v>
      </c>
      <c r="F35" s="455"/>
      <c r="G35" s="472"/>
      <c r="H35" s="472"/>
      <c r="I35" s="472"/>
      <c r="J35" s="472"/>
      <c r="K35" s="472"/>
      <c r="L35" s="472"/>
      <c r="M35" s="472"/>
      <c r="N35" s="472"/>
      <c r="O35" s="472"/>
      <c r="P35" s="472"/>
      <c r="Q35" s="472"/>
      <c r="R35" s="472"/>
      <c r="S35" s="472"/>
      <c r="T35" s="472"/>
      <c r="U35" s="387" t="s">
        <v>176</v>
      </c>
      <c r="V35" s="106" t="s">
        <v>794</v>
      </c>
      <c r="W35" s="472"/>
      <c r="X35" s="472"/>
      <c r="Y35" s="472"/>
      <c r="Z35" s="472"/>
      <c r="AA35" s="472"/>
      <c r="AC35" s="66"/>
      <c r="AD35" s="66"/>
      <c r="AE35" s="66"/>
      <c r="AF35" s="66"/>
      <c r="AI35" s="1624"/>
      <c r="AJ35" s="1624"/>
      <c r="AK35" s="1624"/>
      <c r="AL35" s="1624"/>
      <c r="AM35" s="1624"/>
      <c r="AN35" s="1624"/>
      <c r="AO35" s="1624"/>
      <c r="AP35" s="1624"/>
      <c r="AQ35" s="67"/>
      <c r="AR35" s="1624"/>
      <c r="AS35" s="1624"/>
      <c r="AT35" s="1624"/>
      <c r="AU35" s="1624"/>
      <c r="AV35" s="1624"/>
      <c r="AW35" s="1624"/>
      <c r="AX35" s="1624"/>
      <c r="AY35" s="1624"/>
      <c r="AZ35" s="1624"/>
      <c r="BA35" s="1624"/>
      <c r="BB35" s="1624"/>
      <c r="BF35" s="981"/>
      <c r="BG35" s="981"/>
      <c r="BH35" s="981"/>
      <c r="BI35" s="599"/>
      <c r="BJ35" s="599"/>
    </row>
    <row customHeight="1" ht="10.96875">
      <c r="E36" s="607">
        <v>11.25</v>
      </c>
      <c r="AI36" s="1282"/>
      <c r="AJ36" s="1282"/>
      <c r="AK36" s="1282"/>
      <c r="AL36" s="1282"/>
      <c r="AM36" s="1282"/>
      <c r="AN36" s="1282"/>
      <c r="AO36" s="1282"/>
      <c r="AP36" s="1282"/>
      <c r="AQ36" s="1282"/>
      <c r="AR36" s="1282"/>
      <c r="AS36" s="1282"/>
      <c r="AT36" s="1282"/>
      <c r="AU36" s="1282"/>
      <c r="AV36" s="1282"/>
      <c r="AW36" s="1282"/>
      <c r="AX36" s="1282"/>
      <c r="AY36" s="1282"/>
      <c r="AZ36" s="1282"/>
      <c r="BA36" s="1282"/>
      <c r="BB36" s="1282"/>
    </row>
    <row customHeight="1" ht="14.625">
      <c r="E37" s="607">
        <v>15</v>
      </c>
      <c r="AB37" s="1522" t="s">
        <v>392</v>
      </c>
      <c r="AC37" s="1522"/>
      <c r="AD37" s="1522"/>
      <c r="AE37" s="1522"/>
      <c r="AF37" s="1522"/>
      <c r="AG37" s="1522"/>
      <c r="AH37" s="1522"/>
      <c r="AI37" s="1543"/>
      <c r="AJ37" s="1543"/>
      <c r="AK37" s="1543"/>
      <c r="AL37" s="1543"/>
      <c r="AM37" s="1543"/>
      <c r="AN37" s="1543"/>
      <c r="AO37" s="1543"/>
      <c r="AP37" s="1543"/>
      <c r="AQ37" s="1543"/>
      <c r="AR37" s="1543"/>
      <c r="AS37" s="1543"/>
      <c r="AT37" s="1543"/>
      <c r="AU37" s="1543"/>
      <c r="AV37" s="1543"/>
      <c r="AW37" s="1543"/>
      <c r="AX37" s="1543"/>
      <c r="AY37" s="1543"/>
      <c r="AZ37" s="1543"/>
      <c r="BA37" s="1543"/>
      <c r="BB37" s="1543"/>
      <c r="BC37" s="1543"/>
    </row>
    <row customHeight="1" ht="14.625">
      <c r="E38" s="607">
        <v>15</v>
      </c>
      <c r="AB38" s="1547" t="s">
        <v>228</v>
      </c>
      <c r="AC38" s="1548"/>
      <c r="AD38" s="1548"/>
      <c r="AE38" s="1548"/>
      <c r="AF38" s="1548"/>
      <c r="AG38" s="1548"/>
      <c r="AH38" s="1548"/>
      <c r="AI38" s="1548"/>
      <c r="AJ38" s="2298"/>
      <c r="AK38" s="2298"/>
      <c r="AL38" s="2298"/>
      <c r="AM38" s="2298"/>
      <c r="AN38" s="2298"/>
      <c r="AO38" s="2298"/>
      <c r="AP38" s="2298"/>
      <c r="AQ38" s="2298"/>
      <c r="AR38" s="2298"/>
      <c r="AS38" s="1548"/>
      <c r="AT38" s="2298"/>
      <c r="AU38" s="2298"/>
      <c r="AV38" s="2298"/>
      <c r="AW38" s="2298"/>
      <c r="AX38" s="2298"/>
      <c r="AY38" s="2298"/>
      <c r="AZ38" s="2298"/>
      <c r="BA38" s="2298"/>
      <c r="BB38" s="2298"/>
      <c r="BC38" s="1549"/>
    </row>
    <row customHeight="1" ht="14.625" hidden="1">
      <c r="A39" s="1282"/>
      <c r="B39" s="1389"/>
      <c r="C39" s="1282"/>
      <c r="D39" s="1282"/>
      <c r="E39" s="607">
        <v>15</v>
      </c>
      <c r="F39" s="1282"/>
      <c r="G39" s="1282"/>
      <c r="H39" s="1282"/>
      <c r="I39" s="1282"/>
      <c r="J39" s="1282"/>
      <c r="K39" s="1282"/>
      <c r="L39" s="1282"/>
      <c r="M39" s="1282"/>
      <c r="N39" s="1282"/>
      <c r="O39" s="1282"/>
      <c r="P39" s="1282"/>
      <c r="Q39" s="1282"/>
      <c r="R39" s="1282"/>
      <c r="S39" s="1282"/>
      <c r="T39" s="438">
        <f>ROW(W39)&gt;ROW(W$39)</f>
        <v>0</v>
      </c>
      <c r="U39" s="1282"/>
      <c r="V39" s="1282"/>
      <c r="W39" s="733" t="s">
        <v>172</v>
      </c>
      <c r="X39" s="1282"/>
      <c r="Y39" s="1282"/>
      <c r="Z39" s="1282"/>
      <c r="AA39" s="638" t="s">
        <v>173</v>
      </c>
      <c r="AB39" s="2299" t="s">
        <v>228</v>
      </c>
      <c r="AC39" s="2298"/>
      <c r="AD39" s="2298"/>
      <c r="AE39" s="2298"/>
      <c r="AF39" s="2298"/>
      <c r="AG39" s="2298"/>
      <c r="AH39" s="2298"/>
      <c r="AI39" s="1548"/>
      <c r="AJ39" s="2298"/>
      <c r="AK39" s="2298"/>
      <c r="AL39" s="2298"/>
      <c r="AM39" s="2298"/>
      <c r="AN39" s="2298"/>
      <c r="AO39" s="2298"/>
      <c r="AP39" s="2298"/>
      <c r="AQ39" s="2298"/>
      <c r="AR39" s="2298"/>
      <c r="AS39" s="1548"/>
      <c r="AT39" s="2298"/>
      <c r="AU39" s="2298"/>
      <c r="AV39" s="2298"/>
      <c r="AW39" s="2298"/>
      <c r="AX39" s="2298"/>
      <c r="AY39" s="2298"/>
      <c r="AZ39" s="2298"/>
      <c r="BA39" s="2298"/>
      <c r="BB39" s="2298"/>
      <c r="BC39" s="2300"/>
      <c r="BD39" s="1282"/>
      <c r="BE39" s="1282"/>
      <c r="BF39" s="1284"/>
      <c r="BG39" s="1284"/>
      <c r="BH39" s="1284"/>
      <c r="BI39" s="1283"/>
      <c r="BJ39" s="1283"/>
    </row>
    <row customHeight="1" ht="14.625">
      <c r="E40" s="607">
        <v>15</v>
      </c>
      <c r="W40" s="733" t="s">
        <v>396</v>
      </c>
      <c r="AB40" s="623"/>
      <c r="AC40" s="487" t="s">
        <v>397</v>
      </c>
      <c r="AD40" s="276"/>
      <c r="AE40" s="276"/>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8"/>
    </row>
    <row customHeight="1" ht="10.725000000000001">
      <c r="E41" s="607">
        <v>11</v>
      </c>
      <c r="AI41" s="1282"/>
      <c r="AJ41" s="1282"/>
      <c r="AK41" s="1282"/>
      <c r="AL41" s="1282"/>
      <c r="AM41" s="1282"/>
      <c r="AN41" s="1282"/>
      <c r="AO41" s="1282"/>
      <c r="AP41" s="1282"/>
      <c r="AQ41" s="1282"/>
      <c r="AR41" s="1282"/>
      <c r="AS41" s="1282"/>
      <c r="AT41" s="1282"/>
      <c r="AU41" s="1282"/>
      <c r="AV41" s="1282"/>
      <c r="AW41" s="1282"/>
      <c r="AX41" s="1282"/>
      <c r="AY41" s="1282"/>
      <c r="AZ41" s="1282"/>
      <c r="BA41" s="1282"/>
      <c r="BB41" s="1282"/>
      <c r="BD41" s="64"/>
    </row>
  </sheetData>
  <sheetProtection formatColumns="0" formatRows="0" insertRows="0" deleteColumns="0" deleteRows="0" sort="0" autoFilter="0" insertColumns="1"/>
  <mergeCells count="11">
    <mergeCell ref="X27:X30"/>
    <mergeCell ref="Z27:Z30"/>
    <mergeCell ref="AB37:BC37"/>
    <mergeCell ref="AB24:AB25"/>
    <mergeCell ref="AC24:AC25"/>
    <mergeCell ref="AD24:AD25"/>
    <mergeCell ref="BC24:BC25"/>
    <mergeCell ref="AB39:BC39"/>
    <mergeCell ref="AB38:BC38"/>
    <mergeCell ref="X31:X34"/>
    <mergeCell ref="Z31:Z34"/>
  </mergeCells>
  <dataValidations count="1">
    <dataValidation type="decimal" allowBlank="1" showErrorMessage="1" errorTitle="Ошибка" error="Допускается ввод только неотрицательных чисел!" sqref="AE29:BB29 AE33 AF33 AG33 AH33 AI33 AJ33 AK33 AL33 AM33 AN33 AO33 AP33 AQ33 AR33 AS33 AT33 AU33 AV33 AW33 AX33 AY33 AZ33 BA33 BB33">
      <formula1>0</formula1>
      <formula2>9.99999999999999E+23</formula2>
    </dataValidation>
  </dataValidation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0C4FD8-1F18-67F8-F218-E5847E0F5A58}" mc:Ignorable="x14ac xr xr2 xr3">
  <sheetPr>
    <tabColor rgb="FFFFC000"/>
    <outlinePr summaryRight="0" summaryBelow="0"/>
    <pageSetUpPr fitToPage="1"/>
  </sheetPr>
  <dimension ref="A1:BJ72"/>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82" width="3.57421875" hidden="1" customWidth="1"/>
    <col min="2" max="2" style="1389" width="4.421875" hidden="1" customWidth="1"/>
    <col min="3" max="3" style="1290" width="6.7109375" hidden="1" customWidth="1"/>
    <col min="4" max="4" style="1282" width="4.57421875" hidden="1" customWidth="1"/>
    <col min="5" max="5" style="1283" width="3.57421875" hidden="1" customWidth="1"/>
    <col min="6" max="6" style="1282" width="8.140625" hidden="1" customWidth="1"/>
    <col min="7" max="10" style="1282" width="3.57421875" hidden="1" customWidth="1"/>
    <col min="11" max="11" style="1282" width="5.8515625" hidden="1" customWidth="1"/>
    <col min="12" max="19" style="1282" width="3.57421875" hidden="1" customWidth="1"/>
    <col min="20" max="20" style="1282" width="10.28125" hidden="1" customWidth="1"/>
    <col min="21" max="21" style="1282" width="5.8515625" hidden="1" customWidth="1"/>
    <col min="22" max="23" style="1282" width="6.140625" hidden="1" customWidth="1"/>
    <col min="24" max="25" style="1282" width="5.57421875" hidden="1" customWidth="1"/>
    <col min="26" max="26" style="1282" width="5.28125" hidden="1" customWidth="1"/>
    <col min="27" max="27" style="1282" width="3.00390625" customWidth="1"/>
    <col min="28" max="28" style="1282" width="11.00390625" customWidth="1"/>
    <col min="29" max="29" style="1282" width="35.00390625" customWidth="1"/>
    <col min="30" max="30" style="1282" width="12.57421875" customWidth="1"/>
    <col min="31" max="31" style="1282" width="14.57421875" customWidth="1"/>
    <col min="32" max="32" style="1282" width="12.57421875" customWidth="1"/>
    <col min="33" max="33" style="1282" width="15.00390625" customWidth="1"/>
    <col min="34" max="34" style="1282" width="16.00390625" customWidth="1"/>
    <col min="35" max="35" style="1282" width="12.57421875" customWidth="1"/>
    <col min="36" max="44" style="1282" width="12.57421875" hidden="1" customWidth="1"/>
    <col min="45" max="45" style="1282" width="15.43359375" customWidth="1"/>
    <col min="46" max="54" style="1282" width="15.43359375" hidden="1" customWidth="1"/>
    <col min="55" max="55" style="1282" width="20.00390625" customWidth="1"/>
    <col min="56" max="56" style="1282" width="3.00390625" customWidth="1"/>
    <col min="57" max="57" style="1282" width="9.140625" hidden="1"/>
    <col min="58" max="60" style="1284" width="9.140625" hidden="1"/>
    <col min="61" max="62" style="1283" width="9.140625" hidden="1"/>
  </cols>
  <sheetData>
    <row customHeight="1" ht="11.25" hidden="1">
      <c r="E1" s="64"/>
      <c r="F1" s="64" t="s">
        <v>309</v>
      </c>
      <c r="G1" s="64" t="s">
        <v>320</v>
      </c>
      <c r="H1" s="64" t="s">
        <v>346</v>
      </c>
      <c r="T1" s="438" t="s">
        <v>92</v>
      </c>
      <c r="U1" s="438" t="s">
        <v>97</v>
      </c>
      <c r="V1" s="438" t="s">
        <v>93</v>
      </c>
      <c r="W1" s="438" t="s">
        <v>94</v>
      </c>
      <c r="X1" s="438" t="s">
        <v>95</v>
      </c>
      <c r="Y1" s="440" t="s">
        <v>311</v>
      </c>
      <c r="Z1" s="438" t="s">
        <v>99</v>
      </c>
      <c r="AA1" s="440" t="s">
        <v>96</v>
      </c>
      <c r="AB1" s="494"/>
      <c r="AC1" s="439" t="s">
        <v>98</v>
      </c>
      <c r="AI1" s="1282"/>
      <c r="AJ1" s="1282"/>
      <c r="AK1" s="1282"/>
      <c r="AL1" s="1282"/>
      <c r="AM1" s="1282"/>
      <c r="AN1" s="1282"/>
      <c r="AO1" s="1282"/>
      <c r="AP1" s="1282"/>
      <c r="AQ1" s="1282"/>
      <c r="AR1" s="1282"/>
      <c r="AS1" s="1282"/>
      <c r="AT1" s="1282"/>
      <c r="AU1" s="1282"/>
      <c r="AV1" s="1282"/>
      <c r="AW1" s="1282"/>
      <c r="AX1" s="1282"/>
      <c r="AY1" s="1282"/>
      <c r="AZ1" s="1282"/>
      <c r="BA1" s="1282"/>
      <c r="BB1" s="1282"/>
      <c r="BF1" s="992" t="s">
        <v>312</v>
      </c>
      <c r="BG1" s="992" t="s">
        <v>313</v>
      </c>
      <c r="BH1" s="992" t="s">
        <v>314</v>
      </c>
      <c r="BI1" s="607" t="s">
        <v>317</v>
      </c>
      <c r="BJ1" s="607" t="s">
        <v>318</v>
      </c>
    </row>
    <row s="1389" customFormat="1" customHeight="1" ht="11.25" hidden="1">
      <c r="B2" s="417" t="s">
        <v>18</v>
      </c>
      <c r="C2" s="458"/>
      <c r="AI2" s="418">
        <f>AI6&lt;=last_year_vis</f>
        <v>1</v>
      </c>
      <c r="AJ2" s="418">
        <f>AJ6&lt;=last_year_vis</f>
        <v>0</v>
      </c>
      <c r="AK2" s="418">
        <f>AK6&lt;=last_year_vis</f>
        <v>0</v>
      </c>
      <c r="AL2" s="418">
        <f>AL6&lt;=last_year_vis</f>
        <v>0</v>
      </c>
      <c r="AM2" s="418">
        <f>AM6&lt;=last_year_vis</f>
        <v>0</v>
      </c>
      <c r="AN2" s="418">
        <f>AN6&lt;=last_year_vis</f>
        <v>0</v>
      </c>
      <c r="AO2" s="418">
        <f>AO6&lt;=last_year_vis</f>
        <v>0</v>
      </c>
      <c r="AP2" s="418">
        <f>AP6&lt;=last_year_vis</f>
        <v>0</v>
      </c>
      <c r="AQ2" s="418">
        <f>AQ6&lt;=last_year_vis</f>
        <v>0</v>
      </c>
      <c r="AR2" s="418">
        <f>AR6&lt;=last_year_vis</f>
        <v>0</v>
      </c>
      <c r="AS2" s="418">
        <f>AS6&lt;=last_year_vis</f>
        <v>1</v>
      </c>
      <c r="AT2" s="418">
        <f>AT6&lt;=last_year_vis</f>
        <v>0</v>
      </c>
      <c r="AU2" s="418">
        <f>AU6&lt;=last_year_vis</f>
        <v>0</v>
      </c>
      <c r="AV2" s="418">
        <f>AV6&lt;=last_year_vis</f>
        <v>0</v>
      </c>
      <c r="AW2" s="418">
        <f>AW6&lt;=last_year_vis</f>
        <v>0</v>
      </c>
      <c r="AX2" s="418">
        <f>AX6&lt;=last_year_vis</f>
        <v>0</v>
      </c>
      <c r="AY2" s="418">
        <f>AY6&lt;=last_year_vis</f>
        <v>0</v>
      </c>
      <c r="AZ2" s="418">
        <f>AZ6&lt;=last_year_vis</f>
        <v>0</v>
      </c>
      <c r="BA2" s="418">
        <f>BA6&lt;=last_year_vis</f>
        <v>0</v>
      </c>
      <c r="BB2" s="418">
        <f>BB6&lt;=last_year_vis</f>
        <v>0</v>
      </c>
      <c r="BF2" s="993"/>
      <c r="BG2" s="993"/>
      <c r="BH2" s="993"/>
      <c r="BI2" s="1006"/>
      <c r="BJ2" s="1006"/>
    </row>
    <row customHeight="1" ht="11.25" hidden="1">
      <c r="E3" s="64"/>
      <c r="AI3" s="1282"/>
      <c r="AJ3" s="1282"/>
      <c r="AK3" s="1282"/>
      <c r="AL3" s="1282"/>
      <c r="AM3" s="1282"/>
      <c r="AN3" s="1282"/>
      <c r="AO3" s="1282"/>
      <c r="AP3" s="1282"/>
      <c r="AQ3" s="1282"/>
      <c r="AR3" s="1282"/>
      <c r="AS3" s="1282"/>
      <c r="AT3" s="1282"/>
      <c r="AU3" s="1282"/>
      <c r="AV3" s="1282"/>
      <c r="AW3" s="1282"/>
      <c r="AX3" s="1282"/>
      <c r="AY3" s="1282"/>
      <c r="AZ3" s="1282"/>
      <c r="BA3" s="1282"/>
      <c r="BB3" s="1282"/>
    </row>
    <row customHeight="1" ht="11.25" hidden="1">
      <c r="E4" s="64"/>
      <c r="AI4" s="1282"/>
      <c r="AJ4" s="1282"/>
      <c r="AK4" s="1282"/>
      <c r="AL4" s="1282"/>
      <c r="AM4" s="1282"/>
      <c r="AN4" s="1282"/>
      <c r="AO4" s="1282"/>
      <c r="AP4" s="1282"/>
      <c r="AQ4" s="1282"/>
      <c r="AR4" s="1282"/>
      <c r="AS4" s="1282"/>
      <c r="AT4" s="1282"/>
      <c r="AU4" s="1282"/>
      <c r="AV4" s="1282"/>
      <c r="AW4" s="1282"/>
      <c r="AX4" s="1282"/>
      <c r="AY4" s="1282"/>
      <c r="AZ4" s="1282"/>
      <c r="BA4" s="1282"/>
      <c r="BB4" s="1282"/>
    </row>
    <row s="1283" customFormat="1" customHeight="1" ht="11.25" hidden="1">
      <c r="A5" s="64"/>
      <c r="B5" s="399"/>
      <c r="C5" s="457"/>
      <c r="D5" s="64"/>
      <c r="E5" s="607" t="s">
        <v>19</v>
      </c>
      <c r="AA5" s="607">
        <v>3</v>
      </c>
      <c r="AB5" s="607">
        <v>11</v>
      </c>
      <c r="AC5" s="607">
        <v>35</v>
      </c>
      <c r="AD5" s="607">
        <v>12.57</v>
      </c>
      <c r="AE5" s="607">
        <v>14.57</v>
      </c>
      <c r="AF5" s="607">
        <v>12.57</v>
      </c>
      <c r="AG5" s="607">
        <v>15</v>
      </c>
      <c r="AH5" s="607">
        <v>16</v>
      </c>
      <c r="AI5" s="607">
        <v>12.57</v>
      </c>
      <c r="AJ5" s="607">
        <v>12.57</v>
      </c>
      <c r="AK5" s="607">
        <v>12.57</v>
      </c>
      <c r="AL5" s="607">
        <v>12.57</v>
      </c>
      <c r="AM5" s="607">
        <v>12.57</v>
      </c>
      <c r="AN5" s="607">
        <v>12.57</v>
      </c>
      <c r="AO5" s="607">
        <v>12.57</v>
      </c>
      <c r="AP5" s="607">
        <v>12.57</v>
      </c>
      <c r="AQ5" s="607">
        <v>12.57</v>
      </c>
      <c r="AR5" s="607">
        <v>12.57</v>
      </c>
      <c r="AS5" s="607">
        <v>15.43</v>
      </c>
      <c r="AT5" s="607">
        <v>15.43</v>
      </c>
      <c r="AU5" s="607">
        <v>15.43</v>
      </c>
      <c r="AV5" s="607">
        <v>15.43</v>
      </c>
      <c r="AW5" s="607">
        <v>15.43</v>
      </c>
      <c r="AX5" s="607">
        <v>15.43</v>
      </c>
      <c r="AY5" s="607">
        <v>15.43</v>
      </c>
      <c r="AZ5" s="607">
        <v>15.43</v>
      </c>
      <c r="BA5" s="607">
        <v>15.43</v>
      </c>
      <c r="BB5" s="607">
        <v>15.43</v>
      </c>
      <c r="BC5" s="607">
        <v>20</v>
      </c>
      <c r="BD5" s="607">
        <v>3</v>
      </c>
      <c r="BF5" s="992"/>
      <c r="BG5" s="992"/>
      <c r="BH5" s="992"/>
    </row>
    <row customHeight="1" ht="11.25" hidden="1">
      <c r="A6" s="64" t="s">
        <v>349</v>
      </c>
      <c r="AE6" s="64">
        <f>god-2</f>
        <v>2024</v>
      </c>
      <c r="AF6" s="64">
        <f>god-2</f>
        <v>2024</v>
      </c>
      <c r="AG6" s="64">
        <f>god-2</f>
        <v>2024</v>
      </c>
      <c r="AH6" s="64">
        <f>god-1</f>
        <v>2025</v>
      </c>
      <c r="AI6" s="64" cm="1" t="str">
        <f t="array" ref="AI6:AI6">god</f>
        <v>2026</v>
      </c>
      <c r="AJ6" s="64">
        <f>god+1</f>
        <v>2027</v>
      </c>
      <c r="AK6" s="64">
        <f>god+2</f>
        <v>2028</v>
      </c>
      <c r="AL6" s="64">
        <f>god+3</f>
        <v>2029</v>
      </c>
      <c r="AM6" s="64">
        <f>god+4</f>
        <v>2030</v>
      </c>
      <c r="AN6" s="64">
        <f>god+5</f>
        <v>2031</v>
      </c>
      <c r="AO6" s="64">
        <f>god+6</f>
        <v>2032</v>
      </c>
      <c r="AP6" s="64">
        <f>god+7</f>
        <v>2033</v>
      </c>
      <c r="AQ6" s="64">
        <f>god+8</f>
        <v>2034</v>
      </c>
      <c r="AR6" s="64">
        <f>god+9</f>
        <v>2035</v>
      </c>
      <c r="AS6" s="64" cm="1" t="str">
        <f t="array" ref="AS6:AS6">god</f>
        <v>2026</v>
      </c>
      <c r="AT6" s="64">
        <f>god+1</f>
        <v>2027</v>
      </c>
      <c r="AU6" s="64">
        <f>god+2</f>
        <v>2028</v>
      </c>
      <c r="AV6" s="64">
        <f>god+3</f>
        <v>2029</v>
      </c>
      <c r="AW6" s="64">
        <f>god+4</f>
        <v>2030</v>
      </c>
      <c r="AX6" s="64">
        <f>god+5</f>
        <v>2031</v>
      </c>
      <c r="AY6" s="64">
        <f>god+6</f>
        <v>2032</v>
      </c>
      <c r="AZ6" s="64">
        <f>god+7</f>
        <v>2033</v>
      </c>
      <c r="BA6" s="64">
        <f>god+8</f>
        <v>2034</v>
      </c>
      <c r="BB6" s="64">
        <f>god+9</f>
        <v>2035</v>
      </c>
    </row>
    <row customHeight="1" ht="11.25" hidden="1">
      <c r="A7" s="64" t="s">
        <v>350</v>
      </c>
      <c r="AE7" s="64" cm="1" t="str">
        <f t="array" ref="AE7:AE7">AE25</f>
        <v>Принято органом регулирования</v>
      </c>
      <c r="AF7" s="64" cm="1" t="str">
        <f t="array" ref="AF7:AF7">AF25</f>
        <v>Факт по данным организации</v>
      </c>
      <c r="AG7" s="64" cm="1" t="str">
        <f t="array" ref="AG7:AG7">AG25</f>
        <v>Факт, принятый органом регулирования</v>
      </c>
      <c r="AH7" s="64" cm="1" t="str">
        <f t="array" ref="AH7:AH7">AH25</f>
        <v>Принято органом регулирования</v>
      </c>
      <c r="AI7" s="64" cm="1" t="str">
        <f t="array" ref="AI7:AI7">$AI$25</f>
        <v>Предложение организации</v>
      </c>
      <c r="AJ7" s="64" cm="1" t="str">
        <f t="array" ref="AJ7:AJ7">$AI$25</f>
        <v>Предложение организации</v>
      </c>
      <c r="AK7" s="64" cm="1" t="str">
        <f t="array" ref="AK7:AK7">$AI$25</f>
        <v>Предложение организации</v>
      </c>
      <c r="AL7" s="64" cm="1" t="str">
        <f t="array" ref="AL7:AL7">$AI$25</f>
        <v>Предложение организации</v>
      </c>
      <c r="AM7" s="64" cm="1" t="str">
        <f t="array" ref="AM7:AM7">$AI$25</f>
        <v>Предложение организации</v>
      </c>
      <c r="AN7" s="64" cm="1" t="str">
        <f t="array" ref="AN7:AN7">$AI$25</f>
        <v>Предложение организации</v>
      </c>
      <c r="AO7" s="64" cm="1" t="str">
        <f t="array" ref="AO7:AO7">$AI$25</f>
        <v>Предложение организации</v>
      </c>
      <c r="AP7" s="64" cm="1" t="str">
        <f t="array" ref="AP7:AP7">$AI$25</f>
        <v>Предложение организации</v>
      </c>
      <c r="AQ7" s="64" cm="1" t="str">
        <f t="array" ref="AQ7:AQ7">$AI$25</f>
        <v>Предложение организации</v>
      </c>
      <c r="AR7" s="64" cm="1" t="str">
        <f t="array" ref="AR7:AR7">$AI$25</f>
        <v>Предложение организации</v>
      </c>
      <c r="AS7" s="64" cm="1" t="str">
        <f t="array" ref="AS7:AS7">$AS$25</f>
        <v>Принято органом регулирования</v>
      </c>
      <c r="AT7" s="64" cm="1" t="str">
        <f t="array" ref="AT7:AT7">$AS$25</f>
        <v>Принято органом регулирования</v>
      </c>
      <c r="AU7" s="64" cm="1" t="str">
        <f t="array" ref="AU7:AU7">$AS$25</f>
        <v>Принято органом регулирования</v>
      </c>
      <c r="AV7" s="64" cm="1" t="str">
        <f t="array" ref="AV7:AV7">$AS$25</f>
        <v>Принято органом регулирования</v>
      </c>
      <c r="AW7" s="64" cm="1" t="str">
        <f t="array" ref="AW7:AW7">$AS$25</f>
        <v>Принято органом регулирования</v>
      </c>
      <c r="AX7" s="64" cm="1" t="str">
        <f t="array" ref="AX7:AX7">$AS$25</f>
        <v>Принято органом регулирования</v>
      </c>
      <c r="AY7" s="64" cm="1" t="str">
        <f t="array" ref="AY7:AY7">$AS$25</f>
        <v>Принято органом регулирования</v>
      </c>
      <c r="AZ7" s="64" cm="1" t="str">
        <f t="array" ref="AZ7:AZ7">$AS$25</f>
        <v>Принято органом регулирования</v>
      </c>
      <c r="BA7" s="64" cm="1" t="str">
        <f t="array" ref="BA7:BA7">$AS$25</f>
        <v>Принято органом регулирования</v>
      </c>
      <c r="BB7" s="64" cm="1" t="str">
        <f t="array" ref="BB7:BB7">$AS$25</f>
        <v>Принято органом регулирования</v>
      </c>
    </row>
    <row customHeight="1" ht="11.25" hidden="1">
      <c r="AE8" s="64" t="str">
        <f>AE6&amp;AE7</f>
        <v>2024Принято органом регулирования</v>
      </c>
      <c r="AF8" s="64" t="str">
        <f>AF6&amp;AF7</f>
        <v>2024Факт по данным организации</v>
      </c>
      <c r="AG8" s="64" t="str">
        <f>AG6&amp;AG7</f>
        <v>2024Факт, принятый органом регулирования</v>
      </c>
      <c r="AH8" s="64" t="str">
        <f>AH6&amp;AH7</f>
        <v>2025Принято органом регулирования</v>
      </c>
      <c r="AI8" s="64" t="str">
        <f>AI6&amp;AI7</f>
        <v>2026Предложение организации</v>
      </c>
      <c r="AJ8" s="64" t="str">
        <f>AJ6&amp;AJ7</f>
        <v>2027Предложение организации</v>
      </c>
      <c r="AK8" s="64" t="str">
        <f>AK6&amp;AK7</f>
        <v>2028Предложение организации</v>
      </c>
      <c r="AL8" s="64" t="str">
        <f>AL6&amp;AL7</f>
        <v>2029Предложение организации</v>
      </c>
      <c r="AM8" s="64" t="str">
        <f>AM6&amp;AM7</f>
        <v>2030Предложение организации</v>
      </c>
      <c r="AN8" s="64" t="str">
        <f>AN6&amp;AN7</f>
        <v>2031Предложение организации</v>
      </c>
      <c r="AO8" s="64" t="str">
        <f>AO6&amp;AO7</f>
        <v>2032Предложение организации</v>
      </c>
      <c r="AP8" s="64" t="str">
        <f>AP6&amp;AP7</f>
        <v>2033Предложение организации</v>
      </c>
      <c r="AQ8" s="64" t="str">
        <f>AQ6&amp;AQ7</f>
        <v>2034Предложение организации</v>
      </c>
      <c r="AR8" s="64" t="str">
        <f>AR6&amp;AR7</f>
        <v>2035Предложение организации</v>
      </c>
      <c r="AS8" s="64" t="str">
        <f>AS6&amp;AS7</f>
        <v>2026Принято органом регулирования</v>
      </c>
      <c r="AT8" s="64" t="str">
        <f>AT6&amp;AT7</f>
        <v>2027Принято органом регулирования</v>
      </c>
      <c r="AU8" s="64" t="str">
        <f>AU6&amp;AU7</f>
        <v>2028Принято органом регулирования</v>
      </c>
      <c r="AV8" s="64" t="str">
        <f>AV6&amp;AV7</f>
        <v>2029Принято органом регулирования</v>
      </c>
      <c r="AW8" s="64" t="str">
        <f>AW6&amp;AW7</f>
        <v>2030Принято органом регулирования</v>
      </c>
      <c r="AX8" s="64" t="str">
        <f>AX6&amp;AX7</f>
        <v>2031Принято органом регулирования</v>
      </c>
      <c r="AY8" s="64" t="str">
        <f>AY6&amp;AY7</f>
        <v>2032Принято органом регулирования</v>
      </c>
      <c r="AZ8" s="64" t="str">
        <f>AZ6&amp;AZ7</f>
        <v>2033Принято органом регулирования</v>
      </c>
      <c r="BA8" s="64" t="str">
        <f>BA6&amp;BA7</f>
        <v>2034Принято органом регулирования</v>
      </c>
      <c r="BB8" s="64" t="str">
        <f>BB6&amp;BB7</f>
        <v>2035Принято органом регулирования</v>
      </c>
    </row>
    <row s="1284" customFormat="1" customHeight="1" ht="11.25" hidden="1">
      <c r="A9" s="992" t="s">
        <v>354</v>
      </c>
      <c r="B9" s="993"/>
      <c r="C9" s="1008"/>
      <c r="AE9" s="992" cm="1" t="str">
        <f t="array" ref="AE9:AE9">AE6</f>
        <v>2024</v>
      </c>
      <c r="AF9" s="992" cm="1" t="str">
        <f t="array" ref="AF9:AF9">AF6</f>
        <v>2024</v>
      </c>
      <c r="AG9" s="992" cm="1" t="str">
        <f t="array" ref="AG9:AG9">AG6</f>
        <v>2024</v>
      </c>
      <c r="AH9" s="992" cm="1" t="str">
        <f t="array" ref="AH9:AH9">AH6</f>
        <v>2025</v>
      </c>
      <c r="AI9" s="992" cm="1" t="str">
        <f t="array" ref="AI9:AI9">AI6</f>
        <v>2026</v>
      </c>
      <c r="AJ9" s="992" cm="1" t="str">
        <f t="array" ref="AJ9:AJ9">AJ6</f>
        <v>2027</v>
      </c>
      <c r="AK9" s="992" cm="1" t="str">
        <f t="array" ref="AK9:AK9">AK6</f>
        <v>2028</v>
      </c>
      <c r="AL9" s="992" cm="1" t="str">
        <f t="array" ref="AL9:AL9">AL6</f>
        <v>2029</v>
      </c>
      <c r="AM9" s="992" cm="1" t="str">
        <f t="array" ref="AM9:AM9">AM6</f>
        <v>2030</v>
      </c>
      <c r="AN9" s="992" cm="1" t="str">
        <f t="array" ref="AN9:AN9">AN6</f>
        <v>2031</v>
      </c>
      <c r="AO9" s="992" cm="1" t="str">
        <f t="array" ref="AO9:AO9">AO6</f>
        <v>2032</v>
      </c>
      <c r="AP9" s="992" cm="1" t="str">
        <f t="array" ref="AP9:AP9">AP6</f>
        <v>2033</v>
      </c>
      <c r="AQ9" s="992" cm="1" t="str">
        <f t="array" ref="AQ9:AQ9">AQ6</f>
        <v>2034</v>
      </c>
      <c r="AR9" s="992" cm="1" t="str">
        <f t="array" ref="AR9:AR9">AR6</f>
        <v>2035</v>
      </c>
      <c r="AS9" s="992" cm="1" t="str">
        <f t="array" ref="AS9:AS9">AS6</f>
        <v>2026</v>
      </c>
      <c r="AT9" s="992" cm="1" t="str">
        <f t="array" ref="AT9:AT9">AT6</f>
        <v>2027</v>
      </c>
      <c r="AU9" s="992" cm="1" t="str">
        <f t="array" ref="AU9:AU9">AU6</f>
        <v>2028</v>
      </c>
      <c r="AV9" s="992" cm="1" t="str">
        <f t="array" ref="AV9:AV9">AV6</f>
        <v>2029</v>
      </c>
      <c r="AW9" s="992" cm="1" t="str">
        <f t="array" ref="AW9:AW9">AW6</f>
        <v>2030</v>
      </c>
      <c r="AX9" s="992" cm="1" t="str">
        <f t="array" ref="AX9:AX9">AX6</f>
        <v>2031</v>
      </c>
      <c r="AY9" s="992" cm="1" t="str">
        <f t="array" ref="AY9:AY9">AY6</f>
        <v>2032</v>
      </c>
      <c r="AZ9" s="992" cm="1" t="str">
        <f t="array" ref="AZ9:AZ9">AZ6</f>
        <v>2033</v>
      </c>
      <c r="BA9" s="992" cm="1" t="str">
        <f t="array" ref="BA9:BA9">BA6</f>
        <v>2034</v>
      </c>
      <c r="BB9" s="992" cm="1" t="str">
        <f t="array" ref="BB9:BB9">BB6</f>
        <v>2035</v>
      </c>
      <c r="BI9" s="607"/>
      <c r="BJ9" s="607"/>
    </row>
    <row s="1284" customFormat="1" customHeight="1" ht="11.25" hidden="1">
      <c r="A10" s="992" t="s">
        <v>355</v>
      </c>
      <c r="B10" s="993"/>
      <c r="C10" s="1008"/>
      <c r="AE10" s="992" cm="1" t="str">
        <f t="array" ref="AE10:AE10">AE25</f>
        <v>Принято органом регулирования</v>
      </c>
      <c r="AF10" s="992" cm="1" t="str">
        <f t="array" ref="AF10:AF10">AF25</f>
        <v>Факт по данным организации</v>
      </c>
      <c r="AG10" s="992" cm="1" t="str">
        <f t="array" ref="AG10:AG10">AG25</f>
        <v>Факт, принятый органом регулирования</v>
      </c>
      <c r="AH10" s="992" cm="1" t="str">
        <f t="array" ref="AH10:AH10">AH25</f>
        <v>Принято органом регулирования</v>
      </c>
      <c r="AI10" s="992" cm="1" t="str">
        <f t="array" ref="AI10:AI10">AI25</f>
        <v>Предложение организации</v>
      </c>
      <c r="AJ10" s="992" cm="1" t="str">
        <f t="array" ref="AJ10:AJ10">AJ25</f>
        <v>Предложение организации</v>
      </c>
      <c r="AK10" s="992" cm="1" t="str">
        <f t="array" ref="AK10:AK10">AK25</f>
        <v>Предложение организации</v>
      </c>
      <c r="AL10" s="992" cm="1" t="str">
        <f t="array" ref="AL10:AL10">AL25</f>
        <v>Предложение организации</v>
      </c>
      <c r="AM10" s="992" cm="1" t="str">
        <f t="array" ref="AM10:AM10">AM25</f>
        <v>Предложение организации</v>
      </c>
      <c r="AN10" s="992" cm="1" t="str">
        <f t="array" ref="AN10:AN10">AN25</f>
        <v>Предложение организации</v>
      </c>
      <c r="AO10" s="992" cm="1" t="str">
        <f t="array" ref="AO10:AO10">AO25</f>
        <v>Предложение организации</v>
      </c>
      <c r="AP10" s="992" cm="1" t="str">
        <f t="array" ref="AP10:AP10">AP25</f>
        <v>Предложение организации</v>
      </c>
      <c r="AQ10" s="992" cm="1" t="str">
        <f t="array" ref="AQ10:AQ10">AQ25</f>
        <v>Предложение организации</v>
      </c>
      <c r="AR10" s="992" cm="1" t="str">
        <f t="array" ref="AR10:AR10">AR25</f>
        <v>Предложение организации</v>
      </c>
      <c r="AS10" s="992" cm="1" t="str">
        <f t="array" ref="AS10:AS10">AS25</f>
        <v>Принято органом регулирования</v>
      </c>
      <c r="AT10" s="992" cm="1" t="str">
        <f t="array" ref="AT10:AT10">AT25</f>
        <v>Принято органом регулирования</v>
      </c>
      <c r="AU10" s="992" cm="1" t="str">
        <f t="array" ref="AU10:AU10">AU25</f>
        <v>Принято органом регулирования</v>
      </c>
      <c r="AV10" s="992" cm="1" t="str">
        <f t="array" ref="AV10:AV10">AV25</f>
        <v>Принято органом регулирования</v>
      </c>
      <c r="AW10" s="992" cm="1" t="str">
        <f t="array" ref="AW10:AW10">AW25</f>
        <v>Принято органом регулирования</v>
      </c>
      <c r="AX10" s="992" cm="1" t="str">
        <f t="array" ref="AX10:AX10">AX25</f>
        <v>Принято органом регулирования</v>
      </c>
      <c r="AY10" s="992" cm="1" t="str">
        <f t="array" ref="AY10:AY10">AY25</f>
        <v>Принято органом регулирования</v>
      </c>
      <c r="AZ10" s="992" cm="1" t="str">
        <f t="array" ref="AZ10:AZ10">AZ25</f>
        <v>Принято органом регулирования</v>
      </c>
      <c r="BA10" s="992" cm="1" t="str">
        <f t="array" ref="BA10:BA10">BA25</f>
        <v>Принято органом регулирования</v>
      </c>
      <c r="BB10" s="992" cm="1" t="str">
        <f t="array" ref="BB10:BB10">BB25</f>
        <v>Принято органом регулирования</v>
      </c>
      <c r="BI10" s="607"/>
      <c r="BJ10" s="607"/>
    </row>
    <row s="1284" customFormat="1" customHeight="1" ht="11.25" hidden="1">
      <c r="A11" s="992" t="s">
        <v>356</v>
      </c>
      <c r="B11" s="993"/>
      <c r="C11" s="1008"/>
      <c r="AI11" s="1284"/>
      <c r="AJ11" s="1284"/>
      <c r="AK11" s="1284"/>
      <c r="AL11" s="1284"/>
      <c r="AM11" s="1284"/>
      <c r="AN11" s="1284"/>
      <c r="AO11" s="1284"/>
      <c r="AP11" s="1284"/>
      <c r="AQ11" s="1284"/>
      <c r="AR11" s="1284"/>
      <c r="AS11" s="1284"/>
      <c r="AT11" s="1284"/>
      <c r="AU11" s="1284"/>
      <c r="AV11" s="1284"/>
      <c r="AW11" s="1284"/>
      <c r="AX11" s="1284"/>
      <c r="AY11" s="1284"/>
      <c r="AZ11" s="1284"/>
      <c r="BA11" s="1284"/>
      <c r="BB11" s="1284"/>
      <c r="BC11" s="992" cm="1" t="str">
        <f t="array" ref="BC11:BC11">BC24</f>
        <v>Ссылка на правовую норму (основание для принятия показателя в расчет тарифа)</v>
      </c>
      <c r="BI11" s="607"/>
      <c r="BJ11" s="607"/>
    </row>
    <row s="1284" customFormat="1" customHeight="1" ht="11.25" hidden="1">
      <c r="A12" s="992" t="s">
        <v>327</v>
      </c>
      <c r="B12" s="993"/>
      <c r="C12" s="1008"/>
      <c r="AC12" s="992" t="s">
        <v>314</v>
      </c>
      <c r="AI12" s="1284"/>
      <c r="AJ12" s="1284"/>
      <c r="AK12" s="1284"/>
      <c r="AL12" s="1284"/>
      <c r="AM12" s="1284"/>
      <c r="AN12" s="1284"/>
      <c r="AO12" s="1284"/>
      <c r="AP12" s="1284"/>
      <c r="AQ12" s="1284"/>
      <c r="AR12" s="1284"/>
      <c r="AS12" s="1284"/>
      <c r="AT12" s="1284"/>
      <c r="AU12" s="1284"/>
      <c r="AV12" s="1284"/>
      <c r="AW12" s="1284"/>
      <c r="AX12" s="1284"/>
      <c r="AY12" s="1284"/>
      <c r="AZ12" s="1284"/>
      <c r="BA12" s="1284"/>
      <c r="BB12" s="1284"/>
      <c r="BI12" s="607"/>
      <c r="BJ12" s="607"/>
    </row>
    <row customHeight="1" ht="11.25" hidden="1">
      <c r="AI13" s="1282"/>
      <c r="AJ13" s="1282"/>
      <c r="AK13" s="1282"/>
      <c r="AL13" s="1282"/>
      <c r="AM13" s="1282"/>
      <c r="AN13" s="1282"/>
      <c r="AO13" s="1282"/>
      <c r="AP13" s="1282"/>
      <c r="AQ13" s="1282"/>
      <c r="AR13" s="1282"/>
      <c r="AS13" s="1282"/>
      <c r="AT13" s="1282"/>
      <c r="AU13" s="1282"/>
      <c r="AV13" s="1282"/>
      <c r="AW13" s="1282"/>
      <c r="AX13" s="1282"/>
      <c r="AY13" s="1282"/>
      <c r="AZ13" s="1282"/>
      <c r="BA13" s="1282"/>
      <c r="BB13" s="1282"/>
    </row>
    <row customHeight="1" ht="11.25" hidden="1">
      <c r="AI14" s="1282"/>
      <c r="AJ14" s="1282"/>
      <c r="AK14" s="1282"/>
      <c r="AL14" s="1282"/>
      <c r="AM14" s="1282"/>
      <c r="AN14" s="1282"/>
      <c r="AO14" s="1282"/>
      <c r="AP14" s="1282"/>
      <c r="AQ14" s="1282"/>
      <c r="AR14" s="1282"/>
      <c r="AS14" s="1282"/>
      <c r="AT14" s="1282"/>
      <c r="AU14" s="1282"/>
      <c r="AV14" s="1282"/>
      <c r="AW14" s="1282"/>
      <c r="AX14" s="1282"/>
      <c r="AY14" s="1282"/>
      <c r="AZ14" s="1282"/>
      <c r="BA14" s="1282"/>
      <c r="BB14" s="1282"/>
    </row>
    <row customHeight="1" ht="11.25" hidden="1">
      <c r="AI15" s="1282"/>
      <c r="AJ15" s="1282"/>
      <c r="AK15" s="1282"/>
      <c r="AL15" s="1282"/>
      <c r="AM15" s="1282"/>
      <c r="AN15" s="1282"/>
      <c r="AO15" s="1282"/>
      <c r="AP15" s="1282"/>
      <c r="AQ15" s="1282"/>
      <c r="AR15" s="1282"/>
      <c r="AS15" s="1282"/>
      <c r="AT15" s="1282"/>
      <c r="AU15" s="1282"/>
      <c r="AV15" s="1282"/>
      <c r="AW15" s="1282"/>
      <c r="AX15" s="1282"/>
      <c r="AY15" s="1282"/>
      <c r="AZ15" s="1282"/>
      <c r="BA15" s="1282"/>
      <c r="BB15" s="1282"/>
    </row>
    <row customHeight="1" ht="11.25" hidden="1">
      <c r="AI16" s="1282"/>
      <c r="AJ16" s="1282"/>
      <c r="AK16" s="1282"/>
      <c r="AL16" s="1282"/>
      <c r="AM16" s="1282"/>
      <c r="AN16" s="1282"/>
      <c r="AO16" s="1282"/>
      <c r="AP16" s="1282"/>
      <c r="AQ16" s="1282"/>
      <c r="AR16" s="1282"/>
      <c r="AS16" s="1282"/>
      <c r="AT16" s="1282"/>
      <c r="AU16" s="1282"/>
      <c r="AV16" s="1282"/>
      <c r="AW16" s="1282"/>
      <c r="AX16" s="1282"/>
      <c r="AY16" s="1282"/>
      <c r="AZ16" s="1282"/>
      <c r="BA16" s="1282"/>
      <c r="BB16" s="1282"/>
    </row>
    <row customHeight="1" ht="11.25" hidden="1">
      <c r="AI17" s="1282"/>
      <c r="AJ17" s="1282"/>
      <c r="AK17" s="1282"/>
      <c r="AL17" s="1282"/>
      <c r="AM17" s="1282"/>
      <c r="AN17" s="1282"/>
      <c r="AO17" s="1282"/>
      <c r="AP17" s="1282"/>
      <c r="AQ17" s="1282"/>
      <c r="AR17" s="1282"/>
      <c r="AS17" s="1282"/>
      <c r="AT17" s="1282"/>
      <c r="AU17" s="1282"/>
      <c r="AV17" s="1282"/>
      <c r="AW17" s="1282"/>
      <c r="AX17" s="1282"/>
      <c r="AY17" s="1282"/>
      <c r="AZ17" s="1282"/>
      <c r="BA17" s="1282"/>
      <c r="BB17" s="1282"/>
    </row>
    <row customHeight="1" ht="11.25" hidden="1">
      <c r="A18" s="64"/>
      <c r="AC18" s="64" t="s">
        <v>197</v>
      </c>
      <c r="AI18" s="1282"/>
      <c r="AJ18" s="1282"/>
      <c r="AK18" s="1282"/>
      <c r="AL18" s="1282"/>
      <c r="AM18" s="1282"/>
      <c r="AN18" s="1282"/>
      <c r="AO18" s="1282"/>
      <c r="AP18" s="1282"/>
      <c r="AQ18" s="1282"/>
      <c r="AR18" s="1282"/>
      <c r="AS18" s="1282"/>
      <c r="AT18" s="1282"/>
      <c r="AU18" s="1282"/>
      <c r="AV18" s="1282"/>
      <c r="AW18" s="1282"/>
      <c r="AX18" s="1282"/>
      <c r="AY18" s="1282"/>
      <c r="AZ18" s="1282"/>
      <c r="BA18" s="1282"/>
      <c r="BB18" s="1282"/>
    </row>
    <row customHeight="1" ht="11.25" hidden="1">
      <c r="AI19" s="1282"/>
      <c r="AJ19" s="1282"/>
      <c r="AK19" s="1282"/>
      <c r="AL19" s="1282"/>
      <c r="AM19" s="1282"/>
      <c r="AN19" s="1282"/>
      <c r="AO19" s="1282"/>
      <c r="AP19" s="1282"/>
      <c r="AQ19" s="1282"/>
      <c r="AR19" s="1282"/>
      <c r="AS19" s="1282"/>
      <c r="AT19" s="1282"/>
      <c r="AU19" s="1282"/>
      <c r="AV19" s="1282"/>
      <c r="AW19" s="1282"/>
      <c r="AX19" s="1282"/>
      <c r="AY19" s="1282"/>
      <c r="AZ19" s="1282"/>
      <c r="BA19" s="1282"/>
      <c r="BB19" s="1282"/>
    </row>
    <row customHeight="1" ht="11.25" hidden="1">
      <c r="AI20" s="1282"/>
      <c r="AJ20" s="1282"/>
      <c r="AK20" s="1282"/>
      <c r="AL20" s="1282"/>
      <c r="AM20" s="1282"/>
      <c r="AN20" s="1282"/>
      <c r="AO20" s="1282"/>
      <c r="AP20" s="1282"/>
      <c r="AQ20" s="1282"/>
      <c r="AR20" s="1282"/>
      <c r="AS20" s="1282"/>
      <c r="AT20" s="1282"/>
      <c r="AU20" s="1282"/>
      <c r="AV20" s="1282"/>
      <c r="AW20" s="1282"/>
      <c r="AX20" s="1282"/>
      <c r="AY20" s="1282"/>
      <c r="AZ20" s="1282"/>
      <c r="BA20" s="1282"/>
      <c r="BB20" s="1282"/>
    </row>
    <row customHeight="1" ht="14.625">
      <c r="E21" s="607">
        <v>15</v>
      </c>
      <c r="AA21" s="633"/>
      <c r="AC21" s="50" cm="1" t="str">
        <f t="array" ref="AC21:AC21">tpl_title</f>
        <v>Кемеровская область / 2026 / ОАО «СКЭК» (ИНН:4205153492, КПП:420501001) / ДПР: 2026-2026</v>
      </c>
      <c r="AI21" s="1282"/>
      <c r="AJ21" s="1282"/>
      <c r="AK21" s="1282"/>
      <c r="AL21" s="1282"/>
      <c r="AM21" s="1282"/>
      <c r="AN21" s="1282"/>
      <c r="AO21" s="1282"/>
      <c r="AP21" s="1282"/>
      <c r="AQ21" s="1282"/>
      <c r="AR21" s="1282"/>
      <c r="AS21" s="1282"/>
      <c r="AT21" s="1282"/>
      <c r="AU21" s="1282"/>
      <c r="AV21" s="1282"/>
      <c r="AW21" s="1282"/>
      <c r="AX21" s="1282"/>
      <c r="AY21" s="1282"/>
      <c r="AZ21" s="1282"/>
      <c r="BA21" s="1282"/>
      <c r="BB21" s="1282"/>
    </row>
    <row s="1379" customFormat="1" customHeight="1" ht="19.5">
      <c r="B22" s="399"/>
      <c r="C22" s="457"/>
      <c r="E22" s="608">
        <v>20</v>
      </c>
      <c r="AB22" s="286" t="s">
        <v>51</v>
      </c>
      <c r="AC22" s="172"/>
      <c r="AD22" s="172"/>
      <c r="AE22" s="172"/>
      <c r="AF22" s="172"/>
      <c r="AG22" s="172"/>
      <c r="AH22" s="172"/>
      <c r="AI22" s="172"/>
      <c r="AJ22" s="172"/>
      <c r="AK22" s="172"/>
      <c r="AL22" s="172"/>
      <c r="AM22" s="172"/>
      <c r="AN22" s="172"/>
      <c r="AO22" s="172"/>
      <c r="AP22" s="172"/>
      <c r="AQ22" s="172"/>
      <c r="AR22" s="172"/>
      <c r="AS22" s="172"/>
      <c r="AT22" s="172"/>
      <c r="AU22" s="172"/>
      <c r="AV22" s="172"/>
      <c r="AW22" s="172"/>
      <c r="AX22" s="172"/>
      <c r="AY22" s="172"/>
      <c r="AZ22" s="172"/>
      <c r="BA22" s="172"/>
      <c r="BB22" s="172"/>
      <c r="BC22" s="172"/>
      <c r="BF22" s="995"/>
      <c r="BG22" s="995"/>
      <c r="BH22" s="995"/>
      <c r="BI22" s="608"/>
      <c r="BJ22" s="608"/>
    </row>
    <row s="1379" customFormat="1" customHeight="1" ht="10.96875">
      <c r="B23" s="399"/>
      <c r="C23" s="457"/>
      <c r="E23" s="608">
        <v>11.25</v>
      </c>
      <c r="AB23" s="167"/>
      <c r="AC23" s="167"/>
      <c r="AD23" s="167"/>
      <c r="AE23" s="168"/>
      <c r="AF23" s="168"/>
      <c r="AG23" s="168"/>
      <c r="AH23" s="168"/>
      <c r="AI23" s="167"/>
      <c r="AJ23" s="167"/>
      <c r="AK23" s="167"/>
      <c r="AL23" s="167"/>
      <c r="AM23" s="167"/>
      <c r="AN23" s="167"/>
      <c r="AO23" s="167"/>
      <c r="AP23" s="167"/>
      <c r="AQ23" s="167"/>
      <c r="AR23" s="167"/>
      <c r="AS23" s="167"/>
      <c r="AT23" s="167"/>
      <c r="AU23" s="167"/>
      <c r="AV23" s="167"/>
      <c r="AW23" s="167"/>
      <c r="AX23" s="167"/>
      <c r="AY23" s="167"/>
      <c r="AZ23" s="167"/>
      <c r="BA23" s="167"/>
      <c r="BB23" s="167"/>
      <c r="BC23" s="167"/>
      <c r="BF23" s="995"/>
      <c r="BG23" s="995"/>
      <c r="BH23" s="995"/>
      <c r="BI23" s="608"/>
      <c r="BJ23" s="608"/>
    </row>
    <row s="1399" customFormat="1" customHeight="1" ht="14.625">
      <c r="B24" s="401"/>
      <c r="C24" s="459"/>
      <c r="E24" s="605">
        <v>15</v>
      </c>
      <c r="AB24" s="1546" t="s">
        <v>21</v>
      </c>
      <c r="AC24" s="1546" t="s">
        <v>358</v>
      </c>
      <c r="AD24" s="1546" t="s">
        <v>359</v>
      </c>
      <c r="AE24" s="325" t="str">
        <f>god-2&amp;" год"</f>
        <v>2024 год</v>
      </c>
      <c r="AF24" s="1099" t="str">
        <f>god-2&amp;" год"</f>
        <v>2024 год</v>
      </c>
      <c r="AG24" s="325" t="str">
        <f>god-2&amp;" год"</f>
        <v>2024 год</v>
      </c>
      <c r="AH24" s="60" t="str">
        <f>god-1&amp;" год"</f>
        <v>2025 год</v>
      </c>
      <c r="AI24" s="1096" t="str">
        <f>god&amp;" год"</f>
        <v>2026 год</v>
      </c>
      <c r="AJ24" s="1096" t="str">
        <f>god+1&amp;" год"</f>
        <v>2027 год</v>
      </c>
      <c r="AK24" s="1096" t="str">
        <f>god+2&amp;" год"</f>
        <v>2028 год</v>
      </c>
      <c r="AL24" s="1096" t="str">
        <f>god+3&amp;" год"</f>
        <v>2029 год</v>
      </c>
      <c r="AM24" s="1096" t="str">
        <f>god+4&amp;" год"</f>
        <v>2030 год</v>
      </c>
      <c r="AN24" s="1096" t="str">
        <f>god+5&amp;" год"</f>
        <v>2031 год</v>
      </c>
      <c r="AO24" s="1096" t="str">
        <f>god+6&amp;" год"</f>
        <v>2032 год</v>
      </c>
      <c r="AP24" s="1096" t="str">
        <f>god+7&amp;" год"</f>
        <v>2033 год</v>
      </c>
      <c r="AQ24" s="1096" t="str">
        <f>god+8&amp;" год"</f>
        <v>2034 год</v>
      </c>
      <c r="AR24" s="1096" t="str">
        <f>god+9&amp;" год"</f>
        <v>2035 год</v>
      </c>
      <c r="AS24" s="58" t="str">
        <f>god&amp;" год"</f>
        <v>2026 год</v>
      </c>
      <c r="AT24" s="58" t="str">
        <f>god+1&amp;" год"</f>
        <v>2027 год</v>
      </c>
      <c r="AU24" s="58" t="str">
        <f>god+2&amp;" год"</f>
        <v>2028 год</v>
      </c>
      <c r="AV24" s="58" t="str">
        <f>god+3&amp;" год"</f>
        <v>2029 год</v>
      </c>
      <c r="AW24" s="58" t="str">
        <f>god+4&amp;" год"</f>
        <v>2030 год</v>
      </c>
      <c r="AX24" s="58" t="str">
        <f>god+5&amp;" год"</f>
        <v>2031 год</v>
      </c>
      <c r="AY24" s="58" t="str">
        <f>god+6&amp;" год"</f>
        <v>2032 год</v>
      </c>
      <c r="AZ24" s="58" t="str">
        <f>god+7&amp;" год"</f>
        <v>2033 год</v>
      </c>
      <c r="BA24" s="58" t="str">
        <f>god+8&amp;" год"</f>
        <v>2034 год</v>
      </c>
      <c r="BB24" s="58" t="str">
        <f>god+9&amp;" год"</f>
        <v>2035 год</v>
      </c>
      <c r="BC24" s="1523" t="s">
        <v>500</v>
      </c>
      <c r="BF24" s="990"/>
      <c r="BG24" s="990"/>
      <c r="BH24" s="990"/>
      <c r="BI24" s="605"/>
      <c r="BJ24" s="605"/>
    </row>
    <row s="1399" customFormat="1" customHeight="1" ht="48.75">
      <c r="B25" s="401"/>
      <c r="C25" s="459"/>
      <c r="E25" s="605">
        <v>50</v>
      </c>
      <c r="AB25" s="1546"/>
      <c r="AC25" s="1546"/>
      <c r="AD25" s="1546"/>
      <c r="AE25" s="58" t="s">
        <v>351</v>
      </c>
      <c r="AF25" s="1096" t="s">
        <v>424</v>
      </c>
      <c r="AG25" s="58" t="s">
        <v>425</v>
      </c>
      <c r="AH25" s="58" t="s">
        <v>351</v>
      </c>
      <c r="AI25" s="1100" t="s">
        <v>352</v>
      </c>
      <c r="AJ25" s="1100" t="s">
        <v>352</v>
      </c>
      <c r="AK25" s="1100" t="s">
        <v>352</v>
      </c>
      <c r="AL25" s="1100" t="s">
        <v>352</v>
      </c>
      <c r="AM25" s="1100" t="s">
        <v>352</v>
      </c>
      <c r="AN25" s="1100" t="s">
        <v>352</v>
      </c>
      <c r="AO25" s="1100" t="s">
        <v>352</v>
      </c>
      <c r="AP25" s="1100" t="s">
        <v>352</v>
      </c>
      <c r="AQ25" s="1100" t="s">
        <v>352</v>
      </c>
      <c r="AR25" s="1100" t="s">
        <v>352</v>
      </c>
      <c r="AS25" s="326" t="s">
        <v>351</v>
      </c>
      <c r="AT25" s="326" t="s">
        <v>351</v>
      </c>
      <c r="AU25" s="326" t="s">
        <v>351</v>
      </c>
      <c r="AV25" s="326" t="s">
        <v>351</v>
      </c>
      <c r="AW25" s="326" t="s">
        <v>351</v>
      </c>
      <c r="AX25" s="326" t="s">
        <v>351</v>
      </c>
      <c r="AY25" s="326" t="s">
        <v>351</v>
      </c>
      <c r="AZ25" s="326" t="s">
        <v>351</v>
      </c>
      <c r="BA25" s="326" t="s">
        <v>351</v>
      </c>
      <c r="BB25" s="326" t="s">
        <v>351</v>
      </c>
      <c r="BC25" s="1523"/>
      <c r="BF25" s="990"/>
      <c r="BG25" s="990"/>
      <c r="BH25" s="990"/>
      <c r="BI25" s="605"/>
      <c r="BJ25" s="605"/>
    </row>
    <row s="1399" customFormat="1" customHeight="1" ht="14.25" hidden="1">
      <c r="B26" s="401"/>
      <c r="C26" s="459"/>
      <c r="E26" s="605">
        <v>0</v>
      </c>
      <c r="AB26" s="699"/>
      <c r="AC26" s="699"/>
      <c r="AD26" s="699"/>
      <c r="AE26" s="696"/>
      <c r="AF26" s="696"/>
      <c r="AG26" s="696"/>
      <c r="AH26" s="696"/>
      <c r="AI26" s="696"/>
      <c r="AJ26" s="696"/>
      <c r="AK26" s="696"/>
      <c r="AL26" s="696"/>
      <c r="AM26" s="696"/>
      <c r="AN26" s="696"/>
      <c r="AO26" s="696"/>
      <c r="AP26" s="696"/>
      <c r="AQ26" s="696"/>
      <c r="AR26" s="696"/>
      <c r="AS26" s="696"/>
      <c r="AT26" s="696"/>
      <c r="AU26" s="696"/>
      <c r="AV26" s="696"/>
      <c r="AW26" s="696"/>
      <c r="AX26" s="696"/>
      <c r="AY26" s="696"/>
      <c r="AZ26" s="696"/>
      <c r="BA26" s="696"/>
      <c r="BB26" s="696"/>
      <c r="BC26" s="696"/>
      <c r="BF26" s="990"/>
      <c r="BG26" s="990"/>
      <c r="BH26" s="990"/>
      <c r="BI26" s="605"/>
      <c r="BJ26" s="605"/>
    </row>
    <row s="1399" customFormat="1" customHeight="1" ht="14.625" hidden="1">
      <c r="A27" s="1399"/>
      <c r="B27" s="401"/>
      <c r="C27" s="458"/>
      <c r="D27" s="1399"/>
      <c r="E27" s="607">
        <v>15</v>
      </c>
      <c r="F27" s="64" cm="1" t="str">
        <f t="array" ref="F27:F27">X27</f>
        <v>0</v>
      </c>
      <c r="G27" s="64"/>
      <c r="H27" s="64"/>
      <c r="I27" s="1399"/>
      <c r="J27" s="1399"/>
      <c r="K27" s="1399"/>
      <c r="L27" s="1399"/>
      <c r="M27" s="1399"/>
      <c r="N27" s="1399"/>
      <c r="O27" s="1399"/>
      <c r="P27" s="1399"/>
      <c r="Q27" s="1399"/>
      <c r="R27" s="1399"/>
      <c r="S27" s="1399"/>
      <c r="T27" s="438">
        <f>X27&gt;0</f>
        <v>0</v>
      </c>
      <c r="U27" s="1399"/>
      <c r="V27" s="110" t="s">
        <v>267</v>
      </c>
      <c r="W27" s="1399"/>
      <c r="X27" s="1491">
        <v>0</v>
      </c>
      <c r="Y27" s="1399"/>
      <c r="Z27" s="1513"/>
      <c r="AA27" s="1399"/>
      <c r="AB27" s="149" cm="1" t="str">
        <f t="array" ref="AB27:AB27">INDEX('Общие сведения'!$AG$179:$AG$208,MATCH($X27,'Общие сведения'!$Z$179:$Z$208,0))</f>
        <v>Тариф 0 () - тариф на транспортировку сточных вод</v>
      </c>
      <c r="AC27" s="146"/>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399"/>
      <c r="BE27" s="1399"/>
      <c r="BF27" s="990"/>
      <c r="BG27" s="990"/>
      <c r="BH27" s="990"/>
      <c r="BI27" s="605"/>
      <c r="BJ27" s="605"/>
    </row>
    <row s="1513" customFormat="1" customHeight="1" ht="10.96875" hidden="1">
      <c r="A28" s="1513"/>
      <c r="B28" s="401"/>
      <c r="C28" s="456"/>
      <c r="D28" s="933"/>
      <c r="E28" s="233">
        <v>11.25</v>
      </c>
      <c r="F28" s="50" cm="1" t="str">
        <f t="array" ref="F28:F28">OFFSET(E28,-1,1)</f>
        <v>0</v>
      </c>
      <c r="G28" s="92" t="s">
        <v>321</v>
      </c>
      <c r="H28" s="92"/>
      <c r="I28" s="1513"/>
      <c r="J28" s="1513"/>
      <c r="K28" s="456" t="str">
        <f>F28&amp;"komm"</f>
        <v>0komm</v>
      </c>
      <c r="L28" s="893" cm="1" t="str">
        <f t="array" ref="L28:L28">BC28</f>
        <v>0</v>
      </c>
      <c r="M28" s="1513"/>
      <c r="N28" s="1513"/>
      <c r="O28" s="1513"/>
      <c r="P28" s="1513"/>
      <c r="Q28" s="1513"/>
      <c r="R28" s="1513"/>
      <c r="S28" s="1513"/>
      <c r="T28" s="438" cm="1" t="str">
        <f t="array" ref="T28:T28">T27</f>
        <v>false</v>
      </c>
      <c r="U28" s="1513"/>
      <c r="V28" s="1513"/>
      <c r="W28" s="1513"/>
      <c r="X28" s="1491"/>
      <c r="Y28" s="1513"/>
      <c r="Z28" s="1513"/>
      <c r="AA28" s="1513"/>
      <c r="AB28" s="55" t="s">
        <v>281</v>
      </c>
      <c r="AC28" s="104" t="s">
        <v>788</v>
      </c>
      <c r="AD28" s="55" t="s">
        <v>789</v>
      </c>
      <c r="AE28" s="157">
        <f>IF(COUNTIF(AE33:AE46,"Ошибка")&gt;0,"Ошибка",SUMIF($AD33:$AD46,$AD28,AE33:AE46))</f>
        <v>0</v>
      </c>
      <c r="AF28" s="157">
        <f>IF(COUNTIF(AF33:AF46,"Ошибка")&gt;0,"Ошибка",SUMIF($AD33:$AD46,$AD28,AF33:AF46))</f>
        <v>0</v>
      </c>
      <c r="AG28" s="157">
        <f>IF(COUNTIF(AG33:AG46,"Ошибка")&gt;0,"Ошибка",SUMIF($AD33:$AD46,$AD28,AG33:AG46))</f>
        <v>0</v>
      </c>
      <c r="AH28" s="157">
        <f>IF(COUNTIF(AH33:AH46,"Ошибка")&gt;0,"Ошибка",SUMIF($AD33:$AD46,$AD28,AH33:AH46))</f>
        <v>0</v>
      </c>
      <c r="AI28" s="157">
        <f>IF(COUNTIF(AI33:AI46,"Ошибка")&gt;0,"Ошибка",SUMIF($AD33:$AD46,$AD28,AI33:AI46))</f>
        <v>0</v>
      </c>
      <c r="AJ28" s="157">
        <f>IF(COUNTIF(AJ33:AJ46,"Ошибка")&gt;0,"Ошибка",SUMIF($AD33:$AD46,$AD28,AJ33:AJ46))</f>
        <v>0</v>
      </c>
      <c r="AK28" s="157">
        <f>IF(COUNTIF(AK33:AK46,"Ошибка")&gt;0,"Ошибка",SUMIF($AD33:$AD46,$AD28,AK33:AK46))</f>
        <v>0</v>
      </c>
      <c r="AL28" s="157">
        <f>IF(COUNTIF(AL33:AL46,"Ошибка")&gt;0,"Ошибка",SUMIF($AD33:$AD46,$AD28,AL33:AL46))</f>
        <v>0</v>
      </c>
      <c r="AM28" s="157">
        <f>IF(COUNTIF(AM33:AM46,"Ошибка")&gt;0,"Ошибка",SUMIF($AD33:$AD46,$AD28,AM33:AM46))</f>
        <v>0</v>
      </c>
      <c r="AN28" s="157">
        <f>IF(COUNTIF(AN33:AN46,"Ошибка")&gt;0,"Ошибка",SUMIF($AD33:$AD46,$AD28,AN33:AN46))</f>
        <v>0</v>
      </c>
      <c r="AO28" s="157">
        <f>IF(COUNTIF(AO33:AO46,"Ошибка")&gt;0,"Ошибка",SUMIF($AD33:$AD46,$AD28,AO33:AO46))</f>
        <v>0</v>
      </c>
      <c r="AP28" s="157">
        <f>IF(COUNTIF(AP33:AP46,"Ошибка")&gt;0,"Ошибка",SUMIF($AD33:$AD46,$AD28,AP33:AP46))</f>
        <v>0</v>
      </c>
      <c r="AQ28" s="157">
        <f>IF(COUNTIF(AQ33:AQ46,"Ошибка")&gt;0,"Ошибка",SUMIF($AD33:$AD46,$AD28,AQ33:AQ46))</f>
        <v>0</v>
      </c>
      <c r="AR28" s="157">
        <f>IF(COUNTIF(AR33:AR46,"Ошибка")&gt;0,"Ошибка",SUMIF($AD33:$AD46,$AD28,AR33:AR46))</f>
        <v>0</v>
      </c>
      <c r="AS28" s="157">
        <f>IF(COUNTIF(AS33:AS46,"Ошибка")&gt;0,"Ошибка",SUMIF($AD33:$AD46,$AD28,AS33:AS46))</f>
        <v>0</v>
      </c>
      <c r="AT28" s="157">
        <f>IF(COUNTIF(AT33:AT46,"Ошибка")&gt;0,"Ошибка",SUMIF($AD33:$AD46,$AD28,AT33:AT46))</f>
        <v>0</v>
      </c>
      <c r="AU28" s="157">
        <f>IF(COUNTIF(AU33:AU46,"Ошибка")&gt;0,"Ошибка",SUMIF($AD33:$AD46,$AD28,AU33:AU46))</f>
        <v>0</v>
      </c>
      <c r="AV28" s="157">
        <f>IF(COUNTIF(AV33:AV46,"Ошибка")&gt;0,"Ошибка",SUMIF($AD33:$AD46,$AD28,AV33:AV46))</f>
        <v>0</v>
      </c>
      <c r="AW28" s="157">
        <f>IF(COUNTIF(AW33:AW46,"Ошибка")&gt;0,"Ошибка",SUMIF($AD33:$AD46,$AD28,AW33:AW46))</f>
        <v>0</v>
      </c>
      <c r="AX28" s="157">
        <f>IF(COUNTIF(AX33:AX46,"Ошибка")&gt;0,"Ошибка",SUMIF($AD33:$AD46,$AD28,AX33:AX46))</f>
        <v>0</v>
      </c>
      <c r="AY28" s="157">
        <f>IF(COUNTIF(AY33:AY46,"Ошибка")&gt;0,"Ошибка",SUMIF($AD33:$AD46,$AD28,AY33:AY46))</f>
        <v>0</v>
      </c>
      <c r="AZ28" s="157">
        <f>IF(COUNTIF(AZ33:AZ46,"Ошибка")&gt;0,"Ошибка",SUMIF($AD33:$AD46,$AD28,AZ33:AZ46))</f>
        <v>0</v>
      </c>
      <c r="BA28" s="157">
        <f>IF(COUNTIF(BA33:BA46,"Ошибка")&gt;0,"Ошибка",SUMIF($AD33:$AD46,$AD28,BA33:BA46))</f>
        <v>0</v>
      </c>
      <c r="BB28" s="157">
        <f>IF(COUNTIF(BB33:BB46,"Ошибка")&gt;0,"Ошибка",SUMIF($AD33:$AD46,$AD28,BB33:BB46))</f>
        <v>0</v>
      </c>
      <c r="BC28" s="1880"/>
      <c r="BD28" s="1513"/>
      <c r="BE28" s="1513"/>
      <c r="BF28" s="1007" t="s">
        <v>795</v>
      </c>
      <c r="BG28" s="1007"/>
      <c r="BH28" s="1007"/>
      <c r="BI28" s="233"/>
      <c r="BJ28" s="233"/>
    </row>
    <row s="1513" customFormat="1" customHeight="1" ht="10.96875" hidden="1">
      <c r="A29" s="1513"/>
      <c r="B29" s="401"/>
      <c r="C29" s="456"/>
      <c r="D29" s="1513"/>
      <c r="E29" s="233">
        <v>11.25</v>
      </c>
      <c r="F29" s="50" cm="1" t="str">
        <f t="array" ref="F29:F29">OFFSET(E29,-1,1)</f>
        <v>0</v>
      </c>
      <c r="G29" s="92" t="s">
        <v>322</v>
      </c>
      <c r="H29" s="92"/>
      <c r="I29" s="1513"/>
      <c r="J29" s="1513"/>
      <c r="K29" s="1513"/>
      <c r="L29" s="1513"/>
      <c r="M29" s="1513"/>
      <c r="N29" s="1513"/>
      <c r="O29" s="1513"/>
      <c r="P29" s="1513"/>
      <c r="Q29" s="1513"/>
      <c r="R29" s="1513"/>
      <c r="S29" s="1513"/>
      <c r="T29" s="438" cm="1" t="str">
        <f t="array" ref="T29:T29">T28</f>
        <v>false</v>
      </c>
      <c r="U29" s="1513"/>
      <c r="V29" s="1513"/>
      <c r="W29" s="1513"/>
      <c r="X29" s="1491"/>
      <c r="Y29" s="1513"/>
      <c r="Z29" s="1513"/>
      <c r="AA29" s="1513"/>
      <c r="AB29" s="55" t="s">
        <v>504</v>
      </c>
      <c r="AC29" s="104" t="s">
        <v>796</v>
      </c>
      <c r="AD29" s="58" t="s">
        <v>797</v>
      </c>
      <c r="AE29" s="157">
        <f>SUMIF(AD33:AD46,AD29,AE33:AE46)</f>
        <v>0</v>
      </c>
      <c r="AF29" s="157">
        <f>SUMIF(AD33:AD46,AD29,AF33:AF46)</f>
        <v>0</v>
      </c>
      <c r="AG29" s="157">
        <f>SUMIF(AD33:AD46,AD29,AG33:AG46)</f>
        <v>0</v>
      </c>
      <c r="AH29" s="157">
        <f>SUMIF(AD33:AD46,AD29,AH33:AH46)</f>
        <v>0</v>
      </c>
      <c r="AI29" s="157">
        <f>SUMIF(AD33:AD46,AD29,AI33:AI46)</f>
        <v>0</v>
      </c>
      <c r="AJ29" s="157">
        <f>SUMIF(AD33:AD46,AD29,AJ33:AJ46)</f>
        <v>0</v>
      </c>
      <c r="AK29" s="157">
        <f>SUMIF(AD33:AD46,AD29,AK33:AK46)</f>
        <v>0</v>
      </c>
      <c r="AL29" s="157">
        <f>SUMIF(AD33:AD46,AD29,AL33:AL46)</f>
        <v>0</v>
      </c>
      <c r="AM29" s="157">
        <f>SUMIF(AD33:AD46,AD29,AM33:AM46)</f>
        <v>0</v>
      </c>
      <c r="AN29" s="157">
        <f>SUMIF(AD33:AD46,AD29,AN33:AN46)</f>
        <v>0</v>
      </c>
      <c r="AO29" s="157">
        <f>SUMIF(AD33:AD46,AD29,AO33:AO46)</f>
        <v>0</v>
      </c>
      <c r="AP29" s="157">
        <f>SUMIF(AD33:AD46,AD29,AP33:AP46)</f>
        <v>0</v>
      </c>
      <c r="AQ29" s="157">
        <f>SUMIF(AD33:AD46,AD29,AQ33:AQ46)</f>
        <v>0</v>
      </c>
      <c r="AR29" s="157">
        <f>SUMIF(AD33:AD46,AD29,AR33:AR46)</f>
        <v>0</v>
      </c>
      <c r="AS29" s="157">
        <f>SUMIF(AD33:AD46,AD29,AS33:AS46)</f>
        <v>0</v>
      </c>
      <c r="AT29" s="157">
        <f>SUMIF(AD33:AD46,AD29,AT33:AT46)</f>
        <v>0</v>
      </c>
      <c r="AU29" s="157">
        <f>SUMIF(AD33:AD46,AD29,AU33:AU46)</f>
        <v>0</v>
      </c>
      <c r="AV29" s="157">
        <f>SUMIF(AD33:AD46,AD29,AV33:AV46)</f>
        <v>0</v>
      </c>
      <c r="AW29" s="157">
        <f>SUMIF(AD33:AD46,AD29,AW33:AW46)</f>
        <v>0</v>
      </c>
      <c r="AX29" s="157">
        <f>SUMIF(AD33:AD46,AD29,AX33:AX46)</f>
        <v>0</v>
      </c>
      <c r="AY29" s="157">
        <f>SUMIF(AD33:AD46,AD29,AY33:AY46)</f>
        <v>0</v>
      </c>
      <c r="AZ29" s="157">
        <f>SUMIF(AD33:AD46,AD29,AZ33:AZ46)</f>
        <v>0</v>
      </c>
      <c r="BA29" s="157">
        <f>SUMIF(AD33:AD46,AD29,BA33:BA46)</f>
        <v>0</v>
      </c>
      <c r="BB29" s="157">
        <f>SUMIF(AD33:AD46,AD29,BB33:BB46)</f>
        <v>0</v>
      </c>
      <c r="BC29" s="1880"/>
      <c r="BD29" s="1513"/>
      <c r="BE29" s="1513"/>
      <c r="BF29" s="1007" t="s">
        <v>798</v>
      </c>
      <c r="BG29" s="1007"/>
      <c r="BH29" s="1007"/>
      <c r="BI29" s="233"/>
      <c r="BJ29" s="233"/>
    </row>
    <row s="1513" customFormat="1" customHeight="1" ht="10.96875" hidden="1">
      <c r="A30" s="1513"/>
      <c r="B30" s="401"/>
      <c r="C30" s="456"/>
      <c r="D30" s="1513"/>
      <c r="E30" s="233">
        <v>11.25</v>
      </c>
      <c r="F30" s="50" cm="1" t="str">
        <f t="array" ref="F30:F30">OFFSET(E30,-1,1)</f>
        <v>0</v>
      </c>
      <c r="G30" s="92" t="s">
        <v>323</v>
      </c>
      <c r="H30" s="92"/>
      <c r="I30" s="1513"/>
      <c r="J30" s="1513"/>
      <c r="K30" s="1513"/>
      <c r="L30" s="1513"/>
      <c r="M30" s="1513"/>
      <c r="N30" s="1513"/>
      <c r="O30" s="1513"/>
      <c r="P30" s="1513"/>
      <c r="Q30" s="1513"/>
      <c r="R30" s="1513"/>
      <c r="S30" s="1513"/>
      <c r="T30" s="438" cm="1" t="str">
        <f t="array" ref="T30:T30">T29</f>
        <v>false</v>
      </c>
      <c r="U30" s="1513"/>
      <c r="V30" s="1513"/>
      <c r="W30" s="1513"/>
      <c r="X30" s="1491"/>
      <c r="Y30" s="1513"/>
      <c r="Z30" s="1513"/>
      <c r="AA30" s="1513"/>
      <c r="AB30" s="55" t="s">
        <v>319</v>
      </c>
      <c r="AC30" s="104" t="s">
        <v>799</v>
      </c>
      <c r="AD30" s="58" t="s">
        <v>800</v>
      </c>
      <c r="AE30" s="2308"/>
      <c r="AF30" s="2308"/>
      <c r="AG30" s="2308"/>
      <c r="AH30" s="2308"/>
      <c r="AI30" s="205"/>
      <c r="AJ30" s="2308"/>
      <c r="AK30" s="2308"/>
      <c r="AL30" s="2308"/>
      <c r="AM30" s="2308"/>
      <c r="AN30" s="2308"/>
      <c r="AO30" s="2308"/>
      <c r="AP30" s="2308"/>
      <c r="AQ30" s="2308"/>
      <c r="AR30" s="2308"/>
      <c r="AS30" s="205"/>
      <c r="AT30" s="2308"/>
      <c r="AU30" s="2308"/>
      <c r="AV30" s="2308"/>
      <c r="AW30" s="2308"/>
      <c r="AX30" s="2308"/>
      <c r="AY30" s="2308"/>
      <c r="AZ30" s="2308"/>
      <c r="BA30" s="2308"/>
      <c r="BB30" s="2308"/>
      <c r="BC30" s="1880"/>
      <c r="BD30" s="1513"/>
      <c r="BE30" s="1513"/>
      <c r="BF30" s="1007" t="s">
        <v>801</v>
      </c>
      <c r="BG30" s="1007"/>
      <c r="BH30" s="1007"/>
      <c r="BI30" s="233"/>
      <c r="BJ30" s="233"/>
    </row>
    <row s="1513" customFormat="1" customHeight="1" ht="10.96875" hidden="1">
      <c r="A31" s="1513"/>
      <c r="B31" s="401"/>
      <c r="C31" s="456"/>
      <c r="D31" s="1513"/>
      <c r="E31" s="233">
        <v>11.25</v>
      </c>
      <c r="F31" s="50" cm="1" t="str">
        <f t="array" ref="F31:F31">OFFSET(E31,-1,1)</f>
        <v>0</v>
      </c>
      <c r="G31" s="92" t="s">
        <v>325</v>
      </c>
      <c r="H31" s="92"/>
      <c r="I31" s="1513"/>
      <c r="J31" s="1513"/>
      <c r="K31" s="1513"/>
      <c r="L31" s="1513"/>
      <c r="M31" s="1513"/>
      <c r="N31" s="1513"/>
      <c r="O31" s="1513"/>
      <c r="P31" s="1513"/>
      <c r="Q31" s="1513"/>
      <c r="R31" s="1513"/>
      <c r="S31" s="1513"/>
      <c r="T31" s="438" cm="1" t="str">
        <f t="array" ref="T31:T31">T30</f>
        <v>false</v>
      </c>
      <c r="U31" s="1513"/>
      <c r="V31" s="1513"/>
      <c r="W31" s="1513"/>
      <c r="X31" s="1491"/>
      <c r="Y31" s="1513"/>
      <c r="Z31" s="1513"/>
      <c r="AA31" s="1513"/>
      <c r="AB31" s="55" t="s">
        <v>530</v>
      </c>
      <c r="AC31" s="104" t="s">
        <v>802</v>
      </c>
      <c r="AD31" s="58" t="s">
        <v>803</v>
      </c>
      <c r="AE31" s="157">
        <f>IF(AE29=0,0,AE28/AE29)</f>
        <v>0</v>
      </c>
      <c r="AF31" s="157">
        <f>IF(AF29=0,0,AF28/AF29)</f>
        <v>0</v>
      </c>
      <c r="AG31" s="157">
        <f>IF(AG29=0,0,AG28/AG29)</f>
        <v>0</v>
      </c>
      <c r="AH31" s="157">
        <f>IF(AH29=0,0,AH28/AH29)</f>
        <v>0</v>
      </c>
      <c r="AI31" s="157">
        <f>IF(AI29=0,0,AI28/AI29)</f>
        <v>0</v>
      </c>
      <c r="AJ31" s="157">
        <f>IF(AJ29=0,0,AJ28/AJ29)</f>
        <v>0</v>
      </c>
      <c r="AK31" s="157">
        <f>IF(AK29=0,0,AK28/AK29)</f>
        <v>0</v>
      </c>
      <c r="AL31" s="157">
        <f>IF(AL29=0,0,AL28/AL29)</f>
        <v>0</v>
      </c>
      <c r="AM31" s="157">
        <f>IF(AM29=0,0,AM28/AM29)</f>
        <v>0</v>
      </c>
      <c r="AN31" s="157">
        <f>IF(AN29=0,0,AN28/AN29)</f>
        <v>0</v>
      </c>
      <c r="AO31" s="157">
        <f>IF(AO29=0,0,AO28/AO29)</f>
        <v>0</v>
      </c>
      <c r="AP31" s="157">
        <f>IF(AP29=0,0,AP28/AP29)</f>
        <v>0</v>
      </c>
      <c r="AQ31" s="157">
        <f>IF(AQ29=0,0,AQ28/AQ29)</f>
        <v>0</v>
      </c>
      <c r="AR31" s="157">
        <f>IF(AR29=0,0,AR28/AR29)</f>
        <v>0</v>
      </c>
      <c r="AS31" s="157">
        <f>IF(AS29=0,0,AS28/AS29)</f>
        <v>0</v>
      </c>
      <c r="AT31" s="157">
        <f>IF(AT29=0,0,AT28/AT29)</f>
        <v>0</v>
      </c>
      <c r="AU31" s="157">
        <f>IF(AU29=0,0,AU28/AU29)</f>
        <v>0</v>
      </c>
      <c r="AV31" s="157">
        <f>IF(AV29=0,0,AV28/AV29)</f>
        <v>0</v>
      </c>
      <c r="AW31" s="157">
        <f>IF(AW29=0,0,AW28/AW29)</f>
        <v>0</v>
      </c>
      <c r="AX31" s="157">
        <f>IF(AX29=0,0,AX28/AX29)</f>
        <v>0</v>
      </c>
      <c r="AY31" s="157">
        <f>IF(AY29=0,0,AY28/AY29)</f>
        <v>0</v>
      </c>
      <c r="AZ31" s="157">
        <f>IF(AZ29=0,0,AZ28/AZ29)</f>
        <v>0</v>
      </c>
      <c r="BA31" s="157">
        <f>IF(BA29=0,0,BA28/BA29)</f>
        <v>0</v>
      </c>
      <c r="BB31" s="157">
        <f>IF(BB29=0,0,BB28/BB29)</f>
        <v>0</v>
      </c>
      <c r="BC31" s="1880"/>
      <c r="BD31" s="1513"/>
      <c r="BE31" s="1513"/>
      <c r="BF31" s="1007" t="s">
        <v>804</v>
      </c>
      <c r="BG31" s="1007"/>
      <c r="BH31" s="1007"/>
      <c r="BI31" s="233"/>
      <c r="BJ31" s="233"/>
    </row>
    <row s="1513" customFormat="1" customHeight="1" ht="10.96875" hidden="1">
      <c r="A32" s="1513"/>
      <c r="B32" s="401"/>
      <c r="C32" s="456"/>
      <c r="D32" s="1513"/>
      <c r="E32" s="233">
        <v>11.25</v>
      </c>
      <c r="F32" s="50" cm="1" t="str">
        <f t="array" ref="F32:F32">OFFSET(E32,-1,1)</f>
        <v>0</v>
      </c>
      <c r="G32" s="92" t="s">
        <v>324</v>
      </c>
      <c r="H32" s="92"/>
      <c r="I32" s="1513"/>
      <c r="J32" s="1513"/>
      <c r="K32" s="1513"/>
      <c r="L32" s="1513"/>
      <c r="M32" s="1513"/>
      <c r="N32" s="1513"/>
      <c r="O32" s="1513"/>
      <c r="P32" s="1513"/>
      <c r="Q32" s="1513"/>
      <c r="R32" s="1513"/>
      <c r="S32" s="1513"/>
      <c r="T32" s="438" cm="1" t="str">
        <f t="array" ref="T32:T32">T31</f>
        <v>false</v>
      </c>
      <c r="U32" s="1513"/>
      <c r="V32" s="1513"/>
      <c r="W32" s="1513"/>
      <c r="X32" s="1491"/>
      <c r="Y32" s="1513"/>
      <c r="Z32" s="1513"/>
      <c r="AA32" s="1513"/>
      <c r="AB32" s="55" t="s">
        <v>485</v>
      </c>
      <c r="AC32" s="104" t="s">
        <v>805</v>
      </c>
      <c r="AD32" s="58" t="s">
        <v>806</v>
      </c>
      <c r="AE32" s="281">
        <f>IF(AE30=0,0,AE29/AE30)</f>
        <v>0</v>
      </c>
      <c r="AF32" s="281">
        <f>IF(AF30=0,0,AF29/AF30)</f>
        <v>0</v>
      </c>
      <c r="AG32" s="281">
        <f>IF(AG30=0,0,AG29/AG30)</f>
        <v>0</v>
      </c>
      <c r="AH32" s="281">
        <f>IF(AH30=0,0,AH29/AH30)</f>
        <v>0</v>
      </c>
      <c r="AI32" s="281">
        <f>IF(AI30=0,0,AI29/AI30)</f>
        <v>0</v>
      </c>
      <c r="AJ32" s="281">
        <f>IF(AJ30=0,0,AJ29/AJ30)</f>
        <v>0</v>
      </c>
      <c r="AK32" s="281">
        <f>IF(AK30=0,0,AK29/AK30)</f>
        <v>0</v>
      </c>
      <c r="AL32" s="281">
        <f>IF(AL30=0,0,AL29/AL30)</f>
        <v>0</v>
      </c>
      <c r="AM32" s="281">
        <f>IF(AM30=0,0,AM29/AM30)</f>
        <v>0</v>
      </c>
      <c r="AN32" s="281">
        <f>IF(AN30=0,0,AN29/AN30)</f>
        <v>0</v>
      </c>
      <c r="AO32" s="281">
        <f>IF(AO30=0,0,AO29/AO30)</f>
        <v>0</v>
      </c>
      <c r="AP32" s="281">
        <f>IF(AP30=0,0,AP29/AP30)</f>
        <v>0</v>
      </c>
      <c r="AQ32" s="281">
        <f>IF(AQ30=0,0,AQ29/AQ30)</f>
        <v>0</v>
      </c>
      <c r="AR32" s="281">
        <f>IF(AR30=0,0,AR29/AR30)</f>
        <v>0</v>
      </c>
      <c r="AS32" s="281">
        <f>IF(AS30=0,0,AS29/AS30)</f>
        <v>0</v>
      </c>
      <c r="AT32" s="281">
        <f>IF(AT30=0,0,AT29/AT30)</f>
        <v>0</v>
      </c>
      <c r="AU32" s="281">
        <f>IF(AU30=0,0,AU29/AU30)</f>
        <v>0</v>
      </c>
      <c r="AV32" s="281">
        <f>IF(AV30=0,0,AV29/AV30)</f>
        <v>0</v>
      </c>
      <c r="AW32" s="281">
        <f>IF(AW30=0,0,AW29/AW30)</f>
        <v>0</v>
      </c>
      <c r="AX32" s="281">
        <f>IF(AX30=0,0,AX29/AX30)</f>
        <v>0</v>
      </c>
      <c r="AY32" s="281">
        <f>IF(AY30=0,0,AY29/AY30)</f>
        <v>0</v>
      </c>
      <c r="AZ32" s="281">
        <f>IF(AZ30=0,0,AZ29/AZ30)</f>
        <v>0</v>
      </c>
      <c r="BA32" s="281">
        <f>IF(BA30=0,0,BA29/BA30)</f>
        <v>0</v>
      </c>
      <c r="BB32" s="281">
        <f>IF(BB30=0,0,BB29/BB30)</f>
        <v>0</v>
      </c>
      <c r="BC32" s="1880"/>
      <c r="BD32" s="1513"/>
      <c r="BE32" s="1513"/>
      <c r="BF32" s="1007" t="s">
        <v>807</v>
      </c>
      <c r="BG32" s="1007"/>
      <c r="BH32" s="1007"/>
      <c r="BI32" s="233"/>
      <c r="BJ32" s="233"/>
    </row>
    <row s="1513" customFormat="1" customHeight="1" ht="12.675000000000002" hidden="1">
      <c r="A33" s="1513"/>
      <c r="B33" s="401"/>
      <c r="C33" s="456"/>
      <c r="D33" s="1513"/>
      <c r="E33" s="233">
        <v>13</v>
      </c>
      <c r="F33" s="50" cm="1" t="str">
        <f t="array" ref="F33:F33">OFFSET(E33,-1,1)</f>
        <v>0</v>
      </c>
      <c r="G33" s="92"/>
      <c r="H33" s="92"/>
      <c r="I33" s="1513"/>
      <c r="J33" s="1513"/>
      <c r="K33" s="1513"/>
      <c r="L33" s="1513"/>
      <c r="M33" s="1513"/>
      <c r="N33" s="1513"/>
      <c r="O33" s="1513"/>
      <c r="P33" s="1513"/>
      <c r="Q33" s="1513"/>
      <c r="R33" s="1513"/>
      <c r="S33" s="1513"/>
      <c r="T33" s="438" cm="1" t="str">
        <f t="array" ref="T33:T33">T32</f>
        <v>false</v>
      </c>
      <c r="U33" s="1513"/>
      <c r="V33" s="1513"/>
      <c r="W33" s="1513"/>
      <c r="X33" s="1491"/>
      <c r="Y33" s="1513"/>
      <c r="Z33" s="1513"/>
      <c r="AA33" s="1513"/>
      <c r="AB33" s="628"/>
      <c r="AC33" s="232" t="s">
        <v>808</v>
      </c>
      <c r="AD33" s="233"/>
      <c r="AE33" s="234"/>
      <c r="AF33" s="234"/>
      <c r="AG33" s="234"/>
      <c r="AH33" s="234"/>
      <c r="AI33" s="234"/>
      <c r="AJ33" s="234"/>
      <c r="AK33" s="234"/>
      <c r="AL33" s="234"/>
      <c r="AM33" s="234"/>
      <c r="AN33" s="234"/>
      <c r="AO33" s="234"/>
      <c r="AP33" s="234"/>
      <c r="AQ33" s="234"/>
      <c r="AR33" s="234"/>
      <c r="AS33" s="234"/>
      <c r="AT33" s="234"/>
      <c r="AU33" s="234"/>
      <c r="AV33" s="234"/>
      <c r="AW33" s="234"/>
      <c r="AX33" s="234"/>
      <c r="AY33" s="234"/>
      <c r="AZ33" s="234"/>
      <c r="BA33" s="234"/>
      <c r="BB33" s="234"/>
      <c r="BC33" s="235"/>
      <c r="BD33" s="1513"/>
      <c r="BE33" s="1513"/>
      <c r="BF33" s="1007"/>
      <c r="BG33" s="1007"/>
      <c r="BH33" s="1007"/>
      <c r="BI33" s="233"/>
      <c r="BJ33" s="233"/>
    </row>
    <row s="1513" customFormat="1" customHeight="1" ht="10.96875" hidden="1">
      <c r="A34" s="1513"/>
      <c r="B34" s="401"/>
      <c r="C34" s="456"/>
      <c r="D34" s="1513"/>
      <c r="E34" s="233">
        <v>11.25</v>
      </c>
      <c r="F34" s="50" cm="1" t="str">
        <f t="array" ref="F34:F34">OFFSET(E34,-1,1)</f>
        <v>0</v>
      </c>
      <c r="G34" s="92" t="s">
        <v>484</v>
      </c>
      <c r="H34" s="92" cm="1" t="str">
        <f t="array" ref="H34:H34">AC34</f>
        <v>0</v>
      </c>
      <c r="I34" s="1513"/>
      <c r="J34" s="1513"/>
      <c r="K34" s="1513"/>
      <c r="L34" s="1513"/>
      <c r="M34" s="1513"/>
      <c r="N34" s="1513"/>
      <c r="O34" s="1513"/>
      <c r="P34" s="1513"/>
      <c r="Q34" s="1513"/>
      <c r="R34" s="1513"/>
      <c r="S34" s="1513"/>
      <c r="T34" s="438">
        <f>AND(F34&gt;0,Y34&gt;0)</f>
        <v>0</v>
      </c>
      <c r="U34" s="1513"/>
      <c r="V34" s="1513"/>
      <c r="W34" s="733" t="s">
        <v>172</v>
      </c>
      <c r="X34" s="1491"/>
      <c r="Y34" s="1491">
        <v>0</v>
      </c>
      <c r="Z34" s="1513"/>
      <c r="AA34" s="1442" t="s">
        <v>173</v>
      </c>
      <c r="AB34" s="55" t="str">
        <f>"6."&amp;Y34</f>
        <v>6.0</v>
      </c>
      <c r="AC34" s="2264"/>
      <c r="AD34" s="55" t="s">
        <v>789</v>
      </c>
      <c r="AE34" s="1791"/>
      <c r="AF34" s="1791"/>
      <c r="AG34" s="1791"/>
      <c r="AH34" s="1791"/>
      <c r="AI34" s="107"/>
      <c r="AJ34" s="1791"/>
      <c r="AK34" s="1791"/>
      <c r="AL34" s="1791"/>
      <c r="AM34" s="1791"/>
      <c r="AN34" s="1791"/>
      <c r="AO34" s="1791"/>
      <c r="AP34" s="1791"/>
      <c r="AQ34" s="1791"/>
      <c r="AR34" s="1791"/>
      <c r="AS34" s="107"/>
      <c r="AT34" s="1791"/>
      <c r="AU34" s="1791"/>
      <c r="AV34" s="1791"/>
      <c r="AW34" s="1791"/>
      <c r="AX34" s="1791"/>
      <c r="AY34" s="1791"/>
      <c r="AZ34" s="1791"/>
      <c r="BA34" s="1791"/>
      <c r="BB34" s="1791"/>
      <c r="BC34" s="1880"/>
      <c r="BD34" s="1513"/>
      <c r="BE34" s="1513"/>
      <c r="BF34" s="1007" t="s">
        <v>809</v>
      </c>
      <c r="BG34" s="1007" t="s">
        <v>810</v>
      </c>
      <c r="BH34" s="1007" cm="1" t="str">
        <f t="array" ref="BH34:BH34">AC34</f>
        <v>0</v>
      </c>
      <c r="BI34" s="233"/>
      <c r="BJ34" s="233" t="b">
        <v>1</v>
      </c>
    </row>
    <row s="1513" customFormat="1" customHeight="1" ht="10.96875" hidden="1">
      <c r="A35" s="1513"/>
      <c r="B35" s="401"/>
      <c r="C35" s="456"/>
      <c r="D35" s="1513"/>
      <c r="E35" s="233">
        <v>11.25</v>
      </c>
      <c r="F35" s="50" cm="1" t="str">
        <f t="array" ref="F35:F35">OFFSET(E35,-1,1)</f>
        <v>0</v>
      </c>
      <c r="G35" s="92" t="s">
        <v>645</v>
      </c>
      <c r="H35" s="92" cm="1" t="str">
        <f t="array" ref="H35:H35">H34</f>
        <v>0</v>
      </c>
      <c r="I35" s="1513"/>
      <c r="J35" s="1513"/>
      <c r="K35" s="1513"/>
      <c r="L35" s="1513"/>
      <c r="M35" s="1513"/>
      <c r="N35" s="1513"/>
      <c r="O35" s="1513"/>
      <c r="P35" s="1513"/>
      <c r="Q35" s="1513"/>
      <c r="R35" s="1513"/>
      <c r="S35" s="1513"/>
      <c r="T35" s="438" cm="1" t="str">
        <f t="array" ref="T35:T35">T34</f>
        <v>false</v>
      </c>
      <c r="U35" s="1513"/>
      <c r="V35" s="1513"/>
      <c r="W35" s="1513"/>
      <c r="X35" s="1491"/>
      <c r="Y35" s="1491"/>
      <c r="Z35" s="1513"/>
      <c r="AA35" s="1442"/>
      <c r="AB35" s="55" t="str">
        <f>AB34&amp;".1"</f>
        <v>6.0.1</v>
      </c>
      <c r="AC35" s="158" t="s">
        <v>811</v>
      </c>
      <c r="AD35" s="58" t="s">
        <v>803</v>
      </c>
      <c r="AE35" s="157">
        <f>IF(OR(AND(AE34&lt;&gt;0,AE36=0),AND(AE34=0,AE36&lt;&gt;0)),"Ошибка",IF(AE36=0,0,AE34/AE36))</f>
        <v>0</v>
      </c>
      <c r="AF35" s="157">
        <f>IF(OR(AND(AF34&lt;&gt;0,AF36=0),AND(AF34=0,AF36&lt;&gt;0)),"Ошибка",IF(AF36=0,0,AF34/AF36))</f>
        <v>0</v>
      </c>
      <c r="AG35" s="157">
        <f>IF(OR(AND(AG34&lt;&gt;0,AG36=0),AND(AG34=0,AG36&lt;&gt;0)),"Ошибка",IF(AG36=0,0,AG34/AG36))</f>
        <v>0</v>
      </c>
      <c r="AH35" s="157">
        <f>IF(OR(AND(AH34&lt;&gt;0,AH36=0),AND(AH34=0,AH36&lt;&gt;0)),"Ошибка",IF(AH36=0,0,AH34/AH36))</f>
        <v>0</v>
      </c>
      <c r="AI35" s="157">
        <f>IF(OR(AND(AI34&lt;&gt;0,AI36=0),AND(AI34=0,AI36&lt;&gt;0)),"Ошибка",IF(AI36=0,0,AI34/AI36))</f>
        <v>0</v>
      </c>
      <c r="AJ35" s="157">
        <f>IF(OR(AND(AJ34&lt;&gt;0,AJ36=0),AND(AJ34=0,AJ36&lt;&gt;0)),"Ошибка",IF(AJ36=0,0,AJ34/AJ36))</f>
        <v>0</v>
      </c>
      <c r="AK35" s="157">
        <f>IF(OR(AND(AK34&lt;&gt;0,AK36=0),AND(AK34=0,AK36&lt;&gt;0)),"Ошибка",IF(AK36=0,0,AK34/AK36))</f>
        <v>0</v>
      </c>
      <c r="AL35" s="157">
        <f>IF(OR(AND(AL34&lt;&gt;0,AL36=0),AND(AL34=0,AL36&lt;&gt;0)),"Ошибка",IF(AL36=0,0,AL34/AL36))</f>
        <v>0</v>
      </c>
      <c r="AM35" s="157">
        <f>IF(OR(AND(AM34&lt;&gt;0,AM36=0),AND(AM34=0,AM36&lt;&gt;0)),"Ошибка",IF(AM36=0,0,AM34/AM36))</f>
        <v>0</v>
      </c>
      <c r="AN35" s="157">
        <f>IF(OR(AND(AN34&lt;&gt;0,AN36=0),AND(AN34=0,AN36&lt;&gt;0)),"Ошибка",IF(AN36=0,0,AN34/AN36))</f>
        <v>0</v>
      </c>
      <c r="AO35" s="157">
        <f>IF(OR(AND(AO34&lt;&gt;0,AO36=0),AND(AO34=0,AO36&lt;&gt;0)),"Ошибка",IF(AO36=0,0,AO34/AO36))</f>
        <v>0</v>
      </c>
      <c r="AP35" s="157">
        <f>IF(OR(AND(AP34&lt;&gt;0,AP36=0),AND(AP34=0,AP36&lt;&gt;0)),"Ошибка",IF(AP36=0,0,AP34/AP36))</f>
        <v>0</v>
      </c>
      <c r="AQ35" s="157">
        <f>IF(OR(AND(AQ34&lt;&gt;0,AQ36=0),AND(AQ34=0,AQ36&lt;&gt;0)),"Ошибка",IF(AQ36=0,0,AQ34/AQ36))</f>
        <v>0</v>
      </c>
      <c r="AR35" s="157">
        <f>IF(OR(AND(AR34&lt;&gt;0,AR36=0),AND(AR34=0,AR36&lt;&gt;0)),"Ошибка",IF(AR36=0,0,AR34/AR36))</f>
        <v>0</v>
      </c>
      <c r="AS35" s="157">
        <f>IF(OR(AND(AS34&lt;&gt;0,AS36=0),AND(AS34=0,AS36&lt;&gt;0)),"Ошибка",IF(AS36=0,0,AS34/AS36))</f>
        <v>0</v>
      </c>
      <c r="AT35" s="157">
        <f>IF(OR(AND(AT34&lt;&gt;0,AT36=0),AND(AT34=0,AT36&lt;&gt;0)),"Ошибка",IF(AT36=0,0,AT34/AT36))</f>
        <v>0</v>
      </c>
      <c r="AU35" s="157">
        <f>IF(OR(AND(AU34&lt;&gt;0,AU36=0),AND(AU34=0,AU36&lt;&gt;0)),"Ошибка",IF(AU36=0,0,AU34/AU36))</f>
        <v>0</v>
      </c>
      <c r="AV35" s="157">
        <f>IF(OR(AND(AV34&lt;&gt;0,AV36=0),AND(AV34=0,AV36&lt;&gt;0)),"Ошибка",IF(AV36=0,0,AV34/AV36))</f>
        <v>0</v>
      </c>
      <c r="AW35" s="157">
        <f>IF(OR(AND(AW34&lt;&gt;0,AW36=0),AND(AW34=0,AW36&lt;&gt;0)),"Ошибка",IF(AW36=0,0,AW34/AW36))</f>
        <v>0</v>
      </c>
      <c r="AX35" s="157">
        <f>IF(OR(AND(AX34&lt;&gt;0,AX36=0),AND(AX34=0,AX36&lt;&gt;0)),"Ошибка",IF(AX36=0,0,AX34/AX36))</f>
        <v>0</v>
      </c>
      <c r="AY35" s="157">
        <f>IF(OR(AND(AY34&lt;&gt;0,AY36=0),AND(AY34=0,AY36&lt;&gt;0)),"Ошибка",IF(AY36=0,0,AY34/AY36))</f>
        <v>0</v>
      </c>
      <c r="AZ35" s="157">
        <f>IF(OR(AND(AZ34&lt;&gt;0,AZ36=0),AND(AZ34=0,AZ36&lt;&gt;0)),"Ошибка",IF(AZ36=0,0,AZ34/AZ36))</f>
        <v>0</v>
      </c>
      <c r="BA35" s="157">
        <f>IF(OR(AND(BA34&lt;&gt;0,BA36=0),AND(BA34=0,BA36&lt;&gt;0)),"Ошибка",IF(BA36=0,0,BA34/BA36))</f>
        <v>0</v>
      </c>
      <c r="BB35" s="157">
        <f>IF(OR(AND(BB34&lt;&gt;0,BB36=0),AND(BB34=0,BB36&lt;&gt;0)),"Ошибка",IF(BB36=0,0,BB34/BB36))</f>
        <v>0</v>
      </c>
      <c r="BC35" s="1880"/>
      <c r="BD35" s="1513"/>
      <c r="BE35" s="1513"/>
      <c r="BF35" s="1007" t="s">
        <v>812</v>
      </c>
      <c r="BG35" s="1007" t="s">
        <v>810</v>
      </c>
      <c r="BH35" s="1007" cm="1" t="str">
        <f t="array" ref="BH35:BH35">BH34</f>
        <v>0</v>
      </c>
      <c r="BI35" s="233"/>
      <c r="BJ35" s="233"/>
    </row>
    <row s="1513" customFormat="1" customHeight="1" ht="10.96875" hidden="1">
      <c r="A36" s="1513"/>
      <c r="B36" s="401"/>
      <c r="C36" s="456"/>
      <c r="D36" s="1513"/>
      <c r="E36" s="233">
        <v>11.25</v>
      </c>
      <c r="F36" s="50" cm="1" t="str">
        <f t="array" ref="F36:F36">OFFSET(E36,-1,1)</f>
        <v>0</v>
      </c>
      <c r="G36" s="92" t="s">
        <v>648</v>
      </c>
      <c r="H36" s="92" cm="1" t="str">
        <f t="array" ref="H36:H36">H35</f>
        <v>0</v>
      </c>
      <c r="I36" s="1513"/>
      <c r="J36" s="1513"/>
      <c r="K36" s="1513"/>
      <c r="L36" s="1513"/>
      <c r="M36" s="1513"/>
      <c r="N36" s="1513"/>
      <c r="O36" s="1513"/>
      <c r="P36" s="1513"/>
      <c r="Q36" s="1513"/>
      <c r="R36" s="1513"/>
      <c r="S36" s="1513"/>
      <c r="T36" s="438" cm="1" t="str">
        <f t="array" ref="T36:T36">T35</f>
        <v>false</v>
      </c>
      <c r="U36" s="1513"/>
      <c r="V36" s="1513"/>
      <c r="W36" s="1513"/>
      <c r="X36" s="1491"/>
      <c r="Y36" s="1491"/>
      <c r="Z36" s="1513"/>
      <c r="AA36" s="1442"/>
      <c r="AB36" s="55" t="str">
        <f>AB34&amp;".2"</f>
        <v>6.0.2</v>
      </c>
      <c r="AC36" s="158" t="s">
        <v>813</v>
      </c>
      <c r="AD36" s="58" t="s">
        <v>797</v>
      </c>
      <c r="AE36" s="1791"/>
      <c r="AF36" s="1791"/>
      <c r="AG36" s="1791"/>
      <c r="AH36" s="1791"/>
      <c r="AI36" s="107"/>
      <c r="AJ36" s="1791"/>
      <c r="AK36" s="1791"/>
      <c r="AL36" s="1791"/>
      <c r="AM36" s="1791"/>
      <c r="AN36" s="1791"/>
      <c r="AO36" s="1791"/>
      <c r="AP36" s="1791"/>
      <c r="AQ36" s="1791"/>
      <c r="AR36" s="1791"/>
      <c r="AS36" s="107"/>
      <c r="AT36" s="1791"/>
      <c r="AU36" s="1791"/>
      <c r="AV36" s="1791"/>
      <c r="AW36" s="1791"/>
      <c r="AX36" s="1791"/>
      <c r="AY36" s="1791"/>
      <c r="AZ36" s="1791"/>
      <c r="BA36" s="1791"/>
      <c r="BB36" s="1791"/>
      <c r="BC36" s="1880"/>
      <c r="BD36" s="1513"/>
      <c r="BE36" s="1513"/>
      <c r="BF36" s="1007" t="s">
        <v>814</v>
      </c>
      <c r="BG36" s="1007" t="s">
        <v>810</v>
      </c>
      <c r="BH36" s="1007" cm="1" t="str">
        <f t="array" ref="BH36:BH36">BH35</f>
        <v>0</v>
      </c>
      <c r="BI36" s="233"/>
      <c r="BJ36" s="233"/>
    </row>
    <row s="1379" customFormat="1" customHeight="1" ht="14.625" hidden="1">
      <c r="A37" s="1379"/>
      <c r="B37" s="399"/>
      <c r="C37" s="456"/>
      <c r="D37" s="1379"/>
      <c r="E37" s="608">
        <v>15</v>
      </c>
      <c r="F37" s="50" cm="1" t="str">
        <f t="array" ref="F37:F37">OFFSET(E37,-1,1)</f>
        <v>0</v>
      </c>
      <c r="G37" s="1379"/>
      <c r="H37" s="934" t="s">
        <v>815</v>
      </c>
      <c r="I37" s="1379"/>
      <c r="J37" s="1379"/>
      <c r="K37" s="1379"/>
      <c r="L37" s="1379"/>
      <c r="M37" s="1379"/>
      <c r="N37" s="1379"/>
      <c r="O37" s="1379"/>
      <c r="P37" s="1379"/>
      <c r="Q37" s="1379"/>
      <c r="R37" s="1379"/>
      <c r="S37" s="1379"/>
      <c r="T37" s="438">
        <f>F37&gt;0</f>
        <v>0</v>
      </c>
      <c r="U37" s="1379"/>
      <c r="V37" s="1379"/>
      <c r="W37" s="733" t="s">
        <v>388</v>
      </c>
      <c r="X37" s="1491"/>
      <c r="Y37" s="1379"/>
      <c r="Z37" s="1513"/>
      <c r="AA37" s="1379"/>
      <c r="AB37" s="629"/>
      <c r="AC37" s="144" t="s">
        <v>176</v>
      </c>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c r="AZ37" s="142"/>
      <c r="BA37" s="142"/>
      <c r="BB37" s="142"/>
      <c r="BC37" s="153"/>
      <c r="BD37" s="1379"/>
      <c r="BE37" s="1379"/>
      <c r="BF37" s="995"/>
      <c r="BG37" s="995"/>
      <c r="BH37" s="995"/>
      <c r="BI37" s="608" t="s">
        <v>810</v>
      </c>
      <c r="BJ37" s="608"/>
    </row>
    <row s="1513" customFormat="1" customHeight="1" ht="12.675000000000002" hidden="1">
      <c r="A38" s="1513"/>
      <c r="B38" s="401"/>
      <c r="C38" s="456"/>
      <c r="D38" s="1513"/>
      <c r="E38" s="233">
        <v>13</v>
      </c>
      <c r="F38" s="50" cm="1" t="str">
        <f t="array" ref="F38:F38">OFFSET(E38,-1,1)</f>
        <v>0</v>
      </c>
      <c r="G38" s="92"/>
      <c r="H38" s="92"/>
      <c r="I38" s="1513"/>
      <c r="J38" s="1513"/>
      <c r="K38" s="1513"/>
      <c r="L38" s="1513"/>
      <c r="M38" s="1513"/>
      <c r="N38" s="1513"/>
      <c r="O38" s="1513"/>
      <c r="P38" s="1513"/>
      <c r="Q38" s="1513"/>
      <c r="R38" s="1513"/>
      <c r="S38" s="1513"/>
      <c r="T38" s="438" cm="1" t="str">
        <f t="array" ref="T38:T38">T37</f>
        <v>false</v>
      </c>
      <c r="U38" s="1513"/>
      <c r="V38" s="1513"/>
      <c r="W38" s="1513"/>
      <c r="X38" s="1491"/>
      <c r="Y38" s="1513"/>
      <c r="Z38" s="1513"/>
      <c r="AA38" s="1513"/>
      <c r="AB38" s="628"/>
      <c r="AC38" s="232" t="s">
        <v>816</v>
      </c>
      <c r="AD38" s="233"/>
      <c r="AE38" s="234"/>
      <c r="AF38" s="234"/>
      <c r="AG38" s="234"/>
      <c r="AH38" s="234"/>
      <c r="AI38" s="234"/>
      <c r="AJ38" s="234"/>
      <c r="AK38" s="234"/>
      <c r="AL38" s="234"/>
      <c r="AM38" s="234"/>
      <c r="AN38" s="234"/>
      <c r="AO38" s="234"/>
      <c r="AP38" s="234"/>
      <c r="AQ38" s="234"/>
      <c r="AR38" s="234"/>
      <c r="AS38" s="234"/>
      <c r="AT38" s="234"/>
      <c r="AU38" s="234"/>
      <c r="AV38" s="234"/>
      <c r="AW38" s="234"/>
      <c r="AX38" s="234"/>
      <c r="AY38" s="234"/>
      <c r="AZ38" s="234"/>
      <c r="BA38" s="234"/>
      <c r="BB38" s="234"/>
      <c r="BC38" s="235"/>
      <c r="BD38" s="1513"/>
      <c r="BE38" s="1513"/>
      <c r="BF38" s="1007"/>
      <c r="BG38" s="1007"/>
      <c r="BH38" s="1007"/>
      <c r="BI38" s="233"/>
      <c r="BJ38" s="233"/>
    </row>
    <row s="1513" customFormat="1" customHeight="1" ht="10.96875" hidden="1">
      <c r="A39" s="1513"/>
      <c r="B39" s="401"/>
      <c r="C39" s="456"/>
      <c r="D39" s="1513"/>
      <c r="E39" s="233">
        <v>11.25</v>
      </c>
      <c r="F39" s="50" cm="1" t="str">
        <f t="array" ref="F39:F39">OFFSET(E39,-1,1)</f>
        <v>0</v>
      </c>
      <c r="G39" s="92" t="s">
        <v>484</v>
      </c>
      <c r="H39" s="92" cm="1" t="str">
        <f t="array" ref="H39:H39">AC39</f>
        <v>0</v>
      </c>
      <c r="I39" s="1513"/>
      <c r="J39" s="1513"/>
      <c r="K39" s="1513"/>
      <c r="L39" s="1513"/>
      <c r="M39" s="1513"/>
      <c r="N39" s="1513"/>
      <c r="O39" s="1513"/>
      <c r="P39" s="1513"/>
      <c r="Q39" s="1513"/>
      <c r="R39" s="1513"/>
      <c r="S39" s="1513"/>
      <c r="T39" s="438">
        <f>AND(F39&gt;0,Y39&gt;0)</f>
        <v>0</v>
      </c>
      <c r="U39" s="1513"/>
      <c r="V39" s="1513"/>
      <c r="W39" s="733" t="s">
        <v>172</v>
      </c>
      <c r="X39" s="1491"/>
      <c r="Y39" s="1491">
        <v>0</v>
      </c>
      <c r="Z39" s="1513"/>
      <c r="AA39" s="1442" t="s">
        <v>173</v>
      </c>
      <c r="AB39" s="55" t="str">
        <f>"7."&amp;Y39</f>
        <v>7.0</v>
      </c>
      <c r="AC39" s="2264"/>
      <c r="AD39" s="55" t="s">
        <v>789</v>
      </c>
      <c r="AE39" s="157">
        <f>AE40+AE43</f>
        <v>0</v>
      </c>
      <c r="AF39" s="157">
        <f>AF40+AF43</f>
        <v>0</v>
      </c>
      <c r="AG39" s="157">
        <f>AG40+AG43</f>
        <v>0</v>
      </c>
      <c r="AH39" s="157">
        <f>AH40+AH43</f>
        <v>0</v>
      </c>
      <c r="AI39" s="157">
        <f>AI40+AI43</f>
        <v>0</v>
      </c>
      <c r="AJ39" s="157">
        <f>AJ40+AJ43</f>
        <v>0</v>
      </c>
      <c r="AK39" s="157">
        <f>AK40+AK43</f>
        <v>0</v>
      </c>
      <c r="AL39" s="157">
        <f>AL40+AL43</f>
        <v>0</v>
      </c>
      <c r="AM39" s="157">
        <f>AM40+AM43</f>
        <v>0</v>
      </c>
      <c r="AN39" s="157">
        <f>AN40+AN43</f>
        <v>0</v>
      </c>
      <c r="AO39" s="157">
        <f>AO40+AO43</f>
        <v>0</v>
      </c>
      <c r="AP39" s="157">
        <f>AP40+AP43</f>
        <v>0</v>
      </c>
      <c r="AQ39" s="157">
        <f>AQ40+AQ43</f>
        <v>0</v>
      </c>
      <c r="AR39" s="157">
        <f>AR40+AR43</f>
        <v>0</v>
      </c>
      <c r="AS39" s="157">
        <f>AS40+AS43</f>
        <v>0</v>
      </c>
      <c r="AT39" s="157">
        <f>AT40+AT43</f>
        <v>0</v>
      </c>
      <c r="AU39" s="157">
        <f>AU40+AU43</f>
        <v>0</v>
      </c>
      <c r="AV39" s="157">
        <f>AV40+AV43</f>
        <v>0</v>
      </c>
      <c r="AW39" s="157">
        <f>AW40+AW43</f>
        <v>0</v>
      </c>
      <c r="AX39" s="157">
        <f>AX40+AX43</f>
        <v>0</v>
      </c>
      <c r="AY39" s="157">
        <f>AY40+AY43</f>
        <v>0</v>
      </c>
      <c r="AZ39" s="157">
        <f>AZ40+AZ43</f>
        <v>0</v>
      </c>
      <c r="BA39" s="157">
        <f>BA40+BA43</f>
        <v>0</v>
      </c>
      <c r="BB39" s="157">
        <f>BB40+BB43</f>
        <v>0</v>
      </c>
      <c r="BC39" s="1880"/>
      <c r="BD39" s="1513"/>
      <c r="BE39" s="1513"/>
      <c r="BF39" s="1007" t="s">
        <v>817</v>
      </c>
      <c r="BG39" s="1007" t="s">
        <v>818</v>
      </c>
      <c r="BH39" s="1007" cm="1" t="str">
        <f t="array" ref="BH39:BH39">AC39</f>
        <v>0</v>
      </c>
      <c r="BI39" s="233"/>
      <c r="BJ39" s="233"/>
    </row>
    <row s="1513" customFormat="1" customHeight="1" ht="10.96875" hidden="1">
      <c r="A40" s="1513"/>
      <c r="B40" s="401"/>
      <c r="C40" s="456"/>
      <c r="D40" s="1513"/>
      <c r="E40" s="233">
        <v>11.25</v>
      </c>
      <c r="F40" s="50" cm="1" t="str">
        <f t="array" ref="F40:F40">OFFSET(E40,-1,1)</f>
        <v>0</v>
      </c>
      <c r="G40" s="92" t="s">
        <v>652</v>
      </c>
      <c r="H40" s="92" cm="1" t="str">
        <f t="array" ref="H40:H40">H39</f>
        <v>0</v>
      </c>
      <c r="I40" s="1513"/>
      <c r="J40" s="1513"/>
      <c r="K40" s="1513"/>
      <c r="L40" s="1513"/>
      <c r="M40" s="1513"/>
      <c r="N40" s="1513"/>
      <c r="O40" s="1513"/>
      <c r="P40" s="1513"/>
      <c r="Q40" s="1513"/>
      <c r="R40" s="1513"/>
      <c r="S40" s="1513"/>
      <c r="T40" s="438" cm="1" t="str">
        <f t="array" ref="T40:T40">T39</f>
        <v>false</v>
      </c>
      <c r="U40" s="1513"/>
      <c r="V40" s="1513"/>
      <c r="W40" s="1513"/>
      <c r="X40" s="1491"/>
      <c r="Y40" s="1491"/>
      <c r="Z40" s="1513"/>
      <c r="AA40" s="1442"/>
      <c r="AB40" s="55" t="str">
        <f>AB39&amp;".1"</f>
        <v>7.0.1</v>
      </c>
      <c r="AC40" s="158" t="s">
        <v>819</v>
      </c>
      <c r="AD40" s="55" t="s">
        <v>820</v>
      </c>
      <c r="AE40" s="1791"/>
      <c r="AF40" s="1791"/>
      <c r="AG40" s="1791"/>
      <c r="AH40" s="1791"/>
      <c r="AI40" s="107"/>
      <c r="AJ40" s="1791"/>
      <c r="AK40" s="1791"/>
      <c r="AL40" s="1791"/>
      <c r="AM40" s="1791"/>
      <c r="AN40" s="1791"/>
      <c r="AO40" s="1791"/>
      <c r="AP40" s="1791"/>
      <c r="AQ40" s="1791"/>
      <c r="AR40" s="1791"/>
      <c r="AS40" s="107"/>
      <c r="AT40" s="1791"/>
      <c r="AU40" s="1791"/>
      <c r="AV40" s="1791"/>
      <c r="AW40" s="1791"/>
      <c r="AX40" s="1791"/>
      <c r="AY40" s="1791"/>
      <c r="AZ40" s="1791"/>
      <c r="BA40" s="1791"/>
      <c r="BB40" s="1791"/>
      <c r="BC40" s="1880"/>
      <c r="BD40" s="1513"/>
      <c r="BE40" s="1513"/>
      <c r="BF40" s="1007" t="s">
        <v>821</v>
      </c>
      <c r="BG40" s="1007" t="s">
        <v>818</v>
      </c>
      <c r="BH40" s="1007" cm="1" t="str">
        <f t="array" ref="BH40:BH40">BH39</f>
        <v>0</v>
      </c>
      <c r="BI40" s="233"/>
      <c r="BJ40" s="233"/>
    </row>
    <row s="1513" customFormat="1" customHeight="1" ht="10.96875" hidden="1">
      <c r="A41" s="1513"/>
      <c r="B41" s="401"/>
      <c r="C41" s="456"/>
      <c r="D41" s="1513"/>
      <c r="E41" s="233">
        <v>11.25</v>
      </c>
      <c r="F41" s="50" cm="1" t="str">
        <f t="array" ref="F41:F41">OFFSET(E41,-1,1)</f>
        <v>0</v>
      </c>
      <c r="G41" s="92" t="s">
        <v>822</v>
      </c>
      <c r="H41" s="92" cm="1" t="str">
        <f t="array" ref="H41:H41">H40</f>
        <v>0</v>
      </c>
      <c r="I41" s="1513"/>
      <c r="J41" s="1513"/>
      <c r="K41" s="1513"/>
      <c r="L41" s="1513"/>
      <c r="M41" s="1513"/>
      <c r="N41" s="1513"/>
      <c r="O41" s="1513"/>
      <c r="P41" s="1513"/>
      <c r="Q41" s="1513"/>
      <c r="R41" s="1513"/>
      <c r="S41" s="1513"/>
      <c r="T41" s="438" cm="1" t="str">
        <f t="array" ref="T41:T41">T40</f>
        <v>false</v>
      </c>
      <c r="U41" s="1513"/>
      <c r="V41" s="1513"/>
      <c r="W41" s="1513"/>
      <c r="X41" s="1491"/>
      <c r="Y41" s="1491"/>
      <c r="Z41" s="1513"/>
      <c r="AA41" s="1442"/>
      <c r="AB41" s="55" t="str">
        <f>AB39&amp;".1.1"</f>
        <v>7.0.1.1</v>
      </c>
      <c r="AC41" s="298" t="s">
        <v>811</v>
      </c>
      <c r="AD41" s="58" t="s">
        <v>803</v>
      </c>
      <c r="AE41" s="157">
        <f>IF(OR(AND(AE40&lt;&gt;0,AE42=0),AND(AE40=0,AE42&lt;&gt;0)),"Ошибка",IF(AE42=0,0,AE40/AE42))</f>
        <v>0</v>
      </c>
      <c r="AF41" s="157">
        <f>IF(OR(AND(AF40&lt;&gt;0,AF42=0),AND(AF40=0,AF42&lt;&gt;0)),"Ошибка",IF(AF42=0,0,AF40/AF42))</f>
        <v>0</v>
      </c>
      <c r="AG41" s="157">
        <f>IF(OR(AND(AG40&lt;&gt;0,AG42=0),AND(AG40=0,AG42&lt;&gt;0)),"Ошибка",IF(AG42=0,0,AG40/AG42))</f>
        <v>0</v>
      </c>
      <c r="AH41" s="157">
        <f>IF(OR(AND(AH40&lt;&gt;0,AH42=0),AND(AH40=0,AH42&lt;&gt;0)),"Ошибка",IF(AH42=0,0,AH40/AH42))</f>
        <v>0</v>
      </c>
      <c r="AI41" s="157">
        <f>IF(OR(AND(AI40&lt;&gt;0,AI42=0),AND(AI40=0,AI42&lt;&gt;0)),"Ошибка",IF(AI42=0,0,AI40/AI42))</f>
        <v>0</v>
      </c>
      <c r="AJ41" s="157">
        <f>IF(OR(AND(AJ40&lt;&gt;0,AJ42=0),AND(AJ40=0,AJ42&lt;&gt;0)),"Ошибка",IF(AJ42=0,0,AJ40/AJ42))</f>
        <v>0</v>
      </c>
      <c r="AK41" s="157">
        <f>IF(OR(AND(AK40&lt;&gt;0,AK42=0),AND(AK40=0,AK42&lt;&gt;0)),"Ошибка",IF(AK42=0,0,AK40/AK42))</f>
        <v>0</v>
      </c>
      <c r="AL41" s="157">
        <f>IF(OR(AND(AL40&lt;&gt;0,AL42=0),AND(AL40=0,AL42&lt;&gt;0)),"Ошибка",IF(AL42=0,0,AL40/AL42))</f>
        <v>0</v>
      </c>
      <c r="AM41" s="157">
        <f>IF(OR(AND(AM40&lt;&gt;0,AM42=0),AND(AM40=0,AM42&lt;&gt;0)),"Ошибка",IF(AM42=0,0,AM40/AM42))</f>
        <v>0</v>
      </c>
      <c r="AN41" s="157">
        <f>IF(OR(AND(AN40&lt;&gt;0,AN42=0),AND(AN40=0,AN42&lt;&gt;0)),"Ошибка",IF(AN42=0,0,AN40/AN42))</f>
        <v>0</v>
      </c>
      <c r="AO41" s="157">
        <f>IF(OR(AND(AO40&lt;&gt;0,AO42=0),AND(AO40=0,AO42&lt;&gt;0)),"Ошибка",IF(AO42=0,0,AO40/AO42))</f>
        <v>0</v>
      </c>
      <c r="AP41" s="157">
        <f>IF(OR(AND(AP40&lt;&gt;0,AP42=0),AND(AP40=0,AP42&lt;&gt;0)),"Ошибка",IF(AP42=0,0,AP40/AP42))</f>
        <v>0</v>
      </c>
      <c r="AQ41" s="157">
        <f>IF(OR(AND(AQ40&lt;&gt;0,AQ42=0),AND(AQ40=0,AQ42&lt;&gt;0)),"Ошибка",IF(AQ42=0,0,AQ40/AQ42))</f>
        <v>0</v>
      </c>
      <c r="AR41" s="157">
        <f>IF(OR(AND(AR40&lt;&gt;0,AR42=0),AND(AR40=0,AR42&lt;&gt;0)),"Ошибка",IF(AR42=0,0,AR40/AR42))</f>
        <v>0</v>
      </c>
      <c r="AS41" s="157">
        <f>IF(OR(AND(AS40&lt;&gt;0,AS42=0),AND(AS40=0,AS42&lt;&gt;0)),"Ошибка",IF(AS42=0,0,AS40/AS42))</f>
        <v>0</v>
      </c>
      <c r="AT41" s="157">
        <f>IF(OR(AND(AT40&lt;&gt;0,AT42=0),AND(AT40=0,AT42&lt;&gt;0)),"Ошибка",IF(AT42=0,0,AT40/AT42))</f>
        <v>0</v>
      </c>
      <c r="AU41" s="157">
        <f>IF(OR(AND(AU40&lt;&gt;0,AU42=0),AND(AU40=0,AU42&lt;&gt;0)),"Ошибка",IF(AU42=0,0,AU40/AU42))</f>
        <v>0</v>
      </c>
      <c r="AV41" s="157">
        <f>IF(OR(AND(AV40&lt;&gt;0,AV42=0),AND(AV40=0,AV42&lt;&gt;0)),"Ошибка",IF(AV42=0,0,AV40/AV42))</f>
        <v>0</v>
      </c>
      <c r="AW41" s="157">
        <f>IF(OR(AND(AW40&lt;&gt;0,AW42=0),AND(AW40=0,AW42&lt;&gt;0)),"Ошибка",IF(AW42=0,0,AW40/AW42))</f>
        <v>0</v>
      </c>
      <c r="AX41" s="157">
        <f>IF(OR(AND(AX40&lt;&gt;0,AX42=0),AND(AX40=0,AX42&lt;&gt;0)),"Ошибка",IF(AX42=0,0,AX40/AX42))</f>
        <v>0</v>
      </c>
      <c r="AY41" s="157">
        <f>IF(OR(AND(AY40&lt;&gt;0,AY42=0),AND(AY40=0,AY42&lt;&gt;0)),"Ошибка",IF(AY42=0,0,AY40/AY42))</f>
        <v>0</v>
      </c>
      <c r="AZ41" s="157">
        <f>IF(OR(AND(AZ40&lt;&gt;0,AZ42=0),AND(AZ40=0,AZ42&lt;&gt;0)),"Ошибка",IF(AZ42=0,0,AZ40/AZ42))</f>
        <v>0</v>
      </c>
      <c r="BA41" s="157">
        <f>IF(OR(AND(BA40&lt;&gt;0,BA42=0),AND(BA40=0,BA42&lt;&gt;0)),"Ошибка",IF(BA42=0,0,BA40/BA42))</f>
        <v>0</v>
      </c>
      <c r="BB41" s="157">
        <f>IF(OR(AND(BB40&lt;&gt;0,BB42=0),AND(BB40=0,BB42&lt;&gt;0)),"Ошибка",IF(BB42=0,0,BB40/BB42))</f>
        <v>0</v>
      </c>
      <c r="BC41" s="1880"/>
      <c r="BD41" s="1513"/>
      <c r="BE41" s="1513"/>
      <c r="BF41" s="1007" t="s">
        <v>823</v>
      </c>
      <c r="BG41" s="1007" t="s">
        <v>818</v>
      </c>
      <c r="BH41" s="1007" cm="1" t="str">
        <f t="array" ref="BH41:BH41">BH40</f>
        <v>0</v>
      </c>
      <c r="BI41" s="233"/>
      <c r="BJ41" s="233"/>
    </row>
    <row s="1513" customFormat="1" customHeight="1" ht="10.96875" hidden="1">
      <c r="A42" s="1513"/>
      <c r="B42" s="401"/>
      <c r="C42" s="456"/>
      <c r="D42" s="1513"/>
      <c r="E42" s="233">
        <v>11.25</v>
      </c>
      <c r="F42" s="50" cm="1" t="str">
        <f t="array" ref="F42:F42">OFFSET(E42,-1,1)</f>
        <v>0</v>
      </c>
      <c r="G42" s="92" t="s">
        <v>824</v>
      </c>
      <c r="H42" s="92" cm="1" t="str">
        <f t="array" ref="H42:H42">H41</f>
        <v>0</v>
      </c>
      <c r="I42" s="1513"/>
      <c r="J42" s="1513"/>
      <c r="K42" s="1513"/>
      <c r="L42" s="1513"/>
      <c r="M42" s="1513"/>
      <c r="N42" s="1513"/>
      <c r="O42" s="1513"/>
      <c r="P42" s="1513"/>
      <c r="Q42" s="1513"/>
      <c r="R42" s="1513"/>
      <c r="S42" s="1513"/>
      <c r="T42" s="438" cm="1" t="str">
        <f t="array" ref="T42:T42">T41</f>
        <v>false</v>
      </c>
      <c r="U42" s="1513"/>
      <c r="V42" s="1513"/>
      <c r="W42" s="1513"/>
      <c r="X42" s="1491"/>
      <c r="Y42" s="1491"/>
      <c r="Z42" s="1513"/>
      <c r="AA42" s="1442"/>
      <c r="AB42" s="55" t="str">
        <f>AB39&amp;".1.2"</f>
        <v>7.0.1.2</v>
      </c>
      <c r="AC42" s="298" t="s">
        <v>813</v>
      </c>
      <c r="AD42" s="58" t="s">
        <v>797</v>
      </c>
      <c r="AE42" s="1791"/>
      <c r="AF42" s="1791"/>
      <c r="AG42" s="1791"/>
      <c r="AH42" s="1791"/>
      <c r="AI42" s="107"/>
      <c r="AJ42" s="1791"/>
      <c r="AK42" s="1791"/>
      <c r="AL42" s="1791"/>
      <c r="AM42" s="1791"/>
      <c r="AN42" s="1791"/>
      <c r="AO42" s="1791"/>
      <c r="AP42" s="1791"/>
      <c r="AQ42" s="1791"/>
      <c r="AR42" s="1791"/>
      <c r="AS42" s="107"/>
      <c r="AT42" s="1791"/>
      <c r="AU42" s="1791"/>
      <c r="AV42" s="1791"/>
      <c r="AW42" s="1791"/>
      <c r="AX42" s="1791"/>
      <c r="AY42" s="1791"/>
      <c r="AZ42" s="1791"/>
      <c r="BA42" s="1791"/>
      <c r="BB42" s="1791"/>
      <c r="BC42" s="1880"/>
      <c r="BD42" s="1513"/>
      <c r="BE42" s="1513"/>
      <c r="BF42" s="1007" t="s">
        <v>825</v>
      </c>
      <c r="BG42" s="1007" t="s">
        <v>818</v>
      </c>
      <c r="BH42" s="1007" cm="1" t="str">
        <f t="array" ref="BH42:BH42">BH41</f>
        <v>0</v>
      </c>
      <c r="BI42" s="233"/>
      <c r="BJ42" s="233"/>
    </row>
    <row s="1513" customFormat="1" customHeight="1" ht="10.96875" hidden="1">
      <c r="A43" s="1513"/>
      <c r="B43" s="401"/>
      <c r="C43" s="456"/>
      <c r="D43" s="1513"/>
      <c r="E43" s="233">
        <v>11.25</v>
      </c>
      <c r="F43" s="50" cm="1" t="str">
        <f t="array" ref="F43:F43">OFFSET(E43,-1,1)</f>
        <v>0</v>
      </c>
      <c r="G43" s="92" t="s">
        <v>655</v>
      </c>
      <c r="H43" s="92" cm="1" t="str">
        <f t="array" ref="H43:H43">H42</f>
        <v>0</v>
      </c>
      <c r="I43" s="1513"/>
      <c r="J43" s="1513"/>
      <c r="K43" s="1513"/>
      <c r="L43" s="1513"/>
      <c r="M43" s="1513"/>
      <c r="N43" s="1513"/>
      <c r="O43" s="1513"/>
      <c r="P43" s="1513"/>
      <c r="Q43" s="1513"/>
      <c r="R43" s="1513"/>
      <c r="S43" s="1513"/>
      <c r="T43" s="438" cm="1" t="str">
        <f t="array" ref="T43:T43">T42</f>
        <v>false</v>
      </c>
      <c r="U43" s="1513"/>
      <c r="V43" s="1513"/>
      <c r="W43" s="1513"/>
      <c r="X43" s="1491"/>
      <c r="Y43" s="1491"/>
      <c r="Z43" s="1513"/>
      <c r="AA43" s="1442"/>
      <c r="AB43" s="55" t="str">
        <f>AB39&amp;".2"</f>
        <v>7.0.2</v>
      </c>
      <c r="AC43" s="158" t="s">
        <v>826</v>
      </c>
      <c r="AD43" s="55" t="s">
        <v>820</v>
      </c>
      <c r="AE43" s="1791"/>
      <c r="AF43" s="1791"/>
      <c r="AG43" s="1791"/>
      <c r="AH43" s="1791"/>
      <c r="AI43" s="107"/>
      <c r="AJ43" s="1791"/>
      <c r="AK43" s="1791"/>
      <c r="AL43" s="1791"/>
      <c r="AM43" s="1791"/>
      <c r="AN43" s="1791"/>
      <c r="AO43" s="1791"/>
      <c r="AP43" s="1791"/>
      <c r="AQ43" s="1791"/>
      <c r="AR43" s="1791"/>
      <c r="AS43" s="107"/>
      <c r="AT43" s="1791"/>
      <c r="AU43" s="1791"/>
      <c r="AV43" s="1791"/>
      <c r="AW43" s="1791"/>
      <c r="AX43" s="1791"/>
      <c r="AY43" s="1791"/>
      <c r="AZ43" s="1791"/>
      <c r="BA43" s="1791"/>
      <c r="BB43" s="1791"/>
      <c r="BC43" s="1880"/>
      <c r="BD43" s="1513"/>
      <c r="BE43" s="1513"/>
      <c r="BF43" s="1007" t="s">
        <v>827</v>
      </c>
      <c r="BG43" s="1007" t="s">
        <v>818</v>
      </c>
      <c r="BH43" s="1007" cm="1" t="str">
        <f t="array" ref="BH43:BH43">BH42</f>
        <v>0</v>
      </c>
      <c r="BI43" s="233"/>
      <c r="BJ43" s="233"/>
    </row>
    <row s="1513" customFormat="1" customHeight="1" ht="10.96875" hidden="1">
      <c r="A44" s="1513"/>
      <c r="B44" s="401"/>
      <c r="C44" s="456"/>
      <c r="D44" s="1513"/>
      <c r="E44" s="233">
        <v>11.25</v>
      </c>
      <c r="F44" s="50" cm="1" t="str">
        <f t="array" ref="F44:F44">OFFSET(E44,-1,1)</f>
        <v>0</v>
      </c>
      <c r="G44" s="92" t="s">
        <v>828</v>
      </c>
      <c r="H44" s="92" cm="1" t="str">
        <f t="array" ref="H44:H44">H43</f>
        <v>0</v>
      </c>
      <c r="I44" s="1513"/>
      <c r="J44" s="1513"/>
      <c r="K44" s="1513"/>
      <c r="L44" s="1513"/>
      <c r="M44" s="1513"/>
      <c r="N44" s="1513"/>
      <c r="O44" s="1513"/>
      <c r="P44" s="1513"/>
      <c r="Q44" s="1513"/>
      <c r="R44" s="1513"/>
      <c r="S44" s="1513"/>
      <c r="T44" s="438" cm="1" t="str">
        <f t="array" ref="T44:T44">T43</f>
        <v>false</v>
      </c>
      <c r="U44" s="1513"/>
      <c r="V44" s="1513"/>
      <c r="W44" s="1513"/>
      <c r="X44" s="1491"/>
      <c r="Y44" s="1491"/>
      <c r="Z44" s="1513"/>
      <c r="AA44" s="1442"/>
      <c r="AB44" s="55" t="str">
        <f>AB39&amp;".2.1"</f>
        <v>7.0.2.1</v>
      </c>
      <c r="AC44" s="298" t="s">
        <v>829</v>
      </c>
      <c r="AD44" s="58" t="s">
        <v>830</v>
      </c>
      <c r="AE44" s="157">
        <f>IF(OR(AND(AE43&lt;&gt;0,AE45=0),AND(AE43=0,AE45&lt;&gt;0)),"Ошибка",IF(AE45=0,0,AE43/AE45*1000/12))</f>
        <v>0</v>
      </c>
      <c r="AF44" s="157">
        <f>IF(OR(AND(AF43&lt;&gt;0,AF45=0),AND(AF43=0,AF45&lt;&gt;0)),"Ошибка",IF(AF45=0,0,AF43/AF45*1000/12))</f>
        <v>0</v>
      </c>
      <c r="AG44" s="157">
        <f>IF(OR(AND(AG43&lt;&gt;0,AG45=0),AND(AG43=0,AG45&lt;&gt;0)),"Ошибка",IF(AG45=0,0,AG43/AG45*1000/12))</f>
        <v>0</v>
      </c>
      <c r="AH44" s="157">
        <f>IF(OR(AND(AH43&lt;&gt;0,AH45=0),AND(AH43=0,AH45&lt;&gt;0)),"Ошибка",IF(AH45=0,0,AH43/AH45*1000/12))</f>
        <v>0</v>
      </c>
      <c r="AI44" s="157">
        <f>IF(OR(AND(AI43&lt;&gt;0,AI45=0),AND(AI43=0,AI45&lt;&gt;0)),"Ошибка",IF(AI45=0,0,AI43/AI45*1000/12))</f>
        <v>0</v>
      </c>
      <c r="AJ44" s="157">
        <f>IF(OR(AND(AJ43&lt;&gt;0,AJ45=0),AND(AJ43=0,AJ45&lt;&gt;0)),"Ошибка",IF(AJ45=0,0,AJ43/AJ45*1000/12))</f>
        <v>0</v>
      </c>
      <c r="AK44" s="157">
        <f>IF(OR(AND(AK43&lt;&gt;0,AK45=0),AND(AK43=0,AK45&lt;&gt;0)),"Ошибка",IF(AK45=0,0,AK43/AK45*1000/12))</f>
        <v>0</v>
      </c>
      <c r="AL44" s="157">
        <f>IF(OR(AND(AL43&lt;&gt;0,AL45=0),AND(AL43=0,AL45&lt;&gt;0)),"Ошибка",IF(AL45=0,0,AL43/AL45*1000/12))</f>
        <v>0</v>
      </c>
      <c r="AM44" s="157">
        <f>IF(OR(AND(AM43&lt;&gt;0,AM45=0),AND(AM43=0,AM45&lt;&gt;0)),"Ошибка",IF(AM45=0,0,AM43/AM45*1000/12))</f>
        <v>0</v>
      </c>
      <c r="AN44" s="157">
        <f>IF(OR(AND(AN43&lt;&gt;0,AN45=0),AND(AN43=0,AN45&lt;&gt;0)),"Ошибка",IF(AN45=0,0,AN43/AN45*1000/12))</f>
        <v>0</v>
      </c>
      <c r="AO44" s="157">
        <f>IF(OR(AND(AO43&lt;&gt;0,AO45=0),AND(AO43=0,AO45&lt;&gt;0)),"Ошибка",IF(AO45=0,0,AO43/AO45*1000/12))</f>
        <v>0</v>
      </c>
      <c r="AP44" s="157">
        <f>IF(OR(AND(AP43&lt;&gt;0,AP45=0),AND(AP43=0,AP45&lt;&gt;0)),"Ошибка",IF(AP45=0,0,AP43/AP45*1000/12))</f>
        <v>0</v>
      </c>
      <c r="AQ44" s="157">
        <f>IF(OR(AND(AQ43&lt;&gt;0,AQ45=0),AND(AQ43=0,AQ45&lt;&gt;0)),"Ошибка",IF(AQ45=0,0,AQ43/AQ45*1000/12))</f>
        <v>0</v>
      </c>
      <c r="AR44" s="157">
        <f>IF(OR(AND(AR43&lt;&gt;0,AR45=0),AND(AR43=0,AR45&lt;&gt;0)),"Ошибка",IF(AR45=0,0,AR43/AR45*1000/12))</f>
        <v>0</v>
      </c>
      <c r="AS44" s="157">
        <f>IF(OR(AND(AS43&lt;&gt;0,AS45=0),AND(AS43=0,AS45&lt;&gt;0)),"Ошибка",IF(AS45=0,0,AS43/AS45*1000/12))</f>
        <v>0</v>
      </c>
      <c r="AT44" s="157">
        <f>IF(OR(AND(AT43&lt;&gt;0,AT45=0),AND(AT43=0,AT45&lt;&gt;0)),"Ошибка",IF(AT45=0,0,AT43/AT45*1000/12))</f>
        <v>0</v>
      </c>
      <c r="AU44" s="157">
        <f>IF(OR(AND(AU43&lt;&gt;0,AU45=0),AND(AU43=0,AU45&lt;&gt;0)),"Ошибка",IF(AU45=0,0,AU43/AU45*1000/12))</f>
        <v>0</v>
      </c>
      <c r="AV44" s="157">
        <f>IF(OR(AND(AV43&lt;&gt;0,AV45=0),AND(AV43=0,AV45&lt;&gt;0)),"Ошибка",IF(AV45=0,0,AV43/AV45*1000/12))</f>
        <v>0</v>
      </c>
      <c r="AW44" s="157">
        <f>IF(OR(AND(AW43&lt;&gt;0,AW45=0),AND(AW43=0,AW45&lt;&gt;0)),"Ошибка",IF(AW45=0,0,AW43/AW45*1000/12))</f>
        <v>0</v>
      </c>
      <c r="AX44" s="157">
        <f>IF(OR(AND(AX43&lt;&gt;0,AX45=0),AND(AX43=0,AX45&lt;&gt;0)),"Ошибка",IF(AX45=0,0,AX43/AX45*1000/12))</f>
        <v>0</v>
      </c>
      <c r="AY44" s="157">
        <f>IF(OR(AND(AY43&lt;&gt;0,AY45=0),AND(AY43=0,AY45&lt;&gt;0)),"Ошибка",IF(AY45=0,0,AY43/AY45*1000/12))</f>
        <v>0</v>
      </c>
      <c r="AZ44" s="157">
        <f>IF(OR(AND(AZ43&lt;&gt;0,AZ45=0),AND(AZ43=0,AZ45&lt;&gt;0)),"Ошибка",IF(AZ45=0,0,AZ43/AZ45*1000/12))</f>
        <v>0</v>
      </c>
      <c r="BA44" s="157">
        <f>IF(OR(AND(BA43&lt;&gt;0,BA45=0),AND(BA43=0,BA45&lt;&gt;0)),"Ошибка",IF(BA45=0,0,BA43/BA45*1000/12))</f>
        <v>0</v>
      </c>
      <c r="BB44" s="157">
        <f>IF(OR(AND(BB43&lt;&gt;0,BB45=0),AND(BB43=0,BB45&lt;&gt;0)),"Ошибка",IF(BB45=0,0,BB43/BB45*1000/12))</f>
        <v>0</v>
      </c>
      <c r="BC44" s="1880"/>
      <c r="BD44" s="1513"/>
      <c r="BE44" s="1513"/>
      <c r="BF44" s="1007" t="s">
        <v>831</v>
      </c>
      <c r="BG44" s="1007" t="s">
        <v>818</v>
      </c>
      <c r="BH44" s="1007" cm="1" t="str">
        <f t="array" ref="BH44:BH44">BH43</f>
        <v>0</v>
      </c>
      <c r="BI44" s="233"/>
      <c r="BJ44" s="233"/>
    </row>
    <row s="1513" customFormat="1" customHeight="1" ht="10.96875" hidden="1">
      <c r="A45" s="1513"/>
      <c r="B45" s="401"/>
      <c r="C45" s="456"/>
      <c r="D45" s="1513"/>
      <c r="E45" s="233">
        <v>11.25</v>
      </c>
      <c r="F45" s="50" cm="1" t="str">
        <f t="array" ref="F45:F45">OFFSET(E45,-1,1)</f>
        <v>0</v>
      </c>
      <c r="G45" s="92" t="s">
        <v>832</v>
      </c>
      <c r="H45" s="92" cm="1" t="str">
        <f t="array" ref="H45:H45">H44</f>
        <v>0</v>
      </c>
      <c r="I45" s="1513"/>
      <c r="J45" s="1513"/>
      <c r="K45" s="1513"/>
      <c r="L45" s="1513"/>
      <c r="M45" s="1513"/>
      <c r="N45" s="1513"/>
      <c r="O45" s="1513"/>
      <c r="P45" s="1513"/>
      <c r="Q45" s="1513"/>
      <c r="R45" s="1513"/>
      <c r="S45" s="1513"/>
      <c r="T45" s="438" cm="1" t="str">
        <f t="array" ref="T45:T45">T44</f>
        <v>false</v>
      </c>
      <c r="U45" s="1513"/>
      <c r="V45" s="1513"/>
      <c r="W45" s="1513"/>
      <c r="X45" s="1491"/>
      <c r="Y45" s="1491"/>
      <c r="Z45" s="1513"/>
      <c r="AA45" s="1442"/>
      <c r="AB45" s="55" t="str">
        <f>AB39&amp;".2.2"</f>
        <v>7.0.2.2</v>
      </c>
      <c r="AC45" s="298" t="s">
        <v>833</v>
      </c>
      <c r="AD45" s="58" t="s">
        <v>834</v>
      </c>
      <c r="AE45" s="1791"/>
      <c r="AF45" s="1791"/>
      <c r="AG45" s="1791"/>
      <c r="AH45" s="1791"/>
      <c r="AI45" s="107"/>
      <c r="AJ45" s="1791"/>
      <c r="AK45" s="1791"/>
      <c r="AL45" s="1791"/>
      <c r="AM45" s="1791"/>
      <c r="AN45" s="1791"/>
      <c r="AO45" s="1791"/>
      <c r="AP45" s="1791"/>
      <c r="AQ45" s="1791"/>
      <c r="AR45" s="1791"/>
      <c r="AS45" s="107"/>
      <c r="AT45" s="1791"/>
      <c r="AU45" s="1791"/>
      <c r="AV45" s="1791"/>
      <c r="AW45" s="1791"/>
      <c r="AX45" s="1791"/>
      <c r="AY45" s="1791"/>
      <c r="AZ45" s="1791"/>
      <c r="BA45" s="1791"/>
      <c r="BB45" s="1791"/>
      <c r="BC45" s="1880"/>
      <c r="BD45" s="1513"/>
      <c r="BE45" s="1513"/>
      <c r="BF45" s="1007" t="s">
        <v>835</v>
      </c>
      <c r="BG45" s="1007" t="s">
        <v>818</v>
      </c>
      <c r="BH45" s="1007" cm="1" t="str">
        <f t="array" ref="BH45:BH45">BH44</f>
        <v>0</v>
      </c>
      <c r="BI45" s="233"/>
      <c r="BJ45" s="233"/>
    </row>
    <row s="1379" customFormat="1" customHeight="1" ht="14.625" hidden="1">
      <c r="A46" s="1379"/>
      <c r="B46" s="399"/>
      <c r="C46" s="456"/>
      <c r="D46" s="1379"/>
      <c r="E46" s="608">
        <v>15</v>
      </c>
      <c r="F46" s="50" cm="1" t="str">
        <f t="array" ref="F46:F46">OFFSET(E46,-1,1)</f>
        <v>0</v>
      </c>
      <c r="G46" s="1379"/>
      <c r="H46" s="934" t="s">
        <v>836</v>
      </c>
      <c r="I46" s="1379"/>
      <c r="J46" s="1379"/>
      <c r="K46" s="1379"/>
      <c r="L46" s="1379"/>
      <c r="M46" s="1379"/>
      <c r="N46" s="1379"/>
      <c r="O46" s="1379"/>
      <c r="P46" s="1379"/>
      <c r="Q46" s="1379"/>
      <c r="R46" s="1379"/>
      <c r="S46" s="1379"/>
      <c r="T46" s="438">
        <f>F46&gt;0</f>
        <v>0</v>
      </c>
      <c r="U46" s="1379"/>
      <c r="V46" s="1379"/>
      <c r="W46" s="733" t="s">
        <v>837</v>
      </c>
      <c r="X46" s="1491"/>
      <c r="Y46" s="1379"/>
      <c r="Z46" s="1513"/>
      <c r="AA46" s="1379"/>
      <c r="AB46" s="141"/>
      <c r="AC46" s="144" t="s">
        <v>838</v>
      </c>
      <c r="AD46" s="142"/>
      <c r="AE46" s="142"/>
      <c r="AF46" s="142"/>
      <c r="AG46" s="142"/>
      <c r="AH46" s="142"/>
      <c r="AI46" s="142"/>
      <c r="AJ46" s="142"/>
      <c r="AK46" s="142"/>
      <c r="AL46" s="142"/>
      <c r="AM46" s="142"/>
      <c r="AN46" s="142"/>
      <c r="AO46" s="142"/>
      <c r="AP46" s="142"/>
      <c r="AQ46" s="142"/>
      <c r="AR46" s="142"/>
      <c r="AS46" s="142"/>
      <c r="AT46" s="142"/>
      <c r="AU46" s="142"/>
      <c r="AV46" s="142"/>
      <c r="AW46" s="142"/>
      <c r="AX46" s="142"/>
      <c r="AY46" s="142"/>
      <c r="AZ46" s="142"/>
      <c r="BA46" s="142"/>
      <c r="BB46" s="142"/>
      <c r="BC46" s="153"/>
      <c r="BD46" s="1379"/>
      <c r="BE46" s="1379"/>
      <c r="BF46" s="995"/>
      <c r="BG46" s="995"/>
      <c r="BH46" s="995"/>
      <c r="BI46" s="608" t="s">
        <v>818</v>
      </c>
      <c r="BJ46" s="608"/>
    </row>
    <row s="2316" customFormat="1" customHeight="1" ht="14.25">
      <c r="A47" s="1399"/>
      <c r="B47" s="401"/>
      <c r="C47" s="458"/>
      <c r="D47" s="1399"/>
      <c r="E47" s="607">
        <v>15</v>
      </c>
      <c r="F47" s="64" cm="1" t="str">
        <f t="array" ref="F47:F47">X47</f>
        <v>1</v>
      </c>
      <c r="G47" s="64"/>
      <c r="H47" s="64"/>
      <c r="I47" s="1399"/>
      <c r="J47" s="1399"/>
      <c r="K47" s="1399"/>
      <c r="L47" s="1399"/>
      <c r="M47" s="1399"/>
      <c r="N47" s="1399"/>
      <c r="O47" s="1399"/>
      <c r="P47" s="1399"/>
      <c r="Q47" s="1399"/>
      <c r="R47" s="1399"/>
      <c r="S47" s="1399"/>
      <c r="T47" s="438">
        <f>X47&gt;0</f>
        <v>1</v>
      </c>
      <c r="U47" s="1399"/>
      <c r="V47" s="110" cm="1" t="str">
        <f t="array" ref="V47:V47">'Сырье и материалы'!$AB$31</f>
        <v>Тариф 1 (Водоотведение) - тариф на транспортировку сточных вод</v>
      </c>
      <c r="W47" s="1399"/>
      <c r="X47" s="1491" t="s">
        <v>281</v>
      </c>
      <c r="Y47" s="1399"/>
      <c r="Z47" s="1513"/>
      <c r="AA47" s="1399"/>
      <c r="AB47" s="149" cm="1" t="str">
        <f t="array" ref="AB47:AB47">'Сырье и материалы'!$AB$31</f>
        <v>Тариф 1 (Водоотведение) - тариф на транспортировку сточных вод</v>
      </c>
      <c r="AC47" s="146"/>
      <c r="AD47" s="140"/>
      <c r="AE47" s="140"/>
      <c r="AF47" s="140"/>
      <c r="AG47" s="140"/>
      <c r="AH47" s="140"/>
      <c r="AI47" s="140"/>
      <c r="AJ47" s="140"/>
      <c r="AK47" s="140"/>
      <c r="AL47" s="140"/>
      <c r="AM47" s="140"/>
      <c r="AN47" s="140"/>
      <c r="AO47" s="140"/>
      <c r="AP47" s="140"/>
      <c r="AQ47" s="140"/>
      <c r="AR47" s="140"/>
      <c r="AS47" s="140"/>
      <c r="AT47" s="140"/>
      <c r="AU47" s="140"/>
      <c r="AV47" s="140"/>
      <c r="AW47" s="140"/>
      <c r="AX47" s="140"/>
      <c r="AY47" s="140"/>
      <c r="AZ47" s="140"/>
      <c r="BA47" s="140"/>
      <c r="BB47" s="140"/>
      <c r="BC47" s="140"/>
      <c r="BD47" s="1399"/>
      <c r="BE47" s="1399"/>
      <c r="BF47" s="990"/>
      <c r="BG47" s="990"/>
      <c r="BH47" s="990"/>
      <c r="BI47" s="605"/>
      <c r="BJ47" s="605"/>
    </row>
    <row s="1401" customFormat="1" customHeight="1" ht="10.5">
      <c r="A48" s="1513"/>
      <c r="B48" s="401"/>
      <c r="C48" s="456"/>
      <c r="D48" s="933"/>
      <c r="E48" s="233">
        <v>11.25</v>
      </c>
      <c r="F48" s="50" cm="1" t="str">
        <f t="array" ref="F48:F48">OFFSET(E48,-1,1)</f>
        <v>1</v>
      </c>
      <c r="G48" s="92" t="s">
        <v>321</v>
      </c>
      <c r="H48" s="92"/>
      <c r="I48" s="1513"/>
      <c r="J48" s="1513"/>
      <c r="K48" s="456" t="str">
        <f>F48&amp;"komm"</f>
        <v>1komm</v>
      </c>
      <c r="L48" s="893" cm="1" t="str">
        <f t="array" ref="L48:L48">BC48</f>
        <v>0</v>
      </c>
      <c r="M48" s="1513"/>
      <c r="N48" s="1513"/>
      <c r="O48" s="1513"/>
      <c r="P48" s="1513"/>
      <c r="Q48" s="1513"/>
      <c r="R48" s="1513"/>
      <c r="S48" s="1513"/>
      <c r="T48" s="438" cm="1" t="str">
        <f t="array" ref="T48:T48">T47</f>
        <v>true</v>
      </c>
      <c r="U48" s="1513"/>
      <c r="V48" s="1513"/>
      <c r="W48" s="1513"/>
      <c r="X48" s="1491"/>
      <c r="Y48" s="1513"/>
      <c r="Z48" s="1513"/>
      <c r="AA48" s="1513"/>
      <c r="AB48" s="55" t="s">
        <v>281</v>
      </c>
      <c r="AC48" s="104" t="s">
        <v>788</v>
      </c>
      <c r="AD48" s="55" t="s">
        <v>789</v>
      </c>
      <c r="AE48" s="157">
        <f>IF(COUNTIF(AE53:AE66,"Ошибка")&gt;0,"Ошибка",SUMIF($AD53:$AD66,$AD48,AE53:AE66))</f>
        <v>0</v>
      </c>
      <c r="AF48" s="157">
        <f>IF(COUNTIF(AF53:AF66,"Ошибка")&gt;0,"Ошибка",SUMIF($AD53:$AD66,$AD48,AF53:AF66))</f>
        <v>0</v>
      </c>
      <c r="AG48" s="157">
        <f>IF(COUNTIF(AG53:AG66,"Ошибка")&gt;0,"Ошибка",SUMIF($AD53:$AD66,$AD48,AG53:AG66))</f>
        <v>0</v>
      </c>
      <c r="AH48" s="157">
        <f>IF(COUNTIF(AH53:AH66,"Ошибка")&gt;0,"Ошибка",SUMIF($AD53:$AD66,$AD48,AH53:AH66))</f>
        <v>0</v>
      </c>
      <c r="AI48" s="157">
        <f>IF(COUNTIF(AI53:AI66,"Ошибка")&gt;0,"Ошибка",SUMIF($AD53:$AD66,$AD48,AI53:AI66))</f>
        <v>0</v>
      </c>
      <c r="AJ48" s="157">
        <f>IF(COUNTIF(AJ53:AJ66,"Ошибка")&gt;0,"Ошибка",SUMIF($AD53:$AD66,$AD48,AJ53:AJ66))</f>
        <v>0</v>
      </c>
      <c r="AK48" s="157">
        <f>IF(COUNTIF(AK53:AK66,"Ошибка")&gt;0,"Ошибка",SUMIF($AD53:$AD66,$AD48,AK53:AK66))</f>
        <v>0</v>
      </c>
      <c r="AL48" s="157">
        <f>IF(COUNTIF(AL53:AL66,"Ошибка")&gt;0,"Ошибка",SUMIF($AD53:$AD66,$AD48,AL53:AL66))</f>
        <v>0</v>
      </c>
      <c r="AM48" s="157">
        <f>IF(COUNTIF(AM53:AM66,"Ошибка")&gt;0,"Ошибка",SUMIF($AD53:$AD66,$AD48,AM53:AM66))</f>
        <v>0</v>
      </c>
      <c r="AN48" s="157">
        <f>IF(COUNTIF(AN53:AN66,"Ошибка")&gt;0,"Ошибка",SUMIF($AD53:$AD66,$AD48,AN53:AN66))</f>
        <v>0</v>
      </c>
      <c r="AO48" s="157">
        <f>IF(COUNTIF(AO53:AO66,"Ошибка")&gt;0,"Ошибка",SUMIF($AD53:$AD66,$AD48,AO53:AO66))</f>
        <v>0</v>
      </c>
      <c r="AP48" s="157">
        <f>IF(COUNTIF(AP53:AP66,"Ошибка")&gt;0,"Ошибка",SUMIF($AD53:$AD66,$AD48,AP53:AP66))</f>
        <v>0</v>
      </c>
      <c r="AQ48" s="157">
        <f>IF(COUNTIF(AQ53:AQ66,"Ошибка")&gt;0,"Ошибка",SUMIF($AD53:$AD66,$AD48,AQ53:AQ66))</f>
        <v>0</v>
      </c>
      <c r="AR48" s="157">
        <f>IF(COUNTIF(AR53:AR66,"Ошибка")&gt;0,"Ошибка",SUMIF($AD53:$AD66,$AD48,AR53:AR66))</f>
        <v>0</v>
      </c>
      <c r="AS48" s="157">
        <f>IF(COUNTIF(AS53:AS66,"Ошибка")&gt;0,"Ошибка",SUMIF($AD53:$AD66,$AD48,AS53:AS66))</f>
        <v>0</v>
      </c>
      <c r="AT48" s="157">
        <f>IF(COUNTIF(AT53:AT66,"Ошибка")&gt;0,"Ошибка",SUMIF($AD53:$AD66,$AD48,AT53:AT66))</f>
        <v>0</v>
      </c>
      <c r="AU48" s="157">
        <f>IF(COUNTIF(AU53:AU66,"Ошибка")&gt;0,"Ошибка",SUMIF($AD53:$AD66,$AD48,AU53:AU66))</f>
        <v>0</v>
      </c>
      <c r="AV48" s="157">
        <f>IF(COUNTIF(AV53:AV66,"Ошибка")&gt;0,"Ошибка",SUMIF($AD53:$AD66,$AD48,AV53:AV66))</f>
        <v>0</v>
      </c>
      <c r="AW48" s="157">
        <f>IF(COUNTIF(AW53:AW66,"Ошибка")&gt;0,"Ошибка",SUMIF($AD53:$AD66,$AD48,AW53:AW66))</f>
        <v>0</v>
      </c>
      <c r="AX48" s="157">
        <f>IF(COUNTIF(AX53:AX66,"Ошибка")&gt;0,"Ошибка",SUMIF($AD53:$AD66,$AD48,AX53:AX66))</f>
        <v>0</v>
      </c>
      <c r="AY48" s="157">
        <f>IF(COUNTIF(AY53:AY66,"Ошибка")&gt;0,"Ошибка",SUMIF($AD53:$AD66,$AD48,AY53:AY66))</f>
        <v>0</v>
      </c>
      <c r="AZ48" s="157">
        <f>IF(COUNTIF(AZ53:AZ66,"Ошибка")&gt;0,"Ошибка",SUMIF($AD53:$AD66,$AD48,AZ53:AZ66))</f>
        <v>0</v>
      </c>
      <c r="BA48" s="157">
        <f>IF(COUNTIF(BA53:BA66,"Ошибка")&gt;0,"Ошибка",SUMIF($AD53:$AD66,$AD48,BA53:BA66))</f>
        <v>0</v>
      </c>
      <c r="BB48" s="157">
        <f>IF(COUNTIF(BB53:BB66,"Ошибка")&gt;0,"Ошибка",SUMIF($AD53:$AD66,$AD48,BB53:BB66))</f>
        <v>0</v>
      </c>
      <c r="BC48" s="166"/>
      <c r="BD48" s="1513"/>
      <c r="BE48" s="1513"/>
      <c r="BF48" s="1007" t="s">
        <v>795</v>
      </c>
      <c r="BG48" s="1007"/>
      <c r="BH48" s="1007"/>
      <c r="BI48" s="233"/>
      <c r="BJ48" s="233"/>
    </row>
    <row s="1401" customFormat="1" customHeight="1" ht="10.5">
      <c r="A49" s="1513"/>
      <c r="B49" s="401"/>
      <c r="C49" s="456"/>
      <c r="D49" s="1513"/>
      <c r="E49" s="233">
        <v>11.25</v>
      </c>
      <c r="F49" s="50" cm="1" t="str">
        <f t="array" ref="F49:F49">OFFSET(E49,-1,1)</f>
        <v>1</v>
      </c>
      <c r="G49" s="92" t="s">
        <v>322</v>
      </c>
      <c r="H49" s="92"/>
      <c r="I49" s="1513"/>
      <c r="J49" s="1513"/>
      <c r="K49" s="1513"/>
      <c r="L49" s="1513"/>
      <c r="M49" s="1513"/>
      <c r="N49" s="1513"/>
      <c r="O49" s="1513"/>
      <c r="P49" s="1513"/>
      <c r="Q49" s="1513"/>
      <c r="R49" s="1513"/>
      <c r="S49" s="1513"/>
      <c r="T49" s="438" cm="1" t="str">
        <f t="array" ref="T49:T49">T48</f>
        <v>true</v>
      </c>
      <c r="U49" s="1513"/>
      <c r="V49" s="1513"/>
      <c r="W49" s="1513"/>
      <c r="X49" s="1491"/>
      <c r="Y49" s="1513"/>
      <c r="Z49" s="1513"/>
      <c r="AA49" s="1513"/>
      <c r="AB49" s="55" t="s">
        <v>504</v>
      </c>
      <c r="AC49" s="104" t="s">
        <v>796</v>
      </c>
      <c r="AD49" s="58" t="s">
        <v>797</v>
      </c>
      <c r="AE49" s="157">
        <f>SUMIF(AD53:AD66,AD49,AE53:AE66)</f>
        <v>0</v>
      </c>
      <c r="AF49" s="157">
        <f>SUMIF(AD53:AD66,AD49,AF53:AF66)</f>
        <v>0</v>
      </c>
      <c r="AG49" s="157">
        <f>SUMIF(AD53:AD66,AD49,AG53:AG66)</f>
        <v>0</v>
      </c>
      <c r="AH49" s="157">
        <f>SUMIF(AD53:AD66,AD49,AH53:AH66)</f>
        <v>0</v>
      </c>
      <c r="AI49" s="157">
        <f>SUMIF(AD53:AD66,AD49,AI53:AI66)</f>
        <v>0</v>
      </c>
      <c r="AJ49" s="157">
        <f>SUMIF(AD53:AD66,AD49,AJ53:AJ66)</f>
        <v>0</v>
      </c>
      <c r="AK49" s="157">
        <f>SUMIF(AD53:AD66,AD49,AK53:AK66)</f>
        <v>0</v>
      </c>
      <c r="AL49" s="157">
        <f>SUMIF(AD53:AD66,AD49,AL53:AL66)</f>
        <v>0</v>
      </c>
      <c r="AM49" s="157">
        <f>SUMIF(AD53:AD66,AD49,AM53:AM66)</f>
        <v>0</v>
      </c>
      <c r="AN49" s="157">
        <f>SUMIF(AD53:AD66,AD49,AN53:AN66)</f>
        <v>0</v>
      </c>
      <c r="AO49" s="157">
        <f>SUMIF(AD53:AD66,AD49,AO53:AO66)</f>
        <v>0</v>
      </c>
      <c r="AP49" s="157">
        <f>SUMIF(AD53:AD66,AD49,AP53:AP66)</f>
        <v>0</v>
      </c>
      <c r="AQ49" s="157">
        <f>SUMIF(AD53:AD66,AD49,AQ53:AQ66)</f>
        <v>0</v>
      </c>
      <c r="AR49" s="157">
        <f>SUMIF(AD53:AD66,AD49,AR53:AR66)</f>
        <v>0</v>
      </c>
      <c r="AS49" s="157">
        <f>SUMIF(AD53:AD66,AD49,AS53:AS66)</f>
        <v>0</v>
      </c>
      <c r="AT49" s="157">
        <f>SUMIF(AD53:AD66,AD49,AT53:AT66)</f>
        <v>0</v>
      </c>
      <c r="AU49" s="157">
        <f>SUMIF(AD53:AD66,AD49,AU53:AU66)</f>
        <v>0</v>
      </c>
      <c r="AV49" s="157">
        <f>SUMIF(AD53:AD66,AD49,AV53:AV66)</f>
        <v>0</v>
      </c>
      <c r="AW49" s="157">
        <f>SUMIF(AD53:AD66,AD49,AW53:AW66)</f>
        <v>0</v>
      </c>
      <c r="AX49" s="157">
        <f>SUMIF(AD53:AD66,AD49,AX53:AX66)</f>
        <v>0</v>
      </c>
      <c r="AY49" s="157">
        <f>SUMIF(AD53:AD66,AD49,AY53:AY66)</f>
        <v>0</v>
      </c>
      <c r="AZ49" s="157">
        <f>SUMIF(AD53:AD66,AD49,AZ53:AZ66)</f>
        <v>0</v>
      </c>
      <c r="BA49" s="157">
        <f>SUMIF(AD53:AD66,AD49,BA53:BA66)</f>
        <v>0</v>
      </c>
      <c r="BB49" s="157">
        <f>SUMIF(AD53:AD66,AD49,BB53:BB66)</f>
        <v>0</v>
      </c>
      <c r="BC49" s="166"/>
      <c r="BD49" s="1513"/>
      <c r="BE49" s="1513"/>
      <c r="BF49" s="1007" t="s">
        <v>798</v>
      </c>
      <c r="BG49" s="1007"/>
      <c r="BH49" s="1007"/>
      <c r="BI49" s="233"/>
      <c r="BJ49" s="233"/>
    </row>
    <row s="1401" customFormat="1" customHeight="1" ht="10.5">
      <c r="A50" s="1513"/>
      <c r="B50" s="401"/>
      <c r="C50" s="456"/>
      <c r="D50" s="1513"/>
      <c r="E50" s="233">
        <v>11.25</v>
      </c>
      <c r="F50" s="50" cm="1" t="str">
        <f t="array" ref="F50:F50">OFFSET(E50,-1,1)</f>
        <v>1</v>
      </c>
      <c r="G50" s="92" t="s">
        <v>323</v>
      </c>
      <c r="H50" s="92"/>
      <c r="I50" s="1513"/>
      <c r="J50" s="1513"/>
      <c r="K50" s="1513"/>
      <c r="L50" s="1513"/>
      <c r="M50" s="1513"/>
      <c r="N50" s="1513"/>
      <c r="O50" s="1513"/>
      <c r="P50" s="1513"/>
      <c r="Q50" s="1513"/>
      <c r="R50" s="1513"/>
      <c r="S50" s="1513"/>
      <c r="T50" s="438" cm="1" t="str">
        <f t="array" ref="T50:T50">T49</f>
        <v>true</v>
      </c>
      <c r="U50" s="1513"/>
      <c r="V50" s="1513"/>
      <c r="W50" s="1513"/>
      <c r="X50" s="1491"/>
      <c r="Y50" s="1513"/>
      <c r="Z50" s="1513"/>
      <c r="AA50" s="1513"/>
      <c r="AB50" s="55" t="s">
        <v>319</v>
      </c>
      <c r="AC50" s="104" t="s">
        <v>799</v>
      </c>
      <c r="AD50" s="58" t="s">
        <v>800</v>
      </c>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166"/>
      <c r="BD50" s="1513"/>
      <c r="BE50" s="1513"/>
      <c r="BF50" s="1007" t="s">
        <v>801</v>
      </c>
      <c r="BG50" s="1007"/>
      <c r="BH50" s="1007"/>
      <c r="BI50" s="233"/>
      <c r="BJ50" s="233"/>
    </row>
    <row s="1401" customFormat="1" customHeight="1" ht="10.5">
      <c r="A51" s="1513"/>
      <c r="B51" s="401"/>
      <c r="C51" s="456"/>
      <c r="D51" s="1513"/>
      <c r="E51" s="233">
        <v>11.25</v>
      </c>
      <c r="F51" s="50" cm="1" t="str">
        <f t="array" ref="F51:F51">OFFSET(E51,-1,1)</f>
        <v>1</v>
      </c>
      <c r="G51" s="92" t="s">
        <v>325</v>
      </c>
      <c r="H51" s="92"/>
      <c r="I51" s="1513"/>
      <c r="J51" s="1513"/>
      <c r="K51" s="1513"/>
      <c r="L51" s="1513"/>
      <c r="M51" s="1513"/>
      <c r="N51" s="1513"/>
      <c r="O51" s="1513"/>
      <c r="P51" s="1513"/>
      <c r="Q51" s="1513"/>
      <c r="R51" s="1513"/>
      <c r="S51" s="1513"/>
      <c r="T51" s="438" cm="1" t="str">
        <f t="array" ref="T51:T51">T50</f>
        <v>true</v>
      </c>
      <c r="U51" s="1513"/>
      <c r="V51" s="1513"/>
      <c r="W51" s="1513"/>
      <c r="X51" s="1491"/>
      <c r="Y51" s="1513"/>
      <c r="Z51" s="1513"/>
      <c r="AA51" s="1513"/>
      <c r="AB51" s="55" t="s">
        <v>530</v>
      </c>
      <c r="AC51" s="104" t="s">
        <v>802</v>
      </c>
      <c r="AD51" s="58" t="s">
        <v>803</v>
      </c>
      <c r="AE51" s="157">
        <f>IF(AE49=0,0,AE48/AE49)</f>
        <v>0</v>
      </c>
      <c r="AF51" s="157">
        <f>IF(AF49=0,0,AF48/AF49)</f>
        <v>0</v>
      </c>
      <c r="AG51" s="157">
        <f>IF(AG49=0,0,AG48/AG49)</f>
        <v>0</v>
      </c>
      <c r="AH51" s="157">
        <f>IF(AH49=0,0,AH48/AH49)</f>
        <v>0</v>
      </c>
      <c r="AI51" s="157">
        <f>IF(AI49=0,0,AI48/AI49)</f>
        <v>0</v>
      </c>
      <c r="AJ51" s="157">
        <f>IF(AJ49=0,0,AJ48/AJ49)</f>
        <v>0</v>
      </c>
      <c r="AK51" s="157">
        <f>IF(AK49=0,0,AK48/AK49)</f>
        <v>0</v>
      </c>
      <c r="AL51" s="157">
        <f>IF(AL49=0,0,AL48/AL49)</f>
        <v>0</v>
      </c>
      <c r="AM51" s="157">
        <f>IF(AM49=0,0,AM48/AM49)</f>
        <v>0</v>
      </c>
      <c r="AN51" s="157">
        <f>IF(AN49=0,0,AN48/AN49)</f>
        <v>0</v>
      </c>
      <c r="AO51" s="157">
        <f>IF(AO49=0,0,AO48/AO49)</f>
        <v>0</v>
      </c>
      <c r="AP51" s="157">
        <f>IF(AP49=0,0,AP48/AP49)</f>
        <v>0</v>
      </c>
      <c r="AQ51" s="157">
        <f>IF(AQ49=0,0,AQ48/AQ49)</f>
        <v>0</v>
      </c>
      <c r="AR51" s="157">
        <f>IF(AR49=0,0,AR48/AR49)</f>
        <v>0</v>
      </c>
      <c r="AS51" s="157">
        <f>IF(AS49=0,0,AS48/AS49)</f>
        <v>0</v>
      </c>
      <c r="AT51" s="157">
        <f>IF(AT49=0,0,AT48/AT49)</f>
        <v>0</v>
      </c>
      <c r="AU51" s="157">
        <f>IF(AU49=0,0,AU48/AU49)</f>
        <v>0</v>
      </c>
      <c r="AV51" s="157">
        <f>IF(AV49=0,0,AV48/AV49)</f>
        <v>0</v>
      </c>
      <c r="AW51" s="157">
        <f>IF(AW49=0,0,AW48/AW49)</f>
        <v>0</v>
      </c>
      <c r="AX51" s="157">
        <f>IF(AX49=0,0,AX48/AX49)</f>
        <v>0</v>
      </c>
      <c r="AY51" s="157">
        <f>IF(AY49=0,0,AY48/AY49)</f>
        <v>0</v>
      </c>
      <c r="AZ51" s="157">
        <f>IF(AZ49=0,0,AZ48/AZ49)</f>
        <v>0</v>
      </c>
      <c r="BA51" s="157">
        <f>IF(BA49=0,0,BA48/BA49)</f>
        <v>0</v>
      </c>
      <c r="BB51" s="157">
        <f>IF(BB49=0,0,BB48/BB49)</f>
        <v>0</v>
      </c>
      <c r="BC51" s="166"/>
      <c r="BD51" s="1513"/>
      <c r="BE51" s="1513"/>
      <c r="BF51" s="1007" t="s">
        <v>804</v>
      </c>
      <c r="BG51" s="1007"/>
      <c r="BH51" s="1007"/>
      <c r="BI51" s="233"/>
      <c r="BJ51" s="233"/>
    </row>
    <row s="1401" customFormat="1" customHeight="1" ht="10.5">
      <c r="A52" s="1513"/>
      <c r="B52" s="401"/>
      <c r="C52" s="456"/>
      <c r="D52" s="1513"/>
      <c r="E52" s="233">
        <v>11.25</v>
      </c>
      <c r="F52" s="50" cm="1" t="str">
        <f t="array" ref="F52:F52">OFFSET(E52,-1,1)</f>
        <v>1</v>
      </c>
      <c r="G52" s="92" t="s">
        <v>324</v>
      </c>
      <c r="H52" s="92"/>
      <c r="I52" s="1513"/>
      <c r="J52" s="1513"/>
      <c r="K52" s="1513"/>
      <c r="L52" s="1513"/>
      <c r="M52" s="1513"/>
      <c r="N52" s="1513"/>
      <c r="O52" s="1513"/>
      <c r="P52" s="1513"/>
      <c r="Q52" s="1513"/>
      <c r="R52" s="1513"/>
      <c r="S52" s="1513"/>
      <c r="T52" s="438" cm="1" t="str">
        <f t="array" ref="T52:T52">T51</f>
        <v>true</v>
      </c>
      <c r="U52" s="1513"/>
      <c r="V52" s="1513"/>
      <c r="W52" s="1513"/>
      <c r="X52" s="1491"/>
      <c r="Y52" s="1513"/>
      <c r="Z52" s="1513"/>
      <c r="AA52" s="1513"/>
      <c r="AB52" s="55" t="s">
        <v>485</v>
      </c>
      <c r="AC52" s="104" t="s">
        <v>805</v>
      </c>
      <c r="AD52" s="58" t="s">
        <v>806</v>
      </c>
      <c r="AE52" s="281">
        <f>IF(AE50=0,0,AE49/AE50)</f>
        <v>0</v>
      </c>
      <c r="AF52" s="281">
        <f>IF(AF50=0,0,AF49/AF50)</f>
        <v>0</v>
      </c>
      <c r="AG52" s="281">
        <f>IF(AG50=0,0,AG49/AG50)</f>
        <v>0</v>
      </c>
      <c r="AH52" s="281">
        <f>IF(AH50=0,0,AH49/AH50)</f>
        <v>0</v>
      </c>
      <c r="AI52" s="281">
        <f>IF(AI50=0,0,AI49/AI50)</f>
        <v>0</v>
      </c>
      <c r="AJ52" s="281">
        <f>IF(AJ50=0,0,AJ49/AJ50)</f>
        <v>0</v>
      </c>
      <c r="AK52" s="281">
        <f>IF(AK50=0,0,AK49/AK50)</f>
        <v>0</v>
      </c>
      <c r="AL52" s="281">
        <f>IF(AL50=0,0,AL49/AL50)</f>
        <v>0</v>
      </c>
      <c r="AM52" s="281">
        <f>IF(AM50=0,0,AM49/AM50)</f>
        <v>0</v>
      </c>
      <c r="AN52" s="281">
        <f>IF(AN50=0,0,AN49/AN50)</f>
        <v>0</v>
      </c>
      <c r="AO52" s="281">
        <f>IF(AO50=0,0,AO49/AO50)</f>
        <v>0</v>
      </c>
      <c r="AP52" s="281">
        <f>IF(AP50=0,0,AP49/AP50)</f>
        <v>0</v>
      </c>
      <c r="AQ52" s="281">
        <f>IF(AQ50=0,0,AQ49/AQ50)</f>
        <v>0</v>
      </c>
      <c r="AR52" s="281">
        <f>IF(AR50=0,0,AR49/AR50)</f>
        <v>0</v>
      </c>
      <c r="AS52" s="281">
        <f>IF(AS50=0,0,AS49/AS50)</f>
        <v>0</v>
      </c>
      <c r="AT52" s="281">
        <f>IF(AT50=0,0,AT49/AT50)</f>
        <v>0</v>
      </c>
      <c r="AU52" s="281">
        <f>IF(AU50=0,0,AU49/AU50)</f>
        <v>0</v>
      </c>
      <c r="AV52" s="281">
        <f>IF(AV50=0,0,AV49/AV50)</f>
        <v>0</v>
      </c>
      <c r="AW52" s="281">
        <f>IF(AW50=0,0,AW49/AW50)</f>
        <v>0</v>
      </c>
      <c r="AX52" s="281">
        <f>IF(AX50=0,0,AX49/AX50)</f>
        <v>0</v>
      </c>
      <c r="AY52" s="281">
        <f>IF(AY50=0,0,AY49/AY50)</f>
        <v>0</v>
      </c>
      <c r="AZ52" s="281">
        <f>IF(AZ50=0,0,AZ49/AZ50)</f>
        <v>0</v>
      </c>
      <c r="BA52" s="281">
        <f>IF(BA50=0,0,BA49/BA50)</f>
        <v>0</v>
      </c>
      <c r="BB52" s="281">
        <f>IF(BB50=0,0,BB49/BB50)</f>
        <v>0</v>
      </c>
      <c r="BC52" s="166"/>
      <c r="BD52" s="1513"/>
      <c r="BE52" s="1513"/>
      <c r="BF52" s="1007" t="s">
        <v>807</v>
      </c>
      <c r="BG52" s="1007"/>
      <c r="BH52" s="1007"/>
      <c r="BI52" s="233"/>
      <c r="BJ52" s="233"/>
    </row>
    <row s="1401" customFormat="1" customHeight="1" ht="12">
      <c r="A53" s="1513"/>
      <c r="B53" s="401"/>
      <c r="C53" s="456"/>
      <c r="D53" s="1513"/>
      <c r="E53" s="233">
        <v>13</v>
      </c>
      <c r="F53" s="50" cm="1" t="str">
        <f t="array" ref="F53:F53">OFFSET(E53,-1,1)</f>
        <v>1</v>
      </c>
      <c r="G53" s="92"/>
      <c r="H53" s="92"/>
      <c r="I53" s="1513"/>
      <c r="J53" s="1513"/>
      <c r="K53" s="1513"/>
      <c r="L53" s="1513"/>
      <c r="M53" s="1513"/>
      <c r="N53" s="1513"/>
      <c r="O53" s="1513"/>
      <c r="P53" s="1513"/>
      <c r="Q53" s="1513"/>
      <c r="R53" s="1513"/>
      <c r="S53" s="1513"/>
      <c r="T53" s="438" cm="1" t="str">
        <f t="array" ref="T53:T53">T52</f>
        <v>true</v>
      </c>
      <c r="U53" s="1513"/>
      <c r="V53" s="1513"/>
      <c r="W53" s="1513"/>
      <c r="X53" s="1491"/>
      <c r="Y53" s="1513"/>
      <c r="Z53" s="1513"/>
      <c r="AA53" s="1513"/>
      <c r="AB53" s="628"/>
      <c r="AC53" s="232" t="s">
        <v>808</v>
      </c>
      <c r="AD53" s="233"/>
      <c r="AE53" s="234"/>
      <c r="AF53" s="234"/>
      <c r="AG53" s="234"/>
      <c r="AH53" s="234"/>
      <c r="AI53" s="234"/>
      <c r="AJ53" s="234"/>
      <c r="AK53" s="234"/>
      <c r="AL53" s="234"/>
      <c r="AM53" s="234"/>
      <c r="AN53" s="234"/>
      <c r="AO53" s="234"/>
      <c r="AP53" s="234"/>
      <c r="AQ53" s="234"/>
      <c r="AR53" s="234"/>
      <c r="AS53" s="234"/>
      <c r="AT53" s="234"/>
      <c r="AU53" s="234"/>
      <c r="AV53" s="234"/>
      <c r="AW53" s="234"/>
      <c r="AX53" s="234"/>
      <c r="AY53" s="234"/>
      <c r="AZ53" s="234"/>
      <c r="BA53" s="234"/>
      <c r="BB53" s="234"/>
      <c r="BC53" s="235"/>
      <c r="BD53" s="1513"/>
      <c r="BE53" s="1513"/>
      <c r="BF53" s="1007"/>
      <c r="BG53" s="1007"/>
      <c r="BH53" s="1007"/>
      <c r="BI53" s="233"/>
      <c r="BJ53" s="233"/>
    </row>
    <row s="1401" customFormat="1" customHeight="1" ht="10.5" hidden="1">
      <c r="A54" s="1513"/>
      <c r="B54" s="401"/>
      <c r="C54" s="456"/>
      <c r="D54" s="1513"/>
      <c r="E54" s="233">
        <v>11.25</v>
      </c>
      <c r="F54" s="50" cm="1" t="str">
        <f t="array" ref="F54:F54">OFFSET(E54,-1,1)</f>
        <v>1</v>
      </c>
      <c r="G54" s="92" t="s">
        <v>484</v>
      </c>
      <c r="H54" s="92" cm="1" t="str">
        <f t="array" ref="H54:H54">AC54</f>
        <v>0</v>
      </c>
      <c r="I54" s="1513"/>
      <c r="J54" s="1513"/>
      <c r="K54" s="1513"/>
      <c r="L54" s="1513"/>
      <c r="M54" s="1513"/>
      <c r="N54" s="1513"/>
      <c r="O54" s="1513"/>
      <c r="P54" s="1513"/>
      <c r="Q54" s="1513"/>
      <c r="R54" s="1513"/>
      <c r="S54" s="1513"/>
      <c r="T54" s="438">
        <f>AND(F54&gt;0,Y54&gt;0)</f>
        <v>0</v>
      </c>
      <c r="U54" s="1513"/>
      <c r="V54" s="1513"/>
      <c r="W54" s="733" t="s">
        <v>172</v>
      </c>
      <c r="X54" s="1491"/>
      <c r="Y54" s="1491">
        <v>0</v>
      </c>
      <c r="Z54" s="1513"/>
      <c r="AA54" s="1442" t="s">
        <v>173</v>
      </c>
      <c r="AB54" s="55" t="str">
        <f>"6."&amp;Y54</f>
        <v>6.0</v>
      </c>
      <c r="AC54" s="2264"/>
      <c r="AD54" s="55" t="s">
        <v>789</v>
      </c>
      <c r="AE54" s="1791"/>
      <c r="AF54" s="1791"/>
      <c r="AG54" s="1791"/>
      <c r="AH54" s="1791"/>
      <c r="AI54" s="107"/>
      <c r="AJ54" s="1791"/>
      <c r="AK54" s="1791"/>
      <c r="AL54" s="1791"/>
      <c r="AM54" s="1791"/>
      <c r="AN54" s="1791"/>
      <c r="AO54" s="1791"/>
      <c r="AP54" s="1791"/>
      <c r="AQ54" s="1791"/>
      <c r="AR54" s="1791"/>
      <c r="AS54" s="107"/>
      <c r="AT54" s="1791"/>
      <c r="AU54" s="1791"/>
      <c r="AV54" s="1791"/>
      <c r="AW54" s="1791"/>
      <c r="AX54" s="1791"/>
      <c r="AY54" s="1791"/>
      <c r="AZ54" s="1791"/>
      <c r="BA54" s="1791"/>
      <c r="BB54" s="1791"/>
      <c r="BC54" s="1880"/>
      <c r="BD54" s="1513"/>
      <c r="BE54" s="1513"/>
      <c r="BF54" s="1007" t="s">
        <v>809</v>
      </c>
      <c r="BG54" s="1007" t="s">
        <v>810</v>
      </c>
      <c r="BH54" s="1007" cm="1" t="str">
        <f t="array" ref="BH54:BH54">AC54</f>
        <v>0</v>
      </c>
      <c r="BI54" s="233"/>
      <c r="BJ54" s="233" t="b">
        <v>1</v>
      </c>
    </row>
    <row s="1401" customFormat="1" customHeight="1" ht="10.5" hidden="1">
      <c r="A55" s="1513"/>
      <c r="B55" s="401"/>
      <c r="C55" s="456"/>
      <c r="D55" s="1513"/>
      <c r="E55" s="233">
        <v>11.25</v>
      </c>
      <c r="F55" s="50" cm="1" t="str">
        <f t="array" ref="F55:F55">OFFSET(E55,-1,1)</f>
        <v>1</v>
      </c>
      <c r="G55" s="92" t="s">
        <v>645</v>
      </c>
      <c r="H55" s="92" cm="1" t="str">
        <f t="array" ref="H55:H55">H54</f>
        <v>0</v>
      </c>
      <c r="I55" s="1513"/>
      <c r="J55" s="1513"/>
      <c r="K55" s="1513"/>
      <c r="L55" s="1513"/>
      <c r="M55" s="1513"/>
      <c r="N55" s="1513"/>
      <c r="O55" s="1513"/>
      <c r="P55" s="1513"/>
      <c r="Q55" s="1513"/>
      <c r="R55" s="1513"/>
      <c r="S55" s="1513"/>
      <c r="T55" s="438" cm="1" t="str">
        <f t="array" ref="T55:T55">T54</f>
        <v>false</v>
      </c>
      <c r="U55" s="1513"/>
      <c r="V55" s="1513"/>
      <c r="W55" s="1513"/>
      <c r="X55" s="1491"/>
      <c r="Y55" s="1491"/>
      <c r="Z55" s="1513"/>
      <c r="AA55" s="1442"/>
      <c r="AB55" s="55" t="str">
        <f>AB54&amp;".1"</f>
        <v>6.0.1</v>
      </c>
      <c r="AC55" s="158" t="s">
        <v>811</v>
      </c>
      <c r="AD55" s="58" t="s">
        <v>803</v>
      </c>
      <c r="AE55" s="157">
        <f>IF(OR(AND(AE54&lt;&gt;0,AE56=0),AND(AE54=0,AE56&lt;&gt;0)),"Ошибка",IF(AE56=0,0,AE54/AE56))</f>
        <v>0</v>
      </c>
      <c r="AF55" s="157">
        <f>IF(OR(AND(AF54&lt;&gt;0,AF56=0),AND(AF54=0,AF56&lt;&gt;0)),"Ошибка",IF(AF56=0,0,AF54/AF56))</f>
        <v>0</v>
      </c>
      <c r="AG55" s="157">
        <f>IF(OR(AND(AG54&lt;&gt;0,AG56=0),AND(AG54=0,AG56&lt;&gt;0)),"Ошибка",IF(AG56=0,0,AG54/AG56))</f>
        <v>0</v>
      </c>
      <c r="AH55" s="157">
        <f>IF(OR(AND(AH54&lt;&gt;0,AH56=0),AND(AH54=0,AH56&lt;&gt;0)),"Ошибка",IF(AH56=0,0,AH54/AH56))</f>
        <v>0</v>
      </c>
      <c r="AI55" s="157">
        <f>IF(OR(AND(AI54&lt;&gt;0,AI56=0),AND(AI54=0,AI56&lt;&gt;0)),"Ошибка",IF(AI56=0,0,AI54/AI56))</f>
        <v>0</v>
      </c>
      <c r="AJ55" s="157">
        <f>IF(OR(AND(AJ54&lt;&gt;0,AJ56=0),AND(AJ54=0,AJ56&lt;&gt;0)),"Ошибка",IF(AJ56=0,0,AJ54/AJ56))</f>
        <v>0</v>
      </c>
      <c r="AK55" s="157">
        <f>IF(OR(AND(AK54&lt;&gt;0,AK56=0),AND(AK54=0,AK56&lt;&gt;0)),"Ошибка",IF(AK56=0,0,AK54/AK56))</f>
        <v>0</v>
      </c>
      <c r="AL55" s="157">
        <f>IF(OR(AND(AL54&lt;&gt;0,AL56=0),AND(AL54=0,AL56&lt;&gt;0)),"Ошибка",IF(AL56=0,0,AL54/AL56))</f>
        <v>0</v>
      </c>
      <c r="AM55" s="157">
        <f>IF(OR(AND(AM54&lt;&gt;0,AM56=0),AND(AM54=0,AM56&lt;&gt;0)),"Ошибка",IF(AM56=0,0,AM54/AM56))</f>
        <v>0</v>
      </c>
      <c r="AN55" s="157">
        <f>IF(OR(AND(AN54&lt;&gt;0,AN56=0),AND(AN54=0,AN56&lt;&gt;0)),"Ошибка",IF(AN56=0,0,AN54/AN56))</f>
        <v>0</v>
      </c>
      <c r="AO55" s="157">
        <f>IF(OR(AND(AO54&lt;&gt;0,AO56=0),AND(AO54=0,AO56&lt;&gt;0)),"Ошибка",IF(AO56=0,0,AO54/AO56))</f>
        <v>0</v>
      </c>
      <c r="AP55" s="157">
        <f>IF(OR(AND(AP54&lt;&gt;0,AP56=0),AND(AP54=0,AP56&lt;&gt;0)),"Ошибка",IF(AP56=0,0,AP54/AP56))</f>
        <v>0</v>
      </c>
      <c r="AQ55" s="157">
        <f>IF(OR(AND(AQ54&lt;&gt;0,AQ56=0),AND(AQ54=0,AQ56&lt;&gt;0)),"Ошибка",IF(AQ56=0,0,AQ54/AQ56))</f>
        <v>0</v>
      </c>
      <c r="AR55" s="157">
        <f>IF(OR(AND(AR54&lt;&gt;0,AR56=0),AND(AR54=0,AR56&lt;&gt;0)),"Ошибка",IF(AR56=0,0,AR54/AR56))</f>
        <v>0</v>
      </c>
      <c r="AS55" s="157">
        <f>IF(OR(AND(AS54&lt;&gt;0,AS56=0),AND(AS54=0,AS56&lt;&gt;0)),"Ошибка",IF(AS56=0,0,AS54/AS56))</f>
        <v>0</v>
      </c>
      <c r="AT55" s="157">
        <f>IF(OR(AND(AT54&lt;&gt;0,AT56=0),AND(AT54=0,AT56&lt;&gt;0)),"Ошибка",IF(AT56=0,0,AT54/AT56))</f>
        <v>0</v>
      </c>
      <c r="AU55" s="157">
        <f>IF(OR(AND(AU54&lt;&gt;0,AU56=0),AND(AU54=0,AU56&lt;&gt;0)),"Ошибка",IF(AU56=0,0,AU54/AU56))</f>
        <v>0</v>
      </c>
      <c r="AV55" s="157">
        <f>IF(OR(AND(AV54&lt;&gt;0,AV56=0),AND(AV54=0,AV56&lt;&gt;0)),"Ошибка",IF(AV56=0,0,AV54/AV56))</f>
        <v>0</v>
      </c>
      <c r="AW55" s="157">
        <f>IF(OR(AND(AW54&lt;&gt;0,AW56=0),AND(AW54=0,AW56&lt;&gt;0)),"Ошибка",IF(AW56=0,0,AW54/AW56))</f>
        <v>0</v>
      </c>
      <c r="AX55" s="157">
        <f>IF(OR(AND(AX54&lt;&gt;0,AX56=0),AND(AX54=0,AX56&lt;&gt;0)),"Ошибка",IF(AX56=0,0,AX54/AX56))</f>
        <v>0</v>
      </c>
      <c r="AY55" s="157">
        <f>IF(OR(AND(AY54&lt;&gt;0,AY56=0),AND(AY54=0,AY56&lt;&gt;0)),"Ошибка",IF(AY56=0,0,AY54/AY56))</f>
        <v>0</v>
      </c>
      <c r="AZ55" s="157">
        <f>IF(OR(AND(AZ54&lt;&gt;0,AZ56=0),AND(AZ54=0,AZ56&lt;&gt;0)),"Ошибка",IF(AZ56=0,0,AZ54/AZ56))</f>
        <v>0</v>
      </c>
      <c r="BA55" s="157">
        <f>IF(OR(AND(BA54&lt;&gt;0,BA56=0),AND(BA54=0,BA56&lt;&gt;0)),"Ошибка",IF(BA56=0,0,BA54/BA56))</f>
        <v>0</v>
      </c>
      <c r="BB55" s="157">
        <f>IF(OR(AND(BB54&lt;&gt;0,BB56=0),AND(BB54=0,BB56&lt;&gt;0)),"Ошибка",IF(BB56=0,0,BB54/BB56))</f>
        <v>0</v>
      </c>
      <c r="BC55" s="1880"/>
      <c r="BD55" s="1513"/>
      <c r="BE55" s="1513"/>
      <c r="BF55" s="1007" t="s">
        <v>812</v>
      </c>
      <c r="BG55" s="1007" t="s">
        <v>810</v>
      </c>
      <c r="BH55" s="1007" cm="1" t="str">
        <f t="array" ref="BH55:BH55">BH54</f>
        <v>0</v>
      </c>
      <c r="BI55" s="233"/>
      <c r="BJ55" s="233"/>
    </row>
    <row s="1401" customFormat="1" customHeight="1" ht="10.5" hidden="1">
      <c r="A56" s="1513"/>
      <c r="B56" s="401"/>
      <c r="C56" s="456"/>
      <c r="D56" s="1513"/>
      <c r="E56" s="233">
        <v>11.25</v>
      </c>
      <c r="F56" s="50" cm="1" t="str">
        <f t="array" ref="F56:F56">OFFSET(E56,-1,1)</f>
        <v>1</v>
      </c>
      <c r="G56" s="92" t="s">
        <v>648</v>
      </c>
      <c r="H56" s="92" cm="1" t="str">
        <f t="array" ref="H56:H56">H55</f>
        <v>0</v>
      </c>
      <c r="I56" s="1513"/>
      <c r="J56" s="1513"/>
      <c r="K56" s="1513"/>
      <c r="L56" s="1513"/>
      <c r="M56" s="1513"/>
      <c r="N56" s="1513"/>
      <c r="O56" s="1513"/>
      <c r="P56" s="1513"/>
      <c r="Q56" s="1513"/>
      <c r="R56" s="1513"/>
      <c r="S56" s="1513"/>
      <c r="T56" s="438" cm="1" t="str">
        <f t="array" ref="T56:T56">T55</f>
        <v>false</v>
      </c>
      <c r="U56" s="1513"/>
      <c r="V56" s="1513"/>
      <c r="W56" s="1513"/>
      <c r="X56" s="1491"/>
      <c r="Y56" s="1491"/>
      <c r="Z56" s="1513"/>
      <c r="AA56" s="1442"/>
      <c r="AB56" s="55" t="str">
        <f>AB54&amp;".2"</f>
        <v>6.0.2</v>
      </c>
      <c r="AC56" s="158" t="s">
        <v>813</v>
      </c>
      <c r="AD56" s="58" t="s">
        <v>797</v>
      </c>
      <c r="AE56" s="1791"/>
      <c r="AF56" s="1791"/>
      <c r="AG56" s="1791"/>
      <c r="AH56" s="1791"/>
      <c r="AI56" s="107"/>
      <c r="AJ56" s="1791"/>
      <c r="AK56" s="1791"/>
      <c r="AL56" s="1791"/>
      <c r="AM56" s="1791"/>
      <c r="AN56" s="1791"/>
      <c r="AO56" s="1791"/>
      <c r="AP56" s="1791"/>
      <c r="AQ56" s="1791"/>
      <c r="AR56" s="1791"/>
      <c r="AS56" s="107"/>
      <c r="AT56" s="1791"/>
      <c r="AU56" s="1791"/>
      <c r="AV56" s="1791"/>
      <c r="AW56" s="1791"/>
      <c r="AX56" s="1791"/>
      <c r="AY56" s="1791"/>
      <c r="AZ56" s="1791"/>
      <c r="BA56" s="1791"/>
      <c r="BB56" s="1791"/>
      <c r="BC56" s="1880"/>
      <c r="BD56" s="1513"/>
      <c r="BE56" s="1513"/>
      <c r="BF56" s="1007" t="s">
        <v>814</v>
      </c>
      <c r="BG56" s="1007" t="s">
        <v>810</v>
      </c>
      <c r="BH56" s="1007" cm="1" t="str">
        <f t="array" ref="BH56:BH56">BH55</f>
        <v>0</v>
      </c>
      <c r="BI56" s="233"/>
      <c r="BJ56" s="233"/>
    </row>
    <row s="1379" customFormat="1" customHeight="1" ht="14.25">
      <c r="A57" s="1379"/>
      <c r="B57" s="399"/>
      <c r="C57" s="456"/>
      <c r="D57" s="1379"/>
      <c r="E57" s="608">
        <v>15</v>
      </c>
      <c r="F57" s="50" cm="1" t="str">
        <f t="array" ref="F57:F57">OFFSET(E57,-1,1)</f>
        <v>1</v>
      </c>
      <c r="G57" s="1379"/>
      <c r="H57" s="934" t="s">
        <v>815</v>
      </c>
      <c r="I57" s="1379"/>
      <c r="J57" s="1379"/>
      <c r="K57" s="1379"/>
      <c r="L57" s="1379"/>
      <c r="M57" s="1379"/>
      <c r="N57" s="1379"/>
      <c r="O57" s="1379"/>
      <c r="P57" s="1379"/>
      <c r="Q57" s="1379"/>
      <c r="R57" s="1379"/>
      <c r="S57" s="1379"/>
      <c r="T57" s="438">
        <f>F57&gt;0</f>
        <v>1</v>
      </c>
      <c r="U57" s="1379"/>
      <c r="V57" s="1379"/>
      <c r="W57" s="733" t="s">
        <v>388</v>
      </c>
      <c r="X57" s="1491"/>
      <c r="Y57" s="1379"/>
      <c r="Z57" s="1513"/>
      <c r="AA57" s="1379"/>
      <c r="AB57" s="629"/>
      <c r="AC57" s="144" t="s">
        <v>176</v>
      </c>
      <c r="AD57" s="142"/>
      <c r="AE57" s="142"/>
      <c r="AF57" s="142"/>
      <c r="AG57" s="142"/>
      <c r="AH57" s="142"/>
      <c r="AI57" s="142"/>
      <c r="AJ57" s="142"/>
      <c r="AK57" s="142"/>
      <c r="AL57" s="142"/>
      <c r="AM57" s="142"/>
      <c r="AN57" s="142"/>
      <c r="AO57" s="142"/>
      <c r="AP57" s="142"/>
      <c r="AQ57" s="142"/>
      <c r="AR57" s="142"/>
      <c r="AS57" s="142"/>
      <c r="AT57" s="142"/>
      <c r="AU57" s="142"/>
      <c r="AV57" s="142"/>
      <c r="AW57" s="142"/>
      <c r="AX57" s="142"/>
      <c r="AY57" s="142"/>
      <c r="AZ57" s="142"/>
      <c r="BA57" s="142"/>
      <c r="BB57" s="142"/>
      <c r="BC57" s="153"/>
      <c r="BD57" s="1379"/>
      <c r="BE57" s="1379"/>
      <c r="BF57" s="995"/>
      <c r="BG57" s="995"/>
      <c r="BH57" s="995"/>
      <c r="BI57" s="608" t="s">
        <v>810</v>
      </c>
      <c r="BJ57" s="608"/>
    </row>
    <row s="1401" customFormat="1" customHeight="1" ht="12">
      <c r="A58" s="1513"/>
      <c r="B58" s="401"/>
      <c r="C58" s="456"/>
      <c r="D58" s="1513"/>
      <c r="E58" s="233">
        <v>13</v>
      </c>
      <c r="F58" s="50" cm="1" t="str">
        <f t="array" ref="F58:F58">OFFSET(E58,-1,1)</f>
        <v>1</v>
      </c>
      <c r="G58" s="92"/>
      <c r="H58" s="92"/>
      <c r="I58" s="1513"/>
      <c r="J58" s="1513"/>
      <c r="K58" s="1513"/>
      <c r="L58" s="1513"/>
      <c r="M58" s="1513"/>
      <c r="N58" s="1513"/>
      <c r="O58" s="1513"/>
      <c r="P58" s="1513"/>
      <c r="Q58" s="1513"/>
      <c r="R58" s="1513"/>
      <c r="S58" s="1513"/>
      <c r="T58" s="438" cm="1" t="str">
        <f t="array" ref="T58:T58">T57</f>
        <v>true</v>
      </c>
      <c r="U58" s="1513"/>
      <c r="V58" s="1513"/>
      <c r="W58" s="1513"/>
      <c r="X58" s="1491"/>
      <c r="Y58" s="1513"/>
      <c r="Z58" s="1513"/>
      <c r="AA58" s="1513"/>
      <c r="AB58" s="628"/>
      <c r="AC58" s="232" t="s">
        <v>816</v>
      </c>
      <c r="AD58" s="233"/>
      <c r="AE58" s="234"/>
      <c r="AF58" s="234"/>
      <c r="AG58" s="234"/>
      <c r="AH58" s="234"/>
      <c r="AI58" s="234"/>
      <c r="AJ58" s="234"/>
      <c r="AK58" s="234"/>
      <c r="AL58" s="234"/>
      <c r="AM58" s="234"/>
      <c r="AN58" s="234"/>
      <c r="AO58" s="234"/>
      <c r="AP58" s="234"/>
      <c r="AQ58" s="234"/>
      <c r="AR58" s="234"/>
      <c r="AS58" s="234"/>
      <c r="AT58" s="234"/>
      <c r="AU58" s="234"/>
      <c r="AV58" s="234"/>
      <c r="AW58" s="234"/>
      <c r="AX58" s="234"/>
      <c r="AY58" s="234"/>
      <c r="AZ58" s="234"/>
      <c r="BA58" s="234"/>
      <c r="BB58" s="234"/>
      <c r="BC58" s="235"/>
      <c r="BD58" s="1513"/>
      <c r="BE58" s="1513"/>
      <c r="BF58" s="1007"/>
      <c r="BG58" s="1007"/>
      <c r="BH58" s="1007"/>
      <c r="BI58" s="233"/>
      <c r="BJ58" s="233"/>
    </row>
    <row s="1401" customFormat="1" customHeight="1" ht="10.5" hidden="1">
      <c r="A59" s="1513"/>
      <c r="B59" s="401"/>
      <c r="C59" s="456"/>
      <c r="D59" s="1513"/>
      <c r="E59" s="233">
        <v>11.25</v>
      </c>
      <c r="F59" s="50" cm="1" t="str">
        <f t="array" ref="F59:F59">OFFSET(E59,-1,1)</f>
        <v>1</v>
      </c>
      <c r="G59" s="92" t="s">
        <v>484</v>
      </c>
      <c r="H59" s="92" cm="1" t="str">
        <f t="array" ref="H59:H59">AC59</f>
        <v>0</v>
      </c>
      <c r="I59" s="1513"/>
      <c r="J59" s="1513"/>
      <c r="K59" s="1513"/>
      <c r="L59" s="1513"/>
      <c r="M59" s="1513"/>
      <c r="N59" s="1513"/>
      <c r="O59" s="1513"/>
      <c r="P59" s="1513"/>
      <c r="Q59" s="1513"/>
      <c r="R59" s="1513"/>
      <c r="S59" s="1513"/>
      <c r="T59" s="438">
        <f>AND(F59&gt;0,Y59&gt;0)</f>
        <v>0</v>
      </c>
      <c r="U59" s="1513"/>
      <c r="V59" s="1513"/>
      <c r="W59" s="733" t="s">
        <v>172</v>
      </c>
      <c r="X59" s="1491"/>
      <c r="Y59" s="1491">
        <v>0</v>
      </c>
      <c r="Z59" s="1513"/>
      <c r="AA59" s="1442" t="s">
        <v>173</v>
      </c>
      <c r="AB59" s="55" t="str">
        <f>"7."&amp;Y59</f>
        <v>7.0</v>
      </c>
      <c r="AC59" s="2264"/>
      <c r="AD59" s="55" t="s">
        <v>789</v>
      </c>
      <c r="AE59" s="157">
        <f>AE60+AE63</f>
        <v>0</v>
      </c>
      <c r="AF59" s="157">
        <f>AF60+AF63</f>
        <v>0</v>
      </c>
      <c r="AG59" s="157">
        <f>AG60+AG63</f>
        <v>0</v>
      </c>
      <c r="AH59" s="157">
        <f>AH60+AH63</f>
        <v>0</v>
      </c>
      <c r="AI59" s="157">
        <f>AI60+AI63</f>
        <v>0</v>
      </c>
      <c r="AJ59" s="157">
        <f>AJ60+AJ63</f>
        <v>0</v>
      </c>
      <c r="AK59" s="157">
        <f>AK60+AK63</f>
        <v>0</v>
      </c>
      <c r="AL59" s="157">
        <f>AL60+AL63</f>
        <v>0</v>
      </c>
      <c r="AM59" s="157">
        <f>AM60+AM63</f>
        <v>0</v>
      </c>
      <c r="AN59" s="157">
        <f>AN60+AN63</f>
        <v>0</v>
      </c>
      <c r="AO59" s="157">
        <f>AO60+AO63</f>
        <v>0</v>
      </c>
      <c r="AP59" s="157">
        <f>AP60+AP63</f>
        <v>0</v>
      </c>
      <c r="AQ59" s="157">
        <f>AQ60+AQ63</f>
        <v>0</v>
      </c>
      <c r="AR59" s="157">
        <f>AR60+AR63</f>
        <v>0</v>
      </c>
      <c r="AS59" s="157">
        <f>AS60+AS63</f>
        <v>0</v>
      </c>
      <c r="AT59" s="157">
        <f>AT60+AT63</f>
        <v>0</v>
      </c>
      <c r="AU59" s="157">
        <f>AU60+AU63</f>
        <v>0</v>
      </c>
      <c r="AV59" s="157">
        <f>AV60+AV63</f>
        <v>0</v>
      </c>
      <c r="AW59" s="157">
        <f>AW60+AW63</f>
        <v>0</v>
      </c>
      <c r="AX59" s="157">
        <f>AX60+AX63</f>
        <v>0</v>
      </c>
      <c r="AY59" s="157">
        <f>AY60+AY63</f>
        <v>0</v>
      </c>
      <c r="AZ59" s="157">
        <f>AZ60+AZ63</f>
        <v>0</v>
      </c>
      <c r="BA59" s="157">
        <f>BA60+BA63</f>
        <v>0</v>
      </c>
      <c r="BB59" s="157">
        <f>BB60+BB63</f>
        <v>0</v>
      </c>
      <c r="BC59" s="1880"/>
      <c r="BD59" s="1513"/>
      <c r="BE59" s="1513"/>
      <c r="BF59" s="1007" t="s">
        <v>817</v>
      </c>
      <c r="BG59" s="1007" t="s">
        <v>818</v>
      </c>
      <c r="BH59" s="1007" cm="1" t="str">
        <f t="array" ref="BH59:BH59">AC59</f>
        <v>0</v>
      </c>
      <c r="BI59" s="233"/>
      <c r="BJ59" s="233"/>
    </row>
    <row s="1401" customFormat="1" customHeight="1" ht="10.5" hidden="1">
      <c r="A60" s="1513"/>
      <c r="B60" s="401"/>
      <c r="C60" s="456"/>
      <c r="D60" s="1513"/>
      <c r="E60" s="233">
        <v>11.25</v>
      </c>
      <c r="F60" s="50" cm="1" t="str">
        <f t="array" ref="F60:F60">OFFSET(E60,-1,1)</f>
        <v>1</v>
      </c>
      <c r="G60" s="92" t="s">
        <v>652</v>
      </c>
      <c r="H60" s="92" cm="1" t="str">
        <f t="array" ref="H60:H60">H59</f>
        <v>0</v>
      </c>
      <c r="I60" s="1513"/>
      <c r="J60" s="1513"/>
      <c r="K60" s="1513"/>
      <c r="L60" s="1513"/>
      <c r="M60" s="1513"/>
      <c r="N60" s="1513"/>
      <c r="O60" s="1513"/>
      <c r="P60" s="1513"/>
      <c r="Q60" s="1513"/>
      <c r="R60" s="1513"/>
      <c r="S60" s="1513"/>
      <c r="T60" s="438" cm="1" t="str">
        <f t="array" ref="T60:T60">T59</f>
        <v>false</v>
      </c>
      <c r="U60" s="1513"/>
      <c r="V60" s="1513"/>
      <c r="W60" s="1513"/>
      <c r="X60" s="1491"/>
      <c r="Y60" s="1491"/>
      <c r="Z60" s="1513"/>
      <c r="AA60" s="1442"/>
      <c r="AB60" s="55" t="str">
        <f>AB59&amp;".1"</f>
        <v>7.0.1</v>
      </c>
      <c r="AC60" s="158" t="s">
        <v>819</v>
      </c>
      <c r="AD60" s="55" t="s">
        <v>820</v>
      </c>
      <c r="AE60" s="1791"/>
      <c r="AF60" s="1791"/>
      <c r="AG60" s="1791"/>
      <c r="AH60" s="1791"/>
      <c r="AI60" s="107"/>
      <c r="AJ60" s="1791"/>
      <c r="AK60" s="1791"/>
      <c r="AL60" s="1791"/>
      <c r="AM60" s="1791"/>
      <c r="AN60" s="1791"/>
      <c r="AO60" s="1791"/>
      <c r="AP60" s="1791"/>
      <c r="AQ60" s="1791"/>
      <c r="AR60" s="1791"/>
      <c r="AS60" s="107"/>
      <c r="AT60" s="1791"/>
      <c r="AU60" s="1791"/>
      <c r="AV60" s="1791"/>
      <c r="AW60" s="1791"/>
      <c r="AX60" s="1791"/>
      <c r="AY60" s="1791"/>
      <c r="AZ60" s="1791"/>
      <c r="BA60" s="1791"/>
      <c r="BB60" s="1791"/>
      <c r="BC60" s="1880"/>
      <c r="BD60" s="1513"/>
      <c r="BE60" s="1513"/>
      <c r="BF60" s="1007" t="s">
        <v>821</v>
      </c>
      <c r="BG60" s="1007" t="s">
        <v>818</v>
      </c>
      <c r="BH60" s="1007" cm="1" t="str">
        <f t="array" ref="BH60:BH60">BH59</f>
        <v>0</v>
      </c>
      <c r="BI60" s="233"/>
      <c r="BJ60" s="233"/>
    </row>
    <row s="1401" customFormat="1" customHeight="1" ht="10.5" hidden="1">
      <c r="A61" s="1513"/>
      <c r="B61" s="401"/>
      <c r="C61" s="456"/>
      <c r="D61" s="1513"/>
      <c r="E61" s="233">
        <v>11.25</v>
      </c>
      <c r="F61" s="50" cm="1" t="str">
        <f t="array" ref="F61:F61">OFFSET(E61,-1,1)</f>
        <v>1</v>
      </c>
      <c r="G61" s="92" t="s">
        <v>822</v>
      </c>
      <c r="H61" s="92" cm="1" t="str">
        <f t="array" ref="H61:H61">H60</f>
        <v>0</v>
      </c>
      <c r="I61" s="1513"/>
      <c r="J61" s="1513"/>
      <c r="K61" s="1513"/>
      <c r="L61" s="1513"/>
      <c r="M61" s="1513"/>
      <c r="N61" s="1513"/>
      <c r="O61" s="1513"/>
      <c r="P61" s="1513"/>
      <c r="Q61" s="1513"/>
      <c r="R61" s="1513"/>
      <c r="S61" s="1513"/>
      <c r="T61" s="438" cm="1" t="str">
        <f t="array" ref="T61:T61">T60</f>
        <v>false</v>
      </c>
      <c r="U61" s="1513"/>
      <c r="V61" s="1513"/>
      <c r="W61" s="1513"/>
      <c r="X61" s="1491"/>
      <c r="Y61" s="1491"/>
      <c r="Z61" s="1513"/>
      <c r="AA61" s="1442"/>
      <c r="AB61" s="55" t="str">
        <f>AB59&amp;".1.1"</f>
        <v>7.0.1.1</v>
      </c>
      <c r="AC61" s="298" t="s">
        <v>811</v>
      </c>
      <c r="AD61" s="58" t="s">
        <v>803</v>
      </c>
      <c r="AE61" s="157">
        <f>IF(OR(AND(AE60&lt;&gt;0,AE62=0),AND(AE60=0,AE62&lt;&gt;0)),"Ошибка",IF(AE62=0,0,AE60/AE62))</f>
        <v>0</v>
      </c>
      <c r="AF61" s="157">
        <f>IF(OR(AND(AF60&lt;&gt;0,AF62=0),AND(AF60=0,AF62&lt;&gt;0)),"Ошибка",IF(AF62=0,0,AF60/AF62))</f>
        <v>0</v>
      </c>
      <c r="AG61" s="157">
        <f>IF(OR(AND(AG60&lt;&gt;0,AG62=0),AND(AG60=0,AG62&lt;&gt;0)),"Ошибка",IF(AG62=0,0,AG60/AG62))</f>
        <v>0</v>
      </c>
      <c r="AH61" s="157">
        <f>IF(OR(AND(AH60&lt;&gt;0,AH62=0),AND(AH60=0,AH62&lt;&gt;0)),"Ошибка",IF(AH62=0,0,AH60/AH62))</f>
        <v>0</v>
      </c>
      <c r="AI61" s="157">
        <f>IF(OR(AND(AI60&lt;&gt;0,AI62=0),AND(AI60=0,AI62&lt;&gt;0)),"Ошибка",IF(AI62=0,0,AI60/AI62))</f>
        <v>0</v>
      </c>
      <c r="AJ61" s="157">
        <f>IF(OR(AND(AJ60&lt;&gt;0,AJ62=0),AND(AJ60=0,AJ62&lt;&gt;0)),"Ошибка",IF(AJ62=0,0,AJ60/AJ62))</f>
        <v>0</v>
      </c>
      <c r="AK61" s="157">
        <f>IF(OR(AND(AK60&lt;&gt;0,AK62=0),AND(AK60=0,AK62&lt;&gt;0)),"Ошибка",IF(AK62=0,0,AK60/AK62))</f>
        <v>0</v>
      </c>
      <c r="AL61" s="157">
        <f>IF(OR(AND(AL60&lt;&gt;0,AL62=0),AND(AL60=0,AL62&lt;&gt;0)),"Ошибка",IF(AL62=0,0,AL60/AL62))</f>
        <v>0</v>
      </c>
      <c r="AM61" s="157">
        <f>IF(OR(AND(AM60&lt;&gt;0,AM62=0),AND(AM60=0,AM62&lt;&gt;0)),"Ошибка",IF(AM62=0,0,AM60/AM62))</f>
        <v>0</v>
      </c>
      <c r="AN61" s="157">
        <f>IF(OR(AND(AN60&lt;&gt;0,AN62=0),AND(AN60=0,AN62&lt;&gt;0)),"Ошибка",IF(AN62=0,0,AN60/AN62))</f>
        <v>0</v>
      </c>
      <c r="AO61" s="157">
        <f>IF(OR(AND(AO60&lt;&gt;0,AO62=0),AND(AO60=0,AO62&lt;&gt;0)),"Ошибка",IF(AO62=0,0,AO60/AO62))</f>
        <v>0</v>
      </c>
      <c r="AP61" s="157">
        <f>IF(OR(AND(AP60&lt;&gt;0,AP62=0),AND(AP60=0,AP62&lt;&gt;0)),"Ошибка",IF(AP62=0,0,AP60/AP62))</f>
        <v>0</v>
      </c>
      <c r="AQ61" s="157">
        <f>IF(OR(AND(AQ60&lt;&gt;0,AQ62=0),AND(AQ60=0,AQ62&lt;&gt;0)),"Ошибка",IF(AQ62=0,0,AQ60/AQ62))</f>
        <v>0</v>
      </c>
      <c r="AR61" s="157">
        <f>IF(OR(AND(AR60&lt;&gt;0,AR62=0),AND(AR60=0,AR62&lt;&gt;0)),"Ошибка",IF(AR62=0,0,AR60/AR62))</f>
        <v>0</v>
      </c>
      <c r="AS61" s="157">
        <f>IF(OR(AND(AS60&lt;&gt;0,AS62=0),AND(AS60=0,AS62&lt;&gt;0)),"Ошибка",IF(AS62=0,0,AS60/AS62))</f>
        <v>0</v>
      </c>
      <c r="AT61" s="157">
        <f>IF(OR(AND(AT60&lt;&gt;0,AT62=0),AND(AT60=0,AT62&lt;&gt;0)),"Ошибка",IF(AT62=0,0,AT60/AT62))</f>
        <v>0</v>
      </c>
      <c r="AU61" s="157">
        <f>IF(OR(AND(AU60&lt;&gt;0,AU62=0),AND(AU60=0,AU62&lt;&gt;0)),"Ошибка",IF(AU62=0,0,AU60/AU62))</f>
        <v>0</v>
      </c>
      <c r="AV61" s="157">
        <f>IF(OR(AND(AV60&lt;&gt;0,AV62=0),AND(AV60=0,AV62&lt;&gt;0)),"Ошибка",IF(AV62=0,0,AV60/AV62))</f>
        <v>0</v>
      </c>
      <c r="AW61" s="157">
        <f>IF(OR(AND(AW60&lt;&gt;0,AW62=0),AND(AW60=0,AW62&lt;&gt;0)),"Ошибка",IF(AW62=0,0,AW60/AW62))</f>
        <v>0</v>
      </c>
      <c r="AX61" s="157">
        <f>IF(OR(AND(AX60&lt;&gt;0,AX62=0),AND(AX60=0,AX62&lt;&gt;0)),"Ошибка",IF(AX62=0,0,AX60/AX62))</f>
        <v>0</v>
      </c>
      <c r="AY61" s="157">
        <f>IF(OR(AND(AY60&lt;&gt;0,AY62=0),AND(AY60=0,AY62&lt;&gt;0)),"Ошибка",IF(AY62=0,0,AY60/AY62))</f>
        <v>0</v>
      </c>
      <c r="AZ61" s="157">
        <f>IF(OR(AND(AZ60&lt;&gt;0,AZ62=0),AND(AZ60=0,AZ62&lt;&gt;0)),"Ошибка",IF(AZ62=0,0,AZ60/AZ62))</f>
        <v>0</v>
      </c>
      <c r="BA61" s="157">
        <f>IF(OR(AND(BA60&lt;&gt;0,BA62=0),AND(BA60=0,BA62&lt;&gt;0)),"Ошибка",IF(BA62=0,0,BA60/BA62))</f>
        <v>0</v>
      </c>
      <c r="BB61" s="157">
        <f>IF(OR(AND(BB60&lt;&gt;0,BB62=0),AND(BB60=0,BB62&lt;&gt;0)),"Ошибка",IF(BB62=0,0,BB60/BB62))</f>
        <v>0</v>
      </c>
      <c r="BC61" s="1880"/>
      <c r="BD61" s="1513"/>
      <c r="BE61" s="1513"/>
      <c r="BF61" s="1007" t="s">
        <v>823</v>
      </c>
      <c r="BG61" s="1007" t="s">
        <v>818</v>
      </c>
      <c r="BH61" s="1007" cm="1" t="str">
        <f t="array" ref="BH61:BH61">BH60</f>
        <v>0</v>
      </c>
      <c r="BI61" s="233"/>
      <c r="BJ61" s="233"/>
    </row>
    <row s="1401" customFormat="1" customHeight="1" ht="10.5" hidden="1">
      <c r="A62" s="1513"/>
      <c r="B62" s="401"/>
      <c r="C62" s="456"/>
      <c r="D62" s="1513"/>
      <c r="E62" s="233">
        <v>11.25</v>
      </c>
      <c r="F62" s="50" cm="1" t="str">
        <f t="array" ref="F62:F62">OFFSET(E62,-1,1)</f>
        <v>1</v>
      </c>
      <c r="G62" s="92" t="s">
        <v>824</v>
      </c>
      <c r="H62" s="92" cm="1" t="str">
        <f t="array" ref="H62:H62">H61</f>
        <v>0</v>
      </c>
      <c r="I62" s="1513"/>
      <c r="J62" s="1513"/>
      <c r="K62" s="1513"/>
      <c r="L62" s="1513"/>
      <c r="M62" s="1513"/>
      <c r="N62" s="1513"/>
      <c r="O62" s="1513"/>
      <c r="P62" s="1513"/>
      <c r="Q62" s="1513"/>
      <c r="R62" s="1513"/>
      <c r="S62" s="1513"/>
      <c r="T62" s="438" cm="1" t="str">
        <f t="array" ref="T62:T62">T61</f>
        <v>false</v>
      </c>
      <c r="U62" s="1513"/>
      <c r="V62" s="1513"/>
      <c r="W62" s="1513"/>
      <c r="X62" s="1491"/>
      <c r="Y62" s="1491"/>
      <c r="Z62" s="1513"/>
      <c r="AA62" s="1442"/>
      <c r="AB62" s="55" t="str">
        <f>AB59&amp;".1.2"</f>
        <v>7.0.1.2</v>
      </c>
      <c r="AC62" s="298" t="s">
        <v>813</v>
      </c>
      <c r="AD62" s="58" t="s">
        <v>797</v>
      </c>
      <c r="AE62" s="1791"/>
      <c r="AF62" s="1791"/>
      <c r="AG62" s="1791"/>
      <c r="AH62" s="1791"/>
      <c r="AI62" s="107"/>
      <c r="AJ62" s="1791"/>
      <c r="AK62" s="1791"/>
      <c r="AL62" s="1791"/>
      <c r="AM62" s="1791"/>
      <c r="AN62" s="1791"/>
      <c r="AO62" s="1791"/>
      <c r="AP62" s="1791"/>
      <c r="AQ62" s="1791"/>
      <c r="AR62" s="1791"/>
      <c r="AS62" s="107"/>
      <c r="AT62" s="1791"/>
      <c r="AU62" s="1791"/>
      <c r="AV62" s="1791"/>
      <c r="AW62" s="1791"/>
      <c r="AX62" s="1791"/>
      <c r="AY62" s="1791"/>
      <c r="AZ62" s="1791"/>
      <c r="BA62" s="1791"/>
      <c r="BB62" s="1791"/>
      <c r="BC62" s="1880"/>
      <c r="BD62" s="1513"/>
      <c r="BE62" s="1513"/>
      <c r="BF62" s="1007" t="s">
        <v>825</v>
      </c>
      <c r="BG62" s="1007" t="s">
        <v>818</v>
      </c>
      <c r="BH62" s="1007" cm="1" t="str">
        <f t="array" ref="BH62:BH62">BH61</f>
        <v>0</v>
      </c>
      <c r="BI62" s="233"/>
      <c r="BJ62" s="233"/>
    </row>
    <row s="1401" customFormat="1" customHeight="1" ht="10.5" hidden="1">
      <c r="A63" s="1513"/>
      <c r="B63" s="401"/>
      <c r="C63" s="456"/>
      <c r="D63" s="1513"/>
      <c r="E63" s="233">
        <v>11.25</v>
      </c>
      <c r="F63" s="50" cm="1" t="str">
        <f t="array" ref="F63:F63">OFFSET(E63,-1,1)</f>
        <v>1</v>
      </c>
      <c r="G63" s="92" t="s">
        <v>655</v>
      </c>
      <c r="H63" s="92" cm="1" t="str">
        <f t="array" ref="H63:H63">H62</f>
        <v>0</v>
      </c>
      <c r="I63" s="1513"/>
      <c r="J63" s="1513"/>
      <c r="K63" s="1513"/>
      <c r="L63" s="1513"/>
      <c r="M63" s="1513"/>
      <c r="N63" s="1513"/>
      <c r="O63" s="1513"/>
      <c r="P63" s="1513"/>
      <c r="Q63" s="1513"/>
      <c r="R63" s="1513"/>
      <c r="S63" s="1513"/>
      <c r="T63" s="438" cm="1" t="str">
        <f t="array" ref="T63:T63">T62</f>
        <v>false</v>
      </c>
      <c r="U63" s="1513"/>
      <c r="V63" s="1513"/>
      <c r="W63" s="1513"/>
      <c r="X63" s="1491"/>
      <c r="Y63" s="1491"/>
      <c r="Z63" s="1513"/>
      <c r="AA63" s="1442"/>
      <c r="AB63" s="55" t="str">
        <f>AB59&amp;".2"</f>
        <v>7.0.2</v>
      </c>
      <c r="AC63" s="158" t="s">
        <v>826</v>
      </c>
      <c r="AD63" s="55" t="s">
        <v>820</v>
      </c>
      <c r="AE63" s="1791"/>
      <c r="AF63" s="1791"/>
      <c r="AG63" s="1791"/>
      <c r="AH63" s="1791"/>
      <c r="AI63" s="107"/>
      <c r="AJ63" s="1791"/>
      <c r="AK63" s="1791"/>
      <c r="AL63" s="1791"/>
      <c r="AM63" s="1791"/>
      <c r="AN63" s="1791"/>
      <c r="AO63" s="1791"/>
      <c r="AP63" s="1791"/>
      <c r="AQ63" s="1791"/>
      <c r="AR63" s="1791"/>
      <c r="AS63" s="107"/>
      <c r="AT63" s="1791"/>
      <c r="AU63" s="1791"/>
      <c r="AV63" s="1791"/>
      <c r="AW63" s="1791"/>
      <c r="AX63" s="1791"/>
      <c r="AY63" s="1791"/>
      <c r="AZ63" s="1791"/>
      <c r="BA63" s="1791"/>
      <c r="BB63" s="1791"/>
      <c r="BC63" s="1880"/>
      <c r="BD63" s="1513"/>
      <c r="BE63" s="1513"/>
      <c r="BF63" s="1007" t="s">
        <v>827</v>
      </c>
      <c r="BG63" s="1007" t="s">
        <v>818</v>
      </c>
      <c r="BH63" s="1007" cm="1" t="str">
        <f t="array" ref="BH63:BH63">BH62</f>
        <v>0</v>
      </c>
      <c r="BI63" s="233"/>
      <c r="BJ63" s="233"/>
    </row>
    <row s="1401" customFormat="1" customHeight="1" ht="10.5" hidden="1">
      <c r="A64" s="1513"/>
      <c r="B64" s="401"/>
      <c r="C64" s="456"/>
      <c r="D64" s="1513"/>
      <c r="E64" s="233">
        <v>11.25</v>
      </c>
      <c r="F64" s="50" cm="1" t="str">
        <f t="array" ref="F64:F64">OFFSET(E64,-1,1)</f>
        <v>1</v>
      </c>
      <c r="G64" s="92" t="s">
        <v>828</v>
      </c>
      <c r="H64" s="92" cm="1" t="str">
        <f t="array" ref="H64:H64">H63</f>
        <v>0</v>
      </c>
      <c r="I64" s="1513"/>
      <c r="J64" s="1513"/>
      <c r="K64" s="1513"/>
      <c r="L64" s="1513"/>
      <c r="M64" s="1513"/>
      <c r="N64" s="1513"/>
      <c r="O64" s="1513"/>
      <c r="P64" s="1513"/>
      <c r="Q64" s="1513"/>
      <c r="R64" s="1513"/>
      <c r="S64" s="1513"/>
      <c r="T64" s="438" cm="1" t="str">
        <f t="array" ref="T64:T64">T63</f>
        <v>false</v>
      </c>
      <c r="U64" s="1513"/>
      <c r="V64" s="1513"/>
      <c r="W64" s="1513"/>
      <c r="X64" s="1491"/>
      <c r="Y64" s="1491"/>
      <c r="Z64" s="1513"/>
      <c r="AA64" s="1442"/>
      <c r="AB64" s="55" t="str">
        <f>AB59&amp;".2.1"</f>
        <v>7.0.2.1</v>
      </c>
      <c r="AC64" s="298" t="s">
        <v>829</v>
      </c>
      <c r="AD64" s="58" t="s">
        <v>830</v>
      </c>
      <c r="AE64" s="157">
        <f>IF(OR(AND(AE63&lt;&gt;0,AE65=0),AND(AE63=0,AE65&lt;&gt;0)),"Ошибка",IF(AE65=0,0,AE63/AE65*1000/12))</f>
        <v>0</v>
      </c>
      <c r="AF64" s="157">
        <f>IF(OR(AND(AF63&lt;&gt;0,AF65=0),AND(AF63=0,AF65&lt;&gt;0)),"Ошибка",IF(AF65=0,0,AF63/AF65*1000/12))</f>
        <v>0</v>
      </c>
      <c r="AG64" s="157">
        <f>IF(OR(AND(AG63&lt;&gt;0,AG65=0),AND(AG63=0,AG65&lt;&gt;0)),"Ошибка",IF(AG65=0,0,AG63/AG65*1000/12))</f>
        <v>0</v>
      </c>
      <c r="AH64" s="157">
        <f>IF(OR(AND(AH63&lt;&gt;0,AH65=0),AND(AH63=0,AH65&lt;&gt;0)),"Ошибка",IF(AH65=0,0,AH63/AH65*1000/12))</f>
        <v>0</v>
      </c>
      <c r="AI64" s="157">
        <f>IF(OR(AND(AI63&lt;&gt;0,AI65=0),AND(AI63=0,AI65&lt;&gt;0)),"Ошибка",IF(AI65=0,0,AI63/AI65*1000/12))</f>
        <v>0</v>
      </c>
      <c r="AJ64" s="157">
        <f>IF(OR(AND(AJ63&lt;&gt;0,AJ65=0),AND(AJ63=0,AJ65&lt;&gt;0)),"Ошибка",IF(AJ65=0,0,AJ63/AJ65*1000/12))</f>
        <v>0</v>
      </c>
      <c r="AK64" s="157">
        <f>IF(OR(AND(AK63&lt;&gt;0,AK65=0),AND(AK63=0,AK65&lt;&gt;0)),"Ошибка",IF(AK65=0,0,AK63/AK65*1000/12))</f>
        <v>0</v>
      </c>
      <c r="AL64" s="157">
        <f>IF(OR(AND(AL63&lt;&gt;0,AL65=0),AND(AL63=0,AL65&lt;&gt;0)),"Ошибка",IF(AL65=0,0,AL63/AL65*1000/12))</f>
        <v>0</v>
      </c>
      <c r="AM64" s="157">
        <f>IF(OR(AND(AM63&lt;&gt;0,AM65=0),AND(AM63=0,AM65&lt;&gt;0)),"Ошибка",IF(AM65=0,0,AM63/AM65*1000/12))</f>
        <v>0</v>
      </c>
      <c r="AN64" s="157">
        <f>IF(OR(AND(AN63&lt;&gt;0,AN65=0),AND(AN63=0,AN65&lt;&gt;0)),"Ошибка",IF(AN65=0,0,AN63/AN65*1000/12))</f>
        <v>0</v>
      </c>
      <c r="AO64" s="157">
        <f>IF(OR(AND(AO63&lt;&gt;0,AO65=0),AND(AO63=0,AO65&lt;&gt;0)),"Ошибка",IF(AO65=0,0,AO63/AO65*1000/12))</f>
        <v>0</v>
      </c>
      <c r="AP64" s="157">
        <f>IF(OR(AND(AP63&lt;&gt;0,AP65=0),AND(AP63=0,AP65&lt;&gt;0)),"Ошибка",IF(AP65=0,0,AP63/AP65*1000/12))</f>
        <v>0</v>
      </c>
      <c r="AQ64" s="157">
        <f>IF(OR(AND(AQ63&lt;&gt;0,AQ65=0),AND(AQ63=0,AQ65&lt;&gt;0)),"Ошибка",IF(AQ65=0,0,AQ63/AQ65*1000/12))</f>
        <v>0</v>
      </c>
      <c r="AR64" s="157">
        <f>IF(OR(AND(AR63&lt;&gt;0,AR65=0),AND(AR63=0,AR65&lt;&gt;0)),"Ошибка",IF(AR65=0,0,AR63/AR65*1000/12))</f>
        <v>0</v>
      </c>
      <c r="AS64" s="157">
        <f>IF(OR(AND(AS63&lt;&gt;0,AS65=0),AND(AS63=0,AS65&lt;&gt;0)),"Ошибка",IF(AS65=0,0,AS63/AS65*1000/12))</f>
        <v>0</v>
      </c>
      <c r="AT64" s="157">
        <f>IF(OR(AND(AT63&lt;&gt;0,AT65=0),AND(AT63=0,AT65&lt;&gt;0)),"Ошибка",IF(AT65=0,0,AT63/AT65*1000/12))</f>
        <v>0</v>
      </c>
      <c r="AU64" s="157">
        <f>IF(OR(AND(AU63&lt;&gt;0,AU65=0),AND(AU63=0,AU65&lt;&gt;0)),"Ошибка",IF(AU65=0,0,AU63/AU65*1000/12))</f>
        <v>0</v>
      </c>
      <c r="AV64" s="157">
        <f>IF(OR(AND(AV63&lt;&gt;0,AV65=0),AND(AV63=0,AV65&lt;&gt;0)),"Ошибка",IF(AV65=0,0,AV63/AV65*1000/12))</f>
        <v>0</v>
      </c>
      <c r="AW64" s="157">
        <f>IF(OR(AND(AW63&lt;&gt;0,AW65=0),AND(AW63=0,AW65&lt;&gt;0)),"Ошибка",IF(AW65=0,0,AW63/AW65*1000/12))</f>
        <v>0</v>
      </c>
      <c r="AX64" s="157">
        <f>IF(OR(AND(AX63&lt;&gt;0,AX65=0),AND(AX63=0,AX65&lt;&gt;0)),"Ошибка",IF(AX65=0,0,AX63/AX65*1000/12))</f>
        <v>0</v>
      </c>
      <c r="AY64" s="157">
        <f>IF(OR(AND(AY63&lt;&gt;0,AY65=0),AND(AY63=0,AY65&lt;&gt;0)),"Ошибка",IF(AY65=0,0,AY63/AY65*1000/12))</f>
        <v>0</v>
      </c>
      <c r="AZ64" s="157">
        <f>IF(OR(AND(AZ63&lt;&gt;0,AZ65=0),AND(AZ63=0,AZ65&lt;&gt;0)),"Ошибка",IF(AZ65=0,0,AZ63/AZ65*1000/12))</f>
        <v>0</v>
      </c>
      <c r="BA64" s="157">
        <f>IF(OR(AND(BA63&lt;&gt;0,BA65=0),AND(BA63=0,BA65&lt;&gt;0)),"Ошибка",IF(BA65=0,0,BA63/BA65*1000/12))</f>
        <v>0</v>
      </c>
      <c r="BB64" s="157">
        <f>IF(OR(AND(BB63&lt;&gt;0,BB65=0),AND(BB63=0,BB65&lt;&gt;0)),"Ошибка",IF(BB65=0,0,BB63/BB65*1000/12))</f>
        <v>0</v>
      </c>
      <c r="BC64" s="1880"/>
      <c r="BD64" s="1513"/>
      <c r="BE64" s="1513"/>
      <c r="BF64" s="1007" t="s">
        <v>831</v>
      </c>
      <c r="BG64" s="1007" t="s">
        <v>818</v>
      </c>
      <c r="BH64" s="1007" cm="1" t="str">
        <f t="array" ref="BH64:BH64">BH63</f>
        <v>0</v>
      </c>
      <c r="BI64" s="233"/>
      <c r="BJ64" s="233"/>
    </row>
    <row s="1401" customFormat="1" customHeight="1" ht="10.5" hidden="1">
      <c r="A65" s="1513"/>
      <c r="B65" s="401"/>
      <c r="C65" s="456"/>
      <c r="D65" s="1513"/>
      <c r="E65" s="233">
        <v>11.25</v>
      </c>
      <c r="F65" s="50" cm="1" t="str">
        <f t="array" ref="F65:F65">OFFSET(E65,-1,1)</f>
        <v>1</v>
      </c>
      <c r="G65" s="92" t="s">
        <v>832</v>
      </c>
      <c r="H65" s="92" cm="1" t="str">
        <f t="array" ref="H65:H65">H64</f>
        <v>0</v>
      </c>
      <c r="I65" s="1513"/>
      <c r="J65" s="1513"/>
      <c r="K65" s="1513"/>
      <c r="L65" s="1513"/>
      <c r="M65" s="1513"/>
      <c r="N65" s="1513"/>
      <c r="O65" s="1513"/>
      <c r="P65" s="1513"/>
      <c r="Q65" s="1513"/>
      <c r="R65" s="1513"/>
      <c r="S65" s="1513"/>
      <c r="T65" s="438" cm="1" t="str">
        <f t="array" ref="T65:T65">T64</f>
        <v>false</v>
      </c>
      <c r="U65" s="1513"/>
      <c r="V65" s="1513"/>
      <c r="W65" s="1513"/>
      <c r="X65" s="1491"/>
      <c r="Y65" s="1491"/>
      <c r="Z65" s="1513"/>
      <c r="AA65" s="1442"/>
      <c r="AB65" s="55" t="str">
        <f>AB59&amp;".2.2"</f>
        <v>7.0.2.2</v>
      </c>
      <c r="AC65" s="298" t="s">
        <v>833</v>
      </c>
      <c r="AD65" s="58" t="s">
        <v>834</v>
      </c>
      <c r="AE65" s="1791"/>
      <c r="AF65" s="1791"/>
      <c r="AG65" s="1791"/>
      <c r="AH65" s="1791"/>
      <c r="AI65" s="107"/>
      <c r="AJ65" s="1791"/>
      <c r="AK65" s="1791"/>
      <c r="AL65" s="1791"/>
      <c r="AM65" s="1791"/>
      <c r="AN65" s="1791"/>
      <c r="AO65" s="1791"/>
      <c r="AP65" s="1791"/>
      <c r="AQ65" s="1791"/>
      <c r="AR65" s="1791"/>
      <c r="AS65" s="107"/>
      <c r="AT65" s="1791"/>
      <c r="AU65" s="1791"/>
      <c r="AV65" s="1791"/>
      <c r="AW65" s="1791"/>
      <c r="AX65" s="1791"/>
      <c r="AY65" s="1791"/>
      <c r="AZ65" s="1791"/>
      <c r="BA65" s="1791"/>
      <c r="BB65" s="1791"/>
      <c r="BC65" s="1880"/>
      <c r="BD65" s="1513"/>
      <c r="BE65" s="1513"/>
      <c r="BF65" s="1007" t="s">
        <v>835</v>
      </c>
      <c r="BG65" s="1007" t="s">
        <v>818</v>
      </c>
      <c r="BH65" s="1007" cm="1" t="str">
        <f t="array" ref="BH65:BH65">BH64</f>
        <v>0</v>
      </c>
      <c r="BI65" s="233"/>
      <c r="BJ65" s="233"/>
    </row>
    <row s="1379" customFormat="1" customHeight="1" ht="14.25">
      <c r="A66" s="1379"/>
      <c r="B66" s="399"/>
      <c r="C66" s="456"/>
      <c r="D66" s="1379"/>
      <c r="E66" s="608">
        <v>15</v>
      </c>
      <c r="F66" s="50" cm="1" t="str">
        <f t="array" ref="F66:F66">OFFSET(E66,-1,1)</f>
        <v>1</v>
      </c>
      <c r="G66" s="1379"/>
      <c r="H66" s="934" t="s">
        <v>836</v>
      </c>
      <c r="I66" s="1379"/>
      <c r="J66" s="1379"/>
      <c r="K66" s="1379"/>
      <c r="L66" s="1379"/>
      <c r="M66" s="1379"/>
      <c r="N66" s="1379"/>
      <c r="O66" s="1379"/>
      <c r="P66" s="1379"/>
      <c r="Q66" s="1379"/>
      <c r="R66" s="1379"/>
      <c r="S66" s="1379"/>
      <c r="T66" s="438">
        <f>F66&gt;0</f>
        <v>1</v>
      </c>
      <c r="U66" s="1379"/>
      <c r="V66" s="1379"/>
      <c r="W66" s="733" t="s">
        <v>837</v>
      </c>
      <c r="X66" s="1491"/>
      <c r="Y66" s="1379"/>
      <c r="Z66" s="1513"/>
      <c r="AA66" s="1379"/>
      <c r="AB66" s="141"/>
      <c r="AC66" s="144" t="s">
        <v>838</v>
      </c>
      <c r="AD66" s="142"/>
      <c r="AE66" s="142"/>
      <c r="AF66" s="142"/>
      <c r="AG66" s="142"/>
      <c r="AH66" s="142"/>
      <c r="AI66" s="142"/>
      <c r="AJ66" s="142"/>
      <c r="AK66" s="142"/>
      <c r="AL66" s="142"/>
      <c r="AM66" s="142"/>
      <c r="AN66" s="142"/>
      <c r="AO66" s="142"/>
      <c r="AP66" s="142"/>
      <c r="AQ66" s="142"/>
      <c r="AR66" s="142"/>
      <c r="AS66" s="142"/>
      <c r="AT66" s="142"/>
      <c r="AU66" s="142"/>
      <c r="AV66" s="142"/>
      <c r="AW66" s="142"/>
      <c r="AX66" s="142"/>
      <c r="AY66" s="142"/>
      <c r="AZ66" s="142"/>
      <c r="BA66" s="142"/>
      <c r="BB66" s="142"/>
      <c r="BC66" s="153"/>
      <c r="BD66" s="1379"/>
      <c r="BE66" s="1379"/>
      <c r="BF66" s="995"/>
      <c r="BG66" s="995"/>
      <c r="BH66" s="995"/>
      <c r="BI66" s="608" t="s">
        <v>818</v>
      </c>
      <c r="BJ66" s="608"/>
    </row>
    <row customHeight="1" ht="10.96875">
      <c r="E67" s="635">
        <v>11.25</v>
      </c>
      <c r="U67" s="64" t="s">
        <v>176</v>
      </c>
      <c r="V67" s="106" t="s">
        <v>839</v>
      </c>
      <c r="AI67" s="1282"/>
      <c r="AJ67" s="1282"/>
      <c r="AK67" s="1282"/>
      <c r="AL67" s="1282"/>
      <c r="AM67" s="1282"/>
      <c r="AN67" s="1282"/>
      <c r="AO67" s="1282"/>
      <c r="AP67" s="1282"/>
      <c r="AQ67" s="1282"/>
      <c r="AR67" s="1282"/>
      <c r="AS67" s="1282"/>
      <c r="AT67" s="1282"/>
      <c r="AU67" s="1282"/>
      <c r="AV67" s="1282"/>
      <c r="AW67" s="1282"/>
      <c r="AX67" s="1282"/>
      <c r="AY67" s="1282"/>
      <c r="AZ67" s="1282"/>
      <c r="BA67" s="1282"/>
      <c r="BB67" s="1282"/>
    </row>
    <row customHeight="1" ht="14.625">
      <c r="E68" s="607">
        <v>15</v>
      </c>
      <c r="AB68" s="1550" t="s">
        <v>392</v>
      </c>
      <c r="AC68" s="1551"/>
      <c r="AD68" s="1551"/>
      <c r="AE68" s="1551"/>
      <c r="AF68" s="1551"/>
      <c r="AG68" s="1551"/>
      <c r="AH68" s="1551"/>
      <c r="AI68" s="1551"/>
      <c r="AJ68" s="1551"/>
      <c r="AK68" s="1551"/>
      <c r="AL68" s="1551"/>
      <c r="AM68" s="1551"/>
      <c r="AN68" s="1551"/>
      <c r="AO68" s="1551"/>
      <c r="AP68" s="1551"/>
      <c r="AQ68" s="1551"/>
      <c r="AR68" s="1551"/>
      <c r="AS68" s="1551"/>
      <c r="AT68" s="1551"/>
      <c r="AU68" s="1551"/>
      <c r="AV68" s="1551"/>
      <c r="AW68" s="1551"/>
      <c r="AX68" s="1551"/>
      <c r="AY68" s="1551"/>
      <c r="AZ68" s="1551"/>
      <c r="BA68" s="1551"/>
      <c r="BB68" s="1551"/>
      <c r="BC68" s="1552"/>
    </row>
    <row customHeight="1" ht="14.625">
      <c r="E69" s="607">
        <v>15</v>
      </c>
      <c r="AA69" s="637"/>
      <c r="AB69" s="1547"/>
      <c r="AC69" s="1548"/>
      <c r="AD69" s="1548"/>
      <c r="AE69" s="1548"/>
      <c r="AF69" s="1548"/>
      <c r="AG69" s="1548"/>
      <c r="AH69" s="1548"/>
      <c r="AI69" s="1548"/>
      <c r="AJ69" s="2298"/>
      <c r="AK69" s="2298"/>
      <c r="AL69" s="2298"/>
      <c r="AM69" s="2298"/>
      <c r="AN69" s="2298"/>
      <c r="AO69" s="2298"/>
      <c r="AP69" s="2298"/>
      <c r="AQ69" s="2298"/>
      <c r="AR69" s="2298"/>
      <c r="AS69" s="1548"/>
      <c r="AT69" s="2298"/>
      <c r="AU69" s="2298"/>
      <c r="AV69" s="2298"/>
      <c r="AW69" s="2298"/>
      <c r="AX69" s="2298"/>
      <c r="AY69" s="2298"/>
      <c r="AZ69" s="2298"/>
      <c r="BA69" s="2298"/>
      <c r="BB69" s="2298"/>
      <c r="BC69" s="1549"/>
    </row>
    <row customHeight="1" ht="14.625" hidden="1">
      <c r="A70" s="1282"/>
      <c r="B70" s="1389"/>
      <c r="C70" s="1290"/>
      <c r="D70" s="1282"/>
      <c r="E70" s="607">
        <v>15</v>
      </c>
      <c r="F70" s="1282"/>
      <c r="G70" s="1282"/>
      <c r="H70" s="1282"/>
      <c r="I70" s="1282"/>
      <c r="J70" s="1282"/>
      <c r="K70" s="1282"/>
      <c r="L70" s="1282"/>
      <c r="M70" s="1282"/>
      <c r="N70" s="1282"/>
      <c r="O70" s="1282"/>
      <c r="P70" s="1282"/>
      <c r="Q70" s="1282"/>
      <c r="R70" s="1282"/>
      <c r="S70" s="1282"/>
      <c r="T70" s="438">
        <f>ROW(W70)&gt;ROW(W$70)</f>
        <v>0</v>
      </c>
      <c r="U70" s="1282"/>
      <c r="V70" s="1282"/>
      <c r="W70" s="733" t="s">
        <v>172</v>
      </c>
      <c r="X70" s="1282"/>
      <c r="Y70" s="1282"/>
      <c r="Z70" s="1282"/>
      <c r="AA70" s="648" t="s">
        <v>173</v>
      </c>
      <c r="AB70" s="2299" t="s">
        <v>228</v>
      </c>
      <c r="AC70" s="2298"/>
      <c r="AD70" s="2298"/>
      <c r="AE70" s="2298"/>
      <c r="AF70" s="2298"/>
      <c r="AG70" s="2298"/>
      <c r="AH70" s="2298"/>
      <c r="AI70" s="1548"/>
      <c r="AJ70" s="2298"/>
      <c r="AK70" s="2298"/>
      <c r="AL70" s="2298"/>
      <c r="AM70" s="2298"/>
      <c r="AN70" s="2298"/>
      <c r="AO70" s="2298"/>
      <c r="AP70" s="2298"/>
      <c r="AQ70" s="2298"/>
      <c r="AR70" s="2298"/>
      <c r="AS70" s="1548"/>
      <c r="AT70" s="2298"/>
      <c r="AU70" s="2298"/>
      <c r="AV70" s="2298"/>
      <c r="AW70" s="2298"/>
      <c r="AX70" s="2298"/>
      <c r="AY70" s="2298"/>
      <c r="AZ70" s="2298"/>
      <c r="BA70" s="2298"/>
      <c r="BB70" s="2298"/>
      <c r="BC70" s="2300"/>
      <c r="BD70" s="1282"/>
      <c r="BE70" s="1282"/>
      <c r="BF70" s="1284"/>
      <c r="BG70" s="1284"/>
      <c r="BH70" s="1284"/>
      <c r="BI70" s="1283"/>
      <c r="BJ70" s="1283"/>
    </row>
    <row customHeight="1" ht="14.625">
      <c r="E71" s="607">
        <v>15</v>
      </c>
      <c r="W71" s="733" t="s">
        <v>396</v>
      </c>
      <c r="AA71" s="649"/>
      <c r="AB71" s="623"/>
      <c r="AC71" s="487" t="s">
        <v>397</v>
      </c>
      <c r="AD71" s="276"/>
      <c r="AE71" s="276"/>
      <c r="AF71" s="277"/>
      <c r="AG71" s="277"/>
      <c r="AH71" s="277"/>
      <c r="AI71" s="277"/>
      <c r="AJ71" s="277"/>
      <c r="AK71" s="277"/>
      <c r="AL71" s="277"/>
      <c r="AM71" s="277"/>
      <c r="AN71" s="277"/>
      <c r="AO71" s="277"/>
      <c r="AP71" s="277"/>
      <c r="AQ71" s="277"/>
      <c r="AR71" s="277"/>
      <c r="AS71" s="277"/>
      <c r="AT71" s="277"/>
      <c r="AU71" s="277"/>
      <c r="AV71" s="277"/>
      <c r="AW71" s="277"/>
      <c r="AX71" s="277"/>
      <c r="AY71" s="277"/>
      <c r="AZ71" s="277"/>
      <c r="BA71" s="277"/>
      <c r="BB71" s="277"/>
      <c r="BC71" s="278"/>
    </row>
    <row customHeight="1" ht="10.96875">
      <c r="E72" s="607">
        <v>11.25</v>
      </c>
      <c r="AA72" s="709"/>
      <c r="AB72" s="710"/>
      <c r="AI72" s="1282"/>
      <c r="AJ72" s="1282"/>
      <c r="AK72" s="1282"/>
      <c r="AL72" s="1282"/>
      <c r="AM72" s="1282"/>
      <c r="AN72" s="1282"/>
      <c r="AO72" s="1282"/>
      <c r="AP72" s="1282"/>
      <c r="AQ72" s="1282"/>
      <c r="AR72" s="1282"/>
      <c r="AS72" s="1282"/>
      <c r="AT72" s="1282"/>
      <c r="AU72" s="1282"/>
      <c r="AV72" s="1282"/>
      <c r="AW72" s="1282"/>
      <c r="AX72" s="1282"/>
      <c r="AY72" s="1282"/>
      <c r="AZ72" s="1282"/>
      <c r="BA72" s="1282"/>
      <c r="BB72" s="1282"/>
      <c r="BD72" s="398"/>
    </row>
  </sheetData>
  <sheetProtection formatColumns="0" formatRows="0" insertRows="0" deleteColumns="0" deleteRows="0" sort="0" autoFilter="0" insertColumns="1"/>
  <mergeCells count="19">
    <mergeCell ref="AB70:BC70"/>
    <mergeCell ref="AB24:AB25"/>
    <mergeCell ref="AC24:AC25"/>
    <mergeCell ref="AD24:AD25"/>
    <mergeCell ref="BC24:BC25"/>
    <mergeCell ref="X27:X46"/>
    <mergeCell ref="Z27:Z46"/>
    <mergeCell ref="AB68:BC68"/>
    <mergeCell ref="AB69:BC69"/>
    <mergeCell ref="AA34:AA36"/>
    <mergeCell ref="AA39:AA45"/>
    <mergeCell ref="Y34:Y36"/>
    <mergeCell ref="Y39:Y45"/>
    <mergeCell ref="X47:X66"/>
    <mergeCell ref="Z47:Z66"/>
    <mergeCell ref="AA54:AA56"/>
    <mergeCell ref="AA59:AA65"/>
    <mergeCell ref="Y54:Y56"/>
    <mergeCell ref="Y59:Y65"/>
  </mergeCells>
  <dataValidations count="3">
    <dataValidation type="list" allowBlank="1" showInputMessage="1" showErrorMessage="1" errorTitle="Ошибка" error="Выберите значение из списка" prompt="Выберите значение из списка" sqref="AC39 AC59">
      <formula1>VOLTAGE_LEVEL2_list</formula1>
    </dataValidation>
    <dataValidation type="list" allowBlank="1" showInputMessage="1" showErrorMessage="1" errorTitle="Ошибка" error="Выберите значение из списка" prompt="Выберите значение из списка" sqref="AC34 AC54">
      <formula1>VOLTAGE_LEVEL_list</formula1>
    </dataValidation>
    <dataValidation type="decimal" allowBlank="1" showErrorMessage="1" errorTitle="Ошибка" error="Допускается ввод только неотрицательных чисел!" sqref="AE34:BB34 AE42:BB43 AE36:BB36 AE45:BB45 AE40:BB40 AE54 AF54 AG54 AH54 AI54 AJ54 AK54 AL54 AM54 AN54 AO54 AP54 AQ54 AR54 AS54 AT54 AU54 AV54 AW54 AX54 AY54 AZ54 BA54 BB54 AE56 AF56 AG56 AH56 AI56 AJ56 AK56 AL56 AM56 AN56 AO56 AP56 AQ56 AR56 AS56 AT56 AU56 AV56 AW56 AX56 AY56 AZ56 BA56 BB56 AE60 AF60 AG60 AH60 AI60 AJ60 AK60 AL60 AM60 AN60 AO60 AP60 AQ60 AR60 AS60 AT60 AU60 AV60 AW60 AX60 AY60 AZ60 BA60 BB60 AE62 AF62 AG62 AH62 AI62 AJ62 AK62 AL62 AM62 AN62 AO62 AP62 AQ62 AR62 AS62 AT62 AU62 AV62 AW62 AX62 AY62 AZ62 BA62 BB62 AE63 AF63 AG63 AH63 AI63 AJ63 AK63 AL63 AM63 AN63 AO63 AP63 AQ63 AR63 AS63 AT63 AU63 AV63 AW63 AX63 AY63 AZ63 BA63 BB63 AE65 AF65 AG65 AH65 AI65 AJ65 AK65 AL65 AM65 AN65 AO65 AP65 AQ65 AR65 AS65 AT65 AU65 AV65 AW65 AX65 AY65 AZ65 BA65 BB65">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673908-BA48-E418-D19F-405FCA964B08}" mc:Ignorable="x14ac xr xr2 xr3">
  <sheetPr>
    <tabColor rgb="FF002060"/>
    <outlinePr summaryRight="0" summaryBelow="0"/>
    <pageSetUpPr fitToPage="1"/>
  </sheetPr>
  <dimension ref="A1:BF130"/>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8.7109375" customHeight="1" defaultRowHeight="11.25"/>
  <cols>
    <col min="1" max="1" style="1412" width="3.57421875" hidden="1" customWidth="1"/>
    <col min="2" max="2" style="1369" width="6.7109375" hidden="1" customWidth="1"/>
    <col min="3" max="4" style="1412" width="3.57421875" hidden="1" customWidth="1"/>
    <col min="5" max="5" style="1372" width="7.8515625" hidden="1" customWidth="1"/>
    <col min="6" max="19" style="1412" width="3.57421875" hidden="1" customWidth="1"/>
    <col min="20" max="20" style="1412" width="11.140625" hidden="1" customWidth="1"/>
    <col min="21" max="21" style="1412" width="5.8515625" hidden="1" customWidth="1"/>
    <col min="22" max="23" style="1412" width="6.140625" hidden="1" customWidth="1"/>
    <col min="24" max="25" style="1412" width="5.57421875" hidden="1" customWidth="1"/>
    <col min="26" max="26" style="1412" width="5.28125" hidden="1" customWidth="1"/>
    <col min="27" max="27" style="1412" width="3.00390625" customWidth="1"/>
    <col min="28" max="28" style="1412" width="11.00390625" customWidth="1"/>
    <col min="29" max="29" style="1412" width="41.7109375" customWidth="1"/>
    <col min="30" max="30" style="1542" width="11.00390625" customWidth="1"/>
    <col min="31" max="35" style="1542" width="12.57421875" customWidth="1"/>
    <col min="36" max="44" style="1542" width="12.57421875" hidden="1" customWidth="1"/>
    <col min="45" max="45" style="1542" width="12.57421875" customWidth="1"/>
    <col min="46" max="54" style="1542" width="12.57421875" hidden="1" customWidth="1"/>
    <col min="55" max="55" style="1412" width="20.00390625" customWidth="1"/>
    <col min="56" max="56" style="1412" width="3.00390625" customWidth="1"/>
    <col min="57" max="57" style="1412" width="8.7109375" hidden="1"/>
    <col min="58" max="58" style="1377" width="8.7109375" hidden="1"/>
  </cols>
  <sheetData>
    <row customHeight="1" ht="11.25" hidden="1">
      <c r="E1" s="70"/>
      <c r="F1" s="70" t="s">
        <v>309</v>
      </c>
      <c r="G1" s="70" t="s">
        <v>320</v>
      </c>
      <c r="T1" s="438" t="s">
        <v>92</v>
      </c>
      <c r="U1" s="438" t="s">
        <v>97</v>
      </c>
      <c r="V1" s="438" t="s">
        <v>93</v>
      </c>
      <c r="W1" s="438" t="s">
        <v>94</v>
      </c>
      <c r="X1" s="438" t="s">
        <v>95</v>
      </c>
      <c r="Y1" s="440" t="s">
        <v>311</v>
      </c>
      <c r="Z1" s="438" t="s">
        <v>99</v>
      </c>
      <c r="AA1" s="439" t="s">
        <v>96</v>
      </c>
      <c r="AB1" s="51"/>
      <c r="AC1" s="439" t="s">
        <v>98</v>
      </c>
      <c r="AI1" s="1542"/>
      <c r="AJ1" s="1542"/>
      <c r="AK1" s="1542"/>
      <c r="AL1" s="1542"/>
      <c r="AM1" s="1542"/>
      <c r="AN1" s="1542"/>
      <c r="AO1" s="1542"/>
      <c r="AP1" s="1542"/>
      <c r="AQ1" s="1542"/>
      <c r="AR1" s="1542"/>
      <c r="AS1" s="1542"/>
      <c r="AT1" s="1542"/>
      <c r="AU1" s="1542"/>
      <c r="AV1" s="1542"/>
      <c r="AW1" s="1542"/>
      <c r="AX1" s="1542"/>
      <c r="AY1" s="1542"/>
      <c r="AZ1" s="1542"/>
      <c r="BA1" s="1542"/>
      <c r="BB1" s="1542"/>
      <c r="BF1" s="977" t="s">
        <v>312</v>
      </c>
    </row>
    <row s="1369" customFormat="1" customHeight="1" ht="11.25" hidden="1">
      <c r="B2" s="418" t="s">
        <v>18</v>
      </c>
      <c r="AI2" s="418">
        <f>AI6&lt;=last_year_vis</f>
        <v>1</v>
      </c>
      <c r="AJ2" s="418">
        <f>AJ6&lt;=last_year_vis</f>
        <v>0</v>
      </c>
      <c r="AK2" s="418">
        <f>AK6&lt;=last_year_vis</f>
        <v>0</v>
      </c>
      <c r="AL2" s="418">
        <f>AL6&lt;=last_year_vis</f>
        <v>0</v>
      </c>
      <c r="AM2" s="418">
        <f>AM6&lt;=last_year_vis</f>
        <v>0</v>
      </c>
      <c r="AN2" s="418">
        <f>AN6&lt;=last_year_vis</f>
        <v>0</v>
      </c>
      <c r="AO2" s="418">
        <f>AO6&lt;=last_year_vis</f>
        <v>0</v>
      </c>
      <c r="AP2" s="418">
        <f>AP6&lt;=last_year_vis</f>
        <v>0</v>
      </c>
      <c r="AQ2" s="418">
        <f>AQ6&lt;=last_year_vis</f>
        <v>0</v>
      </c>
      <c r="AR2" s="418">
        <f>AR6&lt;=last_year_vis</f>
        <v>0</v>
      </c>
      <c r="AS2" s="418">
        <f>AS6&lt;=last_year_vis</f>
        <v>1</v>
      </c>
      <c r="AT2" s="418">
        <f>AT6&lt;=last_year_vis</f>
        <v>0</v>
      </c>
      <c r="AU2" s="418">
        <f>AU6&lt;=last_year_vis</f>
        <v>0</v>
      </c>
      <c r="AV2" s="418">
        <f>AV6&lt;=last_year_vis</f>
        <v>0</v>
      </c>
      <c r="AW2" s="418">
        <f>AW6&lt;=last_year_vis</f>
        <v>0</v>
      </c>
      <c r="AX2" s="418">
        <f>AX6&lt;=last_year_vis</f>
        <v>0</v>
      </c>
      <c r="AY2" s="418">
        <f>AY6&lt;=last_year_vis</f>
        <v>0</v>
      </c>
      <c r="AZ2" s="418">
        <f>AZ6&lt;=last_year_vis</f>
        <v>0</v>
      </c>
      <c r="BA2" s="418">
        <f>BA6&lt;=last_year_vis</f>
        <v>0</v>
      </c>
      <c r="BB2" s="418">
        <f>BB6&lt;=last_year_vis</f>
        <v>0</v>
      </c>
      <c r="BF2" s="986"/>
    </row>
    <row customHeight="1" ht="11.25" hidden="1">
      <c r="E3" s="70"/>
      <c r="AI3" s="1542"/>
      <c r="AJ3" s="1542"/>
      <c r="AK3" s="1542"/>
      <c r="AL3" s="1542"/>
      <c r="AM3" s="1542"/>
      <c r="AN3" s="1542"/>
      <c r="AO3" s="1542"/>
      <c r="AP3" s="1542"/>
      <c r="AQ3" s="1542"/>
      <c r="AR3" s="1542"/>
      <c r="AS3" s="1542"/>
      <c r="AT3" s="1542"/>
      <c r="AU3" s="1542"/>
      <c r="AV3" s="1542"/>
      <c r="AW3" s="1542"/>
      <c r="AX3" s="1542"/>
      <c r="AY3" s="1542"/>
      <c r="AZ3" s="1542"/>
      <c r="BA3" s="1542"/>
      <c r="BB3" s="1542"/>
    </row>
    <row customHeight="1" ht="11.25" hidden="1">
      <c r="E4" s="70"/>
      <c r="AI4" s="1542"/>
      <c r="AJ4" s="1542"/>
      <c r="AK4" s="1542"/>
      <c r="AL4" s="1542"/>
      <c r="AM4" s="1542"/>
      <c r="AN4" s="1542"/>
      <c r="AO4" s="1542"/>
      <c r="AP4" s="1542"/>
      <c r="AQ4" s="1542"/>
      <c r="AR4" s="1542"/>
      <c r="AS4" s="1542"/>
      <c r="AT4" s="1542"/>
      <c r="AU4" s="1542"/>
      <c r="AV4" s="1542"/>
      <c r="AW4" s="1542"/>
      <c r="AX4" s="1542"/>
      <c r="AY4" s="1542"/>
      <c r="AZ4" s="1542"/>
      <c r="BA4" s="1542"/>
      <c r="BB4" s="1542"/>
    </row>
    <row s="1372" customFormat="1" customHeight="1" ht="11.25" hidden="1">
      <c r="A5" s="70"/>
      <c r="B5" s="400"/>
      <c r="C5" s="70"/>
      <c r="D5" s="70"/>
      <c r="E5" s="603" t="s">
        <v>19</v>
      </c>
      <c r="T5" s="594"/>
      <c r="AA5" s="603">
        <v>3</v>
      </c>
      <c r="AB5" s="603">
        <v>11</v>
      </c>
      <c r="AC5" s="603">
        <v>41.71</v>
      </c>
      <c r="AD5" s="646">
        <v>11</v>
      </c>
      <c r="AE5" s="646">
        <v>12.57</v>
      </c>
      <c r="AF5" s="646">
        <v>12.57</v>
      </c>
      <c r="AG5" s="646">
        <v>12.57</v>
      </c>
      <c r="AH5" s="646">
        <v>12.57</v>
      </c>
      <c r="AI5" s="646">
        <v>12.57</v>
      </c>
      <c r="AJ5" s="646">
        <v>12.57</v>
      </c>
      <c r="AK5" s="646">
        <v>12.57</v>
      </c>
      <c r="AL5" s="646">
        <v>12.57</v>
      </c>
      <c r="AM5" s="646">
        <v>12.57</v>
      </c>
      <c r="AN5" s="646">
        <v>12.57</v>
      </c>
      <c r="AO5" s="646">
        <v>12.57</v>
      </c>
      <c r="AP5" s="646">
        <v>12.57</v>
      </c>
      <c r="AQ5" s="646">
        <v>12.57</v>
      </c>
      <c r="AR5" s="646">
        <v>12.57</v>
      </c>
      <c r="AS5" s="646">
        <v>12.57</v>
      </c>
      <c r="AT5" s="646">
        <v>12.57</v>
      </c>
      <c r="AU5" s="646">
        <v>12.57</v>
      </c>
      <c r="AV5" s="646">
        <v>12.57</v>
      </c>
      <c r="AW5" s="646">
        <v>12.57</v>
      </c>
      <c r="AX5" s="646">
        <v>12.57</v>
      </c>
      <c r="AY5" s="646">
        <v>12.57</v>
      </c>
      <c r="AZ5" s="646">
        <v>12.57</v>
      </c>
      <c r="BA5" s="646">
        <v>12.57</v>
      </c>
      <c r="BB5" s="646">
        <v>12.57</v>
      </c>
      <c r="BC5" s="603">
        <v>20</v>
      </c>
      <c r="BD5" s="603">
        <v>3</v>
      </c>
      <c r="BF5" s="977"/>
    </row>
    <row customHeight="1" ht="11.25" hidden="1">
      <c r="A6" s="70" t="s">
        <v>349</v>
      </c>
      <c r="AE6" s="94">
        <f>god-2</f>
        <v>2024</v>
      </c>
      <c r="AF6" s="94">
        <f>god-2</f>
        <v>2024</v>
      </c>
      <c r="AG6" s="94">
        <f>god-2</f>
        <v>2024</v>
      </c>
      <c r="AH6" s="94">
        <f>god-1</f>
        <v>2025</v>
      </c>
      <c r="AI6" s="64" cm="1" t="str">
        <f t="array" ref="AI6:AI6">god</f>
        <v>2026</v>
      </c>
      <c r="AJ6" s="64">
        <f>god+1</f>
        <v>2027</v>
      </c>
      <c r="AK6" s="64">
        <f>god+2</f>
        <v>2028</v>
      </c>
      <c r="AL6" s="64">
        <f>god+3</f>
        <v>2029</v>
      </c>
      <c r="AM6" s="64">
        <f>god+4</f>
        <v>2030</v>
      </c>
      <c r="AN6" s="64">
        <f>god+5</f>
        <v>2031</v>
      </c>
      <c r="AO6" s="64">
        <f>god+6</f>
        <v>2032</v>
      </c>
      <c r="AP6" s="64">
        <f>god+7</f>
        <v>2033</v>
      </c>
      <c r="AQ6" s="64">
        <f>god+8</f>
        <v>2034</v>
      </c>
      <c r="AR6" s="64">
        <f>god+9</f>
        <v>2035</v>
      </c>
      <c r="AS6" s="64" cm="1" t="str">
        <f t="array" ref="AS6:AS6">god</f>
        <v>2026</v>
      </c>
      <c r="AT6" s="64">
        <f>god+1</f>
        <v>2027</v>
      </c>
      <c r="AU6" s="64">
        <f>god+2</f>
        <v>2028</v>
      </c>
      <c r="AV6" s="64">
        <f>god+3</f>
        <v>2029</v>
      </c>
      <c r="AW6" s="64">
        <f>god+4</f>
        <v>2030</v>
      </c>
      <c r="AX6" s="64">
        <f>god+5</f>
        <v>2031</v>
      </c>
      <c r="AY6" s="64">
        <f>god+6</f>
        <v>2032</v>
      </c>
      <c r="AZ6" s="64">
        <f>god+7</f>
        <v>2033</v>
      </c>
      <c r="BA6" s="64">
        <f>god+8</f>
        <v>2034</v>
      </c>
      <c r="BB6" s="64">
        <f>god+9</f>
        <v>2035</v>
      </c>
    </row>
    <row customHeight="1" ht="11.25" hidden="1">
      <c r="A7" s="70" t="s">
        <v>350</v>
      </c>
      <c r="AE7" s="341" cm="1" t="str">
        <f t="array" ref="AE7:AE7">AE25</f>
        <v>Принято органом регулирования</v>
      </c>
      <c r="AF7" s="341" cm="1" t="str">
        <f t="array" ref="AF7:AF7">AF25</f>
        <v>Факт по данным организации</v>
      </c>
      <c r="AG7" s="341" cm="1" t="str">
        <f t="array" ref="AG7:AG7">AG25</f>
        <v>Факт, принятый органом регулирования</v>
      </c>
      <c r="AH7" s="341" cm="1" t="str">
        <f t="array" ref="AH7:AH7">AH25</f>
        <v>Принято органом регулирования</v>
      </c>
      <c r="AI7" s="341" cm="1" t="str">
        <f t="array" ref="AI7:AI7">AI25</f>
        <v>Предложение организации</v>
      </c>
      <c r="AJ7" s="341" cm="1" t="str">
        <f t="array" ref="AJ7:AJ7">AJ25</f>
        <v>Предложение организации</v>
      </c>
      <c r="AK7" s="341" cm="1" t="str">
        <f t="array" ref="AK7:AK7">AK25</f>
        <v>Предложение организации</v>
      </c>
      <c r="AL7" s="341" cm="1" t="str">
        <f t="array" ref="AL7:AL7">AL25</f>
        <v>Предложение организации</v>
      </c>
      <c r="AM7" s="341" cm="1" t="str">
        <f t="array" ref="AM7:AM7">AM25</f>
        <v>Предложение организации</v>
      </c>
      <c r="AN7" s="341" cm="1" t="str">
        <f t="array" ref="AN7:AN7">AN25</f>
        <v>Предложение организации</v>
      </c>
      <c r="AO7" s="341" cm="1" t="str">
        <f t="array" ref="AO7:AO7">AO25</f>
        <v>Предложение организации</v>
      </c>
      <c r="AP7" s="341" cm="1" t="str">
        <f t="array" ref="AP7:AP7">AP25</f>
        <v>Предложение организации</v>
      </c>
      <c r="AQ7" s="341" cm="1" t="str">
        <f t="array" ref="AQ7:AQ7">AQ25</f>
        <v>Предложение организации</v>
      </c>
      <c r="AR7" s="341" cm="1" t="str">
        <f t="array" ref="AR7:AR7">AR25</f>
        <v>Предложение организации</v>
      </c>
      <c r="AS7" s="341" cm="1" t="str">
        <f t="array" ref="AS7:AS7">AS25</f>
        <v>Принято органом регулирования</v>
      </c>
      <c r="AT7" s="341" cm="1" t="str">
        <f t="array" ref="AT7:AT7">AT25</f>
        <v>Принято органом регулирования</v>
      </c>
      <c r="AU7" s="341" cm="1" t="str">
        <f t="array" ref="AU7:AU7">AU25</f>
        <v>Принято органом регулирования</v>
      </c>
      <c r="AV7" s="341" cm="1" t="str">
        <f t="array" ref="AV7:AV7">AV25</f>
        <v>Принято органом регулирования</v>
      </c>
      <c r="AW7" s="341" cm="1" t="str">
        <f t="array" ref="AW7:AW7">AW25</f>
        <v>Принято органом регулирования</v>
      </c>
      <c r="AX7" s="341" cm="1" t="str">
        <f t="array" ref="AX7:AX7">AX25</f>
        <v>Принято органом регулирования</v>
      </c>
      <c r="AY7" s="341" cm="1" t="str">
        <f t="array" ref="AY7:AY7">AY25</f>
        <v>Принято органом регулирования</v>
      </c>
      <c r="AZ7" s="341" cm="1" t="str">
        <f t="array" ref="AZ7:AZ7">AZ25</f>
        <v>Принято органом регулирования</v>
      </c>
      <c r="BA7" s="341" cm="1" t="str">
        <f t="array" ref="BA7:BA7">BA25</f>
        <v>Принято органом регулирования</v>
      </c>
      <c r="BB7" s="341" cm="1" t="str">
        <f t="array" ref="BB7:BB7">BB25</f>
        <v>Принято органом регулирования</v>
      </c>
    </row>
    <row customHeight="1" ht="11.25" hidden="1">
      <c r="AI8" s="1542"/>
      <c r="AJ8" s="1542"/>
      <c r="AK8" s="1542"/>
      <c r="AL8" s="1542"/>
      <c r="AM8" s="1542"/>
      <c r="AN8" s="1542"/>
      <c r="AO8" s="1542"/>
      <c r="AP8" s="1542"/>
      <c r="AQ8" s="1542"/>
      <c r="AR8" s="1542"/>
      <c r="AS8" s="1542"/>
      <c r="AT8" s="1542"/>
      <c r="AU8" s="1542"/>
      <c r="AV8" s="1542"/>
      <c r="AW8" s="1542"/>
      <c r="AX8" s="1542"/>
      <c r="AY8" s="1542"/>
      <c r="AZ8" s="1542"/>
      <c r="BA8" s="1542"/>
      <c r="BB8" s="1542"/>
    </row>
    <row s="1377" customFormat="1" customHeight="1" ht="11.25" hidden="1">
      <c r="A9" s="992" t="s">
        <v>354</v>
      </c>
      <c r="B9" s="986"/>
      <c r="AD9" s="1010"/>
      <c r="AE9" s="1010" cm="1" t="str">
        <f t="array" ref="AE9:AE9">AE6</f>
        <v>2024</v>
      </c>
      <c r="AF9" s="1010" cm="1" t="str">
        <f t="array" ref="AF9:AF9">AF6</f>
        <v>2024</v>
      </c>
      <c r="AG9" s="1010" cm="1" t="str">
        <f t="array" ref="AG9:AG9">AG6</f>
        <v>2024</v>
      </c>
      <c r="AH9" s="1010" cm="1" t="str">
        <f t="array" ref="AH9:AH9">AH6</f>
        <v>2025</v>
      </c>
      <c r="AI9" s="1010" cm="1" t="str">
        <f t="array" ref="AI9:AI9">AI6</f>
        <v>2026</v>
      </c>
      <c r="AJ9" s="1010" cm="1" t="str">
        <f t="array" ref="AJ9:AJ9">AJ6</f>
        <v>2027</v>
      </c>
      <c r="AK9" s="1010" cm="1" t="str">
        <f t="array" ref="AK9:AK9">AK6</f>
        <v>2028</v>
      </c>
      <c r="AL9" s="1010" cm="1" t="str">
        <f t="array" ref="AL9:AL9">AL6</f>
        <v>2029</v>
      </c>
      <c r="AM9" s="1010" cm="1" t="str">
        <f t="array" ref="AM9:AM9">AM6</f>
        <v>2030</v>
      </c>
      <c r="AN9" s="1010" cm="1" t="str">
        <f t="array" ref="AN9:AN9">AN6</f>
        <v>2031</v>
      </c>
      <c r="AO9" s="1010" cm="1" t="str">
        <f t="array" ref="AO9:AO9">AO6</f>
        <v>2032</v>
      </c>
      <c r="AP9" s="1010" cm="1" t="str">
        <f t="array" ref="AP9:AP9">AP6</f>
        <v>2033</v>
      </c>
      <c r="AQ9" s="1010" cm="1" t="str">
        <f t="array" ref="AQ9:AQ9">AQ6</f>
        <v>2034</v>
      </c>
      <c r="AR9" s="1010" cm="1" t="str">
        <f t="array" ref="AR9:AR9">AR6</f>
        <v>2035</v>
      </c>
      <c r="AS9" s="1010" cm="1" t="str">
        <f t="array" ref="AS9:AS9">AS6</f>
        <v>2026</v>
      </c>
      <c r="AT9" s="1010" cm="1" t="str">
        <f t="array" ref="AT9:AT9">AT6</f>
        <v>2027</v>
      </c>
      <c r="AU9" s="1010" cm="1" t="str">
        <f t="array" ref="AU9:AU9">AU6</f>
        <v>2028</v>
      </c>
      <c r="AV9" s="1010" cm="1" t="str">
        <f t="array" ref="AV9:AV9">AV6</f>
        <v>2029</v>
      </c>
      <c r="AW9" s="1010" cm="1" t="str">
        <f t="array" ref="AW9:AW9">AW6</f>
        <v>2030</v>
      </c>
      <c r="AX9" s="1010" cm="1" t="str">
        <f t="array" ref="AX9:AX9">AX6</f>
        <v>2031</v>
      </c>
      <c r="AY9" s="1010" cm="1" t="str">
        <f t="array" ref="AY9:AY9">AY6</f>
        <v>2032</v>
      </c>
      <c r="AZ9" s="1010" cm="1" t="str">
        <f t="array" ref="AZ9:AZ9">AZ6</f>
        <v>2033</v>
      </c>
      <c r="BA9" s="1010" cm="1" t="str">
        <f t="array" ref="BA9:BA9">BA6</f>
        <v>2034</v>
      </c>
      <c r="BB9" s="1010" cm="1" t="str">
        <f t="array" ref="BB9:BB9">BB6</f>
        <v>2035</v>
      </c>
    </row>
    <row s="1377" customFormat="1" customHeight="1" ht="11.25" hidden="1">
      <c r="A10" s="992" t="s">
        <v>355</v>
      </c>
      <c r="B10" s="986"/>
      <c r="AD10" s="1010"/>
      <c r="AE10" s="1010" cm="1" t="str">
        <f t="array" ref="AE10:AE10">AE25</f>
        <v>Принято органом регулирования</v>
      </c>
      <c r="AF10" s="1010" cm="1" t="str">
        <f t="array" ref="AF10:AF10">AF25</f>
        <v>Факт по данным организации</v>
      </c>
      <c r="AG10" s="1010" cm="1" t="str">
        <f t="array" ref="AG10:AG10">AG25</f>
        <v>Факт, принятый органом регулирования</v>
      </c>
      <c r="AH10" s="1010" cm="1" t="str">
        <f t="array" ref="AH10:AH10">AH25</f>
        <v>Принято органом регулирования</v>
      </c>
      <c r="AI10" s="1010" cm="1" t="str">
        <f t="array" ref="AI10:AI10">AI25</f>
        <v>Предложение организации</v>
      </c>
      <c r="AJ10" s="1010" cm="1" t="str">
        <f t="array" ref="AJ10:AJ10">AJ25</f>
        <v>Предложение организации</v>
      </c>
      <c r="AK10" s="1010" cm="1" t="str">
        <f t="array" ref="AK10:AK10">AK25</f>
        <v>Предложение организации</v>
      </c>
      <c r="AL10" s="1010" cm="1" t="str">
        <f t="array" ref="AL10:AL10">AL25</f>
        <v>Предложение организации</v>
      </c>
      <c r="AM10" s="1010" cm="1" t="str">
        <f t="array" ref="AM10:AM10">AM25</f>
        <v>Предложение организации</v>
      </c>
      <c r="AN10" s="1010" cm="1" t="str">
        <f t="array" ref="AN10:AN10">AN25</f>
        <v>Предложение организации</v>
      </c>
      <c r="AO10" s="1010" cm="1" t="str">
        <f t="array" ref="AO10:AO10">AO25</f>
        <v>Предложение организации</v>
      </c>
      <c r="AP10" s="1010" cm="1" t="str">
        <f t="array" ref="AP10:AP10">AP25</f>
        <v>Предложение организации</v>
      </c>
      <c r="AQ10" s="1010" cm="1" t="str">
        <f t="array" ref="AQ10:AQ10">AQ25</f>
        <v>Предложение организации</v>
      </c>
      <c r="AR10" s="1010" cm="1" t="str">
        <f t="array" ref="AR10:AR10">AR25</f>
        <v>Предложение организации</v>
      </c>
      <c r="AS10" s="1010" cm="1" t="str">
        <f t="array" ref="AS10:AS10">AS25</f>
        <v>Принято органом регулирования</v>
      </c>
      <c r="AT10" s="1010" cm="1" t="str">
        <f t="array" ref="AT10:AT10">AT25</f>
        <v>Принято органом регулирования</v>
      </c>
      <c r="AU10" s="1010" cm="1" t="str">
        <f t="array" ref="AU10:AU10">AU25</f>
        <v>Принято органом регулирования</v>
      </c>
      <c r="AV10" s="1010" cm="1" t="str">
        <f t="array" ref="AV10:AV10">AV25</f>
        <v>Принято органом регулирования</v>
      </c>
      <c r="AW10" s="1010" cm="1" t="str">
        <f t="array" ref="AW10:AW10">AW25</f>
        <v>Принято органом регулирования</v>
      </c>
      <c r="AX10" s="1010" cm="1" t="str">
        <f t="array" ref="AX10:AX10">AX25</f>
        <v>Принято органом регулирования</v>
      </c>
      <c r="AY10" s="1010" cm="1" t="str">
        <f t="array" ref="AY10:AY10">AY25</f>
        <v>Принято органом регулирования</v>
      </c>
      <c r="AZ10" s="1010" cm="1" t="str">
        <f t="array" ref="AZ10:AZ10">AZ25</f>
        <v>Принято органом регулирования</v>
      </c>
      <c r="BA10" s="1010" cm="1" t="str">
        <f t="array" ref="BA10:BA10">BA25</f>
        <v>Принято органом регулирования</v>
      </c>
      <c r="BB10" s="1010" cm="1" t="str">
        <f t="array" ref="BB10:BB10">BB25</f>
        <v>Принято органом регулирования</v>
      </c>
    </row>
    <row s="1377" customFormat="1" customHeight="1" ht="11.25" hidden="1">
      <c r="A11" s="992" t="s">
        <v>356</v>
      </c>
      <c r="B11" s="986"/>
      <c r="AD11" s="1010"/>
      <c r="AE11" s="1010"/>
      <c r="AF11" s="1010"/>
      <c r="AG11" s="1010"/>
      <c r="AH11" s="1010"/>
      <c r="AI11" s="1010"/>
      <c r="AJ11" s="1010"/>
      <c r="AK11" s="1010"/>
      <c r="AL11" s="1010"/>
      <c r="AM11" s="1010"/>
      <c r="AN11" s="1010"/>
      <c r="AO11" s="1010"/>
      <c r="AP11" s="1010"/>
      <c r="AQ11" s="1010"/>
      <c r="AR11" s="1010"/>
      <c r="AS11" s="1010"/>
      <c r="AT11" s="1010"/>
      <c r="AU11" s="1010"/>
      <c r="AV11" s="1010"/>
      <c r="AW11" s="1010"/>
      <c r="AX11" s="1010"/>
      <c r="AY11" s="1010"/>
      <c r="AZ11" s="1010"/>
      <c r="BA11" s="1010"/>
      <c r="BB11" s="1010"/>
      <c r="BC11" s="977" cm="1" t="str">
        <f t="array" ref="BC11:BC11">BC24</f>
        <v>Ссылка на правовую норму (основание для принятия показателя в расчет тарифа)</v>
      </c>
    </row>
    <row customHeight="1" ht="11.25" hidden="1">
      <c r="AI12" s="1542"/>
      <c r="AJ12" s="1542"/>
      <c r="AK12" s="1542"/>
      <c r="AL12" s="1542"/>
      <c r="AM12" s="1542"/>
      <c r="AN12" s="1542"/>
      <c r="AO12" s="1542"/>
      <c r="AP12" s="1542"/>
      <c r="AQ12" s="1542"/>
      <c r="AR12" s="1542"/>
      <c r="AS12" s="1542"/>
      <c r="AT12" s="1542"/>
      <c r="AU12" s="1542"/>
      <c r="AV12" s="1542"/>
      <c r="AW12" s="1542"/>
      <c r="AX12" s="1542"/>
      <c r="AY12" s="1542"/>
      <c r="AZ12" s="1542"/>
      <c r="BA12" s="1542"/>
      <c r="BB12" s="1542"/>
    </row>
    <row customHeight="1" ht="11.25" hidden="1">
      <c r="AI13" s="64"/>
      <c r="AJ13" s="64"/>
      <c r="AK13" s="64"/>
      <c r="AL13" s="64"/>
      <c r="AM13" s="64"/>
      <c r="AN13" s="64"/>
      <c r="AO13" s="64"/>
      <c r="AP13" s="64"/>
      <c r="AQ13" s="64"/>
      <c r="AR13" s="64"/>
      <c r="AS13" s="64"/>
      <c r="AT13" s="64"/>
      <c r="AU13" s="64"/>
      <c r="AV13" s="64"/>
      <c r="AW13" s="64"/>
      <c r="AX13" s="64"/>
      <c r="AY13" s="64"/>
      <c r="AZ13" s="64"/>
      <c r="BA13" s="64"/>
      <c r="BB13" s="64"/>
    </row>
    <row customHeight="1" ht="11.25" hidden="1">
      <c r="AI14" s="64"/>
      <c r="AJ14" s="64"/>
      <c r="AK14" s="64"/>
      <c r="AL14" s="64"/>
      <c r="AM14" s="64"/>
      <c r="AN14" s="64"/>
      <c r="AO14" s="64"/>
      <c r="AP14" s="64"/>
      <c r="AQ14" s="64"/>
      <c r="AR14" s="64"/>
      <c r="AS14" s="64"/>
      <c r="AT14" s="64"/>
      <c r="AU14" s="64"/>
      <c r="AV14" s="64"/>
      <c r="AW14" s="64"/>
      <c r="AX14" s="64"/>
      <c r="AY14" s="64"/>
      <c r="AZ14" s="64"/>
      <c r="BA14" s="64"/>
      <c r="BB14" s="64"/>
    </row>
    <row customHeight="1" ht="11.25" hidden="1">
      <c r="AI15" s="64"/>
      <c r="AJ15" s="64"/>
      <c r="AK15" s="64"/>
      <c r="AL15" s="64"/>
      <c r="AM15" s="64"/>
      <c r="AN15" s="64"/>
      <c r="AO15" s="64"/>
      <c r="AP15" s="64"/>
      <c r="AQ15" s="64"/>
      <c r="AR15" s="64"/>
      <c r="AS15" s="64"/>
      <c r="AT15" s="64"/>
      <c r="AU15" s="64"/>
      <c r="AV15" s="64"/>
      <c r="AW15" s="64"/>
      <c r="AX15" s="64"/>
      <c r="AY15" s="64"/>
      <c r="AZ15" s="64"/>
      <c r="BA15" s="64"/>
      <c r="BB15" s="64"/>
    </row>
    <row customHeight="1" ht="11.25" hidden="1">
      <c r="AI16" s="64"/>
      <c r="AJ16" s="64"/>
      <c r="AK16" s="64"/>
      <c r="AL16" s="64"/>
      <c r="AM16" s="64"/>
      <c r="AN16" s="64"/>
      <c r="AO16" s="64"/>
      <c r="AP16" s="64"/>
      <c r="AQ16" s="64"/>
      <c r="AR16" s="64"/>
      <c r="AS16" s="64"/>
      <c r="AT16" s="64"/>
      <c r="AU16" s="64"/>
      <c r="AV16" s="64"/>
      <c r="AW16" s="64"/>
      <c r="AX16" s="64"/>
      <c r="AY16" s="64"/>
      <c r="AZ16" s="64"/>
      <c r="BA16" s="64"/>
      <c r="BB16" s="64"/>
    </row>
    <row customHeight="1" ht="11.25" hidden="1">
      <c r="AI17" s="1542"/>
      <c r="AJ17" s="1542"/>
      <c r="AK17" s="1542"/>
      <c r="AL17" s="1542"/>
      <c r="AM17" s="1542"/>
      <c r="AN17" s="1542"/>
      <c r="AO17" s="1542"/>
      <c r="AP17" s="1542"/>
      <c r="AQ17" s="1542"/>
      <c r="AR17" s="1542"/>
      <c r="AS17" s="1542"/>
      <c r="AT17" s="1542"/>
      <c r="AU17" s="1542"/>
      <c r="AV17" s="1542"/>
      <c r="AW17" s="1542"/>
      <c r="AX17" s="1542"/>
      <c r="AY17" s="1542"/>
      <c r="AZ17" s="1542"/>
      <c r="BA17" s="1542"/>
      <c r="BB17" s="1542"/>
    </row>
    <row customHeight="1" ht="11.25" hidden="1">
      <c r="AI18" s="1542"/>
      <c r="AJ18" s="1542"/>
      <c r="AK18" s="1542"/>
      <c r="AL18" s="1542"/>
      <c r="AM18" s="1542"/>
      <c r="AN18" s="1542"/>
      <c r="AO18" s="1542"/>
      <c r="AP18" s="1542"/>
      <c r="AQ18" s="1542"/>
      <c r="AR18" s="1542"/>
      <c r="AS18" s="1542"/>
      <c r="AT18" s="1542"/>
      <c r="AU18" s="1542"/>
      <c r="AV18" s="1542"/>
      <c r="AW18" s="1542"/>
      <c r="AX18" s="1542"/>
      <c r="AY18" s="1542"/>
      <c r="AZ18" s="1542"/>
      <c r="BA18" s="1542"/>
      <c r="BB18" s="1542"/>
    </row>
    <row customHeight="1" ht="11.25" hidden="1">
      <c r="AI19" s="1542"/>
      <c r="AJ19" s="1542"/>
      <c r="AK19" s="1542"/>
      <c r="AL19" s="1542"/>
      <c r="AM19" s="1542"/>
      <c r="AN19" s="1542"/>
      <c r="AO19" s="1542"/>
      <c r="AP19" s="1542"/>
      <c r="AQ19" s="1542"/>
      <c r="AR19" s="1542"/>
      <c r="AS19" s="1542"/>
      <c r="AT19" s="1542"/>
      <c r="AU19" s="1542"/>
      <c r="AV19" s="1542"/>
      <c r="AW19" s="1542"/>
      <c r="AX19" s="1542"/>
      <c r="AY19" s="1542"/>
      <c r="AZ19" s="1542"/>
      <c r="BA19" s="1542"/>
      <c r="BB19" s="1542"/>
    </row>
    <row customHeight="1" ht="11.25" hidden="1">
      <c r="AI20" s="1542"/>
      <c r="AJ20" s="1542"/>
      <c r="AK20" s="1542"/>
      <c r="AL20" s="1542"/>
      <c r="AM20" s="1542"/>
      <c r="AN20" s="1542"/>
      <c r="AO20" s="1542"/>
      <c r="AP20" s="1542"/>
      <c r="AQ20" s="1542"/>
      <c r="AR20" s="1542"/>
      <c r="AS20" s="1542"/>
      <c r="AT20" s="1542"/>
      <c r="AU20" s="1542"/>
      <c r="AV20" s="1542"/>
      <c r="AW20" s="1542"/>
      <c r="AX20" s="1542"/>
      <c r="AY20" s="1542"/>
      <c r="AZ20" s="1542"/>
      <c r="BA20" s="1542"/>
      <c r="BB20" s="1542"/>
    </row>
    <row customHeight="1" ht="14.625">
      <c r="E21" s="603">
        <v>15</v>
      </c>
      <c r="AA21" s="397"/>
      <c r="AC21" s="50" cm="1" t="str">
        <f t="array" ref="AC21:AC21">tpl_title</f>
        <v>Кемеровская область / 2026 / ОАО «СКЭК» (ИНН:4205153492, КПП:420501001) / ДПР: 2026-2026</v>
      </c>
      <c r="AI21" s="1542"/>
      <c r="AJ21" s="1542"/>
      <c r="AK21" s="1542"/>
      <c r="AL21" s="1542"/>
      <c r="AM21" s="1542"/>
      <c r="AN21" s="1542"/>
      <c r="AO21" s="1542"/>
      <c r="AP21" s="1542"/>
      <c r="AQ21" s="1542"/>
      <c r="AR21" s="1542"/>
      <c r="AS21" s="1542"/>
      <c r="AT21" s="1542"/>
      <c r="AU21" s="1542"/>
      <c r="AV21" s="1542"/>
      <c r="AW21" s="1542"/>
      <c r="AX21" s="1542"/>
      <c r="AY21" s="1542"/>
      <c r="AZ21" s="1542"/>
      <c r="BA21" s="1542"/>
      <c r="BB21" s="1542"/>
    </row>
    <row customHeight="1" ht="19.5">
      <c r="E22" s="603">
        <v>20</v>
      </c>
      <c r="AB22" s="286" t="s">
        <v>840</v>
      </c>
      <c r="AC22" s="172"/>
      <c r="AD22" s="175"/>
      <c r="AE22" s="172"/>
      <c r="AF22" s="172"/>
      <c r="AG22" s="172"/>
      <c r="AH22" s="172"/>
      <c r="AI22" s="172"/>
      <c r="AJ22" s="172"/>
      <c r="AK22" s="172"/>
      <c r="AL22" s="172"/>
      <c r="AM22" s="172"/>
      <c r="AN22" s="172"/>
      <c r="AO22" s="172"/>
      <c r="AP22" s="172"/>
      <c r="AQ22" s="172"/>
      <c r="AR22" s="172"/>
      <c r="AS22" s="172"/>
      <c r="AT22" s="172"/>
      <c r="AU22" s="172"/>
      <c r="AV22" s="172"/>
      <c r="AW22" s="172"/>
      <c r="AX22" s="172"/>
      <c r="AY22" s="172"/>
      <c r="AZ22" s="172"/>
      <c r="BA22" s="172"/>
      <c r="BB22" s="172"/>
      <c r="BC22" s="174"/>
    </row>
    <row customHeight="1" ht="10.725000000000001">
      <c r="E23" s="603">
        <v>11</v>
      </c>
      <c r="AB23" s="1526"/>
      <c r="AC23" s="1526"/>
      <c r="AD23" s="1526"/>
      <c r="AE23" s="1526"/>
      <c r="AF23" s="1526"/>
      <c r="AG23" s="1526"/>
      <c r="AH23" s="1526"/>
      <c r="AI23" s="1526"/>
      <c r="AJ23" s="1526"/>
      <c r="AK23" s="1526"/>
      <c r="AL23" s="1526"/>
      <c r="AM23" s="1526"/>
      <c r="AN23" s="1526"/>
      <c r="AO23" s="1526"/>
      <c r="AP23" s="1526"/>
      <c r="AQ23" s="1526"/>
      <c r="AR23" s="1526"/>
      <c r="AS23" s="1526"/>
      <c r="AT23" s="1526"/>
      <c r="AU23" s="1526"/>
      <c r="AV23" s="1526"/>
      <c r="AW23" s="1526"/>
      <c r="AX23" s="1526"/>
      <c r="AY23" s="1526"/>
      <c r="AZ23" s="1526"/>
      <c r="BA23" s="1526"/>
      <c r="BB23" s="1526"/>
    </row>
    <row customHeight="1" ht="14.625">
      <c r="E24" s="603">
        <v>15</v>
      </c>
      <c r="AB24" s="1522" t="s">
        <v>758</v>
      </c>
      <c r="AC24" s="1553" t="s">
        <v>197</v>
      </c>
      <c r="AD24" s="1522" t="s">
        <v>359</v>
      </c>
      <c r="AE24" s="325" t="str">
        <f>god-2&amp;" год"</f>
        <v>2024 год</v>
      </c>
      <c r="AF24" s="1099" t="str">
        <f>god-2&amp;" год"</f>
        <v>2024 год</v>
      </c>
      <c r="AG24" s="325" t="str">
        <f>god-2&amp;" год"</f>
        <v>2024 год</v>
      </c>
      <c r="AH24" s="60" t="str">
        <f>god-1&amp;" год"</f>
        <v>2025 год</v>
      </c>
      <c r="AI24" s="1096" t="str">
        <f>god&amp;" год"</f>
        <v>2026 год</v>
      </c>
      <c r="AJ24" s="1096" t="str">
        <f>god+1&amp;" год"</f>
        <v>2027 год</v>
      </c>
      <c r="AK24" s="1096" t="str">
        <f>god+2&amp;" год"</f>
        <v>2028 год</v>
      </c>
      <c r="AL24" s="1096" t="str">
        <f>god+3&amp;" год"</f>
        <v>2029 год</v>
      </c>
      <c r="AM24" s="1096" t="str">
        <f>god+4&amp;" год"</f>
        <v>2030 год</v>
      </c>
      <c r="AN24" s="1096" t="str">
        <f>god+5&amp;" год"</f>
        <v>2031 год</v>
      </c>
      <c r="AO24" s="1096" t="str">
        <f>god+6&amp;" год"</f>
        <v>2032 год</v>
      </c>
      <c r="AP24" s="1096" t="str">
        <f>god+7&amp;" год"</f>
        <v>2033 год</v>
      </c>
      <c r="AQ24" s="1096" t="str">
        <f>god+8&amp;" год"</f>
        <v>2034 год</v>
      </c>
      <c r="AR24" s="1096" t="str">
        <f>god+9&amp;" год"</f>
        <v>2035 год</v>
      </c>
      <c r="AS24" s="58" t="str">
        <f>god&amp;" год"</f>
        <v>2026 год</v>
      </c>
      <c r="AT24" s="58" t="str">
        <f>god+1&amp;" год"</f>
        <v>2027 год</v>
      </c>
      <c r="AU24" s="58" t="str">
        <f>god+2&amp;" год"</f>
        <v>2028 год</v>
      </c>
      <c r="AV24" s="58" t="str">
        <f>god+3&amp;" год"</f>
        <v>2029 год</v>
      </c>
      <c r="AW24" s="58" t="str">
        <f>god+4&amp;" год"</f>
        <v>2030 год</v>
      </c>
      <c r="AX24" s="58" t="str">
        <f>god+5&amp;" год"</f>
        <v>2031 год</v>
      </c>
      <c r="AY24" s="58" t="str">
        <f>god+6&amp;" год"</f>
        <v>2032 год</v>
      </c>
      <c r="AZ24" s="58" t="str">
        <f>god+7&amp;" год"</f>
        <v>2033 год</v>
      </c>
      <c r="BA24" s="58" t="str">
        <f>god+8&amp;" год"</f>
        <v>2034 год</v>
      </c>
      <c r="BB24" s="58" t="str">
        <f>god+9&amp;" год"</f>
        <v>2035 год</v>
      </c>
      <c r="BC24" s="1554" t="s">
        <v>500</v>
      </c>
    </row>
    <row customHeight="1" ht="48.75">
      <c r="E25" s="603">
        <v>50</v>
      </c>
      <c r="AB25" s="1522"/>
      <c r="AC25" s="1553"/>
      <c r="AD25" s="1522"/>
      <c r="AE25" s="58" t="s">
        <v>351</v>
      </c>
      <c r="AF25" s="1096" t="s">
        <v>424</v>
      </c>
      <c r="AG25" s="58" t="s">
        <v>425</v>
      </c>
      <c r="AH25" s="58" t="s">
        <v>351</v>
      </c>
      <c r="AI25" s="1100" t="s">
        <v>352</v>
      </c>
      <c r="AJ25" s="1100" t="s">
        <v>352</v>
      </c>
      <c r="AK25" s="1100" t="s">
        <v>352</v>
      </c>
      <c r="AL25" s="1100" t="s">
        <v>352</v>
      </c>
      <c r="AM25" s="1100" t="s">
        <v>352</v>
      </c>
      <c r="AN25" s="1100" t="s">
        <v>352</v>
      </c>
      <c r="AO25" s="1100" t="s">
        <v>352</v>
      </c>
      <c r="AP25" s="1100" t="s">
        <v>352</v>
      </c>
      <c r="AQ25" s="1100" t="s">
        <v>352</v>
      </c>
      <c r="AR25" s="1100" t="s">
        <v>352</v>
      </c>
      <c r="AS25" s="326" t="s">
        <v>351</v>
      </c>
      <c r="AT25" s="326" t="s">
        <v>351</v>
      </c>
      <c r="AU25" s="326" t="s">
        <v>351</v>
      </c>
      <c r="AV25" s="326" t="s">
        <v>351</v>
      </c>
      <c r="AW25" s="326" t="s">
        <v>351</v>
      </c>
      <c r="AX25" s="326" t="s">
        <v>351</v>
      </c>
      <c r="AY25" s="326" t="s">
        <v>351</v>
      </c>
      <c r="AZ25" s="326" t="s">
        <v>351</v>
      </c>
      <c r="BA25" s="326" t="s">
        <v>351</v>
      </c>
      <c r="BB25" s="326" t="s">
        <v>351</v>
      </c>
      <c r="BC25" s="1555"/>
    </row>
    <row s="1624" customFormat="1" customHeight="1" ht="11.25">
      <c r="B26" s="402"/>
      <c r="E26" s="647" t="s">
        <v>362</v>
      </c>
      <c r="F26" s="138" t="s">
        <v>841</v>
      </c>
      <c r="T26" s="0"/>
      <c r="AC26" s="66"/>
      <c r="AD26" s="66"/>
      <c r="AE26" s="66"/>
      <c r="AF26" s="66"/>
      <c r="AI26" s="1624"/>
      <c r="AJ26" s="1624"/>
      <c r="AK26" s="1624"/>
      <c r="AL26" s="1624"/>
      <c r="AM26" s="1624"/>
      <c r="AN26" s="1624"/>
      <c r="AO26" s="1624"/>
      <c r="AP26" s="1624"/>
      <c r="AQ26" s="67"/>
      <c r="AR26" s="1624"/>
      <c r="AS26" s="1624"/>
      <c r="AT26" s="1624"/>
      <c r="AU26" s="1624"/>
      <c r="AV26" s="1624"/>
      <c r="AW26" s="1624"/>
      <c r="AX26" s="1624"/>
      <c r="AY26" s="1624"/>
      <c r="AZ26" s="1624"/>
      <c r="BA26" s="1624"/>
      <c r="BB26" s="1624"/>
      <c r="BF26" s="981"/>
    </row>
    <row customHeight="1" ht="14.625" hidden="1">
      <c r="A27" s="1412"/>
      <c r="B27" s="1369"/>
      <c r="C27" s="1412"/>
      <c r="D27" s="1412"/>
      <c r="E27" s="603">
        <v>15</v>
      </c>
      <c r="F27" s="695" cm="1" t="str">
        <f t="array" ref="F27:F27">X27</f>
        <v>0</v>
      </c>
      <c r="G27" s="1412"/>
      <c r="H27" s="1412"/>
      <c r="I27" s="1412"/>
      <c r="J27" s="1412"/>
      <c r="K27" s="1412"/>
      <c r="L27" s="1412"/>
      <c r="M27" s="1412"/>
      <c r="N27" s="1412"/>
      <c r="O27" s="1412"/>
      <c r="P27" s="1412"/>
      <c r="Q27" s="1412"/>
      <c r="R27" s="1412"/>
      <c r="S27" s="1412"/>
      <c r="T27" s="438">
        <f>X27&gt;0</f>
        <v>0</v>
      </c>
      <c r="U27" s="1412"/>
      <c r="V27" s="70" t="s">
        <v>267</v>
      </c>
      <c r="W27" s="1412"/>
      <c r="X27" s="1541">
        <v>0</v>
      </c>
      <c r="Y27" s="1412"/>
      <c r="Z27" s="1542"/>
      <c r="AA27" s="1412"/>
      <c r="AB27" s="149" cm="1" t="str">
        <f t="array" ref="AB27:AB27">INDEX('Общие сведения'!$AG$179:$AG$208,MATCH($X27,'Общие сведения'!$Z$179:$Z$208,0))</f>
        <v>Тариф 0 () - тариф на транспортировку сточных вод</v>
      </c>
      <c r="AC27" s="146"/>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76"/>
      <c r="BD27" s="1412"/>
      <c r="BE27" s="1412"/>
      <c r="BF27" s="1377"/>
    </row>
    <row s="498" customFormat="1" customHeight="1" ht="21.9375" hidden="1">
      <c r="A28" s="498"/>
      <c r="B28" s="403"/>
      <c r="C28" s="498"/>
      <c r="D28" s="498"/>
      <c r="E28" s="645">
        <v>22.5</v>
      </c>
      <c r="F28" s="50" cm="1" t="str">
        <f t="array" ref="F28:F28">OFFSET(E28,-1,1)</f>
        <v>0</v>
      </c>
      <c r="G28" s="70" t="s">
        <v>321</v>
      </c>
      <c r="H28" s="498"/>
      <c r="I28" s="498"/>
      <c r="J28" s="498"/>
      <c r="K28" s="498"/>
      <c r="L28" s="498"/>
      <c r="M28" s="498"/>
      <c r="N28" s="498"/>
      <c r="O28" s="498"/>
      <c r="P28" s="498"/>
      <c r="Q28" s="498"/>
      <c r="R28" s="498"/>
      <c r="S28" s="498"/>
      <c r="T28" s="438" cm="1" t="str">
        <f t="array" ref="T28:T28">T27</f>
        <v>false</v>
      </c>
      <c r="U28" s="498"/>
      <c r="V28" s="498"/>
      <c r="W28" s="498"/>
      <c r="X28" s="1541"/>
      <c r="Y28" s="498"/>
      <c r="Z28" s="1542"/>
      <c r="AA28" s="498"/>
      <c r="AB28" s="177">
        <v>1</v>
      </c>
      <c r="AC28" s="178" t="s">
        <v>842</v>
      </c>
      <c r="AD28" s="55" t="s">
        <v>789</v>
      </c>
      <c r="AE28" s="2385">
        <f>SUM(AE29:AE33)</f>
        <v>0</v>
      </c>
      <c r="AF28" s="2385">
        <f>SUM(AF29:AF33)</f>
        <v>0</v>
      </c>
      <c r="AG28" s="2385">
        <f>SUM(AG29:AG33)</f>
        <v>0</v>
      </c>
      <c r="AH28" s="2385">
        <f>SUM(AH29:AH33)</f>
        <v>0</v>
      </c>
      <c r="AI28" s="1176">
        <f>SUM(AI29:AI33)</f>
        <v>0</v>
      </c>
      <c r="AJ28" s="2385">
        <f>SUM(AJ29:AJ33)</f>
        <v>0</v>
      </c>
      <c r="AK28" s="2385">
        <f>SUM(AK29:AK33)</f>
        <v>0</v>
      </c>
      <c r="AL28" s="2385">
        <f>SUM(AL29:AL33)</f>
        <v>0</v>
      </c>
      <c r="AM28" s="2385">
        <f>SUM(AM29:AM33)</f>
        <v>0</v>
      </c>
      <c r="AN28" s="2385">
        <f>SUM(AN29:AN33)</f>
        <v>0</v>
      </c>
      <c r="AO28" s="2385">
        <f>SUM(AO29:AO33)</f>
        <v>0</v>
      </c>
      <c r="AP28" s="2385">
        <f>SUM(AP29:AP33)</f>
        <v>0</v>
      </c>
      <c r="AQ28" s="2385">
        <f>SUM(AQ29:AQ33)</f>
        <v>0</v>
      </c>
      <c r="AR28" s="2385">
        <f>SUM(AR29:AR33)</f>
        <v>0</v>
      </c>
      <c r="AS28" s="1176">
        <f>SUM(AS29:AS33)</f>
        <v>0</v>
      </c>
      <c r="AT28" s="2385">
        <f>SUM(AT29:AT33)</f>
        <v>0</v>
      </c>
      <c r="AU28" s="2385">
        <f>SUM(AU29:AU33)</f>
        <v>0</v>
      </c>
      <c r="AV28" s="2385">
        <f>SUM(AV29:AV33)</f>
        <v>0</v>
      </c>
      <c r="AW28" s="2385">
        <f>SUM(AW29:AW33)</f>
        <v>0</v>
      </c>
      <c r="AX28" s="2385">
        <f>SUM(AX29:AX33)</f>
        <v>0</v>
      </c>
      <c r="AY28" s="2385">
        <f>SUM(AY29:AY33)</f>
        <v>0</v>
      </c>
      <c r="AZ28" s="2385">
        <f>SUM(AZ29:AZ33)</f>
        <v>0</v>
      </c>
      <c r="BA28" s="2385">
        <f>SUM(BA29:BA33)</f>
        <v>0</v>
      </c>
      <c r="BB28" s="2385">
        <f>SUM(BB29:BB33)</f>
        <v>0</v>
      </c>
      <c r="BC28" s="1880"/>
      <c r="BD28" s="498"/>
      <c r="BE28" s="498"/>
      <c r="BF28" s="1011" t="s">
        <v>843</v>
      </c>
    </row>
    <row customHeight="1" ht="14.625" hidden="1">
      <c r="A29" s="1412"/>
      <c r="B29" s="1369"/>
      <c r="C29" s="1412"/>
      <c r="D29" s="1412"/>
      <c r="E29" s="603">
        <v>15</v>
      </c>
      <c r="F29" s="50" cm="1" t="str">
        <f t="array" ref="F29:F29">OFFSET(E29,-1,1)</f>
        <v>0</v>
      </c>
      <c r="G29" s="70" t="s">
        <v>434</v>
      </c>
      <c r="H29" s="1412"/>
      <c r="I29" s="1412"/>
      <c r="J29" s="1412"/>
      <c r="K29" s="1412"/>
      <c r="L29" s="1412"/>
      <c r="M29" s="1412"/>
      <c r="N29" s="1412"/>
      <c r="O29" s="1412"/>
      <c r="P29" s="1412"/>
      <c r="Q29" s="1412"/>
      <c r="R29" s="1412"/>
      <c r="S29" s="1412"/>
      <c r="T29" s="438" cm="1" t="str">
        <f t="array" ref="T29:T29">T28</f>
        <v>false</v>
      </c>
      <c r="U29" s="1412"/>
      <c r="V29" s="1412"/>
      <c r="W29" s="1412"/>
      <c r="X29" s="1541"/>
      <c r="Y29" s="1412"/>
      <c r="Z29" s="1542"/>
      <c r="AA29" s="1412"/>
      <c r="AB29" s="54" t="s">
        <v>844</v>
      </c>
      <c r="AC29" s="180" t="s">
        <v>845</v>
      </c>
      <c r="AD29" s="55" t="s">
        <v>789</v>
      </c>
      <c r="AE29" s="2388"/>
      <c r="AF29" s="2388"/>
      <c r="AG29" s="2388"/>
      <c r="AH29" s="2388"/>
      <c r="AI29" s="181"/>
      <c r="AJ29" s="2388"/>
      <c r="AK29" s="2388"/>
      <c r="AL29" s="2388"/>
      <c r="AM29" s="2388"/>
      <c r="AN29" s="2388"/>
      <c r="AO29" s="2388"/>
      <c r="AP29" s="2388"/>
      <c r="AQ29" s="2388"/>
      <c r="AR29" s="2388"/>
      <c r="AS29" s="181"/>
      <c r="AT29" s="2388"/>
      <c r="AU29" s="2388"/>
      <c r="AV29" s="2388"/>
      <c r="AW29" s="2388"/>
      <c r="AX29" s="2388"/>
      <c r="AY29" s="2388"/>
      <c r="AZ29" s="2388"/>
      <c r="BA29" s="2388"/>
      <c r="BB29" s="2388"/>
      <c r="BC29" s="1880"/>
      <c r="BD29" s="1412"/>
      <c r="BE29" s="1412"/>
      <c r="BF29" s="1011" t="s">
        <v>846</v>
      </c>
    </row>
    <row customHeight="1" ht="14.625" hidden="1">
      <c r="A30" s="1412"/>
      <c r="B30" s="1369"/>
      <c r="C30" s="1412"/>
      <c r="D30" s="1412"/>
      <c r="E30" s="603">
        <v>15</v>
      </c>
      <c r="F30" s="50" cm="1" t="str">
        <f t="array" ref="F30:F30">OFFSET(E30,-1,1)</f>
        <v>0</v>
      </c>
      <c r="G30" s="70" t="s">
        <v>438</v>
      </c>
      <c r="H30" s="1412"/>
      <c r="I30" s="1412"/>
      <c r="J30" s="1412"/>
      <c r="K30" s="1412"/>
      <c r="L30" s="1412"/>
      <c r="M30" s="1412"/>
      <c r="N30" s="1412"/>
      <c r="O30" s="1412"/>
      <c r="P30" s="1412"/>
      <c r="Q30" s="1412"/>
      <c r="R30" s="1412"/>
      <c r="S30" s="1412"/>
      <c r="T30" s="438" cm="1" t="str">
        <f t="array" ref="T30:T30">T29</f>
        <v>false</v>
      </c>
      <c r="U30" s="1412"/>
      <c r="V30" s="1412"/>
      <c r="W30" s="1412"/>
      <c r="X30" s="1541"/>
      <c r="Y30" s="1412"/>
      <c r="Z30" s="1542"/>
      <c r="AA30" s="1412"/>
      <c r="AB30" s="54" t="s">
        <v>847</v>
      </c>
      <c r="AC30" s="180" t="s">
        <v>848</v>
      </c>
      <c r="AD30" s="55" t="s">
        <v>789</v>
      </c>
      <c r="AE30" s="2388"/>
      <c r="AF30" s="2388"/>
      <c r="AG30" s="2388"/>
      <c r="AH30" s="2388"/>
      <c r="AI30" s="181"/>
      <c r="AJ30" s="2388"/>
      <c r="AK30" s="2388"/>
      <c r="AL30" s="2388"/>
      <c r="AM30" s="2388"/>
      <c r="AN30" s="2388"/>
      <c r="AO30" s="2388"/>
      <c r="AP30" s="2388"/>
      <c r="AQ30" s="2388"/>
      <c r="AR30" s="2388"/>
      <c r="AS30" s="181"/>
      <c r="AT30" s="2388"/>
      <c r="AU30" s="2388"/>
      <c r="AV30" s="2388"/>
      <c r="AW30" s="2388"/>
      <c r="AX30" s="2388"/>
      <c r="AY30" s="2388"/>
      <c r="AZ30" s="2388"/>
      <c r="BA30" s="2388"/>
      <c r="BB30" s="2388"/>
      <c r="BC30" s="1880"/>
      <c r="BD30" s="1412"/>
      <c r="BE30" s="1412"/>
      <c r="BF30" s="1011" t="s">
        <v>849</v>
      </c>
    </row>
    <row customHeight="1" ht="14.625" hidden="1">
      <c r="A31" s="1412"/>
      <c r="B31" s="1369"/>
      <c r="C31" s="1412"/>
      <c r="D31" s="1412"/>
      <c r="E31" s="603">
        <v>15</v>
      </c>
      <c r="F31" s="50" cm="1" t="str">
        <f t="array" ref="F31:F31">OFFSET(E31,-1,1)</f>
        <v>0</v>
      </c>
      <c r="G31" s="70" t="s">
        <v>441</v>
      </c>
      <c r="H31" s="1412"/>
      <c r="I31" s="1412"/>
      <c r="J31" s="1412"/>
      <c r="K31" s="1412"/>
      <c r="L31" s="1412"/>
      <c r="M31" s="1412"/>
      <c r="N31" s="1412"/>
      <c r="O31" s="1412"/>
      <c r="P31" s="1412"/>
      <c r="Q31" s="1412"/>
      <c r="R31" s="1412"/>
      <c r="S31" s="1412"/>
      <c r="T31" s="438" cm="1" t="str">
        <f t="array" ref="T31:T31">T30</f>
        <v>false</v>
      </c>
      <c r="U31" s="1412"/>
      <c r="V31" s="1412"/>
      <c r="W31" s="1412"/>
      <c r="X31" s="1541"/>
      <c r="Y31" s="1412"/>
      <c r="Z31" s="1542"/>
      <c r="AA31" s="1412"/>
      <c r="AB31" s="54" t="s">
        <v>850</v>
      </c>
      <c r="AC31" s="180" t="s">
        <v>851</v>
      </c>
      <c r="AD31" s="55" t="s">
        <v>789</v>
      </c>
      <c r="AE31" s="2388"/>
      <c r="AF31" s="2388"/>
      <c r="AG31" s="2388"/>
      <c r="AH31" s="2388"/>
      <c r="AI31" s="181"/>
      <c r="AJ31" s="2388"/>
      <c r="AK31" s="2388"/>
      <c r="AL31" s="2388"/>
      <c r="AM31" s="2388"/>
      <c r="AN31" s="2388"/>
      <c r="AO31" s="2388"/>
      <c r="AP31" s="2388"/>
      <c r="AQ31" s="2388"/>
      <c r="AR31" s="2388"/>
      <c r="AS31" s="181"/>
      <c r="AT31" s="2388"/>
      <c r="AU31" s="2388"/>
      <c r="AV31" s="2388"/>
      <c r="AW31" s="2388"/>
      <c r="AX31" s="2388"/>
      <c r="AY31" s="2388"/>
      <c r="AZ31" s="2388"/>
      <c r="BA31" s="2388"/>
      <c r="BB31" s="2388"/>
      <c r="BC31" s="1880"/>
      <c r="BD31" s="1412"/>
      <c r="BE31" s="1412"/>
      <c r="BF31" s="1011" t="s">
        <v>852</v>
      </c>
    </row>
    <row customHeight="1" ht="14.625" hidden="1">
      <c r="A32" s="1412"/>
      <c r="B32" s="1369"/>
      <c r="C32" s="1412"/>
      <c r="D32" s="1412"/>
      <c r="E32" s="603">
        <v>15</v>
      </c>
      <c r="F32" s="50" cm="1" t="str">
        <f t="array" ref="F32:F32">OFFSET(E32,-1,1)</f>
        <v>0</v>
      </c>
      <c r="G32" s="70" t="s">
        <v>445</v>
      </c>
      <c r="H32" s="1412"/>
      <c r="I32" s="1412"/>
      <c r="J32" s="1412"/>
      <c r="K32" s="1412"/>
      <c r="L32" s="1412"/>
      <c r="M32" s="1412"/>
      <c r="N32" s="1412"/>
      <c r="O32" s="1412"/>
      <c r="P32" s="1412"/>
      <c r="Q32" s="1412"/>
      <c r="R32" s="1412"/>
      <c r="S32" s="1412"/>
      <c r="T32" s="438" cm="1" t="str">
        <f t="array" ref="T32:T32">T31</f>
        <v>false</v>
      </c>
      <c r="U32" s="1412"/>
      <c r="V32" s="1412"/>
      <c r="W32" s="1412"/>
      <c r="X32" s="1541"/>
      <c r="Y32" s="1412"/>
      <c r="Z32" s="1542"/>
      <c r="AA32" s="1412"/>
      <c r="AB32" s="54" t="s">
        <v>853</v>
      </c>
      <c r="AC32" s="180" t="s">
        <v>854</v>
      </c>
      <c r="AD32" s="55" t="s">
        <v>789</v>
      </c>
      <c r="AE32" s="2388"/>
      <c r="AF32" s="2388"/>
      <c r="AG32" s="2388"/>
      <c r="AH32" s="2388"/>
      <c r="AI32" s="181"/>
      <c r="AJ32" s="2388"/>
      <c r="AK32" s="2388"/>
      <c r="AL32" s="2388"/>
      <c r="AM32" s="2388"/>
      <c r="AN32" s="2388"/>
      <c r="AO32" s="2388"/>
      <c r="AP32" s="2388"/>
      <c r="AQ32" s="2388"/>
      <c r="AR32" s="2388"/>
      <c r="AS32" s="181"/>
      <c r="AT32" s="2388"/>
      <c r="AU32" s="2388"/>
      <c r="AV32" s="2388"/>
      <c r="AW32" s="2388"/>
      <c r="AX32" s="2388"/>
      <c r="AY32" s="2388"/>
      <c r="AZ32" s="2388"/>
      <c r="BA32" s="2388"/>
      <c r="BB32" s="2388"/>
      <c r="BC32" s="1880"/>
      <c r="BD32" s="1412"/>
      <c r="BE32" s="1412"/>
      <c r="BF32" s="1011" t="s">
        <v>855</v>
      </c>
    </row>
    <row customHeight="1" ht="14.625" hidden="1">
      <c r="A33" s="1412"/>
      <c r="B33" s="1369"/>
      <c r="C33" s="1412"/>
      <c r="D33" s="1412"/>
      <c r="E33" s="603">
        <v>15</v>
      </c>
      <c r="F33" s="50" cm="1" t="str">
        <f t="array" ref="F33:F33">OFFSET(E33,-1,1)</f>
        <v>0</v>
      </c>
      <c r="G33" s="70" t="s">
        <v>856</v>
      </c>
      <c r="H33" s="1412"/>
      <c r="I33" s="1412"/>
      <c r="J33" s="1412"/>
      <c r="K33" s="1412"/>
      <c r="L33" s="1412"/>
      <c r="M33" s="1412"/>
      <c r="N33" s="1412"/>
      <c r="O33" s="1412"/>
      <c r="P33" s="1412"/>
      <c r="Q33" s="1412"/>
      <c r="R33" s="1412"/>
      <c r="S33" s="1412"/>
      <c r="T33" s="438" cm="1" t="str">
        <f t="array" ref="T33:T33">T32</f>
        <v>false</v>
      </c>
      <c r="U33" s="1412"/>
      <c r="V33" s="1412"/>
      <c r="W33" s="1412"/>
      <c r="X33" s="1541"/>
      <c r="Y33" s="1412"/>
      <c r="Z33" s="1542"/>
      <c r="AA33" s="1412"/>
      <c r="AB33" s="54" t="s">
        <v>857</v>
      </c>
      <c r="AC33" s="180" t="s">
        <v>858</v>
      </c>
      <c r="AD33" s="55" t="s">
        <v>789</v>
      </c>
      <c r="AE33" s="2388"/>
      <c r="AF33" s="2388"/>
      <c r="AG33" s="2388"/>
      <c r="AH33" s="2388"/>
      <c r="AI33" s="181"/>
      <c r="AJ33" s="2388"/>
      <c r="AK33" s="2388"/>
      <c r="AL33" s="2388"/>
      <c r="AM33" s="2388"/>
      <c r="AN33" s="2388"/>
      <c r="AO33" s="2388"/>
      <c r="AP33" s="2388"/>
      <c r="AQ33" s="2388"/>
      <c r="AR33" s="2388"/>
      <c r="AS33" s="181"/>
      <c r="AT33" s="2388"/>
      <c r="AU33" s="2388"/>
      <c r="AV33" s="2388"/>
      <c r="AW33" s="2388"/>
      <c r="AX33" s="2388"/>
      <c r="AY33" s="2388"/>
      <c r="AZ33" s="2388"/>
      <c r="BA33" s="2388"/>
      <c r="BB33" s="2388"/>
      <c r="BC33" s="1880"/>
      <c r="BD33" s="1412"/>
      <c r="BE33" s="1412"/>
      <c r="BF33" s="1011" t="s">
        <v>859</v>
      </c>
    </row>
    <row s="498" customFormat="1" customHeight="1" ht="14.625" hidden="1">
      <c r="A34" s="498"/>
      <c r="B34" s="403"/>
      <c r="C34" s="498"/>
      <c r="D34" s="498"/>
      <c r="E34" s="603">
        <v>15</v>
      </c>
      <c r="F34" s="50" cm="1" t="str">
        <f t="array" ref="F34:F34">OFFSET(E34,-1,1)</f>
        <v>0</v>
      </c>
      <c r="G34" s="70" t="s">
        <v>322</v>
      </c>
      <c r="H34" s="498"/>
      <c r="I34" s="498"/>
      <c r="J34" s="498"/>
      <c r="K34" s="498"/>
      <c r="L34" s="498"/>
      <c r="M34" s="498"/>
      <c r="N34" s="498"/>
      <c r="O34" s="498"/>
      <c r="P34" s="498"/>
      <c r="Q34" s="498"/>
      <c r="R34" s="498"/>
      <c r="S34" s="498"/>
      <c r="T34" s="438" cm="1" t="str">
        <f t="array" ref="T34:T34">T33</f>
        <v>false</v>
      </c>
      <c r="U34" s="498"/>
      <c r="V34" s="498"/>
      <c r="W34" s="498"/>
      <c r="X34" s="1541"/>
      <c r="Y34" s="498"/>
      <c r="Z34" s="1542"/>
      <c r="AA34" s="498"/>
      <c r="AB34" s="177">
        <v>2</v>
      </c>
      <c r="AC34" s="178" t="s">
        <v>860</v>
      </c>
      <c r="AD34" s="55" t="s">
        <v>789</v>
      </c>
      <c r="AE34" s="2385">
        <f>SUM(AE35:AE39)</f>
        <v>0</v>
      </c>
      <c r="AF34" s="2385">
        <f>SUM(AF35:AF39)</f>
        <v>0</v>
      </c>
      <c r="AG34" s="2385">
        <f>SUM(AG35:AG39)</f>
        <v>0</v>
      </c>
      <c r="AH34" s="2385">
        <f>SUM(AH35:AH39)</f>
        <v>0</v>
      </c>
      <c r="AI34" s="1176">
        <f>SUM(AI35:AI39)</f>
        <v>0</v>
      </c>
      <c r="AJ34" s="2385">
        <f>SUM(AJ35:AJ39)</f>
        <v>0</v>
      </c>
      <c r="AK34" s="2385">
        <f>SUM(AK35:AK39)</f>
        <v>0</v>
      </c>
      <c r="AL34" s="2385">
        <f>SUM(AL35:AL39)</f>
        <v>0</v>
      </c>
      <c r="AM34" s="2385">
        <f>SUM(AM35:AM39)</f>
        <v>0</v>
      </c>
      <c r="AN34" s="2385">
        <f>SUM(AN35:AN39)</f>
        <v>0</v>
      </c>
      <c r="AO34" s="2385">
        <f>SUM(AO35:AO39)</f>
        <v>0</v>
      </c>
      <c r="AP34" s="2385">
        <f>SUM(AP35:AP39)</f>
        <v>0</v>
      </c>
      <c r="AQ34" s="2385">
        <f>SUM(AQ35:AQ39)</f>
        <v>0</v>
      </c>
      <c r="AR34" s="2385">
        <f>SUM(AR35:AR39)</f>
        <v>0</v>
      </c>
      <c r="AS34" s="1176">
        <f>SUM(AS35:AS39)</f>
        <v>0</v>
      </c>
      <c r="AT34" s="2385">
        <f>SUM(AT35:AT39)</f>
        <v>0</v>
      </c>
      <c r="AU34" s="2385">
        <f>SUM(AU35:AU39)</f>
        <v>0</v>
      </c>
      <c r="AV34" s="2385">
        <f>SUM(AV35:AV39)</f>
        <v>0</v>
      </c>
      <c r="AW34" s="2385">
        <f>SUM(AW35:AW39)</f>
        <v>0</v>
      </c>
      <c r="AX34" s="2385">
        <f>SUM(AX35:AX39)</f>
        <v>0</v>
      </c>
      <c r="AY34" s="2385">
        <f>SUM(AY35:AY39)</f>
        <v>0</v>
      </c>
      <c r="AZ34" s="2385">
        <f>SUM(AZ35:AZ39)</f>
        <v>0</v>
      </c>
      <c r="BA34" s="2385">
        <f>SUM(BA35:BA39)</f>
        <v>0</v>
      </c>
      <c r="BB34" s="2385">
        <f>SUM(BB35:BB39)</f>
        <v>0</v>
      </c>
      <c r="BC34" s="1880"/>
      <c r="BD34" s="498"/>
      <c r="BE34" s="498"/>
      <c r="BF34" s="1011" t="s">
        <v>861</v>
      </c>
    </row>
    <row customHeight="1" ht="14.625" hidden="1">
      <c r="A35" s="1412"/>
      <c r="B35" s="1369"/>
      <c r="C35" s="1412"/>
      <c r="D35" s="1412"/>
      <c r="E35" s="603">
        <v>15</v>
      </c>
      <c r="F35" s="50" cm="1" t="str">
        <f t="array" ref="F35:F35">OFFSET(E35,-1,1)</f>
        <v>0</v>
      </c>
      <c r="G35" s="70" t="s">
        <v>452</v>
      </c>
      <c r="H35" s="1412"/>
      <c r="I35" s="1412"/>
      <c r="J35" s="1412"/>
      <c r="K35" s="1412"/>
      <c r="L35" s="1412"/>
      <c r="M35" s="1412"/>
      <c r="N35" s="1412"/>
      <c r="O35" s="1412"/>
      <c r="P35" s="1412"/>
      <c r="Q35" s="1412"/>
      <c r="R35" s="1412"/>
      <c r="S35" s="1412"/>
      <c r="T35" s="438" cm="1" t="str">
        <f t="array" ref="T35:T35">T34</f>
        <v>false</v>
      </c>
      <c r="U35" s="1412"/>
      <c r="V35" s="1412"/>
      <c r="W35" s="1412"/>
      <c r="X35" s="1541"/>
      <c r="Y35" s="1412"/>
      <c r="Z35" s="1542"/>
      <c r="AA35" s="1412"/>
      <c r="AB35" s="54" t="s">
        <v>509</v>
      </c>
      <c r="AC35" s="180" t="s">
        <v>845</v>
      </c>
      <c r="AD35" s="55" t="s">
        <v>789</v>
      </c>
      <c r="AE35" s="2388"/>
      <c r="AF35" s="2388"/>
      <c r="AG35" s="2388"/>
      <c r="AH35" s="2388"/>
      <c r="AI35" s="181"/>
      <c r="AJ35" s="2388"/>
      <c r="AK35" s="2388"/>
      <c r="AL35" s="2388"/>
      <c r="AM35" s="2388"/>
      <c r="AN35" s="2388"/>
      <c r="AO35" s="2388"/>
      <c r="AP35" s="2388"/>
      <c r="AQ35" s="2388"/>
      <c r="AR35" s="2388"/>
      <c r="AS35" s="181"/>
      <c r="AT35" s="2388"/>
      <c r="AU35" s="2388"/>
      <c r="AV35" s="2388"/>
      <c r="AW35" s="2388"/>
      <c r="AX35" s="2388"/>
      <c r="AY35" s="2388"/>
      <c r="AZ35" s="2388"/>
      <c r="BA35" s="2388"/>
      <c r="BB35" s="2388"/>
      <c r="BC35" s="1880"/>
      <c r="BD35" s="1412"/>
      <c r="BE35" s="1412"/>
      <c r="BF35" s="1011" t="s">
        <v>862</v>
      </c>
    </row>
    <row customHeight="1" ht="14.625" hidden="1">
      <c r="A36" s="1412"/>
      <c r="B36" s="1369"/>
      <c r="C36" s="1412"/>
      <c r="D36" s="1412"/>
      <c r="E36" s="603">
        <v>15</v>
      </c>
      <c r="F36" s="50" cm="1" t="str">
        <f t="array" ref="F36:F36">OFFSET(E36,-1,1)</f>
        <v>0</v>
      </c>
      <c r="G36" s="70" t="s">
        <v>455</v>
      </c>
      <c r="H36" s="1412"/>
      <c r="I36" s="1412"/>
      <c r="J36" s="1412"/>
      <c r="K36" s="1412"/>
      <c r="L36" s="1412"/>
      <c r="M36" s="1412"/>
      <c r="N36" s="1412"/>
      <c r="O36" s="1412"/>
      <c r="P36" s="1412"/>
      <c r="Q36" s="1412"/>
      <c r="R36" s="1412"/>
      <c r="S36" s="1412"/>
      <c r="T36" s="438" cm="1" t="str">
        <f t="array" ref="T36:T36">T35</f>
        <v>false</v>
      </c>
      <c r="U36" s="1412"/>
      <c r="V36" s="1412"/>
      <c r="W36" s="1412"/>
      <c r="X36" s="1541"/>
      <c r="Y36" s="1412"/>
      <c r="Z36" s="1542"/>
      <c r="AA36" s="1412"/>
      <c r="AB36" s="54" t="s">
        <v>513</v>
      </c>
      <c r="AC36" s="180" t="s">
        <v>848</v>
      </c>
      <c r="AD36" s="55" t="s">
        <v>789</v>
      </c>
      <c r="AE36" s="2388"/>
      <c r="AF36" s="2388"/>
      <c r="AG36" s="2388"/>
      <c r="AH36" s="2388"/>
      <c r="AI36" s="181"/>
      <c r="AJ36" s="2388"/>
      <c r="AK36" s="2388"/>
      <c r="AL36" s="2388"/>
      <c r="AM36" s="2388"/>
      <c r="AN36" s="2388"/>
      <c r="AO36" s="2388"/>
      <c r="AP36" s="2388"/>
      <c r="AQ36" s="2388"/>
      <c r="AR36" s="2388"/>
      <c r="AS36" s="181"/>
      <c r="AT36" s="2388"/>
      <c r="AU36" s="2388"/>
      <c r="AV36" s="2388"/>
      <c r="AW36" s="2388"/>
      <c r="AX36" s="2388"/>
      <c r="AY36" s="2388"/>
      <c r="AZ36" s="2388"/>
      <c r="BA36" s="2388"/>
      <c r="BB36" s="2388"/>
      <c r="BC36" s="1880"/>
      <c r="BD36" s="1412"/>
      <c r="BE36" s="1412"/>
      <c r="BF36" s="1011" t="s">
        <v>863</v>
      </c>
    </row>
    <row customHeight="1" ht="14.625" hidden="1">
      <c r="A37" s="1412"/>
      <c r="B37" s="1369"/>
      <c r="C37" s="1412"/>
      <c r="D37" s="1412"/>
      <c r="E37" s="603">
        <v>15</v>
      </c>
      <c r="F37" s="50" cm="1" t="str">
        <f t="array" ref="F37:F37">OFFSET(E37,-1,1)</f>
        <v>0</v>
      </c>
      <c r="G37" s="70" t="s">
        <v>864</v>
      </c>
      <c r="H37" s="1412"/>
      <c r="I37" s="1412"/>
      <c r="J37" s="1412"/>
      <c r="K37" s="1412"/>
      <c r="L37" s="1412"/>
      <c r="M37" s="1412"/>
      <c r="N37" s="1412"/>
      <c r="O37" s="1412"/>
      <c r="P37" s="1412"/>
      <c r="Q37" s="1412"/>
      <c r="R37" s="1412"/>
      <c r="S37" s="1412"/>
      <c r="T37" s="438" cm="1" t="str">
        <f t="array" ref="T37:T37">T36</f>
        <v>false</v>
      </c>
      <c r="U37" s="1412"/>
      <c r="V37" s="1412"/>
      <c r="W37" s="1412"/>
      <c r="X37" s="1541"/>
      <c r="Y37" s="1412"/>
      <c r="Z37" s="1542"/>
      <c r="AA37" s="1412"/>
      <c r="AB37" s="54" t="s">
        <v>517</v>
      </c>
      <c r="AC37" s="180" t="s">
        <v>851</v>
      </c>
      <c r="AD37" s="55" t="s">
        <v>789</v>
      </c>
      <c r="AE37" s="2388"/>
      <c r="AF37" s="2388"/>
      <c r="AG37" s="2388"/>
      <c r="AH37" s="2388"/>
      <c r="AI37" s="181"/>
      <c r="AJ37" s="2388"/>
      <c r="AK37" s="2388"/>
      <c r="AL37" s="2388"/>
      <c r="AM37" s="2388"/>
      <c r="AN37" s="2388"/>
      <c r="AO37" s="2388"/>
      <c r="AP37" s="2388"/>
      <c r="AQ37" s="2388"/>
      <c r="AR37" s="2388"/>
      <c r="AS37" s="181"/>
      <c r="AT37" s="2388"/>
      <c r="AU37" s="2388"/>
      <c r="AV37" s="2388"/>
      <c r="AW37" s="2388"/>
      <c r="AX37" s="2388"/>
      <c r="AY37" s="2388"/>
      <c r="AZ37" s="2388"/>
      <c r="BA37" s="2388"/>
      <c r="BB37" s="2388"/>
      <c r="BC37" s="1880"/>
      <c r="BD37" s="1412"/>
      <c r="BE37" s="1412"/>
      <c r="BF37" s="1011" t="s">
        <v>865</v>
      </c>
    </row>
    <row customHeight="1" ht="14.625" hidden="1">
      <c r="A38" s="1412"/>
      <c r="B38" s="1369"/>
      <c r="C38" s="1412"/>
      <c r="D38" s="1412"/>
      <c r="E38" s="603">
        <v>15</v>
      </c>
      <c r="F38" s="50" cm="1" t="str">
        <f t="array" ref="F38:F38">OFFSET(E38,-1,1)</f>
        <v>0</v>
      </c>
      <c r="G38" s="70" t="s">
        <v>866</v>
      </c>
      <c r="H38" s="1412"/>
      <c r="I38" s="1412"/>
      <c r="J38" s="1412"/>
      <c r="K38" s="1412"/>
      <c r="L38" s="1412"/>
      <c r="M38" s="1412"/>
      <c r="N38" s="1412"/>
      <c r="O38" s="1412"/>
      <c r="P38" s="1412"/>
      <c r="Q38" s="1412"/>
      <c r="R38" s="1412"/>
      <c r="S38" s="1412"/>
      <c r="T38" s="438" cm="1" t="str">
        <f t="array" ref="T38:T38">T37</f>
        <v>false</v>
      </c>
      <c r="U38" s="1412"/>
      <c r="V38" s="1412"/>
      <c r="W38" s="1412"/>
      <c r="X38" s="1541"/>
      <c r="Y38" s="1412"/>
      <c r="Z38" s="1542"/>
      <c r="AA38" s="1412"/>
      <c r="AB38" s="54" t="s">
        <v>867</v>
      </c>
      <c r="AC38" s="180" t="s">
        <v>854</v>
      </c>
      <c r="AD38" s="55" t="s">
        <v>789</v>
      </c>
      <c r="AE38" s="2388"/>
      <c r="AF38" s="2388"/>
      <c r="AG38" s="2388"/>
      <c r="AH38" s="2388"/>
      <c r="AI38" s="181"/>
      <c r="AJ38" s="2388"/>
      <c r="AK38" s="2388"/>
      <c r="AL38" s="2388"/>
      <c r="AM38" s="2388"/>
      <c r="AN38" s="2388"/>
      <c r="AO38" s="2388"/>
      <c r="AP38" s="2388"/>
      <c r="AQ38" s="2388"/>
      <c r="AR38" s="2388"/>
      <c r="AS38" s="181"/>
      <c r="AT38" s="2388"/>
      <c r="AU38" s="2388"/>
      <c r="AV38" s="2388"/>
      <c r="AW38" s="2388"/>
      <c r="AX38" s="2388"/>
      <c r="AY38" s="2388"/>
      <c r="AZ38" s="2388"/>
      <c r="BA38" s="2388"/>
      <c r="BB38" s="2388"/>
      <c r="BC38" s="1880"/>
      <c r="BD38" s="1412"/>
      <c r="BE38" s="1412"/>
      <c r="BF38" s="1011" t="s">
        <v>868</v>
      </c>
    </row>
    <row customHeight="1" ht="14.625" hidden="1">
      <c r="A39" s="1412"/>
      <c r="B39" s="1369"/>
      <c r="C39" s="1412"/>
      <c r="D39" s="1412"/>
      <c r="E39" s="603">
        <v>15</v>
      </c>
      <c r="F39" s="50" cm="1" t="str">
        <f t="array" ref="F39:F39">OFFSET(E39,-1,1)</f>
        <v>0</v>
      </c>
      <c r="G39" s="70" t="s">
        <v>869</v>
      </c>
      <c r="H39" s="1412"/>
      <c r="I39" s="1412"/>
      <c r="J39" s="1412"/>
      <c r="K39" s="1412"/>
      <c r="L39" s="1412"/>
      <c r="M39" s="1412"/>
      <c r="N39" s="1412"/>
      <c r="O39" s="1412"/>
      <c r="P39" s="1412"/>
      <c r="Q39" s="1412"/>
      <c r="R39" s="1412"/>
      <c r="S39" s="1412"/>
      <c r="T39" s="438" cm="1" t="str">
        <f t="array" ref="T39:T39">T38</f>
        <v>false</v>
      </c>
      <c r="U39" s="1412"/>
      <c r="V39" s="1412"/>
      <c r="W39" s="1412"/>
      <c r="X39" s="1541"/>
      <c r="Y39" s="1412"/>
      <c r="Z39" s="1542"/>
      <c r="AA39" s="1412"/>
      <c r="AB39" s="54" t="s">
        <v>870</v>
      </c>
      <c r="AC39" s="180" t="s">
        <v>858</v>
      </c>
      <c r="AD39" s="55" t="s">
        <v>789</v>
      </c>
      <c r="AE39" s="2388"/>
      <c r="AF39" s="2388"/>
      <c r="AG39" s="2388"/>
      <c r="AH39" s="2388"/>
      <c r="AI39" s="181"/>
      <c r="AJ39" s="2388"/>
      <c r="AK39" s="2388"/>
      <c r="AL39" s="2388"/>
      <c r="AM39" s="2388"/>
      <c r="AN39" s="2388"/>
      <c r="AO39" s="2388"/>
      <c r="AP39" s="2388"/>
      <c r="AQ39" s="2388"/>
      <c r="AR39" s="2388"/>
      <c r="AS39" s="181"/>
      <c r="AT39" s="2388"/>
      <c r="AU39" s="2388"/>
      <c r="AV39" s="2388"/>
      <c r="AW39" s="2388"/>
      <c r="AX39" s="2388"/>
      <c r="AY39" s="2388"/>
      <c r="AZ39" s="2388"/>
      <c r="BA39" s="2388"/>
      <c r="BB39" s="2388"/>
      <c r="BC39" s="1880"/>
      <c r="BD39" s="1412"/>
      <c r="BE39" s="1412"/>
      <c r="BF39" s="1011" t="s">
        <v>871</v>
      </c>
    </row>
    <row s="498" customFormat="1" customHeight="1" ht="14.625" hidden="1">
      <c r="A40" s="498"/>
      <c r="B40" s="403"/>
      <c r="C40" s="498"/>
      <c r="D40" s="498"/>
      <c r="E40" s="603">
        <v>15</v>
      </c>
      <c r="F40" s="50" cm="1" t="str">
        <f t="array" ref="F40:F40">OFFSET(E40,-1,1)</f>
        <v>0</v>
      </c>
      <c r="G40" s="70" t="s">
        <v>323</v>
      </c>
      <c r="H40" s="498"/>
      <c r="I40" s="498"/>
      <c r="J40" s="498"/>
      <c r="K40" s="498"/>
      <c r="L40" s="498"/>
      <c r="M40" s="498"/>
      <c r="N40" s="498"/>
      <c r="O40" s="498"/>
      <c r="P40" s="498"/>
      <c r="Q40" s="498"/>
      <c r="R40" s="498"/>
      <c r="S40" s="498"/>
      <c r="T40" s="438" cm="1" t="str">
        <f t="array" ref="T40:T40">T39</f>
        <v>false</v>
      </c>
      <c r="U40" s="498"/>
      <c r="V40" s="498"/>
      <c r="W40" s="498"/>
      <c r="X40" s="1541"/>
      <c r="Y40" s="498"/>
      <c r="Z40" s="1542"/>
      <c r="AA40" s="498"/>
      <c r="AB40" s="177">
        <v>3</v>
      </c>
      <c r="AC40" s="178" t="s">
        <v>872</v>
      </c>
      <c r="AD40" s="55" t="s">
        <v>789</v>
      </c>
      <c r="AE40" s="2385">
        <f>SUM(AE41:AE45)</f>
        <v>0</v>
      </c>
      <c r="AF40" s="2385">
        <f>SUM(AF41:AF45)</f>
        <v>0</v>
      </c>
      <c r="AG40" s="2385">
        <f>SUM(AG41:AG45)</f>
        <v>0</v>
      </c>
      <c r="AH40" s="2385">
        <f>SUM(AH41:AH45)</f>
        <v>0</v>
      </c>
      <c r="AI40" s="1176">
        <f>SUM(AI41:AI45)</f>
        <v>0</v>
      </c>
      <c r="AJ40" s="2385">
        <f>SUM(AJ41:AJ45)</f>
        <v>0</v>
      </c>
      <c r="AK40" s="2385">
        <f>SUM(AK41:AK45)</f>
        <v>0</v>
      </c>
      <c r="AL40" s="2385">
        <f>SUM(AL41:AL45)</f>
        <v>0</v>
      </c>
      <c r="AM40" s="2385">
        <f>SUM(AM41:AM45)</f>
        <v>0</v>
      </c>
      <c r="AN40" s="2385">
        <f>SUM(AN41:AN45)</f>
        <v>0</v>
      </c>
      <c r="AO40" s="2385">
        <f>SUM(AO41:AO45)</f>
        <v>0</v>
      </c>
      <c r="AP40" s="2385">
        <f>SUM(AP41:AP45)</f>
        <v>0</v>
      </c>
      <c r="AQ40" s="2385">
        <f>SUM(AQ41:AQ45)</f>
        <v>0</v>
      </c>
      <c r="AR40" s="2385">
        <f>SUM(AR41:AR45)</f>
        <v>0</v>
      </c>
      <c r="AS40" s="1176">
        <f>SUM(AS41:AS45)</f>
        <v>0</v>
      </c>
      <c r="AT40" s="2385">
        <f>SUM(AT41:AT45)</f>
        <v>0</v>
      </c>
      <c r="AU40" s="2385">
        <f>SUM(AU41:AU45)</f>
        <v>0</v>
      </c>
      <c r="AV40" s="2385">
        <f>SUM(AV41:AV45)</f>
        <v>0</v>
      </c>
      <c r="AW40" s="2385">
        <f>SUM(AW41:AW45)</f>
        <v>0</v>
      </c>
      <c r="AX40" s="2385">
        <f>SUM(AX41:AX45)</f>
        <v>0</v>
      </c>
      <c r="AY40" s="2385">
        <f>SUM(AY41:AY45)</f>
        <v>0</v>
      </c>
      <c r="AZ40" s="2385">
        <f>SUM(AZ41:AZ45)</f>
        <v>0</v>
      </c>
      <c r="BA40" s="2385">
        <f>SUM(BA41:BA45)</f>
        <v>0</v>
      </c>
      <c r="BB40" s="2385">
        <f>SUM(BB41:BB45)</f>
        <v>0</v>
      </c>
      <c r="BC40" s="1880"/>
      <c r="BD40" s="498"/>
      <c r="BE40" s="498"/>
      <c r="BF40" s="1011" t="s">
        <v>873</v>
      </c>
    </row>
    <row customHeight="1" ht="14.625" hidden="1">
      <c r="A41" s="1412"/>
      <c r="B41" s="1369"/>
      <c r="C41" s="1412"/>
      <c r="D41" s="1412"/>
      <c r="E41" s="603">
        <v>15</v>
      </c>
      <c r="F41" s="50" cm="1" t="str">
        <f t="array" ref="F41:F41">OFFSET(E41,-1,1)</f>
        <v>0</v>
      </c>
      <c r="G41" s="70" t="s">
        <v>874</v>
      </c>
      <c r="H41" s="1412"/>
      <c r="I41" s="1412"/>
      <c r="J41" s="1412"/>
      <c r="K41" s="1412"/>
      <c r="L41" s="1412"/>
      <c r="M41" s="1412"/>
      <c r="N41" s="1412"/>
      <c r="O41" s="1412"/>
      <c r="P41" s="1412"/>
      <c r="Q41" s="1412"/>
      <c r="R41" s="1412"/>
      <c r="S41" s="1412"/>
      <c r="T41" s="438" cm="1" t="str">
        <f t="array" ref="T41:T41">T40</f>
        <v>false</v>
      </c>
      <c r="U41" s="1412"/>
      <c r="V41" s="1412"/>
      <c r="W41" s="1412"/>
      <c r="X41" s="1541"/>
      <c r="Y41" s="1412"/>
      <c r="Z41" s="1542"/>
      <c r="AA41" s="1412"/>
      <c r="AB41" s="54" t="s">
        <v>523</v>
      </c>
      <c r="AC41" s="180" t="s">
        <v>845</v>
      </c>
      <c r="AD41" s="55" t="s">
        <v>789</v>
      </c>
      <c r="AE41" s="2388"/>
      <c r="AF41" s="2388"/>
      <c r="AG41" s="2388"/>
      <c r="AH41" s="2388"/>
      <c r="AI41" s="181"/>
      <c r="AJ41" s="2388"/>
      <c r="AK41" s="2388"/>
      <c r="AL41" s="2388"/>
      <c r="AM41" s="2388"/>
      <c r="AN41" s="2388"/>
      <c r="AO41" s="2388"/>
      <c r="AP41" s="2388"/>
      <c r="AQ41" s="2388"/>
      <c r="AR41" s="2388"/>
      <c r="AS41" s="181"/>
      <c r="AT41" s="2388"/>
      <c r="AU41" s="2388"/>
      <c r="AV41" s="2388"/>
      <c r="AW41" s="2388"/>
      <c r="AX41" s="2388"/>
      <c r="AY41" s="2388"/>
      <c r="AZ41" s="2388"/>
      <c r="BA41" s="2388"/>
      <c r="BB41" s="2388"/>
      <c r="BC41" s="1880"/>
      <c r="BD41" s="1412"/>
      <c r="BE41" s="1412"/>
      <c r="BF41" s="1011" t="s">
        <v>875</v>
      </c>
    </row>
    <row customHeight="1" ht="14.625" hidden="1">
      <c r="A42" s="1412"/>
      <c r="B42" s="1369"/>
      <c r="C42" s="1412"/>
      <c r="D42" s="1412"/>
      <c r="E42" s="603">
        <v>15</v>
      </c>
      <c r="F42" s="50" cm="1" t="str">
        <f t="array" ref="F42:F42">OFFSET(E42,-1,1)</f>
        <v>0</v>
      </c>
      <c r="G42" s="70" t="s">
        <v>876</v>
      </c>
      <c r="H42" s="1412"/>
      <c r="I42" s="1412"/>
      <c r="J42" s="1412"/>
      <c r="K42" s="1412"/>
      <c r="L42" s="1412"/>
      <c r="M42" s="1412"/>
      <c r="N42" s="1412"/>
      <c r="O42" s="1412"/>
      <c r="P42" s="1412"/>
      <c r="Q42" s="1412"/>
      <c r="R42" s="1412"/>
      <c r="S42" s="1412"/>
      <c r="T42" s="438" cm="1" t="str">
        <f t="array" ref="T42:T42">T41</f>
        <v>false</v>
      </c>
      <c r="U42" s="1412"/>
      <c r="V42" s="1412"/>
      <c r="W42" s="1412"/>
      <c r="X42" s="1541"/>
      <c r="Y42" s="1412"/>
      <c r="Z42" s="1542"/>
      <c r="AA42" s="1412"/>
      <c r="AB42" s="54" t="s">
        <v>527</v>
      </c>
      <c r="AC42" s="180" t="s">
        <v>848</v>
      </c>
      <c r="AD42" s="55" t="s">
        <v>789</v>
      </c>
      <c r="AE42" s="2388"/>
      <c r="AF42" s="2388"/>
      <c r="AG42" s="2388"/>
      <c r="AH42" s="2388"/>
      <c r="AI42" s="181"/>
      <c r="AJ42" s="2388"/>
      <c r="AK42" s="2388"/>
      <c r="AL42" s="2388"/>
      <c r="AM42" s="2388"/>
      <c r="AN42" s="2388"/>
      <c r="AO42" s="2388"/>
      <c r="AP42" s="2388"/>
      <c r="AQ42" s="2388"/>
      <c r="AR42" s="2388"/>
      <c r="AS42" s="181"/>
      <c r="AT42" s="2388"/>
      <c r="AU42" s="2388"/>
      <c r="AV42" s="2388"/>
      <c r="AW42" s="2388"/>
      <c r="AX42" s="2388"/>
      <c r="AY42" s="2388"/>
      <c r="AZ42" s="2388"/>
      <c r="BA42" s="2388"/>
      <c r="BB42" s="2388"/>
      <c r="BC42" s="1880"/>
      <c r="BD42" s="1412"/>
      <c r="BE42" s="1412"/>
      <c r="BF42" s="1011" t="s">
        <v>877</v>
      </c>
    </row>
    <row customHeight="1" ht="14.625" hidden="1">
      <c r="A43" s="1412"/>
      <c r="B43" s="1369"/>
      <c r="C43" s="1412"/>
      <c r="D43" s="1412"/>
      <c r="E43" s="603">
        <v>15</v>
      </c>
      <c r="F43" s="50" cm="1" t="str">
        <f t="array" ref="F43:F43">OFFSET(E43,-1,1)</f>
        <v>0</v>
      </c>
      <c r="G43" s="70" t="s">
        <v>878</v>
      </c>
      <c r="H43" s="1412"/>
      <c r="I43" s="1412"/>
      <c r="J43" s="1412"/>
      <c r="K43" s="1412"/>
      <c r="L43" s="1412"/>
      <c r="M43" s="1412"/>
      <c r="N43" s="1412"/>
      <c r="O43" s="1412"/>
      <c r="P43" s="1412"/>
      <c r="Q43" s="1412"/>
      <c r="R43" s="1412"/>
      <c r="S43" s="1412"/>
      <c r="T43" s="438" cm="1" t="str">
        <f t="array" ref="T43:T43">T42</f>
        <v>false</v>
      </c>
      <c r="U43" s="1412"/>
      <c r="V43" s="1412"/>
      <c r="W43" s="1412"/>
      <c r="X43" s="1541"/>
      <c r="Y43" s="1412"/>
      <c r="Z43" s="1542"/>
      <c r="AA43" s="1412"/>
      <c r="AB43" s="54" t="s">
        <v>744</v>
      </c>
      <c r="AC43" s="180" t="s">
        <v>851</v>
      </c>
      <c r="AD43" s="55" t="s">
        <v>789</v>
      </c>
      <c r="AE43" s="2388"/>
      <c r="AF43" s="2388"/>
      <c r="AG43" s="2388"/>
      <c r="AH43" s="2388"/>
      <c r="AI43" s="181"/>
      <c r="AJ43" s="2388"/>
      <c r="AK43" s="2388"/>
      <c r="AL43" s="2388"/>
      <c r="AM43" s="2388"/>
      <c r="AN43" s="2388"/>
      <c r="AO43" s="2388"/>
      <c r="AP43" s="2388"/>
      <c r="AQ43" s="2388"/>
      <c r="AR43" s="2388"/>
      <c r="AS43" s="181"/>
      <c r="AT43" s="2388"/>
      <c r="AU43" s="2388"/>
      <c r="AV43" s="2388"/>
      <c r="AW43" s="2388"/>
      <c r="AX43" s="2388"/>
      <c r="AY43" s="2388"/>
      <c r="AZ43" s="2388"/>
      <c r="BA43" s="2388"/>
      <c r="BB43" s="2388"/>
      <c r="BC43" s="1880"/>
      <c r="BD43" s="1412"/>
      <c r="BE43" s="1412"/>
      <c r="BF43" s="1011" t="s">
        <v>879</v>
      </c>
    </row>
    <row customHeight="1" ht="14.625" hidden="1">
      <c r="A44" s="1412"/>
      <c r="B44" s="1369"/>
      <c r="C44" s="1412"/>
      <c r="D44" s="1412"/>
      <c r="E44" s="603">
        <v>15</v>
      </c>
      <c r="F44" s="50" cm="1" t="str">
        <f t="array" ref="F44:F44">OFFSET(E44,-1,1)</f>
        <v>0</v>
      </c>
      <c r="G44" s="70" t="s">
        <v>880</v>
      </c>
      <c r="H44" s="1412"/>
      <c r="I44" s="1412"/>
      <c r="J44" s="1412"/>
      <c r="K44" s="1412"/>
      <c r="L44" s="1412"/>
      <c r="M44" s="1412"/>
      <c r="N44" s="1412"/>
      <c r="O44" s="1412"/>
      <c r="P44" s="1412"/>
      <c r="Q44" s="1412"/>
      <c r="R44" s="1412"/>
      <c r="S44" s="1412"/>
      <c r="T44" s="438" cm="1" t="str">
        <f t="array" ref="T44:T44">T43</f>
        <v>false</v>
      </c>
      <c r="U44" s="1412"/>
      <c r="V44" s="1412"/>
      <c r="W44" s="1412"/>
      <c r="X44" s="1541"/>
      <c r="Y44" s="1412"/>
      <c r="Z44" s="1542"/>
      <c r="AA44" s="1412"/>
      <c r="AB44" s="54" t="s">
        <v>881</v>
      </c>
      <c r="AC44" s="180" t="s">
        <v>854</v>
      </c>
      <c r="AD44" s="55" t="s">
        <v>789</v>
      </c>
      <c r="AE44" s="2388"/>
      <c r="AF44" s="2388"/>
      <c r="AG44" s="2388"/>
      <c r="AH44" s="2388"/>
      <c r="AI44" s="181"/>
      <c r="AJ44" s="2388"/>
      <c r="AK44" s="2388"/>
      <c r="AL44" s="2388"/>
      <c r="AM44" s="2388"/>
      <c r="AN44" s="2388"/>
      <c r="AO44" s="2388"/>
      <c r="AP44" s="2388"/>
      <c r="AQ44" s="2388"/>
      <c r="AR44" s="2388"/>
      <c r="AS44" s="181"/>
      <c r="AT44" s="2388"/>
      <c r="AU44" s="2388"/>
      <c r="AV44" s="2388"/>
      <c r="AW44" s="2388"/>
      <c r="AX44" s="2388"/>
      <c r="AY44" s="2388"/>
      <c r="AZ44" s="2388"/>
      <c r="BA44" s="2388"/>
      <c r="BB44" s="2388"/>
      <c r="BC44" s="1880"/>
      <c r="BD44" s="1412"/>
      <c r="BE44" s="1412"/>
      <c r="BF44" s="1011" t="s">
        <v>882</v>
      </c>
    </row>
    <row customHeight="1" ht="14.625" hidden="1">
      <c r="A45" s="1412"/>
      <c r="B45" s="1369"/>
      <c r="C45" s="1412"/>
      <c r="D45" s="1412"/>
      <c r="E45" s="603">
        <v>15</v>
      </c>
      <c r="F45" s="50" cm="1" t="str">
        <f t="array" ref="F45:F45">OFFSET(E45,-1,1)</f>
        <v>0</v>
      </c>
      <c r="G45" s="70" t="s">
        <v>883</v>
      </c>
      <c r="H45" s="1412"/>
      <c r="I45" s="1412"/>
      <c r="J45" s="1412"/>
      <c r="K45" s="1412"/>
      <c r="L45" s="1412"/>
      <c r="M45" s="1412"/>
      <c r="N45" s="1412"/>
      <c r="O45" s="1412"/>
      <c r="P45" s="1412"/>
      <c r="Q45" s="1412"/>
      <c r="R45" s="1412"/>
      <c r="S45" s="1412"/>
      <c r="T45" s="438" cm="1" t="str">
        <f t="array" ref="T45:T45">T44</f>
        <v>false</v>
      </c>
      <c r="U45" s="1412"/>
      <c r="V45" s="1412"/>
      <c r="W45" s="1412"/>
      <c r="X45" s="1541"/>
      <c r="Y45" s="1412"/>
      <c r="Z45" s="1542"/>
      <c r="AA45" s="1412"/>
      <c r="AB45" s="54" t="s">
        <v>884</v>
      </c>
      <c r="AC45" s="180" t="s">
        <v>858</v>
      </c>
      <c r="AD45" s="55" t="s">
        <v>789</v>
      </c>
      <c r="AE45" s="2388"/>
      <c r="AF45" s="2388"/>
      <c r="AG45" s="2388"/>
      <c r="AH45" s="2388"/>
      <c r="AI45" s="181"/>
      <c r="AJ45" s="2388"/>
      <c r="AK45" s="2388"/>
      <c r="AL45" s="2388"/>
      <c r="AM45" s="2388"/>
      <c r="AN45" s="2388"/>
      <c r="AO45" s="2388"/>
      <c r="AP45" s="2388"/>
      <c r="AQ45" s="2388"/>
      <c r="AR45" s="2388"/>
      <c r="AS45" s="181"/>
      <c r="AT45" s="2388"/>
      <c r="AU45" s="2388"/>
      <c r="AV45" s="2388"/>
      <c r="AW45" s="2388"/>
      <c r="AX45" s="2388"/>
      <c r="AY45" s="2388"/>
      <c r="AZ45" s="2388"/>
      <c r="BA45" s="2388"/>
      <c r="BB45" s="2388"/>
      <c r="BC45" s="1880"/>
      <c r="BD45" s="1412"/>
      <c r="BE45" s="1412"/>
      <c r="BF45" s="1011" t="s">
        <v>885</v>
      </c>
    </row>
    <row s="498" customFormat="1" customHeight="1" ht="21.9375" hidden="1">
      <c r="A46" s="498"/>
      <c r="B46" s="403"/>
      <c r="C46" s="498"/>
      <c r="D46" s="498"/>
      <c r="E46" s="645">
        <v>22.5</v>
      </c>
      <c r="F46" s="50" cm="1" t="str">
        <f t="array" ref="F46:F46">OFFSET(E46,-1,1)</f>
        <v>0</v>
      </c>
      <c r="G46" s="70" t="s">
        <v>325</v>
      </c>
      <c r="H46" s="498"/>
      <c r="I46" s="498"/>
      <c r="J46" s="498"/>
      <c r="K46" s="498"/>
      <c r="L46" s="498"/>
      <c r="M46" s="498"/>
      <c r="N46" s="498"/>
      <c r="O46" s="498"/>
      <c r="P46" s="498"/>
      <c r="Q46" s="498"/>
      <c r="R46" s="498"/>
      <c r="S46" s="498"/>
      <c r="T46" s="438" cm="1" t="str">
        <f t="array" ref="T46:T46">T45</f>
        <v>false</v>
      </c>
      <c r="U46" s="498"/>
      <c r="V46" s="498"/>
      <c r="W46" s="498"/>
      <c r="X46" s="1541"/>
      <c r="Y46" s="498"/>
      <c r="Z46" s="1542"/>
      <c r="AA46" s="498"/>
      <c r="AB46" s="177">
        <v>4</v>
      </c>
      <c r="AC46" s="178" t="s">
        <v>886</v>
      </c>
      <c r="AD46" s="55" t="s">
        <v>789</v>
      </c>
      <c r="AE46" s="2385">
        <f>SUM(AE47:AE51)</f>
        <v>0</v>
      </c>
      <c r="AF46" s="2385">
        <f>SUM(AF47:AF51)</f>
        <v>0</v>
      </c>
      <c r="AG46" s="2385">
        <f>SUM(AG47:AG51)</f>
        <v>0</v>
      </c>
      <c r="AH46" s="2385">
        <f>SUM(AH47:AH51)</f>
        <v>0</v>
      </c>
      <c r="AI46" s="1176">
        <f>SUM(AI47:AI51)</f>
        <v>0</v>
      </c>
      <c r="AJ46" s="2385">
        <f>SUM(AJ47:AJ51)</f>
        <v>0</v>
      </c>
      <c r="AK46" s="2385">
        <f>SUM(AK47:AK51)</f>
        <v>0</v>
      </c>
      <c r="AL46" s="2385">
        <f>SUM(AL47:AL51)</f>
        <v>0</v>
      </c>
      <c r="AM46" s="2385">
        <f>SUM(AM47:AM51)</f>
        <v>0</v>
      </c>
      <c r="AN46" s="2385">
        <f>SUM(AN47:AN51)</f>
        <v>0</v>
      </c>
      <c r="AO46" s="2385">
        <f>SUM(AO47:AO51)</f>
        <v>0</v>
      </c>
      <c r="AP46" s="2385">
        <f>SUM(AP47:AP51)</f>
        <v>0</v>
      </c>
      <c r="AQ46" s="2385">
        <f>SUM(AQ47:AQ51)</f>
        <v>0</v>
      </c>
      <c r="AR46" s="2385">
        <f>SUM(AR47:AR51)</f>
        <v>0</v>
      </c>
      <c r="AS46" s="1176">
        <f>SUM(AS47:AS51)</f>
        <v>0</v>
      </c>
      <c r="AT46" s="2385">
        <f>SUM(AT47:AT51)</f>
        <v>0</v>
      </c>
      <c r="AU46" s="2385">
        <f>SUM(AU47:AU51)</f>
        <v>0</v>
      </c>
      <c r="AV46" s="2385">
        <f>SUM(AV47:AV51)</f>
        <v>0</v>
      </c>
      <c r="AW46" s="2385">
        <f>SUM(AW47:AW51)</f>
        <v>0</v>
      </c>
      <c r="AX46" s="2385">
        <f>SUM(AX47:AX51)</f>
        <v>0</v>
      </c>
      <c r="AY46" s="2385">
        <f>SUM(AY47:AY51)</f>
        <v>0</v>
      </c>
      <c r="AZ46" s="2385">
        <f>SUM(AZ47:AZ51)</f>
        <v>0</v>
      </c>
      <c r="BA46" s="2385">
        <f>SUM(BA47:BA51)</f>
        <v>0</v>
      </c>
      <c r="BB46" s="2385">
        <f>SUM(BB47:BB51)</f>
        <v>0</v>
      </c>
      <c r="BC46" s="1880"/>
      <c r="BD46" s="498"/>
      <c r="BE46" s="498"/>
      <c r="BF46" s="1011" t="s">
        <v>887</v>
      </c>
    </row>
    <row customHeight="1" ht="14.625" hidden="1">
      <c r="A47" s="1412"/>
      <c r="B47" s="1369"/>
      <c r="C47" s="1412"/>
      <c r="D47" s="1412"/>
      <c r="E47" s="603">
        <v>15</v>
      </c>
      <c r="F47" s="50" cm="1" t="str">
        <f t="array" ref="F47:F47">OFFSET(E47,-1,1)</f>
        <v>0</v>
      </c>
      <c r="G47" s="70" t="s">
        <v>508</v>
      </c>
      <c r="H47" s="1412"/>
      <c r="I47" s="1412"/>
      <c r="J47" s="1412"/>
      <c r="K47" s="1412"/>
      <c r="L47" s="1412"/>
      <c r="M47" s="1412"/>
      <c r="N47" s="1412"/>
      <c r="O47" s="1412"/>
      <c r="P47" s="1412"/>
      <c r="Q47" s="1412"/>
      <c r="R47" s="1412"/>
      <c r="S47" s="1412"/>
      <c r="T47" s="438" cm="1" t="str">
        <f t="array" ref="T47:T47">T46</f>
        <v>false</v>
      </c>
      <c r="U47" s="1412"/>
      <c r="V47" s="1412"/>
      <c r="W47" s="1412"/>
      <c r="X47" s="1541"/>
      <c r="Y47" s="1412"/>
      <c r="Z47" s="1542"/>
      <c r="AA47" s="1412"/>
      <c r="AB47" s="54" t="s">
        <v>646</v>
      </c>
      <c r="AC47" s="180" t="s">
        <v>845</v>
      </c>
      <c r="AD47" s="55" t="s">
        <v>789</v>
      </c>
      <c r="AE47" s="2388">
        <f>AE29+AE35-AE41</f>
        <v>0</v>
      </c>
      <c r="AF47" s="2388">
        <f>AF29+AF35-AF41</f>
        <v>0</v>
      </c>
      <c r="AG47" s="2388">
        <f>AG29+AG35-AG41</f>
        <v>0</v>
      </c>
      <c r="AH47" s="2388">
        <f>AH29+AH35-AH41</f>
        <v>0</v>
      </c>
      <c r="AI47" s="181">
        <f>AI29+AI35-AI41</f>
        <v>0</v>
      </c>
      <c r="AJ47" s="2388">
        <f>AJ29+AJ35-AJ41</f>
        <v>0</v>
      </c>
      <c r="AK47" s="2388">
        <f>AK29+AK35-AK41</f>
        <v>0</v>
      </c>
      <c r="AL47" s="2388">
        <f>AL29+AL35-AL41</f>
        <v>0</v>
      </c>
      <c r="AM47" s="2388">
        <f>AM29+AM35-AM41</f>
        <v>0</v>
      </c>
      <c r="AN47" s="2388">
        <f>AN29+AN35-AN41</f>
        <v>0</v>
      </c>
      <c r="AO47" s="2388">
        <f>AO29+AO35-AO41</f>
        <v>0</v>
      </c>
      <c r="AP47" s="2388">
        <f>AP29+AP35-AP41</f>
        <v>0</v>
      </c>
      <c r="AQ47" s="2388">
        <f>AQ29+AQ35-AQ41</f>
        <v>0</v>
      </c>
      <c r="AR47" s="2388">
        <f>AR29+AR35-AR41</f>
        <v>0</v>
      </c>
      <c r="AS47" s="181">
        <f>AS29+AS35-AS41</f>
        <v>0</v>
      </c>
      <c r="AT47" s="2388">
        <f>AT29+AT35-AT41</f>
        <v>0</v>
      </c>
      <c r="AU47" s="2388">
        <f>AU29+AU35-AU41</f>
        <v>0</v>
      </c>
      <c r="AV47" s="2388">
        <f>AV29+AV35-AV41</f>
        <v>0</v>
      </c>
      <c r="AW47" s="2388">
        <f>AW29+AW35-AW41</f>
        <v>0</v>
      </c>
      <c r="AX47" s="2388">
        <f>AX29+AX35-AX41</f>
        <v>0</v>
      </c>
      <c r="AY47" s="2388">
        <f>AY29+AY35-AY41</f>
        <v>0</v>
      </c>
      <c r="AZ47" s="2388">
        <f>AZ29+AZ35-AZ41</f>
        <v>0</v>
      </c>
      <c r="BA47" s="2388">
        <f>BA29+BA35-BA41</f>
        <v>0</v>
      </c>
      <c r="BB47" s="2388">
        <f>BB29+BB35-BB41</f>
        <v>0</v>
      </c>
      <c r="BC47" s="1880"/>
      <c r="BD47" s="1412"/>
      <c r="BE47" s="1412"/>
      <c r="BF47" s="1011" t="s">
        <v>888</v>
      </c>
    </row>
    <row customHeight="1" ht="14.625" hidden="1">
      <c r="A48" s="1412"/>
      <c r="B48" s="1369"/>
      <c r="C48" s="1412"/>
      <c r="D48" s="1412"/>
      <c r="E48" s="603">
        <v>15</v>
      </c>
      <c r="F48" s="50" cm="1" t="str">
        <f t="array" ref="F48:F48">OFFSET(E48,-1,1)</f>
        <v>0</v>
      </c>
      <c r="G48" s="70" t="s">
        <v>512</v>
      </c>
      <c r="H48" s="1412"/>
      <c r="I48" s="1412"/>
      <c r="J48" s="1412"/>
      <c r="K48" s="1412"/>
      <c r="L48" s="1412"/>
      <c r="M48" s="1412"/>
      <c r="N48" s="1412"/>
      <c r="O48" s="1412"/>
      <c r="P48" s="1412"/>
      <c r="Q48" s="1412"/>
      <c r="R48" s="1412"/>
      <c r="S48" s="1412"/>
      <c r="T48" s="438" cm="1" t="str">
        <f t="array" ref="T48:T48">T47</f>
        <v>false</v>
      </c>
      <c r="U48" s="1412"/>
      <c r="V48" s="1412"/>
      <c r="W48" s="1412"/>
      <c r="X48" s="1541"/>
      <c r="Y48" s="1412"/>
      <c r="Z48" s="1542"/>
      <c r="AA48" s="1412"/>
      <c r="AB48" s="54" t="s">
        <v>649</v>
      </c>
      <c r="AC48" s="180" t="s">
        <v>848</v>
      </c>
      <c r="AD48" s="55" t="s">
        <v>789</v>
      </c>
      <c r="AE48" s="2388">
        <f>AE30+AE36-AE42</f>
        <v>0</v>
      </c>
      <c r="AF48" s="2388">
        <f>AF30+AF36-AF42</f>
        <v>0</v>
      </c>
      <c r="AG48" s="2388">
        <f>AG30+AG36-AG42</f>
        <v>0</v>
      </c>
      <c r="AH48" s="2388">
        <f>AH30+AH36-AH42</f>
        <v>0</v>
      </c>
      <c r="AI48" s="181">
        <f>AI30+AI36-AI42</f>
        <v>0</v>
      </c>
      <c r="AJ48" s="2388">
        <f>AJ30+AJ36-AJ42</f>
        <v>0</v>
      </c>
      <c r="AK48" s="2388">
        <f>AK30+AK36-AK42</f>
        <v>0</v>
      </c>
      <c r="AL48" s="2388">
        <f>AL30+AL36-AL42</f>
        <v>0</v>
      </c>
      <c r="AM48" s="2388">
        <f>AM30+AM36-AM42</f>
        <v>0</v>
      </c>
      <c r="AN48" s="2388">
        <f>AN30+AN36-AN42</f>
        <v>0</v>
      </c>
      <c r="AO48" s="2388">
        <f>AO30+AO36-AO42</f>
        <v>0</v>
      </c>
      <c r="AP48" s="2388">
        <f>AP30+AP36-AP42</f>
        <v>0</v>
      </c>
      <c r="AQ48" s="2388">
        <f>AQ30+AQ36-AQ42</f>
        <v>0</v>
      </c>
      <c r="AR48" s="2388">
        <f>AR30+AR36-AR42</f>
        <v>0</v>
      </c>
      <c r="AS48" s="181">
        <f>AS30+AS36-AS42</f>
        <v>0</v>
      </c>
      <c r="AT48" s="2388">
        <f>AT30+AT36-AT42</f>
        <v>0</v>
      </c>
      <c r="AU48" s="2388">
        <f>AU30+AU36-AU42</f>
        <v>0</v>
      </c>
      <c r="AV48" s="2388">
        <f>AV30+AV36-AV42</f>
        <v>0</v>
      </c>
      <c r="AW48" s="2388">
        <f>AW30+AW36-AW42</f>
        <v>0</v>
      </c>
      <c r="AX48" s="2388">
        <f>AX30+AX36-AX42</f>
        <v>0</v>
      </c>
      <c r="AY48" s="2388">
        <f>AY30+AY36-AY42</f>
        <v>0</v>
      </c>
      <c r="AZ48" s="2388">
        <f>AZ30+AZ36-AZ42</f>
        <v>0</v>
      </c>
      <c r="BA48" s="2388">
        <f>BA30+BA36-BA42</f>
        <v>0</v>
      </c>
      <c r="BB48" s="2388">
        <f>BB30+BB36-BB42</f>
        <v>0</v>
      </c>
      <c r="BC48" s="1880"/>
      <c r="BD48" s="1412"/>
      <c r="BE48" s="1412"/>
      <c r="BF48" s="1011" t="s">
        <v>889</v>
      </c>
    </row>
    <row customHeight="1" ht="14.625" hidden="1">
      <c r="A49" s="1412"/>
      <c r="B49" s="1369"/>
      <c r="C49" s="1412"/>
      <c r="D49" s="1412"/>
      <c r="E49" s="603">
        <v>15</v>
      </c>
      <c r="F49" s="50" cm="1" t="str">
        <f t="array" ref="F49:F49">OFFSET(E49,-1,1)</f>
        <v>0</v>
      </c>
      <c r="G49" s="70" t="s">
        <v>516</v>
      </c>
      <c r="H49" s="1412"/>
      <c r="I49" s="1412"/>
      <c r="J49" s="1412"/>
      <c r="K49" s="1412"/>
      <c r="L49" s="1412"/>
      <c r="M49" s="1412"/>
      <c r="N49" s="1412"/>
      <c r="O49" s="1412"/>
      <c r="P49" s="1412"/>
      <c r="Q49" s="1412"/>
      <c r="R49" s="1412"/>
      <c r="S49" s="1412"/>
      <c r="T49" s="438" cm="1" t="str">
        <f t="array" ref="T49:T49">T48</f>
        <v>false</v>
      </c>
      <c r="U49" s="1412"/>
      <c r="V49" s="1412"/>
      <c r="W49" s="1412"/>
      <c r="X49" s="1541"/>
      <c r="Y49" s="1412"/>
      <c r="Z49" s="1542"/>
      <c r="AA49" s="1412"/>
      <c r="AB49" s="54" t="s">
        <v>683</v>
      </c>
      <c r="AC49" s="180" t="s">
        <v>851</v>
      </c>
      <c r="AD49" s="55" t="s">
        <v>789</v>
      </c>
      <c r="AE49" s="2388">
        <f>AE31+AE37-AE43</f>
        <v>0</v>
      </c>
      <c r="AF49" s="2388">
        <f>AF31+AF37-AF43</f>
        <v>0</v>
      </c>
      <c r="AG49" s="2388">
        <f>AG31+AG37-AG43</f>
        <v>0</v>
      </c>
      <c r="AH49" s="2388">
        <f>AH31+AH37-AH43</f>
        <v>0</v>
      </c>
      <c r="AI49" s="181">
        <f>AI31+AI37-AI43</f>
        <v>0</v>
      </c>
      <c r="AJ49" s="2388">
        <f>AJ31+AJ37-AJ43</f>
        <v>0</v>
      </c>
      <c r="AK49" s="2388">
        <f>AK31+AK37-AK43</f>
        <v>0</v>
      </c>
      <c r="AL49" s="2388">
        <f>AL31+AL37-AL43</f>
        <v>0</v>
      </c>
      <c r="AM49" s="2388">
        <f>AM31+AM37-AM43</f>
        <v>0</v>
      </c>
      <c r="AN49" s="2388">
        <f>AN31+AN37-AN43</f>
        <v>0</v>
      </c>
      <c r="AO49" s="2388">
        <f>AO31+AO37-AO43</f>
        <v>0</v>
      </c>
      <c r="AP49" s="2388">
        <f>AP31+AP37-AP43</f>
        <v>0</v>
      </c>
      <c r="AQ49" s="2388">
        <f>AQ31+AQ37-AQ43</f>
        <v>0</v>
      </c>
      <c r="AR49" s="2388">
        <f>AR31+AR37-AR43</f>
        <v>0</v>
      </c>
      <c r="AS49" s="181">
        <f>AS31+AS37-AS43</f>
        <v>0</v>
      </c>
      <c r="AT49" s="2388">
        <f>AT31+AT37-AT43</f>
        <v>0</v>
      </c>
      <c r="AU49" s="2388">
        <f>AU31+AU37-AU43</f>
        <v>0</v>
      </c>
      <c r="AV49" s="2388">
        <f>AV31+AV37-AV43</f>
        <v>0</v>
      </c>
      <c r="AW49" s="2388">
        <f>AW31+AW37-AW43</f>
        <v>0</v>
      </c>
      <c r="AX49" s="2388">
        <f>AX31+AX37-AX43</f>
        <v>0</v>
      </c>
      <c r="AY49" s="2388">
        <f>AY31+AY37-AY43</f>
        <v>0</v>
      </c>
      <c r="AZ49" s="2388">
        <f>AZ31+AZ37-AZ43</f>
        <v>0</v>
      </c>
      <c r="BA49" s="2388">
        <f>BA31+BA37-BA43</f>
        <v>0</v>
      </c>
      <c r="BB49" s="2388">
        <f>BB31+BB37-BB43</f>
        <v>0</v>
      </c>
      <c r="BC49" s="1880"/>
      <c r="BD49" s="1412"/>
      <c r="BE49" s="1412"/>
      <c r="BF49" s="1011" t="s">
        <v>890</v>
      </c>
    </row>
    <row customHeight="1" ht="14.625" hidden="1">
      <c r="A50" s="1412"/>
      <c r="B50" s="1369"/>
      <c r="C50" s="1412"/>
      <c r="D50" s="1412"/>
      <c r="E50" s="603">
        <v>15</v>
      </c>
      <c r="F50" s="50" cm="1" t="str">
        <f t="array" ref="F50:F50">OFFSET(E50,-1,1)</f>
        <v>0</v>
      </c>
      <c r="G50" s="70" t="s">
        <v>891</v>
      </c>
      <c r="H50" s="1412"/>
      <c r="I50" s="1412"/>
      <c r="J50" s="1412"/>
      <c r="K50" s="1412"/>
      <c r="L50" s="1412"/>
      <c r="M50" s="1412"/>
      <c r="N50" s="1412"/>
      <c r="O50" s="1412"/>
      <c r="P50" s="1412"/>
      <c r="Q50" s="1412"/>
      <c r="R50" s="1412"/>
      <c r="S50" s="1412"/>
      <c r="T50" s="438" cm="1" t="str">
        <f t="array" ref="T50:T50">T49</f>
        <v>false</v>
      </c>
      <c r="U50" s="1412"/>
      <c r="V50" s="1412"/>
      <c r="W50" s="1412"/>
      <c r="X50" s="1541"/>
      <c r="Y50" s="1412"/>
      <c r="Z50" s="1542"/>
      <c r="AA50" s="1412"/>
      <c r="AB50" s="54" t="s">
        <v>692</v>
      </c>
      <c r="AC50" s="180" t="s">
        <v>854</v>
      </c>
      <c r="AD50" s="55" t="s">
        <v>789</v>
      </c>
      <c r="AE50" s="2388">
        <f>AE32+AE38-AE44</f>
        <v>0</v>
      </c>
      <c r="AF50" s="2388">
        <f>AF32+AF38-AF44</f>
        <v>0</v>
      </c>
      <c r="AG50" s="2388">
        <f>AG32+AG38-AG44</f>
        <v>0</v>
      </c>
      <c r="AH50" s="2388">
        <f>AH32+AH38-AH44</f>
        <v>0</v>
      </c>
      <c r="AI50" s="181">
        <f>AI32+AI38-AI44</f>
        <v>0</v>
      </c>
      <c r="AJ50" s="2388">
        <f>AJ32+AJ38-AJ44</f>
        <v>0</v>
      </c>
      <c r="AK50" s="2388">
        <f>AK32+AK38-AK44</f>
        <v>0</v>
      </c>
      <c r="AL50" s="2388">
        <f>AL32+AL38-AL44</f>
        <v>0</v>
      </c>
      <c r="AM50" s="2388">
        <f>AM32+AM38-AM44</f>
        <v>0</v>
      </c>
      <c r="AN50" s="2388">
        <f>AN32+AN38-AN44</f>
        <v>0</v>
      </c>
      <c r="AO50" s="2388">
        <f>AO32+AO38-AO44</f>
        <v>0</v>
      </c>
      <c r="AP50" s="2388">
        <f>AP32+AP38-AP44</f>
        <v>0</v>
      </c>
      <c r="AQ50" s="2388">
        <f>AQ32+AQ38-AQ44</f>
        <v>0</v>
      </c>
      <c r="AR50" s="2388">
        <f>AR32+AR38-AR44</f>
        <v>0</v>
      </c>
      <c r="AS50" s="181">
        <f>AS32+AS38-AS44</f>
        <v>0</v>
      </c>
      <c r="AT50" s="2388">
        <f>AT32+AT38-AT44</f>
        <v>0</v>
      </c>
      <c r="AU50" s="2388">
        <f>AU32+AU38-AU44</f>
        <v>0</v>
      </c>
      <c r="AV50" s="2388">
        <f>AV32+AV38-AV44</f>
        <v>0</v>
      </c>
      <c r="AW50" s="2388">
        <f>AW32+AW38-AW44</f>
        <v>0</v>
      </c>
      <c r="AX50" s="2388">
        <f>AX32+AX38-AX44</f>
        <v>0</v>
      </c>
      <c r="AY50" s="2388">
        <f>AY32+AY38-AY44</f>
        <v>0</v>
      </c>
      <c r="AZ50" s="2388">
        <f>AZ32+AZ38-AZ44</f>
        <v>0</v>
      </c>
      <c r="BA50" s="2388">
        <f>BA32+BA38-BA44</f>
        <v>0</v>
      </c>
      <c r="BB50" s="2388">
        <f>BB32+BB38-BB44</f>
        <v>0</v>
      </c>
      <c r="BC50" s="1880"/>
      <c r="BD50" s="1412"/>
      <c r="BE50" s="1412"/>
      <c r="BF50" s="1011" t="s">
        <v>892</v>
      </c>
    </row>
    <row customHeight="1" ht="14.625" hidden="1">
      <c r="A51" s="1412"/>
      <c r="B51" s="1369"/>
      <c r="C51" s="1412"/>
      <c r="D51" s="1412"/>
      <c r="E51" s="603">
        <v>15</v>
      </c>
      <c r="F51" s="50" cm="1" t="str">
        <f t="array" ref="F51:F51">OFFSET(E51,-1,1)</f>
        <v>0</v>
      </c>
      <c r="G51" s="70" t="s">
        <v>893</v>
      </c>
      <c r="H51" s="1412"/>
      <c r="I51" s="1412"/>
      <c r="J51" s="1412"/>
      <c r="K51" s="1412"/>
      <c r="L51" s="1412"/>
      <c r="M51" s="1412"/>
      <c r="N51" s="1412"/>
      <c r="O51" s="1412"/>
      <c r="P51" s="1412"/>
      <c r="Q51" s="1412"/>
      <c r="R51" s="1412"/>
      <c r="S51" s="1412"/>
      <c r="T51" s="438" cm="1" t="str">
        <f t="array" ref="T51:T51">T50</f>
        <v>false</v>
      </c>
      <c r="U51" s="1412"/>
      <c r="V51" s="1412"/>
      <c r="W51" s="1412"/>
      <c r="X51" s="1541"/>
      <c r="Y51" s="1412"/>
      <c r="Z51" s="1542"/>
      <c r="AA51" s="1412"/>
      <c r="AB51" s="54" t="s">
        <v>702</v>
      </c>
      <c r="AC51" s="180" t="s">
        <v>858</v>
      </c>
      <c r="AD51" s="55" t="s">
        <v>789</v>
      </c>
      <c r="AE51" s="2388">
        <f>AE33+AE39-AE45</f>
        <v>0</v>
      </c>
      <c r="AF51" s="2388">
        <f>AF33+AF39-AF45</f>
        <v>0</v>
      </c>
      <c r="AG51" s="2388">
        <f>AG33+AG39-AG45</f>
        <v>0</v>
      </c>
      <c r="AH51" s="2388">
        <f>AH33+AH39-AH45</f>
        <v>0</v>
      </c>
      <c r="AI51" s="181">
        <f>AI33+AI39-AI45</f>
        <v>0</v>
      </c>
      <c r="AJ51" s="2388">
        <f>AJ33+AJ39-AJ45</f>
        <v>0</v>
      </c>
      <c r="AK51" s="2388">
        <f>AK33+AK39-AK45</f>
        <v>0</v>
      </c>
      <c r="AL51" s="2388">
        <f>AL33+AL39-AL45</f>
        <v>0</v>
      </c>
      <c r="AM51" s="2388">
        <f>AM33+AM39-AM45</f>
        <v>0</v>
      </c>
      <c r="AN51" s="2388">
        <f>AN33+AN39-AN45</f>
        <v>0</v>
      </c>
      <c r="AO51" s="2388">
        <f>AO33+AO39-AO45</f>
        <v>0</v>
      </c>
      <c r="AP51" s="2388">
        <f>AP33+AP39-AP45</f>
        <v>0</v>
      </c>
      <c r="AQ51" s="2388">
        <f>AQ33+AQ39-AQ45</f>
        <v>0</v>
      </c>
      <c r="AR51" s="2388">
        <f>AR33+AR39-AR45</f>
        <v>0</v>
      </c>
      <c r="AS51" s="181">
        <f>AS33+AS39-AS45</f>
        <v>0</v>
      </c>
      <c r="AT51" s="2388">
        <f>AT33+AT39-AT45</f>
        <v>0</v>
      </c>
      <c r="AU51" s="2388">
        <f>AU33+AU39-AU45</f>
        <v>0</v>
      </c>
      <c r="AV51" s="2388">
        <f>AV33+AV39-AV45</f>
        <v>0</v>
      </c>
      <c r="AW51" s="2388">
        <f>AW33+AW39-AW45</f>
        <v>0</v>
      </c>
      <c r="AX51" s="2388">
        <f>AX33+AX39-AX45</f>
        <v>0</v>
      </c>
      <c r="AY51" s="2388">
        <f>AY33+AY39-AY45</f>
        <v>0</v>
      </c>
      <c r="AZ51" s="2388">
        <f>AZ33+AZ39-AZ45</f>
        <v>0</v>
      </c>
      <c r="BA51" s="2388">
        <f>BA33+BA39-BA45</f>
        <v>0</v>
      </c>
      <c r="BB51" s="2388">
        <f>BB33+BB39-BB45</f>
        <v>0</v>
      </c>
      <c r="BC51" s="1880"/>
      <c r="BD51" s="1412"/>
      <c r="BE51" s="1412"/>
      <c r="BF51" s="1011" t="s">
        <v>894</v>
      </c>
    </row>
    <row s="498" customFormat="1" customHeight="1" ht="14.625" hidden="1">
      <c r="A52" s="498"/>
      <c r="B52" s="403"/>
      <c r="C52" s="498"/>
      <c r="D52" s="498"/>
      <c r="E52" s="603">
        <v>15</v>
      </c>
      <c r="F52" s="50" cm="1" t="str">
        <f t="array" ref="F52:F52">OFFSET(E52,-1,1)</f>
        <v>0</v>
      </c>
      <c r="G52" s="70" t="s">
        <v>324</v>
      </c>
      <c r="H52" s="498"/>
      <c r="I52" s="498"/>
      <c r="J52" s="498"/>
      <c r="K52" s="498"/>
      <c r="L52" s="498"/>
      <c r="M52" s="498"/>
      <c r="N52" s="498"/>
      <c r="O52" s="498"/>
      <c r="P52" s="498"/>
      <c r="Q52" s="498"/>
      <c r="R52" s="498"/>
      <c r="S52" s="498"/>
      <c r="T52" s="438" cm="1" t="str">
        <f t="array" ref="T52:T52">T51</f>
        <v>false</v>
      </c>
      <c r="U52" s="498"/>
      <c r="V52" s="498"/>
      <c r="W52" s="498"/>
      <c r="X52" s="1541"/>
      <c r="Y52" s="498"/>
      <c r="Z52" s="1542"/>
      <c r="AA52" s="498"/>
      <c r="AB52" s="177">
        <v>5</v>
      </c>
      <c r="AC52" s="178" t="s">
        <v>895</v>
      </c>
      <c r="AD52" s="55" t="s">
        <v>789</v>
      </c>
      <c r="AE52" s="2385">
        <f>SUM(AE53:AE57)</f>
        <v>0</v>
      </c>
      <c r="AF52" s="2385">
        <f>SUM(AF53:AF57)</f>
        <v>0</v>
      </c>
      <c r="AG52" s="2385">
        <f>SUM(AG53:AG57)</f>
        <v>0</v>
      </c>
      <c r="AH52" s="2385">
        <f>SUM(AH53:AH57)</f>
        <v>0</v>
      </c>
      <c r="AI52" s="1176">
        <f>SUM(AI53:AI57)</f>
        <v>0</v>
      </c>
      <c r="AJ52" s="2385">
        <f>SUM(AJ53:AJ57)</f>
        <v>0</v>
      </c>
      <c r="AK52" s="2385">
        <f>SUM(AK53:AK57)</f>
        <v>0</v>
      </c>
      <c r="AL52" s="2385">
        <f>SUM(AL53:AL57)</f>
        <v>0</v>
      </c>
      <c r="AM52" s="2385">
        <f>SUM(AM53:AM57)</f>
        <v>0</v>
      </c>
      <c r="AN52" s="2385">
        <f>SUM(AN53:AN57)</f>
        <v>0</v>
      </c>
      <c r="AO52" s="2385">
        <f>SUM(AO53:AO57)</f>
        <v>0</v>
      </c>
      <c r="AP52" s="2385">
        <f>SUM(AP53:AP57)</f>
        <v>0</v>
      </c>
      <c r="AQ52" s="2385">
        <f>SUM(AQ53:AQ57)</f>
        <v>0</v>
      </c>
      <c r="AR52" s="2385">
        <f>SUM(AR53:AR57)</f>
        <v>0</v>
      </c>
      <c r="AS52" s="1176">
        <f>SUM(AS53:AS57)</f>
        <v>0</v>
      </c>
      <c r="AT52" s="2385">
        <f>SUM(AT53:AT57)</f>
        <v>0</v>
      </c>
      <c r="AU52" s="2385">
        <f>SUM(AU53:AU57)</f>
        <v>0</v>
      </c>
      <c r="AV52" s="2385">
        <f>SUM(AV53:AV57)</f>
        <v>0</v>
      </c>
      <c r="AW52" s="2385">
        <f>SUM(AW53:AW57)</f>
        <v>0</v>
      </c>
      <c r="AX52" s="2385">
        <f>SUM(AX53:AX57)</f>
        <v>0</v>
      </c>
      <c r="AY52" s="2385">
        <f>SUM(AY53:AY57)</f>
        <v>0</v>
      </c>
      <c r="AZ52" s="2385">
        <f>SUM(AZ53:AZ57)</f>
        <v>0</v>
      </c>
      <c r="BA52" s="2385">
        <f>SUM(BA53:BA57)</f>
        <v>0</v>
      </c>
      <c r="BB52" s="2385">
        <f>SUM(BB53:BB57)</f>
        <v>0</v>
      </c>
      <c r="BC52" s="1880"/>
      <c r="BD52" s="498"/>
      <c r="BE52" s="498"/>
      <c r="BF52" s="1011" t="s">
        <v>896</v>
      </c>
    </row>
    <row customHeight="1" ht="14.625" hidden="1">
      <c r="A53" s="1412"/>
      <c r="B53" s="1369"/>
      <c r="C53" s="1412"/>
      <c r="D53" s="1412"/>
      <c r="E53" s="603">
        <v>15</v>
      </c>
      <c r="F53" s="50" cm="1" t="str">
        <f t="array" ref="F53:F53">OFFSET(E53,-1,1)</f>
        <v>0</v>
      </c>
      <c r="G53" s="70" t="s">
        <v>522</v>
      </c>
      <c r="H53" s="1412"/>
      <c r="I53" s="1412"/>
      <c r="J53" s="1412"/>
      <c r="K53" s="1412"/>
      <c r="L53" s="1412"/>
      <c r="M53" s="1412"/>
      <c r="N53" s="1412"/>
      <c r="O53" s="1412"/>
      <c r="P53" s="1412"/>
      <c r="Q53" s="1412"/>
      <c r="R53" s="1412"/>
      <c r="S53" s="1412"/>
      <c r="T53" s="438" cm="1" t="str">
        <f t="array" ref="T53:T53">T52</f>
        <v>false</v>
      </c>
      <c r="U53" s="1412"/>
      <c r="V53" s="1412"/>
      <c r="W53" s="1412"/>
      <c r="X53" s="1541"/>
      <c r="Y53" s="1412"/>
      <c r="Z53" s="1542"/>
      <c r="AA53" s="1412"/>
      <c r="AB53" s="54" t="s">
        <v>653</v>
      </c>
      <c r="AC53" s="180" t="s">
        <v>845</v>
      </c>
      <c r="AD53" s="55" t="s">
        <v>789</v>
      </c>
      <c r="AE53" s="2388">
        <f>(AE47+AE29)/2</f>
        <v>0</v>
      </c>
      <c r="AF53" s="2388">
        <f>(AF47+AF29)/2</f>
        <v>0</v>
      </c>
      <c r="AG53" s="2388">
        <f>(AG47+AG29)/2</f>
        <v>0</v>
      </c>
      <c r="AH53" s="2388">
        <f>(AH47+AH29)/2</f>
        <v>0</v>
      </c>
      <c r="AI53" s="181">
        <f>(AI47+AI29)/2</f>
        <v>0</v>
      </c>
      <c r="AJ53" s="2388">
        <f>(AJ47+AJ29)/2</f>
        <v>0</v>
      </c>
      <c r="AK53" s="2388">
        <f>(AK47+AK29)/2</f>
        <v>0</v>
      </c>
      <c r="AL53" s="2388">
        <f>(AL47+AL29)/2</f>
        <v>0</v>
      </c>
      <c r="AM53" s="2388">
        <f>(AM47+AM29)/2</f>
        <v>0</v>
      </c>
      <c r="AN53" s="2388">
        <f>(AN47+AN29)/2</f>
        <v>0</v>
      </c>
      <c r="AO53" s="2388">
        <f>(AO47+AO29)/2</f>
        <v>0</v>
      </c>
      <c r="AP53" s="2388">
        <f>(AP47+AP29)/2</f>
        <v>0</v>
      </c>
      <c r="AQ53" s="2388">
        <f>(AQ47+AQ29)/2</f>
        <v>0</v>
      </c>
      <c r="AR53" s="2388">
        <f>(AR47+AR29)/2</f>
        <v>0</v>
      </c>
      <c r="AS53" s="181">
        <f>(AS47+AS29)/2</f>
        <v>0</v>
      </c>
      <c r="AT53" s="2388">
        <f>(AT47+AT29)/2</f>
        <v>0</v>
      </c>
      <c r="AU53" s="2388">
        <f>(AU47+AU29)/2</f>
        <v>0</v>
      </c>
      <c r="AV53" s="2388">
        <f>(AV47+AV29)/2</f>
        <v>0</v>
      </c>
      <c r="AW53" s="2388">
        <f>(AW47+AW29)/2</f>
        <v>0</v>
      </c>
      <c r="AX53" s="2388">
        <f>(AX47+AX29)/2</f>
        <v>0</v>
      </c>
      <c r="AY53" s="2388">
        <f>(AY47+AY29)/2</f>
        <v>0</v>
      </c>
      <c r="AZ53" s="2388">
        <f>(AZ47+AZ29)/2</f>
        <v>0</v>
      </c>
      <c r="BA53" s="2388">
        <f>(BA47+BA29)/2</f>
        <v>0</v>
      </c>
      <c r="BB53" s="2388">
        <f>(BB47+BB29)/2</f>
        <v>0</v>
      </c>
      <c r="BC53" s="1880"/>
      <c r="BD53" s="1412"/>
      <c r="BE53" s="1412"/>
      <c r="BF53" s="1011" t="s">
        <v>897</v>
      </c>
    </row>
    <row customHeight="1" ht="14.625" hidden="1">
      <c r="A54" s="1412"/>
      <c r="B54" s="1369"/>
      <c r="C54" s="1412"/>
      <c r="D54" s="1412"/>
      <c r="E54" s="603">
        <v>15</v>
      </c>
      <c r="F54" s="50" cm="1" t="str">
        <f t="array" ref="F54:F54">OFFSET(E54,-1,1)</f>
        <v>0</v>
      </c>
      <c r="G54" s="70" t="s">
        <v>526</v>
      </c>
      <c r="H54" s="1412"/>
      <c r="I54" s="1412"/>
      <c r="J54" s="1412"/>
      <c r="K54" s="1412"/>
      <c r="L54" s="1412"/>
      <c r="M54" s="1412"/>
      <c r="N54" s="1412"/>
      <c r="O54" s="1412"/>
      <c r="P54" s="1412"/>
      <c r="Q54" s="1412"/>
      <c r="R54" s="1412"/>
      <c r="S54" s="1412"/>
      <c r="T54" s="438" cm="1" t="str">
        <f t="array" ref="T54:T54">T53</f>
        <v>false</v>
      </c>
      <c r="U54" s="1412"/>
      <c r="V54" s="1412"/>
      <c r="W54" s="1412"/>
      <c r="X54" s="1541"/>
      <c r="Y54" s="1412"/>
      <c r="Z54" s="1542"/>
      <c r="AA54" s="1412"/>
      <c r="AB54" s="54" t="s">
        <v>656</v>
      </c>
      <c r="AC54" s="180" t="s">
        <v>848</v>
      </c>
      <c r="AD54" s="55" t="s">
        <v>789</v>
      </c>
      <c r="AE54" s="2388">
        <f>(AE48+AE30)/2</f>
        <v>0</v>
      </c>
      <c r="AF54" s="2388">
        <f>(AF48+AF30)/2</f>
        <v>0</v>
      </c>
      <c r="AG54" s="2388">
        <f>(AG48+AG30)/2</f>
        <v>0</v>
      </c>
      <c r="AH54" s="2388">
        <f>(AH48+AH30)/2</f>
        <v>0</v>
      </c>
      <c r="AI54" s="181">
        <f>(AI48+AI30)/2</f>
        <v>0</v>
      </c>
      <c r="AJ54" s="2388">
        <f>(AJ48+AJ30)/2</f>
        <v>0</v>
      </c>
      <c r="AK54" s="2388">
        <f>(AK48+AK30)/2</f>
        <v>0</v>
      </c>
      <c r="AL54" s="2388">
        <f>(AL48+AL30)/2</f>
        <v>0</v>
      </c>
      <c r="AM54" s="2388">
        <f>(AM48+AM30)/2</f>
        <v>0</v>
      </c>
      <c r="AN54" s="2388">
        <f>(AN48+AN30)/2</f>
        <v>0</v>
      </c>
      <c r="AO54" s="2388">
        <f>(AO48+AO30)/2</f>
        <v>0</v>
      </c>
      <c r="AP54" s="2388">
        <f>(AP48+AP30)/2</f>
        <v>0</v>
      </c>
      <c r="AQ54" s="2388">
        <f>(AQ48+AQ30)/2</f>
        <v>0</v>
      </c>
      <c r="AR54" s="2388">
        <f>(AR48+AR30)/2</f>
        <v>0</v>
      </c>
      <c r="AS54" s="181">
        <f>(AS48+AS30)/2</f>
        <v>0</v>
      </c>
      <c r="AT54" s="2388">
        <f>(AT48+AT30)/2</f>
        <v>0</v>
      </c>
      <c r="AU54" s="2388">
        <f>(AU48+AU30)/2</f>
        <v>0</v>
      </c>
      <c r="AV54" s="2388">
        <f>(AV48+AV30)/2</f>
        <v>0</v>
      </c>
      <c r="AW54" s="2388">
        <f>(AW48+AW30)/2</f>
        <v>0</v>
      </c>
      <c r="AX54" s="2388">
        <f>(AX48+AX30)/2</f>
        <v>0</v>
      </c>
      <c r="AY54" s="2388">
        <f>(AY48+AY30)/2</f>
        <v>0</v>
      </c>
      <c r="AZ54" s="2388">
        <f>(AZ48+AZ30)/2</f>
        <v>0</v>
      </c>
      <c r="BA54" s="2388">
        <f>(BA48+BA30)/2</f>
        <v>0</v>
      </c>
      <c r="BB54" s="2388">
        <f>(BB48+BB30)/2</f>
        <v>0</v>
      </c>
      <c r="BC54" s="1880"/>
      <c r="BD54" s="1412"/>
      <c r="BE54" s="1412"/>
      <c r="BF54" s="1011" t="s">
        <v>898</v>
      </c>
    </row>
    <row customHeight="1" ht="14.625" hidden="1">
      <c r="A55" s="1412"/>
      <c r="B55" s="1369"/>
      <c r="C55" s="1412"/>
      <c r="D55" s="1412"/>
      <c r="E55" s="603">
        <v>15</v>
      </c>
      <c r="F55" s="50" cm="1" t="str">
        <f t="array" ref="F55:F55">OFFSET(E55,-1,1)</f>
        <v>0</v>
      </c>
      <c r="G55" s="70" t="s">
        <v>743</v>
      </c>
      <c r="H55" s="1412"/>
      <c r="I55" s="1412"/>
      <c r="J55" s="1412"/>
      <c r="K55" s="1412"/>
      <c r="L55" s="1412"/>
      <c r="M55" s="1412"/>
      <c r="N55" s="1412"/>
      <c r="O55" s="1412"/>
      <c r="P55" s="1412"/>
      <c r="Q55" s="1412"/>
      <c r="R55" s="1412"/>
      <c r="S55" s="1412"/>
      <c r="T55" s="438" cm="1" t="str">
        <f t="array" ref="T55:T55">T54</f>
        <v>false</v>
      </c>
      <c r="U55" s="1412"/>
      <c r="V55" s="1412"/>
      <c r="W55" s="1412"/>
      <c r="X55" s="1541"/>
      <c r="Y55" s="1412"/>
      <c r="Z55" s="1542"/>
      <c r="AA55" s="1412"/>
      <c r="AB55" s="54" t="s">
        <v>899</v>
      </c>
      <c r="AC55" s="180" t="s">
        <v>851</v>
      </c>
      <c r="AD55" s="55" t="s">
        <v>789</v>
      </c>
      <c r="AE55" s="2388">
        <f>(AE49+AE31)/2</f>
        <v>0</v>
      </c>
      <c r="AF55" s="2388">
        <f>(AF49+AF31)/2</f>
        <v>0</v>
      </c>
      <c r="AG55" s="2388">
        <f>(AG49+AG31)/2</f>
        <v>0</v>
      </c>
      <c r="AH55" s="2388">
        <f>(AH49+AH31)/2</f>
        <v>0</v>
      </c>
      <c r="AI55" s="181">
        <f>(AI49+AI31)/2</f>
        <v>0</v>
      </c>
      <c r="AJ55" s="2388">
        <f>(AJ49+AJ31)/2</f>
        <v>0</v>
      </c>
      <c r="AK55" s="2388">
        <f>(AK49+AK31)/2</f>
        <v>0</v>
      </c>
      <c r="AL55" s="2388">
        <f>(AL49+AL31)/2</f>
        <v>0</v>
      </c>
      <c r="AM55" s="2388">
        <f>(AM49+AM31)/2</f>
        <v>0</v>
      </c>
      <c r="AN55" s="2388">
        <f>(AN49+AN31)/2</f>
        <v>0</v>
      </c>
      <c r="AO55" s="2388">
        <f>(AO49+AO31)/2</f>
        <v>0</v>
      </c>
      <c r="AP55" s="2388">
        <f>(AP49+AP31)/2</f>
        <v>0</v>
      </c>
      <c r="AQ55" s="2388">
        <f>(AQ49+AQ31)/2</f>
        <v>0</v>
      </c>
      <c r="AR55" s="2388">
        <f>(AR49+AR31)/2</f>
        <v>0</v>
      </c>
      <c r="AS55" s="181">
        <f>(AS49+AS31)/2</f>
        <v>0</v>
      </c>
      <c r="AT55" s="2388">
        <f>(AT49+AT31)/2</f>
        <v>0</v>
      </c>
      <c r="AU55" s="2388">
        <f>(AU49+AU31)/2</f>
        <v>0</v>
      </c>
      <c r="AV55" s="2388">
        <f>(AV49+AV31)/2</f>
        <v>0</v>
      </c>
      <c r="AW55" s="2388">
        <f>(AW49+AW31)/2</f>
        <v>0</v>
      </c>
      <c r="AX55" s="2388">
        <f>(AX49+AX31)/2</f>
        <v>0</v>
      </c>
      <c r="AY55" s="2388">
        <f>(AY49+AY31)/2</f>
        <v>0</v>
      </c>
      <c r="AZ55" s="2388">
        <f>(AZ49+AZ31)/2</f>
        <v>0</v>
      </c>
      <c r="BA55" s="2388">
        <f>(BA49+BA31)/2</f>
        <v>0</v>
      </c>
      <c r="BB55" s="2388">
        <f>(BB49+BB31)/2</f>
        <v>0</v>
      </c>
      <c r="BC55" s="1880"/>
      <c r="BD55" s="1412"/>
      <c r="BE55" s="1412"/>
      <c r="BF55" s="1011" t="s">
        <v>900</v>
      </c>
    </row>
    <row customHeight="1" ht="14.625" hidden="1">
      <c r="A56" s="1412"/>
      <c r="B56" s="1369"/>
      <c r="C56" s="1412"/>
      <c r="D56" s="1412"/>
      <c r="E56" s="603">
        <v>15</v>
      </c>
      <c r="F56" s="50" cm="1" t="str">
        <f t="array" ref="F56:F56">OFFSET(E56,-1,1)</f>
        <v>0</v>
      </c>
      <c r="G56" s="70" t="s">
        <v>901</v>
      </c>
      <c r="H56" s="1412"/>
      <c r="I56" s="1412"/>
      <c r="J56" s="1412"/>
      <c r="K56" s="1412"/>
      <c r="L56" s="1412"/>
      <c r="M56" s="1412"/>
      <c r="N56" s="1412"/>
      <c r="O56" s="1412"/>
      <c r="P56" s="1412"/>
      <c r="Q56" s="1412"/>
      <c r="R56" s="1412"/>
      <c r="S56" s="1412"/>
      <c r="T56" s="438" cm="1" t="str">
        <f t="array" ref="T56:T56">T55</f>
        <v>false</v>
      </c>
      <c r="U56" s="1412"/>
      <c r="V56" s="1412"/>
      <c r="W56" s="1412"/>
      <c r="X56" s="1541"/>
      <c r="Y56" s="1412"/>
      <c r="Z56" s="1542"/>
      <c r="AA56" s="1412"/>
      <c r="AB56" s="54" t="s">
        <v>902</v>
      </c>
      <c r="AC56" s="180" t="s">
        <v>854</v>
      </c>
      <c r="AD56" s="55" t="s">
        <v>789</v>
      </c>
      <c r="AE56" s="2388">
        <f>(AE50+AE32)/2</f>
        <v>0</v>
      </c>
      <c r="AF56" s="2388">
        <f>(AF50+AF32)/2</f>
        <v>0</v>
      </c>
      <c r="AG56" s="2388">
        <f>(AG50+AG32)/2</f>
        <v>0</v>
      </c>
      <c r="AH56" s="2388">
        <f>(AH50+AH32)/2</f>
        <v>0</v>
      </c>
      <c r="AI56" s="181">
        <f>(AI50+AI32)/2</f>
        <v>0</v>
      </c>
      <c r="AJ56" s="2388">
        <f>(AJ50+AJ32)/2</f>
        <v>0</v>
      </c>
      <c r="AK56" s="2388">
        <f>(AK50+AK32)/2</f>
        <v>0</v>
      </c>
      <c r="AL56" s="2388">
        <f>(AL50+AL32)/2</f>
        <v>0</v>
      </c>
      <c r="AM56" s="2388">
        <f>(AM50+AM32)/2</f>
        <v>0</v>
      </c>
      <c r="AN56" s="2388">
        <f>(AN50+AN32)/2</f>
        <v>0</v>
      </c>
      <c r="AO56" s="2388">
        <f>(AO50+AO32)/2</f>
        <v>0</v>
      </c>
      <c r="AP56" s="2388">
        <f>(AP50+AP32)/2</f>
        <v>0</v>
      </c>
      <c r="AQ56" s="2388">
        <f>(AQ50+AQ32)/2</f>
        <v>0</v>
      </c>
      <c r="AR56" s="2388">
        <f>(AR50+AR32)/2</f>
        <v>0</v>
      </c>
      <c r="AS56" s="181">
        <f>(AS50+AS32)/2</f>
        <v>0</v>
      </c>
      <c r="AT56" s="2388">
        <f>(AT50+AT32)/2</f>
        <v>0</v>
      </c>
      <c r="AU56" s="2388">
        <f>(AU50+AU32)/2</f>
        <v>0</v>
      </c>
      <c r="AV56" s="2388">
        <f>(AV50+AV32)/2</f>
        <v>0</v>
      </c>
      <c r="AW56" s="2388">
        <f>(AW50+AW32)/2</f>
        <v>0</v>
      </c>
      <c r="AX56" s="2388">
        <f>(AX50+AX32)/2</f>
        <v>0</v>
      </c>
      <c r="AY56" s="2388">
        <f>(AY50+AY32)/2</f>
        <v>0</v>
      </c>
      <c r="AZ56" s="2388">
        <f>(AZ50+AZ32)/2</f>
        <v>0</v>
      </c>
      <c r="BA56" s="2388">
        <f>(BA50+BA32)/2</f>
        <v>0</v>
      </c>
      <c r="BB56" s="2388">
        <f>(BB50+BB32)/2</f>
        <v>0</v>
      </c>
      <c r="BC56" s="1880"/>
      <c r="BD56" s="1412"/>
      <c r="BE56" s="1412"/>
      <c r="BF56" s="1011" t="s">
        <v>903</v>
      </c>
    </row>
    <row customHeight="1" ht="14.625" hidden="1">
      <c r="A57" s="1412"/>
      <c r="B57" s="1369"/>
      <c r="C57" s="1412"/>
      <c r="D57" s="1412"/>
      <c r="E57" s="603">
        <v>15</v>
      </c>
      <c r="F57" s="50" cm="1" t="str">
        <f t="array" ref="F57:F57">OFFSET(E57,-1,1)</f>
        <v>0</v>
      </c>
      <c r="G57" s="70" t="s">
        <v>904</v>
      </c>
      <c r="H57" s="1412"/>
      <c r="I57" s="1412"/>
      <c r="J57" s="1412"/>
      <c r="K57" s="1412"/>
      <c r="L57" s="1412"/>
      <c r="M57" s="1412"/>
      <c r="N57" s="1412"/>
      <c r="O57" s="1412"/>
      <c r="P57" s="1412"/>
      <c r="Q57" s="1412"/>
      <c r="R57" s="1412"/>
      <c r="S57" s="1412"/>
      <c r="T57" s="438" cm="1" t="str">
        <f t="array" ref="T57:T57">T56</f>
        <v>false</v>
      </c>
      <c r="U57" s="1412"/>
      <c r="V57" s="1412"/>
      <c r="W57" s="1412"/>
      <c r="X57" s="1541"/>
      <c r="Y57" s="1412"/>
      <c r="Z57" s="1542"/>
      <c r="AA57" s="1412"/>
      <c r="AB57" s="54" t="s">
        <v>905</v>
      </c>
      <c r="AC57" s="180" t="s">
        <v>858</v>
      </c>
      <c r="AD57" s="55" t="s">
        <v>789</v>
      </c>
      <c r="AE57" s="2388">
        <f>(AE51+AE33)/2</f>
        <v>0</v>
      </c>
      <c r="AF57" s="2388">
        <f>(AF51+AF33)/2</f>
        <v>0</v>
      </c>
      <c r="AG57" s="2388">
        <f>(AG51+AG33)/2</f>
        <v>0</v>
      </c>
      <c r="AH57" s="2388">
        <f>(AH51+AH33)/2</f>
        <v>0</v>
      </c>
      <c r="AI57" s="181">
        <f>(AI51+AI33)/2</f>
        <v>0</v>
      </c>
      <c r="AJ57" s="2388">
        <f>(AJ51+AJ33)/2</f>
        <v>0</v>
      </c>
      <c r="AK57" s="2388">
        <f>(AK51+AK33)/2</f>
        <v>0</v>
      </c>
      <c r="AL57" s="2388">
        <f>(AL51+AL33)/2</f>
        <v>0</v>
      </c>
      <c r="AM57" s="2388">
        <f>(AM51+AM33)/2</f>
        <v>0</v>
      </c>
      <c r="AN57" s="2388">
        <f>(AN51+AN33)/2</f>
        <v>0</v>
      </c>
      <c r="AO57" s="2388">
        <f>(AO51+AO33)/2</f>
        <v>0</v>
      </c>
      <c r="AP57" s="2388">
        <f>(AP51+AP33)/2</f>
        <v>0</v>
      </c>
      <c r="AQ57" s="2388">
        <f>(AQ51+AQ33)/2</f>
        <v>0</v>
      </c>
      <c r="AR57" s="2388">
        <f>(AR51+AR33)/2</f>
        <v>0</v>
      </c>
      <c r="AS57" s="181">
        <f>(AS51+AS33)/2</f>
        <v>0</v>
      </c>
      <c r="AT57" s="2388">
        <f>(AT51+AT33)/2</f>
        <v>0</v>
      </c>
      <c r="AU57" s="2388">
        <f>(AU51+AU33)/2</f>
        <v>0</v>
      </c>
      <c r="AV57" s="2388">
        <f>(AV51+AV33)/2</f>
        <v>0</v>
      </c>
      <c r="AW57" s="2388">
        <f>(AW51+AW33)/2</f>
        <v>0</v>
      </c>
      <c r="AX57" s="2388">
        <f>(AX51+AX33)/2</f>
        <v>0</v>
      </c>
      <c r="AY57" s="2388">
        <f>(AY51+AY33)/2</f>
        <v>0</v>
      </c>
      <c r="AZ57" s="2388">
        <f>(AZ51+AZ33)/2</f>
        <v>0</v>
      </c>
      <c r="BA57" s="2388">
        <f>(BA51+BA33)/2</f>
        <v>0</v>
      </c>
      <c r="BB57" s="2388">
        <f>(BB51+BB33)/2</f>
        <v>0</v>
      </c>
      <c r="BC57" s="1880"/>
      <c r="BD57" s="1412"/>
      <c r="BE57" s="1412"/>
      <c r="BF57" s="1011" t="s">
        <v>906</v>
      </c>
    </row>
    <row s="498" customFormat="1" customHeight="1" ht="21.9375" hidden="1">
      <c r="A58" s="498"/>
      <c r="B58" s="403"/>
      <c r="C58" s="498"/>
      <c r="D58" s="498"/>
      <c r="E58" s="645">
        <v>22.5</v>
      </c>
      <c r="F58" s="50" cm="1" t="str">
        <f t="array" ref="F58:F58">OFFSET(E58,-1,1)</f>
        <v>0</v>
      </c>
      <c r="G58" s="70" t="s">
        <v>484</v>
      </c>
      <c r="H58" s="498"/>
      <c r="I58" s="498"/>
      <c r="J58" s="498"/>
      <c r="K58" s="498"/>
      <c r="L58" s="498"/>
      <c r="M58" s="498"/>
      <c r="N58" s="498"/>
      <c r="O58" s="498"/>
      <c r="P58" s="498"/>
      <c r="Q58" s="498"/>
      <c r="R58" s="498"/>
      <c r="S58" s="498"/>
      <c r="T58" s="438" cm="1" t="str">
        <f t="array" ref="T58:T58">T57</f>
        <v>false</v>
      </c>
      <c r="U58" s="498"/>
      <c r="V58" s="498"/>
      <c r="W58" s="498"/>
      <c r="X58" s="1541"/>
      <c r="Y58" s="498"/>
      <c r="Z58" s="1542"/>
      <c r="AA58" s="498"/>
      <c r="AB58" s="177">
        <v>6</v>
      </c>
      <c r="AC58" s="178" t="s">
        <v>907</v>
      </c>
      <c r="AD58" s="177"/>
      <c r="AE58" s="182"/>
      <c r="AF58" s="182"/>
      <c r="AG58" s="182"/>
      <c r="AH58" s="182"/>
      <c r="AI58" s="182"/>
      <c r="AJ58" s="182"/>
      <c r="AK58" s="182"/>
      <c r="AL58" s="182"/>
      <c r="AM58" s="182"/>
      <c r="AN58" s="182"/>
      <c r="AO58" s="182"/>
      <c r="AP58" s="182"/>
      <c r="AQ58" s="182"/>
      <c r="AR58" s="182"/>
      <c r="AS58" s="182"/>
      <c r="AT58" s="182"/>
      <c r="AU58" s="182"/>
      <c r="AV58" s="182"/>
      <c r="AW58" s="182"/>
      <c r="AX58" s="182"/>
      <c r="AY58" s="182"/>
      <c r="AZ58" s="182"/>
      <c r="BA58" s="182"/>
      <c r="BB58" s="182"/>
      <c r="BC58" s="1880"/>
      <c r="BD58" s="498"/>
      <c r="BE58" s="498"/>
      <c r="BF58" s="1011" t="s">
        <v>908</v>
      </c>
    </row>
    <row customHeight="1" ht="14.625" hidden="1">
      <c r="A59" s="1412"/>
      <c r="B59" s="1369"/>
      <c r="C59" s="1412"/>
      <c r="D59" s="1412"/>
      <c r="E59" s="603">
        <v>15</v>
      </c>
      <c r="F59" s="50" cm="1" t="str">
        <f t="array" ref="F59:F59">OFFSET(E59,-1,1)</f>
        <v>0</v>
      </c>
      <c r="G59" s="70" t="s">
        <v>645</v>
      </c>
      <c r="H59" s="1412"/>
      <c r="I59" s="1412"/>
      <c r="J59" s="1412"/>
      <c r="K59" s="1412"/>
      <c r="L59" s="1412"/>
      <c r="M59" s="1412"/>
      <c r="N59" s="1412"/>
      <c r="O59" s="1412"/>
      <c r="P59" s="1412"/>
      <c r="Q59" s="1412"/>
      <c r="R59" s="1412"/>
      <c r="S59" s="1412"/>
      <c r="T59" s="438" cm="1" t="str">
        <f t="array" ref="T59:T59">T58</f>
        <v>false</v>
      </c>
      <c r="U59" s="1412"/>
      <c r="V59" s="1412"/>
      <c r="W59" s="1412"/>
      <c r="X59" s="1541"/>
      <c r="Y59" s="1412"/>
      <c r="Z59" s="1542"/>
      <c r="AA59" s="1412"/>
      <c r="AB59" s="54" t="s">
        <v>539</v>
      </c>
      <c r="AC59" s="180" t="s">
        <v>845</v>
      </c>
      <c r="AD59" s="54" t="s">
        <v>430</v>
      </c>
      <c r="AE59" s="2388">
        <f>IF(AE53=0,0,AE65/AE53*100)</f>
        <v>0</v>
      </c>
      <c r="AF59" s="2388">
        <f>IF(AF53=0,0,AF65/AF53*100)</f>
        <v>0</v>
      </c>
      <c r="AG59" s="2388">
        <f>IF(AG53=0,0,AG65/AG53*100)</f>
        <v>0</v>
      </c>
      <c r="AH59" s="2388">
        <f>IF(AH53=0,0,AH65/AH53*100)</f>
        <v>0</v>
      </c>
      <c r="AI59" s="181">
        <f>IF(AI53=0,0,AI65/AI53*100)</f>
        <v>0</v>
      </c>
      <c r="AJ59" s="2388">
        <f>IF(AJ53=0,0,AJ65/AJ53*100)</f>
        <v>0</v>
      </c>
      <c r="AK59" s="2388">
        <f>IF(AK53=0,0,AK65/AK53*100)</f>
        <v>0</v>
      </c>
      <c r="AL59" s="2388">
        <f>IF(AL53=0,0,AL65/AL53*100)</f>
        <v>0</v>
      </c>
      <c r="AM59" s="2388">
        <f>IF(AM53=0,0,AM65/AM53*100)</f>
        <v>0</v>
      </c>
      <c r="AN59" s="2388">
        <f>IF(AN53=0,0,AN65/AN53*100)</f>
        <v>0</v>
      </c>
      <c r="AO59" s="2388">
        <f>IF(AO53=0,0,AO65/AO53*100)</f>
        <v>0</v>
      </c>
      <c r="AP59" s="2388">
        <f>IF(AP53=0,0,AP65/AP53*100)</f>
        <v>0</v>
      </c>
      <c r="AQ59" s="2388">
        <f>IF(AQ53=0,0,AQ65/AQ53*100)</f>
        <v>0</v>
      </c>
      <c r="AR59" s="2388">
        <f>IF(AR53=0,0,AR65/AR53*100)</f>
        <v>0</v>
      </c>
      <c r="AS59" s="181">
        <f>IF(AS53=0,0,AS65/AS53*100)</f>
        <v>0</v>
      </c>
      <c r="AT59" s="2388">
        <f>IF(AT53=0,0,AT65/AT53*100)</f>
        <v>0</v>
      </c>
      <c r="AU59" s="2388">
        <f>IF(AU53=0,0,AU65/AU53*100)</f>
        <v>0</v>
      </c>
      <c r="AV59" s="2388">
        <f>IF(AV53=0,0,AV65/AV53*100)</f>
        <v>0</v>
      </c>
      <c r="AW59" s="2388">
        <f>IF(AW53=0,0,AW65/AW53*100)</f>
        <v>0</v>
      </c>
      <c r="AX59" s="2388">
        <f>IF(AX53=0,0,AX65/AX53*100)</f>
        <v>0</v>
      </c>
      <c r="AY59" s="2388">
        <f>IF(AY53=0,0,AY65/AY53*100)</f>
        <v>0</v>
      </c>
      <c r="AZ59" s="2388">
        <f>IF(AZ53=0,0,AZ65/AZ53*100)</f>
        <v>0</v>
      </c>
      <c r="BA59" s="2388">
        <f>IF(BA53=0,0,BA65/BA53*100)</f>
        <v>0</v>
      </c>
      <c r="BB59" s="2388">
        <f>IF(BB53=0,0,BB65/BB53*100)</f>
        <v>0</v>
      </c>
      <c r="BC59" s="1880"/>
      <c r="BD59" s="1412"/>
      <c r="BE59" s="1412"/>
      <c r="BF59" s="1011" t="s">
        <v>909</v>
      </c>
    </row>
    <row customHeight="1" ht="14.625" hidden="1">
      <c r="A60" s="1412"/>
      <c r="B60" s="1369"/>
      <c r="C60" s="1412"/>
      <c r="D60" s="1412"/>
      <c r="E60" s="603">
        <v>15</v>
      </c>
      <c r="F60" s="50" cm="1" t="str">
        <f t="array" ref="F60:F60">OFFSET(E60,-1,1)</f>
        <v>0</v>
      </c>
      <c r="G60" s="70" t="s">
        <v>648</v>
      </c>
      <c r="H60" s="1412"/>
      <c r="I60" s="1412"/>
      <c r="J60" s="1412"/>
      <c r="K60" s="1412"/>
      <c r="L60" s="1412"/>
      <c r="M60" s="1412"/>
      <c r="N60" s="1412"/>
      <c r="O60" s="1412"/>
      <c r="P60" s="1412"/>
      <c r="Q60" s="1412"/>
      <c r="R60" s="1412"/>
      <c r="S60" s="1412"/>
      <c r="T60" s="438" cm="1" t="str">
        <f t="array" ref="T60:T60">T59</f>
        <v>false</v>
      </c>
      <c r="U60" s="1412"/>
      <c r="V60" s="1412"/>
      <c r="W60" s="1412"/>
      <c r="X60" s="1541"/>
      <c r="Y60" s="1412"/>
      <c r="Z60" s="1542"/>
      <c r="AA60" s="1412"/>
      <c r="AB60" s="54" t="s">
        <v>543</v>
      </c>
      <c r="AC60" s="180" t="s">
        <v>848</v>
      </c>
      <c r="AD60" s="54" t="s">
        <v>430</v>
      </c>
      <c r="AE60" s="2388">
        <f>IF(AE54=0,0,AE66/AE54*100)</f>
        <v>0</v>
      </c>
      <c r="AF60" s="2388">
        <f>IF(AF54=0,0,AF66/AF54*100)</f>
        <v>0</v>
      </c>
      <c r="AG60" s="2388">
        <f>IF(AG54=0,0,AG66/AG54*100)</f>
        <v>0</v>
      </c>
      <c r="AH60" s="2388">
        <f>IF(AH54=0,0,AH66/AH54*100)</f>
        <v>0</v>
      </c>
      <c r="AI60" s="181">
        <f>IF(AI54=0,0,AI66/AI54*100)</f>
        <v>0</v>
      </c>
      <c r="AJ60" s="2388">
        <f>IF(AJ54=0,0,AJ66/AJ54*100)</f>
        <v>0</v>
      </c>
      <c r="AK60" s="2388">
        <f>IF(AK54=0,0,AK66/AK54*100)</f>
        <v>0</v>
      </c>
      <c r="AL60" s="2388">
        <f>IF(AL54=0,0,AL66/AL54*100)</f>
        <v>0</v>
      </c>
      <c r="AM60" s="2388">
        <f>IF(AM54=0,0,AM66/AM54*100)</f>
        <v>0</v>
      </c>
      <c r="AN60" s="2388">
        <f>IF(AN54=0,0,AN66/AN54*100)</f>
        <v>0</v>
      </c>
      <c r="AO60" s="2388">
        <f>IF(AO54=0,0,AO66/AO54*100)</f>
        <v>0</v>
      </c>
      <c r="AP60" s="2388">
        <f>IF(AP54=0,0,AP66/AP54*100)</f>
        <v>0</v>
      </c>
      <c r="AQ60" s="2388">
        <f>IF(AQ54=0,0,AQ66/AQ54*100)</f>
        <v>0</v>
      </c>
      <c r="AR60" s="2388">
        <f>IF(AR54=0,0,AR66/AR54*100)</f>
        <v>0</v>
      </c>
      <c r="AS60" s="181">
        <f>IF(AS54=0,0,AS66/AS54*100)</f>
        <v>0</v>
      </c>
      <c r="AT60" s="2388">
        <f>IF(AT54=0,0,AT66/AT54*100)</f>
        <v>0</v>
      </c>
      <c r="AU60" s="2388">
        <f>IF(AU54=0,0,AU66/AU54*100)</f>
        <v>0</v>
      </c>
      <c r="AV60" s="2388">
        <f>IF(AV54=0,0,AV66/AV54*100)</f>
        <v>0</v>
      </c>
      <c r="AW60" s="2388">
        <f>IF(AW54=0,0,AW66/AW54*100)</f>
        <v>0</v>
      </c>
      <c r="AX60" s="2388">
        <f>IF(AX54=0,0,AX66/AX54*100)</f>
        <v>0</v>
      </c>
      <c r="AY60" s="2388">
        <f>IF(AY54=0,0,AY66/AY54*100)</f>
        <v>0</v>
      </c>
      <c r="AZ60" s="2388">
        <f>IF(AZ54=0,0,AZ66/AZ54*100)</f>
        <v>0</v>
      </c>
      <c r="BA60" s="2388">
        <f>IF(BA54=0,0,BA66/BA54*100)</f>
        <v>0</v>
      </c>
      <c r="BB60" s="2388">
        <f>IF(BB54=0,0,BB66/BB54*100)</f>
        <v>0</v>
      </c>
      <c r="BC60" s="1880"/>
      <c r="BD60" s="1412"/>
      <c r="BE60" s="1412"/>
      <c r="BF60" s="1011" t="s">
        <v>910</v>
      </c>
    </row>
    <row customHeight="1" ht="14.625" hidden="1">
      <c r="A61" s="1412"/>
      <c r="B61" s="1369"/>
      <c r="C61" s="1412"/>
      <c r="D61" s="1412"/>
      <c r="E61" s="603">
        <v>15</v>
      </c>
      <c r="F61" s="50" cm="1" t="str">
        <f t="array" ref="F61:F61">OFFSET(E61,-1,1)</f>
        <v>0</v>
      </c>
      <c r="G61" s="70" t="s">
        <v>682</v>
      </c>
      <c r="H61" s="1412"/>
      <c r="I61" s="1412"/>
      <c r="J61" s="1412"/>
      <c r="K61" s="1412"/>
      <c r="L61" s="1412"/>
      <c r="M61" s="1412"/>
      <c r="N61" s="1412"/>
      <c r="O61" s="1412"/>
      <c r="P61" s="1412"/>
      <c r="Q61" s="1412"/>
      <c r="R61" s="1412"/>
      <c r="S61" s="1412"/>
      <c r="T61" s="438" cm="1" t="str">
        <f t="array" ref="T61:T61">T60</f>
        <v>false</v>
      </c>
      <c r="U61" s="1412"/>
      <c r="V61" s="1412"/>
      <c r="W61" s="1412"/>
      <c r="X61" s="1541"/>
      <c r="Y61" s="1412"/>
      <c r="Z61" s="1542"/>
      <c r="AA61" s="1412"/>
      <c r="AB61" s="54" t="s">
        <v>547</v>
      </c>
      <c r="AC61" s="180" t="s">
        <v>851</v>
      </c>
      <c r="AD61" s="54" t="s">
        <v>430</v>
      </c>
      <c r="AE61" s="2388">
        <f>IF(AE55=0,0,AE67/AE55*100)</f>
        <v>0</v>
      </c>
      <c r="AF61" s="2388">
        <f>IF(AF55=0,0,AF67/AF55*100)</f>
        <v>0</v>
      </c>
      <c r="AG61" s="2388">
        <f>IF(AG55=0,0,AG67/AG55*100)</f>
        <v>0</v>
      </c>
      <c r="AH61" s="2388">
        <f>IF(AH55=0,0,AH67/AH55*100)</f>
        <v>0</v>
      </c>
      <c r="AI61" s="181">
        <f>IF(AI55=0,0,AI67/AI55*100)</f>
        <v>0</v>
      </c>
      <c r="AJ61" s="2388">
        <f>IF(AJ55=0,0,AJ67/AJ55*100)</f>
        <v>0</v>
      </c>
      <c r="AK61" s="2388">
        <f>IF(AK55=0,0,AK67/AK55*100)</f>
        <v>0</v>
      </c>
      <c r="AL61" s="2388">
        <f>IF(AL55=0,0,AL67/AL55*100)</f>
        <v>0</v>
      </c>
      <c r="AM61" s="2388">
        <f>IF(AM55=0,0,AM67/AM55*100)</f>
        <v>0</v>
      </c>
      <c r="AN61" s="2388">
        <f>IF(AN55=0,0,AN67/AN55*100)</f>
        <v>0</v>
      </c>
      <c r="AO61" s="2388">
        <f>IF(AO55=0,0,AO67/AO55*100)</f>
        <v>0</v>
      </c>
      <c r="AP61" s="2388">
        <f>IF(AP55=0,0,AP67/AP55*100)</f>
        <v>0</v>
      </c>
      <c r="AQ61" s="2388">
        <f>IF(AQ55=0,0,AQ67/AQ55*100)</f>
        <v>0</v>
      </c>
      <c r="AR61" s="2388">
        <f>IF(AR55=0,0,AR67/AR55*100)</f>
        <v>0</v>
      </c>
      <c r="AS61" s="181">
        <f>IF(AS55=0,0,AS67/AS55*100)</f>
        <v>0</v>
      </c>
      <c r="AT61" s="2388">
        <f>IF(AT55=0,0,AT67/AT55*100)</f>
        <v>0</v>
      </c>
      <c r="AU61" s="2388">
        <f>IF(AU55=0,0,AU67/AU55*100)</f>
        <v>0</v>
      </c>
      <c r="AV61" s="2388">
        <f>IF(AV55=0,0,AV67/AV55*100)</f>
        <v>0</v>
      </c>
      <c r="AW61" s="2388">
        <f>IF(AW55=0,0,AW67/AW55*100)</f>
        <v>0</v>
      </c>
      <c r="AX61" s="2388">
        <f>IF(AX55=0,0,AX67/AX55*100)</f>
        <v>0</v>
      </c>
      <c r="AY61" s="2388">
        <f>IF(AY55=0,0,AY67/AY55*100)</f>
        <v>0</v>
      </c>
      <c r="AZ61" s="2388">
        <f>IF(AZ55=0,0,AZ67/AZ55*100)</f>
        <v>0</v>
      </c>
      <c r="BA61" s="2388">
        <f>IF(BA55=0,0,BA67/BA55*100)</f>
        <v>0</v>
      </c>
      <c r="BB61" s="2388">
        <f>IF(BB55=0,0,BB67/BB55*100)</f>
        <v>0</v>
      </c>
      <c r="BC61" s="1880"/>
      <c r="BD61" s="1412"/>
      <c r="BE61" s="1412"/>
      <c r="BF61" s="1011" t="s">
        <v>911</v>
      </c>
    </row>
    <row customHeight="1" ht="14.625" hidden="1">
      <c r="A62" s="1412"/>
      <c r="B62" s="1369"/>
      <c r="C62" s="1412"/>
      <c r="D62" s="1412"/>
      <c r="E62" s="603">
        <v>15</v>
      </c>
      <c r="F62" s="50" cm="1" t="str">
        <f t="array" ref="F62:F62">OFFSET(E62,-1,1)</f>
        <v>0</v>
      </c>
      <c r="G62" s="70" t="s">
        <v>691</v>
      </c>
      <c r="H62" s="1412"/>
      <c r="I62" s="1412"/>
      <c r="J62" s="1412"/>
      <c r="K62" s="1412"/>
      <c r="L62" s="1412"/>
      <c r="M62" s="1412"/>
      <c r="N62" s="1412"/>
      <c r="O62" s="1412"/>
      <c r="P62" s="1412"/>
      <c r="Q62" s="1412"/>
      <c r="R62" s="1412"/>
      <c r="S62" s="1412"/>
      <c r="T62" s="438" cm="1" t="str">
        <f t="array" ref="T62:T62">T61</f>
        <v>false</v>
      </c>
      <c r="U62" s="1412"/>
      <c r="V62" s="1412"/>
      <c r="W62" s="1412"/>
      <c r="X62" s="1541"/>
      <c r="Y62" s="1412"/>
      <c r="Z62" s="1542"/>
      <c r="AA62" s="1412"/>
      <c r="AB62" s="54" t="s">
        <v>912</v>
      </c>
      <c r="AC62" s="180" t="s">
        <v>854</v>
      </c>
      <c r="AD62" s="54" t="s">
        <v>430</v>
      </c>
      <c r="AE62" s="2388">
        <f>IF(AE56=0,0,AE68/AE56*100)</f>
        <v>0</v>
      </c>
      <c r="AF62" s="2388">
        <f>IF(AF56=0,0,AF68/AF56*100)</f>
        <v>0</v>
      </c>
      <c r="AG62" s="2388">
        <f>IF(AG56=0,0,AG68/AG56*100)</f>
        <v>0</v>
      </c>
      <c r="AH62" s="2388">
        <f>IF(AH56=0,0,AH68/AH56*100)</f>
        <v>0</v>
      </c>
      <c r="AI62" s="181">
        <f>IF(AI56=0,0,AI68/AI56*100)</f>
        <v>0</v>
      </c>
      <c r="AJ62" s="2388">
        <f>IF(AJ56=0,0,AJ68/AJ56*100)</f>
        <v>0</v>
      </c>
      <c r="AK62" s="2388">
        <f>IF(AK56=0,0,AK68/AK56*100)</f>
        <v>0</v>
      </c>
      <c r="AL62" s="2388">
        <f>IF(AL56=0,0,AL68/AL56*100)</f>
        <v>0</v>
      </c>
      <c r="AM62" s="2388">
        <f>IF(AM56=0,0,AM68/AM56*100)</f>
        <v>0</v>
      </c>
      <c r="AN62" s="2388">
        <f>IF(AN56=0,0,AN68/AN56*100)</f>
        <v>0</v>
      </c>
      <c r="AO62" s="2388">
        <f>IF(AO56=0,0,AO68/AO56*100)</f>
        <v>0</v>
      </c>
      <c r="AP62" s="2388">
        <f>IF(AP56=0,0,AP68/AP56*100)</f>
        <v>0</v>
      </c>
      <c r="AQ62" s="2388">
        <f>IF(AQ56=0,0,AQ68/AQ56*100)</f>
        <v>0</v>
      </c>
      <c r="AR62" s="2388">
        <f>IF(AR56=0,0,AR68/AR56*100)</f>
        <v>0</v>
      </c>
      <c r="AS62" s="181">
        <f>IF(AS56=0,0,AS68/AS56*100)</f>
        <v>0</v>
      </c>
      <c r="AT62" s="2388">
        <f>IF(AT56=0,0,AT68/AT56*100)</f>
        <v>0</v>
      </c>
      <c r="AU62" s="2388">
        <f>IF(AU56=0,0,AU68/AU56*100)</f>
        <v>0</v>
      </c>
      <c r="AV62" s="2388">
        <f>IF(AV56=0,0,AV68/AV56*100)</f>
        <v>0</v>
      </c>
      <c r="AW62" s="2388">
        <f>IF(AW56=0,0,AW68/AW56*100)</f>
        <v>0</v>
      </c>
      <c r="AX62" s="2388">
        <f>IF(AX56=0,0,AX68/AX56*100)</f>
        <v>0</v>
      </c>
      <c r="AY62" s="2388">
        <f>IF(AY56=0,0,AY68/AY56*100)</f>
        <v>0</v>
      </c>
      <c r="AZ62" s="2388">
        <f>IF(AZ56=0,0,AZ68/AZ56*100)</f>
        <v>0</v>
      </c>
      <c r="BA62" s="2388">
        <f>IF(BA56=0,0,BA68/BA56*100)</f>
        <v>0</v>
      </c>
      <c r="BB62" s="2388">
        <f>IF(BB56=0,0,BB68/BB56*100)</f>
        <v>0</v>
      </c>
      <c r="BC62" s="1880"/>
      <c r="BD62" s="1412"/>
      <c r="BE62" s="1412"/>
      <c r="BF62" s="1011" t="s">
        <v>913</v>
      </c>
    </row>
    <row customHeight="1" ht="14.625" hidden="1">
      <c r="A63" s="1412"/>
      <c r="B63" s="1369"/>
      <c r="C63" s="1412"/>
      <c r="D63" s="1412"/>
      <c r="E63" s="603">
        <v>15</v>
      </c>
      <c r="F63" s="50" cm="1" t="str">
        <f t="array" ref="F63:F63">OFFSET(E63,-1,1)</f>
        <v>0</v>
      </c>
      <c r="G63" s="70" t="s">
        <v>701</v>
      </c>
      <c r="H63" s="1412"/>
      <c r="I63" s="1412"/>
      <c r="J63" s="1412"/>
      <c r="K63" s="1412"/>
      <c r="L63" s="1412"/>
      <c r="M63" s="1412"/>
      <c r="N63" s="1412"/>
      <c r="O63" s="1412"/>
      <c r="P63" s="1412"/>
      <c r="Q63" s="1412"/>
      <c r="R63" s="1412"/>
      <c r="S63" s="1412"/>
      <c r="T63" s="438" cm="1" t="str">
        <f t="array" ref="T63:T63">T62</f>
        <v>false</v>
      </c>
      <c r="U63" s="1412"/>
      <c r="V63" s="1412"/>
      <c r="W63" s="1412"/>
      <c r="X63" s="1541"/>
      <c r="Y63" s="1412"/>
      <c r="Z63" s="1542"/>
      <c r="AA63" s="1412"/>
      <c r="AB63" s="54" t="s">
        <v>914</v>
      </c>
      <c r="AC63" s="180" t="s">
        <v>858</v>
      </c>
      <c r="AD63" s="54" t="s">
        <v>430</v>
      </c>
      <c r="AE63" s="2388">
        <f>IF(AE57=0,0,AE69/AE57*100)</f>
        <v>0</v>
      </c>
      <c r="AF63" s="2388">
        <f>IF(AF57=0,0,AF69/AF57*100)</f>
        <v>0</v>
      </c>
      <c r="AG63" s="2388">
        <f>IF(AG57=0,0,AG69/AG57*100)</f>
        <v>0</v>
      </c>
      <c r="AH63" s="2388">
        <f>IF(AH57=0,0,AH69/AH57*100)</f>
        <v>0</v>
      </c>
      <c r="AI63" s="181">
        <f>IF(AI57=0,0,AI69/AI57*100)</f>
        <v>0</v>
      </c>
      <c r="AJ63" s="2388">
        <f>IF(AJ57=0,0,AJ69/AJ57*100)</f>
        <v>0</v>
      </c>
      <c r="AK63" s="2388">
        <f>IF(AK57=0,0,AK69/AK57*100)</f>
        <v>0</v>
      </c>
      <c r="AL63" s="2388">
        <f>IF(AL57=0,0,AL69/AL57*100)</f>
        <v>0</v>
      </c>
      <c r="AM63" s="2388">
        <f>IF(AM57=0,0,AM69/AM57*100)</f>
        <v>0</v>
      </c>
      <c r="AN63" s="2388">
        <f>IF(AN57=0,0,AN69/AN57*100)</f>
        <v>0</v>
      </c>
      <c r="AO63" s="2388">
        <f>IF(AO57=0,0,AO69/AO57*100)</f>
        <v>0</v>
      </c>
      <c r="AP63" s="2388">
        <f>IF(AP57=0,0,AP69/AP57*100)</f>
        <v>0</v>
      </c>
      <c r="AQ63" s="2388">
        <f>IF(AQ57=0,0,AQ69/AQ57*100)</f>
        <v>0</v>
      </c>
      <c r="AR63" s="2388">
        <f>IF(AR57=0,0,AR69/AR57*100)</f>
        <v>0</v>
      </c>
      <c r="AS63" s="181">
        <f>IF(AS57=0,0,AS69/AS57*100)</f>
        <v>0</v>
      </c>
      <c r="AT63" s="2388">
        <f>IF(AT57=0,0,AT69/AT57*100)</f>
        <v>0</v>
      </c>
      <c r="AU63" s="2388">
        <f>IF(AU57=0,0,AU69/AU57*100)</f>
        <v>0</v>
      </c>
      <c r="AV63" s="2388">
        <f>IF(AV57=0,0,AV69/AV57*100)</f>
        <v>0</v>
      </c>
      <c r="AW63" s="2388">
        <f>IF(AW57=0,0,AW69/AW57*100)</f>
        <v>0</v>
      </c>
      <c r="AX63" s="2388">
        <f>IF(AX57=0,0,AX69/AX57*100)</f>
        <v>0</v>
      </c>
      <c r="AY63" s="2388">
        <f>IF(AY57=0,0,AY69/AY57*100)</f>
        <v>0</v>
      </c>
      <c r="AZ63" s="2388">
        <f>IF(AZ57=0,0,AZ69/AZ57*100)</f>
        <v>0</v>
      </c>
      <c r="BA63" s="2388">
        <f>IF(BA57=0,0,BA69/BA57*100)</f>
        <v>0</v>
      </c>
      <c r="BB63" s="2388">
        <f>IF(BB57=0,0,BB69/BB57*100)</f>
        <v>0</v>
      </c>
      <c r="BC63" s="1880"/>
      <c r="BD63" s="1412"/>
      <c r="BE63" s="1412"/>
      <c r="BF63" s="1011" t="s">
        <v>915</v>
      </c>
    </row>
    <row s="498" customFormat="1" customHeight="1" ht="14.625" hidden="1">
      <c r="A64" s="498"/>
      <c r="B64" s="403"/>
      <c r="C64" s="498"/>
      <c r="D64" s="498"/>
      <c r="E64" s="603">
        <v>15</v>
      </c>
      <c r="F64" s="50" cm="1" t="str">
        <f t="array" ref="F64:F64">OFFSET(E64,-1,1)</f>
        <v>0</v>
      </c>
      <c r="G64" s="70" t="s">
        <v>488</v>
      </c>
      <c r="H64" s="498"/>
      <c r="I64" s="498"/>
      <c r="J64" s="498"/>
      <c r="K64" s="90" t="str">
        <f>F64&amp;"komm"</f>
        <v>0komm</v>
      </c>
      <c r="L64" s="895" cm="1" t="str">
        <f t="array" ref="L64:L64">BC64</f>
        <v>0</v>
      </c>
      <c r="M64" s="498"/>
      <c r="N64" s="498"/>
      <c r="O64" s="498"/>
      <c r="P64" s="498"/>
      <c r="Q64" s="498"/>
      <c r="R64" s="498"/>
      <c r="S64" s="498"/>
      <c r="T64" s="438" cm="1" t="str">
        <f t="array" ref="T64:T64">T63</f>
        <v>false</v>
      </c>
      <c r="U64" s="498"/>
      <c r="V64" s="498"/>
      <c r="W64" s="498"/>
      <c r="X64" s="1541"/>
      <c r="Y64" s="498"/>
      <c r="Z64" s="1542"/>
      <c r="AA64" s="498"/>
      <c r="AB64" s="177">
        <v>7</v>
      </c>
      <c r="AC64" s="178" t="s">
        <v>916</v>
      </c>
      <c r="AD64" s="55" t="s">
        <v>789</v>
      </c>
      <c r="AE64" s="2385">
        <f>SUM(AE65:AE69)</f>
        <v>0</v>
      </c>
      <c r="AF64" s="2385">
        <f>SUM(AF65:AF69)</f>
        <v>0</v>
      </c>
      <c r="AG64" s="2385">
        <f>SUM(AG65:AG69)</f>
        <v>0</v>
      </c>
      <c r="AH64" s="2385">
        <f>SUM(AH65:AH69)</f>
        <v>0</v>
      </c>
      <c r="AI64" s="1176">
        <f>SUM(AI65:AI69)</f>
        <v>0</v>
      </c>
      <c r="AJ64" s="2385">
        <f>SUM(AJ65:AJ69)</f>
        <v>0</v>
      </c>
      <c r="AK64" s="2385">
        <f>SUM(AK65:AK69)</f>
        <v>0</v>
      </c>
      <c r="AL64" s="2385">
        <f>SUM(AL65:AL69)</f>
        <v>0</v>
      </c>
      <c r="AM64" s="2385">
        <f>SUM(AM65:AM69)</f>
        <v>0</v>
      </c>
      <c r="AN64" s="2385">
        <f>SUM(AN65:AN69)</f>
        <v>0</v>
      </c>
      <c r="AO64" s="2385">
        <f>SUM(AO65:AO69)</f>
        <v>0</v>
      </c>
      <c r="AP64" s="2385">
        <f>SUM(AP65:AP69)</f>
        <v>0</v>
      </c>
      <c r="AQ64" s="2385">
        <f>SUM(AQ65:AQ69)</f>
        <v>0</v>
      </c>
      <c r="AR64" s="2385">
        <f>SUM(AR65:AR69)</f>
        <v>0</v>
      </c>
      <c r="AS64" s="1176">
        <f>SUM(AS65:AS69)</f>
        <v>0</v>
      </c>
      <c r="AT64" s="2385">
        <f>SUM(AT65:AT69)</f>
        <v>0</v>
      </c>
      <c r="AU64" s="2385">
        <f>SUM(AU65:AU69)</f>
        <v>0</v>
      </c>
      <c r="AV64" s="2385">
        <f>SUM(AV65:AV69)</f>
        <v>0</v>
      </c>
      <c r="AW64" s="2385">
        <f>SUM(AW65:AW69)</f>
        <v>0</v>
      </c>
      <c r="AX64" s="2385">
        <f>SUM(AX65:AX69)</f>
        <v>0</v>
      </c>
      <c r="AY64" s="2385">
        <f>SUM(AY65:AY69)</f>
        <v>0</v>
      </c>
      <c r="AZ64" s="2385">
        <f>SUM(AZ65:AZ69)</f>
        <v>0</v>
      </c>
      <c r="BA64" s="2385">
        <f>SUM(BA65:BA69)</f>
        <v>0</v>
      </c>
      <c r="BB64" s="2385">
        <f>SUM(BB65:BB69)</f>
        <v>0</v>
      </c>
      <c r="BC64" s="1880"/>
      <c r="BD64" s="498"/>
      <c r="BE64" s="498"/>
      <c r="BF64" s="1011" t="s">
        <v>917</v>
      </c>
    </row>
    <row customHeight="1" ht="14.625" hidden="1">
      <c r="A65" s="1412"/>
      <c r="B65" s="1369"/>
      <c r="C65" s="1412"/>
      <c r="D65" s="1412"/>
      <c r="E65" s="603">
        <v>15</v>
      </c>
      <c r="F65" s="50" cm="1" t="str">
        <f t="array" ref="F65:F65">OFFSET(E65,-1,1)</f>
        <v>0</v>
      </c>
      <c r="G65" s="70" t="s">
        <v>652</v>
      </c>
      <c r="H65" s="1412"/>
      <c r="I65" s="1412"/>
      <c r="J65" s="1412"/>
      <c r="K65" s="1412"/>
      <c r="L65" s="1412"/>
      <c r="M65" s="1412"/>
      <c r="N65" s="1412"/>
      <c r="O65" s="1412"/>
      <c r="P65" s="1412"/>
      <c r="Q65" s="1412"/>
      <c r="R65" s="1412"/>
      <c r="S65" s="1412"/>
      <c r="T65" s="438" cm="1" t="str">
        <f t="array" ref="T65:T65">T64</f>
        <v>false</v>
      </c>
      <c r="U65" s="1412"/>
      <c r="V65" s="1412"/>
      <c r="W65" s="1412"/>
      <c r="X65" s="1541"/>
      <c r="Y65" s="1412"/>
      <c r="Z65" s="1542"/>
      <c r="AA65" s="1412"/>
      <c r="AB65" s="54" t="s">
        <v>555</v>
      </c>
      <c r="AC65" s="180" t="s">
        <v>845</v>
      </c>
      <c r="AD65" s="55" t="s">
        <v>789</v>
      </c>
      <c r="AE65" s="2388"/>
      <c r="AF65" s="2388"/>
      <c r="AG65" s="2388"/>
      <c r="AH65" s="2388"/>
      <c r="AI65" s="181"/>
      <c r="AJ65" s="2388"/>
      <c r="AK65" s="2388"/>
      <c r="AL65" s="2388"/>
      <c r="AM65" s="2388"/>
      <c r="AN65" s="2388"/>
      <c r="AO65" s="2388"/>
      <c r="AP65" s="2388"/>
      <c r="AQ65" s="2388"/>
      <c r="AR65" s="2388"/>
      <c r="AS65" s="181"/>
      <c r="AT65" s="2388"/>
      <c r="AU65" s="2388"/>
      <c r="AV65" s="2388"/>
      <c r="AW65" s="2388"/>
      <c r="AX65" s="2388"/>
      <c r="AY65" s="2388"/>
      <c r="AZ65" s="2388"/>
      <c r="BA65" s="2388"/>
      <c r="BB65" s="2388"/>
      <c r="BC65" s="1880"/>
      <c r="BD65" s="1412"/>
      <c r="BE65" s="1412"/>
      <c r="BF65" s="1011" t="s">
        <v>918</v>
      </c>
    </row>
    <row customHeight="1" ht="14.625" hidden="1">
      <c r="A66" s="1412"/>
      <c r="B66" s="1369"/>
      <c r="C66" s="1412"/>
      <c r="D66" s="1412"/>
      <c r="E66" s="603">
        <v>15</v>
      </c>
      <c r="F66" s="50" cm="1" t="str">
        <f t="array" ref="F66:F66">OFFSET(E66,-1,1)</f>
        <v>0</v>
      </c>
      <c r="G66" s="70" t="s">
        <v>655</v>
      </c>
      <c r="H66" s="1412"/>
      <c r="I66" s="1412"/>
      <c r="J66" s="1412"/>
      <c r="K66" s="1412"/>
      <c r="L66" s="1412"/>
      <c r="M66" s="1412"/>
      <c r="N66" s="1412"/>
      <c r="O66" s="1412"/>
      <c r="P66" s="1412"/>
      <c r="Q66" s="1412"/>
      <c r="R66" s="1412"/>
      <c r="S66" s="1412"/>
      <c r="T66" s="438" cm="1" t="str">
        <f t="array" ref="T66:T66">T65</f>
        <v>false</v>
      </c>
      <c r="U66" s="1412"/>
      <c r="V66" s="1412"/>
      <c r="W66" s="1412"/>
      <c r="X66" s="1541"/>
      <c r="Y66" s="1412"/>
      <c r="Z66" s="1542"/>
      <c r="AA66" s="1412"/>
      <c r="AB66" s="54" t="s">
        <v>919</v>
      </c>
      <c r="AC66" s="180" t="s">
        <v>848</v>
      </c>
      <c r="AD66" s="55" t="s">
        <v>789</v>
      </c>
      <c r="AE66" s="2388"/>
      <c r="AF66" s="2388"/>
      <c r="AG66" s="2388"/>
      <c r="AH66" s="2388"/>
      <c r="AI66" s="181"/>
      <c r="AJ66" s="2388"/>
      <c r="AK66" s="2388"/>
      <c r="AL66" s="2388"/>
      <c r="AM66" s="2388"/>
      <c r="AN66" s="2388"/>
      <c r="AO66" s="2388"/>
      <c r="AP66" s="2388"/>
      <c r="AQ66" s="2388"/>
      <c r="AR66" s="2388"/>
      <c r="AS66" s="181"/>
      <c r="AT66" s="2388"/>
      <c r="AU66" s="2388"/>
      <c r="AV66" s="2388"/>
      <c r="AW66" s="2388"/>
      <c r="AX66" s="2388"/>
      <c r="AY66" s="2388"/>
      <c r="AZ66" s="2388"/>
      <c r="BA66" s="2388"/>
      <c r="BB66" s="2388"/>
      <c r="BC66" s="1880"/>
      <c r="BD66" s="1412"/>
      <c r="BE66" s="1412"/>
      <c r="BF66" s="1011" t="s">
        <v>920</v>
      </c>
    </row>
    <row customHeight="1" ht="14.625" hidden="1">
      <c r="A67" s="1412"/>
      <c r="B67" s="1369"/>
      <c r="C67" s="1412"/>
      <c r="D67" s="1412"/>
      <c r="E67" s="603">
        <v>15</v>
      </c>
      <c r="F67" s="50" cm="1" t="str">
        <f t="array" ref="F67:F67">OFFSET(E67,-1,1)</f>
        <v>0</v>
      </c>
      <c r="G67" s="70" t="s">
        <v>921</v>
      </c>
      <c r="H67" s="1412"/>
      <c r="I67" s="1412"/>
      <c r="J67" s="1412"/>
      <c r="K67" s="1412"/>
      <c r="L67" s="1412"/>
      <c r="M67" s="1412"/>
      <c r="N67" s="1412"/>
      <c r="O67" s="1412"/>
      <c r="P67" s="1412"/>
      <c r="Q67" s="1412"/>
      <c r="R67" s="1412"/>
      <c r="S67" s="1412"/>
      <c r="T67" s="438" cm="1" t="str">
        <f t="array" ref="T67:T67">T66</f>
        <v>false</v>
      </c>
      <c r="U67" s="1412"/>
      <c r="V67" s="1412"/>
      <c r="W67" s="1412"/>
      <c r="X67" s="1541"/>
      <c r="Y67" s="1412"/>
      <c r="Z67" s="1542"/>
      <c r="AA67" s="1412"/>
      <c r="AB67" s="54" t="s">
        <v>922</v>
      </c>
      <c r="AC67" s="180" t="s">
        <v>851</v>
      </c>
      <c r="AD67" s="55" t="s">
        <v>789</v>
      </c>
      <c r="AE67" s="2388"/>
      <c r="AF67" s="2388"/>
      <c r="AG67" s="2388"/>
      <c r="AH67" s="2388"/>
      <c r="AI67" s="181"/>
      <c r="AJ67" s="2388"/>
      <c r="AK67" s="2388"/>
      <c r="AL67" s="2388"/>
      <c r="AM67" s="2388"/>
      <c r="AN67" s="2388"/>
      <c r="AO67" s="2388"/>
      <c r="AP67" s="2388"/>
      <c r="AQ67" s="2388"/>
      <c r="AR67" s="2388"/>
      <c r="AS67" s="181"/>
      <c r="AT67" s="2388"/>
      <c r="AU67" s="2388"/>
      <c r="AV67" s="2388"/>
      <c r="AW67" s="2388"/>
      <c r="AX67" s="2388"/>
      <c r="AY67" s="2388"/>
      <c r="AZ67" s="2388"/>
      <c r="BA67" s="2388"/>
      <c r="BB67" s="2388"/>
      <c r="BC67" s="1880"/>
      <c r="BD67" s="1412"/>
      <c r="BE67" s="1412"/>
      <c r="BF67" s="1011" t="s">
        <v>923</v>
      </c>
    </row>
    <row customHeight="1" ht="14.625" hidden="1">
      <c r="A68" s="1412"/>
      <c r="B68" s="1369"/>
      <c r="C68" s="1412"/>
      <c r="D68" s="1412"/>
      <c r="E68" s="603">
        <v>15</v>
      </c>
      <c r="F68" s="50" cm="1" t="str">
        <f t="array" ref="F68:F68">OFFSET(E68,-1,1)</f>
        <v>0</v>
      </c>
      <c r="G68" s="70" t="s">
        <v>924</v>
      </c>
      <c r="H68" s="1412"/>
      <c r="I68" s="1412"/>
      <c r="J68" s="1412"/>
      <c r="K68" s="1412"/>
      <c r="L68" s="1412"/>
      <c r="M68" s="1412"/>
      <c r="N68" s="1412"/>
      <c r="O68" s="1412"/>
      <c r="P68" s="1412"/>
      <c r="Q68" s="1412"/>
      <c r="R68" s="1412"/>
      <c r="S68" s="1412"/>
      <c r="T68" s="438" cm="1" t="str">
        <f t="array" ref="T68:T68">T67</f>
        <v>false</v>
      </c>
      <c r="U68" s="1412"/>
      <c r="V68" s="1412"/>
      <c r="W68" s="1412"/>
      <c r="X68" s="1541"/>
      <c r="Y68" s="1412"/>
      <c r="Z68" s="1542"/>
      <c r="AA68" s="1412"/>
      <c r="AB68" s="54" t="s">
        <v>925</v>
      </c>
      <c r="AC68" s="180" t="s">
        <v>854</v>
      </c>
      <c r="AD68" s="55" t="s">
        <v>789</v>
      </c>
      <c r="AE68" s="2388"/>
      <c r="AF68" s="2388"/>
      <c r="AG68" s="2388"/>
      <c r="AH68" s="2388"/>
      <c r="AI68" s="181"/>
      <c r="AJ68" s="2388"/>
      <c r="AK68" s="2388"/>
      <c r="AL68" s="2388"/>
      <c r="AM68" s="2388"/>
      <c r="AN68" s="2388"/>
      <c r="AO68" s="2388"/>
      <c r="AP68" s="2388"/>
      <c r="AQ68" s="2388"/>
      <c r="AR68" s="2388"/>
      <c r="AS68" s="181"/>
      <c r="AT68" s="2388"/>
      <c r="AU68" s="2388"/>
      <c r="AV68" s="2388"/>
      <c r="AW68" s="2388"/>
      <c r="AX68" s="2388"/>
      <c r="AY68" s="2388"/>
      <c r="AZ68" s="2388"/>
      <c r="BA68" s="2388"/>
      <c r="BB68" s="2388"/>
      <c r="BC68" s="1880"/>
      <c r="BD68" s="1412"/>
      <c r="BE68" s="1412"/>
      <c r="BF68" s="1011" t="s">
        <v>926</v>
      </c>
    </row>
    <row customHeight="1" ht="14.625" hidden="1">
      <c r="A69" s="1412"/>
      <c r="B69" s="1369"/>
      <c r="C69" s="1412"/>
      <c r="D69" s="1412"/>
      <c r="E69" s="603">
        <v>15</v>
      </c>
      <c r="F69" s="50" cm="1" t="str">
        <f t="array" ref="F69:F69">OFFSET(E69,-1,1)</f>
        <v>0</v>
      </c>
      <c r="G69" s="70" t="s">
        <v>927</v>
      </c>
      <c r="H69" s="1412"/>
      <c r="I69" s="1412"/>
      <c r="J69" s="1412"/>
      <c r="K69" s="1412"/>
      <c r="L69" s="1412"/>
      <c r="M69" s="1412"/>
      <c r="N69" s="1412"/>
      <c r="O69" s="1412"/>
      <c r="P69" s="1412"/>
      <c r="Q69" s="1412"/>
      <c r="R69" s="1412"/>
      <c r="S69" s="1412"/>
      <c r="T69" s="438" cm="1" t="str">
        <f t="array" ref="T69:T69">T68</f>
        <v>false</v>
      </c>
      <c r="U69" s="1412"/>
      <c r="V69" s="1412"/>
      <c r="W69" s="1412"/>
      <c r="X69" s="1541"/>
      <c r="Y69" s="1412"/>
      <c r="Z69" s="1542"/>
      <c r="AA69" s="1412"/>
      <c r="AB69" s="54" t="s">
        <v>928</v>
      </c>
      <c r="AC69" s="180" t="s">
        <v>858</v>
      </c>
      <c r="AD69" s="55" t="s">
        <v>789</v>
      </c>
      <c r="AE69" s="2388"/>
      <c r="AF69" s="2388"/>
      <c r="AG69" s="2388"/>
      <c r="AH69" s="2388"/>
      <c r="AI69" s="181"/>
      <c r="AJ69" s="2388"/>
      <c r="AK69" s="2388"/>
      <c r="AL69" s="2388"/>
      <c r="AM69" s="2388"/>
      <c r="AN69" s="2388"/>
      <c r="AO69" s="2388"/>
      <c r="AP69" s="2388"/>
      <c r="AQ69" s="2388"/>
      <c r="AR69" s="2388"/>
      <c r="AS69" s="181"/>
      <c r="AT69" s="2388"/>
      <c r="AU69" s="2388"/>
      <c r="AV69" s="2388"/>
      <c r="AW69" s="2388"/>
      <c r="AX69" s="2388"/>
      <c r="AY69" s="2388"/>
      <c r="AZ69" s="2388"/>
      <c r="BA69" s="2388"/>
      <c r="BB69" s="2388"/>
      <c r="BC69" s="1880"/>
      <c r="BD69" s="1412"/>
      <c r="BE69" s="1412"/>
      <c r="BF69" s="1011" t="s">
        <v>929</v>
      </c>
    </row>
    <row s="498" customFormat="1" customHeight="1" ht="14.625" hidden="1">
      <c r="A70" s="498"/>
      <c r="B70" s="403"/>
      <c r="C70" s="498"/>
      <c r="D70" s="498"/>
      <c r="E70" s="603">
        <v>15</v>
      </c>
      <c r="F70" s="50" cm="1" t="str">
        <f t="array" ref="F70:F70">OFFSET(E70,-1,1)</f>
        <v>0</v>
      </c>
      <c r="G70" s="70" t="s">
        <v>535</v>
      </c>
      <c r="H70" s="498"/>
      <c r="I70" s="498"/>
      <c r="J70" s="498"/>
      <c r="K70" s="498"/>
      <c r="L70" s="498"/>
      <c r="M70" s="498"/>
      <c r="N70" s="498"/>
      <c r="O70" s="498"/>
      <c r="P70" s="498"/>
      <c r="Q70" s="498"/>
      <c r="R70" s="498"/>
      <c r="S70" s="498"/>
      <c r="T70" s="438" cm="1" t="str">
        <f t="array" ref="T70:T70">T69</f>
        <v>false</v>
      </c>
      <c r="U70" s="498"/>
      <c r="V70" s="498"/>
      <c r="W70" s="498"/>
      <c r="X70" s="1541"/>
      <c r="Y70" s="498"/>
      <c r="Z70" s="1542"/>
      <c r="AA70" s="498"/>
      <c r="AB70" s="177">
        <v>8</v>
      </c>
      <c r="AC70" s="178" t="s">
        <v>930</v>
      </c>
      <c r="AD70" s="55" t="s">
        <v>789</v>
      </c>
      <c r="AE70" s="2385">
        <f>SUM(AE71:AE75)</f>
        <v>0</v>
      </c>
      <c r="AF70" s="2385">
        <f>SUM(AF71:AF75)</f>
        <v>0</v>
      </c>
      <c r="AG70" s="2385">
        <f>SUM(AG71:AG75)</f>
        <v>0</v>
      </c>
      <c r="AH70" s="2385">
        <f>SUM(AH71:AH75)</f>
        <v>0</v>
      </c>
      <c r="AI70" s="1176">
        <f>SUM(AI71:AI75)</f>
        <v>0</v>
      </c>
      <c r="AJ70" s="2385">
        <f>SUM(AJ71:AJ75)</f>
        <v>0</v>
      </c>
      <c r="AK70" s="2385">
        <f>SUM(AK71:AK75)</f>
        <v>0</v>
      </c>
      <c r="AL70" s="2385">
        <f>SUM(AL71:AL75)</f>
        <v>0</v>
      </c>
      <c r="AM70" s="2385">
        <f>SUM(AM71:AM75)</f>
        <v>0</v>
      </c>
      <c r="AN70" s="2385">
        <f>SUM(AN71:AN75)</f>
        <v>0</v>
      </c>
      <c r="AO70" s="2385">
        <f>SUM(AO71:AO75)</f>
        <v>0</v>
      </c>
      <c r="AP70" s="2385">
        <f>SUM(AP71:AP75)</f>
        <v>0</v>
      </c>
      <c r="AQ70" s="2385">
        <f>SUM(AQ71:AQ75)</f>
        <v>0</v>
      </c>
      <c r="AR70" s="2385">
        <f>SUM(AR71:AR75)</f>
        <v>0</v>
      </c>
      <c r="AS70" s="1176">
        <f>SUM(AS71:AS75)</f>
        <v>0</v>
      </c>
      <c r="AT70" s="2385">
        <f>SUM(AT71:AT75)</f>
        <v>0</v>
      </c>
      <c r="AU70" s="2385">
        <f>SUM(AU71:AU75)</f>
        <v>0</v>
      </c>
      <c r="AV70" s="2385">
        <f>SUM(AV71:AV75)</f>
        <v>0</v>
      </c>
      <c r="AW70" s="2385">
        <f>SUM(AW71:AW75)</f>
        <v>0</v>
      </c>
      <c r="AX70" s="2385">
        <f>SUM(AX71:AX75)</f>
        <v>0</v>
      </c>
      <c r="AY70" s="2385">
        <f>SUM(AY71:AY75)</f>
        <v>0</v>
      </c>
      <c r="AZ70" s="2385">
        <f>SUM(AZ71:AZ75)</f>
        <v>0</v>
      </c>
      <c r="BA70" s="2385">
        <f>SUM(BA71:BA75)</f>
        <v>0</v>
      </c>
      <c r="BB70" s="2385">
        <f>SUM(BB71:BB75)</f>
        <v>0</v>
      </c>
      <c r="BC70" s="1880"/>
      <c r="BD70" s="498"/>
      <c r="BE70" s="498"/>
      <c r="BF70" s="1011" t="s">
        <v>931</v>
      </c>
    </row>
    <row customHeight="1" ht="14.625" hidden="1">
      <c r="A71" s="1412"/>
      <c r="B71" s="1369"/>
      <c r="C71" s="1412"/>
      <c r="D71" s="1412"/>
      <c r="E71" s="603">
        <v>15</v>
      </c>
      <c r="F71" s="50" cm="1" t="str">
        <f t="array" ref="F71:F71">OFFSET(E71,-1,1)</f>
        <v>0</v>
      </c>
      <c r="G71" s="70" t="s">
        <v>538</v>
      </c>
      <c r="H71" s="1412"/>
      <c r="I71" s="1412"/>
      <c r="J71" s="1412"/>
      <c r="K71" s="1412"/>
      <c r="L71" s="1412"/>
      <c r="M71" s="1412"/>
      <c r="N71" s="1412"/>
      <c r="O71" s="1412"/>
      <c r="P71" s="1412"/>
      <c r="Q71" s="1412"/>
      <c r="R71" s="1412"/>
      <c r="S71" s="1412"/>
      <c r="T71" s="438" cm="1" t="str">
        <f t="array" ref="T71:T71">T70</f>
        <v>false</v>
      </c>
      <c r="U71" s="1412"/>
      <c r="V71" s="1412"/>
      <c r="W71" s="1412"/>
      <c r="X71" s="1541"/>
      <c r="Y71" s="1412"/>
      <c r="Z71" s="1542"/>
      <c r="AA71" s="1412"/>
      <c r="AB71" s="54" t="s">
        <v>563</v>
      </c>
      <c r="AC71" s="180" t="s">
        <v>845</v>
      </c>
      <c r="AD71" s="55" t="s">
        <v>789</v>
      </c>
      <c r="AE71" s="2388"/>
      <c r="AF71" s="2388"/>
      <c r="AG71" s="2388"/>
      <c r="AH71" s="2388"/>
      <c r="AI71" s="181"/>
      <c r="AJ71" s="2388"/>
      <c r="AK71" s="2388"/>
      <c r="AL71" s="2388"/>
      <c r="AM71" s="2388"/>
      <c r="AN71" s="2388"/>
      <c r="AO71" s="2388"/>
      <c r="AP71" s="2388"/>
      <c r="AQ71" s="2388"/>
      <c r="AR71" s="2388"/>
      <c r="AS71" s="181"/>
      <c r="AT71" s="2388"/>
      <c r="AU71" s="2388"/>
      <c r="AV71" s="2388"/>
      <c r="AW71" s="2388"/>
      <c r="AX71" s="2388"/>
      <c r="AY71" s="2388"/>
      <c r="AZ71" s="2388"/>
      <c r="BA71" s="2388"/>
      <c r="BB71" s="2388"/>
      <c r="BC71" s="1880"/>
      <c r="BD71" s="1412"/>
      <c r="BE71" s="1412"/>
      <c r="BF71" s="1011" t="s">
        <v>932</v>
      </c>
    </row>
    <row customHeight="1" ht="14.625" hidden="1">
      <c r="A72" s="1412"/>
      <c r="B72" s="1369"/>
      <c r="C72" s="1412"/>
      <c r="D72" s="1412"/>
      <c r="E72" s="603">
        <v>15</v>
      </c>
      <c r="F72" s="50" cm="1" t="str">
        <f t="array" ref="F72:F72">OFFSET(E72,-1,1)</f>
        <v>0</v>
      </c>
      <c r="G72" s="70" t="s">
        <v>542</v>
      </c>
      <c r="H72" s="1412"/>
      <c r="I72" s="1412"/>
      <c r="J72" s="1412"/>
      <c r="K72" s="1412"/>
      <c r="L72" s="1412"/>
      <c r="M72" s="1412"/>
      <c r="N72" s="1412"/>
      <c r="O72" s="1412"/>
      <c r="P72" s="1412"/>
      <c r="Q72" s="1412"/>
      <c r="R72" s="1412"/>
      <c r="S72" s="1412"/>
      <c r="T72" s="438" cm="1" t="str">
        <f t="array" ref="T72:T72">T71</f>
        <v>false</v>
      </c>
      <c r="U72" s="1412"/>
      <c r="V72" s="1412"/>
      <c r="W72" s="1412"/>
      <c r="X72" s="1541"/>
      <c r="Y72" s="1412"/>
      <c r="Z72" s="1542"/>
      <c r="AA72" s="1412"/>
      <c r="AB72" s="54" t="s">
        <v>580</v>
      </c>
      <c r="AC72" s="180" t="s">
        <v>848</v>
      </c>
      <c r="AD72" s="55" t="s">
        <v>789</v>
      </c>
      <c r="AE72" s="2388"/>
      <c r="AF72" s="2388"/>
      <c r="AG72" s="2388"/>
      <c r="AH72" s="2388"/>
      <c r="AI72" s="181"/>
      <c r="AJ72" s="2388"/>
      <c r="AK72" s="2388"/>
      <c r="AL72" s="2388"/>
      <c r="AM72" s="2388"/>
      <c r="AN72" s="2388"/>
      <c r="AO72" s="2388"/>
      <c r="AP72" s="2388"/>
      <c r="AQ72" s="2388"/>
      <c r="AR72" s="2388"/>
      <c r="AS72" s="181"/>
      <c r="AT72" s="2388"/>
      <c r="AU72" s="2388"/>
      <c r="AV72" s="2388"/>
      <c r="AW72" s="2388"/>
      <c r="AX72" s="2388"/>
      <c r="AY72" s="2388"/>
      <c r="AZ72" s="2388"/>
      <c r="BA72" s="2388"/>
      <c r="BB72" s="2388"/>
      <c r="BC72" s="1880"/>
      <c r="BD72" s="1412"/>
      <c r="BE72" s="1412"/>
      <c r="BF72" s="1011" t="s">
        <v>933</v>
      </c>
    </row>
    <row customHeight="1" ht="14.625" hidden="1">
      <c r="A73" s="1412"/>
      <c r="B73" s="1369"/>
      <c r="C73" s="1412"/>
      <c r="D73" s="1412"/>
      <c r="E73" s="603">
        <v>15</v>
      </c>
      <c r="F73" s="50" cm="1" t="str">
        <f t="array" ref="F73:F73">OFFSET(E73,-1,1)</f>
        <v>0</v>
      </c>
      <c r="G73" s="70" t="s">
        <v>546</v>
      </c>
      <c r="H73" s="1412"/>
      <c r="I73" s="1412"/>
      <c r="J73" s="1412"/>
      <c r="K73" s="1412"/>
      <c r="L73" s="1412"/>
      <c r="M73" s="1412"/>
      <c r="N73" s="1412"/>
      <c r="O73" s="1412"/>
      <c r="P73" s="1412"/>
      <c r="Q73" s="1412"/>
      <c r="R73" s="1412"/>
      <c r="S73" s="1412"/>
      <c r="T73" s="438" cm="1" t="str">
        <f t="array" ref="T73:T73">T72</f>
        <v>false</v>
      </c>
      <c r="U73" s="1412"/>
      <c r="V73" s="1412"/>
      <c r="W73" s="1412"/>
      <c r="X73" s="1541"/>
      <c r="Y73" s="1412"/>
      <c r="Z73" s="1542"/>
      <c r="AA73" s="1412"/>
      <c r="AB73" s="54" t="s">
        <v>592</v>
      </c>
      <c r="AC73" s="180" t="s">
        <v>851</v>
      </c>
      <c r="AD73" s="55" t="s">
        <v>789</v>
      </c>
      <c r="AE73" s="2388"/>
      <c r="AF73" s="2388"/>
      <c r="AG73" s="2388"/>
      <c r="AH73" s="2388"/>
      <c r="AI73" s="181"/>
      <c r="AJ73" s="2388"/>
      <c r="AK73" s="2388"/>
      <c r="AL73" s="2388"/>
      <c r="AM73" s="2388"/>
      <c r="AN73" s="2388"/>
      <c r="AO73" s="2388"/>
      <c r="AP73" s="2388"/>
      <c r="AQ73" s="2388"/>
      <c r="AR73" s="2388"/>
      <c r="AS73" s="181"/>
      <c r="AT73" s="2388"/>
      <c r="AU73" s="2388"/>
      <c r="AV73" s="2388"/>
      <c r="AW73" s="2388"/>
      <c r="AX73" s="2388"/>
      <c r="AY73" s="2388"/>
      <c r="AZ73" s="2388"/>
      <c r="BA73" s="2388"/>
      <c r="BB73" s="2388"/>
      <c r="BC73" s="1880"/>
      <c r="BD73" s="1412"/>
      <c r="BE73" s="1412"/>
      <c r="BF73" s="1011" t="s">
        <v>934</v>
      </c>
    </row>
    <row customHeight="1" ht="14.625" hidden="1">
      <c r="A74" s="1412"/>
      <c r="B74" s="1369"/>
      <c r="C74" s="1412"/>
      <c r="D74" s="1412"/>
      <c r="E74" s="603">
        <v>15</v>
      </c>
      <c r="F74" s="50" cm="1" t="str">
        <f t="array" ref="F74:F74">OFFSET(E74,-1,1)</f>
        <v>0</v>
      </c>
      <c r="G74" s="70" t="s">
        <v>935</v>
      </c>
      <c r="H74" s="1412"/>
      <c r="I74" s="1412"/>
      <c r="J74" s="1412"/>
      <c r="K74" s="1412"/>
      <c r="L74" s="1412"/>
      <c r="M74" s="1412"/>
      <c r="N74" s="1412"/>
      <c r="O74" s="1412"/>
      <c r="P74" s="1412"/>
      <c r="Q74" s="1412"/>
      <c r="R74" s="1412"/>
      <c r="S74" s="1412"/>
      <c r="T74" s="438" cm="1" t="str">
        <f t="array" ref="T74:T74">T73</f>
        <v>false</v>
      </c>
      <c r="U74" s="1412"/>
      <c r="V74" s="1412"/>
      <c r="W74" s="1412"/>
      <c r="X74" s="1541"/>
      <c r="Y74" s="1412"/>
      <c r="Z74" s="1542"/>
      <c r="AA74" s="1412"/>
      <c r="AB74" s="54" t="s">
        <v>627</v>
      </c>
      <c r="AC74" s="180" t="s">
        <v>854</v>
      </c>
      <c r="AD74" s="55" t="s">
        <v>789</v>
      </c>
      <c r="AE74" s="2388"/>
      <c r="AF74" s="2388"/>
      <c r="AG74" s="2388"/>
      <c r="AH74" s="2388"/>
      <c r="AI74" s="181"/>
      <c r="AJ74" s="2388"/>
      <c r="AK74" s="2388"/>
      <c r="AL74" s="2388"/>
      <c r="AM74" s="2388"/>
      <c r="AN74" s="2388"/>
      <c r="AO74" s="2388"/>
      <c r="AP74" s="2388"/>
      <c r="AQ74" s="2388"/>
      <c r="AR74" s="2388"/>
      <c r="AS74" s="181"/>
      <c r="AT74" s="2388"/>
      <c r="AU74" s="2388"/>
      <c r="AV74" s="2388"/>
      <c r="AW74" s="2388"/>
      <c r="AX74" s="2388"/>
      <c r="AY74" s="2388"/>
      <c r="AZ74" s="2388"/>
      <c r="BA74" s="2388"/>
      <c r="BB74" s="2388"/>
      <c r="BC74" s="1880"/>
      <c r="BD74" s="1412"/>
      <c r="BE74" s="1412"/>
      <c r="BF74" s="1011" t="s">
        <v>936</v>
      </c>
    </row>
    <row customHeight="1" ht="14.625" hidden="1">
      <c r="A75" s="1412"/>
      <c r="B75" s="1369"/>
      <c r="C75" s="1412"/>
      <c r="D75" s="1412"/>
      <c r="E75" s="603">
        <v>15</v>
      </c>
      <c r="F75" s="50" cm="1" t="str">
        <f t="array" ref="F75:F75">OFFSET(E75,-1,1)</f>
        <v>0</v>
      </c>
      <c r="G75" s="70" t="s">
        <v>937</v>
      </c>
      <c r="H75" s="1412"/>
      <c r="I75" s="1412"/>
      <c r="J75" s="1412"/>
      <c r="K75" s="1412"/>
      <c r="L75" s="1412"/>
      <c r="M75" s="1412"/>
      <c r="N75" s="1412"/>
      <c r="O75" s="1412"/>
      <c r="P75" s="1412"/>
      <c r="Q75" s="1412"/>
      <c r="R75" s="1412"/>
      <c r="S75" s="1412"/>
      <c r="T75" s="438" cm="1" t="str">
        <f t="array" ref="T75:T75">T74</f>
        <v>false</v>
      </c>
      <c r="U75" s="1412"/>
      <c r="V75" s="1412"/>
      <c r="W75" s="1412"/>
      <c r="X75" s="1541"/>
      <c r="Y75" s="1412"/>
      <c r="Z75" s="1542"/>
      <c r="AA75" s="1412"/>
      <c r="AB75" s="54" t="s">
        <v>630</v>
      </c>
      <c r="AC75" s="180" t="s">
        <v>858</v>
      </c>
      <c r="AD75" s="55" t="s">
        <v>789</v>
      </c>
      <c r="AE75" s="2388"/>
      <c r="AF75" s="2388"/>
      <c r="AG75" s="2388"/>
      <c r="AH75" s="2388"/>
      <c r="AI75" s="181"/>
      <c r="AJ75" s="2388"/>
      <c r="AK75" s="2388"/>
      <c r="AL75" s="2388"/>
      <c r="AM75" s="2388"/>
      <c r="AN75" s="2388"/>
      <c r="AO75" s="2388"/>
      <c r="AP75" s="2388"/>
      <c r="AQ75" s="2388"/>
      <c r="AR75" s="2388"/>
      <c r="AS75" s="181"/>
      <c r="AT75" s="2388"/>
      <c r="AU75" s="2388"/>
      <c r="AV75" s="2388"/>
      <c r="AW75" s="2388"/>
      <c r="AX75" s="2388"/>
      <c r="AY75" s="2388"/>
      <c r="AZ75" s="2388"/>
      <c r="BA75" s="2388"/>
      <c r="BB75" s="2388"/>
      <c r="BC75" s="1880"/>
      <c r="BD75" s="1412"/>
      <c r="BE75" s="1412"/>
      <c r="BF75" s="1011" t="s">
        <v>938</v>
      </c>
    </row>
    <row s="1624" customFormat="1" customHeight="1" ht="14.25">
      <c r="A76" s="1412"/>
      <c r="B76" s="1369"/>
      <c r="C76" s="1412"/>
      <c r="D76" s="1412"/>
      <c r="E76" s="603">
        <v>15</v>
      </c>
      <c r="F76" s="695" cm="1" t="str">
        <f t="array" ref="F76:F76">X76</f>
        <v>1</v>
      </c>
      <c r="G76" s="1412"/>
      <c r="H76" s="1412"/>
      <c r="I76" s="1412"/>
      <c r="J76" s="1412"/>
      <c r="K76" s="1412"/>
      <c r="L76" s="1412"/>
      <c r="M76" s="1412"/>
      <c r="N76" s="1412"/>
      <c r="O76" s="1412"/>
      <c r="P76" s="1412"/>
      <c r="Q76" s="1412"/>
      <c r="R76" s="1412"/>
      <c r="S76" s="1412"/>
      <c r="T76" s="438">
        <f>X76&gt;0</f>
        <v>1</v>
      </c>
      <c r="U76" s="1412"/>
      <c r="V76" s="70" cm="1" t="str">
        <f t="array" ref="V76:V76">ЭЭ!$AB$47</f>
        <v>Тариф 1 (Водоотведение) - тариф на транспортировку сточных вод</v>
      </c>
      <c r="W76" s="1412"/>
      <c r="X76" s="1541" t="s">
        <v>281</v>
      </c>
      <c r="Y76" s="1412"/>
      <c r="Z76" s="1542"/>
      <c r="AA76" s="1412"/>
      <c r="AB76" s="149" cm="1" t="str">
        <f t="array" ref="AB76:AB76">ЭЭ!$AB$47</f>
        <v>Тариф 1 (Водоотведение) - тариф на транспортировку сточных вод</v>
      </c>
      <c r="AC76" s="146"/>
      <c r="AD76" s="140"/>
      <c r="AE76" s="140"/>
      <c r="AF76" s="140"/>
      <c r="AG76" s="140"/>
      <c r="AH76" s="140"/>
      <c r="AI76" s="140"/>
      <c r="AJ76" s="140"/>
      <c r="AK76" s="140"/>
      <c r="AL76" s="140"/>
      <c r="AM76" s="140"/>
      <c r="AN76" s="140"/>
      <c r="AO76" s="140"/>
      <c r="AP76" s="140"/>
      <c r="AQ76" s="140"/>
      <c r="AR76" s="140"/>
      <c r="AS76" s="140"/>
      <c r="AT76" s="140"/>
      <c r="AU76" s="140"/>
      <c r="AV76" s="140"/>
      <c r="AW76" s="140"/>
      <c r="AX76" s="140"/>
      <c r="AY76" s="140"/>
      <c r="AZ76" s="140"/>
      <c r="BA76" s="140"/>
      <c r="BB76" s="140"/>
      <c r="BC76" s="176"/>
      <c r="BD76" s="1412"/>
      <c r="BE76" s="1412"/>
      <c r="BF76" s="1377"/>
    </row>
    <row s="498" customFormat="1" customHeight="1" ht="21.75">
      <c r="A77" s="498"/>
      <c r="B77" s="403"/>
      <c r="C77" s="498"/>
      <c r="D77" s="498"/>
      <c r="E77" s="645">
        <v>22.5</v>
      </c>
      <c r="F77" s="50" cm="1" t="str">
        <f t="array" ref="F77:F77">OFFSET(E77,-1,1)</f>
        <v>1</v>
      </c>
      <c r="G77" s="70" t="s">
        <v>321</v>
      </c>
      <c r="H77" s="498"/>
      <c r="I77" s="498"/>
      <c r="J77" s="498"/>
      <c r="K77" s="498"/>
      <c r="L77" s="498"/>
      <c r="M77" s="498"/>
      <c r="N77" s="498"/>
      <c r="O77" s="498"/>
      <c r="P77" s="498"/>
      <c r="Q77" s="498"/>
      <c r="R77" s="498"/>
      <c r="S77" s="498"/>
      <c r="T77" s="438" cm="1" t="str">
        <f t="array" ref="T77:T77">T76</f>
        <v>true</v>
      </c>
      <c r="U77" s="498"/>
      <c r="V77" s="498"/>
      <c r="W77" s="498"/>
      <c r="X77" s="1541"/>
      <c r="Y77" s="498"/>
      <c r="Z77" s="1542"/>
      <c r="AA77" s="498"/>
      <c r="AB77" s="177">
        <v>1</v>
      </c>
      <c r="AC77" s="178" t="s">
        <v>842</v>
      </c>
      <c r="AD77" s="55" t="s">
        <v>789</v>
      </c>
      <c r="AE77" s="1176">
        <f>SUM(AE78:AE82)</f>
        <v>0</v>
      </c>
      <c r="AF77" s="1176">
        <f>SUM(AF78:AF82)</f>
        <v>0</v>
      </c>
      <c r="AG77" s="1176">
        <f>SUM(AG78:AG82)</f>
        <v>0</v>
      </c>
      <c r="AH77" s="1176">
        <f>SUM(AH78:AH82)</f>
        <v>0</v>
      </c>
      <c r="AI77" s="1176">
        <f>SUM(AI78:AI82)</f>
        <v>0</v>
      </c>
      <c r="AJ77" s="1176">
        <f>SUM(AJ78:AJ82)</f>
        <v>0</v>
      </c>
      <c r="AK77" s="1176">
        <f>SUM(AK78:AK82)</f>
        <v>0</v>
      </c>
      <c r="AL77" s="1176">
        <f>SUM(AL78:AL82)</f>
        <v>0</v>
      </c>
      <c r="AM77" s="1176">
        <f>SUM(AM78:AM82)</f>
        <v>0</v>
      </c>
      <c r="AN77" s="1176">
        <f>SUM(AN78:AN82)</f>
        <v>0</v>
      </c>
      <c r="AO77" s="1176">
        <f>SUM(AO78:AO82)</f>
        <v>0</v>
      </c>
      <c r="AP77" s="1176">
        <f>SUM(AP78:AP82)</f>
        <v>0</v>
      </c>
      <c r="AQ77" s="1176">
        <f>SUM(AQ78:AQ82)</f>
        <v>0</v>
      </c>
      <c r="AR77" s="1176">
        <f>SUM(AR78:AR82)</f>
        <v>0</v>
      </c>
      <c r="AS77" s="1176">
        <f>SUM(AS78:AS82)</f>
        <v>0</v>
      </c>
      <c r="AT77" s="1176">
        <f>SUM(AT78:AT82)</f>
        <v>0</v>
      </c>
      <c r="AU77" s="1176">
        <f>SUM(AU78:AU82)</f>
        <v>0</v>
      </c>
      <c r="AV77" s="1176">
        <f>SUM(AV78:AV82)</f>
        <v>0</v>
      </c>
      <c r="AW77" s="1176">
        <f>SUM(AW78:AW82)</f>
        <v>0</v>
      </c>
      <c r="AX77" s="1176">
        <f>SUM(AX78:AX82)</f>
        <v>0</v>
      </c>
      <c r="AY77" s="1176">
        <f>SUM(AY78:AY82)</f>
        <v>0</v>
      </c>
      <c r="AZ77" s="1176">
        <f>SUM(AZ78:AZ82)</f>
        <v>0</v>
      </c>
      <c r="BA77" s="1176">
        <f>SUM(BA78:BA82)</f>
        <v>0</v>
      </c>
      <c r="BB77" s="1176">
        <f>SUM(BB78:BB82)</f>
        <v>0</v>
      </c>
      <c r="BC77" s="166"/>
      <c r="BD77" s="498"/>
      <c r="BE77" s="498"/>
      <c r="BF77" s="1011" t="s">
        <v>843</v>
      </c>
    </row>
    <row s="1624" customFormat="1" customHeight="1" ht="14.25">
      <c r="A78" s="1412"/>
      <c r="B78" s="1369"/>
      <c r="C78" s="1412"/>
      <c r="D78" s="1412"/>
      <c r="E78" s="603">
        <v>15</v>
      </c>
      <c r="F78" s="50" cm="1" t="str">
        <f t="array" ref="F78:F78">OFFSET(E78,-1,1)</f>
        <v>1</v>
      </c>
      <c r="G78" s="70" t="s">
        <v>434</v>
      </c>
      <c r="H78" s="1412"/>
      <c r="I78" s="1412"/>
      <c r="J78" s="1412"/>
      <c r="K78" s="1412"/>
      <c r="L78" s="1412"/>
      <c r="M78" s="1412"/>
      <c r="N78" s="1412"/>
      <c r="O78" s="1412"/>
      <c r="P78" s="1412"/>
      <c r="Q78" s="1412"/>
      <c r="R78" s="1412"/>
      <c r="S78" s="1412"/>
      <c r="T78" s="438" cm="1" t="str">
        <f t="array" ref="T78:T78">T77</f>
        <v>true</v>
      </c>
      <c r="U78" s="1412"/>
      <c r="V78" s="1412"/>
      <c r="W78" s="1412"/>
      <c r="X78" s="1541"/>
      <c r="Y78" s="1412"/>
      <c r="Z78" s="1542"/>
      <c r="AA78" s="1412"/>
      <c r="AB78" s="54" t="s">
        <v>844</v>
      </c>
      <c r="AC78" s="180" t="s">
        <v>845</v>
      </c>
      <c r="AD78" s="55" t="s">
        <v>789</v>
      </c>
      <c r="AE78" s="181"/>
      <c r="AF78" s="181"/>
      <c r="AG78" s="181"/>
      <c r="AH78" s="181"/>
      <c r="AI78" s="181"/>
      <c r="AJ78" s="181"/>
      <c r="AK78" s="181"/>
      <c r="AL78" s="181"/>
      <c r="AM78" s="181"/>
      <c r="AN78" s="181"/>
      <c r="AO78" s="181"/>
      <c r="AP78" s="181"/>
      <c r="AQ78" s="181"/>
      <c r="AR78" s="181"/>
      <c r="AS78" s="181"/>
      <c r="AT78" s="181"/>
      <c r="AU78" s="181"/>
      <c r="AV78" s="181"/>
      <c r="AW78" s="181"/>
      <c r="AX78" s="181"/>
      <c r="AY78" s="181"/>
      <c r="AZ78" s="181"/>
      <c r="BA78" s="181"/>
      <c r="BB78" s="181"/>
      <c r="BC78" s="166"/>
      <c r="BD78" s="1412"/>
      <c r="BE78" s="1412"/>
      <c r="BF78" s="1011" t="s">
        <v>846</v>
      </c>
    </row>
    <row s="1624" customFormat="1" customHeight="1" ht="14.25">
      <c r="A79" s="1412"/>
      <c r="B79" s="1369"/>
      <c r="C79" s="1412"/>
      <c r="D79" s="1412"/>
      <c r="E79" s="603">
        <v>15</v>
      </c>
      <c r="F79" s="50" cm="1" t="str">
        <f t="array" ref="F79:F79">OFFSET(E79,-1,1)</f>
        <v>1</v>
      </c>
      <c r="G79" s="70" t="s">
        <v>438</v>
      </c>
      <c r="H79" s="1412"/>
      <c r="I79" s="1412"/>
      <c r="J79" s="1412"/>
      <c r="K79" s="1412"/>
      <c r="L79" s="1412"/>
      <c r="M79" s="1412"/>
      <c r="N79" s="1412"/>
      <c r="O79" s="1412"/>
      <c r="P79" s="1412"/>
      <c r="Q79" s="1412"/>
      <c r="R79" s="1412"/>
      <c r="S79" s="1412"/>
      <c r="T79" s="438" cm="1" t="str">
        <f t="array" ref="T79:T79">T78</f>
        <v>true</v>
      </c>
      <c r="U79" s="1412"/>
      <c r="V79" s="1412"/>
      <c r="W79" s="1412"/>
      <c r="X79" s="1541"/>
      <c r="Y79" s="1412"/>
      <c r="Z79" s="1542"/>
      <c r="AA79" s="1412"/>
      <c r="AB79" s="54" t="s">
        <v>847</v>
      </c>
      <c r="AC79" s="180" t="s">
        <v>848</v>
      </c>
      <c r="AD79" s="55" t="s">
        <v>789</v>
      </c>
      <c r="AE79" s="181"/>
      <c r="AF79" s="181"/>
      <c r="AG79" s="181"/>
      <c r="AH79" s="181"/>
      <c r="AI79" s="181"/>
      <c r="AJ79" s="181"/>
      <c r="AK79" s="181"/>
      <c r="AL79" s="181"/>
      <c r="AM79" s="181"/>
      <c r="AN79" s="181"/>
      <c r="AO79" s="181"/>
      <c r="AP79" s="181"/>
      <c r="AQ79" s="181"/>
      <c r="AR79" s="181"/>
      <c r="AS79" s="181"/>
      <c r="AT79" s="181"/>
      <c r="AU79" s="181"/>
      <c r="AV79" s="181"/>
      <c r="AW79" s="181"/>
      <c r="AX79" s="181"/>
      <c r="AY79" s="181"/>
      <c r="AZ79" s="181"/>
      <c r="BA79" s="181"/>
      <c r="BB79" s="181"/>
      <c r="BC79" s="166"/>
      <c r="BD79" s="1412"/>
      <c r="BE79" s="1412"/>
      <c r="BF79" s="1011" t="s">
        <v>849</v>
      </c>
    </row>
    <row s="1624" customFormat="1" customHeight="1" ht="14.25">
      <c r="A80" s="1412"/>
      <c r="B80" s="1369"/>
      <c r="C80" s="1412"/>
      <c r="D80" s="1412"/>
      <c r="E80" s="603">
        <v>15</v>
      </c>
      <c r="F80" s="50" cm="1" t="str">
        <f t="array" ref="F80:F80">OFFSET(E80,-1,1)</f>
        <v>1</v>
      </c>
      <c r="G80" s="70" t="s">
        <v>441</v>
      </c>
      <c r="H80" s="1412"/>
      <c r="I80" s="1412"/>
      <c r="J80" s="1412"/>
      <c r="K80" s="1412"/>
      <c r="L80" s="1412"/>
      <c r="M80" s="1412"/>
      <c r="N80" s="1412"/>
      <c r="O80" s="1412"/>
      <c r="P80" s="1412"/>
      <c r="Q80" s="1412"/>
      <c r="R80" s="1412"/>
      <c r="S80" s="1412"/>
      <c r="T80" s="438" cm="1" t="str">
        <f t="array" ref="T80:T80">T79</f>
        <v>true</v>
      </c>
      <c r="U80" s="1412"/>
      <c r="V80" s="1412"/>
      <c r="W80" s="1412"/>
      <c r="X80" s="1541"/>
      <c r="Y80" s="1412"/>
      <c r="Z80" s="1542"/>
      <c r="AA80" s="1412"/>
      <c r="AB80" s="54" t="s">
        <v>850</v>
      </c>
      <c r="AC80" s="180" t="s">
        <v>851</v>
      </c>
      <c r="AD80" s="55" t="s">
        <v>789</v>
      </c>
      <c r="AE80" s="181"/>
      <c r="AF80" s="181"/>
      <c r="AG80" s="181"/>
      <c r="AH80" s="181"/>
      <c r="AI80" s="181"/>
      <c r="AJ80" s="181"/>
      <c r="AK80" s="181"/>
      <c r="AL80" s="181"/>
      <c r="AM80" s="181"/>
      <c r="AN80" s="181"/>
      <c r="AO80" s="181"/>
      <c r="AP80" s="181"/>
      <c r="AQ80" s="181"/>
      <c r="AR80" s="181"/>
      <c r="AS80" s="181"/>
      <c r="AT80" s="181"/>
      <c r="AU80" s="181"/>
      <c r="AV80" s="181"/>
      <c r="AW80" s="181"/>
      <c r="AX80" s="181"/>
      <c r="AY80" s="181"/>
      <c r="AZ80" s="181"/>
      <c r="BA80" s="181"/>
      <c r="BB80" s="181"/>
      <c r="BC80" s="166"/>
      <c r="BD80" s="1412"/>
      <c r="BE80" s="1412"/>
      <c r="BF80" s="1011" t="s">
        <v>852</v>
      </c>
    </row>
    <row s="1624" customFormat="1" customHeight="1" ht="14.25">
      <c r="A81" s="1412"/>
      <c r="B81" s="1369"/>
      <c r="C81" s="1412"/>
      <c r="D81" s="1412"/>
      <c r="E81" s="603">
        <v>15</v>
      </c>
      <c r="F81" s="50" cm="1" t="str">
        <f t="array" ref="F81:F81">OFFSET(E81,-1,1)</f>
        <v>1</v>
      </c>
      <c r="G81" s="70" t="s">
        <v>445</v>
      </c>
      <c r="H81" s="1412"/>
      <c r="I81" s="1412"/>
      <c r="J81" s="1412"/>
      <c r="K81" s="1412"/>
      <c r="L81" s="1412"/>
      <c r="M81" s="1412"/>
      <c r="N81" s="1412"/>
      <c r="O81" s="1412"/>
      <c r="P81" s="1412"/>
      <c r="Q81" s="1412"/>
      <c r="R81" s="1412"/>
      <c r="S81" s="1412"/>
      <c r="T81" s="438" cm="1" t="str">
        <f t="array" ref="T81:T81">T80</f>
        <v>true</v>
      </c>
      <c r="U81" s="1412"/>
      <c r="V81" s="1412"/>
      <c r="W81" s="1412"/>
      <c r="X81" s="1541"/>
      <c r="Y81" s="1412"/>
      <c r="Z81" s="1542"/>
      <c r="AA81" s="1412"/>
      <c r="AB81" s="54" t="s">
        <v>853</v>
      </c>
      <c r="AC81" s="180" t="s">
        <v>854</v>
      </c>
      <c r="AD81" s="55" t="s">
        <v>789</v>
      </c>
      <c r="AE81" s="181"/>
      <c r="AF81" s="181"/>
      <c r="AG81" s="181"/>
      <c r="AH81" s="181"/>
      <c r="AI81" s="181"/>
      <c r="AJ81" s="181"/>
      <c r="AK81" s="181"/>
      <c r="AL81" s="181"/>
      <c r="AM81" s="181"/>
      <c r="AN81" s="181"/>
      <c r="AO81" s="181"/>
      <c r="AP81" s="181"/>
      <c r="AQ81" s="181"/>
      <c r="AR81" s="181"/>
      <c r="AS81" s="181"/>
      <c r="AT81" s="181"/>
      <c r="AU81" s="181"/>
      <c r="AV81" s="181"/>
      <c r="AW81" s="181"/>
      <c r="AX81" s="181"/>
      <c r="AY81" s="181"/>
      <c r="AZ81" s="181"/>
      <c r="BA81" s="181"/>
      <c r="BB81" s="181"/>
      <c r="BC81" s="166"/>
      <c r="BD81" s="1412"/>
      <c r="BE81" s="1412"/>
      <c r="BF81" s="1011" t="s">
        <v>855</v>
      </c>
    </row>
    <row s="1624" customFormat="1" customHeight="1" ht="14.25">
      <c r="A82" s="1412"/>
      <c r="B82" s="1369"/>
      <c r="C82" s="1412"/>
      <c r="D82" s="1412"/>
      <c r="E82" s="603">
        <v>15</v>
      </c>
      <c r="F82" s="50" cm="1" t="str">
        <f t="array" ref="F82:F82">OFFSET(E82,-1,1)</f>
        <v>1</v>
      </c>
      <c r="G82" s="70" t="s">
        <v>856</v>
      </c>
      <c r="H82" s="1412"/>
      <c r="I82" s="1412"/>
      <c r="J82" s="1412"/>
      <c r="K82" s="1412"/>
      <c r="L82" s="1412"/>
      <c r="M82" s="1412"/>
      <c r="N82" s="1412"/>
      <c r="O82" s="1412"/>
      <c r="P82" s="1412"/>
      <c r="Q82" s="1412"/>
      <c r="R82" s="1412"/>
      <c r="S82" s="1412"/>
      <c r="T82" s="438" cm="1" t="str">
        <f t="array" ref="T82:T82">T81</f>
        <v>true</v>
      </c>
      <c r="U82" s="1412"/>
      <c r="V82" s="1412"/>
      <c r="W82" s="1412"/>
      <c r="X82" s="1541"/>
      <c r="Y82" s="1412"/>
      <c r="Z82" s="1542"/>
      <c r="AA82" s="1412"/>
      <c r="AB82" s="54" t="s">
        <v>857</v>
      </c>
      <c r="AC82" s="180" t="s">
        <v>858</v>
      </c>
      <c r="AD82" s="55" t="s">
        <v>789</v>
      </c>
      <c r="AE82" s="181"/>
      <c r="AF82" s="181"/>
      <c r="AG82" s="181"/>
      <c r="AH82" s="181"/>
      <c r="AI82" s="181"/>
      <c r="AJ82" s="181"/>
      <c r="AK82" s="181"/>
      <c r="AL82" s="181"/>
      <c r="AM82" s="181"/>
      <c r="AN82" s="181"/>
      <c r="AO82" s="181"/>
      <c r="AP82" s="181"/>
      <c r="AQ82" s="181"/>
      <c r="AR82" s="181"/>
      <c r="AS82" s="181"/>
      <c r="AT82" s="181"/>
      <c r="AU82" s="181"/>
      <c r="AV82" s="181"/>
      <c r="AW82" s="181"/>
      <c r="AX82" s="181"/>
      <c r="AY82" s="181"/>
      <c r="AZ82" s="181"/>
      <c r="BA82" s="181"/>
      <c r="BB82" s="181"/>
      <c r="BC82" s="166"/>
      <c r="BD82" s="1412"/>
      <c r="BE82" s="1412"/>
      <c r="BF82" s="1011" t="s">
        <v>859</v>
      </c>
    </row>
    <row s="498" customFormat="1" customHeight="1" ht="14.25">
      <c r="A83" s="498"/>
      <c r="B83" s="403"/>
      <c r="C83" s="498"/>
      <c r="D83" s="498"/>
      <c r="E83" s="603">
        <v>15</v>
      </c>
      <c r="F83" s="50" cm="1" t="str">
        <f t="array" ref="F83:F83">OFFSET(E83,-1,1)</f>
        <v>1</v>
      </c>
      <c r="G83" s="70" t="s">
        <v>322</v>
      </c>
      <c r="H83" s="498"/>
      <c r="I83" s="498"/>
      <c r="J83" s="498"/>
      <c r="K83" s="498"/>
      <c r="L83" s="498"/>
      <c r="M83" s="498"/>
      <c r="N83" s="498"/>
      <c r="O83" s="498"/>
      <c r="P83" s="498"/>
      <c r="Q83" s="498"/>
      <c r="R83" s="498"/>
      <c r="S83" s="498"/>
      <c r="T83" s="438" cm="1" t="str">
        <f t="array" ref="T83:T83">T82</f>
        <v>true</v>
      </c>
      <c r="U83" s="498"/>
      <c r="V83" s="498"/>
      <c r="W83" s="498"/>
      <c r="X83" s="1541"/>
      <c r="Y83" s="498"/>
      <c r="Z83" s="1542"/>
      <c r="AA83" s="498"/>
      <c r="AB83" s="177">
        <v>2</v>
      </c>
      <c r="AC83" s="178" t="s">
        <v>860</v>
      </c>
      <c r="AD83" s="55" t="s">
        <v>789</v>
      </c>
      <c r="AE83" s="1176">
        <f>SUM(AE84:AE88)</f>
        <v>0</v>
      </c>
      <c r="AF83" s="1176">
        <f>SUM(AF84:AF88)</f>
        <v>0</v>
      </c>
      <c r="AG83" s="1176">
        <f>SUM(AG84:AG88)</f>
        <v>0</v>
      </c>
      <c r="AH83" s="1176">
        <f>SUM(AH84:AH88)</f>
        <v>0</v>
      </c>
      <c r="AI83" s="1176">
        <f>SUM(AI84:AI88)</f>
        <v>0</v>
      </c>
      <c r="AJ83" s="1176">
        <f>SUM(AJ84:AJ88)</f>
        <v>0</v>
      </c>
      <c r="AK83" s="1176">
        <f>SUM(AK84:AK88)</f>
        <v>0</v>
      </c>
      <c r="AL83" s="1176">
        <f>SUM(AL84:AL88)</f>
        <v>0</v>
      </c>
      <c r="AM83" s="1176">
        <f>SUM(AM84:AM88)</f>
        <v>0</v>
      </c>
      <c r="AN83" s="1176">
        <f>SUM(AN84:AN88)</f>
        <v>0</v>
      </c>
      <c r="AO83" s="1176">
        <f>SUM(AO84:AO88)</f>
        <v>0</v>
      </c>
      <c r="AP83" s="1176">
        <f>SUM(AP84:AP88)</f>
        <v>0</v>
      </c>
      <c r="AQ83" s="1176">
        <f>SUM(AQ84:AQ88)</f>
        <v>0</v>
      </c>
      <c r="AR83" s="1176">
        <f>SUM(AR84:AR88)</f>
        <v>0</v>
      </c>
      <c r="AS83" s="1176">
        <f>SUM(AS84:AS88)</f>
        <v>0</v>
      </c>
      <c r="AT83" s="1176">
        <f>SUM(AT84:AT88)</f>
        <v>0</v>
      </c>
      <c r="AU83" s="1176">
        <f>SUM(AU84:AU88)</f>
        <v>0</v>
      </c>
      <c r="AV83" s="1176">
        <f>SUM(AV84:AV88)</f>
        <v>0</v>
      </c>
      <c r="AW83" s="1176">
        <f>SUM(AW84:AW88)</f>
        <v>0</v>
      </c>
      <c r="AX83" s="1176">
        <f>SUM(AX84:AX88)</f>
        <v>0</v>
      </c>
      <c r="AY83" s="1176">
        <f>SUM(AY84:AY88)</f>
        <v>0</v>
      </c>
      <c r="AZ83" s="1176">
        <f>SUM(AZ84:AZ88)</f>
        <v>0</v>
      </c>
      <c r="BA83" s="1176">
        <f>SUM(BA84:BA88)</f>
        <v>0</v>
      </c>
      <c r="BB83" s="1176">
        <f>SUM(BB84:BB88)</f>
        <v>0</v>
      </c>
      <c r="BC83" s="166"/>
      <c r="BD83" s="498"/>
      <c r="BE83" s="498"/>
      <c r="BF83" s="1011" t="s">
        <v>861</v>
      </c>
    </row>
    <row s="1624" customFormat="1" customHeight="1" ht="14.25">
      <c r="A84" s="1412"/>
      <c r="B84" s="1369"/>
      <c r="C84" s="1412"/>
      <c r="D84" s="1412"/>
      <c r="E84" s="603">
        <v>15</v>
      </c>
      <c r="F84" s="50" cm="1" t="str">
        <f t="array" ref="F84:F84">OFFSET(E84,-1,1)</f>
        <v>1</v>
      </c>
      <c r="G84" s="70" t="s">
        <v>452</v>
      </c>
      <c r="H84" s="1412"/>
      <c r="I84" s="1412"/>
      <c r="J84" s="1412"/>
      <c r="K84" s="1412"/>
      <c r="L84" s="1412"/>
      <c r="M84" s="1412"/>
      <c r="N84" s="1412"/>
      <c r="O84" s="1412"/>
      <c r="P84" s="1412"/>
      <c r="Q84" s="1412"/>
      <c r="R84" s="1412"/>
      <c r="S84" s="1412"/>
      <c r="T84" s="438" cm="1" t="str">
        <f t="array" ref="T84:T84">T83</f>
        <v>true</v>
      </c>
      <c r="U84" s="1412"/>
      <c r="V84" s="1412"/>
      <c r="W84" s="1412"/>
      <c r="X84" s="1541"/>
      <c r="Y84" s="1412"/>
      <c r="Z84" s="1542"/>
      <c r="AA84" s="1412"/>
      <c r="AB84" s="54" t="s">
        <v>509</v>
      </c>
      <c r="AC84" s="180" t="s">
        <v>845</v>
      </c>
      <c r="AD84" s="55" t="s">
        <v>789</v>
      </c>
      <c r="AE84" s="181"/>
      <c r="AF84" s="181"/>
      <c r="AG84" s="181"/>
      <c r="AH84" s="181"/>
      <c r="AI84" s="181"/>
      <c r="AJ84" s="181"/>
      <c r="AK84" s="181"/>
      <c r="AL84" s="181"/>
      <c r="AM84" s="181"/>
      <c r="AN84" s="181"/>
      <c r="AO84" s="181"/>
      <c r="AP84" s="181"/>
      <c r="AQ84" s="181"/>
      <c r="AR84" s="181"/>
      <c r="AS84" s="181"/>
      <c r="AT84" s="181"/>
      <c r="AU84" s="181"/>
      <c r="AV84" s="181"/>
      <c r="AW84" s="181"/>
      <c r="AX84" s="181"/>
      <c r="AY84" s="181"/>
      <c r="AZ84" s="181"/>
      <c r="BA84" s="181"/>
      <c r="BB84" s="181"/>
      <c r="BC84" s="166"/>
      <c r="BD84" s="1412"/>
      <c r="BE84" s="1412"/>
      <c r="BF84" s="1011" t="s">
        <v>862</v>
      </c>
    </row>
    <row s="1624" customFormat="1" customHeight="1" ht="14.25">
      <c r="A85" s="1412"/>
      <c r="B85" s="1369"/>
      <c r="C85" s="1412"/>
      <c r="D85" s="1412"/>
      <c r="E85" s="603">
        <v>15</v>
      </c>
      <c r="F85" s="50" cm="1" t="str">
        <f t="array" ref="F85:F85">OFFSET(E85,-1,1)</f>
        <v>1</v>
      </c>
      <c r="G85" s="70" t="s">
        <v>455</v>
      </c>
      <c r="H85" s="1412"/>
      <c r="I85" s="1412"/>
      <c r="J85" s="1412"/>
      <c r="K85" s="1412"/>
      <c r="L85" s="1412"/>
      <c r="M85" s="1412"/>
      <c r="N85" s="1412"/>
      <c r="O85" s="1412"/>
      <c r="P85" s="1412"/>
      <c r="Q85" s="1412"/>
      <c r="R85" s="1412"/>
      <c r="S85" s="1412"/>
      <c r="T85" s="438" cm="1" t="str">
        <f t="array" ref="T85:T85">T84</f>
        <v>true</v>
      </c>
      <c r="U85" s="1412"/>
      <c r="V85" s="1412"/>
      <c r="W85" s="1412"/>
      <c r="X85" s="1541"/>
      <c r="Y85" s="1412"/>
      <c r="Z85" s="1542"/>
      <c r="AA85" s="1412"/>
      <c r="AB85" s="54" t="s">
        <v>513</v>
      </c>
      <c r="AC85" s="180" t="s">
        <v>848</v>
      </c>
      <c r="AD85" s="55" t="s">
        <v>789</v>
      </c>
      <c r="AE85" s="181"/>
      <c r="AF85" s="181"/>
      <c r="AG85" s="181"/>
      <c r="AH85" s="181"/>
      <c r="AI85" s="181"/>
      <c r="AJ85" s="181"/>
      <c r="AK85" s="181"/>
      <c r="AL85" s="181"/>
      <c r="AM85" s="181"/>
      <c r="AN85" s="181"/>
      <c r="AO85" s="181"/>
      <c r="AP85" s="181"/>
      <c r="AQ85" s="181"/>
      <c r="AR85" s="181"/>
      <c r="AS85" s="181"/>
      <c r="AT85" s="181"/>
      <c r="AU85" s="181"/>
      <c r="AV85" s="181"/>
      <c r="AW85" s="181"/>
      <c r="AX85" s="181"/>
      <c r="AY85" s="181"/>
      <c r="AZ85" s="181"/>
      <c r="BA85" s="181"/>
      <c r="BB85" s="181"/>
      <c r="BC85" s="166"/>
      <c r="BD85" s="1412"/>
      <c r="BE85" s="1412"/>
      <c r="BF85" s="1011" t="s">
        <v>863</v>
      </c>
    </row>
    <row s="1624" customFormat="1" customHeight="1" ht="14.25">
      <c r="A86" s="1412"/>
      <c r="B86" s="1369"/>
      <c r="C86" s="1412"/>
      <c r="D86" s="1412"/>
      <c r="E86" s="603">
        <v>15</v>
      </c>
      <c r="F86" s="50" cm="1" t="str">
        <f t="array" ref="F86:F86">OFFSET(E86,-1,1)</f>
        <v>1</v>
      </c>
      <c r="G86" s="70" t="s">
        <v>864</v>
      </c>
      <c r="H86" s="1412"/>
      <c r="I86" s="1412"/>
      <c r="J86" s="1412"/>
      <c r="K86" s="1412"/>
      <c r="L86" s="1412"/>
      <c r="M86" s="1412"/>
      <c r="N86" s="1412"/>
      <c r="O86" s="1412"/>
      <c r="P86" s="1412"/>
      <c r="Q86" s="1412"/>
      <c r="R86" s="1412"/>
      <c r="S86" s="1412"/>
      <c r="T86" s="438" cm="1" t="str">
        <f t="array" ref="T86:T86">T85</f>
        <v>true</v>
      </c>
      <c r="U86" s="1412"/>
      <c r="V86" s="1412"/>
      <c r="W86" s="1412"/>
      <c r="X86" s="1541"/>
      <c r="Y86" s="1412"/>
      <c r="Z86" s="1542"/>
      <c r="AA86" s="1412"/>
      <c r="AB86" s="54" t="s">
        <v>517</v>
      </c>
      <c r="AC86" s="180" t="s">
        <v>851</v>
      </c>
      <c r="AD86" s="55" t="s">
        <v>789</v>
      </c>
      <c r="AE86" s="181"/>
      <c r="AF86" s="181"/>
      <c r="AG86" s="181"/>
      <c r="AH86" s="181"/>
      <c r="AI86" s="181"/>
      <c r="AJ86" s="181"/>
      <c r="AK86" s="181"/>
      <c r="AL86" s="181"/>
      <c r="AM86" s="181"/>
      <c r="AN86" s="181"/>
      <c r="AO86" s="181"/>
      <c r="AP86" s="181"/>
      <c r="AQ86" s="181"/>
      <c r="AR86" s="181"/>
      <c r="AS86" s="181"/>
      <c r="AT86" s="181"/>
      <c r="AU86" s="181"/>
      <c r="AV86" s="181"/>
      <c r="AW86" s="181"/>
      <c r="AX86" s="181"/>
      <c r="AY86" s="181"/>
      <c r="AZ86" s="181"/>
      <c r="BA86" s="181"/>
      <c r="BB86" s="181"/>
      <c r="BC86" s="166"/>
      <c r="BD86" s="1412"/>
      <c r="BE86" s="1412"/>
      <c r="BF86" s="1011" t="s">
        <v>865</v>
      </c>
    </row>
    <row s="1624" customFormat="1" customHeight="1" ht="14.25">
      <c r="A87" s="1412"/>
      <c r="B87" s="1369"/>
      <c r="C87" s="1412"/>
      <c r="D87" s="1412"/>
      <c r="E87" s="603">
        <v>15</v>
      </c>
      <c r="F87" s="50" cm="1" t="str">
        <f t="array" ref="F87:F87">OFFSET(E87,-1,1)</f>
        <v>1</v>
      </c>
      <c r="G87" s="70" t="s">
        <v>866</v>
      </c>
      <c r="H87" s="1412"/>
      <c r="I87" s="1412"/>
      <c r="J87" s="1412"/>
      <c r="K87" s="1412"/>
      <c r="L87" s="1412"/>
      <c r="M87" s="1412"/>
      <c r="N87" s="1412"/>
      <c r="O87" s="1412"/>
      <c r="P87" s="1412"/>
      <c r="Q87" s="1412"/>
      <c r="R87" s="1412"/>
      <c r="S87" s="1412"/>
      <c r="T87" s="438" cm="1" t="str">
        <f t="array" ref="T87:T87">T86</f>
        <v>true</v>
      </c>
      <c r="U87" s="1412"/>
      <c r="V87" s="1412"/>
      <c r="W87" s="1412"/>
      <c r="X87" s="1541"/>
      <c r="Y87" s="1412"/>
      <c r="Z87" s="1542"/>
      <c r="AA87" s="1412"/>
      <c r="AB87" s="54" t="s">
        <v>867</v>
      </c>
      <c r="AC87" s="180" t="s">
        <v>854</v>
      </c>
      <c r="AD87" s="55" t="s">
        <v>789</v>
      </c>
      <c r="AE87" s="181"/>
      <c r="AF87" s="181"/>
      <c r="AG87" s="181"/>
      <c r="AH87" s="181"/>
      <c r="AI87" s="181"/>
      <c r="AJ87" s="181"/>
      <c r="AK87" s="181"/>
      <c r="AL87" s="181"/>
      <c r="AM87" s="181"/>
      <c r="AN87" s="181"/>
      <c r="AO87" s="181"/>
      <c r="AP87" s="181"/>
      <c r="AQ87" s="181"/>
      <c r="AR87" s="181"/>
      <c r="AS87" s="181"/>
      <c r="AT87" s="181"/>
      <c r="AU87" s="181"/>
      <c r="AV87" s="181"/>
      <c r="AW87" s="181"/>
      <c r="AX87" s="181"/>
      <c r="AY87" s="181"/>
      <c r="AZ87" s="181"/>
      <c r="BA87" s="181"/>
      <c r="BB87" s="181"/>
      <c r="BC87" s="166"/>
      <c r="BD87" s="1412"/>
      <c r="BE87" s="1412"/>
      <c r="BF87" s="1011" t="s">
        <v>868</v>
      </c>
    </row>
    <row s="1624" customFormat="1" customHeight="1" ht="14.25">
      <c r="A88" s="1412"/>
      <c r="B88" s="1369"/>
      <c r="C88" s="1412"/>
      <c r="D88" s="1412"/>
      <c r="E88" s="603">
        <v>15</v>
      </c>
      <c r="F88" s="50" cm="1" t="str">
        <f t="array" ref="F88:F88">OFFSET(E88,-1,1)</f>
        <v>1</v>
      </c>
      <c r="G88" s="70" t="s">
        <v>869</v>
      </c>
      <c r="H88" s="1412"/>
      <c r="I88" s="1412"/>
      <c r="J88" s="1412"/>
      <c r="K88" s="1412"/>
      <c r="L88" s="1412"/>
      <c r="M88" s="1412"/>
      <c r="N88" s="1412"/>
      <c r="O88" s="1412"/>
      <c r="P88" s="1412"/>
      <c r="Q88" s="1412"/>
      <c r="R88" s="1412"/>
      <c r="S88" s="1412"/>
      <c r="T88" s="438" cm="1" t="str">
        <f t="array" ref="T88:T88">T87</f>
        <v>true</v>
      </c>
      <c r="U88" s="1412"/>
      <c r="V88" s="1412"/>
      <c r="W88" s="1412"/>
      <c r="X88" s="1541"/>
      <c r="Y88" s="1412"/>
      <c r="Z88" s="1542"/>
      <c r="AA88" s="1412"/>
      <c r="AB88" s="54" t="s">
        <v>870</v>
      </c>
      <c r="AC88" s="180" t="s">
        <v>858</v>
      </c>
      <c r="AD88" s="55" t="s">
        <v>789</v>
      </c>
      <c r="AE88" s="181"/>
      <c r="AF88" s="181"/>
      <c r="AG88" s="181"/>
      <c r="AH88" s="181"/>
      <c r="AI88" s="181"/>
      <c r="AJ88" s="181"/>
      <c r="AK88" s="181"/>
      <c r="AL88" s="181"/>
      <c r="AM88" s="181"/>
      <c r="AN88" s="181"/>
      <c r="AO88" s="181"/>
      <c r="AP88" s="181"/>
      <c r="AQ88" s="181"/>
      <c r="AR88" s="181"/>
      <c r="AS88" s="181"/>
      <c r="AT88" s="181"/>
      <c r="AU88" s="181"/>
      <c r="AV88" s="181"/>
      <c r="AW88" s="181"/>
      <c r="AX88" s="181"/>
      <c r="AY88" s="181"/>
      <c r="AZ88" s="181"/>
      <c r="BA88" s="181"/>
      <c r="BB88" s="181"/>
      <c r="BC88" s="166"/>
      <c r="BD88" s="1412"/>
      <c r="BE88" s="1412"/>
      <c r="BF88" s="1011" t="s">
        <v>871</v>
      </c>
    </row>
    <row s="498" customFormat="1" customHeight="1" ht="14.25">
      <c r="A89" s="498"/>
      <c r="B89" s="403"/>
      <c r="C89" s="498"/>
      <c r="D89" s="498"/>
      <c r="E89" s="603">
        <v>15</v>
      </c>
      <c r="F89" s="50" cm="1" t="str">
        <f t="array" ref="F89:F89">OFFSET(E89,-1,1)</f>
        <v>1</v>
      </c>
      <c r="G89" s="70" t="s">
        <v>323</v>
      </c>
      <c r="H89" s="498"/>
      <c r="I89" s="498"/>
      <c r="J89" s="498"/>
      <c r="K89" s="498"/>
      <c r="L89" s="498"/>
      <c r="M89" s="498"/>
      <c r="N89" s="498"/>
      <c r="O89" s="498"/>
      <c r="P89" s="498"/>
      <c r="Q89" s="498"/>
      <c r="R89" s="498"/>
      <c r="S89" s="498"/>
      <c r="T89" s="438" cm="1" t="str">
        <f t="array" ref="T89:T89">T88</f>
        <v>true</v>
      </c>
      <c r="U89" s="498"/>
      <c r="V89" s="498"/>
      <c r="W89" s="498"/>
      <c r="X89" s="1541"/>
      <c r="Y89" s="498"/>
      <c r="Z89" s="1542"/>
      <c r="AA89" s="498"/>
      <c r="AB89" s="177">
        <v>3</v>
      </c>
      <c r="AC89" s="178" t="s">
        <v>872</v>
      </c>
      <c r="AD89" s="55" t="s">
        <v>789</v>
      </c>
      <c r="AE89" s="1176">
        <f>SUM(AE90:AE94)</f>
        <v>0</v>
      </c>
      <c r="AF89" s="1176">
        <f>SUM(AF90:AF94)</f>
        <v>0</v>
      </c>
      <c r="AG89" s="1176">
        <f>SUM(AG90:AG94)</f>
        <v>0</v>
      </c>
      <c r="AH89" s="1176">
        <f>SUM(AH90:AH94)</f>
        <v>0</v>
      </c>
      <c r="AI89" s="1176">
        <f>SUM(AI90:AI94)</f>
        <v>0</v>
      </c>
      <c r="AJ89" s="1176">
        <f>SUM(AJ90:AJ94)</f>
        <v>0</v>
      </c>
      <c r="AK89" s="1176">
        <f>SUM(AK90:AK94)</f>
        <v>0</v>
      </c>
      <c r="AL89" s="1176">
        <f>SUM(AL90:AL94)</f>
        <v>0</v>
      </c>
      <c r="AM89" s="1176">
        <f>SUM(AM90:AM94)</f>
        <v>0</v>
      </c>
      <c r="AN89" s="1176">
        <f>SUM(AN90:AN94)</f>
        <v>0</v>
      </c>
      <c r="AO89" s="1176">
        <f>SUM(AO90:AO94)</f>
        <v>0</v>
      </c>
      <c r="AP89" s="1176">
        <f>SUM(AP90:AP94)</f>
        <v>0</v>
      </c>
      <c r="AQ89" s="1176">
        <f>SUM(AQ90:AQ94)</f>
        <v>0</v>
      </c>
      <c r="AR89" s="1176">
        <f>SUM(AR90:AR94)</f>
        <v>0</v>
      </c>
      <c r="AS89" s="1176">
        <f>SUM(AS90:AS94)</f>
        <v>0</v>
      </c>
      <c r="AT89" s="1176">
        <f>SUM(AT90:AT94)</f>
        <v>0</v>
      </c>
      <c r="AU89" s="1176">
        <f>SUM(AU90:AU94)</f>
        <v>0</v>
      </c>
      <c r="AV89" s="1176">
        <f>SUM(AV90:AV94)</f>
        <v>0</v>
      </c>
      <c r="AW89" s="1176">
        <f>SUM(AW90:AW94)</f>
        <v>0</v>
      </c>
      <c r="AX89" s="1176">
        <f>SUM(AX90:AX94)</f>
        <v>0</v>
      </c>
      <c r="AY89" s="1176">
        <f>SUM(AY90:AY94)</f>
        <v>0</v>
      </c>
      <c r="AZ89" s="1176">
        <f>SUM(AZ90:AZ94)</f>
        <v>0</v>
      </c>
      <c r="BA89" s="1176">
        <f>SUM(BA90:BA94)</f>
        <v>0</v>
      </c>
      <c r="BB89" s="1176">
        <f>SUM(BB90:BB94)</f>
        <v>0</v>
      </c>
      <c r="BC89" s="166"/>
      <c r="BD89" s="498"/>
      <c r="BE89" s="498"/>
      <c r="BF89" s="1011" t="s">
        <v>873</v>
      </c>
    </row>
    <row s="1624" customFormat="1" customHeight="1" ht="14.25">
      <c r="A90" s="1412"/>
      <c r="B90" s="1369"/>
      <c r="C90" s="1412"/>
      <c r="D90" s="1412"/>
      <c r="E90" s="603">
        <v>15</v>
      </c>
      <c r="F90" s="50" cm="1" t="str">
        <f t="array" ref="F90:F90">OFFSET(E90,-1,1)</f>
        <v>1</v>
      </c>
      <c r="G90" s="70" t="s">
        <v>874</v>
      </c>
      <c r="H90" s="1412"/>
      <c r="I90" s="1412"/>
      <c r="J90" s="1412"/>
      <c r="K90" s="1412"/>
      <c r="L90" s="1412"/>
      <c r="M90" s="1412"/>
      <c r="N90" s="1412"/>
      <c r="O90" s="1412"/>
      <c r="P90" s="1412"/>
      <c r="Q90" s="1412"/>
      <c r="R90" s="1412"/>
      <c r="S90" s="1412"/>
      <c r="T90" s="438" cm="1" t="str">
        <f t="array" ref="T90:T90">T89</f>
        <v>true</v>
      </c>
      <c r="U90" s="1412"/>
      <c r="V90" s="1412"/>
      <c r="W90" s="1412"/>
      <c r="X90" s="1541"/>
      <c r="Y90" s="1412"/>
      <c r="Z90" s="1542"/>
      <c r="AA90" s="1412"/>
      <c r="AB90" s="54" t="s">
        <v>523</v>
      </c>
      <c r="AC90" s="180" t="s">
        <v>845</v>
      </c>
      <c r="AD90" s="55" t="s">
        <v>789</v>
      </c>
      <c r="AE90" s="181"/>
      <c r="AF90" s="181"/>
      <c r="AG90" s="181"/>
      <c r="AH90" s="181"/>
      <c r="AI90" s="181"/>
      <c r="AJ90" s="181"/>
      <c r="AK90" s="181"/>
      <c r="AL90" s="181"/>
      <c r="AM90" s="181"/>
      <c r="AN90" s="181"/>
      <c r="AO90" s="181"/>
      <c r="AP90" s="181"/>
      <c r="AQ90" s="181"/>
      <c r="AR90" s="181"/>
      <c r="AS90" s="181"/>
      <c r="AT90" s="181"/>
      <c r="AU90" s="181"/>
      <c r="AV90" s="181"/>
      <c r="AW90" s="181"/>
      <c r="AX90" s="181"/>
      <c r="AY90" s="181"/>
      <c r="AZ90" s="181"/>
      <c r="BA90" s="181"/>
      <c r="BB90" s="181"/>
      <c r="BC90" s="166"/>
      <c r="BD90" s="1412"/>
      <c r="BE90" s="1412"/>
      <c r="BF90" s="1011" t="s">
        <v>875</v>
      </c>
    </row>
    <row s="1624" customFormat="1" customHeight="1" ht="14.25">
      <c r="A91" s="1412"/>
      <c r="B91" s="1369"/>
      <c r="C91" s="1412"/>
      <c r="D91" s="1412"/>
      <c r="E91" s="603">
        <v>15</v>
      </c>
      <c r="F91" s="50" cm="1" t="str">
        <f t="array" ref="F91:F91">OFFSET(E91,-1,1)</f>
        <v>1</v>
      </c>
      <c r="G91" s="70" t="s">
        <v>876</v>
      </c>
      <c r="H91" s="1412"/>
      <c r="I91" s="1412"/>
      <c r="J91" s="1412"/>
      <c r="K91" s="1412"/>
      <c r="L91" s="1412"/>
      <c r="M91" s="1412"/>
      <c r="N91" s="1412"/>
      <c r="O91" s="1412"/>
      <c r="P91" s="1412"/>
      <c r="Q91" s="1412"/>
      <c r="R91" s="1412"/>
      <c r="S91" s="1412"/>
      <c r="T91" s="438" cm="1" t="str">
        <f t="array" ref="T91:T91">T90</f>
        <v>true</v>
      </c>
      <c r="U91" s="1412"/>
      <c r="V91" s="1412"/>
      <c r="W91" s="1412"/>
      <c r="X91" s="1541"/>
      <c r="Y91" s="1412"/>
      <c r="Z91" s="1542"/>
      <c r="AA91" s="1412"/>
      <c r="AB91" s="54" t="s">
        <v>527</v>
      </c>
      <c r="AC91" s="180" t="s">
        <v>848</v>
      </c>
      <c r="AD91" s="55" t="s">
        <v>789</v>
      </c>
      <c r="AE91" s="181"/>
      <c r="AF91" s="181"/>
      <c r="AG91" s="181"/>
      <c r="AH91" s="181"/>
      <c r="AI91" s="181"/>
      <c r="AJ91" s="181"/>
      <c r="AK91" s="181"/>
      <c r="AL91" s="181"/>
      <c r="AM91" s="181"/>
      <c r="AN91" s="181"/>
      <c r="AO91" s="181"/>
      <c r="AP91" s="181"/>
      <c r="AQ91" s="181"/>
      <c r="AR91" s="181"/>
      <c r="AS91" s="181"/>
      <c r="AT91" s="181"/>
      <c r="AU91" s="181"/>
      <c r="AV91" s="181"/>
      <c r="AW91" s="181"/>
      <c r="AX91" s="181"/>
      <c r="AY91" s="181"/>
      <c r="AZ91" s="181"/>
      <c r="BA91" s="181"/>
      <c r="BB91" s="181"/>
      <c r="BC91" s="166"/>
      <c r="BD91" s="1412"/>
      <c r="BE91" s="1412"/>
      <c r="BF91" s="1011" t="s">
        <v>877</v>
      </c>
    </row>
    <row s="1624" customFormat="1" customHeight="1" ht="14.25">
      <c r="A92" s="1412"/>
      <c r="B92" s="1369"/>
      <c r="C92" s="1412"/>
      <c r="D92" s="1412"/>
      <c r="E92" s="603">
        <v>15</v>
      </c>
      <c r="F92" s="50" cm="1" t="str">
        <f t="array" ref="F92:F92">OFFSET(E92,-1,1)</f>
        <v>1</v>
      </c>
      <c r="G92" s="70" t="s">
        <v>878</v>
      </c>
      <c r="H92" s="1412"/>
      <c r="I92" s="1412"/>
      <c r="J92" s="1412"/>
      <c r="K92" s="1412"/>
      <c r="L92" s="1412"/>
      <c r="M92" s="1412"/>
      <c r="N92" s="1412"/>
      <c r="O92" s="1412"/>
      <c r="P92" s="1412"/>
      <c r="Q92" s="1412"/>
      <c r="R92" s="1412"/>
      <c r="S92" s="1412"/>
      <c r="T92" s="438" cm="1" t="str">
        <f t="array" ref="T92:T92">T91</f>
        <v>true</v>
      </c>
      <c r="U92" s="1412"/>
      <c r="V92" s="1412"/>
      <c r="W92" s="1412"/>
      <c r="X92" s="1541"/>
      <c r="Y92" s="1412"/>
      <c r="Z92" s="1542"/>
      <c r="AA92" s="1412"/>
      <c r="AB92" s="54" t="s">
        <v>744</v>
      </c>
      <c r="AC92" s="180" t="s">
        <v>851</v>
      </c>
      <c r="AD92" s="55" t="s">
        <v>789</v>
      </c>
      <c r="AE92" s="181"/>
      <c r="AF92" s="181"/>
      <c r="AG92" s="181"/>
      <c r="AH92" s="181"/>
      <c r="AI92" s="181"/>
      <c r="AJ92" s="181"/>
      <c r="AK92" s="181"/>
      <c r="AL92" s="181"/>
      <c r="AM92" s="181"/>
      <c r="AN92" s="181"/>
      <c r="AO92" s="181"/>
      <c r="AP92" s="181"/>
      <c r="AQ92" s="181"/>
      <c r="AR92" s="181"/>
      <c r="AS92" s="181"/>
      <c r="AT92" s="181"/>
      <c r="AU92" s="181"/>
      <c r="AV92" s="181"/>
      <c r="AW92" s="181"/>
      <c r="AX92" s="181"/>
      <c r="AY92" s="181"/>
      <c r="AZ92" s="181"/>
      <c r="BA92" s="181"/>
      <c r="BB92" s="181"/>
      <c r="BC92" s="166"/>
      <c r="BD92" s="1412"/>
      <c r="BE92" s="1412"/>
      <c r="BF92" s="1011" t="s">
        <v>879</v>
      </c>
    </row>
    <row s="1624" customFormat="1" customHeight="1" ht="14.25">
      <c r="A93" s="1412"/>
      <c r="B93" s="1369"/>
      <c r="C93" s="1412"/>
      <c r="D93" s="1412"/>
      <c r="E93" s="603">
        <v>15</v>
      </c>
      <c r="F93" s="50" cm="1" t="str">
        <f t="array" ref="F93:F93">OFFSET(E93,-1,1)</f>
        <v>1</v>
      </c>
      <c r="G93" s="70" t="s">
        <v>880</v>
      </c>
      <c r="H93" s="1412"/>
      <c r="I93" s="1412"/>
      <c r="J93" s="1412"/>
      <c r="K93" s="1412"/>
      <c r="L93" s="1412"/>
      <c r="M93" s="1412"/>
      <c r="N93" s="1412"/>
      <c r="O93" s="1412"/>
      <c r="P93" s="1412"/>
      <c r="Q93" s="1412"/>
      <c r="R93" s="1412"/>
      <c r="S93" s="1412"/>
      <c r="T93" s="438" cm="1" t="str">
        <f t="array" ref="T93:T93">T92</f>
        <v>true</v>
      </c>
      <c r="U93" s="1412"/>
      <c r="V93" s="1412"/>
      <c r="W93" s="1412"/>
      <c r="X93" s="1541"/>
      <c r="Y93" s="1412"/>
      <c r="Z93" s="1542"/>
      <c r="AA93" s="1412"/>
      <c r="AB93" s="54" t="s">
        <v>881</v>
      </c>
      <c r="AC93" s="180" t="s">
        <v>854</v>
      </c>
      <c r="AD93" s="55" t="s">
        <v>789</v>
      </c>
      <c r="AE93" s="181"/>
      <c r="AF93" s="181"/>
      <c r="AG93" s="181"/>
      <c r="AH93" s="181"/>
      <c r="AI93" s="181"/>
      <c r="AJ93" s="181"/>
      <c r="AK93" s="181"/>
      <c r="AL93" s="181"/>
      <c r="AM93" s="181"/>
      <c r="AN93" s="181"/>
      <c r="AO93" s="181"/>
      <c r="AP93" s="181"/>
      <c r="AQ93" s="181"/>
      <c r="AR93" s="181"/>
      <c r="AS93" s="181"/>
      <c r="AT93" s="181"/>
      <c r="AU93" s="181"/>
      <c r="AV93" s="181"/>
      <c r="AW93" s="181"/>
      <c r="AX93" s="181"/>
      <c r="AY93" s="181"/>
      <c r="AZ93" s="181"/>
      <c r="BA93" s="181"/>
      <c r="BB93" s="181"/>
      <c r="BC93" s="166"/>
      <c r="BD93" s="1412"/>
      <c r="BE93" s="1412"/>
      <c r="BF93" s="1011" t="s">
        <v>882</v>
      </c>
    </row>
    <row s="1624" customFormat="1" customHeight="1" ht="14.25">
      <c r="A94" s="1412"/>
      <c r="B94" s="1369"/>
      <c r="C94" s="1412"/>
      <c r="D94" s="1412"/>
      <c r="E94" s="603">
        <v>15</v>
      </c>
      <c r="F94" s="50" cm="1" t="str">
        <f t="array" ref="F94:F94">OFFSET(E94,-1,1)</f>
        <v>1</v>
      </c>
      <c r="G94" s="70" t="s">
        <v>883</v>
      </c>
      <c r="H94" s="1412"/>
      <c r="I94" s="1412"/>
      <c r="J94" s="1412"/>
      <c r="K94" s="1412"/>
      <c r="L94" s="1412"/>
      <c r="M94" s="1412"/>
      <c r="N94" s="1412"/>
      <c r="O94" s="1412"/>
      <c r="P94" s="1412"/>
      <c r="Q94" s="1412"/>
      <c r="R94" s="1412"/>
      <c r="S94" s="1412"/>
      <c r="T94" s="438" cm="1" t="str">
        <f t="array" ref="T94:T94">T93</f>
        <v>true</v>
      </c>
      <c r="U94" s="1412"/>
      <c r="V94" s="1412"/>
      <c r="W94" s="1412"/>
      <c r="X94" s="1541"/>
      <c r="Y94" s="1412"/>
      <c r="Z94" s="1542"/>
      <c r="AA94" s="1412"/>
      <c r="AB94" s="54" t="s">
        <v>884</v>
      </c>
      <c r="AC94" s="180" t="s">
        <v>858</v>
      </c>
      <c r="AD94" s="55" t="s">
        <v>789</v>
      </c>
      <c r="AE94" s="181"/>
      <c r="AF94" s="181"/>
      <c r="AG94" s="181"/>
      <c r="AH94" s="181"/>
      <c r="AI94" s="181"/>
      <c r="AJ94" s="181"/>
      <c r="AK94" s="181"/>
      <c r="AL94" s="181"/>
      <c r="AM94" s="181"/>
      <c r="AN94" s="181"/>
      <c r="AO94" s="181"/>
      <c r="AP94" s="181"/>
      <c r="AQ94" s="181"/>
      <c r="AR94" s="181"/>
      <c r="AS94" s="181"/>
      <c r="AT94" s="181"/>
      <c r="AU94" s="181"/>
      <c r="AV94" s="181"/>
      <c r="AW94" s="181"/>
      <c r="AX94" s="181"/>
      <c r="AY94" s="181"/>
      <c r="AZ94" s="181"/>
      <c r="BA94" s="181"/>
      <c r="BB94" s="181"/>
      <c r="BC94" s="166"/>
      <c r="BD94" s="1412"/>
      <c r="BE94" s="1412"/>
      <c r="BF94" s="1011" t="s">
        <v>885</v>
      </c>
    </row>
    <row s="498" customFormat="1" customHeight="1" ht="21.75">
      <c r="A95" s="498"/>
      <c r="B95" s="403"/>
      <c r="C95" s="498"/>
      <c r="D95" s="498"/>
      <c r="E95" s="645">
        <v>22.5</v>
      </c>
      <c r="F95" s="50" cm="1" t="str">
        <f t="array" ref="F95:F95">OFFSET(E95,-1,1)</f>
        <v>1</v>
      </c>
      <c r="G95" s="70" t="s">
        <v>325</v>
      </c>
      <c r="H95" s="498"/>
      <c r="I95" s="498"/>
      <c r="J95" s="498"/>
      <c r="K95" s="498"/>
      <c r="L95" s="498"/>
      <c r="M95" s="498"/>
      <c r="N95" s="498"/>
      <c r="O95" s="498"/>
      <c r="P95" s="498"/>
      <c r="Q95" s="498"/>
      <c r="R95" s="498"/>
      <c r="S95" s="498"/>
      <c r="T95" s="438" cm="1" t="str">
        <f t="array" ref="T95:T95">T94</f>
        <v>true</v>
      </c>
      <c r="U95" s="498"/>
      <c r="V95" s="498"/>
      <c r="W95" s="498"/>
      <c r="X95" s="1541"/>
      <c r="Y95" s="498"/>
      <c r="Z95" s="1542"/>
      <c r="AA95" s="498"/>
      <c r="AB95" s="177">
        <v>4</v>
      </c>
      <c r="AC95" s="178" t="s">
        <v>886</v>
      </c>
      <c r="AD95" s="55" t="s">
        <v>789</v>
      </c>
      <c r="AE95" s="1176">
        <f>SUM(AE96:AE100)</f>
        <v>0</v>
      </c>
      <c r="AF95" s="1176">
        <f>SUM(AF96:AF100)</f>
        <v>0</v>
      </c>
      <c r="AG95" s="1176">
        <f>SUM(AG96:AG100)</f>
        <v>0</v>
      </c>
      <c r="AH95" s="1176">
        <f>SUM(AH96:AH100)</f>
        <v>0</v>
      </c>
      <c r="AI95" s="1176">
        <f>SUM(AI96:AI100)</f>
        <v>0</v>
      </c>
      <c r="AJ95" s="1176">
        <f>SUM(AJ96:AJ100)</f>
        <v>0</v>
      </c>
      <c r="AK95" s="1176">
        <f>SUM(AK96:AK100)</f>
        <v>0</v>
      </c>
      <c r="AL95" s="1176">
        <f>SUM(AL96:AL100)</f>
        <v>0</v>
      </c>
      <c r="AM95" s="1176">
        <f>SUM(AM96:AM100)</f>
        <v>0</v>
      </c>
      <c r="AN95" s="1176">
        <f>SUM(AN96:AN100)</f>
        <v>0</v>
      </c>
      <c r="AO95" s="1176">
        <f>SUM(AO96:AO100)</f>
        <v>0</v>
      </c>
      <c r="AP95" s="1176">
        <f>SUM(AP96:AP100)</f>
        <v>0</v>
      </c>
      <c r="AQ95" s="1176">
        <f>SUM(AQ96:AQ100)</f>
        <v>0</v>
      </c>
      <c r="AR95" s="1176">
        <f>SUM(AR96:AR100)</f>
        <v>0</v>
      </c>
      <c r="AS95" s="1176">
        <f>SUM(AS96:AS100)</f>
        <v>0</v>
      </c>
      <c r="AT95" s="1176">
        <f>SUM(AT96:AT100)</f>
        <v>0</v>
      </c>
      <c r="AU95" s="1176">
        <f>SUM(AU96:AU100)</f>
        <v>0</v>
      </c>
      <c r="AV95" s="1176">
        <f>SUM(AV96:AV100)</f>
        <v>0</v>
      </c>
      <c r="AW95" s="1176">
        <f>SUM(AW96:AW100)</f>
        <v>0</v>
      </c>
      <c r="AX95" s="1176">
        <f>SUM(AX96:AX100)</f>
        <v>0</v>
      </c>
      <c r="AY95" s="1176">
        <f>SUM(AY96:AY100)</f>
        <v>0</v>
      </c>
      <c r="AZ95" s="1176">
        <f>SUM(AZ96:AZ100)</f>
        <v>0</v>
      </c>
      <c r="BA95" s="1176">
        <f>SUM(BA96:BA100)</f>
        <v>0</v>
      </c>
      <c r="BB95" s="1176">
        <f>SUM(BB96:BB100)</f>
        <v>0</v>
      </c>
      <c r="BC95" s="166"/>
      <c r="BD95" s="498"/>
      <c r="BE95" s="498"/>
      <c r="BF95" s="1011" t="s">
        <v>887</v>
      </c>
    </row>
    <row s="1624" customFormat="1" customHeight="1" ht="14.25">
      <c r="A96" s="1412"/>
      <c r="B96" s="1369"/>
      <c r="C96" s="1412"/>
      <c r="D96" s="1412"/>
      <c r="E96" s="603">
        <v>15</v>
      </c>
      <c r="F96" s="50" cm="1" t="str">
        <f t="array" ref="F96:F96">OFFSET(E96,-1,1)</f>
        <v>1</v>
      </c>
      <c r="G96" s="70" t="s">
        <v>508</v>
      </c>
      <c r="H96" s="1412"/>
      <c r="I96" s="1412"/>
      <c r="J96" s="1412"/>
      <c r="K96" s="1412"/>
      <c r="L96" s="1412"/>
      <c r="M96" s="1412"/>
      <c r="N96" s="1412"/>
      <c r="O96" s="1412"/>
      <c r="P96" s="1412"/>
      <c r="Q96" s="1412"/>
      <c r="R96" s="1412"/>
      <c r="S96" s="1412"/>
      <c r="T96" s="438" cm="1" t="str">
        <f t="array" ref="T96:T96">T95</f>
        <v>true</v>
      </c>
      <c r="U96" s="1412"/>
      <c r="V96" s="1412"/>
      <c r="W96" s="1412"/>
      <c r="X96" s="1541"/>
      <c r="Y96" s="1412"/>
      <c r="Z96" s="1542"/>
      <c r="AA96" s="1412"/>
      <c r="AB96" s="54" t="s">
        <v>646</v>
      </c>
      <c r="AC96" s="180" t="s">
        <v>845</v>
      </c>
      <c r="AD96" s="55" t="s">
        <v>789</v>
      </c>
      <c r="AE96" s="181">
        <f>AE78+AE84-AE90</f>
        <v>0</v>
      </c>
      <c r="AF96" s="181">
        <f>AF78+AF84-AF90</f>
        <v>0</v>
      </c>
      <c r="AG96" s="181">
        <f>AG78+AG84-AG90</f>
        <v>0</v>
      </c>
      <c r="AH96" s="181">
        <f>AH78+AH84-AH90</f>
        <v>0</v>
      </c>
      <c r="AI96" s="181">
        <f>AI78+AI84-AI90</f>
        <v>0</v>
      </c>
      <c r="AJ96" s="181">
        <f>AJ78+AJ84-AJ90</f>
        <v>0</v>
      </c>
      <c r="AK96" s="181">
        <f>AK78+AK84-AK90</f>
        <v>0</v>
      </c>
      <c r="AL96" s="181">
        <f>AL78+AL84-AL90</f>
        <v>0</v>
      </c>
      <c r="AM96" s="181">
        <f>AM78+AM84-AM90</f>
        <v>0</v>
      </c>
      <c r="AN96" s="181">
        <f>AN78+AN84-AN90</f>
        <v>0</v>
      </c>
      <c r="AO96" s="181">
        <f>AO78+AO84-AO90</f>
        <v>0</v>
      </c>
      <c r="AP96" s="181">
        <f>AP78+AP84-AP90</f>
        <v>0</v>
      </c>
      <c r="AQ96" s="181">
        <f>AQ78+AQ84-AQ90</f>
        <v>0</v>
      </c>
      <c r="AR96" s="181">
        <f>AR78+AR84-AR90</f>
        <v>0</v>
      </c>
      <c r="AS96" s="181">
        <f>AS78+AS84-AS90</f>
        <v>0</v>
      </c>
      <c r="AT96" s="181">
        <f>AT78+AT84-AT90</f>
        <v>0</v>
      </c>
      <c r="AU96" s="181">
        <f>AU78+AU84-AU90</f>
        <v>0</v>
      </c>
      <c r="AV96" s="181">
        <f>AV78+AV84-AV90</f>
        <v>0</v>
      </c>
      <c r="AW96" s="181">
        <f>AW78+AW84-AW90</f>
        <v>0</v>
      </c>
      <c r="AX96" s="181">
        <f>AX78+AX84-AX90</f>
        <v>0</v>
      </c>
      <c r="AY96" s="181">
        <f>AY78+AY84-AY90</f>
        <v>0</v>
      </c>
      <c r="AZ96" s="181">
        <f>AZ78+AZ84-AZ90</f>
        <v>0</v>
      </c>
      <c r="BA96" s="181">
        <f>BA78+BA84-BA90</f>
        <v>0</v>
      </c>
      <c r="BB96" s="181">
        <f>BB78+BB84-BB90</f>
        <v>0</v>
      </c>
      <c r="BC96" s="166"/>
      <c r="BD96" s="1412"/>
      <c r="BE96" s="1412"/>
      <c r="BF96" s="1011" t="s">
        <v>888</v>
      </c>
    </row>
    <row s="1624" customFormat="1" customHeight="1" ht="14.25">
      <c r="A97" s="1412"/>
      <c r="B97" s="1369"/>
      <c r="C97" s="1412"/>
      <c r="D97" s="1412"/>
      <c r="E97" s="603">
        <v>15</v>
      </c>
      <c r="F97" s="50" cm="1" t="str">
        <f t="array" ref="F97:F97">OFFSET(E97,-1,1)</f>
        <v>1</v>
      </c>
      <c r="G97" s="70" t="s">
        <v>512</v>
      </c>
      <c r="H97" s="1412"/>
      <c r="I97" s="1412"/>
      <c r="J97" s="1412"/>
      <c r="K97" s="1412"/>
      <c r="L97" s="1412"/>
      <c r="M97" s="1412"/>
      <c r="N97" s="1412"/>
      <c r="O97" s="1412"/>
      <c r="P97" s="1412"/>
      <c r="Q97" s="1412"/>
      <c r="R97" s="1412"/>
      <c r="S97" s="1412"/>
      <c r="T97" s="438" cm="1" t="str">
        <f t="array" ref="T97:T97">T96</f>
        <v>true</v>
      </c>
      <c r="U97" s="1412"/>
      <c r="V97" s="1412"/>
      <c r="W97" s="1412"/>
      <c r="X97" s="1541"/>
      <c r="Y97" s="1412"/>
      <c r="Z97" s="1542"/>
      <c r="AA97" s="1412"/>
      <c r="AB97" s="54" t="s">
        <v>649</v>
      </c>
      <c r="AC97" s="180" t="s">
        <v>848</v>
      </c>
      <c r="AD97" s="55" t="s">
        <v>789</v>
      </c>
      <c r="AE97" s="181">
        <f>AE79+AE85-AE91</f>
        <v>0</v>
      </c>
      <c r="AF97" s="181">
        <f>AF79+AF85-AF91</f>
        <v>0</v>
      </c>
      <c r="AG97" s="181">
        <f>AG79+AG85-AG91</f>
        <v>0</v>
      </c>
      <c r="AH97" s="181">
        <f>AH79+AH85-AH91</f>
        <v>0</v>
      </c>
      <c r="AI97" s="181">
        <f>AI79+AI85-AI91</f>
        <v>0</v>
      </c>
      <c r="AJ97" s="181">
        <f>AJ79+AJ85-AJ91</f>
        <v>0</v>
      </c>
      <c r="AK97" s="181">
        <f>AK79+AK85-AK91</f>
        <v>0</v>
      </c>
      <c r="AL97" s="181">
        <f>AL79+AL85-AL91</f>
        <v>0</v>
      </c>
      <c r="AM97" s="181">
        <f>AM79+AM85-AM91</f>
        <v>0</v>
      </c>
      <c r="AN97" s="181">
        <f>AN79+AN85-AN91</f>
        <v>0</v>
      </c>
      <c r="AO97" s="181">
        <f>AO79+AO85-AO91</f>
        <v>0</v>
      </c>
      <c r="AP97" s="181">
        <f>AP79+AP85-AP91</f>
        <v>0</v>
      </c>
      <c r="AQ97" s="181">
        <f>AQ79+AQ85-AQ91</f>
        <v>0</v>
      </c>
      <c r="AR97" s="181">
        <f>AR79+AR85-AR91</f>
        <v>0</v>
      </c>
      <c r="AS97" s="181">
        <f>AS79+AS85-AS91</f>
        <v>0</v>
      </c>
      <c r="AT97" s="181">
        <f>AT79+AT85-AT91</f>
        <v>0</v>
      </c>
      <c r="AU97" s="181">
        <f>AU79+AU85-AU91</f>
        <v>0</v>
      </c>
      <c r="AV97" s="181">
        <f>AV79+AV85-AV91</f>
        <v>0</v>
      </c>
      <c r="AW97" s="181">
        <f>AW79+AW85-AW91</f>
        <v>0</v>
      </c>
      <c r="AX97" s="181">
        <f>AX79+AX85-AX91</f>
        <v>0</v>
      </c>
      <c r="AY97" s="181">
        <f>AY79+AY85-AY91</f>
        <v>0</v>
      </c>
      <c r="AZ97" s="181">
        <f>AZ79+AZ85-AZ91</f>
        <v>0</v>
      </c>
      <c r="BA97" s="181">
        <f>BA79+BA85-BA91</f>
        <v>0</v>
      </c>
      <c r="BB97" s="181">
        <f>BB79+BB85-BB91</f>
        <v>0</v>
      </c>
      <c r="BC97" s="166"/>
      <c r="BD97" s="1412"/>
      <c r="BE97" s="1412"/>
      <c r="BF97" s="1011" t="s">
        <v>889</v>
      </c>
    </row>
    <row s="1624" customFormat="1" customHeight="1" ht="14.25">
      <c r="A98" s="1412"/>
      <c r="B98" s="1369"/>
      <c r="C98" s="1412"/>
      <c r="D98" s="1412"/>
      <c r="E98" s="603">
        <v>15</v>
      </c>
      <c r="F98" s="50" cm="1" t="str">
        <f t="array" ref="F98:F98">OFFSET(E98,-1,1)</f>
        <v>1</v>
      </c>
      <c r="G98" s="70" t="s">
        <v>516</v>
      </c>
      <c r="H98" s="1412"/>
      <c r="I98" s="1412"/>
      <c r="J98" s="1412"/>
      <c r="K98" s="1412"/>
      <c r="L98" s="1412"/>
      <c r="M98" s="1412"/>
      <c r="N98" s="1412"/>
      <c r="O98" s="1412"/>
      <c r="P98" s="1412"/>
      <c r="Q98" s="1412"/>
      <c r="R98" s="1412"/>
      <c r="S98" s="1412"/>
      <c r="T98" s="438" cm="1" t="str">
        <f t="array" ref="T98:T98">T97</f>
        <v>true</v>
      </c>
      <c r="U98" s="1412"/>
      <c r="V98" s="1412"/>
      <c r="W98" s="1412"/>
      <c r="X98" s="1541"/>
      <c r="Y98" s="1412"/>
      <c r="Z98" s="1542"/>
      <c r="AA98" s="1412"/>
      <c r="AB98" s="54" t="s">
        <v>683</v>
      </c>
      <c r="AC98" s="180" t="s">
        <v>851</v>
      </c>
      <c r="AD98" s="55" t="s">
        <v>789</v>
      </c>
      <c r="AE98" s="181">
        <f>AE80+AE86-AE92</f>
        <v>0</v>
      </c>
      <c r="AF98" s="181">
        <f>AF80+AF86-AF92</f>
        <v>0</v>
      </c>
      <c r="AG98" s="181">
        <f>AG80+AG86-AG92</f>
        <v>0</v>
      </c>
      <c r="AH98" s="181">
        <f>AH80+AH86-AH92</f>
        <v>0</v>
      </c>
      <c r="AI98" s="181">
        <f>AI80+AI86-AI92</f>
        <v>0</v>
      </c>
      <c r="AJ98" s="181">
        <f>AJ80+AJ86-AJ92</f>
        <v>0</v>
      </c>
      <c r="AK98" s="181">
        <f>AK80+AK86-AK92</f>
        <v>0</v>
      </c>
      <c r="AL98" s="181">
        <f>AL80+AL86-AL92</f>
        <v>0</v>
      </c>
      <c r="AM98" s="181">
        <f>AM80+AM86-AM92</f>
        <v>0</v>
      </c>
      <c r="AN98" s="181">
        <f>AN80+AN86-AN92</f>
        <v>0</v>
      </c>
      <c r="AO98" s="181">
        <f>AO80+AO86-AO92</f>
        <v>0</v>
      </c>
      <c r="AP98" s="181">
        <f>AP80+AP86-AP92</f>
        <v>0</v>
      </c>
      <c r="AQ98" s="181">
        <f>AQ80+AQ86-AQ92</f>
        <v>0</v>
      </c>
      <c r="AR98" s="181">
        <f>AR80+AR86-AR92</f>
        <v>0</v>
      </c>
      <c r="AS98" s="181">
        <f>AS80+AS86-AS92</f>
        <v>0</v>
      </c>
      <c r="AT98" s="181">
        <f>AT80+AT86-AT92</f>
        <v>0</v>
      </c>
      <c r="AU98" s="181">
        <f>AU80+AU86-AU92</f>
        <v>0</v>
      </c>
      <c r="AV98" s="181">
        <f>AV80+AV86-AV92</f>
        <v>0</v>
      </c>
      <c r="AW98" s="181">
        <f>AW80+AW86-AW92</f>
        <v>0</v>
      </c>
      <c r="AX98" s="181">
        <f>AX80+AX86-AX92</f>
        <v>0</v>
      </c>
      <c r="AY98" s="181">
        <f>AY80+AY86-AY92</f>
        <v>0</v>
      </c>
      <c r="AZ98" s="181">
        <f>AZ80+AZ86-AZ92</f>
        <v>0</v>
      </c>
      <c r="BA98" s="181">
        <f>BA80+BA86-BA92</f>
        <v>0</v>
      </c>
      <c r="BB98" s="181">
        <f>BB80+BB86-BB92</f>
        <v>0</v>
      </c>
      <c r="BC98" s="166"/>
      <c r="BD98" s="1412"/>
      <c r="BE98" s="1412"/>
      <c r="BF98" s="1011" t="s">
        <v>890</v>
      </c>
    </row>
    <row s="1624" customFormat="1" customHeight="1" ht="14.25">
      <c r="A99" s="1412"/>
      <c r="B99" s="1369"/>
      <c r="C99" s="1412"/>
      <c r="D99" s="1412"/>
      <c r="E99" s="603">
        <v>15</v>
      </c>
      <c r="F99" s="50" cm="1" t="str">
        <f t="array" ref="F99:F99">OFFSET(E99,-1,1)</f>
        <v>1</v>
      </c>
      <c r="G99" s="70" t="s">
        <v>891</v>
      </c>
      <c r="H99" s="1412"/>
      <c r="I99" s="1412"/>
      <c r="J99" s="1412"/>
      <c r="K99" s="1412"/>
      <c r="L99" s="1412"/>
      <c r="M99" s="1412"/>
      <c r="N99" s="1412"/>
      <c r="O99" s="1412"/>
      <c r="P99" s="1412"/>
      <c r="Q99" s="1412"/>
      <c r="R99" s="1412"/>
      <c r="S99" s="1412"/>
      <c r="T99" s="438" cm="1" t="str">
        <f t="array" ref="T99:T99">T98</f>
        <v>true</v>
      </c>
      <c r="U99" s="1412"/>
      <c r="V99" s="1412"/>
      <c r="W99" s="1412"/>
      <c r="X99" s="1541"/>
      <c r="Y99" s="1412"/>
      <c r="Z99" s="1542"/>
      <c r="AA99" s="1412"/>
      <c r="AB99" s="54" t="s">
        <v>692</v>
      </c>
      <c r="AC99" s="180" t="s">
        <v>854</v>
      </c>
      <c r="AD99" s="55" t="s">
        <v>789</v>
      </c>
      <c r="AE99" s="181">
        <f>AE81+AE87-AE93</f>
        <v>0</v>
      </c>
      <c r="AF99" s="181">
        <f>AF81+AF87-AF93</f>
        <v>0</v>
      </c>
      <c r="AG99" s="181">
        <f>AG81+AG87-AG93</f>
        <v>0</v>
      </c>
      <c r="AH99" s="181">
        <f>AH81+AH87-AH93</f>
        <v>0</v>
      </c>
      <c r="AI99" s="181">
        <f>AI81+AI87-AI93</f>
        <v>0</v>
      </c>
      <c r="AJ99" s="181">
        <f>AJ81+AJ87-AJ93</f>
        <v>0</v>
      </c>
      <c r="AK99" s="181">
        <f>AK81+AK87-AK93</f>
        <v>0</v>
      </c>
      <c r="AL99" s="181">
        <f>AL81+AL87-AL93</f>
        <v>0</v>
      </c>
      <c r="AM99" s="181">
        <f>AM81+AM87-AM93</f>
        <v>0</v>
      </c>
      <c r="AN99" s="181">
        <f>AN81+AN87-AN93</f>
        <v>0</v>
      </c>
      <c r="AO99" s="181">
        <f>AO81+AO87-AO93</f>
        <v>0</v>
      </c>
      <c r="AP99" s="181">
        <f>AP81+AP87-AP93</f>
        <v>0</v>
      </c>
      <c r="AQ99" s="181">
        <f>AQ81+AQ87-AQ93</f>
        <v>0</v>
      </c>
      <c r="AR99" s="181">
        <f>AR81+AR87-AR93</f>
        <v>0</v>
      </c>
      <c r="AS99" s="181">
        <f>AS81+AS87-AS93</f>
        <v>0</v>
      </c>
      <c r="AT99" s="181">
        <f>AT81+AT87-AT93</f>
        <v>0</v>
      </c>
      <c r="AU99" s="181">
        <f>AU81+AU87-AU93</f>
        <v>0</v>
      </c>
      <c r="AV99" s="181">
        <f>AV81+AV87-AV93</f>
        <v>0</v>
      </c>
      <c r="AW99" s="181">
        <f>AW81+AW87-AW93</f>
        <v>0</v>
      </c>
      <c r="AX99" s="181">
        <f>AX81+AX87-AX93</f>
        <v>0</v>
      </c>
      <c r="AY99" s="181">
        <f>AY81+AY87-AY93</f>
        <v>0</v>
      </c>
      <c r="AZ99" s="181">
        <f>AZ81+AZ87-AZ93</f>
        <v>0</v>
      </c>
      <c r="BA99" s="181">
        <f>BA81+BA87-BA93</f>
        <v>0</v>
      </c>
      <c r="BB99" s="181">
        <f>BB81+BB87-BB93</f>
        <v>0</v>
      </c>
      <c r="BC99" s="166"/>
      <c r="BD99" s="1412"/>
      <c r="BE99" s="1412"/>
      <c r="BF99" s="1011" t="s">
        <v>892</v>
      </c>
    </row>
    <row s="1624" customFormat="1" customHeight="1" ht="14.25">
      <c r="A100" s="1412"/>
      <c r="B100" s="1369"/>
      <c r="C100" s="1412"/>
      <c r="D100" s="1412"/>
      <c r="E100" s="603">
        <v>15</v>
      </c>
      <c r="F100" s="50" cm="1" t="str">
        <f t="array" ref="F100:F100">OFFSET(E100,-1,1)</f>
        <v>1</v>
      </c>
      <c r="G100" s="70" t="s">
        <v>893</v>
      </c>
      <c r="H100" s="1412"/>
      <c r="I100" s="1412"/>
      <c r="J100" s="1412"/>
      <c r="K100" s="1412"/>
      <c r="L100" s="1412"/>
      <c r="M100" s="1412"/>
      <c r="N100" s="1412"/>
      <c r="O100" s="1412"/>
      <c r="P100" s="1412"/>
      <c r="Q100" s="1412"/>
      <c r="R100" s="1412"/>
      <c r="S100" s="1412"/>
      <c r="T100" s="438" cm="1" t="str">
        <f t="array" ref="T100:T100">T99</f>
        <v>true</v>
      </c>
      <c r="U100" s="1412"/>
      <c r="V100" s="1412"/>
      <c r="W100" s="1412"/>
      <c r="X100" s="1541"/>
      <c r="Y100" s="1412"/>
      <c r="Z100" s="1542"/>
      <c r="AA100" s="1412"/>
      <c r="AB100" s="54" t="s">
        <v>702</v>
      </c>
      <c r="AC100" s="180" t="s">
        <v>858</v>
      </c>
      <c r="AD100" s="55" t="s">
        <v>789</v>
      </c>
      <c r="AE100" s="181">
        <f>AE82+AE88-AE94</f>
        <v>0</v>
      </c>
      <c r="AF100" s="181">
        <f>AF82+AF88-AF94</f>
        <v>0</v>
      </c>
      <c r="AG100" s="181">
        <f>AG82+AG88-AG94</f>
        <v>0</v>
      </c>
      <c r="AH100" s="181">
        <f>AH82+AH88-AH94</f>
        <v>0</v>
      </c>
      <c r="AI100" s="181">
        <f>AI82+AI88-AI94</f>
        <v>0</v>
      </c>
      <c r="AJ100" s="181">
        <f>AJ82+AJ88-AJ94</f>
        <v>0</v>
      </c>
      <c r="AK100" s="181">
        <f>AK82+AK88-AK94</f>
        <v>0</v>
      </c>
      <c r="AL100" s="181">
        <f>AL82+AL88-AL94</f>
        <v>0</v>
      </c>
      <c r="AM100" s="181">
        <f>AM82+AM88-AM94</f>
        <v>0</v>
      </c>
      <c r="AN100" s="181">
        <f>AN82+AN88-AN94</f>
        <v>0</v>
      </c>
      <c r="AO100" s="181">
        <f>AO82+AO88-AO94</f>
        <v>0</v>
      </c>
      <c r="AP100" s="181">
        <f>AP82+AP88-AP94</f>
        <v>0</v>
      </c>
      <c r="AQ100" s="181">
        <f>AQ82+AQ88-AQ94</f>
        <v>0</v>
      </c>
      <c r="AR100" s="181">
        <f>AR82+AR88-AR94</f>
        <v>0</v>
      </c>
      <c r="AS100" s="181">
        <f>AS82+AS88-AS94</f>
        <v>0</v>
      </c>
      <c r="AT100" s="181">
        <f>AT82+AT88-AT94</f>
        <v>0</v>
      </c>
      <c r="AU100" s="181">
        <f>AU82+AU88-AU94</f>
        <v>0</v>
      </c>
      <c r="AV100" s="181">
        <f>AV82+AV88-AV94</f>
        <v>0</v>
      </c>
      <c r="AW100" s="181">
        <f>AW82+AW88-AW94</f>
        <v>0</v>
      </c>
      <c r="AX100" s="181">
        <f>AX82+AX88-AX94</f>
        <v>0</v>
      </c>
      <c r="AY100" s="181">
        <f>AY82+AY88-AY94</f>
        <v>0</v>
      </c>
      <c r="AZ100" s="181">
        <f>AZ82+AZ88-AZ94</f>
        <v>0</v>
      </c>
      <c r="BA100" s="181">
        <f>BA82+BA88-BA94</f>
        <v>0</v>
      </c>
      <c r="BB100" s="181">
        <f>BB82+BB88-BB94</f>
        <v>0</v>
      </c>
      <c r="BC100" s="166"/>
      <c r="BD100" s="1412"/>
      <c r="BE100" s="1412"/>
      <c r="BF100" s="1011" t="s">
        <v>894</v>
      </c>
    </row>
    <row s="498" customFormat="1" customHeight="1" ht="14.25">
      <c r="A101" s="498"/>
      <c r="B101" s="403"/>
      <c r="C101" s="498"/>
      <c r="D101" s="498"/>
      <c r="E101" s="603">
        <v>15</v>
      </c>
      <c r="F101" s="50" cm="1" t="str">
        <f t="array" ref="F101:F101">OFFSET(E101,-1,1)</f>
        <v>1</v>
      </c>
      <c r="G101" s="70" t="s">
        <v>324</v>
      </c>
      <c r="H101" s="498"/>
      <c r="I101" s="498"/>
      <c r="J101" s="498"/>
      <c r="K101" s="498"/>
      <c r="L101" s="498"/>
      <c r="M101" s="498"/>
      <c r="N101" s="498"/>
      <c r="O101" s="498"/>
      <c r="P101" s="498"/>
      <c r="Q101" s="498"/>
      <c r="R101" s="498"/>
      <c r="S101" s="498"/>
      <c r="T101" s="438" cm="1" t="str">
        <f t="array" ref="T101:T101">T100</f>
        <v>true</v>
      </c>
      <c r="U101" s="498"/>
      <c r="V101" s="498"/>
      <c r="W101" s="498"/>
      <c r="X101" s="1541"/>
      <c r="Y101" s="498"/>
      <c r="Z101" s="1542"/>
      <c r="AA101" s="498"/>
      <c r="AB101" s="177">
        <v>5</v>
      </c>
      <c r="AC101" s="178" t="s">
        <v>895</v>
      </c>
      <c r="AD101" s="55" t="s">
        <v>789</v>
      </c>
      <c r="AE101" s="1176">
        <f>SUM(AE102:AE106)</f>
        <v>0</v>
      </c>
      <c r="AF101" s="1176">
        <f>SUM(AF102:AF106)</f>
        <v>0</v>
      </c>
      <c r="AG101" s="1176">
        <f>SUM(AG102:AG106)</f>
        <v>0</v>
      </c>
      <c r="AH101" s="1176">
        <f>SUM(AH102:AH106)</f>
        <v>0</v>
      </c>
      <c r="AI101" s="1176">
        <f>SUM(AI102:AI106)</f>
        <v>0</v>
      </c>
      <c r="AJ101" s="1176">
        <f>SUM(AJ102:AJ106)</f>
        <v>0</v>
      </c>
      <c r="AK101" s="1176">
        <f>SUM(AK102:AK106)</f>
        <v>0</v>
      </c>
      <c r="AL101" s="1176">
        <f>SUM(AL102:AL106)</f>
        <v>0</v>
      </c>
      <c r="AM101" s="1176">
        <f>SUM(AM102:AM106)</f>
        <v>0</v>
      </c>
      <c r="AN101" s="1176">
        <f>SUM(AN102:AN106)</f>
        <v>0</v>
      </c>
      <c r="AO101" s="1176">
        <f>SUM(AO102:AO106)</f>
        <v>0</v>
      </c>
      <c r="AP101" s="1176">
        <f>SUM(AP102:AP106)</f>
        <v>0</v>
      </c>
      <c r="AQ101" s="1176">
        <f>SUM(AQ102:AQ106)</f>
        <v>0</v>
      </c>
      <c r="AR101" s="1176">
        <f>SUM(AR102:AR106)</f>
        <v>0</v>
      </c>
      <c r="AS101" s="1176">
        <f>SUM(AS102:AS106)</f>
        <v>0</v>
      </c>
      <c r="AT101" s="1176">
        <f>SUM(AT102:AT106)</f>
        <v>0</v>
      </c>
      <c r="AU101" s="1176">
        <f>SUM(AU102:AU106)</f>
        <v>0</v>
      </c>
      <c r="AV101" s="1176">
        <f>SUM(AV102:AV106)</f>
        <v>0</v>
      </c>
      <c r="AW101" s="1176">
        <f>SUM(AW102:AW106)</f>
        <v>0</v>
      </c>
      <c r="AX101" s="1176">
        <f>SUM(AX102:AX106)</f>
        <v>0</v>
      </c>
      <c r="AY101" s="1176">
        <f>SUM(AY102:AY106)</f>
        <v>0</v>
      </c>
      <c r="AZ101" s="1176">
        <f>SUM(AZ102:AZ106)</f>
        <v>0</v>
      </c>
      <c r="BA101" s="1176">
        <f>SUM(BA102:BA106)</f>
        <v>0</v>
      </c>
      <c r="BB101" s="1176">
        <f>SUM(BB102:BB106)</f>
        <v>0</v>
      </c>
      <c r="BC101" s="166"/>
      <c r="BD101" s="498"/>
      <c r="BE101" s="498"/>
      <c r="BF101" s="1011" t="s">
        <v>896</v>
      </c>
    </row>
    <row s="1624" customFormat="1" customHeight="1" ht="14.25">
      <c r="A102" s="1412"/>
      <c r="B102" s="1369"/>
      <c r="C102" s="1412"/>
      <c r="D102" s="1412"/>
      <c r="E102" s="603">
        <v>15</v>
      </c>
      <c r="F102" s="50" cm="1" t="str">
        <f t="array" ref="F102:F102">OFFSET(E102,-1,1)</f>
        <v>1</v>
      </c>
      <c r="G102" s="70" t="s">
        <v>522</v>
      </c>
      <c r="H102" s="1412"/>
      <c r="I102" s="1412"/>
      <c r="J102" s="1412"/>
      <c r="K102" s="1412"/>
      <c r="L102" s="1412"/>
      <c r="M102" s="1412"/>
      <c r="N102" s="1412"/>
      <c r="O102" s="1412"/>
      <c r="P102" s="1412"/>
      <c r="Q102" s="1412"/>
      <c r="R102" s="1412"/>
      <c r="S102" s="1412"/>
      <c r="T102" s="438" cm="1" t="str">
        <f t="array" ref="T102:T102">T101</f>
        <v>true</v>
      </c>
      <c r="U102" s="1412"/>
      <c r="V102" s="1412"/>
      <c r="W102" s="1412"/>
      <c r="X102" s="1541"/>
      <c r="Y102" s="1412"/>
      <c r="Z102" s="1542"/>
      <c r="AA102" s="1412"/>
      <c r="AB102" s="54" t="s">
        <v>653</v>
      </c>
      <c r="AC102" s="180" t="s">
        <v>845</v>
      </c>
      <c r="AD102" s="55" t="s">
        <v>789</v>
      </c>
      <c r="AE102" s="181">
        <f>(AE96+AE78)/2</f>
        <v>0</v>
      </c>
      <c r="AF102" s="181">
        <f>(AF96+AF78)/2</f>
        <v>0</v>
      </c>
      <c r="AG102" s="181">
        <f>(AG96+AG78)/2</f>
        <v>0</v>
      </c>
      <c r="AH102" s="181">
        <f>(AH96+AH78)/2</f>
        <v>0</v>
      </c>
      <c r="AI102" s="181">
        <f>(AI96+AI78)/2</f>
        <v>0</v>
      </c>
      <c r="AJ102" s="181">
        <f>(AJ96+AJ78)/2</f>
        <v>0</v>
      </c>
      <c r="AK102" s="181">
        <f>(AK96+AK78)/2</f>
        <v>0</v>
      </c>
      <c r="AL102" s="181">
        <f>(AL96+AL78)/2</f>
        <v>0</v>
      </c>
      <c r="AM102" s="181">
        <f>(AM96+AM78)/2</f>
        <v>0</v>
      </c>
      <c r="AN102" s="181">
        <f>(AN96+AN78)/2</f>
        <v>0</v>
      </c>
      <c r="AO102" s="181">
        <f>(AO96+AO78)/2</f>
        <v>0</v>
      </c>
      <c r="AP102" s="181">
        <f>(AP96+AP78)/2</f>
        <v>0</v>
      </c>
      <c r="AQ102" s="181">
        <f>(AQ96+AQ78)/2</f>
        <v>0</v>
      </c>
      <c r="AR102" s="181">
        <f>(AR96+AR78)/2</f>
        <v>0</v>
      </c>
      <c r="AS102" s="181">
        <f>(AS96+AS78)/2</f>
        <v>0</v>
      </c>
      <c r="AT102" s="181">
        <f>(AT96+AT78)/2</f>
        <v>0</v>
      </c>
      <c r="AU102" s="181">
        <f>(AU96+AU78)/2</f>
        <v>0</v>
      </c>
      <c r="AV102" s="181">
        <f>(AV96+AV78)/2</f>
        <v>0</v>
      </c>
      <c r="AW102" s="181">
        <f>(AW96+AW78)/2</f>
        <v>0</v>
      </c>
      <c r="AX102" s="181">
        <f>(AX96+AX78)/2</f>
        <v>0</v>
      </c>
      <c r="AY102" s="181">
        <f>(AY96+AY78)/2</f>
        <v>0</v>
      </c>
      <c r="AZ102" s="181">
        <f>(AZ96+AZ78)/2</f>
        <v>0</v>
      </c>
      <c r="BA102" s="181">
        <f>(BA96+BA78)/2</f>
        <v>0</v>
      </c>
      <c r="BB102" s="181">
        <f>(BB96+BB78)/2</f>
        <v>0</v>
      </c>
      <c r="BC102" s="166"/>
      <c r="BD102" s="1412"/>
      <c r="BE102" s="1412"/>
      <c r="BF102" s="1011" t="s">
        <v>897</v>
      </c>
    </row>
    <row s="1624" customFormat="1" customHeight="1" ht="14.25">
      <c r="A103" s="1412"/>
      <c r="B103" s="1369"/>
      <c r="C103" s="1412"/>
      <c r="D103" s="1412"/>
      <c r="E103" s="603">
        <v>15</v>
      </c>
      <c r="F103" s="50" cm="1" t="str">
        <f t="array" ref="F103:F103">OFFSET(E103,-1,1)</f>
        <v>1</v>
      </c>
      <c r="G103" s="70" t="s">
        <v>526</v>
      </c>
      <c r="H103" s="1412"/>
      <c r="I103" s="1412"/>
      <c r="J103" s="1412"/>
      <c r="K103" s="1412"/>
      <c r="L103" s="1412"/>
      <c r="M103" s="1412"/>
      <c r="N103" s="1412"/>
      <c r="O103" s="1412"/>
      <c r="P103" s="1412"/>
      <c r="Q103" s="1412"/>
      <c r="R103" s="1412"/>
      <c r="S103" s="1412"/>
      <c r="T103" s="438" cm="1" t="str">
        <f t="array" ref="T103:T103">T102</f>
        <v>true</v>
      </c>
      <c r="U103" s="1412"/>
      <c r="V103" s="1412"/>
      <c r="W103" s="1412"/>
      <c r="X103" s="1541"/>
      <c r="Y103" s="1412"/>
      <c r="Z103" s="1542"/>
      <c r="AA103" s="1412"/>
      <c r="AB103" s="54" t="s">
        <v>656</v>
      </c>
      <c r="AC103" s="180" t="s">
        <v>848</v>
      </c>
      <c r="AD103" s="55" t="s">
        <v>789</v>
      </c>
      <c r="AE103" s="181">
        <f>(AE97+AE79)/2</f>
        <v>0</v>
      </c>
      <c r="AF103" s="181">
        <f>(AF97+AF79)/2</f>
        <v>0</v>
      </c>
      <c r="AG103" s="181">
        <f>(AG97+AG79)/2</f>
        <v>0</v>
      </c>
      <c r="AH103" s="181">
        <f>(AH97+AH79)/2</f>
        <v>0</v>
      </c>
      <c r="AI103" s="181">
        <f>(AI97+AI79)/2</f>
        <v>0</v>
      </c>
      <c r="AJ103" s="181">
        <f>(AJ97+AJ79)/2</f>
        <v>0</v>
      </c>
      <c r="AK103" s="181">
        <f>(AK97+AK79)/2</f>
        <v>0</v>
      </c>
      <c r="AL103" s="181">
        <f>(AL97+AL79)/2</f>
        <v>0</v>
      </c>
      <c r="AM103" s="181">
        <f>(AM97+AM79)/2</f>
        <v>0</v>
      </c>
      <c r="AN103" s="181">
        <f>(AN97+AN79)/2</f>
        <v>0</v>
      </c>
      <c r="AO103" s="181">
        <f>(AO97+AO79)/2</f>
        <v>0</v>
      </c>
      <c r="AP103" s="181">
        <f>(AP97+AP79)/2</f>
        <v>0</v>
      </c>
      <c r="AQ103" s="181">
        <f>(AQ97+AQ79)/2</f>
        <v>0</v>
      </c>
      <c r="AR103" s="181">
        <f>(AR97+AR79)/2</f>
        <v>0</v>
      </c>
      <c r="AS103" s="181">
        <f>(AS97+AS79)/2</f>
        <v>0</v>
      </c>
      <c r="AT103" s="181">
        <f>(AT97+AT79)/2</f>
        <v>0</v>
      </c>
      <c r="AU103" s="181">
        <f>(AU97+AU79)/2</f>
        <v>0</v>
      </c>
      <c r="AV103" s="181">
        <f>(AV97+AV79)/2</f>
        <v>0</v>
      </c>
      <c r="AW103" s="181">
        <f>(AW97+AW79)/2</f>
        <v>0</v>
      </c>
      <c r="AX103" s="181">
        <f>(AX97+AX79)/2</f>
        <v>0</v>
      </c>
      <c r="AY103" s="181">
        <f>(AY97+AY79)/2</f>
        <v>0</v>
      </c>
      <c r="AZ103" s="181">
        <f>(AZ97+AZ79)/2</f>
        <v>0</v>
      </c>
      <c r="BA103" s="181">
        <f>(BA97+BA79)/2</f>
        <v>0</v>
      </c>
      <c r="BB103" s="181">
        <f>(BB97+BB79)/2</f>
        <v>0</v>
      </c>
      <c r="BC103" s="166"/>
      <c r="BD103" s="1412"/>
      <c r="BE103" s="1412"/>
      <c r="BF103" s="1011" t="s">
        <v>898</v>
      </c>
    </row>
    <row s="1624" customFormat="1" customHeight="1" ht="14.25">
      <c r="A104" s="1412"/>
      <c r="B104" s="1369"/>
      <c r="C104" s="1412"/>
      <c r="D104" s="1412"/>
      <c r="E104" s="603">
        <v>15</v>
      </c>
      <c r="F104" s="50" cm="1" t="str">
        <f t="array" ref="F104:F104">OFFSET(E104,-1,1)</f>
        <v>1</v>
      </c>
      <c r="G104" s="70" t="s">
        <v>743</v>
      </c>
      <c r="H104" s="1412"/>
      <c r="I104" s="1412"/>
      <c r="J104" s="1412"/>
      <c r="K104" s="1412"/>
      <c r="L104" s="1412"/>
      <c r="M104" s="1412"/>
      <c r="N104" s="1412"/>
      <c r="O104" s="1412"/>
      <c r="P104" s="1412"/>
      <c r="Q104" s="1412"/>
      <c r="R104" s="1412"/>
      <c r="S104" s="1412"/>
      <c r="T104" s="438" cm="1" t="str">
        <f t="array" ref="T104:T104">T103</f>
        <v>true</v>
      </c>
      <c r="U104" s="1412"/>
      <c r="V104" s="1412"/>
      <c r="W104" s="1412"/>
      <c r="X104" s="1541"/>
      <c r="Y104" s="1412"/>
      <c r="Z104" s="1542"/>
      <c r="AA104" s="1412"/>
      <c r="AB104" s="54" t="s">
        <v>899</v>
      </c>
      <c r="AC104" s="180" t="s">
        <v>851</v>
      </c>
      <c r="AD104" s="55" t="s">
        <v>789</v>
      </c>
      <c r="AE104" s="181">
        <f>(AE98+AE80)/2</f>
        <v>0</v>
      </c>
      <c r="AF104" s="181">
        <f>(AF98+AF80)/2</f>
        <v>0</v>
      </c>
      <c r="AG104" s="181">
        <f>(AG98+AG80)/2</f>
        <v>0</v>
      </c>
      <c r="AH104" s="181">
        <f>(AH98+AH80)/2</f>
        <v>0</v>
      </c>
      <c r="AI104" s="181">
        <f>(AI98+AI80)/2</f>
        <v>0</v>
      </c>
      <c r="AJ104" s="181">
        <f>(AJ98+AJ80)/2</f>
        <v>0</v>
      </c>
      <c r="AK104" s="181">
        <f>(AK98+AK80)/2</f>
        <v>0</v>
      </c>
      <c r="AL104" s="181">
        <f>(AL98+AL80)/2</f>
        <v>0</v>
      </c>
      <c r="AM104" s="181">
        <f>(AM98+AM80)/2</f>
        <v>0</v>
      </c>
      <c r="AN104" s="181">
        <f>(AN98+AN80)/2</f>
        <v>0</v>
      </c>
      <c r="AO104" s="181">
        <f>(AO98+AO80)/2</f>
        <v>0</v>
      </c>
      <c r="AP104" s="181">
        <f>(AP98+AP80)/2</f>
        <v>0</v>
      </c>
      <c r="AQ104" s="181">
        <f>(AQ98+AQ80)/2</f>
        <v>0</v>
      </c>
      <c r="AR104" s="181">
        <f>(AR98+AR80)/2</f>
        <v>0</v>
      </c>
      <c r="AS104" s="181">
        <f>(AS98+AS80)/2</f>
        <v>0</v>
      </c>
      <c r="AT104" s="181">
        <f>(AT98+AT80)/2</f>
        <v>0</v>
      </c>
      <c r="AU104" s="181">
        <f>(AU98+AU80)/2</f>
        <v>0</v>
      </c>
      <c r="AV104" s="181">
        <f>(AV98+AV80)/2</f>
        <v>0</v>
      </c>
      <c r="AW104" s="181">
        <f>(AW98+AW80)/2</f>
        <v>0</v>
      </c>
      <c r="AX104" s="181">
        <f>(AX98+AX80)/2</f>
        <v>0</v>
      </c>
      <c r="AY104" s="181">
        <f>(AY98+AY80)/2</f>
        <v>0</v>
      </c>
      <c r="AZ104" s="181">
        <f>(AZ98+AZ80)/2</f>
        <v>0</v>
      </c>
      <c r="BA104" s="181">
        <f>(BA98+BA80)/2</f>
        <v>0</v>
      </c>
      <c r="BB104" s="181">
        <f>(BB98+BB80)/2</f>
        <v>0</v>
      </c>
      <c r="BC104" s="166"/>
      <c r="BD104" s="1412"/>
      <c r="BE104" s="1412"/>
      <c r="BF104" s="1011" t="s">
        <v>900</v>
      </c>
    </row>
    <row s="1624" customFormat="1" customHeight="1" ht="14.25">
      <c r="A105" s="1412"/>
      <c r="B105" s="1369"/>
      <c r="C105" s="1412"/>
      <c r="D105" s="1412"/>
      <c r="E105" s="603">
        <v>15</v>
      </c>
      <c r="F105" s="50" cm="1" t="str">
        <f t="array" ref="F105:F105">OFFSET(E105,-1,1)</f>
        <v>1</v>
      </c>
      <c r="G105" s="70" t="s">
        <v>901</v>
      </c>
      <c r="H105" s="1412"/>
      <c r="I105" s="1412"/>
      <c r="J105" s="1412"/>
      <c r="K105" s="1412"/>
      <c r="L105" s="1412"/>
      <c r="M105" s="1412"/>
      <c r="N105" s="1412"/>
      <c r="O105" s="1412"/>
      <c r="P105" s="1412"/>
      <c r="Q105" s="1412"/>
      <c r="R105" s="1412"/>
      <c r="S105" s="1412"/>
      <c r="T105" s="438" cm="1" t="str">
        <f t="array" ref="T105:T105">T104</f>
        <v>true</v>
      </c>
      <c r="U105" s="1412"/>
      <c r="V105" s="1412"/>
      <c r="W105" s="1412"/>
      <c r="X105" s="1541"/>
      <c r="Y105" s="1412"/>
      <c r="Z105" s="1542"/>
      <c r="AA105" s="1412"/>
      <c r="AB105" s="54" t="s">
        <v>902</v>
      </c>
      <c r="AC105" s="180" t="s">
        <v>854</v>
      </c>
      <c r="AD105" s="55" t="s">
        <v>789</v>
      </c>
      <c r="AE105" s="181">
        <f>(AE99+AE81)/2</f>
        <v>0</v>
      </c>
      <c r="AF105" s="181">
        <f>(AF99+AF81)/2</f>
        <v>0</v>
      </c>
      <c r="AG105" s="181">
        <f>(AG99+AG81)/2</f>
        <v>0</v>
      </c>
      <c r="AH105" s="181">
        <f>(AH99+AH81)/2</f>
        <v>0</v>
      </c>
      <c r="AI105" s="181">
        <f>(AI99+AI81)/2</f>
        <v>0</v>
      </c>
      <c r="AJ105" s="181">
        <f>(AJ99+AJ81)/2</f>
        <v>0</v>
      </c>
      <c r="AK105" s="181">
        <f>(AK99+AK81)/2</f>
        <v>0</v>
      </c>
      <c r="AL105" s="181">
        <f>(AL99+AL81)/2</f>
        <v>0</v>
      </c>
      <c r="AM105" s="181">
        <f>(AM99+AM81)/2</f>
        <v>0</v>
      </c>
      <c r="AN105" s="181">
        <f>(AN99+AN81)/2</f>
        <v>0</v>
      </c>
      <c r="AO105" s="181">
        <f>(AO99+AO81)/2</f>
        <v>0</v>
      </c>
      <c r="AP105" s="181">
        <f>(AP99+AP81)/2</f>
        <v>0</v>
      </c>
      <c r="AQ105" s="181">
        <f>(AQ99+AQ81)/2</f>
        <v>0</v>
      </c>
      <c r="AR105" s="181">
        <f>(AR99+AR81)/2</f>
        <v>0</v>
      </c>
      <c r="AS105" s="181">
        <f>(AS99+AS81)/2</f>
        <v>0</v>
      </c>
      <c r="AT105" s="181">
        <f>(AT99+AT81)/2</f>
        <v>0</v>
      </c>
      <c r="AU105" s="181">
        <f>(AU99+AU81)/2</f>
        <v>0</v>
      </c>
      <c r="AV105" s="181">
        <f>(AV99+AV81)/2</f>
        <v>0</v>
      </c>
      <c r="AW105" s="181">
        <f>(AW99+AW81)/2</f>
        <v>0</v>
      </c>
      <c r="AX105" s="181">
        <f>(AX99+AX81)/2</f>
        <v>0</v>
      </c>
      <c r="AY105" s="181">
        <f>(AY99+AY81)/2</f>
        <v>0</v>
      </c>
      <c r="AZ105" s="181">
        <f>(AZ99+AZ81)/2</f>
        <v>0</v>
      </c>
      <c r="BA105" s="181">
        <f>(BA99+BA81)/2</f>
        <v>0</v>
      </c>
      <c r="BB105" s="181">
        <f>(BB99+BB81)/2</f>
        <v>0</v>
      </c>
      <c r="BC105" s="166"/>
      <c r="BD105" s="1412"/>
      <c r="BE105" s="1412"/>
      <c r="BF105" s="1011" t="s">
        <v>903</v>
      </c>
    </row>
    <row s="1624" customFormat="1" customHeight="1" ht="14.25">
      <c r="A106" s="1412"/>
      <c r="B106" s="1369"/>
      <c r="C106" s="1412"/>
      <c r="D106" s="1412"/>
      <c r="E106" s="603">
        <v>15</v>
      </c>
      <c r="F106" s="50" cm="1" t="str">
        <f t="array" ref="F106:F106">OFFSET(E106,-1,1)</f>
        <v>1</v>
      </c>
      <c r="G106" s="70" t="s">
        <v>904</v>
      </c>
      <c r="H106" s="1412"/>
      <c r="I106" s="1412"/>
      <c r="J106" s="1412"/>
      <c r="K106" s="1412"/>
      <c r="L106" s="1412"/>
      <c r="M106" s="1412"/>
      <c r="N106" s="1412"/>
      <c r="O106" s="1412"/>
      <c r="P106" s="1412"/>
      <c r="Q106" s="1412"/>
      <c r="R106" s="1412"/>
      <c r="S106" s="1412"/>
      <c r="T106" s="438" cm="1" t="str">
        <f t="array" ref="T106:T106">T105</f>
        <v>true</v>
      </c>
      <c r="U106" s="1412"/>
      <c r="V106" s="1412"/>
      <c r="W106" s="1412"/>
      <c r="X106" s="1541"/>
      <c r="Y106" s="1412"/>
      <c r="Z106" s="1542"/>
      <c r="AA106" s="1412"/>
      <c r="AB106" s="54" t="s">
        <v>905</v>
      </c>
      <c r="AC106" s="180" t="s">
        <v>858</v>
      </c>
      <c r="AD106" s="55" t="s">
        <v>789</v>
      </c>
      <c r="AE106" s="181">
        <f>(AE100+AE82)/2</f>
        <v>0</v>
      </c>
      <c r="AF106" s="181">
        <f>(AF100+AF82)/2</f>
        <v>0</v>
      </c>
      <c r="AG106" s="181">
        <f>(AG100+AG82)/2</f>
        <v>0</v>
      </c>
      <c r="AH106" s="181">
        <f>(AH100+AH82)/2</f>
        <v>0</v>
      </c>
      <c r="AI106" s="181">
        <f>(AI100+AI82)/2</f>
        <v>0</v>
      </c>
      <c r="AJ106" s="181">
        <f>(AJ100+AJ82)/2</f>
        <v>0</v>
      </c>
      <c r="AK106" s="181">
        <f>(AK100+AK82)/2</f>
        <v>0</v>
      </c>
      <c r="AL106" s="181">
        <f>(AL100+AL82)/2</f>
        <v>0</v>
      </c>
      <c r="AM106" s="181">
        <f>(AM100+AM82)/2</f>
        <v>0</v>
      </c>
      <c r="AN106" s="181">
        <f>(AN100+AN82)/2</f>
        <v>0</v>
      </c>
      <c r="AO106" s="181">
        <f>(AO100+AO82)/2</f>
        <v>0</v>
      </c>
      <c r="AP106" s="181">
        <f>(AP100+AP82)/2</f>
        <v>0</v>
      </c>
      <c r="AQ106" s="181">
        <f>(AQ100+AQ82)/2</f>
        <v>0</v>
      </c>
      <c r="AR106" s="181">
        <f>(AR100+AR82)/2</f>
        <v>0</v>
      </c>
      <c r="AS106" s="181">
        <f>(AS100+AS82)/2</f>
        <v>0</v>
      </c>
      <c r="AT106" s="181">
        <f>(AT100+AT82)/2</f>
        <v>0</v>
      </c>
      <c r="AU106" s="181">
        <f>(AU100+AU82)/2</f>
        <v>0</v>
      </c>
      <c r="AV106" s="181">
        <f>(AV100+AV82)/2</f>
        <v>0</v>
      </c>
      <c r="AW106" s="181">
        <f>(AW100+AW82)/2</f>
        <v>0</v>
      </c>
      <c r="AX106" s="181">
        <f>(AX100+AX82)/2</f>
        <v>0</v>
      </c>
      <c r="AY106" s="181">
        <f>(AY100+AY82)/2</f>
        <v>0</v>
      </c>
      <c r="AZ106" s="181">
        <f>(AZ100+AZ82)/2</f>
        <v>0</v>
      </c>
      <c r="BA106" s="181">
        <f>(BA100+BA82)/2</f>
        <v>0</v>
      </c>
      <c r="BB106" s="181">
        <f>(BB100+BB82)/2</f>
        <v>0</v>
      </c>
      <c r="BC106" s="166"/>
      <c r="BD106" s="1412"/>
      <c r="BE106" s="1412"/>
      <c r="BF106" s="1011" t="s">
        <v>906</v>
      </c>
    </row>
    <row s="498" customFormat="1" customHeight="1" ht="21.75">
      <c r="A107" s="498"/>
      <c r="B107" s="403"/>
      <c r="C107" s="498"/>
      <c r="D107" s="498"/>
      <c r="E107" s="645">
        <v>22.5</v>
      </c>
      <c r="F107" s="50" cm="1" t="str">
        <f t="array" ref="F107:F107">OFFSET(E107,-1,1)</f>
        <v>1</v>
      </c>
      <c r="G107" s="70" t="s">
        <v>484</v>
      </c>
      <c r="H107" s="498"/>
      <c r="I107" s="498"/>
      <c r="J107" s="498"/>
      <c r="K107" s="498"/>
      <c r="L107" s="498"/>
      <c r="M107" s="498"/>
      <c r="N107" s="498"/>
      <c r="O107" s="498"/>
      <c r="P107" s="498"/>
      <c r="Q107" s="498"/>
      <c r="R107" s="498"/>
      <c r="S107" s="498"/>
      <c r="T107" s="438" cm="1" t="str">
        <f t="array" ref="T107:T107">T106</f>
        <v>true</v>
      </c>
      <c r="U107" s="498"/>
      <c r="V107" s="498"/>
      <c r="W107" s="498"/>
      <c r="X107" s="1541"/>
      <c r="Y107" s="498"/>
      <c r="Z107" s="1542"/>
      <c r="AA107" s="498"/>
      <c r="AB107" s="177">
        <v>6</v>
      </c>
      <c r="AC107" s="178" t="s">
        <v>907</v>
      </c>
      <c r="AD107" s="177"/>
      <c r="AE107" s="182"/>
      <c r="AF107" s="182"/>
      <c r="AG107" s="182"/>
      <c r="AH107" s="182"/>
      <c r="AI107" s="182"/>
      <c r="AJ107" s="182"/>
      <c r="AK107" s="182"/>
      <c r="AL107" s="182"/>
      <c r="AM107" s="182"/>
      <c r="AN107" s="182"/>
      <c r="AO107" s="182"/>
      <c r="AP107" s="182"/>
      <c r="AQ107" s="182"/>
      <c r="AR107" s="182"/>
      <c r="AS107" s="182"/>
      <c r="AT107" s="182"/>
      <c r="AU107" s="182"/>
      <c r="AV107" s="182"/>
      <c r="AW107" s="182"/>
      <c r="AX107" s="182"/>
      <c r="AY107" s="182"/>
      <c r="AZ107" s="182"/>
      <c r="BA107" s="182"/>
      <c r="BB107" s="182"/>
      <c r="BC107" s="166"/>
      <c r="BD107" s="498"/>
      <c r="BE107" s="498"/>
      <c r="BF107" s="1011" t="s">
        <v>908</v>
      </c>
    </row>
    <row s="1624" customFormat="1" customHeight="1" ht="14.25">
      <c r="A108" s="1412"/>
      <c r="B108" s="1369"/>
      <c r="C108" s="1412"/>
      <c r="D108" s="1412"/>
      <c r="E108" s="603">
        <v>15</v>
      </c>
      <c r="F108" s="50" cm="1" t="str">
        <f t="array" ref="F108:F108">OFFSET(E108,-1,1)</f>
        <v>1</v>
      </c>
      <c r="G108" s="70" t="s">
        <v>645</v>
      </c>
      <c r="H108" s="1412"/>
      <c r="I108" s="1412"/>
      <c r="J108" s="1412"/>
      <c r="K108" s="1412"/>
      <c r="L108" s="1412"/>
      <c r="M108" s="1412"/>
      <c r="N108" s="1412"/>
      <c r="O108" s="1412"/>
      <c r="P108" s="1412"/>
      <c r="Q108" s="1412"/>
      <c r="R108" s="1412"/>
      <c r="S108" s="1412"/>
      <c r="T108" s="438" cm="1" t="str">
        <f t="array" ref="T108:T108">T107</f>
        <v>true</v>
      </c>
      <c r="U108" s="1412"/>
      <c r="V108" s="1412"/>
      <c r="W108" s="1412"/>
      <c r="X108" s="1541"/>
      <c r="Y108" s="1412"/>
      <c r="Z108" s="1542"/>
      <c r="AA108" s="1412"/>
      <c r="AB108" s="54" t="s">
        <v>539</v>
      </c>
      <c r="AC108" s="180" t="s">
        <v>845</v>
      </c>
      <c r="AD108" s="54" t="s">
        <v>430</v>
      </c>
      <c r="AE108" s="181">
        <f>IF(AE102=0,0,AE114/AE102*100)</f>
        <v>0</v>
      </c>
      <c r="AF108" s="181">
        <f>IF(AF102=0,0,AF114/AF102*100)</f>
        <v>0</v>
      </c>
      <c r="AG108" s="181">
        <f>IF(AG102=0,0,AG114/AG102*100)</f>
        <v>0</v>
      </c>
      <c r="AH108" s="181">
        <f>IF(AH102=0,0,AH114/AH102*100)</f>
        <v>0</v>
      </c>
      <c r="AI108" s="181">
        <f>IF(AI102=0,0,AI114/AI102*100)</f>
        <v>0</v>
      </c>
      <c r="AJ108" s="181">
        <f>IF(AJ102=0,0,AJ114/AJ102*100)</f>
        <v>0</v>
      </c>
      <c r="AK108" s="181">
        <f>IF(AK102=0,0,AK114/AK102*100)</f>
        <v>0</v>
      </c>
      <c r="AL108" s="181">
        <f>IF(AL102=0,0,AL114/AL102*100)</f>
        <v>0</v>
      </c>
      <c r="AM108" s="181">
        <f>IF(AM102=0,0,AM114/AM102*100)</f>
        <v>0</v>
      </c>
      <c r="AN108" s="181">
        <f>IF(AN102=0,0,AN114/AN102*100)</f>
        <v>0</v>
      </c>
      <c r="AO108" s="181">
        <f>IF(AO102=0,0,AO114/AO102*100)</f>
        <v>0</v>
      </c>
      <c r="AP108" s="181">
        <f>IF(AP102=0,0,AP114/AP102*100)</f>
        <v>0</v>
      </c>
      <c r="AQ108" s="181">
        <f>IF(AQ102=0,0,AQ114/AQ102*100)</f>
        <v>0</v>
      </c>
      <c r="AR108" s="181">
        <f>IF(AR102=0,0,AR114/AR102*100)</f>
        <v>0</v>
      </c>
      <c r="AS108" s="181">
        <f>IF(AS102=0,0,AS114/AS102*100)</f>
        <v>0</v>
      </c>
      <c r="AT108" s="181">
        <f>IF(AT102=0,0,AT114/AT102*100)</f>
        <v>0</v>
      </c>
      <c r="AU108" s="181">
        <f>IF(AU102=0,0,AU114/AU102*100)</f>
        <v>0</v>
      </c>
      <c r="AV108" s="181">
        <f>IF(AV102=0,0,AV114/AV102*100)</f>
        <v>0</v>
      </c>
      <c r="AW108" s="181">
        <f>IF(AW102=0,0,AW114/AW102*100)</f>
        <v>0</v>
      </c>
      <c r="AX108" s="181">
        <f>IF(AX102=0,0,AX114/AX102*100)</f>
        <v>0</v>
      </c>
      <c r="AY108" s="181">
        <f>IF(AY102=0,0,AY114/AY102*100)</f>
        <v>0</v>
      </c>
      <c r="AZ108" s="181">
        <f>IF(AZ102=0,0,AZ114/AZ102*100)</f>
        <v>0</v>
      </c>
      <c r="BA108" s="181">
        <f>IF(BA102=0,0,BA114/BA102*100)</f>
        <v>0</v>
      </c>
      <c r="BB108" s="181">
        <f>IF(BB102=0,0,BB114/BB102*100)</f>
        <v>0</v>
      </c>
      <c r="BC108" s="166"/>
      <c r="BD108" s="1412"/>
      <c r="BE108" s="1412"/>
      <c r="BF108" s="1011" t="s">
        <v>909</v>
      </c>
    </row>
    <row s="1624" customFormat="1" customHeight="1" ht="14.25">
      <c r="A109" s="1412"/>
      <c r="B109" s="1369"/>
      <c r="C109" s="1412"/>
      <c r="D109" s="1412"/>
      <c r="E109" s="603">
        <v>15</v>
      </c>
      <c r="F109" s="50" cm="1" t="str">
        <f t="array" ref="F109:F109">OFFSET(E109,-1,1)</f>
        <v>1</v>
      </c>
      <c r="G109" s="70" t="s">
        <v>648</v>
      </c>
      <c r="H109" s="1412"/>
      <c r="I109" s="1412"/>
      <c r="J109" s="1412"/>
      <c r="K109" s="1412"/>
      <c r="L109" s="1412"/>
      <c r="M109" s="1412"/>
      <c r="N109" s="1412"/>
      <c r="O109" s="1412"/>
      <c r="P109" s="1412"/>
      <c r="Q109" s="1412"/>
      <c r="R109" s="1412"/>
      <c r="S109" s="1412"/>
      <c r="T109" s="438" cm="1" t="str">
        <f t="array" ref="T109:T109">T108</f>
        <v>true</v>
      </c>
      <c r="U109" s="1412"/>
      <c r="V109" s="1412"/>
      <c r="W109" s="1412"/>
      <c r="X109" s="1541"/>
      <c r="Y109" s="1412"/>
      <c r="Z109" s="1542"/>
      <c r="AA109" s="1412"/>
      <c r="AB109" s="54" t="s">
        <v>543</v>
      </c>
      <c r="AC109" s="180" t="s">
        <v>848</v>
      </c>
      <c r="AD109" s="54" t="s">
        <v>430</v>
      </c>
      <c r="AE109" s="181">
        <f>IF(AE103=0,0,AE115/AE103*100)</f>
        <v>0</v>
      </c>
      <c r="AF109" s="181">
        <f>IF(AF103=0,0,AF115/AF103*100)</f>
        <v>0</v>
      </c>
      <c r="AG109" s="181">
        <f>IF(AG103=0,0,AG115/AG103*100)</f>
        <v>0</v>
      </c>
      <c r="AH109" s="181">
        <f>IF(AH103=0,0,AH115/AH103*100)</f>
        <v>0</v>
      </c>
      <c r="AI109" s="181">
        <f>IF(AI103=0,0,AI115/AI103*100)</f>
        <v>0</v>
      </c>
      <c r="AJ109" s="181">
        <f>IF(AJ103=0,0,AJ115/AJ103*100)</f>
        <v>0</v>
      </c>
      <c r="AK109" s="181">
        <f>IF(AK103=0,0,AK115/AK103*100)</f>
        <v>0</v>
      </c>
      <c r="AL109" s="181">
        <f>IF(AL103=0,0,AL115/AL103*100)</f>
        <v>0</v>
      </c>
      <c r="AM109" s="181">
        <f>IF(AM103=0,0,AM115/AM103*100)</f>
        <v>0</v>
      </c>
      <c r="AN109" s="181">
        <f>IF(AN103=0,0,AN115/AN103*100)</f>
        <v>0</v>
      </c>
      <c r="AO109" s="181">
        <f>IF(AO103=0,0,AO115/AO103*100)</f>
        <v>0</v>
      </c>
      <c r="AP109" s="181">
        <f>IF(AP103=0,0,AP115/AP103*100)</f>
        <v>0</v>
      </c>
      <c r="AQ109" s="181">
        <f>IF(AQ103=0,0,AQ115/AQ103*100)</f>
        <v>0</v>
      </c>
      <c r="AR109" s="181">
        <f>IF(AR103=0,0,AR115/AR103*100)</f>
        <v>0</v>
      </c>
      <c r="AS109" s="181">
        <f>IF(AS103=0,0,AS115/AS103*100)</f>
        <v>0</v>
      </c>
      <c r="AT109" s="181">
        <f>IF(AT103=0,0,AT115/AT103*100)</f>
        <v>0</v>
      </c>
      <c r="AU109" s="181">
        <f>IF(AU103=0,0,AU115/AU103*100)</f>
        <v>0</v>
      </c>
      <c r="AV109" s="181">
        <f>IF(AV103=0,0,AV115/AV103*100)</f>
        <v>0</v>
      </c>
      <c r="AW109" s="181">
        <f>IF(AW103=0,0,AW115/AW103*100)</f>
        <v>0</v>
      </c>
      <c r="AX109" s="181">
        <f>IF(AX103=0,0,AX115/AX103*100)</f>
        <v>0</v>
      </c>
      <c r="AY109" s="181">
        <f>IF(AY103=0,0,AY115/AY103*100)</f>
        <v>0</v>
      </c>
      <c r="AZ109" s="181">
        <f>IF(AZ103=0,0,AZ115/AZ103*100)</f>
        <v>0</v>
      </c>
      <c r="BA109" s="181">
        <f>IF(BA103=0,0,BA115/BA103*100)</f>
        <v>0</v>
      </c>
      <c r="BB109" s="181">
        <f>IF(BB103=0,0,BB115/BB103*100)</f>
        <v>0</v>
      </c>
      <c r="BC109" s="166"/>
      <c r="BD109" s="1412"/>
      <c r="BE109" s="1412"/>
      <c r="BF109" s="1011" t="s">
        <v>910</v>
      </c>
    </row>
    <row s="1624" customFormat="1" customHeight="1" ht="14.25">
      <c r="A110" s="1412"/>
      <c r="B110" s="1369"/>
      <c r="C110" s="1412"/>
      <c r="D110" s="1412"/>
      <c r="E110" s="603">
        <v>15</v>
      </c>
      <c r="F110" s="50" cm="1" t="str">
        <f t="array" ref="F110:F110">OFFSET(E110,-1,1)</f>
        <v>1</v>
      </c>
      <c r="G110" s="70" t="s">
        <v>682</v>
      </c>
      <c r="H110" s="1412"/>
      <c r="I110" s="1412"/>
      <c r="J110" s="1412"/>
      <c r="K110" s="1412"/>
      <c r="L110" s="1412"/>
      <c r="M110" s="1412"/>
      <c r="N110" s="1412"/>
      <c r="O110" s="1412"/>
      <c r="P110" s="1412"/>
      <c r="Q110" s="1412"/>
      <c r="R110" s="1412"/>
      <c r="S110" s="1412"/>
      <c r="T110" s="438" cm="1" t="str">
        <f t="array" ref="T110:T110">T109</f>
        <v>true</v>
      </c>
      <c r="U110" s="1412"/>
      <c r="V110" s="1412"/>
      <c r="W110" s="1412"/>
      <c r="X110" s="1541"/>
      <c r="Y110" s="1412"/>
      <c r="Z110" s="1542"/>
      <c r="AA110" s="1412"/>
      <c r="AB110" s="54" t="s">
        <v>547</v>
      </c>
      <c r="AC110" s="180" t="s">
        <v>851</v>
      </c>
      <c r="AD110" s="54" t="s">
        <v>430</v>
      </c>
      <c r="AE110" s="181">
        <f>IF(AE104=0,0,AE116/AE104*100)</f>
        <v>0</v>
      </c>
      <c r="AF110" s="181">
        <f>IF(AF104=0,0,AF116/AF104*100)</f>
        <v>0</v>
      </c>
      <c r="AG110" s="181">
        <f>IF(AG104=0,0,AG116/AG104*100)</f>
        <v>0</v>
      </c>
      <c r="AH110" s="181">
        <f>IF(AH104=0,0,AH116/AH104*100)</f>
        <v>0</v>
      </c>
      <c r="AI110" s="181">
        <f>IF(AI104=0,0,AI116/AI104*100)</f>
        <v>0</v>
      </c>
      <c r="AJ110" s="181">
        <f>IF(AJ104=0,0,AJ116/AJ104*100)</f>
        <v>0</v>
      </c>
      <c r="AK110" s="181">
        <f>IF(AK104=0,0,AK116/AK104*100)</f>
        <v>0</v>
      </c>
      <c r="AL110" s="181">
        <f>IF(AL104=0,0,AL116/AL104*100)</f>
        <v>0</v>
      </c>
      <c r="AM110" s="181">
        <f>IF(AM104=0,0,AM116/AM104*100)</f>
        <v>0</v>
      </c>
      <c r="AN110" s="181">
        <f>IF(AN104=0,0,AN116/AN104*100)</f>
        <v>0</v>
      </c>
      <c r="AO110" s="181">
        <f>IF(AO104=0,0,AO116/AO104*100)</f>
        <v>0</v>
      </c>
      <c r="AP110" s="181">
        <f>IF(AP104=0,0,AP116/AP104*100)</f>
        <v>0</v>
      </c>
      <c r="AQ110" s="181">
        <f>IF(AQ104=0,0,AQ116/AQ104*100)</f>
        <v>0</v>
      </c>
      <c r="AR110" s="181">
        <f>IF(AR104=0,0,AR116/AR104*100)</f>
        <v>0</v>
      </c>
      <c r="AS110" s="181">
        <f>IF(AS104=0,0,AS116/AS104*100)</f>
        <v>0</v>
      </c>
      <c r="AT110" s="181">
        <f>IF(AT104=0,0,AT116/AT104*100)</f>
        <v>0</v>
      </c>
      <c r="AU110" s="181">
        <f>IF(AU104=0,0,AU116/AU104*100)</f>
        <v>0</v>
      </c>
      <c r="AV110" s="181">
        <f>IF(AV104=0,0,AV116/AV104*100)</f>
        <v>0</v>
      </c>
      <c r="AW110" s="181">
        <f>IF(AW104=0,0,AW116/AW104*100)</f>
        <v>0</v>
      </c>
      <c r="AX110" s="181">
        <f>IF(AX104=0,0,AX116/AX104*100)</f>
        <v>0</v>
      </c>
      <c r="AY110" s="181">
        <f>IF(AY104=0,0,AY116/AY104*100)</f>
        <v>0</v>
      </c>
      <c r="AZ110" s="181">
        <f>IF(AZ104=0,0,AZ116/AZ104*100)</f>
        <v>0</v>
      </c>
      <c r="BA110" s="181">
        <f>IF(BA104=0,0,BA116/BA104*100)</f>
        <v>0</v>
      </c>
      <c r="BB110" s="181">
        <f>IF(BB104=0,0,BB116/BB104*100)</f>
        <v>0</v>
      </c>
      <c r="BC110" s="166"/>
      <c r="BD110" s="1412"/>
      <c r="BE110" s="1412"/>
      <c r="BF110" s="1011" t="s">
        <v>911</v>
      </c>
    </row>
    <row s="1624" customFormat="1" customHeight="1" ht="14.25">
      <c r="A111" s="1412"/>
      <c r="B111" s="1369"/>
      <c r="C111" s="1412"/>
      <c r="D111" s="1412"/>
      <c r="E111" s="603">
        <v>15</v>
      </c>
      <c r="F111" s="50" cm="1" t="str">
        <f t="array" ref="F111:F111">OFFSET(E111,-1,1)</f>
        <v>1</v>
      </c>
      <c r="G111" s="70" t="s">
        <v>691</v>
      </c>
      <c r="H111" s="1412"/>
      <c r="I111" s="1412"/>
      <c r="J111" s="1412"/>
      <c r="K111" s="1412"/>
      <c r="L111" s="1412"/>
      <c r="M111" s="1412"/>
      <c r="N111" s="1412"/>
      <c r="O111" s="1412"/>
      <c r="P111" s="1412"/>
      <c r="Q111" s="1412"/>
      <c r="R111" s="1412"/>
      <c r="S111" s="1412"/>
      <c r="T111" s="438" cm="1" t="str">
        <f t="array" ref="T111:T111">T110</f>
        <v>true</v>
      </c>
      <c r="U111" s="1412"/>
      <c r="V111" s="1412"/>
      <c r="W111" s="1412"/>
      <c r="X111" s="1541"/>
      <c r="Y111" s="1412"/>
      <c r="Z111" s="1542"/>
      <c r="AA111" s="1412"/>
      <c r="AB111" s="54" t="s">
        <v>912</v>
      </c>
      <c r="AC111" s="180" t="s">
        <v>854</v>
      </c>
      <c r="AD111" s="54" t="s">
        <v>430</v>
      </c>
      <c r="AE111" s="181">
        <f>IF(AE105=0,0,AE117/AE105*100)</f>
        <v>0</v>
      </c>
      <c r="AF111" s="181">
        <f>IF(AF105=0,0,AF117/AF105*100)</f>
        <v>0</v>
      </c>
      <c r="AG111" s="181">
        <f>IF(AG105=0,0,AG117/AG105*100)</f>
        <v>0</v>
      </c>
      <c r="AH111" s="181">
        <f>IF(AH105=0,0,AH117/AH105*100)</f>
        <v>0</v>
      </c>
      <c r="AI111" s="181">
        <f>IF(AI105=0,0,AI117/AI105*100)</f>
        <v>0</v>
      </c>
      <c r="AJ111" s="181">
        <f>IF(AJ105=0,0,AJ117/AJ105*100)</f>
        <v>0</v>
      </c>
      <c r="AK111" s="181">
        <f>IF(AK105=0,0,AK117/AK105*100)</f>
        <v>0</v>
      </c>
      <c r="AL111" s="181">
        <f>IF(AL105=0,0,AL117/AL105*100)</f>
        <v>0</v>
      </c>
      <c r="AM111" s="181">
        <f>IF(AM105=0,0,AM117/AM105*100)</f>
        <v>0</v>
      </c>
      <c r="AN111" s="181">
        <f>IF(AN105=0,0,AN117/AN105*100)</f>
        <v>0</v>
      </c>
      <c r="AO111" s="181">
        <f>IF(AO105=0,0,AO117/AO105*100)</f>
        <v>0</v>
      </c>
      <c r="AP111" s="181">
        <f>IF(AP105=0,0,AP117/AP105*100)</f>
        <v>0</v>
      </c>
      <c r="AQ111" s="181">
        <f>IF(AQ105=0,0,AQ117/AQ105*100)</f>
        <v>0</v>
      </c>
      <c r="AR111" s="181">
        <f>IF(AR105=0,0,AR117/AR105*100)</f>
        <v>0</v>
      </c>
      <c r="AS111" s="181">
        <f>IF(AS105=0,0,AS117/AS105*100)</f>
        <v>0</v>
      </c>
      <c r="AT111" s="181">
        <f>IF(AT105=0,0,AT117/AT105*100)</f>
        <v>0</v>
      </c>
      <c r="AU111" s="181">
        <f>IF(AU105=0,0,AU117/AU105*100)</f>
        <v>0</v>
      </c>
      <c r="AV111" s="181">
        <f>IF(AV105=0,0,AV117/AV105*100)</f>
        <v>0</v>
      </c>
      <c r="AW111" s="181">
        <f>IF(AW105=0,0,AW117/AW105*100)</f>
        <v>0</v>
      </c>
      <c r="AX111" s="181">
        <f>IF(AX105=0,0,AX117/AX105*100)</f>
        <v>0</v>
      </c>
      <c r="AY111" s="181">
        <f>IF(AY105=0,0,AY117/AY105*100)</f>
        <v>0</v>
      </c>
      <c r="AZ111" s="181">
        <f>IF(AZ105=0,0,AZ117/AZ105*100)</f>
        <v>0</v>
      </c>
      <c r="BA111" s="181">
        <f>IF(BA105=0,0,BA117/BA105*100)</f>
        <v>0</v>
      </c>
      <c r="BB111" s="181">
        <f>IF(BB105=0,0,BB117/BB105*100)</f>
        <v>0</v>
      </c>
      <c r="BC111" s="166"/>
      <c r="BD111" s="1412"/>
      <c r="BE111" s="1412"/>
      <c r="BF111" s="1011" t="s">
        <v>913</v>
      </c>
    </row>
    <row s="1624" customFormat="1" customHeight="1" ht="14.25">
      <c r="A112" s="1412"/>
      <c r="B112" s="1369"/>
      <c r="C112" s="1412"/>
      <c r="D112" s="1412"/>
      <c r="E112" s="603">
        <v>15</v>
      </c>
      <c r="F112" s="50" cm="1" t="str">
        <f t="array" ref="F112:F112">OFFSET(E112,-1,1)</f>
        <v>1</v>
      </c>
      <c r="G112" s="70" t="s">
        <v>701</v>
      </c>
      <c r="H112" s="1412"/>
      <c r="I112" s="1412"/>
      <c r="J112" s="1412"/>
      <c r="K112" s="1412"/>
      <c r="L112" s="1412"/>
      <c r="M112" s="1412"/>
      <c r="N112" s="1412"/>
      <c r="O112" s="1412"/>
      <c r="P112" s="1412"/>
      <c r="Q112" s="1412"/>
      <c r="R112" s="1412"/>
      <c r="S112" s="1412"/>
      <c r="T112" s="438" cm="1" t="str">
        <f t="array" ref="T112:T112">T111</f>
        <v>true</v>
      </c>
      <c r="U112" s="1412"/>
      <c r="V112" s="1412"/>
      <c r="W112" s="1412"/>
      <c r="X112" s="1541"/>
      <c r="Y112" s="1412"/>
      <c r="Z112" s="1542"/>
      <c r="AA112" s="1412"/>
      <c r="AB112" s="54" t="s">
        <v>914</v>
      </c>
      <c r="AC112" s="180" t="s">
        <v>858</v>
      </c>
      <c r="AD112" s="54" t="s">
        <v>430</v>
      </c>
      <c r="AE112" s="181">
        <f>IF(AE106=0,0,AE118/AE106*100)</f>
        <v>0</v>
      </c>
      <c r="AF112" s="181">
        <f>IF(AF106=0,0,AF118/AF106*100)</f>
        <v>0</v>
      </c>
      <c r="AG112" s="181">
        <f>IF(AG106=0,0,AG118/AG106*100)</f>
        <v>0</v>
      </c>
      <c r="AH112" s="181">
        <f>IF(AH106=0,0,AH118/AH106*100)</f>
        <v>0</v>
      </c>
      <c r="AI112" s="181">
        <f>IF(AI106=0,0,AI118/AI106*100)</f>
        <v>0</v>
      </c>
      <c r="AJ112" s="181">
        <f>IF(AJ106=0,0,AJ118/AJ106*100)</f>
        <v>0</v>
      </c>
      <c r="AK112" s="181">
        <f>IF(AK106=0,0,AK118/AK106*100)</f>
        <v>0</v>
      </c>
      <c r="AL112" s="181">
        <f>IF(AL106=0,0,AL118/AL106*100)</f>
        <v>0</v>
      </c>
      <c r="AM112" s="181">
        <f>IF(AM106=0,0,AM118/AM106*100)</f>
        <v>0</v>
      </c>
      <c r="AN112" s="181">
        <f>IF(AN106=0,0,AN118/AN106*100)</f>
        <v>0</v>
      </c>
      <c r="AO112" s="181">
        <f>IF(AO106=0,0,AO118/AO106*100)</f>
        <v>0</v>
      </c>
      <c r="AP112" s="181">
        <f>IF(AP106=0,0,AP118/AP106*100)</f>
        <v>0</v>
      </c>
      <c r="AQ112" s="181">
        <f>IF(AQ106=0,0,AQ118/AQ106*100)</f>
        <v>0</v>
      </c>
      <c r="AR112" s="181">
        <f>IF(AR106=0,0,AR118/AR106*100)</f>
        <v>0</v>
      </c>
      <c r="AS112" s="181">
        <f>IF(AS106=0,0,AS118/AS106*100)</f>
        <v>0</v>
      </c>
      <c r="AT112" s="181">
        <f>IF(AT106=0,0,AT118/AT106*100)</f>
        <v>0</v>
      </c>
      <c r="AU112" s="181">
        <f>IF(AU106=0,0,AU118/AU106*100)</f>
        <v>0</v>
      </c>
      <c r="AV112" s="181">
        <f>IF(AV106=0,0,AV118/AV106*100)</f>
        <v>0</v>
      </c>
      <c r="AW112" s="181">
        <f>IF(AW106=0,0,AW118/AW106*100)</f>
        <v>0</v>
      </c>
      <c r="AX112" s="181">
        <f>IF(AX106=0,0,AX118/AX106*100)</f>
        <v>0</v>
      </c>
      <c r="AY112" s="181">
        <f>IF(AY106=0,0,AY118/AY106*100)</f>
        <v>0</v>
      </c>
      <c r="AZ112" s="181">
        <f>IF(AZ106=0,0,AZ118/AZ106*100)</f>
        <v>0</v>
      </c>
      <c r="BA112" s="181">
        <f>IF(BA106=0,0,BA118/BA106*100)</f>
        <v>0</v>
      </c>
      <c r="BB112" s="181">
        <f>IF(BB106=0,0,BB118/BB106*100)</f>
        <v>0</v>
      </c>
      <c r="BC112" s="166"/>
      <c r="BD112" s="1412"/>
      <c r="BE112" s="1412"/>
      <c r="BF112" s="1011" t="s">
        <v>915</v>
      </c>
    </row>
    <row s="498" customFormat="1" customHeight="1" ht="14.25">
      <c r="A113" s="498"/>
      <c r="B113" s="403"/>
      <c r="C113" s="498"/>
      <c r="D113" s="498"/>
      <c r="E113" s="603">
        <v>15</v>
      </c>
      <c r="F113" s="50" cm="1" t="str">
        <f t="array" ref="F113:F113">OFFSET(E113,-1,1)</f>
        <v>1</v>
      </c>
      <c r="G113" s="70" t="s">
        <v>488</v>
      </c>
      <c r="H113" s="498"/>
      <c r="I113" s="498"/>
      <c r="J113" s="498"/>
      <c r="K113" s="90" t="str">
        <f>F113&amp;"komm"</f>
        <v>1komm</v>
      </c>
      <c r="L113" s="895" cm="1" t="str">
        <f t="array" ref="L113:L113">BC113</f>
        <v>0</v>
      </c>
      <c r="M113" s="498"/>
      <c r="N113" s="498"/>
      <c r="O113" s="498"/>
      <c r="P113" s="498"/>
      <c r="Q113" s="498"/>
      <c r="R113" s="498"/>
      <c r="S113" s="498"/>
      <c r="T113" s="438" cm="1" t="str">
        <f t="array" ref="T113:T113">T112</f>
        <v>true</v>
      </c>
      <c r="U113" s="498"/>
      <c r="V113" s="498"/>
      <c r="W113" s="498"/>
      <c r="X113" s="1541"/>
      <c r="Y113" s="498"/>
      <c r="Z113" s="1542"/>
      <c r="AA113" s="498"/>
      <c r="AB113" s="177">
        <v>7</v>
      </c>
      <c r="AC113" s="178" t="s">
        <v>916</v>
      </c>
      <c r="AD113" s="55" t="s">
        <v>789</v>
      </c>
      <c r="AE113" s="1176">
        <f>SUM(AE114:AE118)</f>
        <v>0</v>
      </c>
      <c r="AF113" s="1176">
        <f>SUM(AF114:AF118)</f>
        <v>0</v>
      </c>
      <c r="AG113" s="1176">
        <f>SUM(AG114:AG118)</f>
        <v>0</v>
      </c>
      <c r="AH113" s="1176">
        <f>SUM(AH114:AH118)</f>
        <v>0</v>
      </c>
      <c r="AI113" s="1176">
        <f>SUM(AI114:AI118)</f>
        <v>0</v>
      </c>
      <c r="AJ113" s="1176">
        <f>SUM(AJ114:AJ118)</f>
        <v>0</v>
      </c>
      <c r="AK113" s="1176">
        <f>SUM(AK114:AK118)</f>
        <v>0</v>
      </c>
      <c r="AL113" s="1176">
        <f>SUM(AL114:AL118)</f>
        <v>0</v>
      </c>
      <c r="AM113" s="1176">
        <f>SUM(AM114:AM118)</f>
        <v>0</v>
      </c>
      <c r="AN113" s="1176">
        <f>SUM(AN114:AN118)</f>
        <v>0</v>
      </c>
      <c r="AO113" s="1176">
        <f>SUM(AO114:AO118)</f>
        <v>0</v>
      </c>
      <c r="AP113" s="1176">
        <f>SUM(AP114:AP118)</f>
        <v>0</v>
      </c>
      <c r="AQ113" s="1176">
        <f>SUM(AQ114:AQ118)</f>
        <v>0</v>
      </c>
      <c r="AR113" s="1176">
        <f>SUM(AR114:AR118)</f>
        <v>0</v>
      </c>
      <c r="AS113" s="1176">
        <f>SUM(AS114:AS118)</f>
        <v>0</v>
      </c>
      <c r="AT113" s="1176">
        <f>SUM(AT114:AT118)</f>
        <v>0</v>
      </c>
      <c r="AU113" s="1176">
        <f>SUM(AU114:AU118)</f>
        <v>0</v>
      </c>
      <c r="AV113" s="1176">
        <f>SUM(AV114:AV118)</f>
        <v>0</v>
      </c>
      <c r="AW113" s="1176">
        <f>SUM(AW114:AW118)</f>
        <v>0</v>
      </c>
      <c r="AX113" s="1176">
        <f>SUM(AX114:AX118)</f>
        <v>0</v>
      </c>
      <c r="AY113" s="1176">
        <f>SUM(AY114:AY118)</f>
        <v>0</v>
      </c>
      <c r="AZ113" s="1176">
        <f>SUM(AZ114:AZ118)</f>
        <v>0</v>
      </c>
      <c r="BA113" s="1176">
        <f>SUM(BA114:BA118)</f>
        <v>0</v>
      </c>
      <c r="BB113" s="1176">
        <f>SUM(BB114:BB118)</f>
        <v>0</v>
      </c>
      <c r="BC113" s="166"/>
      <c r="BD113" s="498"/>
      <c r="BE113" s="498"/>
      <c r="BF113" s="1011" t="s">
        <v>917</v>
      </c>
    </row>
    <row s="1624" customFormat="1" customHeight="1" ht="14.25">
      <c r="A114" s="1412"/>
      <c r="B114" s="1369"/>
      <c r="C114" s="1412"/>
      <c r="D114" s="1412"/>
      <c r="E114" s="603">
        <v>15</v>
      </c>
      <c r="F114" s="50" cm="1" t="str">
        <f t="array" ref="F114:F114">OFFSET(E114,-1,1)</f>
        <v>1</v>
      </c>
      <c r="G114" s="70" t="s">
        <v>652</v>
      </c>
      <c r="H114" s="1412"/>
      <c r="I114" s="1412"/>
      <c r="J114" s="1412"/>
      <c r="K114" s="1412"/>
      <c r="L114" s="1412"/>
      <c r="M114" s="1412"/>
      <c r="N114" s="1412"/>
      <c r="O114" s="1412"/>
      <c r="P114" s="1412"/>
      <c r="Q114" s="1412"/>
      <c r="R114" s="1412"/>
      <c r="S114" s="1412"/>
      <c r="T114" s="438" cm="1" t="str">
        <f t="array" ref="T114:T114">T113</f>
        <v>true</v>
      </c>
      <c r="U114" s="1412"/>
      <c r="V114" s="1412"/>
      <c r="W114" s="1412"/>
      <c r="X114" s="1541"/>
      <c r="Y114" s="1412"/>
      <c r="Z114" s="1542"/>
      <c r="AA114" s="1412"/>
      <c r="AB114" s="54" t="s">
        <v>555</v>
      </c>
      <c r="AC114" s="180" t="s">
        <v>845</v>
      </c>
      <c r="AD114" s="55" t="s">
        <v>789</v>
      </c>
      <c r="AE114" s="181"/>
      <c r="AF114" s="181"/>
      <c r="AG114" s="181"/>
      <c r="AH114" s="181"/>
      <c r="AI114" s="181"/>
      <c r="AJ114" s="181"/>
      <c r="AK114" s="181"/>
      <c r="AL114" s="181"/>
      <c r="AM114" s="181"/>
      <c r="AN114" s="181"/>
      <c r="AO114" s="181"/>
      <c r="AP114" s="181"/>
      <c r="AQ114" s="181"/>
      <c r="AR114" s="181"/>
      <c r="AS114" s="181"/>
      <c r="AT114" s="181"/>
      <c r="AU114" s="181"/>
      <c r="AV114" s="181"/>
      <c r="AW114" s="181"/>
      <c r="AX114" s="181"/>
      <c r="AY114" s="181"/>
      <c r="AZ114" s="181"/>
      <c r="BA114" s="181"/>
      <c r="BB114" s="181"/>
      <c r="BC114" s="166"/>
      <c r="BD114" s="1412"/>
      <c r="BE114" s="1412"/>
      <c r="BF114" s="1011" t="s">
        <v>918</v>
      </c>
    </row>
    <row s="1624" customFormat="1" customHeight="1" ht="14.25">
      <c r="A115" s="1412"/>
      <c r="B115" s="1369"/>
      <c r="C115" s="1412"/>
      <c r="D115" s="1412"/>
      <c r="E115" s="603">
        <v>15</v>
      </c>
      <c r="F115" s="50" cm="1" t="str">
        <f t="array" ref="F115:F115">OFFSET(E115,-1,1)</f>
        <v>1</v>
      </c>
      <c r="G115" s="70" t="s">
        <v>655</v>
      </c>
      <c r="H115" s="1412"/>
      <c r="I115" s="1412"/>
      <c r="J115" s="1412"/>
      <c r="K115" s="1412"/>
      <c r="L115" s="1412"/>
      <c r="M115" s="1412"/>
      <c r="N115" s="1412"/>
      <c r="O115" s="1412"/>
      <c r="P115" s="1412"/>
      <c r="Q115" s="1412"/>
      <c r="R115" s="1412"/>
      <c r="S115" s="1412"/>
      <c r="T115" s="438" cm="1" t="str">
        <f t="array" ref="T115:T115">T114</f>
        <v>true</v>
      </c>
      <c r="U115" s="1412"/>
      <c r="V115" s="1412"/>
      <c r="W115" s="1412"/>
      <c r="X115" s="1541"/>
      <c r="Y115" s="1412"/>
      <c r="Z115" s="1542"/>
      <c r="AA115" s="1412"/>
      <c r="AB115" s="54" t="s">
        <v>919</v>
      </c>
      <c r="AC115" s="180" t="s">
        <v>848</v>
      </c>
      <c r="AD115" s="55" t="s">
        <v>789</v>
      </c>
      <c r="AE115" s="181"/>
      <c r="AF115" s="181"/>
      <c r="AG115" s="181"/>
      <c r="AH115" s="181"/>
      <c r="AI115" s="181"/>
      <c r="AJ115" s="181"/>
      <c r="AK115" s="181"/>
      <c r="AL115" s="181"/>
      <c r="AM115" s="181"/>
      <c r="AN115" s="181"/>
      <c r="AO115" s="181"/>
      <c r="AP115" s="181"/>
      <c r="AQ115" s="181"/>
      <c r="AR115" s="181"/>
      <c r="AS115" s="181"/>
      <c r="AT115" s="181"/>
      <c r="AU115" s="181"/>
      <c r="AV115" s="181"/>
      <c r="AW115" s="181"/>
      <c r="AX115" s="181"/>
      <c r="AY115" s="181"/>
      <c r="AZ115" s="181"/>
      <c r="BA115" s="181"/>
      <c r="BB115" s="181"/>
      <c r="BC115" s="166"/>
      <c r="BD115" s="1412"/>
      <c r="BE115" s="1412"/>
      <c r="BF115" s="1011" t="s">
        <v>920</v>
      </c>
    </row>
    <row s="1624" customFormat="1" customHeight="1" ht="14.25">
      <c r="A116" s="1412"/>
      <c r="B116" s="1369"/>
      <c r="C116" s="1412"/>
      <c r="D116" s="1412"/>
      <c r="E116" s="603">
        <v>15</v>
      </c>
      <c r="F116" s="50" cm="1" t="str">
        <f t="array" ref="F116:F116">OFFSET(E116,-1,1)</f>
        <v>1</v>
      </c>
      <c r="G116" s="70" t="s">
        <v>921</v>
      </c>
      <c r="H116" s="1412"/>
      <c r="I116" s="1412"/>
      <c r="J116" s="1412"/>
      <c r="K116" s="1412"/>
      <c r="L116" s="1412"/>
      <c r="M116" s="1412"/>
      <c r="N116" s="1412"/>
      <c r="O116" s="1412"/>
      <c r="P116" s="1412"/>
      <c r="Q116" s="1412"/>
      <c r="R116" s="1412"/>
      <c r="S116" s="1412"/>
      <c r="T116" s="438" cm="1" t="str">
        <f t="array" ref="T116:T116">T115</f>
        <v>true</v>
      </c>
      <c r="U116" s="1412"/>
      <c r="V116" s="1412"/>
      <c r="W116" s="1412"/>
      <c r="X116" s="1541"/>
      <c r="Y116" s="1412"/>
      <c r="Z116" s="1542"/>
      <c r="AA116" s="1412"/>
      <c r="AB116" s="54" t="s">
        <v>922</v>
      </c>
      <c r="AC116" s="180" t="s">
        <v>851</v>
      </c>
      <c r="AD116" s="55" t="s">
        <v>789</v>
      </c>
      <c r="AE116" s="181"/>
      <c r="AF116" s="181"/>
      <c r="AG116" s="181"/>
      <c r="AH116" s="181"/>
      <c r="AI116" s="181"/>
      <c r="AJ116" s="181"/>
      <c r="AK116" s="181"/>
      <c r="AL116" s="181"/>
      <c r="AM116" s="181"/>
      <c r="AN116" s="181"/>
      <c r="AO116" s="181"/>
      <c r="AP116" s="181"/>
      <c r="AQ116" s="181"/>
      <c r="AR116" s="181"/>
      <c r="AS116" s="181"/>
      <c r="AT116" s="181"/>
      <c r="AU116" s="181"/>
      <c r="AV116" s="181"/>
      <c r="AW116" s="181"/>
      <c r="AX116" s="181"/>
      <c r="AY116" s="181"/>
      <c r="AZ116" s="181"/>
      <c r="BA116" s="181"/>
      <c r="BB116" s="181"/>
      <c r="BC116" s="166"/>
      <c r="BD116" s="1412"/>
      <c r="BE116" s="1412"/>
      <c r="BF116" s="1011" t="s">
        <v>923</v>
      </c>
    </row>
    <row s="1624" customFormat="1" customHeight="1" ht="14.25">
      <c r="A117" s="1412"/>
      <c r="B117" s="1369"/>
      <c r="C117" s="1412"/>
      <c r="D117" s="1412"/>
      <c r="E117" s="603">
        <v>15</v>
      </c>
      <c r="F117" s="50" cm="1" t="str">
        <f t="array" ref="F117:F117">OFFSET(E117,-1,1)</f>
        <v>1</v>
      </c>
      <c r="G117" s="70" t="s">
        <v>924</v>
      </c>
      <c r="H117" s="1412"/>
      <c r="I117" s="1412"/>
      <c r="J117" s="1412"/>
      <c r="K117" s="1412"/>
      <c r="L117" s="1412"/>
      <c r="M117" s="1412"/>
      <c r="N117" s="1412"/>
      <c r="O117" s="1412"/>
      <c r="P117" s="1412"/>
      <c r="Q117" s="1412"/>
      <c r="R117" s="1412"/>
      <c r="S117" s="1412"/>
      <c r="T117" s="438" cm="1" t="str">
        <f t="array" ref="T117:T117">T116</f>
        <v>true</v>
      </c>
      <c r="U117" s="1412"/>
      <c r="V117" s="1412"/>
      <c r="W117" s="1412"/>
      <c r="X117" s="1541"/>
      <c r="Y117" s="1412"/>
      <c r="Z117" s="1542"/>
      <c r="AA117" s="1412"/>
      <c r="AB117" s="54" t="s">
        <v>925</v>
      </c>
      <c r="AC117" s="180" t="s">
        <v>854</v>
      </c>
      <c r="AD117" s="55" t="s">
        <v>789</v>
      </c>
      <c r="AE117" s="181"/>
      <c r="AF117" s="181"/>
      <c r="AG117" s="181"/>
      <c r="AH117" s="181"/>
      <c r="AI117" s="181"/>
      <c r="AJ117" s="181"/>
      <c r="AK117" s="181"/>
      <c r="AL117" s="181"/>
      <c r="AM117" s="181"/>
      <c r="AN117" s="181"/>
      <c r="AO117" s="181"/>
      <c r="AP117" s="181"/>
      <c r="AQ117" s="181"/>
      <c r="AR117" s="181"/>
      <c r="AS117" s="181"/>
      <c r="AT117" s="181"/>
      <c r="AU117" s="181"/>
      <c r="AV117" s="181"/>
      <c r="AW117" s="181"/>
      <c r="AX117" s="181"/>
      <c r="AY117" s="181"/>
      <c r="AZ117" s="181"/>
      <c r="BA117" s="181"/>
      <c r="BB117" s="181"/>
      <c r="BC117" s="166"/>
      <c r="BD117" s="1412"/>
      <c r="BE117" s="1412"/>
      <c r="BF117" s="1011" t="s">
        <v>926</v>
      </c>
    </row>
    <row s="1624" customFormat="1" customHeight="1" ht="14.25">
      <c r="A118" s="1412"/>
      <c r="B118" s="1369"/>
      <c r="C118" s="1412"/>
      <c r="D118" s="1412"/>
      <c r="E118" s="603">
        <v>15</v>
      </c>
      <c r="F118" s="50" cm="1" t="str">
        <f t="array" ref="F118:F118">OFFSET(E118,-1,1)</f>
        <v>1</v>
      </c>
      <c r="G118" s="70" t="s">
        <v>927</v>
      </c>
      <c r="H118" s="1412"/>
      <c r="I118" s="1412"/>
      <c r="J118" s="1412"/>
      <c r="K118" s="1412"/>
      <c r="L118" s="1412"/>
      <c r="M118" s="1412"/>
      <c r="N118" s="1412"/>
      <c r="O118" s="1412"/>
      <c r="P118" s="1412"/>
      <c r="Q118" s="1412"/>
      <c r="R118" s="1412"/>
      <c r="S118" s="1412"/>
      <c r="T118" s="438" cm="1" t="str">
        <f t="array" ref="T118:T118">T117</f>
        <v>true</v>
      </c>
      <c r="U118" s="1412"/>
      <c r="V118" s="1412"/>
      <c r="W118" s="1412"/>
      <c r="X118" s="1541"/>
      <c r="Y118" s="1412"/>
      <c r="Z118" s="1542"/>
      <c r="AA118" s="1412"/>
      <c r="AB118" s="54" t="s">
        <v>928</v>
      </c>
      <c r="AC118" s="180" t="s">
        <v>858</v>
      </c>
      <c r="AD118" s="55" t="s">
        <v>789</v>
      </c>
      <c r="AE118" s="181"/>
      <c r="AF118" s="181"/>
      <c r="AG118" s="181"/>
      <c r="AH118" s="181"/>
      <c r="AI118" s="181"/>
      <c r="AJ118" s="181"/>
      <c r="AK118" s="181"/>
      <c r="AL118" s="181"/>
      <c r="AM118" s="181"/>
      <c r="AN118" s="181"/>
      <c r="AO118" s="181"/>
      <c r="AP118" s="181"/>
      <c r="AQ118" s="181"/>
      <c r="AR118" s="181"/>
      <c r="AS118" s="181"/>
      <c r="AT118" s="181"/>
      <c r="AU118" s="181"/>
      <c r="AV118" s="181"/>
      <c r="AW118" s="181"/>
      <c r="AX118" s="181"/>
      <c r="AY118" s="181"/>
      <c r="AZ118" s="181"/>
      <c r="BA118" s="181"/>
      <c r="BB118" s="181"/>
      <c r="BC118" s="166"/>
      <c r="BD118" s="1412"/>
      <c r="BE118" s="1412"/>
      <c r="BF118" s="1011" t="s">
        <v>929</v>
      </c>
    </row>
    <row s="498" customFormat="1" customHeight="1" ht="14.25">
      <c r="A119" s="498"/>
      <c r="B119" s="403"/>
      <c r="C119" s="498"/>
      <c r="D119" s="498"/>
      <c r="E119" s="603">
        <v>15</v>
      </c>
      <c r="F119" s="50" cm="1" t="str">
        <f t="array" ref="F119:F119">OFFSET(E119,-1,1)</f>
        <v>1</v>
      </c>
      <c r="G119" s="70" t="s">
        <v>535</v>
      </c>
      <c r="H119" s="498"/>
      <c r="I119" s="498"/>
      <c r="J119" s="498"/>
      <c r="K119" s="498"/>
      <c r="L119" s="498"/>
      <c r="M119" s="498"/>
      <c r="N119" s="498"/>
      <c r="O119" s="498"/>
      <c r="P119" s="498"/>
      <c r="Q119" s="498"/>
      <c r="R119" s="498"/>
      <c r="S119" s="498"/>
      <c r="T119" s="438" cm="1" t="str">
        <f t="array" ref="T119:T119">T118</f>
        <v>true</v>
      </c>
      <c r="U119" s="498"/>
      <c r="V119" s="498"/>
      <c r="W119" s="498"/>
      <c r="X119" s="1541"/>
      <c r="Y119" s="498"/>
      <c r="Z119" s="1542"/>
      <c r="AA119" s="498"/>
      <c r="AB119" s="177">
        <v>8</v>
      </c>
      <c r="AC119" s="178" t="s">
        <v>930</v>
      </c>
      <c r="AD119" s="55" t="s">
        <v>789</v>
      </c>
      <c r="AE119" s="1176">
        <f>SUM(AE120:AE124)</f>
        <v>0</v>
      </c>
      <c r="AF119" s="1176">
        <f>SUM(AF120:AF124)</f>
        <v>0</v>
      </c>
      <c r="AG119" s="1176">
        <f>SUM(AG120:AG124)</f>
        <v>0</v>
      </c>
      <c r="AH119" s="1176">
        <f>SUM(AH120:AH124)</f>
        <v>0</v>
      </c>
      <c r="AI119" s="1176">
        <f>SUM(AI120:AI124)</f>
        <v>0</v>
      </c>
      <c r="AJ119" s="1176">
        <f>SUM(AJ120:AJ124)</f>
        <v>0</v>
      </c>
      <c r="AK119" s="1176">
        <f>SUM(AK120:AK124)</f>
        <v>0</v>
      </c>
      <c r="AL119" s="1176">
        <f>SUM(AL120:AL124)</f>
        <v>0</v>
      </c>
      <c r="AM119" s="1176">
        <f>SUM(AM120:AM124)</f>
        <v>0</v>
      </c>
      <c r="AN119" s="1176">
        <f>SUM(AN120:AN124)</f>
        <v>0</v>
      </c>
      <c r="AO119" s="1176">
        <f>SUM(AO120:AO124)</f>
        <v>0</v>
      </c>
      <c r="AP119" s="1176">
        <f>SUM(AP120:AP124)</f>
        <v>0</v>
      </c>
      <c r="AQ119" s="1176">
        <f>SUM(AQ120:AQ124)</f>
        <v>0</v>
      </c>
      <c r="AR119" s="1176">
        <f>SUM(AR120:AR124)</f>
        <v>0</v>
      </c>
      <c r="AS119" s="1176">
        <f>SUM(AS120:AS124)</f>
        <v>0</v>
      </c>
      <c r="AT119" s="1176">
        <f>SUM(AT120:AT124)</f>
        <v>0</v>
      </c>
      <c r="AU119" s="1176">
        <f>SUM(AU120:AU124)</f>
        <v>0</v>
      </c>
      <c r="AV119" s="1176">
        <f>SUM(AV120:AV124)</f>
        <v>0</v>
      </c>
      <c r="AW119" s="1176">
        <f>SUM(AW120:AW124)</f>
        <v>0</v>
      </c>
      <c r="AX119" s="1176">
        <f>SUM(AX120:AX124)</f>
        <v>0</v>
      </c>
      <c r="AY119" s="1176">
        <f>SUM(AY120:AY124)</f>
        <v>0</v>
      </c>
      <c r="AZ119" s="1176">
        <f>SUM(AZ120:AZ124)</f>
        <v>0</v>
      </c>
      <c r="BA119" s="1176">
        <f>SUM(BA120:BA124)</f>
        <v>0</v>
      </c>
      <c r="BB119" s="1176">
        <f>SUM(BB120:BB124)</f>
        <v>0</v>
      </c>
      <c r="BC119" s="166"/>
      <c r="BD119" s="498"/>
      <c r="BE119" s="498"/>
      <c r="BF119" s="1011" t="s">
        <v>931</v>
      </c>
    </row>
    <row s="1624" customFormat="1" customHeight="1" ht="14.25">
      <c r="A120" s="1412"/>
      <c r="B120" s="1369"/>
      <c r="C120" s="1412"/>
      <c r="D120" s="1412"/>
      <c r="E120" s="603">
        <v>15</v>
      </c>
      <c r="F120" s="50" cm="1" t="str">
        <f t="array" ref="F120:F120">OFFSET(E120,-1,1)</f>
        <v>1</v>
      </c>
      <c r="G120" s="70" t="s">
        <v>538</v>
      </c>
      <c r="H120" s="1412"/>
      <c r="I120" s="1412"/>
      <c r="J120" s="1412"/>
      <c r="K120" s="1412"/>
      <c r="L120" s="1412"/>
      <c r="M120" s="1412"/>
      <c r="N120" s="1412"/>
      <c r="O120" s="1412"/>
      <c r="P120" s="1412"/>
      <c r="Q120" s="1412"/>
      <c r="R120" s="1412"/>
      <c r="S120" s="1412"/>
      <c r="T120" s="438" cm="1" t="str">
        <f t="array" ref="T120:T120">T119</f>
        <v>true</v>
      </c>
      <c r="U120" s="1412"/>
      <c r="V120" s="1412"/>
      <c r="W120" s="1412"/>
      <c r="X120" s="1541"/>
      <c r="Y120" s="1412"/>
      <c r="Z120" s="1542"/>
      <c r="AA120" s="1412"/>
      <c r="AB120" s="54" t="s">
        <v>563</v>
      </c>
      <c r="AC120" s="180" t="s">
        <v>845</v>
      </c>
      <c r="AD120" s="55" t="s">
        <v>789</v>
      </c>
      <c r="AE120" s="181"/>
      <c r="AF120" s="181"/>
      <c r="AG120" s="181"/>
      <c r="AH120" s="181"/>
      <c r="AI120" s="181"/>
      <c r="AJ120" s="181"/>
      <c r="AK120" s="181"/>
      <c r="AL120" s="181"/>
      <c r="AM120" s="181"/>
      <c r="AN120" s="181"/>
      <c r="AO120" s="181"/>
      <c r="AP120" s="181"/>
      <c r="AQ120" s="181"/>
      <c r="AR120" s="181"/>
      <c r="AS120" s="181"/>
      <c r="AT120" s="181"/>
      <c r="AU120" s="181"/>
      <c r="AV120" s="181"/>
      <c r="AW120" s="181"/>
      <c r="AX120" s="181"/>
      <c r="AY120" s="181"/>
      <c r="AZ120" s="181"/>
      <c r="BA120" s="181"/>
      <c r="BB120" s="181"/>
      <c r="BC120" s="166"/>
      <c r="BD120" s="1412"/>
      <c r="BE120" s="1412"/>
      <c r="BF120" s="1011" t="s">
        <v>932</v>
      </c>
    </row>
    <row s="1624" customFormat="1" customHeight="1" ht="14.25">
      <c r="A121" s="1412"/>
      <c r="B121" s="1369"/>
      <c r="C121" s="1412"/>
      <c r="D121" s="1412"/>
      <c r="E121" s="603">
        <v>15</v>
      </c>
      <c r="F121" s="50" cm="1" t="str">
        <f t="array" ref="F121:F121">OFFSET(E121,-1,1)</f>
        <v>1</v>
      </c>
      <c r="G121" s="70" t="s">
        <v>542</v>
      </c>
      <c r="H121" s="1412"/>
      <c r="I121" s="1412"/>
      <c r="J121" s="1412"/>
      <c r="K121" s="1412"/>
      <c r="L121" s="1412"/>
      <c r="M121" s="1412"/>
      <c r="N121" s="1412"/>
      <c r="O121" s="1412"/>
      <c r="P121" s="1412"/>
      <c r="Q121" s="1412"/>
      <c r="R121" s="1412"/>
      <c r="S121" s="1412"/>
      <c r="T121" s="438" cm="1" t="str">
        <f t="array" ref="T121:T121">T120</f>
        <v>true</v>
      </c>
      <c r="U121" s="1412"/>
      <c r="V121" s="1412"/>
      <c r="W121" s="1412"/>
      <c r="X121" s="1541"/>
      <c r="Y121" s="1412"/>
      <c r="Z121" s="1542"/>
      <c r="AA121" s="1412"/>
      <c r="AB121" s="54" t="s">
        <v>580</v>
      </c>
      <c r="AC121" s="180" t="s">
        <v>848</v>
      </c>
      <c r="AD121" s="55" t="s">
        <v>789</v>
      </c>
      <c r="AE121" s="181"/>
      <c r="AF121" s="181"/>
      <c r="AG121" s="181"/>
      <c r="AH121" s="181"/>
      <c r="AI121" s="181"/>
      <c r="AJ121" s="181"/>
      <c r="AK121" s="181"/>
      <c r="AL121" s="181"/>
      <c r="AM121" s="181"/>
      <c r="AN121" s="181"/>
      <c r="AO121" s="181"/>
      <c r="AP121" s="181"/>
      <c r="AQ121" s="181"/>
      <c r="AR121" s="181"/>
      <c r="AS121" s="181"/>
      <c r="AT121" s="181"/>
      <c r="AU121" s="181"/>
      <c r="AV121" s="181"/>
      <c r="AW121" s="181"/>
      <c r="AX121" s="181"/>
      <c r="AY121" s="181"/>
      <c r="AZ121" s="181"/>
      <c r="BA121" s="181"/>
      <c r="BB121" s="181"/>
      <c r="BC121" s="166"/>
      <c r="BD121" s="1412"/>
      <c r="BE121" s="1412"/>
      <c r="BF121" s="1011" t="s">
        <v>933</v>
      </c>
    </row>
    <row s="1624" customFormat="1" customHeight="1" ht="14.25">
      <c r="A122" s="1412"/>
      <c r="B122" s="1369"/>
      <c r="C122" s="1412"/>
      <c r="D122" s="1412"/>
      <c r="E122" s="603">
        <v>15</v>
      </c>
      <c r="F122" s="50" cm="1" t="str">
        <f t="array" ref="F122:F122">OFFSET(E122,-1,1)</f>
        <v>1</v>
      </c>
      <c r="G122" s="70" t="s">
        <v>546</v>
      </c>
      <c r="H122" s="1412"/>
      <c r="I122" s="1412"/>
      <c r="J122" s="1412"/>
      <c r="K122" s="1412"/>
      <c r="L122" s="1412"/>
      <c r="M122" s="1412"/>
      <c r="N122" s="1412"/>
      <c r="O122" s="1412"/>
      <c r="P122" s="1412"/>
      <c r="Q122" s="1412"/>
      <c r="R122" s="1412"/>
      <c r="S122" s="1412"/>
      <c r="T122" s="438" cm="1" t="str">
        <f t="array" ref="T122:T122">T121</f>
        <v>true</v>
      </c>
      <c r="U122" s="1412"/>
      <c r="V122" s="1412"/>
      <c r="W122" s="1412"/>
      <c r="X122" s="1541"/>
      <c r="Y122" s="1412"/>
      <c r="Z122" s="1542"/>
      <c r="AA122" s="1412"/>
      <c r="AB122" s="54" t="s">
        <v>592</v>
      </c>
      <c r="AC122" s="180" t="s">
        <v>851</v>
      </c>
      <c r="AD122" s="55" t="s">
        <v>789</v>
      </c>
      <c r="AE122" s="181"/>
      <c r="AF122" s="181"/>
      <c r="AG122" s="181"/>
      <c r="AH122" s="181"/>
      <c r="AI122" s="181"/>
      <c r="AJ122" s="181"/>
      <c r="AK122" s="181"/>
      <c r="AL122" s="181"/>
      <c r="AM122" s="181"/>
      <c r="AN122" s="181"/>
      <c r="AO122" s="181"/>
      <c r="AP122" s="181"/>
      <c r="AQ122" s="181"/>
      <c r="AR122" s="181"/>
      <c r="AS122" s="181"/>
      <c r="AT122" s="181"/>
      <c r="AU122" s="181"/>
      <c r="AV122" s="181"/>
      <c r="AW122" s="181"/>
      <c r="AX122" s="181"/>
      <c r="AY122" s="181"/>
      <c r="AZ122" s="181"/>
      <c r="BA122" s="181"/>
      <c r="BB122" s="181"/>
      <c r="BC122" s="166"/>
      <c r="BD122" s="1412"/>
      <c r="BE122" s="1412"/>
      <c r="BF122" s="1011" t="s">
        <v>934</v>
      </c>
    </row>
    <row s="1624" customFormat="1" customHeight="1" ht="14.25">
      <c r="A123" s="1412"/>
      <c r="B123" s="1369"/>
      <c r="C123" s="1412"/>
      <c r="D123" s="1412"/>
      <c r="E123" s="603">
        <v>15</v>
      </c>
      <c r="F123" s="50" cm="1" t="str">
        <f t="array" ref="F123:F123">OFFSET(E123,-1,1)</f>
        <v>1</v>
      </c>
      <c r="G123" s="70" t="s">
        <v>935</v>
      </c>
      <c r="H123" s="1412"/>
      <c r="I123" s="1412"/>
      <c r="J123" s="1412"/>
      <c r="K123" s="1412"/>
      <c r="L123" s="1412"/>
      <c r="M123" s="1412"/>
      <c r="N123" s="1412"/>
      <c r="O123" s="1412"/>
      <c r="P123" s="1412"/>
      <c r="Q123" s="1412"/>
      <c r="R123" s="1412"/>
      <c r="S123" s="1412"/>
      <c r="T123" s="438" cm="1" t="str">
        <f t="array" ref="T123:T123">T122</f>
        <v>true</v>
      </c>
      <c r="U123" s="1412"/>
      <c r="V123" s="1412"/>
      <c r="W123" s="1412"/>
      <c r="X123" s="1541"/>
      <c r="Y123" s="1412"/>
      <c r="Z123" s="1542"/>
      <c r="AA123" s="1412"/>
      <c r="AB123" s="54" t="s">
        <v>627</v>
      </c>
      <c r="AC123" s="180" t="s">
        <v>854</v>
      </c>
      <c r="AD123" s="55" t="s">
        <v>789</v>
      </c>
      <c r="AE123" s="181"/>
      <c r="AF123" s="181"/>
      <c r="AG123" s="181"/>
      <c r="AH123" s="181"/>
      <c r="AI123" s="181"/>
      <c r="AJ123" s="181"/>
      <c r="AK123" s="181"/>
      <c r="AL123" s="181"/>
      <c r="AM123" s="181"/>
      <c r="AN123" s="181"/>
      <c r="AO123" s="181"/>
      <c r="AP123" s="181"/>
      <c r="AQ123" s="181"/>
      <c r="AR123" s="181"/>
      <c r="AS123" s="181"/>
      <c r="AT123" s="181"/>
      <c r="AU123" s="181"/>
      <c r="AV123" s="181"/>
      <c r="AW123" s="181"/>
      <c r="AX123" s="181"/>
      <c r="AY123" s="181"/>
      <c r="AZ123" s="181"/>
      <c r="BA123" s="181"/>
      <c r="BB123" s="181"/>
      <c r="BC123" s="166"/>
      <c r="BD123" s="1412"/>
      <c r="BE123" s="1412"/>
      <c r="BF123" s="1011" t="s">
        <v>936</v>
      </c>
    </row>
    <row s="1624" customFormat="1" customHeight="1" ht="14.25">
      <c r="A124" s="1412"/>
      <c r="B124" s="1369"/>
      <c r="C124" s="1412"/>
      <c r="D124" s="1412"/>
      <c r="E124" s="603">
        <v>15</v>
      </c>
      <c r="F124" s="50" cm="1" t="str">
        <f t="array" ref="F124:F124">OFFSET(E124,-1,1)</f>
        <v>1</v>
      </c>
      <c r="G124" s="70" t="s">
        <v>937</v>
      </c>
      <c r="H124" s="1412"/>
      <c r="I124" s="1412"/>
      <c r="J124" s="1412"/>
      <c r="K124" s="1412"/>
      <c r="L124" s="1412"/>
      <c r="M124" s="1412"/>
      <c r="N124" s="1412"/>
      <c r="O124" s="1412"/>
      <c r="P124" s="1412"/>
      <c r="Q124" s="1412"/>
      <c r="R124" s="1412"/>
      <c r="S124" s="1412"/>
      <c r="T124" s="438" cm="1" t="str">
        <f t="array" ref="T124:T124">T123</f>
        <v>true</v>
      </c>
      <c r="U124" s="1412"/>
      <c r="V124" s="1412"/>
      <c r="W124" s="1412"/>
      <c r="X124" s="1541"/>
      <c r="Y124" s="1412"/>
      <c r="Z124" s="1542"/>
      <c r="AA124" s="1412"/>
      <c r="AB124" s="54" t="s">
        <v>630</v>
      </c>
      <c r="AC124" s="180" t="s">
        <v>858</v>
      </c>
      <c r="AD124" s="55" t="s">
        <v>789</v>
      </c>
      <c r="AE124" s="181"/>
      <c r="AF124" s="181"/>
      <c r="AG124" s="181"/>
      <c r="AH124" s="181"/>
      <c r="AI124" s="181"/>
      <c r="AJ124" s="181"/>
      <c r="AK124" s="181"/>
      <c r="AL124" s="181"/>
      <c r="AM124" s="181"/>
      <c r="AN124" s="181"/>
      <c r="AO124" s="181"/>
      <c r="AP124" s="181"/>
      <c r="AQ124" s="181"/>
      <c r="AR124" s="181"/>
      <c r="AS124" s="181"/>
      <c r="AT124" s="181"/>
      <c r="AU124" s="181"/>
      <c r="AV124" s="181"/>
      <c r="AW124" s="181"/>
      <c r="AX124" s="181"/>
      <c r="AY124" s="181"/>
      <c r="AZ124" s="181"/>
      <c r="BA124" s="181"/>
      <c r="BB124" s="181"/>
      <c r="BC124" s="166"/>
      <c r="BD124" s="1412"/>
      <c r="BE124" s="1412"/>
      <c r="BF124" s="1011" t="s">
        <v>938</v>
      </c>
    </row>
    <row customHeight="1" ht="10.725000000000001">
      <c r="E125" s="603">
        <v>11</v>
      </c>
      <c r="F125" s="315"/>
      <c r="U125" s="70" t="s">
        <v>176</v>
      </c>
      <c r="V125" s="106" t="s">
        <v>939</v>
      </c>
      <c r="Z125" s="542"/>
      <c r="AA125" s="542"/>
      <c r="AB125" s="441"/>
      <c r="AC125" s="441"/>
      <c r="AD125" s="441"/>
      <c r="AE125" s="441"/>
      <c r="AF125" s="441"/>
      <c r="AG125" s="441"/>
      <c r="AH125" s="441"/>
      <c r="AI125" s="932"/>
      <c r="AJ125" s="932"/>
      <c r="AK125" s="932"/>
      <c r="AL125" s="932"/>
      <c r="AM125" s="932"/>
      <c r="AN125" s="932"/>
      <c r="AO125" s="932"/>
      <c r="AP125" s="932"/>
      <c r="AQ125" s="932"/>
      <c r="AR125" s="932"/>
      <c r="AS125" s="932"/>
      <c r="AT125" s="932"/>
      <c r="AU125" s="932"/>
      <c r="AV125" s="932"/>
      <c r="AW125" s="932"/>
      <c r="AX125" s="932"/>
      <c r="AY125" s="932"/>
      <c r="AZ125" s="932"/>
      <c r="BA125" s="932"/>
      <c r="BB125" s="932"/>
      <c r="BC125" s="932"/>
    </row>
    <row customHeight="1" ht="14.625">
      <c r="E126" s="603">
        <v>15</v>
      </c>
      <c r="AA126" s="64"/>
      <c r="AB126" s="1522" t="s">
        <v>392</v>
      </c>
      <c r="AC126" s="1522"/>
      <c r="AD126" s="1522"/>
      <c r="AE126" s="1522"/>
      <c r="AF126" s="1522"/>
      <c r="AG126" s="1522"/>
      <c r="AH126" s="1522"/>
      <c r="AI126" s="1543"/>
      <c r="AJ126" s="1543"/>
      <c r="AK126" s="1543"/>
      <c r="AL126" s="1543"/>
      <c r="AM126" s="1543"/>
      <c r="AN126" s="1543"/>
      <c r="AO126" s="1543"/>
      <c r="AP126" s="1543"/>
      <c r="AQ126" s="1543"/>
      <c r="AR126" s="1543"/>
      <c r="AS126" s="1543"/>
      <c r="AT126" s="1543"/>
      <c r="AU126" s="1543"/>
      <c r="AV126" s="1543"/>
      <c r="AW126" s="1543"/>
      <c r="AX126" s="1543"/>
      <c r="AY126" s="1543"/>
      <c r="AZ126" s="1543"/>
      <c r="BA126" s="1543"/>
      <c r="BB126" s="1543"/>
      <c r="BC126" s="1543"/>
      <c r="BD126" s="64"/>
    </row>
    <row customHeight="1" ht="14.625">
      <c r="E127" s="603">
        <v>15</v>
      </c>
      <c r="T127" s="462"/>
      <c r="AA127" s="139"/>
      <c r="AB127" s="1544"/>
      <c r="AC127" s="1544"/>
      <c r="AD127" s="1544"/>
      <c r="AE127" s="1544"/>
      <c r="AF127" s="1544"/>
      <c r="AG127" s="1544"/>
      <c r="AH127" s="1544"/>
      <c r="AI127" s="1545"/>
      <c r="AJ127" s="2394"/>
      <c r="AK127" s="2394"/>
      <c r="AL127" s="2394"/>
      <c r="AM127" s="2394"/>
      <c r="AN127" s="2394"/>
      <c r="AO127" s="2394"/>
      <c r="AP127" s="2394"/>
      <c r="AQ127" s="2394"/>
      <c r="AR127" s="2394"/>
      <c r="AS127" s="1545"/>
      <c r="AT127" s="2394"/>
      <c r="AU127" s="2394"/>
      <c r="AV127" s="2394"/>
      <c r="AW127" s="2394"/>
      <c r="AX127" s="2394"/>
      <c r="AY127" s="2394"/>
      <c r="AZ127" s="2394"/>
      <c r="BA127" s="2394"/>
      <c r="BB127" s="2394"/>
      <c r="BC127" s="1545"/>
      <c r="BD127" s="64"/>
    </row>
    <row customHeight="1" ht="14.625" hidden="1">
      <c r="A128" s="1412"/>
      <c r="B128" s="1369"/>
      <c r="C128" s="1412"/>
      <c r="D128" s="1412"/>
      <c r="E128" s="603">
        <v>15</v>
      </c>
      <c r="F128" s="1412"/>
      <c r="G128" s="1412"/>
      <c r="H128" s="1412"/>
      <c r="I128" s="1412"/>
      <c r="J128" s="1412"/>
      <c r="K128" s="1412"/>
      <c r="L128" s="1412"/>
      <c r="M128" s="1412"/>
      <c r="N128" s="1412"/>
      <c r="O128" s="1412"/>
      <c r="P128" s="1412"/>
      <c r="Q128" s="1412"/>
      <c r="R128" s="1412"/>
      <c r="S128" s="1412"/>
      <c r="T128" s="438">
        <f>ROW(W128)&gt;ROW(W$128)</f>
        <v>0</v>
      </c>
      <c r="U128" s="1412"/>
      <c r="V128" s="1412"/>
      <c r="W128" s="733" t="s">
        <v>172</v>
      </c>
      <c r="X128" s="1412"/>
      <c r="Y128" s="1412"/>
      <c r="Z128" s="1412"/>
      <c r="AA128" s="648" t="s">
        <v>173</v>
      </c>
      <c r="AB128" s="2395" t="s">
        <v>228</v>
      </c>
      <c r="AC128" s="2395"/>
      <c r="AD128" s="2395"/>
      <c r="AE128" s="2395"/>
      <c r="AF128" s="2395"/>
      <c r="AG128" s="2395"/>
      <c r="AH128" s="2395"/>
      <c r="AI128" s="1545"/>
      <c r="AJ128" s="2394"/>
      <c r="AK128" s="2394"/>
      <c r="AL128" s="2394"/>
      <c r="AM128" s="2394"/>
      <c r="AN128" s="2394"/>
      <c r="AO128" s="2394"/>
      <c r="AP128" s="2394"/>
      <c r="AQ128" s="2394"/>
      <c r="AR128" s="2394"/>
      <c r="AS128" s="1545"/>
      <c r="AT128" s="2394"/>
      <c r="AU128" s="2394"/>
      <c r="AV128" s="2394"/>
      <c r="AW128" s="2394"/>
      <c r="AX128" s="2394"/>
      <c r="AY128" s="2394"/>
      <c r="AZ128" s="2394"/>
      <c r="BA128" s="2394"/>
      <c r="BB128" s="2394"/>
      <c r="BC128" s="2394"/>
      <c r="BD128" s="64"/>
      <c r="BE128" s="1412"/>
      <c r="BF128" s="1377"/>
    </row>
    <row customHeight="1" ht="14.625">
      <c r="E129" s="603">
        <v>15</v>
      </c>
      <c r="W129" s="733" t="s">
        <v>396</v>
      </c>
      <c r="AA129" s="64"/>
      <c r="AB129" s="623"/>
      <c r="AC129" s="487" t="s">
        <v>397</v>
      </c>
      <c r="AD129" s="276"/>
      <c r="AE129" s="276"/>
      <c r="AF129" s="277"/>
      <c r="AG129" s="277"/>
      <c r="AH129" s="277"/>
      <c r="AI129" s="277"/>
      <c r="AJ129" s="277"/>
      <c r="AK129" s="277"/>
      <c r="AL129" s="277"/>
      <c r="AM129" s="277"/>
      <c r="AN129" s="277"/>
      <c r="AO129" s="277"/>
      <c r="AP129" s="277"/>
      <c r="AQ129" s="277"/>
      <c r="AR129" s="277"/>
      <c r="AS129" s="277"/>
      <c r="AT129" s="277"/>
      <c r="AU129" s="277"/>
      <c r="AV129" s="277"/>
      <c r="AW129" s="277"/>
      <c r="AX129" s="277"/>
      <c r="AY129" s="277"/>
      <c r="AZ129" s="277"/>
      <c r="BA129" s="277"/>
      <c r="BB129" s="277"/>
      <c r="BC129" s="278"/>
      <c r="BD129" s="64"/>
    </row>
    <row customHeight="1" ht="10.96875">
      <c r="E130" s="603">
        <v>11.25</v>
      </c>
      <c r="AI130" s="1542"/>
      <c r="AJ130" s="1542"/>
      <c r="AK130" s="1542"/>
      <c r="AL130" s="1542"/>
      <c r="AM130" s="1542"/>
      <c r="AN130" s="1542"/>
      <c r="AO130" s="1542"/>
      <c r="AP130" s="1542"/>
      <c r="AQ130" s="1542"/>
      <c r="AR130" s="1542"/>
      <c r="AS130" s="1542"/>
      <c r="AT130" s="1542"/>
      <c r="AU130" s="1542"/>
      <c r="AV130" s="1542"/>
      <c r="AW130" s="1542"/>
      <c r="AX130" s="1542"/>
      <c r="AY130" s="1542"/>
      <c r="AZ130" s="1542"/>
      <c r="BA130" s="1542"/>
      <c r="BB130" s="1542"/>
      <c r="BD130" s="398"/>
    </row>
  </sheetData>
  <sheetProtection formatColumns="0" formatRows="0" insertRows="0" deleteColumns="0" deleteRows="0" sort="0" autoFilter="0" insertColumns="1"/>
  <mergeCells count="12">
    <mergeCell ref="AB23:BB23"/>
    <mergeCell ref="AB24:AB25"/>
    <mergeCell ref="AC24:AC25"/>
    <mergeCell ref="AD24:AD25"/>
    <mergeCell ref="BC24:BC25"/>
    <mergeCell ref="AB128:BC128"/>
    <mergeCell ref="X27:X75"/>
    <mergeCell ref="Z27:Z75"/>
    <mergeCell ref="AB127:BC127"/>
    <mergeCell ref="AB126:BC126"/>
    <mergeCell ref="X76:X124"/>
    <mergeCell ref="Z76:Z124"/>
  </mergeCells>
  <dataValidations count="1">
    <dataValidation type="decimal" allowBlank="1" showErrorMessage="1" errorTitle="Ошибка" error="Допускается ввод только неотрицательных чисел!" sqref="AE59:BB63 BB71:BB75 BB78:BB82 BB84:BB88 BB90:BB94 BB96:BB100 BB102:BB106 BB108:BB112 BB114:BB118 BB120:BB125 BA71:BA75 BA78:BA82 BA84:BA88 BA90:BA94 BA96:BA100 BA102:BA106 BA108:BA112 BA114:BA118 BA120:BA125 AZ71:AZ75 AZ78:AZ82 AZ84:AZ88 AZ90:AZ94 AZ96:AZ100 AZ102:AZ106 AZ108:AZ112 AZ114:AZ118 AZ120:AZ125 AY71:AY75 AY78:AY82 AY84:AY88 AY90:AY94 AY96:AY100 AY102:AY106 AY108:AY112 AY114:AY118 AY120:AY125 AX71:AX75 AX78:AX82 AX84:AX88 AX90:AX94 AX96:AX100 AX102:AX106 AX108:AX112 AX114:AX118 AX120:AX125 AW71:AW75 AW78:AW82 AW84:AW88 AW90:AW94 AW96:AW100 AW102:AW106 AW108:AW112 AW114:AW118 AW120:AW125 AV71:AV75 AV78:AV82 AV84:AV88 AV90:AV94 AV96:AV100 AV102:AV106 AV108:AV112 AV114:AV118 AV120:AV125 AU71:AU75 AU78:AU82 AU84:AU88 AU90:AU94 AU96:AU100 AU102:AU106 AU108:AU112 AU114:AU118 AU120:AU125 AT71:AT75 AT78:AT82 AT84:AT88 AT90:AT94 AT96:AT100 AT102:AT106 AT108:AT112 AT114:AT118 AT120:AT125 AS71:AS75 AS78:AS82 AS84:AS88 AS90:AS94 AS96:AS100 AS102:AS106 AS108:AS112 AS114:AS118 AS120:AS125 AR71:AR75 AR78:AR82 AR84:AR88 AR90:AR94 AR96:AR100 AR102:AR106 AR108:AR112 AR114:AR118 AR120:AR125 AQ71:AQ75 AQ78:AQ82 AQ84:AQ88 AQ90:AQ94 AQ96:AQ100 AQ102:AQ106 AQ108:AQ112 AQ114:AQ118 AQ120:AQ125 AP71:AP75 AP78:AP82 AP84:AP88 AP90:AP94 AP96:AP100 AP102:AP106 AP108:AP112 AP114:AP118 AP120:AP125 AO71:AO75 AO78:AO82 AO84:AO88 AO90:AO94 AO96:AO100 AO102:AO106 AO108:AO112 AO114:AO118 AO120:AO125 AN71:AN75 AN78:AN82 AN84:AN88 AN90:AN94 AN96:AN100 AN102:AN106 AN108:AN112 AN114:AN118 AN120:AN125 AM71:AM75 AM78:AM82 AM84:AM88 AM90:AM94 AM96:AM100 AM102:AM106 AM108:AM112 AM114:AM118 AM120:AM125 AL71:AL75 AL78:AL82 AL84:AL88 AL90:AL94 AL96:AL100 AL102:AL106 AL108:AL112 AL114:AL118 AL120:AL125 AK71:AK75 AK78:AK82 AK84:AK88 AK90:AK94 AK96:AK100 AK102:AK106 AK108:AK112 AK114:AK118 AK120:AK125 AJ71:AJ75 AJ78:AJ82 AJ84:AJ88 AJ90:AJ94 AJ96:AJ100 AJ102:AJ106 AJ108:AJ112 AJ114:AJ118 AJ120:AJ125 AI71:AI75 AI78:AI82 AI84:AI88 AI90:AI94 AI96:AI100 AI102:AI106 AI108:AI112 AI114:AI118 AI120:AI125 AH71:AH75 AH78:AH82 AH84:AH88 AH90:AH94 AH96:AH100 AH102:AH106 AH108:AH112 AH114:AH118 AH120:AH125 AG71:AG75 AG78:AG82 AG84:AG88 AG90:AG94 AG96:AG100 AG102:AG106 AG108:AG112 AG114:AG118 AG120:AG125 AF71:AF75 AF78:AF82 AF84:AF88 AF90:AF94 AF96:AF100 AF102:AF106 AF108:AF112 AF114:AF118 AF120:AF125 AE71:AE75 AE78:AE82 AE84:AE88 AE90:AE94 AE96:AE100 AE102:AE106 AE108:AE112 AE114:AE118 AE120:AE125 AE53:BB57 AE47:BB51 AE41:BB45 AE35:BB39 AE29:BB33 AE65:BB69">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E3576F-9968-ACB9-6668-F7CAC1831C9B}" mc:Ignorable="x14ac xr xr2 xr3">
  <sheetPr>
    <tabColor rgb="FF002060"/>
    <outlinePr summaryRight="0" summaryBelow="0"/>
    <pageSetUpPr fitToPage="1"/>
  </sheetPr>
  <dimension ref="A1:BF52"/>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363" width="3.57421875" hidden="1" customWidth="1"/>
    <col min="2" max="2" style="1369" width="4.8515625" hidden="1" customWidth="1"/>
    <col min="3" max="3" style="1363" width="3.57421875" hidden="1" customWidth="1"/>
    <col min="4" max="4" style="1363" width="7.140625" hidden="1" customWidth="1"/>
    <col min="5" max="5" style="1370" width="3.57421875" hidden="1" customWidth="1"/>
    <col min="6" max="19" style="1363" width="3.57421875" hidden="1" customWidth="1"/>
    <col min="20" max="20" style="1363" width="8.421875" hidden="1" customWidth="1"/>
    <col min="21" max="21" style="1363" width="5.8515625" hidden="1" customWidth="1"/>
    <col min="22" max="23" style="1363" width="6.140625" hidden="1" customWidth="1"/>
    <col min="24" max="25" style="1363" width="5.57421875" hidden="1" customWidth="1"/>
    <col min="26" max="26" style="1363" width="5.28125" hidden="1" customWidth="1"/>
    <col min="27" max="27" style="1363" width="3.00390625" customWidth="1"/>
    <col min="28" max="28" style="1363" width="11.00390625" customWidth="1"/>
    <col min="29" max="29" style="1363" width="35.00390625" customWidth="1"/>
    <col min="30" max="30" style="1363" width="12.00390625" customWidth="1"/>
    <col min="31" max="31" style="1494" width="13.00390625" customWidth="1"/>
    <col min="32" max="35" style="1363" width="13.00390625" customWidth="1"/>
    <col min="36" max="44" style="1363" width="13.00390625" hidden="1" customWidth="1"/>
    <col min="45" max="45" style="1363" width="13.00390625" customWidth="1"/>
    <col min="46" max="54" style="1363" width="13.00390625" hidden="1" customWidth="1"/>
    <col min="55" max="55" style="1363" width="20.00390625" customWidth="1"/>
    <col min="56" max="56" style="1363" width="3.00390625" customWidth="1"/>
    <col min="57" max="57" style="1363" width="9.140625" hidden="1"/>
    <col min="58" max="58" style="1374" width="9.140625" hidden="1"/>
  </cols>
  <sheetData>
    <row customHeight="1" ht="11.25" hidden="1">
      <c r="E1" s="115"/>
      <c r="F1" s="115" t="s">
        <v>309</v>
      </c>
      <c r="H1" s="115" t="s">
        <v>320</v>
      </c>
      <c r="T1" s="438" t="s">
        <v>92</v>
      </c>
      <c r="U1" s="438" t="s">
        <v>97</v>
      </c>
      <c r="V1" s="438" t="s">
        <v>93</v>
      </c>
      <c r="W1" s="438" t="s">
        <v>94</v>
      </c>
      <c r="X1" s="438" t="s">
        <v>95</v>
      </c>
      <c r="Y1" s="440" t="s">
        <v>311</v>
      </c>
      <c r="Z1" s="438" t="s">
        <v>99</v>
      </c>
      <c r="AA1" s="439" t="s">
        <v>96</v>
      </c>
      <c r="AB1" s="51"/>
      <c r="AC1" s="439" t="s">
        <v>98</v>
      </c>
      <c r="AI1" s="1363"/>
      <c r="AJ1" s="1363"/>
      <c r="AK1" s="1363"/>
      <c r="AL1" s="1363"/>
      <c r="AM1" s="1363"/>
      <c r="AN1" s="1363"/>
      <c r="AO1" s="1363"/>
      <c r="AP1" s="1363"/>
      <c r="AQ1" s="1363"/>
      <c r="AR1" s="1363"/>
      <c r="AS1" s="1363"/>
      <c r="AT1" s="1363"/>
      <c r="AU1" s="1363"/>
      <c r="AV1" s="1363"/>
      <c r="AW1" s="1363"/>
      <c r="AX1" s="1363"/>
      <c r="AY1" s="1363"/>
      <c r="AZ1" s="1363"/>
      <c r="BA1" s="1363"/>
      <c r="BB1" s="1363"/>
      <c r="BF1" s="1015" t="s">
        <v>312</v>
      </c>
    </row>
    <row s="1369" customFormat="1" customHeight="1" ht="11.25" hidden="1">
      <c r="B2" s="419" t="s">
        <v>18</v>
      </c>
      <c r="AI2" s="418">
        <f>AI6&lt;=last_year_vis</f>
        <v>1</v>
      </c>
      <c r="AJ2" s="418">
        <f>AJ6&lt;=last_year_vis</f>
        <v>0</v>
      </c>
      <c r="AK2" s="418">
        <f>AK6&lt;=last_year_vis</f>
        <v>0</v>
      </c>
      <c r="AL2" s="418">
        <f>AL6&lt;=last_year_vis</f>
        <v>0</v>
      </c>
      <c r="AM2" s="418">
        <f>AM6&lt;=last_year_vis</f>
        <v>0</v>
      </c>
      <c r="AN2" s="418">
        <f>AN6&lt;=last_year_vis</f>
        <v>0</v>
      </c>
      <c r="AO2" s="418">
        <f>AO6&lt;=last_year_vis</f>
        <v>0</v>
      </c>
      <c r="AP2" s="418">
        <f>AP6&lt;=last_year_vis</f>
        <v>0</v>
      </c>
      <c r="AQ2" s="418">
        <f>AQ6&lt;=last_year_vis</f>
        <v>0</v>
      </c>
      <c r="AR2" s="418">
        <f>AR6&lt;=last_year_vis</f>
        <v>0</v>
      </c>
      <c r="AS2" s="418">
        <f>AS6&lt;=last_year_vis</f>
        <v>1</v>
      </c>
      <c r="AT2" s="418">
        <f>AT6&lt;=last_year_vis</f>
        <v>0</v>
      </c>
      <c r="AU2" s="418">
        <f>AU6&lt;=last_year_vis</f>
        <v>0</v>
      </c>
      <c r="AV2" s="418">
        <f>AV6&lt;=last_year_vis</f>
        <v>0</v>
      </c>
      <c r="AW2" s="418">
        <f>AW6&lt;=last_year_vis</f>
        <v>0</v>
      </c>
      <c r="AX2" s="418">
        <f>AX6&lt;=last_year_vis</f>
        <v>0</v>
      </c>
      <c r="AY2" s="418">
        <f>AY6&lt;=last_year_vis</f>
        <v>0</v>
      </c>
      <c r="AZ2" s="418">
        <f>AZ6&lt;=last_year_vis</f>
        <v>0</v>
      </c>
      <c r="BA2" s="418">
        <f>BA6&lt;=last_year_vis</f>
        <v>0</v>
      </c>
      <c r="BB2" s="418">
        <f>BB6&lt;=last_year_vis</f>
        <v>0</v>
      </c>
      <c r="BF2" s="1014"/>
    </row>
    <row customHeight="1" ht="11.25" hidden="1">
      <c r="E3" s="115"/>
      <c r="AI3" s="468"/>
      <c r="AJ3" s="468"/>
      <c r="AK3" s="468"/>
      <c r="AL3" s="468"/>
      <c r="AM3" s="468"/>
      <c r="AN3" s="468"/>
      <c r="AO3" s="468"/>
      <c r="AP3" s="468"/>
      <c r="AQ3" s="468"/>
      <c r="AR3" s="468"/>
      <c r="AS3" s="468"/>
      <c r="AT3" s="468"/>
      <c r="AU3" s="468"/>
      <c r="AV3" s="468"/>
      <c r="AW3" s="468"/>
      <c r="AX3" s="468"/>
      <c r="AY3" s="468"/>
      <c r="AZ3" s="468"/>
      <c r="BA3" s="468"/>
      <c r="BB3" s="468"/>
    </row>
    <row customHeight="1" ht="11.25" hidden="1">
      <c r="E4" s="115"/>
      <c r="AI4" s="1363"/>
      <c r="AJ4" s="1363"/>
      <c r="AK4" s="1363"/>
      <c r="AL4" s="1363"/>
      <c r="AM4" s="1363"/>
      <c r="AN4" s="1363"/>
      <c r="AO4" s="1363"/>
      <c r="AP4" s="1363"/>
      <c r="AQ4" s="1363"/>
      <c r="AR4" s="1363"/>
      <c r="AS4" s="1363"/>
      <c r="AT4" s="1363"/>
      <c r="AU4" s="1363"/>
      <c r="AV4" s="1363"/>
      <c r="AW4" s="1363"/>
      <c r="AX4" s="1363"/>
      <c r="AY4" s="1363"/>
      <c r="AZ4" s="1363"/>
      <c r="BA4" s="1363"/>
      <c r="BB4" s="1363"/>
    </row>
    <row s="1370" customFormat="1" customHeight="1" ht="11.25" hidden="1">
      <c r="A5" s="115"/>
      <c r="B5" s="414"/>
      <c r="C5" s="115"/>
      <c r="D5" s="115"/>
      <c r="E5" s="652" t="s">
        <v>19</v>
      </c>
      <c r="AA5" s="652">
        <v>3</v>
      </c>
      <c r="AB5" s="652">
        <v>11</v>
      </c>
      <c r="AC5" s="652">
        <v>35</v>
      </c>
      <c r="AD5" s="652">
        <v>12</v>
      </c>
      <c r="AE5" s="653">
        <v>13</v>
      </c>
      <c r="AF5" s="652">
        <v>13</v>
      </c>
      <c r="AG5" s="652">
        <v>13</v>
      </c>
      <c r="AH5" s="652">
        <v>13</v>
      </c>
      <c r="AI5" s="652">
        <v>13</v>
      </c>
      <c r="AJ5" s="652">
        <v>13</v>
      </c>
      <c r="AK5" s="652">
        <v>13</v>
      </c>
      <c r="AL5" s="652">
        <v>13</v>
      </c>
      <c r="AM5" s="652">
        <v>13</v>
      </c>
      <c r="AN5" s="652">
        <v>13</v>
      </c>
      <c r="AO5" s="652">
        <v>13</v>
      </c>
      <c r="AP5" s="652">
        <v>13</v>
      </c>
      <c r="AQ5" s="652">
        <v>13</v>
      </c>
      <c r="AR5" s="652">
        <v>13</v>
      </c>
      <c r="AS5" s="652">
        <v>13</v>
      </c>
      <c r="AT5" s="652">
        <v>13</v>
      </c>
      <c r="AU5" s="652">
        <v>13</v>
      </c>
      <c r="AV5" s="652">
        <v>13</v>
      </c>
      <c r="AW5" s="652">
        <v>13</v>
      </c>
      <c r="AX5" s="652">
        <v>13</v>
      </c>
      <c r="AY5" s="652">
        <v>13</v>
      </c>
      <c r="AZ5" s="652">
        <v>13</v>
      </c>
      <c r="BA5" s="652">
        <v>13</v>
      </c>
      <c r="BB5" s="652">
        <v>13</v>
      </c>
      <c r="BC5" s="652">
        <v>20</v>
      </c>
      <c r="BD5" s="652">
        <v>3</v>
      </c>
      <c r="BF5" s="1015"/>
    </row>
    <row customHeight="1" ht="11.25" hidden="1">
      <c r="A6" s="115" t="s">
        <v>349</v>
      </c>
      <c r="AE6" s="342">
        <f>god-2</f>
        <v>2024</v>
      </c>
      <c r="AF6" s="116">
        <f>god-2</f>
        <v>2024</v>
      </c>
      <c r="AG6" s="116">
        <f>god-2</f>
        <v>2024</v>
      </c>
      <c r="AH6" s="116">
        <f>god-1</f>
        <v>2025</v>
      </c>
      <c r="AI6" s="64" cm="1" t="str">
        <f t="array" ref="AI6:AI6">god</f>
        <v>2026</v>
      </c>
      <c r="AJ6" s="64">
        <f>god+1</f>
        <v>2027</v>
      </c>
      <c r="AK6" s="64">
        <f>god+2</f>
        <v>2028</v>
      </c>
      <c r="AL6" s="64">
        <f>god+3</f>
        <v>2029</v>
      </c>
      <c r="AM6" s="64">
        <f>god+4</f>
        <v>2030</v>
      </c>
      <c r="AN6" s="64">
        <f>god+5</f>
        <v>2031</v>
      </c>
      <c r="AO6" s="64">
        <f>god+6</f>
        <v>2032</v>
      </c>
      <c r="AP6" s="64">
        <f>god+7</f>
        <v>2033</v>
      </c>
      <c r="AQ6" s="64">
        <f>god+8</f>
        <v>2034</v>
      </c>
      <c r="AR6" s="64">
        <f>god+9</f>
        <v>2035</v>
      </c>
      <c r="AS6" s="64" cm="1" t="str">
        <f t="array" ref="AS6:AS6">god</f>
        <v>2026</v>
      </c>
      <c r="AT6" s="64">
        <f>god+1</f>
        <v>2027</v>
      </c>
      <c r="AU6" s="64">
        <f>god+2</f>
        <v>2028</v>
      </c>
      <c r="AV6" s="64">
        <f>god+3</f>
        <v>2029</v>
      </c>
      <c r="AW6" s="64">
        <f>god+4</f>
        <v>2030</v>
      </c>
      <c r="AX6" s="64">
        <f>god+5</f>
        <v>2031</v>
      </c>
      <c r="AY6" s="64">
        <f>god+6</f>
        <v>2032</v>
      </c>
      <c r="AZ6" s="64">
        <f>god+7</f>
        <v>2033</v>
      </c>
      <c r="BA6" s="64">
        <f>god+8</f>
        <v>2034</v>
      </c>
      <c r="BB6" s="64">
        <f>god+9</f>
        <v>2035</v>
      </c>
    </row>
    <row customHeight="1" ht="11.25" hidden="1">
      <c r="A7" s="115" t="s">
        <v>350</v>
      </c>
      <c r="AE7" s="342" cm="1" t="str">
        <f t="array" ref="AE7:AE7">AE25</f>
        <v>Принято органом регулирования</v>
      </c>
      <c r="AF7" s="342" cm="1" t="str">
        <f t="array" ref="AF7:AF7">AF25</f>
        <v>Факт по данным организации</v>
      </c>
      <c r="AG7" s="342" cm="1" t="str">
        <f t="array" ref="AG7:AG7">AG25</f>
        <v>Факт, принятый органом регулирования</v>
      </c>
      <c r="AH7" s="342" cm="1" t="str">
        <f t="array" ref="AH7:AH7">AH25</f>
        <v>Принято органом регулирования</v>
      </c>
      <c r="AI7" s="342" cm="1" t="str">
        <f t="array" ref="AI7:AI7">AI25</f>
        <v>Предложение организации</v>
      </c>
      <c r="AJ7" s="342" cm="1" t="str">
        <f t="array" ref="AJ7:AJ7">AJ25</f>
        <v>Предложение организации</v>
      </c>
      <c r="AK7" s="342" cm="1" t="str">
        <f t="array" ref="AK7:AK7">AK25</f>
        <v>Предложение организации</v>
      </c>
      <c r="AL7" s="342" cm="1" t="str">
        <f t="array" ref="AL7:AL7">AL25</f>
        <v>Предложение организации</v>
      </c>
      <c r="AM7" s="342" cm="1" t="str">
        <f t="array" ref="AM7:AM7">AM25</f>
        <v>Предложение организации</v>
      </c>
      <c r="AN7" s="342" cm="1" t="str">
        <f t="array" ref="AN7:AN7">AN25</f>
        <v>Предложение организации</v>
      </c>
      <c r="AO7" s="342" cm="1" t="str">
        <f t="array" ref="AO7:AO7">AO25</f>
        <v>Предложение организации</v>
      </c>
      <c r="AP7" s="342" cm="1" t="str">
        <f t="array" ref="AP7:AP7">AP25</f>
        <v>Предложение организации</v>
      </c>
      <c r="AQ7" s="342" cm="1" t="str">
        <f t="array" ref="AQ7:AQ7">AQ25</f>
        <v>Предложение организации</v>
      </c>
      <c r="AR7" s="342" cm="1" t="str">
        <f t="array" ref="AR7:AR7">AR25</f>
        <v>Предложение организации</v>
      </c>
      <c r="AS7" s="342" cm="1" t="str">
        <f t="array" ref="AS7:AS7">AS25</f>
        <v>Принято органом регулирования</v>
      </c>
      <c r="AT7" s="342" cm="1" t="str">
        <f t="array" ref="AT7:AT7">AT25</f>
        <v>Принято органом регулирования</v>
      </c>
      <c r="AU7" s="342" cm="1" t="str">
        <f t="array" ref="AU7:AU7">AU25</f>
        <v>Принято органом регулирования</v>
      </c>
      <c r="AV7" s="342" cm="1" t="str">
        <f t="array" ref="AV7:AV7">AV25</f>
        <v>Принято органом регулирования</v>
      </c>
      <c r="AW7" s="342" cm="1" t="str">
        <f t="array" ref="AW7:AW7">AW25</f>
        <v>Принято органом регулирования</v>
      </c>
      <c r="AX7" s="342" cm="1" t="str">
        <f t="array" ref="AX7:AX7">AX25</f>
        <v>Принято органом регулирования</v>
      </c>
      <c r="AY7" s="342" cm="1" t="str">
        <f t="array" ref="AY7:AY7">AY25</f>
        <v>Принято органом регулирования</v>
      </c>
      <c r="AZ7" s="342" cm="1" t="str">
        <f t="array" ref="AZ7:AZ7">AZ25</f>
        <v>Принято органом регулирования</v>
      </c>
      <c r="BA7" s="342" cm="1" t="str">
        <f t="array" ref="BA7:BA7">BA25</f>
        <v>Принято органом регулирования</v>
      </c>
      <c r="BB7" s="342" cm="1" t="str">
        <f t="array" ref="BB7:BB7">BB25</f>
        <v>Принято органом регулирования</v>
      </c>
    </row>
    <row customHeight="1" ht="11.25" hidden="1">
      <c r="AI8" s="1363"/>
      <c r="AJ8" s="1363"/>
      <c r="AK8" s="1363"/>
      <c r="AL8" s="1363"/>
      <c r="AM8" s="1363"/>
      <c r="AN8" s="1363"/>
      <c r="AO8" s="1363"/>
      <c r="AP8" s="1363"/>
      <c r="AQ8" s="1363"/>
      <c r="AR8" s="1363"/>
      <c r="AS8" s="1363"/>
      <c r="AT8" s="1363"/>
      <c r="AU8" s="1363"/>
      <c r="AV8" s="1363"/>
      <c r="AW8" s="1363"/>
      <c r="AX8" s="1363"/>
      <c r="AY8" s="1363"/>
      <c r="AZ8" s="1363"/>
      <c r="BA8" s="1363"/>
      <c r="BB8" s="1363"/>
    </row>
    <row s="1374" customFormat="1" customHeight="1" ht="11.25" hidden="1">
      <c r="A9" s="992" t="s">
        <v>354</v>
      </c>
      <c r="B9" s="1014"/>
      <c r="AE9" s="1016" cm="1" t="str">
        <f t="array" ref="AE9:AE9">AE6</f>
        <v>2024</v>
      </c>
      <c r="AF9" s="1016" cm="1" t="str">
        <f t="array" ref="AF9:AF9">AF6</f>
        <v>2024</v>
      </c>
      <c r="AG9" s="1016" cm="1" t="str">
        <f t="array" ref="AG9:AG9">AG6</f>
        <v>2024</v>
      </c>
      <c r="AH9" s="1016" cm="1" t="str">
        <f t="array" ref="AH9:AH9">AH6</f>
        <v>2025</v>
      </c>
      <c r="AI9" s="1016" cm="1" t="str">
        <f t="array" ref="AI9:AI9">AI6</f>
        <v>2026</v>
      </c>
      <c r="AJ9" s="1016" cm="1" t="str">
        <f t="array" ref="AJ9:AJ9">AJ6</f>
        <v>2027</v>
      </c>
      <c r="AK9" s="1016" cm="1" t="str">
        <f t="array" ref="AK9:AK9">AK6</f>
        <v>2028</v>
      </c>
      <c r="AL9" s="1016" cm="1" t="str">
        <f t="array" ref="AL9:AL9">AL6</f>
        <v>2029</v>
      </c>
      <c r="AM9" s="1016" cm="1" t="str">
        <f t="array" ref="AM9:AM9">AM6</f>
        <v>2030</v>
      </c>
      <c r="AN9" s="1016" cm="1" t="str">
        <f t="array" ref="AN9:AN9">AN6</f>
        <v>2031</v>
      </c>
      <c r="AO9" s="1016" cm="1" t="str">
        <f t="array" ref="AO9:AO9">AO6</f>
        <v>2032</v>
      </c>
      <c r="AP9" s="1016" cm="1" t="str">
        <f t="array" ref="AP9:AP9">AP6</f>
        <v>2033</v>
      </c>
      <c r="AQ9" s="1016" cm="1" t="str">
        <f t="array" ref="AQ9:AQ9">AQ6</f>
        <v>2034</v>
      </c>
      <c r="AR9" s="1016" cm="1" t="str">
        <f t="array" ref="AR9:AR9">AR6</f>
        <v>2035</v>
      </c>
      <c r="AS9" s="1016" cm="1" t="str">
        <f t="array" ref="AS9:AS9">AS6</f>
        <v>2026</v>
      </c>
      <c r="AT9" s="1016" cm="1" t="str">
        <f t="array" ref="AT9:AT9">AT6</f>
        <v>2027</v>
      </c>
      <c r="AU9" s="1016" cm="1" t="str">
        <f t="array" ref="AU9:AU9">AU6</f>
        <v>2028</v>
      </c>
      <c r="AV9" s="1016" cm="1" t="str">
        <f t="array" ref="AV9:AV9">AV6</f>
        <v>2029</v>
      </c>
      <c r="AW9" s="1016" cm="1" t="str">
        <f t="array" ref="AW9:AW9">AW6</f>
        <v>2030</v>
      </c>
      <c r="AX9" s="1016" cm="1" t="str">
        <f t="array" ref="AX9:AX9">AX6</f>
        <v>2031</v>
      </c>
      <c r="AY9" s="1016" cm="1" t="str">
        <f t="array" ref="AY9:AY9">AY6</f>
        <v>2032</v>
      </c>
      <c r="AZ9" s="1016" cm="1" t="str">
        <f t="array" ref="AZ9:AZ9">AZ6</f>
        <v>2033</v>
      </c>
      <c r="BA9" s="1016" cm="1" t="str">
        <f t="array" ref="BA9:BA9">BA6</f>
        <v>2034</v>
      </c>
      <c r="BB9" s="1016" cm="1" t="str">
        <f t="array" ref="BB9:BB9">BB6</f>
        <v>2035</v>
      </c>
    </row>
    <row s="1374" customFormat="1" customHeight="1" ht="11.25" hidden="1">
      <c r="A10" s="992" t="s">
        <v>355</v>
      </c>
      <c r="B10" s="1014"/>
      <c r="AE10" s="1016" cm="1" t="str">
        <f t="array" ref="AE10:AE10">AE25</f>
        <v>Принято органом регулирования</v>
      </c>
      <c r="AF10" s="1016" cm="1" t="str">
        <f t="array" ref="AF10:AF10">AF25</f>
        <v>Факт по данным организации</v>
      </c>
      <c r="AG10" s="1016" cm="1" t="str">
        <f t="array" ref="AG10:AG10">AG25</f>
        <v>Факт, принятый органом регулирования</v>
      </c>
      <c r="AH10" s="1016" cm="1" t="str">
        <f t="array" ref="AH10:AH10">AH25</f>
        <v>Принято органом регулирования</v>
      </c>
      <c r="AI10" s="1016" cm="1" t="str">
        <f t="array" ref="AI10:AI10">AI25</f>
        <v>Предложение организации</v>
      </c>
      <c r="AJ10" s="1016" cm="1" t="str">
        <f t="array" ref="AJ10:AJ10">AJ25</f>
        <v>Предложение организации</v>
      </c>
      <c r="AK10" s="1016" cm="1" t="str">
        <f t="array" ref="AK10:AK10">AK25</f>
        <v>Предложение организации</v>
      </c>
      <c r="AL10" s="1016" cm="1" t="str">
        <f t="array" ref="AL10:AL10">AL25</f>
        <v>Предложение организации</v>
      </c>
      <c r="AM10" s="1016" cm="1" t="str">
        <f t="array" ref="AM10:AM10">AM25</f>
        <v>Предложение организации</v>
      </c>
      <c r="AN10" s="1016" cm="1" t="str">
        <f t="array" ref="AN10:AN10">AN25</f>
        <v>Предложение организации</v>
      </c>
      <c r="AO10" s="1016" cm="1" t="str">
        <f t="array" ref="AO10:AO10">AO25</f>
        <v>Предложение организации</v>
      </c>
      <c r="AP10" s="1016" cm="1" t="str">
        <f t="array" ref="AP10:AP10">AP25</f>
        <v>Предложение организации</v>
      </c>
      <c r="AQ10" s="1016" cm="1" t="str">
        <f t="array" ref="AQ10:AQ10">AQ25</f>
        <v>Предложение организации</v>
      </c>
      <c r="AR10" s="1016" cm="1" t="str">
        <f t="array" ref="AR10:AR10">AR25</f>
        <v>Предложение организации</v>
      </c>
      <c r="AS10" s="1016" cm="1" t="str">
        <f t="array" ref="AS10:AS10">AS25</f>
        <v>Принято органом регулирования</v>
      </c>
      <c r="AT10" s="1016" cm="1" t="str">
        <f t="array" ref="AT10:AT10">AT25</f>
        <v>Принято органом регулирования</v>
      </c>
      <c r="AU10" s="1016" cm="1" t="str">
        <f t="array" ref="AU10:AU10">AU25</f>
        <v>Принято органом регулирования</v>
      </c>
      <c r="AV10" s="1016" cm="1" t="str">
        <f t="array" ref="AV10:AV10">AV25</f>
        <v>Принято органом регулирования</v>
      </c>
      <c r="AW10" s="1016" cm="1" t="str">
        <f t="array" ref="AW10:AW10">AW25</f>
        <v>Принято органом регулирования</v>
      </c>
      <c r="AX10" s="1016" cm="1" t="str">
        <f t="array" ref="AX10:AX10">AX25</f>
        <v>Принято органом регулирования</v>
      </c>
      <c r="AY10" s="1016" cm="1" t="str">
        <f t="array" ref="AY10:AY10">AY25</f>
        <v>Принято органом регулирования</v>
      </c>
      <c r="AZ10" s="1016" cm="1" t="str">
        <f t="array" ref="AZ10:AZ10">AZ25</f>
        <v>Принято органом регулирования</v>
      </c>
      <c r="BA10" s="1016" cm="1" t="str">
        <f t="array" ref="BA10:BA10">BA25</f>
        <v>Принято органом регулирования</v>
      </c>
      <c r="BB10" s="1016" cm="1" t="str">
        <f t="array" ref="BB10:BB10">BB25</f>
        <v>Принято органом регулирования</v>
      </c>
    </row>
    <row s="1374" customFormat="1" customHeight="1" ht="11.25" hidden="1">
      <c r="A11" s="992" t="s">
        <v>356</v>
      </c>
      <c r="B11" s="1014"/>
      <c r="AE11" s="1016"/>
      <c r="AI11" s="1374"/>
      <c r="AJ11" s="1374"/>
      <c r="AK11" s="1374"/>
      <c r="AL11" s="1374"/>
      <c r="AM11" s="1374"/>
      <c r="AN11" s="1374"/>
      <c r="AO11" s="1374"/>
      <c r="AP11" s="1374"/>
      <c r="AQ11" s="1374"/>
      <c r="AR11" s="1374"/>
      <c r="AS11" s="1374"/>
      <c r="AT11" s="1374"/>
      <c r="AU11" s="1374"/>
      <c r="AV11" s="1374"/>
      <c r="AW11" s="1374"/>
      <c r="AX11" s="1374"/>
      <c r="AY11" s="1374"/>
      <c r="AZ11" s="1374"/>
      <c r="BA11" s="1374"/>
      <c r="BB11" s="1374"/>
      <c r="BC11" s="1015" cm="1" t="str">
        <f t="array" ref="BC11:BC11">BC24</f>
        <v>Ссылка на правовую норму (основание для принятия показателя в расчет тарифа)</v>
      </c>
    </row>
    <row customHeight="1" ht="11.25" hidden="1">
      <c r="AI12" s="1363"/>
      <c r="AJ12" s="1363"/>
      <c r="AK12" s="1363"/>
      <c r="AL12" s="1363"/>
      <c r="AM12" s="1363"/>
      <c r="AN12" s="1363"/>
      <c r="AO12" s="1363"/>
      <c r="AP12" s="1363"/>
      <c r="AQ12" s="1363"/>
      <c r="AR12" s="1363"/>
      <c r="AS12" s="1363"/>
      <c r="AT12" s="1363"/>
      <c r="AU12" s="1363"/>
      <c r="AV12" s="1363"/>
      <c r="AW12" s="1363"/>
      <c r="AX12" s="1363"/>
      <c r="AY12" s="1363"/>
      <c r="AZ12" s="1363"/>
      <c r="BA12" s="1363"/>
      <c r="BB12" s="1363"/>
    </row>
    <row customHeight="1" ht="11.25" hidden="1">
      <c r="AI13" s="64"/>
      <c r="AJ13" s="64"/>
      <c r="AK13" s="64"/>
      <c r="AL13" s="64"/>
      <c r="AM13" s="64"/>
      <c r="AN13" s="64"/>
      <c r="AO13" s="64"/>
      <c r="AP13" s="64"/>
      <c r="AQ13" s="64"/>
      <c r="AR13" s="64"/>
      <c r="AS13" s="64"/>
      <c r="AT13" s="64"/>
      <c r="AU13" s="64"/>
      <c r="AV13" s="64"/>
      <c r="AW13" s="64"/>
      <c r="AX13" s="64"/>
      <c r="AY13" s="64"/>
      <c r="AZ13" s="64"/>
      <c r="BA13" s="64"/>
      <c r="BB13" s="64"/>
    </row>
    <row customHeight="1" ht="11.25" hidden="1">
      <c r="AI14" s="64"/>
      <c r="AJ14" s="64"/>
      <c r="AK14" s="64"/>
      <c r="AL14" s="64"/>
      <c r="AM14" s="64"/>
      <c r="AN14" s="64"/>
      <c r="AO14" s="64"/>
      <c r="AP14" s="64"/>
      <c r="AQ14" s="64"/>
      <c r="AR14" s="64"/>
      <c r="AS14" s="64"/>
      <c r="AT14" s="64"/>
      <c r="AU14" s="64"/>
      <c r="AV14" s="64"/>
      <c r="AW14" s="64"/>
      <c r="AX14" s="64"/>
      <c r="AY14" s="64"/>
      <c r="AZ14" s="64"/>
      <c r="BA14" s="64"/>
      <c r="BB14" s="64"/>
    </row>
    <row customHeight="1" ht="11.25" hidden="1">
      <c r="AI15" s="64"/>
      <c r="AJ15" s="64"/>
      <c r="AK15" s="64"/>
      <c r="AL15" s="64"/>
      <c r="AM15" s="64"/>
      <c r="AN15" s="64"/>
      <c r="AO15" s="64"/>
      <c r="AP15" s="64"/>
      <c r="AQ15" s="64"/>
      <c r="AR15" s="64"/>
      <c r="AS15" s="64"/>
      <c r="AT15" s="64"/>
      <c r="AU15" s="64"/>
      <c r="AV15" s="64"/>
      <c r="AW15" s="64"/>
      <c r="AX15" s="64"/>
      <c r="AY15" s="64"/>
      <c r="AZ15" s="64"/>
      <c r="BA15" s="64"/>
      <c r="BB15" s="64"/>
    </row>
    <row customHeight="1" ht="11.25" hidden="1">
      <c r="AI16" s="64"/>
      <c r="AJ16" s="64"/>
      <c r="AK16" s="64"/>
      <c r="AL16" s="64"/>
      <c r="AM16" s="64"/>
      <c r="AN16" s="64"/>
      <c r="AO16" s="64"/>
      <c r="AP16" s="64"/>
      <c r="AQ16" s="64"/>
      <c r="AR16" s="64"/>
      <c r="AS16" s="64"/>
      <c r="AT16" s="64"/>
      <c r="AU16" s="64"/>
      <c r="AV16" s="64"/>
      <c r="AW16" s="64"/>
      <c r="AX16" s="64"/>
      <c r="AY16" s="64"/>
      <c r="AZ16" s="64"/>
      <c r="BA16" s="64"/>
      <c r="BB16" s="64"/>
    </row>
    <row customHeight="1" ht="11.25" hidden="1">
      <c r="AI17" s="1363"/>
      <c r="AJ17" s="1363"/>
      <c r="AK17" s="1363"/>
      <c r="AL17" s="1363"/>
      <c r="AM17" s="1363"/>
      <c r="AN17" s="1363"/>
      <c r="AO17" s="1363"/>
      <c r="AP17" s="1363"/>
      <c r="AQ17" s="1363"/>
      <c r="AR17" s="1363"/>
      <c r="AS17" s="1363"/>
      <c r="AT17" s="1363"/>
      <c r="AU17" s="1363"/>
      <c r="AV17" s="1363"/>
      <c r="AW17" s="1363"/>
      <c r="AX17" s="1363"/>
      <c r="AY17" s="1363"/>
      <c r="AZ17" s="1363"/>
      <c r="BA17" s="1363"/>
      <c r="BB17" s="1363"/>
    </row>
    <row customHeight="1" ht="11.25" hidden="1">
      <c r="AI18" s="1363"/>
      <c r="AJ18" s="1363"/>
      <c r="AK18" s="1363"/>
      <c r="AL18" s="1363"/>
      <c r="AM18" s="1363"/>
      <c r="AN18" s="1363"/>
      <c r="AO18" s="1363"/>
      <c r="AP18" s="1363"/>
      <c r="AQ18" s="1363"/>
      <c r="AR18" s="1363"/>
      <c r="AS18" s="1363"/>
      <c r="AT18" s="1363"/>
      <c r="AU18" s="1363"/>
      <c r="AV18" s="1363"/>
      <c r="AW18" s="1363"/>
      <c r="AX18" s="1363"/>
      <c r="AY18" s="1363"/>
      <c r="AZ18" s="1363"/>
      <c r="BA18" s="1363"/>
      <c r="BB18" s="1363"/>
    </row>
    <row customHeight="1" ht="11.25" hidden="1">
      <c r="AI19" s="1363"/>
      <c r="AJ19" s="1363"/>
      <c r="AK19" s="1363"/>
      <c r="AL19" s="1363"/>
      <c r="AM19" s="1363"/>
      <c r="AN19" s="1363"/>
      <c r="AO19" s="1363"/>
      <c r="AP19" s="1363"/>
      <c r="AQ19" s="1363"/>
      <c r="AR19" s="1363"/>
      <c r="AS19" s="1363"/>
      <c r="AT19" s="1363"/>
      <c r="AU19" s="1363"/>
      <c r="AV19" s="1363"/>
      <c r="AW19" s="1363"/>
      <c r="AX19" s="1363"/>
      <c r="AY19" s="1363"/>
      <c r="AZ19" s="1363"/>
      <c r="BA19" s="1363"/>
      <c r="BB19" s="1363"/>
    </row>
    <row customHeight="1" ht="11.25" hidden="1">
      <c r="AI20" s="1363"/>
      <c r="AJ20" s="1363"/>
      <c r="AK20" s="1363"/>
      <c r="AL20" s="1363"/>
      <c r="AM20" s="1363"/>
      <c r="AN20" s="1363"/>
      <c r="AO20" s="1363"/>
      <c r="AP20" s="1363"/>
      <c r="AQ20" s="1363"/>
      <c r="AR20" s="1363"/>
      <c r="AS20" s="1363"/>
      <c r="AT20" s="1363"/>
      <c r="AU20" s="1363"/>
      <c r="AV20" s="1363"/>
      <c r="AW20" s="1363"/>
      <c r="AX20" s="1363"/>
      <c r="AY20" s="1363"/>
      <c r="AZ20" s="1363"/>
      <c r="BA20" s="1363"/>
      <c r="BB20" s="1363"/>
    </row>
    <row customHeight="1" ht="14.625">
      <c r="E21" s="652">
        <v>15</v>
      </c>
      <c r="AA21" s="397"/>
      <c r="AC21" s="332" cm="1" t="str">
        <f t="array" ref="AC21:AC21">tpl_title</f>
        <v>Кемеровская область / 2026 / ОАО «СКЭК» (ИНН:4205153492, КПП:420501001) / ДПР: 2026-2026</v>
      </c>
      <c r="AI21" s="1363"/>
      <c r="AJ21" s="1363"/>
      <c r="AK21" s="1363"/>
      <c r="AL21" s="1363"/>
      <c r="AM21" s="1363"/>
      <c r="AN21" s="1363"/>
      <c r="AO21" s="1363"/>
      <c r="AP21" s="1363"/>
      <c r="AQ21" s="1363"/>
      <c r="AR21" s="1363"/>
      <c r="AS21" s="1363"/>
      <c r="AT21" s="1363"/>
      <c r="AU21" s="1363"/>
      <c r="AV21" s="1363"/>
      <c r="AW21" s="1363"/>
      <c r="AX21" s="1363"/>
      <c r="AY21" s="1363"/>
      <c r="AZ21" s="1363"/>
      <c r="BA21" s="1363"/>
      <c r="BB21" s="1363"/>
    </row>
    <row s="1363" customFormat="1" customHeight="1" ht="19.5">
      <c r="B22" s="400"/>
      <c r="E22" s="593">
        <v>20</v>
      </c>
      <c r="AB22" s="286" t="s">
        <v>57</v>
      </c>
      <c r="AC22" s="183"/>
      <c r="AD22" s="183"/>
      <c r="AE22" s="183"/>
      <c r="AF22" s="183"/>
      <c r="AG22" s="183"/>
      <c r="AH22" s="183"/>
      <c r="AI22" s="183"/>
      <c r="AJ22" s="183"/>
      <c r="AK22" s="183"/>
      <c r="AL22" s="183"/>
      <c r="AM22" s="183"/>
      <c r="AN22" s="183"/>
      <c r="AO22" s="183"/>
      <c r="AP22" s="183"/>
      <c r="AQ22" s="183"/>
      <c r="AR22" s="183"/>
      <c r="AS22" s="183"/>
      <c r="AT22" s="183"/>
      <c r="AU22" s="183"/>
      <c r="AV22" s="183"/>
      <c r="AW22" s="183"/>
      <c r="AX22" s="183"/>
      <c r="AY22" s="183"/>
      <c r="AZ22" s="183"/>
      <c r="BA22" s="183"/>
      <c r="BB22" s="183"/>
      <c r="BC22" s="183"/>
      <c r="BF22" s="974"/>
    </row>
    <row s="1363" customFormat="1" customHeight="1" ht="10.96875">
      <c r="B23" s="400"/>
      <c r="E23" s="593">
        <v>11.25</v>
      </c>
      <c r="AB23" s="117"/>
      <c r="AE23" s="98"/>
      <c r="AI23" s="1363"/>
      <c r="AJ23" s="1363"/>
      <c r="AK23" s="1363"/>
      <c r="AL23" s="1363"/>
      <c r="AM23" s="1363"/>
      <c r="AN23" s="1363"/>
      <c r="AO23" s="1363"/>
      <c r="AP23" s="1363"/>
      <c r="AQ23" s="1363"/>
      <c r="AR23" s="1363"/>
      <c r="AS23" s="1363"/>
      <c r="AT23" s="1363"/>
      <c r="AU23" s="1363"/>
      <c r="AV23" s="1363"/>
      <c r="AW23" s="1363"/>
      <c r="AX23" s="1363"/>
      <c r="AY23" s="1363"/>
      <c r="AZ23" s="1363"/>
      <c r="BA23" s="1363"/>
      <c r="BB23" s="1363"/>
      <c r="BF23" s="974"/>
    </row>
    <row s="1363" customFormat="1" customHeight="1" ht="14.625">
      <c r="B24" s="400"/>
      <c r="E24" s="593">
        <v>15</v>
      </c>
      <c r="AB24" s="1522" t="s">
        <v>21</v>
      </c>
      <c r="AC24" s="1522" t="s">
        <v>358</v>
      </c>
      <c r="AD24" s="1522" t="s">
        <v>940</v>
      </c>
      <c r="AE24" s="325" t="str">
        <f>god-2&amp;" год"</f>
        <v>2024 год</v>
      </c>
      <c r="AF24" s="1099" t="str">
        <f>god-2&amp;" год"</f>
        <v>2024 год</v>
      </c>
      <c r="AG24" s="325" t="str">
        <f>god-2&amp;" год"</f>
        <v>2024 год</v>
      </c>
      <c r="AH24" s="60" t="str">
        <f>god-1&amp;" год"</f>
        <v>2025 год</v>
      </c>
      <c r="AI24" s="1096" t="str">
        <f>god&amp;" год"</f>
        <v>2026 год</v>
      </c>
      <c r="AJ24" s="1096" t="str">
        <f>god+1&amp;" год"</f>
        <v>2027 год</v>
      </c>
      <c r="AK24" s="1096" t="str">
        <f>god+2&amp;" год"</f>
        <v>2028 год</v>
      </c>
      <c r="AL24" s="1096" t="str">
        <f>god+3&amp;" год"</f>
        <v>2029 год</v>
      </c>
      <c r="AM24" s="1096" t="str">
        <f>god+4&amp;" год"</f>
        <v>2030 год</v>
      </c>
      <c r="AN24" s="1096" t="str">
        <f>god+5&amp;" год"</f>
        <v>2031 год</v>
      </c>
      <c r="AO24" s="1096" t="str">
        <f>god+6&amp;" год"</f>
        <v>2032 год</v>
      </c>
      <c r="AP24" s="1096" t="str">
        <f>god+7&amp;" год"</f>
        <v>2033 год</v>
      </c>
      <c r="AQ24" s="1096" t="str">
        <f>god+8&amp;" год"</f>
        <v>2034 год</v>
      </c>
      <c r="AR24" s="1096" t="str">
        <f>god+9&amp;" год"</f>
        <v>2035 год</v>
      </c>
      <c r="AS24" s="58" t="str">
        <f>god&amp;" год"</f>
        <v>2026 год</v>
      </c>
      <c r="AT24" s="58" t="str">
        <f>god+1&amp;" год"</f>
        <v>2027 год</v>
      </c>
      <c r="AU24" s="58" t="str">
        <f>god+2&amp;" год"</f>
        <v>2028 год</v>
      </c>
      <c r="AV24" s="58" t="str">
        <f>god+3&amp;" год"</f>
        <v>2029 год</v>
      </c>
      <c r="AW24" s="58" t="str">
        <f>god+4&amp;" год"</f>
        <v>2030 год</v>
      </c>
      <c r="AX24" s="58" t="str">
        <f>god+5&amp;" год"</f>
        <v>2031 год</v>
      </c>
      <c r="AY24" s="58" t="str">
        <f>god+6&amp;" год"</f>
        <v>2032 год</v>
      </c>
      <c r="AZ24" s="58" t="str">
        <f>god+7&amp;" год"</f>
        <v>2033 год</v>
      </c>
      <c r="BA24" s="58" t="str">
        <f>god+8&amp;" год"</f>
        <v>2034 год</v>
      </c>
      <c r="BB24" s="58" t="str">
        <f>god+9&amp;" год"</f>
        <v>2035 год</v>
      </c>
      <c r="BC24" s="1535" t="s">
        <v>500</v>
      </c>
      <c r="BF24" s="974"/>
    </row>
    <row s="1363" customFormat="1" customHeight="1" ht="48.75">
      <c r="B25" s="400"/>
      <c r="E25" s="593">
        <v>50</v>
      </c>
      <c r="AB25" s="1522"/>
      <c r="AC25" s="1522"/>
      <c r="AD25" s="1522"/>
      <c r="AE25" s="58" t="s">
        <v>351</v>
      </c>
      <c r="AF25" s="1096" t="s">
        <v>424</v>
      </c>
      <c r="AG25" s="58" t="s">
        <v>425</v>
      </c>
      <c r="AH25" s="58" t="s">
        <v>351</v>
      </c>
      <c r="AI25" s="1100" t="s">
        <v>352</v>
      </c>
      <c r="AJ25" s="1100" t="s">
        <v>352</v>
      </c>
      <c r="AK25" s="1100" t="s">
        <v>352</v>
      </c>
      <c r="AL25" s="1100" t="s">
        <v>352</v>
      </c>
      <c r="AM25" s="1100" t="s">
        <v>352</v>
      </c>
      <c r="AN25" s="1100" t="s">
        <v>352</v>
      </c>
      <c r="AO25" s="1100" t="s">
        <v>352</v>
      </c>
      <c r="AP25" s="1100" t="s">
        <v>352</v>
      </c>
      <c r="AQ25" s="1100" t="s">
        <v>352</v>
      </c>
      <c r="AR25" s="1100" t="s">
        <v>352</v>
      </c>
      <c r="AS25" s="326" t="s">
        <v>351</v>
      </c>
      <c r="AT25" s="326" t="s">
        <v>351</v>
      </c>
      <c r="AU25" s="326" t="s">
        <v>351</v>
      </c>
      <c r="AV25" s="326" t="s">
        <v>351</v>
      </c>
      <c r="AW25" s="326" t="s">
        <v>351</v>
      </c>
      <c r="AX25" s="326" t="s">
        <v>351</v>
      </c>
      <c r="AY25" s="326" t="s">
        <v>351</v>
      </c>
      <c r="AZ25" s="326" t="s">
        <v>351</v>
      </c>
      <c r="BA25" s="326" t="s">
        <v>351</v>
      </c>
      <c r="BB25" s="326" t="s">
        <v>351</v>
      </c>
      <c r="BC25" s="1535"/>
      <c r="BF25" s="974"/>
    </row>
    <row s="1624" customFormat="1" customHeight="1" ht="11.25" hidden="1">
      <c r="A26" s="472"/>
      <c r="B26" s="634"/>
      <c r="C26" s="472"/>
      <c r="D26" s="472"/>
      <c r="E26" s="635">
        <v>0</v>
      </c>
      <c r="F26" s="630" t="s">
        <v>941</v>
      </c>
      <c r="G26" s="472"/>
      <c r="H26" s="472"/>
      <c r="I26" s="472"/>
      <c r="J26" s="472"/>
      <c r="K26" s="472"/>
      <c r="L26" s="472"/>
      <c r="M26" s="472"/>
      <c r="N26" s="472"/>
      <c r="O26" s="472"/>
      <c r="P26" s="472"/>
      <c r="Q26" s="472"/>
      <c r="R26" s="472"/>
      <c r="S26" s="472"/>
      <c r="T26" s="472"/>
      <c r="U26" s="472"/>
      <c r="V26" s="472"/>
      <c r="W26" s="472"/>
      <c r="X26" s="472"/>
      <c r="Y26" s="472"/>
      <c r="Z26" s="472"/>
      <c r="AC26" s="66"/>
      <c r="AD26" s="66"/>
      <c r="AE26" s="66"/>
      <c r="AF26" s="66"/>
      <c r="AI26" s="1624"/>
      <c r="AJ26" s="1624"/>
      <c r="AK26" s="1624"/>
      <c r="AL26" s="1624"/>
      <c r="AM26" s="1624"/>
      <c r="AN26" s="1624"/>
      <c r="AO26" s="1624"/>
      <c r="AP26" s="1624"/>
      <c r="AQ26" s="67"/>
      <c r="AR26" s="1624"/>
      <c r="AS26" s="1624"/>
      <c r="AT26" s="1624"/>
      <c r="AU26" s="1624"/>
      <c r="AV26" s="1624"/>
      <c r="AW26" s="1624"/>
      <c r="AX26" s="1624"/>
      <c r="AY26" s="1624"/>
      <c r="AZ26" s="1624"/>
      <c r="BA26" s="1624"/>
      <c r="BB26" s="1624"/>
      <c r="BF26" s="981"/>
    </row>
    <row s="1363" customFormat="1" customHeight="1" ht="14.625" hidden="1">
      <c r="A27" s="1363"/>
      <c r="B27" s="400"/>
      <c r="C27" s="1363"/>
      <c r="D27" s="1363"/>
      <c r="E27" s="593">
        <v>15</v>
      </c>
      <c r="F27" s="64" cm="1" t="str">
        <f t="array" ref="F27:F27">X27</f>
        <v>0</v>
      </c>
      <c r="G27" s="1363"/>
      <c r="H27" s="1363"/>
      <c r="I27" s="1363"/>
      <c r="J27" s="1363"/>
      <c r="K27" s="1363"/>
      <c r="L27" s="1363"/>
      <c r="M27" s="1363"/>
      <c r="N27" s="1363"/>
      <c r="O27" s="1363"/>
      <c r="P27" s="1363"/>
      <c r="Q27" s="1363"/>
      <c r="R27" s="1363"/>
      <c r="S27" s="1363"/>
      <c r="T27" s="438">
        <f>X27&gt;0</f>
        <v>0</v>
      </c>
      <c r="U27" s="1363"/>
      <c r="V27" s="88" t="s">
        <v>267</v>
      </c>
      <c r="W27" s="1363"/>
      <c r="X27" s="1511">
        <v>0</v>
      </c>
      <c r="Y27" s="1363"/>
      <c r="Z27" s="1541"/>
      <c r="AA27" s="1363"/>
      <c r="AB27" s="188" cm="1" t="str">
        <f t="array" ref="AB27:AB27">INDEX('Общие сведения'!$AG$179:$AG$208,MATCH($X27,'Общие сведения'!$Z$179:$Z$208,0))</f>
        <v>Тариф 0 () - тариф на транспортировку сточных вод</v>
      </c>
      <c r="AC27" s="146"/>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76"/>
      <c r="BD27" s="1363"/>
      <c r="BE27" s="1363"/>
      <c r="BF27" s="974"/>
    </row>
    <row s="1363" customFormat="1" customHeight="1" ht="71.6625" hidden="1">
      <c r="A28" s="1363"/>
      <c r="B28" s="400"/>
      <c r="C28" s="1363"/>
      <c r="D28" s="1363"/>
      <c r="E28" s="593">
        <v>73.5</v>
      </c>
      <c r="F28" s="50" cm="1" t="str">
        <f t="array" ref="F28:F28">OFFSET(E28,-1,1)</f>
        <v>0</v>
      </c>
      <c r="G28" s="467" t="s">
        <v>942</v>
      </c>
      <c r="H28" s="88" t="s">
        <v>321</v>
      </c>
      <c r="I28" s="1363"/>
      <c r="J28" s="1363"/>
      <c r="K28" s="90" t="str">
        <f>F28&amp;"komm"</f>
        <v>0komm</v>
      </c>
      <c r="L28" s="895" cm="1" t="str">
        <f t="array" ref="L28:L28">BC28</f>
        <v>0</v>
      </c>
      <c r="M28" s="1363"/>
      <c r="N28" s="1363"/>
      <c r="O28" s="1363"/>
      <c r="P28" s="1363"/>
      <c r="Q28" s="1363"/>
      <c r="R28" s="1363"/>
      <c r="S28" s="1363"/>
      <c r="T28" s="438" cm="1" t="str">
        <f t="array" ref="T28:T28">T27</f>
        <v>false</v>
      </c>
      <c r="U28" s="1363"/>
      <c r="V28" s="1363"/>
      <c r="W28" s="1363"/>
      <c r="X28" s="1511"/>
      <c r="Y28" s="1363"/>
      <c r="Z28" s="1541"/>
      <c r="AA28" s="1363"/>
      <c r="AB28" s="184" t="s">
        <v>281</v>
      </c>
      <c r="AC28" s="185" t="s">
        <v>943</v>
      </c>
      <c r="AD28" s="171" t="s">
        <v>789</v>
      </c>
      <c r="AE28" s="749">
        <f>AE29+AE32+AE33+AE34</f>
        <v>0</v>
      </c>
      <c r="AF28" s="749">
        <f>AF29+AF32+AF33+AF34</f>
        <v>0</v>
      </c>
      <c r="AG28" s="749">
        <f>AG29+AG32+AG33+AG34</f>
        <v>0</v>
      </c>
      <c r="AH28" s="749">
        <f>AH29+AH32+AH33+AH34</f>
        <v>0</v>
      </c>
      <c r="AI28" s="749">
        <f>AI29+AI32+AI33+AI34</f>
        <v>0</v>
      </c>
      <c r="AJ28" s="749">
        <f>AJ29+AJ32+AJ33+AJ34</f>
        <v>0</v>
      </c>
      <c r="AK28" s="749">
        <f>AK29+AK32+AK33+AK34</f>
        <v>0</v>
      </c>
      <c r="AL28" s="749">
        <f>AL29+AL32+AL33+AL34</f>
        <v>0</v>
      </c>
      <c r="AM28" s="749">
        <f>AM29+AM32+AM33+AM34</f>
        <v>0</v>
      </c>
      <c r="AN28" s="749">
        <f>AN29+AN32+AN33+AN34</f>
        <v>0</v>
      </c>
      <c r="AO28" s="749">
        <f>AO29+AO32+AO33+AO34</f>
        <v>0</v>
      </c>
      <c r="AP28" s="749">
        <f>AP29+AP32+AP33+AP34</f>
        <v>0</v>
      </c>
      <c r="AQ28" s="749">
        <f>AQ29+AQ32+AQ33+AQ34</f>
        <v>0</v>
      </c>
      <c r="AR28" s="749">
        <f>AR29+AR32+AR33+AR34</f>
        <v>0</v>
      </c>
      <c r="AS28" s="749">
        <f>AS29+AS32+AS33+AS34</f>
        <v>0</v>
      </c>
      <c r="AT28" s="749">
        <f>AT29+AT32+AT33+AT34</f>
        <v>0</v>
      </c>
      <c r="AU28" s="749">
        <f>AU29+AU32+AU33+AU34</f>
        <v>0</v>
      </c>
      <c r="AV28" s="749">
        <f>AV29+AV32+AV33+AV34</f>
        <v>0</v>
      </c>
      <c r="AW28" s="749">
        <f>AW29+AW32+AW33+AW34</f>
        <v>0</v>
      </c>
      <c r="AX28" s="749">
        <f>AX29+AX32+AX33+AX34</f>
        <v>0</v>
      </c>
      <c r="AY28" s="749">
        <f>AY29+AY32+AY33+AY34</f>
        <v>0</v>
      </c>
      <c r="AZ28" s="749">
        <f>AZ29+AZ32+AZ33+AZ34</f>
        <v>0</v>
      </c>
      <c r="BA28" s="749">
        <f>BA29+BA32+BA33+BA34</f>
        <v>0</v>
      </c>
      <c r="BB28" s="749">
        <f>BB29+BB32+BB33+BB34</f>
        <v>0</v>
      </c>
      <c r="BC28" s="1880"/>
      <c r="BD28" s="1363"/>
      <c r="BE28" s="1363"/>
      <c r="BF28" s="1017" t="s">
        <v>944</v>
      </c>
    </row>
    <row s="1363" customFormat="1" customHeight="1" ht="14.625" hidden="1">
      <c r="A29" s="1363"/>
      <c r="B29" s="400"/>
      <c r="C29" s="1363"/>
      <c r="D29" s="88" t="s">
        <v>945</v>
      </c>
      <c r="E29" s="593">
        <v>15</v>
      </c>
      <c r="F29" s="50" cm="1" t="str">
        <f t="array" ref="F29:F29">OFFSET(E29,-1,1)</f>
        <v>0</v>
      </c>
      <c r="G29" s="1363"/>
      <c r="H29" s="88" t="s">
        <v>434</v>
      </c>
      <c r="I29" s="1363"/>
      <c r="J29" s="1363"/>
      <c r="K29" s="1363"/>
      <c r="L29" s="1363"/>
      <c r="M29" s="1363"/>
      <c r="N29" s="1363"/>
      <c r="O29" s="1363"/>
      <c r="P29" s="1363"/>
      <c r="Q29" s="1363"/>
      <c r="R29" s="1363"/>
      <c r="S29" s="1363"/>
      <c r="T29" s="438" cm="1" t="str">
        <f t="array" ref="T29:T29">T28</f>
        <v>false</v>
      </c>
      <c r="U29" s="1363"/>
      <c r="V29" s="1363"/>
      <c r="W29" s="1363"/>
      <c r="X29" s="1511"/>
      <c r="Y29" s="1363"/>
      <c r="Z29" s="1541"/>
      <c r="AA29" s="1363"/>
      <c r="AB29" s="186" t="s">
        <v>844</v>
      </c>
      <c r="AC29" s="738" t="s">
        <v>945</v>
      </c>
      <c r="AD29" s="906" t="s">
        <v>789</v>
      </c>
      <c r="AE29" s="2409">
        <f>SUM(AE30:AE31)</f>
        <v>0</v>
      </c>
      <c r="AF29" s="2409">
        <f>SUM(AF30:AF31)</f>
        <v>0</v>
      </c>
      <c r="AG29" s="2409">
        <f>SUM(AG30:AG31)</f>
        <v>0</v>
      </c>
      <c r="AH29" s="2409">
        <f>SUM(AH30:AH31)</f>
        <v>0</v>
      </c>
      <c r="AI29" s="748">
        <f>SUM(AI30:AI31)</f>
        <v>0</v>
      </c>
      <c r="AJ29" s="2409">
        <f>SUM(AJ30:AJ31)</f>
        <v>0</v>
      </c>
      <c r="AK29" s="2409">
        <f>SUM(AK30:AK31)</f>
        <v>0</v>
      </c>
      <c r="AL29" s="2409">
        <f>SUM(AL30:AL31)</f>
        <v>0</v>
      </c>
      <c r="AM29" s="2409">
        <f>SUM(AM30:AM31)</f>
        <v>0</v>
      </c>
      <c r="AN29" s="2409">
        <f>SUM(AN30:AN31)</f>
        <v>0</v>
      </c>
      <c r="AO29" s="2409">
        <f>SUM(AO30:AO31)</f>
        <v>0</v>
      </c>
      <c r="AP29" s="2409">
        <f>SUM(AP30:AP31)</f>
        <v>0</v>
      </c>
      <c r="AQ29" s="2409">
        <f>SUM(AQ30:AQ31)</f>
        <v>0</v>
      </c>
      <c r="AR29" s="2409">
        <f>SUM(AR30:AR31)</f>
        <v>0</v>
      </c>
      <c r="AS29" s="748">
        <f>SUM(AS30:AS31)</f>
        <v>0</v>
      </c>
      <c r="AT29" s="2409">
        <f>SUM(AT30:AT31)</f>
        <v>0</v>
      </c>
      <c r="AU29" s="2409">
        <f>SUM(AU30:AU31)</f>
        <v>0</v>
      </c>
      <c r="AV29" s="2409">
        <f>SUM(AV30:AV31)</f>
        <v>0</v>
      </c>
      <c r="AW29" s="2409">
        <f>SUM(AW30:AW31)</f>
        <v>0</v>
      </c>
      <c r="AX29" s="2409">
        <f>SUM(AX30:AX31)</f>
        <v>0</v>
      </c>
      <c r="AY29" s="2409">
        <f>SUM(AY30:AY31)</f>
        <v>0</v>
      </c>
      <c r="AZ29" s="2409">
        <f>SUM(AZ30:AZ31)</f>
        <v>0</v>
      </c>
      <c r="BA29" s="2409">
        <f>SUM(BA30:BA31)</f>
        <v>0</v>
      </c>
      <c r="BB29" s="2409">
        <f>SUM(BB30:BB31)</f>
        <v>0</v>
      </c>
      <c r="BC29" s="1880"/>
      <c r="BD29" s="1363"/>
      <c r="BE29" s="1363"/>
      <c r="BF29" s="1017" t="s">
        <v>946</v>
      </c>
    </row>
    <row s="1363" customFormat="1" customHeight="1" ht="23.400000000000002" hidden="1">
      <c r="A30" s="1363"/>
      <c r="B30" s="400"/>
      <c r="C30" s="1363"/>
      <c r="D30" s="1363"/>
      <c r="E30" s="593">
        <v>24</v>
      </c>
      <c r="F30" s="50" cm="1" t="str">
        <f t="array" ref="F30:F30">OFFSET(E30,-1,1)</f>
        <v>0</v>
      </c>
      <c r="G30" s="1363"/>
      <c r="H30" s="88" t="s">
        <v>947</v>
      </c>
      <c r="I30" s="1363"/>
      <c r="J30" s="1363"/>
      <c r="K30" s="1363"/>
      <c r="L30" s="1363"/>
      <c r="M30" s="1363"/>
      <c r="N30" s="1363"/>
      <c r="O30" s="1363"/>
      <c r="P30" s="1363"/>
      <c r="Q30" s="1363"/>
      <c r="R30" s="1363"/>
      <c r="S30" s="1363"/>
      <c r="T30" s="438" cm="1" t="str">
        <f t="array" ref="T30:T30">T29</f>
        <v>false</v>
      </c>
      <c r="U30" s="1363"/>
      <c r="V30" s="1363"/>
      <c r="W30" s="1363"/>
      <c r="X30" s="1511"/>
      <c r="Y30" s="1363"/>
      <c r="Z30" s="1541"/>
      <c r="AA30" s="1363"/>
      <c r="AB30" s="186" t="s">
        <v>948</v>
      </c>
      <c r="AC30" s="741" t="s">
        <v>949</v>
      </c>
      <c r="AD30" s="906" t="s">
        <v>789</v>
      </c>
      <c r="AE30" s="2409"/>
      <c r="AF30" s="2409"/>
      <c r="AG30" s="2409"/>
      <c r="AH30" s="2409"/>
      <c r="AI30" s="748"/>
      <c r="AJ30" s="2409"/>
      <c r="AK30" s="2409"/>
      <c r="AL30" s="2409"/>
      <c r="AM30" s="2409"/>
      <c r="AN30" s="2409"/>
      <c r="AO30" s="2409"/>
      <c r="AP30" s="2409"/>
      <c r="AQ30" s="2409"/>
      <c r="AR30" s="2409"/>
      <c r="AS30" s="748"/>
      <c r="AT30" s="2409"/>
      <c r="AU30" s="2409"/>
      <c r="AV30" s="2409"/>
      <c r="AW30" s="2409"/>
      <c r="AX30" s="2409"/>
      <c r="AY30" s="2409"/>
      <c r="AZ30" s="2409"/>
      <c r="BA30" s="2409"/>
      <c r="BB30" s="2409"/>
      <c r="BC30" s="1880"/>
      <c r="BD30" s="1363"/>
      <c r="BE30" s="1363"/>
      <c r="BF30" s="974" t="s">
        <v>950</v>
      </c>
    </row>
    <row s="1363" customFormat="1" customHeight="1" ht="14.625" hidden="1">
      <c r="A31" s="1363"/>
      <c r="B31" s="400"/>
      <c r="C31" s="1363"/>
      <c r="D31" s="1363"/>
      <c r="E31" s="593">
        <v>15</v>
      </c>
      <c r="F31" s="50" cm="1" t="str">
        <f t="array" ref="F31:F31">OFFSET(E31,-1,1)</f>
        <v>0</v>
      </c>
      <c r="G31" s="1363"/>
      <c r="H31" s="88" t="s">
        <v>951</v>
      </c>
      <c r="I31" s="1363"/>
      <c r="J31" s="1363"/>
      <c r="K31" s="1363"/>
      <c r="L31" s="1363"/>
      <c r="M31" s="1363"/>
      <c r="N31" s="1363"/>
      <c r="O31" s="1363"/>
      <c r="P31" s="1363"/>
      <c r="Q31" s="1363"/>
      <c r="R31" s="1363"/>
      <c r="S31" s="1363"/>
      <c r="T31" s="438" cm="1" t="str">
        <f t="array" ref="T31:T31">T30</f>
        <v>false</v>
      </c>
      <c r="U31" s="1363"/>
      <c r="V31" s="1363"/>
      <c r="W31" s="1363"/>
      <c r="X31" s="1511"/>
      <c r="Y31" s="1363"/>
      <c r="Z31" s="1541"/>
      <c r="AA31" s="1363"/>
      <c r="AB31" s="186" t="s">
        <v>952</v>
      </c>
      <c r="AC31" s="741" t="s">
        <v>953</v>
      </c>
      <c r="AD31" s="906" t="s">
        <v>789</v>
      </c>
      <c r="AE31" s="2409"/>
      <c r="AF31" s="2409"/>
      <c r="AG31" s="2409"/>
      <c r="AH31" s="2409"/>
      <c r="AI31" s="748"/>
      <c r="AJ31" s="2409"/>
      <c r="AK31" s="2409"/>
      <c r="AL31" s="2409"/>
      <c r="AM31" s="2409"/>
      <c r="AN31" s="2409"/>
      <c r="AO31" s="2409"/>
      <c r="AP31" s="2409"/>
      <c r="AQ31" s="2409"/>
      <c r="AR31" s="2409"/>
      <c r="AS31" s="748"/>
      <c r="AT31" s="2409"/>
      <c r="AU31" s="2409"/>
      <c r="AV31" s="2409"/>
      <c r="AW31" s="2409"/>
      <c r="AX31" s="2409"/>
      <c r="AY31" s="2409"/>
      <c r="AZ31" s="2409"/>
      <c r="BA31" s="2409"/>
      <c r="BB31" s="2409"/>
      <c r="BC31" s="1880"/>
      <c r="BD31" s="1363"/>
      <c r="BE31" s="1363"/>
      <c r="BF31" s="974" t="s">
        <v>954</v>
      </c>
    </row>
    <row s="1363" customFormat="1" customHeight="1" ht="14.625" hidden="1">
      <c r="A32" s="1363"/>
      <c r="B32" s="400"/>
      <c r="C32" s="1363"/>
      <c r="D32" s="88" t="s">
        <v>955</v>
      </c>
      <c r="E32" s="593">
        <v>15</v>
      </c>
      <c r="F32" s="50" cm="1" t="str">
        <f t="array" ref="F32:F32">OFFSET(E32,-1,1)</f>
        <v>0</v>
      </c>
      <c r="G32" s="1363"/>
      <c r="H32" s="88" t="s">
        <v>438</v>
      </c>
      <c r="I32" s="1363"/>
      <c r="J32" s="1363"/>
      <c r="K32" s="1363"/>
      <c r="L32" s="1363"/>
      <c r="M32" s="1363"/>
      <c r="N32" s="1363"/>
      <c r="O32" s="1363"/>
      <c r="P32" s="1363"/>
      <c r="Q32" s="1363"/>
      <c r="R32" s="1363"/>
      <c r="S32" s="1363"/>
      <c r="T32" s="438" cm="1" t="str">
        <f t="array" ref="T32:T32">T31</f>
        <v>false</v>
      </c>
      <c r="U32" s="1363"/>
      <c r="V32" s="1363"/>
      <c r="W32" s="1363"/>
      <c r="X32" s="1511"/>
      <c r="Y32" s="1363"/>
      <c r="Z32" s="1541"/>
      <c r="AA32" s="1363"/>
      <c r="AB32" s="186" t="s">
        <v>847</v>
      </c>
      <c r="AC32" s="907" t="s">
        <v>956</v>
      </c>
      <c r="AD32" s="906" t="s">
        <v>789</v>
      </c>
      <c r="AE32" s="2409"/>
      <c r="AF32" s="2409"/>
      <c r="AG32" s="2409"/>
      <c r="AH32" s="2409"/>
      <c r="AI32" s="748"/>
      <c r="AJ32" s="2409"/>
      <c r="AK32" s="2409"/>
      <c r="AL32" s="2409"/>
      <c r="AM32" s="2409"/>
      <c r="AN32" s="2409"/>
      <c r="AO32" s="2409"/>
      <c r="AP32" s="2409"/>
      <c r="AQ32" s="2409"/>
      <c r="AR32" s="2409"/>
      <c r="AS32" s="748"/>
      <c r="AT32" s="2409"/>
      <c r="AU32" s="2409"/>
      <c r="AV32" s="2409"/>
      <c r="AW32" s="2409"/>
      <c r="AX32" s="2409"/>
      <c r="AY32" s="2409"/>
      <c r="AZ32" s="2409"/>
      <c r="BA32" s="2409"/>
      <c r="BB32" s="2409"/>
      <c r="BC32" s="1880"/>
      <c r="BD32" s="1363"/>
      <c r="BE32" s="1363"/>
      <c r="BF32" s="974" t="s">
        <v>957</v>
      </c>
    </row>
    <row s="1363" customFormat="1" customHeight="1" ht="14.625" hidden="1">
      <c r="A33" s="1363"/>
      <c r="B33" s="400"/>
      <c r="C33" s="1363"/>
      <c r="D33" s="88" t="s">
        <v>958</v>
      </c>
      <c r="E33" s="593">
        <v>15</v>
      </c>
      <c r="F33" s="50" cm="1" t="str">
        <f t="array" ref="F33:F33">OFFSET(E33,-1,1)</f>
        <v>0</v>
      </c>
      <c r="G33" s="1363"/>
      <c r="H33" s="88" t="s">
        <v>441</v>
      </c>
      <c r="I33" s="1363"/>
      <c r="J33" s="1363"/>
      <c r="K33" s="1363"/>
      <c r="L33" s="1363"/>
      <c r="M33" s="1363"/>
      <c r="N33" s="1363"/>
      <c r="O33" s="1363"/>
      <c r="P33" s="1363"/>
      <c r="Q33" s="1363"/>
      <c r="R33" s="1363"/>
      <c r="S33" s="1363"/>
      <c r="T33" s="438" cm="1" t="str">
        <f t="array" ref="T33:T33">T32</f>
        <v>false</v>
      </c>
      <c r="U33" s="1363"/>
      <c r="V33" s="1363"/>
      <c r="W33" s="1363"/>
      <c r="X33" s="1511"/>
      <c r="Y33" s="1363"/>
      <c r="Z33" s="1541"/>
      <c r="AA33" s="1363"/>
      <c r="AB33" s="186" t="s">
        <v>850</v>
      </c>
      <c r="AC33" s="738" t="s">
        <v>959</v>
      </c>
      <c r="AD33" s="906" t="s">
        <v>789</v>
      </c>
      <c r="AE33" s="2409"/>
      <c r="AF33" s="2409"/>
      <c r="AG33" s="2409"/>
      <c r="AH33" s="2409"/>
      <c r="AI33" s="748"/>
      <c r="AJ33" s="2409"/>
      <c r="AK33" s="2409"/>
      <c r="AL33" s="2409"/>
      <c r="AM33" s="2409"/>
      <c r="AN33" s="2409"/>
      <c r="AO33" s="2409"/>
      <c r="AP33" s="2409"/>
      <c r="AQ33" s="2409"/>
      <c r="AR33" s="2409"/>
      <c r="AS33" s="748"/>
      <c r="AT33" s="2409"/>
      <c r="AU33" s="2409"/>
      <c r="AV33" s="2409"/>
      <c r="AW33" s="2409"/>
      <c r="AX33" s="2409"/>
      <c r="AY33" s="2409"/>
      <c r="AZ33" s="2409"/>
      <c r="BA33" s="2409"/>
      <c r="BB33" s="2409"/>
      <c r="BC33" s="1880"/>
      <c r="BD33" s="1363"/>
      <c r="BE33" s="1363"/>
      <c r="BF33" s="974" t="s">
        <v>960</v>
      </c>
    </row>
    <row s="1363" customFormat="1" customHeight="1" ht="14.625" hidden="1">
      <c r="A34" s="1363"/>
      <c r="B34" s="400"/>
      <c r="C34" s="1363"/>
      <c r="D34" s="88" t="s">
        <v>961</v>
      </c>
      <c r="E34" s="593">
        <v>15</v>
      </c>
      <c r="F34" s="50" cm="1" t="str">
        <f t="array" ref="F34:F34">OFFSET(E34,-1,1)</f>
        <v>0</v>
      </c>
      <c r="G34" s="1363"/>
      <c r="H34" s="88" t="s">
        <v>445</v>
      </c>
      <c r="I34" s="1363"/>
      <c r="J34" s="1363"/>
      <c r="K34" s="1363"/>
      <c r="L34" s="1363"/>
      <c r="M34" s="1363"/>
      <c r="N34" s="1363"/>
      <c r="O34" s="1363"/>
      <c r="P34" s="1363"/>
      <c r="Q34" s="1363"/>
      <c r="R34" s="1363"/>
      <c r="S34" s="1363"/>
      <c r="T34" s="438" cm="1" t="str">
        <f t="array" ref="T34:T34">T33</f>
        <v>false</v>
      </c>
      <c r="U34" s="1363"/>
      <c r="V34" s="1363"/>
      <c r="W34" s="1363"/>
      <c r="X34" s="1511"/>
      <c r="Y34" s="1363"/>
      <c r="Z34" s="1541"/>
      <c r="AA34" s="1363"/>
      <c r="AB34" s="186" t="s">
        <v>853</v>
      </c>
      <c r="AC34" s="738" t="s">
        <v>962</v>
      </c>
      <c r="AD34" s="906" t="s">
        <v>789</v>
      </c>
      <c r="AE34" s="2409">
        <f>SUM(AE35:AE36)</f>
        <v>0</v>
      </c>
      <c r="AF34" s="2409">
        <f>SUM(AF35:AF36)</f>
        <v>0</v>
      </c>
      <c r="AG34" s="2409">
        <f>SUM(AG35:AG36)</f>
        <v>0</v>
      </c>
      <c r="AH34" s="2409">
        <f>SUM(AH35:AH36)</f>
        <v>0</v>
      </c>
      <c r="AI34" s="748">
        <f>SUM(AI35:AI36)</f>
        <v>0</v>
      </c>
      <c r="AJ34" s="2409">
        <f>SUM(AJ35:AJ36)</f>
        <v>0</v>
      </c>
      <c r="AK34" s="2409">
        <f>SUM(AK35:AK36)</f>
        <v>0</v>
      </c>
      <c r="AL34" s="2409">
        <f>SUM(AL35:AL36)</f>
        <v>0</v>
      </c>
      <c r="AM34" s="2409">
        <f>SUM(AM35:AM36)</f>
        <v>0</v>
      </c>
      <c r="AN34" s="2409">
        <f>SUM(AN35:AN36)</f>
        <v>0</v>
      </c>
      <c r="AO34" s="2409">
        <f>SUM(AO35:AO36)</f>
        <v>0</v>
      </c>
      <c r="AP34" s="2409">
        <f>SUM(AP35:AP36)</f>
        <v>0</v>
      </c>
      <c r="AQ34" s="2409">
        <f>SUM(AQ35:AQ36)</f>
        <v>0</v>
      </c>
      <c r="AR34" s="2409">
        <f>SUM(AR35:AR36)</f>
        <v>0</v>
      </c>
      <c r="AS34" s="748">
        <f>SUM(AS35:AS36)</f>
        <v>0</v>
      </c>
      <c r="AT34" s="2409">
        <f>SUM(AT35:AT36)</f>
        <v>0</v>
      </c>
      <c r="AU34" s="2409">
        <f>SUM(AU35:AU36)</f>
        <v>0</v>
      </c>
      <c r="AV34" s="2409">
        <f>SUM(AV35:AV36)</f>
        <v>0</v>
      </c>
      <c r="AW34" s="2409">
        <f>SUM(AW35:AW36)</f>
        <v>0</v>
      </c>
      <c r="AX34" s="2409">
        <f>SUM(AX35:AX36)</f>
        <v>0</v>
      </c>
      <c r="AY34" s="2409">
        <f>SUM(AY35:AY36)</f>
        <v>0</v>
      </c>
      <c r="AZ34" s="2409">
        <f>SUM(AZ35:AZ36)</f>
        <v>0</v>
      </c>
      <c r="BA34" s="2409">
        <f>SUM(BA35:BA36)</f>
        <v>0</v>
      </c>
      <c r="BB34" s="2409">
        <f>SUM(BB35:BB36)</f>
        <v>0</v>
      </c>
      <c r="BC34" s="1880"/>
      <c r="BD34" s="1363"/>
      <c r="BE34" s="1363"/>
      <c r="BF34" s="974" t="s">
        <v>963</v>
      </c>
    </row>
    <row s="1363" customFormat="1" customHeight="1" ht="35.1" hidden="1">
      <c r="A35" s="1363"/>
      <c r="B35" s="400"/>
      <c r="C35" s="1363"/>
      <c r="D35" s="1363"/>
      <c r="E35" s="593">
        <v>36</v>
      </c>
      <c r="F35" s="50" cm="1" t="str">
        <f t="array" ref="F35:F35">OFFSET(E35,-1,1)</f>
        <v>0</v>
      </c>
      <c r="G35" s="1363"/>
      <c r="H35" s="1363"/>
      <c r="I35" s="1363"/>
      <c r="J35" s="1363"/>
      <c r="K35" s="1363"/>
      <c r="L35" s="1363"/>
      <c r="M35" s="1363"/>
      <c r="N35" s="1363"/>
      <c r="O35" s="1363"/>
      <c r="P35" s="1363"/>
      <c r="Q35" s="1363"/>
      <c r="R35" s="1363"/>
      <c r="S35" s="1363"/>
      <c r="T35" s="438" cm="1" t="str">
        <f t="array" ref="T35:T35">T34</f>
        <v>false</v>
      </c>
      <c r="U35" s="1363"/>
      <c r="V35" s="1363"/>
      <c r="W35" s="1363"/>
      <c r="X35" s="1511"/>
      <c r="Y35" s="1363"/>
      <c r="Z35" s="1541"/>
      <c r="AA35" s="1363"/>
      <c r="AB35" s="186" t="s">
        <v>964</v>
      </c>
      <c r="AC35" s="738" t="s">
        <v>965</v>
      </c>
      <c r="AD35" s="906" t="s">
        <v>789</v>
      </c>
      <c r="AE35" s="2409"/>
      <c r="AF35" s="2409"/>
      <c r="AG35" s="2409"/>
      <c r="AH35" s="2409"/>
      <c r="AI35" s="748"/>
      <c r="AJ35" s="2409"/>
      <c r="AK35" s="2409"/>
      <c r="AL35" s="2409"/>
      <c r="AM35" s="2409"/>
      <c r="AN35" s="2409"/>
      <c r="AO35" s="2409"/>
      <c r="AP35" s="2409"/>
      <c r="AQ35" s="2409"/>
      <c r="AR35" s="2409"/>
      <c r="AS35" s="748"/>
      <c r="AT35" s="2409"/>
      <c r="AU35" s="2409"/>
      <c r="AV35" s="2409"/>
      <c r="AW35" s="2409"/>
      <c r="AX35" s="2409"/>
      <c r="AY35" s="2409"/>
      <c r="AZ35" s="2409"/>
      <c r="BA35" s="2409"/>
      <c r="BB35" s="2409"/>
      <c r="BC35" s="1880"/>
      <c r="BD35" s="1363"/>
      <c r="BE35" s="1363"/>
      <c r="BF35" s="974" t="s">
        <v>966</v>
      </c>
    </row>
    <row s="1363" customFormat="1" customHeight="1" ht="35.1" hidden="1">
      <c r="A36" s="1363"/>
      <c r="B36" s="400"/>
      <c r="C36" s="1363"/>
      <c r="D36" s="1363"/>
      <c r="E36" s="593">
        <v>36</v>
      </c>
      <c r="F36" s="50" cm="1" t="str">
        <f t="array" ref="F36:F36">OFFSET(E36,-1,1)</f>
        <v>0</v>
      </c>
      <c r="G36" s="1363"/>
      <c r="H36" s="1363"/>
      <c r="I36" s="1363"/>
      <c r="J36" s="1363"/>
      <c r="K36" s="1363"/>
      <c r="L36" s="1363"/>
      <c r="M36" s="1363"/>
      <c r="N36" s="1363"/>
      <c r="O36" s="1363"/>
      <c r="P36" s="1363"/>
      <c r="Q36" s="1363"/>
      <c r="R36" s="1363"/>
      <c r="S36" s="1363"/>
      <c r="T36" s="438" cm="1" t="str">
        <f t="array" ref="T36:T36">T35</f>
        <v>false</v>
      </c>
      <c r="U36" s="1363"/>
      <c r="V36" s="1363"/>
      <c r="W36" s="1363"/>
      <c r="X36" s="1511"/>
      <c r="Y36" s="1363"/>
      <c r="Z36" s="1541"/>
      <c r="AA36" s="1363"/>
      <c r="AB36" s="186" t="s">
        <v>967</v>
      </c>
      <c r="AC36" s="738" t="s">
        <v>968</v>
      </c>
      <c r="AD36" s="906" t="s">
        <v>789</v>
      </c>
      <c r="AE36" s="2409"/>
      <c r="AF36" s="2409"/>
      <c r="AG36" s="2409"/>
      <c r="AH36" s="2409"/>
      <c r="AI36" s="748"/>
      <c r="AJ36" s="2409"/>
      <c r="AK36" s="2409"/>
      <c r="AL36" s="2409"/>
      <c r="AM36" s="2409"/>
      <c r="AN36" s="2409"/>
      <c r="AO36" s="2409"/>
      <c r="AP36" s="2409"/>
      <c r="AQ36" s="2409"/>
      <c r="AR36" s="2409"/>
      <c r="AS36" s="748"/>
      <c r="AT36" s="2409"/>
      <c r="AU36" s="2409"/>
      <c r="AV36" s="2409"/>
      <c r="AW36" s="2409"/>
      <c r="AX36" s="2409"/>
      <c r="AY36" s="2409"/>
      <c r="AZ36" s="2409"/>
      <c r="BA36" s="2409"/>
      <c r="BB36" s="2409"/>
      <c r="BC36" s="1880"/>
      <c r="BD36" s="1363"/>
      <c r="BE36" s="1363"/>
      <c r="BF36" s="974" t="s">
        <v>969</v>
      </c>
    </row>
    <row s="511" customFormat="1" customHeight="1" ht="14.25">
      <c r="A37" s="1363"/>
      <c r="B37" s="400"/>
      <c r="C37" s="1363"/>
      <c r="D37" s="1363"/>
      <c r="E37" s="593">
        <v>15</v>
      </c>
      <c r="F37" s="64" cm="1" t="str">
        <f t="array" ref="F37:F37">X37</f>
        <v>1</v>
      </c>
      <c r="G37" s="1363"/>
      <c r="H37" s="1363"/>
      <c r="I37" s="1363"/>
      <c r="J37" s="1363"/>
      <c r="K37" s="1363"/>
      <c r="L37" s="1363"/>
      <c r="M37" s="1363"/>
      <c r="N37" s="1363"/>
      <c r="O37" s="1363"/>
      <c r="P37" s="1363"/>
      <c r="Q37" s="1363"/>
      <c r="R37" s="1363"/>
      <c r="S37" s="1363"/>
      <c r="T37" s="438">
        <f>X37&gt;0</f>
        <v>1</v>
      </c>
      <c r="U37" s="1363"/>
      <c r="V37" s="88" cm="1" t="str">
        <f t="array" ref="V37:V37">'Амортизация (аналог)'!$AB$34</f>
        <v>Тариф 1 (Водоотведение) - тариф на транспортировку сточных вод</v>
      </c>
      <c r="W37" s="1363"/>
      <c r="X37" s="1511" t="s">
        <v>281</v>
      </c>
      <c r="Y37" s="1363"/>
      <c r="Z37" s="1541"/>
      <c r="AA37" s="1363"/>
      <c r="AB37" s="188" cm="1" t="str">
        <f t="array" ref="AB37:AB37">'Амортизация (аналог)'!$AB$34</f>
        <v>Тариф 1 (Водоотведение) - тариф на транспортировку сточных вод</v>
      </c>
      <c r="AC37" s="146"/>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0"/>
      <c r="BC37" s="176"/>
      <c r="BD37" s="1363"/>
      <c r="BE37" s="1363"/>
      <c r="BF37" s="974"/>
    </row>
    <row s="511" customFormat="1" customHeight="1" ht="71.25">
      <c r="A38" s="1363"/>
      <c r="B38" s="400"/>
      <c r="C38" s="1363"/>
      <c r="D38" s="1363"/>
      <c r="E38" s="593">
        <v>73.5</v>
      </c>
      <c r="F38" s="50" cm="1" t="str">
        <f t="array" ref="F38:F38">OFFSET(E38,-1,1)</f>
        <v>1</v>
      </c>
      <c r="G38" s="467" t="s">
        <v>942</v>
      </c>
      <c r="H38" s="88" t="s">
        <v>321</v>
      </c>
      <c r="I38" s="1363"/>
      <c r="J38" s="1363"/>
      <c r="K38" s="90" t="str">
        <f>F38&amp;"komm"</f>
        <v>1komm</v>
      </c>
      <c r="L38" s="895" cm="1" t="str">
        <f t="array" ref="L38:L38">BC38</f>
        <v>0</v>
      </c>
      <c r="M38" s="1363"/>
      <c r="N38" s="1363"/>
      <c r="O38" s="1363"/>
      <c r="P38" s="1363"/>
      <c r="Q38" s="1363"/>
      <c r="R38" s="1363"/>
      <c r="S38" s="1363"/>
      <c r="T38" s="438" cm="1" t="str">
        <f t="array" ref="T38:T38">T37</f>
        <v>true</v>
      </c>
      <c r="U38" s="1363"/>
      <c r="V38" s="1363"/>
      <c r="W38" s="1363"/>
      <c r="X38" s="1511"/>
      <c r="Y38" s="1363"/>
      <c r="Z38" s="1541"/>
      <c r="AA38" s="1363"/>
      <c r="AB38" s="184" t="s">
        <v>281</v>
      </c>
      <c r="AC38" s="185" t="s">
        <v>943</v>
      </c>
      <c r="AD38" s="171" t="s">
        <v>789</v>
      </c>
      <c r="AE38" s="749">
        <f>AE39+AE42+AE43+AE44</f>
        <v>0</v>
      </c>
      <c r="AF38" s="749">
        <f>AF39+AF42+AF43+AF44</f>
        <v>0</v>
      </c>
      <c r="AG38" s="749">
        <f>AG39+AG42+AG43+AG44</f>
        <v>0</v>
      </c>
      <c r="AH38" s="749">
        <f>AH39+AH42+AH43+AH44</f>
        <v>0</v>
      </c>
      <c r="AI38" s="749">
        <f>AI39+AI42+AI43+AI44</f>
        <v>0</v>
      </c>
      <c r="AJ38" s="749">
        <f>AJ39+AJ42+AJ43+AJ44</f>
        <v>0</v>
      </c>
      <c r="AK38" s="749">
        <f>AK39+AK42+AK43+AK44</f>
        <v>0</v>
      </c>
      <c r="AL38" s="749">
        <f>AL39+AL42+AL43+AL44</f>
        <v>0</v>
      </c>
      <c r="AM38" s="749">
        <f>AM39+AM42+AM43+AM44</f>
        <v>0</v>
      </c>
      <c r="AN38" s="749">
        <f>AN39+AN42+AN43+AN44</f>
        <v>0</v>
      </c>
      <c r="AO38" s="749">
        <f>AO39+AO42+AO43+AO44</f>
        <v>0</v>
      </c>
      <c r="AP38" s="749">
        <f>AP39+AP42+AP43+AP44</f>
        <v>0</v>
      </c>
      <c r="AQ38" s="749">
        <f>AQ39+AQ42+AQ43+AQ44</f>
        <v>0</v>
      </c>
      <c r="AR38" s="749">
        <f>AR39+AR42+AR43+AR44</f>
        <v>0</v>
      </c>
      <c r="AS38" s="749">
        <f>AS39+AS42+AS43+AS44</f>
        <v>0</v>
      </c>
      <c r="AT38" s="749">
        <f>AT39+AT42+AT43+AT44</f>
        <v>0</v>
      </c>
      <c r="AU38" s="749">
        <f>AU39+AU42+AU43+AU44</f>
        <v>0</v>
      </c>
      <c r="AV38" s="749">
        <f>AV39+AV42+AV43+AV44</f>
        <v>0</v>
      </c>
      <c r="AW38" s="749">
        <f>AW39+AW42+AW43+AW44</f>
        <v>0</v>
      </c>
      <c r="AX38" s="749">
        <f>AX39+AX42+AX43+AX44</f>
        <v>0</v>
      </c>
      <c r="AY38" s="749">
        <f>AY39+AY42+AY43+AY44</f>
        <v>0</v>
      </c>
      <c r="AZ38" s="749">
        <f>AZ39+AZ42+AZ43+AZ44</f>
        <v>0</v>
      </c>
      <c r="BA38" s="749">
        <f>BA39+BA42+BA43+BA44</f>
        <v>0</v>
      </c>
      <c r="BB38" s="749">
        <f>BB39+BB42+BB43+BB44</f>
        <v>0</v>
      </c>
      <c r="BC38" s="166"/>
      <c r="BD38" s="1363"/>
      <c r="BE38" s="1363"/>
      <c r="BF38" s="1017" t="s">
        <v>944</v>
      </c>
    </row>
    <row s="511" customFormat="1" customHeight="1" ht="14.25">
      <c r="A39" s="1363"/>
      <c r="B39" s="400"/>
      <c r="C39" s="1363"/>
      <c r="D39" s="88" t="s">
        <v>945</v>
      </c>
      <c r="E39" s="593">
        <v>15</v>
      </c>
      <c r="F39" s="50" cm="1" t="str">
        <f t="array" ref="F39:F39">OFFSET(E39,-1,1)</f>
        <v>1</v>
      </c>
      <c r="G39" s="1363"/>
      <c r="H39" s="88" t="s">
        <v>434</v>
      </c>
      <c r="I39" s="1363"/>
      <c r="J39" s="1363"/>
      <c r="K39" s="1363"/>
      <c r="L39" s="1363"/>
      <c r="M39" s="1363"/>
      <c r="N39" s="1363"/>
      <c r="O39" s="1363"/>
      <c r="P39" s="1363"/>
      <c r="Q39" s="1363"/>
      <c r="R39" s="1363"/>
      <c r="S39" s="1363"/>
      <c r="T39" s="438" cm="1" t="str">
        <f t="array" ref="T39:T39">T38</f>
        <v>true</v>
      </c>
      <c r="U39" s="1363"/>
      <c r="V39" s="1363"/>
      <c r="W39" s="1363"/>
      <c r="X39" s="1511"/>
      <c r="Y39" s="1363"/>
      <c r="Z39" s="1541"/>
      <c r="AA39" s="1363"/>
      <c r="AB39" s="186" t="s">
        <v>844</v>
      </c>
      <c r="AC39" s="738" t="s">
        <v>945</v>
      </c>
      <c r="AD39" s="906" t="s">
        <v>789</v>
      </c>
      <c r="AE39" s="748">
        <f>SUM(AE40:AE41)</f>
        <v>0</v>
      </c>
      <c r="AF39" s="748">
        <f>SUM(AF40:AF41)</f>
        <v>0</v>
      </c>
      <c r="AG39" s="748">
        <f>SUM(AG40:AG41)</f>
        <v>0</v>
      </c>
      <c r="AH39" s="748">
        <f>SUM(AH40:AH41)</f>
        <v>0</v>
      </c>
      <c r="AI39" s="748">
        <f>SUM(AI40:AI41)</f>
        <v>0</v>
      </c>
      <c r="AJ39" s="748">
        <f>SUM(AJ40:AJ41)</f>
        <v>0</v>
      </c>
      <c r="AK39" s="748">
        <f>SUM(AK40:AK41)</f>
        <v>0</v>
      </c>
      <c r="AL39" s="748">
        <f>SUM(AL40:AL41)</f>
        <v>0</v>
      </c>
      <c r="AM39" s="748">
        <f>SUM(AM40:AM41)</f>
        <v>0</v>
      </c>
      <c r="AN39" s="748">
        <f>SUM(AN40:AN41)</f>
        <v>0</v>
      </c>
      <c r="AO39" s="748">
        <f>SUM(AO40:AO41)</f>
        <v>0</v>
      </c>
      <c r="AP39" s="748">
        <f>SUM(AP40:AP41)</f>
        <v>0</v>
      </c>
      <c r="AQ39" s="748">
        <f>SUM(AQ40:AQ41)</f>
        <v>0</v>
      </c>
      <c r="AR39" s="748">
        <f>SUM(AR40:AR41)</f>
        <v>0</v>
      </c>
      <c r="AS39" s="748">
        <f>SUM(AS40:AS41)</f>
        <v>0</v>
      </c>
      <c r="AT39" s="748">
        <f>SUM(AT40:AT41)</f>
        <v>0</v>
      </c>
      <c r="AU39" s="748">
        <f>SUM(AU40:AU41)</f>
        <v>0</v>
      </c>
      <c r="AV39" s="748">
        <f>SUM(AV40:AV41)</f>
        <v>0</v>
      </c>
      <c r="AW39" s="748">
        <f>SUM(AW40:AW41)</f>
        <v>0</v>
      </c>
      <c r="AX39" s="748">
        <f>SUM(AX40:AX41)</f>
        <v>0</v>
      </c>
      <c r="AY39" s="748">
        <f>SUM(AY40:AY41)</f>
        <v>0</v>
      </c>
      <c r="AZ39" s="748">
        <f>SUM(AZ40:AZ41)</f>
        <v>0</v>
      </c>
      <c r="BA39" s="748">
        <f>SUM(BA40:BA41)</f>
        <v>0</v>
      </c>
      <c r="BB39" s="748">
        <f>SUM(BB40:BB41)</f>
        <v>0</v>
      </c>
      <c r="BC39" s="166"/>
      <c r="BD39" s="1363"/>
      <c r="BE39" s="1363"/>
      <c r="BF39" s="1017" t="s">
        <v>946</v>
      </c>
    </row>
    <row s="511" customFormat="1" customHeight="1" ht="23.25">
      <c r="A40" s="1363"/>
      <c r="B40" s="400"/>
      <c r="C40" s="1363"/>
      <c r="D40" s="1363"/>
      <c r="E40" s="593">
        <v>24</v>
      </c>
      <c r="F40" s="50" cm="1" t="str">
        <f t="array" ref="F40:F40">OFFSET(E40,-1,1)</f>
        <v>1</v>
      </c>
      <c r="G40" s="1363"/>
      <c r="H40" s="88" t="s">
        <v>947</v>
      </c>
      <c r="I40" s="1363"/>
      <c r="J40" s="1363"/>
      <c r="K40" s="1363"/>
      <c r="L40" s="1363"/>
      <c r="M40" s="1363"/>
      <c r="N40" s="1363"/>
      <c r="O40" s="1363"/>
      <c r="P40" s="1363"/>
      <c r="Q40" s="1363"/>
      <c r="R40" s="1363"/>
      <c r="S40" s="1363"/>
      <c r="T40" s="438" cm="1" t="str">
        <f t="array" ref="T40:T40">T39</f>
        <v>true</v>
      </c>
      <c r="U40" s="1363"/>
      <c r="V40" s="1363"/>
      <c r="W40" s="1363"/>
      <c r="X40" s="1511"/>
      <c r="Y40" s="1363"/>
      <c r="Z40" s="1541"/>
      <c r="AA40" s="1363"/>
      <c r="AB40" s="186" t="s">
        <v>948</v>
      </c>
      <c r="AC40" s="741" t="s">
        <v>949</v>
      </c>
      <c r="AD40" s="906" t="s">
        <v>789</v>
      </c>
      <c r="AE40" s="748"/>
      <c r="AF40" s="748"/>
      <c r="AG40" s="748"/>
      <c r="AH40" s="748"/>
      <c r="AI40" s="748"/>
      <c r="AJ40" s="748"/>
      <c r="AK40" s="748"/>
      <c r="AL40" s="748"/>
      <c r="AM40" s="748"/>
      <c r="AN40" s="748"/>
      <c r="AO40" s="748"/>
      <c r="AP40" s="748"/>
      <c r="AQ40" s="748"/>
      <c r="AR40" s="748"/>
      <c r="AS40" s="748"/>
      <c r="AT40" s="748"/>
      <c r="AU40" s="748"/>
      <c r="AV40" s="748"/>
      <c r="AW40" s="748"/>
      <c r="AX40" s="748"/>
      <c r="AY40" s="748"/>
      <c r="AZ40" s="748"/>
      <c r="BA40" s="748"/>
      <c r="BB40" s="748"/>
      <c r="BC40" s="166"/>
      <c r="BD40" s="1363"/>
      <c r="BE40" s="1363"/>
      <c r="BF40" s="974" t="s">
        <v>950</v>
      </c>
    </row>
    <row s="511" customFormat="1" customHeight="1" ht="14.25">
      <c r="A41" s="1363"/>
      <c r="B41" s="400"/>
      <c r="C41" s="1363"/>
      <c r="D41" s="1363"/>
      <c r="E41" s="593">
        <v>15</v>
      </c>
      <c r="F41" s="50" cm="1" t="str">
        <f t="array" ref="F41:F41">OFFSET(E41,-1,1)</f>
        <v>1</v>
      </c>
      <c r="G41" s="1363"/>
      <c r="H41" s="88" t="s">
        <v>951</v>
      </c>
      <c r="I41" s="1363"/>
      <c r="J41" s="1363"/>
      <c r="K41" s="1363"/>
      <c r="L41" s="1363"/>
      <c r="M41" s="1363"/>
      <c r="N41" s="1363"/>
      <c r="O41" s="1363"/>
      <c r="P41" s="1363"/>
      <c r="Q41" s="1363"/>
      <c r="R41" s="1363"/>
      <c r="S41" s="1363"/>
      <c r="T41" s="438" cm="1" t="str">
        <f t="array" ref="T41:T41">T40</f>
        <v>true</v>
      </c>
      <c r="U41" s="1363"/>
      <c r="V41" s="1363"/>
      <c r="W41" s="1363"/>
      <c r="X41" s="1511"/>
      <c r="Y41" s="1363"/>
      <c r="Z41" s="1541"/>
      <c r="AA41" s="1363"/>
      <c r="AB41" s="186" t="s">
        <v>952</v>
      </c>
      <c r="AC41" s="741" t="s">
        <v>953</v>
      </c>
      <c r="AD41" s="906" t="s">
        <v>789</v>
      </c>
      <c r="AE41" s="748"/>
      <c r="AF41" s="748"/>
      <c r="AG41" s="748"/>
      <c r="AH41" s="748"/>
      <c r="AI41" s="748"/>
      <c r="AJ41" s="748"/>
      <c r="AK41" s="748"/>
      <c r="AL41" s="748"/>
      <c r="AM41" s="748"/>
      <c r="AN41" s="748"/>
      <c r="AO41" s="748"/>
      <c r="AP41" s="748"/>
      <c r="AQ41" s="748"/>
      <c r="AR41" s="748"/>
      <c r="AS41" s="748"/>
      <c r="AT41" s="748"/>
      <c r="AU41" s="748"/>
      <c r="AV41" s="748"/>
      <c r="AW41" s="748"/>
      <c r="AX41" s="748"/>
      <c r="AY41" s="748"/>
      <c r="AZ41" s="748"/>
      <c r="BA41" s="748"/>
      <c r="BB41" s="748"/>
      <c r="BC41" s="166"/>
      <c r="BD41" s="1363"/>
      <c r="BE41" s="1363"/>
      <c r="BF41" s="974" t="s">
        <v>954</v>
      </c>
    </row>
    <row s="511" customFormat="1" customHeight="1" ht="14.25">
      <c r="A42" s="1363"/>
      <c r="B42" s="400"/>
      <c r="C42" s="1363"/>
      <c r="D42" s="88" t="s">
        <v>955</v>
      </c>
      <c r="E42" s="593">
        <v>15</v>
      </c>
      <c r="F42" s="50" cm="1" t="str">
        <f t="array" ref="F42:F42">OFFSET(E42,-1,1)</f>
        <v>1</v>
      </c>
      <c r="G42" s="1363"/>
      <c r="H42" s="88" t="s">
        <v>438</v>
      </c>
      <c r="I42" s="1363"/>
      <c r="J42" s="1363"/>
      <c r="K42" s="1363"/>
      <c r="L42" s="1363"/>
      <c r="M42" s="1363"/>
      <c r="N42" s="1363"/>
      <c r="O42" s="1363"/>
      <c r="P42" s="1363"/>
      <c r="Q42" s="1363"/>
      <c r="R42" s="1363"/>
      <c r="S42" s="1363"/>
      <c r="T42" s="438" cm="1" t="str">
        <f t="array" ref="T42:T42">T41</f>
        <v>true</v>
      </c>
      <c r="U42" s="1363"/>
      <c r="V42" s="1363"/>
      <c r="W42" s="1363"/>
      <c r="X42" s="1511"/>
      <c r="Y42" s="1363"/>
      <c r="Z42" s="1541"/>
      <c r="AA42" s="1363"/>
      <c r="AB42" s="186" t="s">
        <v>847</v>
      </c>
      <c r="AC42" s="907" t="s">
        <v>956</v>
      </c>
      <c r="AD42" s="906" t="s">
        <v>789</v>
      </c>
      <c r="AE42" s="748"/>
      <c r="AF42" s="748"/>
      <c r="AG42" s="748"/>
      <c r="AH42" s="748"/>
      <c r="AI42" s="748"/>
      <c r="AJ42" s="748"/>
      <c r="AK42" s="748"/>
      <c r="AL42" s="748"/>
      <c r="AM42" s="748"/>
      <c r="AN42" s="748"/>
      <c r="AO42" s="748"/>
      <c r="AP42" s="748"/>
      <c r="AQ42" s="748"/>
      <c r="AR42" s="748"/>
      <c r="AS42" s="748"/>
      <c r="AT42" s="748"/>
      <c r="AU42" s="748"/>
      <c r="AV42" s="748"/>
      <c r="AW42" s="748"/>
      <c r="AX42" s="748"/>
      <c r="AY42" s="748"/>
      <c r="AZ42" s="748"/>
      <c r="BA42" s="748"/>
      <c r="BB42" s="748"/>
      <c r="BC42" s="166"/>
      <c r="BD42" s="1363"/>
      <c r="BE42" s="1363"/>
      <c r="BF42" s="974" t="s">
        <v>957</v>
      </c>
    </row>
    <row s="511" customFormat="1" customHeight="1" ht="14.25">
      <c r="A43" s="1363"/>
      <c r="B43" s="400"/>
      <c r="C43" s="1363"/>
      <c r="D43" s="88" t="s">
        <v>958</v>
      </c>
      <c r="E43" s="593">
        <v>15</v>
      </c>
      <c r="F43" s="50" cm="1" t="str">
        <f t="array" ref="F43:F43">OFFSET(E43,-1,1)</f>
        <v>1</v>
      </c>
      <c r="G43" s="1363"/>
      <c r="H43" s="88" t="s">
        <v>441</v>
      </c>
      <c r="I43" s="1363"/>
      <c r="J43" s="1363"/>
      <c r="K43" s="1363"/>
      <c r="L43" s="1363"/>
      <c r="M43" s="1363"/>
      <c r="N43" s="1363"/>
      <c r="O43" s="1363"/>
      <c r="P43" s="1363"/>
      <c r="Q43" s="1363"/>
      <c r="R43" s="1363"/>
      <c r="S43" s="1363"/>
      <c r="T43" s="438" cm="1" t="str">
        <f t="array" ref="T43:T43">T42</f>
        <v>true</v>
      </c>
      <c r="U43" s="1363"/>
      <c r="V43" s="1363"/>
      <c r="W43" s="1363"/>
      <c r="X43" s="1511"/>
      <c r="Y43" s="1363"/>
      <c r="Z43" s="1541"/>
      <c r="AA43" s="1363"/>
      <c r="AB43" s="186" t="s">
        <v>850</v>
      </c>
      <c r="AC43" s="738" t="s">
        <v>959</v>
      </c>
      <c r="AD43" s="906" t="s">
        <v>789</v>
      </c>
      <c r="AE43" s="748"/>
      <c r="AF43" s="748"/>
      <c r="AG43" s="748"/>
      <c r="AH43" s="748"/>
      <c r="AI43" s="748"/>
      <c r="AJ43" s="748"/>
      <c r="AK43" s="748"/>
      <c r="AL43" s="748"/>
      <c r="AM43" s="748"/>
      <c r="AN43" s="748"/>
      <c r="AO43" s="748"/>
      <c r="AP43" s="748"/>
      <c r="AQ43" s="748"/>
      <c r="AR43" s="748"/>
      <c r="AS43" s="748"/>
      <c r="AT43" s="748"/>
      <c r="AU43" s="748"/>
      <c r="AV43" s="748"/>
      <c r="AW43" s="748"/>
      <c r="AX43" s="748"/>
      <c r="AY43" s="748"/>
      <c r="AZ43" s="748"/>
      <c r="BA43" s="748"/>
      <c r="BB43" s="748"/>
      <c r="BC43" s="166"/>
      <c r="BD43" s="1363"/>
      <c r="BE43" s="1363"/>
      <c r="BF43" s="974" t="s">
        <v>960</v>
      </c>
    </row>
    <row s="511" customFormat="1" customHeight="1" ht="14.25">
      <c r="A44" s="1363"/>
      <c r="B44" s="400"/>
      <c r="C44" s="1363"/>
      <c r="D44" s="88" t="s">
        <v>961</v>
      </c>
      <c r="E44" s="593">
        <v>15</v>
      </c>
      <c r="F44" s="50" cm="1" t="str">
        <f t="array" ref="F44:F44">OFFSET(E44,-1,1)</f>
        <v>1</v>
      </c>
      <c r="G44" s="1363"/>
      <c r="H44" s="88" t="s">
        <v>445</v>
      </c>
      <c r="I44" s="1363"/>
      <c r="J44" s="1363"/>
      <c r="K44" s="1363"/>
      <c r="L44" s="1363"/>
      <c r="M44" s="1363"/>
      <c r="N44" s="1363"/>
      <c r="O44" s="1363"/>
      <c r="P44" s="1363"/>
      <c r="Q44" s="1363"/>
      <c r="R44" s="1363"/>
      <c r="S44" s="1363"/>
      <c r="T44" s="438" cm="1" t="str">
        <f t="array" ref="T44:T44">T43</f>
        <v>true</v>
      </c>
      <c r="U44" s="1363"/>
      <c r="V44" s="1363"/>
      <c r="W44" s="1363"/>
      <c r="X44" s="1511"/>
      <c r="Y44" s="1363"/>
      <c r="Z44" s="1541"/>
      <c r="AA44" s="1363"/>
      <c r="AB44" s="186" t="s">
        <v>853</v>
      </c>
      <c r="AC44" s="738" t="s">
        <v>962</v>
      </c>
      <c r="AD44" s="906" t="s">
        <v>789</v>
      </c>
      <c r="AE44" s="748">
        <f>SUM(AE45:AE46)</f>
        <v>0</v>
      </c>
      <c r="AF44" s="748">
        <f>SUM(AF45:AF46)</f>
        <v>0</v>
      </c>
      <c r="AG44" s="748">
        <f>SUM(AG45:AG46)</f>
        <v>0</v>
      </c>
      <c r="AH44" s="748">
        <f>SUM(AH45:AH46)</f>
        <v>0</v>
      </c>
      <c r="AI44" s="748">
        <f>SUM(AI45:AI46)</f>
        <v>0</v>
      </c>
      <c r="AJ44" s="748">
        <f>SUM(AJ45:AJ46)</f>
        <v>0</v>
      </c>
      <c r="AK44" s="748">
        <f>SUM(AK45:AK46)</f>
        <v>0</v>
      </c>
      <c r="AL44" s="748">
        <f>SUM(AL45:AL46)</f>
        <v>0</v>
      </c>
      <c r="AM44" s="748">
        <f>SUM(AM45:AM46)</f>
        <v>0</v>
      </c>
      <c r="AN44" s="748">
        <f>SUM(AN45:AN46)</f>
        <v>0</v>
      </c>
      <c r="AO44" s="748">
        <f>SUM(AO45:AO46)</f>
        <v>0</v>
      </c>
      <c r="AP44" s="748">
        <f>SUM(AP45:AP46)</f>
        <v>0</v>
      </c>
      <c r="AQ44" s="748">
        <f>SUM(AQ45:AQ46)</f>
        <v>0</v>
      </c>
      <c r="AR44" s="748">
        <f>SUM(AR45:AR46)</f>
        <v>0</v>
      </c>
      <c r="AS44" s="748">
        <f>SUM(AS45:AS46)</f>
        <v>0</v>
      </c>
      <c r="AT44" s="748">
        <f>SUM(AT45:AT46)</f>
        <v>0</v>
      </c>
      <c r="AU44" s="748">
        <f>SUM(AU45:AU46)</f>
        <v>0</v>
      </c>
      <c r="AV44" s="748">
        <f>SUM(AV45:AV46)</f>
        <v>0</v>
      </c>
      <c r="AW44" s="748">
        <f>SUM(AW45:AW46)</f>
        <v>0</v>
      </c>
      <c r="AX44" s="748">
        <f>SUM(AX45:AX46)</f>
        <v>0</v>
      </c>
      <c r="AY44" s="748">
        <f>SUM(AY45:AY46)</f>
        <v>0</v>
      </c>
      <c r="AZ44" s="748">
        <f>SUM(AZ45:AZ46)</f>
        <v>0</v>
      </c>
      <c r="BA44" s="748">
        <f>SUM(BA45:BA46)</f>
        <v>0</v>
      </c>
      <c r="BB44" s="748">
        <f>SUM(BB45:BB46)</f>
        <v>0</v>
      </c>
      <c r="BC44" s="166"/>
      <c r="BD44" s="1363"/>
      <c r="BE44" s="1363"/>
      <c r="BF44" s="974" t="s">
        <v>963</v>
      </c>
    </row>
    <row s="511" customFormat="1" customHeight="1" ht="34.5">
      <c r="A45" s="1363"/>
      <c r="B45" s="400"/>
      <c r="C45" s="1363"/>
      <c r="D45" s="1363"/>
      <c r="E45" s="593">
        <v>36</v>
      </c>
      <c r="F45" s="50" cm="1" t="str">
        <f t="array" ref="F45:F45">OFFSET(E45,-1,1)</f>
        <v>1</v>
      </c>
      <c r="G45" s="1363"/>
      <c r="H45" s="1363"/>
      <c r="I45" s="1363"/>
      <c r="J45" s="1363"/>
      <c r="K45" s="1363"/>
      <c r="L45" s="1363"/>
      <c r="M45" s="1363"/>
      <c r="N45" s="1363"/>
      <c r="O45" s="1363"/>
      <c r="P45" s="1363"/>
      <c r="Q45" s="1363"/>
      <c r="R45" s="1363"/>
      <c r="S45" s="1363"/>
      <c r="T45" s="438" cm="1" t="str">
        <f t="array" ref="T45:T45">T44</f>
        <v>true</v>
      </c>
      <c r="U45" s="1363"/>
      <c r="V45" s="1363"/>
      <c r="W45" s="1363"/>
      <c r="X45" s="1511"/>
      <c r="Y45" s="1363"/>
      <c r="Z45" s="1541"/>
      <c r="AA45" s="1363"/>
      <c r="AB45" s="186" t="s">
        <v>964</v>
      </c>
      <c r="AC45" s="738" t="s">
        <v>965</v>
      </c>
      <c r="AD45" s="906" t="s">
        <v>789</v>
      </c>
      <c r="AE45" s="748"/>
      <c r="AF45" s="748"/>
      <c r="AG45" s="748"/>
      <c r="AH45" s="748"/>
      <c r="AI45" s="748"/>
      <c r="AJ45" s="748"/>
      <c r="AK45" s="748"/>
      <c r="AL45" s="748"/>
      <c r="AM45" s="748"/>
      <c r="AN45" s="748"/>
      <c r="AO45" s="748"/>
      <c r="AP45" s="748"/>
      <c r="AQ45" s="748"/>
      <c r="AR45" s="748"/>
      <c r="AS45" s="748"/>
      <c r="AT45" s="748"/>
      <c r="AU45" s="748"/>
      <c r="AV45" s="748"/>
      <c r="AW45" s="748"/>
      <c r="AX45" s="748"/>
      <c r="AY45" s="748"/>
      <c r="AZ45" s="748"/>
      <c r="BA45" s="748"/>
      <c r="BB45" s="748"/>
      <c r="BC45" s="166"/>
      <c r="BD45" s="1363"/>
      <c r="BE45" s="1363"/>
      <c r="BF45" s="974" t="s">
        <v>966</v>
      </c>
    </row>
    <row s="511" customFormat="1" customHeight="1" ht="34.5">
      <c r="A46" s="1363"/>
      <c r="B46" s="400"/>
      <c r="C46" s="1363"/>
      <c r="D46" s="1363"/>
      <c r="E46" s="593">
        <v>36</v>
      </c>
      <c r="F46" s="50" cm="1" t="str">
        <f t="array" ref="F46:F46">OFFSET(E46,-1,1)</f>
        <v>1</v>
      </c>
      <c r="G46" s="1363"/>
      <c r="H46" s="1363"/>
      <c r="I46" s="1363"/>
      <c r="J46" s="1363"/>
      <c r="K46" s="1363"/>
      <c r="L46" s="1363"/>
      <c r="M46" s="1363"/>
      <c r="N46" s="1363"/>
      <c r="O46" s="1363"/>
      <c r="P46" s="1363"/>
      <c r="Q46" s="1363"/>
      <c r="R46" s="1363"/>
      <c r="S46" s="1363"/>
      <c r="T46" s="438" cm="1" t="str">
        <f t="array" ref="T46:T46">T45</f>
        <v>true</v>
      </c>
      <c r="U46" s="1363"/>
      <c r="V46" s="1363"/>
      <c r="W46" s="1363"/>
      <c r="X46" s="1511"/>
      <c r="Y46" s="1363"/>
      <c r="Z46" s="1541"/>
      <c r="AA46" s="1363"/>
      <c r="AB46" s="186" t="s">
        <v>967</v>
      </c>
      <c r="AC46" s="738" t="s">
        <v>968</v>
      </c>
      <c r="AD46" s="906" t="s">
        <v>789</v>
      </c>
      <c r="AE46" s="748"/>
      <c r="AF46" s="748"/>
      <c r="AG46" s="748"/>
      <c r="AH46" s="748"/>
      <c r="AI46" s="748"/>
      <c r="AJ46" s="748"/>
      <c r="AK46" s="748"/>
      <c r="AL46" s="748"/>
      <c r="AM46" s="748"/>
      <c r="AN46" s="748"/>
      <c r="AO46" s="748"/>
      <c r="AP46" s="748"/>
      <c r="AQ46" s="748"/>
      <c r="AR46" s="748"/>
      <c r="AS46" s="748"/>
      <c r="AT46" s="748"/>
      <c r="AU46" s="748"/>
      <c r="AV46" s="748"/>
      <c r="AW46" s="748"/>
      <c r="AX46" s="748"/>
      <c r="AY46" s="748"/>
      <c r="AZ46" s="748"/>
      <c r="BA46" s="748"/>
      <c r="BB46" s="748"/>
      <c r="BC46" s="166"/>
      <c r="BD46" s="1363"/>
      <c r="BE46" s="1363"/>
      <c r="BF46" s="974" t="s">
        <v>969</v>
      </c>
    </row>
    <row customHeight="1" ht="10.96875">
      <c r="E47" s="652">
        <v>11.25</v>
      </c>
      <c r="U47" s="115" t="s">
        <v>176</v>
      </c>
      <c r="V47" s="106" t="s">
        <v>970</v>
      </c>
      <c r="AI47" s="1363"/>
      <c r="AJ47" s="1363"/>
      <c r="AK47" s="1363"/>
      <c r="AL47" s="1363"/>
      <c r="AM47" s="1363"/>
      <c r="AN47" s="1363"/>
      <c r="AO47" s="1363"/>
      <c r="AP47" s="1363"/>
      <c r="AQ47" s="1363"/>
      <c r="AR47" s="1363"/>
      <c r="AS47" s="1363"/>
      <c r="AT47" s="1363"/>
      <c r="AU47" s="1363"/>
      <c r="AV47" s="1363"/>
      <c r="AW47" s="1363"/>
      <c r="AX47" s="1363"/>
      <c r="AY47" s="1363"/>
      <c r="AZ47" s="1363"/>
      <c r="BA47" s="1363"/>
      <c r="BB47" s="1363"/>
    </row>
    <row customHeight="1" ht="14.625">
      <c r="E48" s="652">
        <v>15</v>
      </c>
      <c r="AA48" s="64"/>
      <c r="AB48" s="1522" t="s">
        <v>392</v>
      </c>
      <c r="AC48" s="1522"/>
      <c r="AD48" s="1522"/>
      <c r="AE48" s="1522"/>
      <c r="AF48" s="1522"/>
      <c r="AG48" s="1522"/>
      <c r="AH48" s="1522"/>
      <c r="AI48" s="1543"/>
      <c r="AJ48" s="1543"/>
      <c r="AK48" s="1543"/>
      <c r="AL48" s="1543"/>
      <c r="AM48" s="1543"/>
      <c r="AN48" s="1543"/>
      <c r="AO48" s="1543"/>
      <c r="AP48" s="1543"/>
      <c r="AQ48" s="1543"/>
      <c r="AR48" s="1543"/>
      <c r="AS48" s="1543"/>
      <c r="AT48" s="1543"/>
      <c r="AU48" s="1543"/>
      <c r="AV48" s="1543"/>
      <c r="AW48" s="1543"/>
      <c r="AX48" s="1543"/>
      <c r="AY48" s="1543"/>
      <c r="AZ48" s="1543"/>
      <c r="BA48" s="1543"/>
      <c r="BB48" s="1543"/>
      <c r="BC48" s="1543"/>
      <c r="BD48" s="64"/>
    </row>
    <row customHeight="1" ht="14.625">
      <c r="E49" s="652">
        <v>15</v>
      </c>
      <c r="AA49" s="139"/>
      <c r="AB49" s="1544"/>
      <c r="AC49" s="1544"/>
      <c r="AD49" s="1544"/>
      <c r="AE49" s="1544"/>
      <c r="AF49" s="1544"/>
      <c r="AG49" s="1544"/>
      <c r="AH49" s="1544"/>
      <c r="AI49" s="1545"/>
      <c r="AJ49" s="2394"/>
      <c r="AK49" s="2394"/>
      <c r="AL49" s="2394"/>
      <c r="AM49" s="2394"/>
      <c r="AN49" s="2394"/>
      <c r="AO49" s="2394"/>
      <c r="AP49" s="2394"/>
      <c r="AQ49" s="2394"/>
      <c r="AR49" s="2394"/>
      <c r="AS49" s="1545"/>
      <c r="AT49" s="2394"/>
      <c r="AU49" s="2394"/>
      <c r="AV49" s="2394"/>
      <c r="AW49" s="2394"/>
      <c r="AX49" s="2394"/>
      <c r="AY49" s="2394"/>
      <c r="AZ49" s="2394"/>
      <c r="BA49" s="2394"/>
      <c r="BB49" s="2394"/>
      <c r="BC49" s="1545"/>
      <c r="BD49" s="64"/>
    </row>
    <row customHeight="1" ht="14.625" hidden="1">
      <c r="A50" s="1363"/>
      <c r="B50" s="1369"/>
      <c r="C50" s="1363"/>
      <c r="D50" s="1363"/>
      <c r="E50" s="652">
        <v>15</v>
      </c>
      <c r="F50" s="1363"/>
      <c r="G50" s="1363"/>
      <c r="H50" s="1363"/>
      <c r="I50" s="1363"/>
      <c r="J50" s="1363"/>
      <c r="K50" s="1363"/>
      <c r="L50" s="1363"/>
      <c r="M50" s="1363"/>
      <c r="N50" s="1363"/>
      <c r="O50" s="1363"/>
      <c r="P50" s="1363"/>
      <c r="Q50" s="1363"/>
      <c r="R50" s="1363"/>
      <c r="S50" s="1363"/>
      <c r="T50" s="438">
        <f>ROW(W50)&gt;ROW(W$50)</f>
        <v>0</v>
      </c>
      <c r="U50" s="1363"/>
      <c r="V50" s="1363"/>
      <c r="W50" s="733" t="s">
        <v>172</v>
      </c>
      <c r="X50" s="1363"/>
      <c r="Y50" s="1363"/>
      <c r="Z50" s="1363"/>
      <c r="AA50" s="648" t="s">
        <v>173</v>
      </c>
      <c r="AB50" s="2395" t="s">
        <v>228</v>
      </c>
      <c r="AC50" s="2395"/>
      <c r="AD50" s="2395"/>
      <c r="AE50" s="2395"/>
      <c r="AF50" s="2395"/>
      <c r="AG50" s="2395"/>
      <c r="AH50" s="2395"/>
      <c r="AI50" s="1545"/>
      <c r="AJ50" s="2394"/>
      <c r="AK50" s="2394"/>
      <c r="AL50" s="2394"/>
      <c r="AM50" s="2394"/>
      <c r="AN50" s="2394"/>
      <c r="AO50" s="2394"/>
      <c r="AP50" s="2394"/>
      <c r="AQ50" s="2394"/>
      <c r="AR50" s="2394"/>
      <c r="AS50" s="1545"/>
      <c r="AT50" s="2394"/>
      <c r="AU50" s="2394"/>
      <c r="AV50" s="2394"/>
      <c r="AW50" s="2394"/>
      <c r="AX50" s="2394"/>
      <c r="AY50" s="2394"/>
      <c r="AZ50" s="2394"/>
      <c r="BA50" s="2394"/>
      <c r="BB50" s="2394"/>
      <c r="BC50" s="2394"/>
      <c r="BD50" s="64"/>
      <c r="BE50" s="1363"/>
      <c r="BF50" s="1374"/>
    </row>
    <row customHeight="1" ht="14.625">
      <c r="E51" s="652">
        <v>15</v>
      </c>
      <c r="W51" s="733" t="s">
        <v>396</v>
      </c>
      <c r="AA51" s="64"/>
      <c r="AB51" s="623"/>
      <c r="AC51" s="487" t="s">
        <v>397</v>
      </c>
      <c r="AD51" s="276"/>
      <c r="AE51" s="276"/>
      <c r="AF51" s="277"/>
      <c r="AG51" s="277"/>
      <c r="AH51" s="277"/>
      <c r="AI51" s="277"/>
      <c r="AJ51" s="277"/>
      <c r="AK51" s="277"/>
      <c r="AL51" s="277"/>
      <c r="AM51" s="277"/>
      <c r="AN51" s="277"/>
      <c r="AO51" s="277"/>
      <c r="AP51" s="277"/>
      <c r="AQ51" s="277"/>
      <c r="AR51" s="277"/>
      <c r="AS51" s="277"/>
      <c r="AT51" s="277"/>
      <c r="AU51" s="277"/>
      <c r="AV51" s="277"/>
      <c r="AW51" s="277"/>
      <c r="AX51" s="277"/>
      <c r="AY51" s="277"/>
      <c r="AZ51" s="277"/>
      <c r="BA51" s="277"/>
      <c r="BB51" s="277"/>
      <c r="BC51" s="278"/>
      <c r="BD51" s="64"/>
    </row>
    <row customHeight="1" ht="10.96875">
      <c r="E52" s="652">
        <v>11.25</v>
      </c>
      <c r="AI52" s="1363"/>
      <c r="AJ52" s="1363"/>
      <c r="AK52" s="1363"/>
      <c r="AL52" s="1363"/>
      <c r="AM52" s="1363"/>
      <c r="AN52" s="1363"/>
      <c r="AO52" s="1363"/>
      <c r="AP52" s="1363"/>
      <c r="AQ52" s="1363"/>
      <c r="AR52" s="1363"/>
      <c r="AS52" s="1363"/>
      <c r="AT52" s="1363"/>
      <c r="AU52" s="1363"/>
      <c r="AV52" s="1363"/>
      <c r="AW52" s="1363"/>
      <c r="AX52" s="1363"/>
      <c r="AY52" s="1363"/>
      <c r="AZ52" s="1363"/>
      <c r="BA52" s="1363"/>
      <c r="BB52" s="1363"/>
      <c r="BD52" s="398"/>
    </row>
  </sheetData>
  <sheetProtection formatColumns="0" formatRows="0" insertRows="0" deleteColumns="0" deleteRows="0" sort="0" autoFilter="0" insertColumns="1"/>
  <mergeCells count="11">
    <mergeCell ref="X27:X36"/>
    <mergeCell ref="Z27:Z36"/>
    <mergeCell ref="BC24:BC25"/>
    <mergeCell ref="AB24:AB25"/>
    <mergeCell ref="AC24:AC25"/>
    <mergeCell ref="AD24:AD25"/>
    <mergeCell ref="AB50:BC50"/>
    <mergeCell ref="AB48:BC48"/>
    <mergeCell ref="AB49:BC49"/>
    <mergeCell ref="X37:X46"/>
    <mergeCell ref="Z37:Z46"/>
  </mergeCells>
  <dataValidations count="1">
    <dataValidation type="decimal" allowBlank="1" showErrorMessage="1" errorTitle="Ошибка" error="Допускается ввод только неотрицательных чисел!" sqref="BB30:BB36 BB40:BB46 BA30:BA36 BA40:BA46 AZ30:AZ36 AZ40:AZ46 AY30:AY36 AY40:AY46 AX30:AX36 AX40:AX46 AW30:AW36 AW40:AW46 AV30:AV36 AV40:AV46 AU30:AU36 AU40:AU46 AT30:AT36 AT40:AT46 AS30:AS36 AS40:AS46 AR30:AR36 AR40:AR46 AQ30:AQ36 AQ40:AQ46 AP30:AP36 AP40:AP46 AO30:AO36 AO40:AO46 AN30:AN36 AN40:AN46 AM30:AM36 AM40:AM46 AL30:AL36 AL40:AL46 AK30:AK36 AK40:AK46 AJ30:AJ36 AJ40:AJ46 AI30:AI36 AI40:AI46 AH30:AH36 AH40:AH46 AG30:AG36 AG40:AG46 AF30:AF36 AF40:AF46 AE30:AE36 AE40:AE46">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86BC49-272B-F5C7-8868-8C2A22BF8E88}" mc:Ignorable="x14ac xr xr2 xr3">
  <sheetPr>
    <tabColor rgb="FF002060"/>
    <outlinePr summaryRight="0" summaryBelow="0"/>
    <pageSetUpPr fitToPage="1"/>
  </sheetPr>
  <dimension ref="A1:AI47"/>
  <sheetViews>
    <sheetView showGridLines="0" zoomScale="110" workbookViewId="0">
      <pane xSplit="30" ySplit="25" topLeftCell="AE37" activePane="bottomRight" state="frozen"/>
      <selection pane="bottomLeft" activeCell="A26" sqref="A26"/>
      <selection pane="topRight" activeCell="AE1" sqref="AE1"/>
      <selection pane="bottomRight" activeCell="AB46" sqref="AB46"/>
    </sheetView>
  </sheetViews>
  <sheetFormatPr defaultColWidth="8.7109375" customHeight="1" defaultRowHeight="11.25"/>
  <cols>
    <col min="1" max="1" style="1412" width="5.421875" hidden="1" customWidth="1"/>
    <col min="2" max="2" style="1412" width="6.7109375" hidden="1" customWidth="1"/>
    <col min="3" max="4" style="1412" width="2.7109375" hidden="1" customWidth="1"/>
    <col min="5" max="5" style="1372" width="3.7109375" hidden="1" customWidth="1"/>
    <col min="6" max="19" style="1412" width="2.7109375" hidden="1" customWidth="1"/>
    <col min="20" max="20" style="1412" width="8.140625" hidden="1" customWidth="1"/>
    <col min="21" max="21" style="1412" width="5.8515625" hidden="1" customWidth="1"/>
    <col min="22" max="23" style="1412" width="6.140625" hidden="1" customWidth="1"/>
    <col min="24" max="25" style="1412" width="5.57421875" hidden="1" customWidth="1"/>
    <col min="26" max="26" style="1412" width="5.28125" hidden="1" customWidth="1"/>
    <col min="27" max="27" style="1412" width="3.00390625" customWidth="1"/>
    <col min="28" max="28" style="1412" width="11.7109375" customWidth="1"/>
    <col min="29" max="29" style="1412" width="48.18359375" customWidth="1"/>
    <col min="30" max="30" style="1542" width="15.7109375" customWidth="1"/>
    <col min="31" max="31" style="1542" width="20.1328125" customWidth="1"/>
    <col min="32" max="32" style="1542" width="22.98046875" customWidth="1"/>
    <col min="33" max="33" style="1412" width="8.7109375"/>
    <col min="34" max="34" style="1412" width="8.7109375" hidden="1"/>
    <col min="35" max="35" style="1377" width="8.7109375" hidden="1"/>
  </cols>
  <sheetData>
    <row customHeight="1" ht="11.25" hidden="1">
      <c r="E1" s="461"/>
      <c r="F1" s="461" t="s">
        <v>309</v>
      </c>
      <c r="G1" s="461" t="s">
        <v>320</v>
      </c>
      <c r="T1" s="438" t="s">
        <v>92</v>
      </c>
      <c r="U1" s="438" t="s">
        <v>97</v>
      </c>
      <c r="V1" s="438" t="s">
        <v>93</v>
      </c>
      <c r="W1" s="438" t="s">
        <v>94</v>
      </c>
      <c r="X1" s="438" t="s">
        <v>95</v>
      </c>
      <c r="Y1" s="1352" t="s">
        <v>311</v>
      </c>
      <c r="Z1" s="438" t="s">
        <v>99</v>
      </c>
      <c r="AA1" s="440" t="s">
        <v>96</v>
      </c>
      <c r="AB1" s="1353"/>
      <c r="AC1" s="1354" t="s">
        <v>98</v>
      </c>
      <c r="AE1" s="1542"/>
      <c r="AF1" s="1542"/>
      <c r="AI1" s="1002" t="s">
        <v>312</v>
      </c>
    </row>
    <row customHeight="1" ht="11.25" hidden="1">
      <c r="B2" s="1177" t="s">
        <v>18</v>
      </c>
      <c r="E2" s="461"/>
      <c r="T2" s="1355"/>
      <c r="U2" s="1355"/>
      <c r="V2" s="1355"/>
      <c r="W2" s="1355"/>
      <c r="X2" s="1355"/>
      <c r="Y2" s="493"/>
      <c r="Z2" s="1355"/>
      <c r="AA2" s="493"/>
      <c r="AB2" s="1356"/>
      <c r="AC2" s="1356"/>
      <c r="AE2" s="512">
        <f>AE13&lt;=last_year_vis</f>
        <v>1</v>
      </c>
      <c r="AF2" s="512">
        <f>AF13&lt;=last_year_vis</f>
        <v>1</v>
      </c>
    </row>
    <row customHeight="1" ht="11.25" hidden="1">
      <c r="A3" s="387"/>
      <c r="B3" s="387"/>
      <c r="C3" s="387"/>
      <c r="D3" s="387"/>
      <c r="E3" s="387"/>
      <c r="F3" s="387"/>
      <c r="G3" s="387"/>
      <c r="H3" s="387"/>
      <c r="I3" s="387"/>
      <c r="J3" s="387"/>
      <c r="K3" s="387"/>
      <c r="L3" s="387"/>
      <c r="M3" s="387"/>
      <c r="N3" s="387"/>
      <c r="O3" s="387"/>
      <c r="P3" s="387"/>
      <c r="Q3" s="387"/>
      <c r="R3" s="387"/>
      <c r="S3" s="387"/>
      <c r="T3" s="387"/>
      <c r="U3" s="387"/>
      <c r="V3" s="387"/>
      <c r="W3" s="387"/>
      <c r="X3" s="387"/>
      <c r="Y3" s="387"/>
      <c r="Z3" s="387"/>
      <c r="AA3" s="387"/>
      <c r="AE3" s="1542"/>
      <c r="AF3" s="1542"/>
      <c r="AI3" s="1178"/>
    </row>
    <row customHeight="1" ht="11.25" hidden="1">
      <c r="A4" s="387"/>
      <c r="B4" s="387"/>
      <c r="C4" s="387"/>
      <c r="D4" s="387"/>
      <c r="E4" s="387"/>
      <c r="F4" s="387"/>
      <c r="G4" s="387"/>
      <c r="H4" s="387"/>
      <c r="I4" s="387"/>
      <c r="J4" s="387"/>
      <c r="K4" s="387"/>
      <c r="L4" s="387"/>
      <c r="M4" s="387"/>
      <c r="N4" s="387"/>
      <c r="O4" s="387"/>
      <c r="P4" s="387"/>
      <c r="Q4" s="387"/>
      <c r="R4" s="387"/>
      <c r="S4" s="387"/>
      <c r="T4" s="387"/>
      <c r="U4" s="387"/>
      <c r="V4" s="387"/>
      <c r="W4" s="387"/>
      <c r="X4" s="387"/>
      <c r="Y4" s="387"/>
      <c r="Z4" s="387"/>
      <c r="AA4" s="387"/>
      <c r="AE4" s="1542"/>
      <c r="AF4" s="1542"/>
      <c r="AI4" s="1178"/>
    </row>
    <row s="1202" customFormat="1" customHeight="1" ht="11.25" hidden="1">
      <c r="A5" s="387"/>
      <c r="B5" s="387"/>
      <c r="C5" s="387"/>
      <c r="D5" s="387"/>
      <c r="E5" s="1179" t="s">
        <v>19</v>
      </c>
      <c r="F5" s="632"/>
      <c r="G5" s="632"/>
      <c r="H5" s="632"/>
      <c r="I5" s="632"/>
      <c r="J5" s="632"/>
      <c r="K5" s="632"/>
      <c r="L5" s="632"/>
      <c r="M5" s="632"/>
      <c r="N5" s="632"/>
      <c r="O5" s="632"/>
      <c r="P5" s="632"/>
      <c r="Q5" s="632"/>
      <c r="R5" s="632"/>
      <c r="S5" s="632"/>
      <c r="T5" s="632"/>
      <c r="U5" s="632"/>
      <c r="V5" s="632"/>
      <c r="W5" s="632"/>
      <c r="X5" s="632"/>
      <c r="Y5" s="632"/>
      <c r="Z5" s="632"/>
      <c r="AA5" s="632">
        <v>3</v>
      </c>
      <c r="AB5" s="1180" t="s">
        <v>971</v>
      </c>
      <c r="AC5" s="651">
        <v>41.71</v>
      </c>
      <c r="AD5" s="651">
        <v>15.71</v>
      </c>
      <c r="AE5" s="651">
        <v>12.57</v>
      </c>
      <c r="AF5" s="651">
        <v>12.57</v>
      </c>
      <c r="AG5" s="651" t="s">
        <v>319</v>
      </c>
      <c r="AI5" s="983"/>
    </row>
    <row customHeight="1" ht="11.25" hidden="1">
      <c r="A6" s="387"/>
      <c r="B6" s="387"/>
      <c r="C6" s="387"/>
      <c r="D6" s="387"/>
      <c r="E6" s="632"/>
      <c r="F6" s="387"/>
      <c r="G6" s="387"/>
      <c r="H6" s="387"/>
      <c r="I6" s="387"/>
      <c r="J6" s="387"/>
      <c r="K6" s="387"/>
      <c r="L6" s="387"/>
      <c r="M6" s="387"/>
      <c r="N6" s="387"/>
      <c r="O6" s="387"/>
      <c r="P6" s="387"/>
      <c r="Q6" s="387"/>
      <c r="R6" s="387"/>
      <c r="S6" s="387"/>
      <c r="T6" s="387"/>
      <c r="U6" s="387"/>
      <c r="V6" s="387"/>
      <c r="W6" s="387"/>
      <c r="X6" s="387"/>
      <c r="Y6" s="387"/>
      <c r="Z6" s="387"/>
      <c r="AA6" s="387"/>
      <c r="AE6" s="1542"/>
      <c r="AF6" s="1542"/>
      <c r="AI6" s="1178"/>
    </row>
    <row customHeight="1" ht="11.25" hidden="1">
      <c r="A7" s="387"/>
      <c r="B7" s="387"/>
      <c r="C7" s="387"/>
      <c r="D7" s="387"/>
      <c r="E7" s="632"/>
      <c r="F7" s="387"/>
      <c r="G7" s="387"/>
      <c r="H7" s="387"/>
      <c r="I7" s="387"/>
      <c r="J7" s="387"/>
      <c r="K7" s="387"/>
      <c r="L7" s="387"/>
      <c r="M7" s="387"/>
      <c r="N7" s="387"/>
      <c r="O7" s="387"/>
      <c r="P7" s="387"/>
      <c r="Q7" s="387"/>
      <c r="R7" s="387"/>
      <c r="S7" s="387"/>
      <c r="T7" s="387"/>
      <c r="U7" s="387"/>
      <c r="V7" s="387"/>
      <c r="W7" s="387"/>
      <c r="X7" s="387"/>
      <c r="Y7" s="387"/>
      <c r="Z7" s="387"/>
      <c r="AA7" s="387"/>
      <c r="AE7" s="1542"/>
      <c r="AF7" s="1542"/>
      <c r="AI7" s="1178"/>
    </row>
    <row customHeight="1" ht="11.25" hidden="1">
      <c r="A8" s="387"/>
      <c r="B8" s="387"/>
      <c r="C8" s="387"/>
      <c r="D8" s="387"/>
      <c r="E8" s="632"/>
      <c r="F8" s="387"/>
      <c r="G8" s="387"/>
      <c r="H8" s="387"/>
      <c r="I8" s="387"/>
      <c r="J8" s="387"/>
      <c r="K8" s="387"/>
      <c r="L8" s="387"/>
      <c r="M8" s="387"/>
      <c r="N8" s="387"/>
      <c r="O8" s="387"/>
      <c r="P8" s="387"/>
      <c r="Q8" s="387"/>
      <c r="R8" s="387"/>
      <c r="S8" s="387"/>
      <c r="T8" s="387"/>
      <c r="U8" s="387"/>
      <c r="V8" s="387"/>
      <c r="W8" s="387"/>
      <c r="X8" s="387"/>
      <c r="Y8" s="387"/>
      <c r="Z8" s="387"/>
      <c r="AA8" s="387"/>
      <c r="AE8" s="1542"/>
      <c r="AF8" s="1542"/>
      <c r="AI8" s="1178"/>
    </row>
    <row s="1178" customFormat="1" customHeight="1" ht="11.25" hidden="1">
      <c r="A9" s="1181" t="s">
        <v>354</v>
      </c>
      <c r="B9" s="978"/>
      <c r="C9" s="978"/>
      <c r="D9" s="978"/>
      <c r="E9" s="978"/>
      <c r="F9" s="978"/>
      <c r="G9" s="978"/>
      <c r="H9" s="978"/>
      <c r="I9" s="978"/>
      <c r="J9" s="978"/>
      <c r="K9" s="978"/>
      <c r="L9" s="978"/>
      <c r="M9" s="978"/>
      <c r="N9" s="978"/>
      <c r="O9" s="978"/>
      <c r="P9" s="978"/>
      <c r="Q9" s="978"/>
      <c r="R9" s="978"/>
      <c r="S9" s="978"/>
      <c r="T9" s="978"/>
      <c r="U9" s="978"/>
      <c r="V9" s="978"/>
      <c r="W9" s="978"/>
      <c r="X9" s="978"/>
      <c r="Y9" s="978"/>
      <c r="Z9" s="978"/>
      <c r="AA9" s="978"/>
      <c r="AE9" s="1178"/>
      <c r="AF9" s="1178"/>
    </row>
    <row s="1178" customFormat="1" customHeight="1" ht="11.25" hidden="1">
      <c r="A10" s="978" t="s">
        <v>355</v>
      </c>
      <c r="B10" s="978"/>
      <c r="C10" s="978"/>
      <c r="D10" s="978"/>
      <c r="E10" s="978"/>
      <c r="F10" s="978"/>
      <c r="G10" s="978"/>
      <c r="H10" s="978"/>
      <c r="I10" s="978"/>
      <c r="J10" s="978"/>
      <c r="K10" s="978"/>
      <c r="L10" s="978"/>
      <c r="M10" s="978"/>
      <c r="N10" s="978"/>
      <c r="O10" s="978"/>
      <c r="P10" s="978"/>
      <c r="Q10" s="978"/>
      <c r="R10" s="978"/>
      <c r="S10" s="978"/>
      <c r="T10" s="978"/>
      <c r="U10" s="978"/>
      <c r="V10" s="978"/>
      <c r="W10" s="978"/>
      <c r="X10" s="978"/>
      <c r="Y10" s="978"/>
      <c r="Z10" s="978"/>
      <c r="AA10" s="978"/>
      <c r="AE10" s="978" cm="1" t="str">
        <f t="array" ref="AE10:AE10">AE13</f>
        <v>2026</v>
      </c>
      <c r="AF10" s="978" cm="1" t="str">
        <f t="array" ref="AF10:AF10">AF13</f>
        <v>2026</v>
      </c>
    </row>
    <row customHeight="1" ht="11.25" hidden="1">
      <c r="A11" s="387"/>
      <c r="B11" s="387"/>
      <c r="C11" s="387"/>
      <c r="D11" s="387"/>
      <c r="E11" s="632"/>
      <c r="F11" s="387"/>
      <c r="G11" s="387"/>
      <c r="H11" s="387"/>
      <c r="I11" s="387"/>
      <c r="J11" s="387"/>
      <c r="K11" s="387"/>
      <c r="L11" s="387"/>
      <c r="M11" s="387"/>
      <c r="N11" s="387"/>
      <c r="O11" s="387"/>
      <c r="P11" s="387"/>
      <c r="Q11" s="387"/>
      <c r="R11" s="387"/>
      <c r="S11" s="387"/>
      <c r="T11" s="387"/>
      <c r="U11" s="387"/>
      <c r="V11" s="387"/>
      <c r="W11" s="387"/>
      <c r="X11" s="387"/>
      <c r="Y11" s="387"/>
      <c r="Z11" s="387"/>
      <c r="AA11" s="387"/>
      <c r="AE11" s="387" cm="1" t="str">
        <f t="array" ref="AE11:AE11">AE25</f>
        <v>Предложение организации</v>
      </c>
      <c r="AF11" s="387" cm="1" t="str">
        <f t="array" ref="AF11:AF11">AF25</f>
        <v>Принято органом регулирования</v>
      </c>
      <c r="AI11" s="1178"/>
    </row>
    <row customHeight="1" ht="11.25" hidden="1">
      <c r="B12" s="1182"/>
      <c r="T12" s="1355"/>
      <c r="U12" s="1355"/>
      <c r="V12" s="1355"/>
      <c r="W12" s="1355"/>
      <c r="X12" s="1355"/>
      <c r="Y12" s="493"/>
      <c r="Z12" s="1355"/>
      <c r="AA12" s="493"/>
      <c r="AB12" s="1356"/>
      <c r="AC12" s="1356"/>
      <c r="AE12" s="1542"/>
      <c r="AF12" s="1542"/>
    </row>
    <row customHeight="1" ht="11.25" hidden="1">
      <c r="A13" s="461" t="s">
        <v>349</v>
      </c>
      <c r="B13" s="1182"/>
      <c r="AE13" s="489" cm="1" t="str">
        <f t="array" ref="AE13:AE13">god</f>
        <v>2026</v>
      </c>
      <c r="AF13" s="489" cm="1" t="str">
        <f t="array" ref="AF13:AF13">god</f>
        <v>2026</v>
      </c>
    </row>
    <row customHeight="1" ht="11.25" hidden="1">
      <c r="A14" s="461" t="s">
        <v>350</v>
      </c>
      <c r="AE14" s="489" cm="1" t="str">
        <f t="array" ref="AE14:AE14">AE25</f>
        <v>Предложение организации</v>
      </c>
      <c r="AF14" s="489" cm="1" t="str">
        <f t="array" ref="AF14:AF14">AF25</f>
        <v>Принято органом регулирования</v>
      </c>
    </row>
    <row customHeight="1" ht="11.25" hidden="1">
      <c r="AE15" s="489"/>
      <c r="AF15" s="489"/>
    </row>
    <row customHeight="1" ht="11.25" hidden="1">
      <c r="AE16" s="489"/>
      <c r="AF16" s="489"/>
    </row>
    <row customHeight="1" ht="11.25" hidden="1">
      <c r="AE17" s="489"/>
      <c r="AF17" s="489"/>
    </row>
    <row customHeight="1" ht="11.25" hidden="1">
      <c r="AE18" s="1542"/>
      <c r="AF18" s="1542"/>
    </row>
    <row customHeight="1" ht="11.25" hidden="1">
      <c r="AE19" s="1542"/>
      <c r="AF19" s="1542"/>
    </row>
    <row customHeight="1" ht="11.25" hidden="1">
      <c r="AE20" s="1542"/>
      <c r="AF20" s="1542"/>
    </row>
    <row customHeight="1" ht="14.625">
      <c r="E21" s="625">
        <v>15</v>
      </c>
      <c r="AA21" s="461"/>
      <c r="AC21" s="496" cm="1" t="str">
        <f t="array" ref="AC21:AC21">tpl_title</f>
        <v>Кемеровская область / 2026 / ОАО «СКЭК» (ИНН:4205153492, КПП:420501001) / ДПР: 2026-2026</v>
      </c>
      <c r="AE21" s="1542"/>
      <c r="AF21" s="1542"/>
    </row>
    <row customHeight="1" ht="37.29375">
      <c r="E22" s="625">
        <v>38.25</v>
      </c>
      <c r="AB22" s="1556" t="s">
        <v>55</v>
      </c>
      <c r="AC22" s="1557"/>
      <c r="AD22" s="1557"/>
      <c r="AE22" s="1557"/>
      <c r="AF22" s="1557"/>
    </row>
    <row customHeight="1" ht="10.96875">
      <c r="E23" s="625">
        <v>11.25</v>
      </c>
      <c r="AB23" s="1526"/>
      <c r="AC23" s="1526"/>
      <c r="AD23" s="1526"/>
      <c r="AE23" s="1526"/>
      <c r="AF23" s="1526"/>
    </row>
    <row customHeight="1" ht="14.625">
      <c r="E24" s="625">
        <v>15</v>
      </c>
      <c r="AB24" s="1522" t="s">
        <v>758</v>
      </c>
      <c r="AC24" s="1553" t="s">
        <v>197</v>
      </c>
      <c r="AD24" s="1522" t="s">
        <v>359</v>
      </c>
      <c r="AE24" s="1558" t="str">
        <f>god&amp;" год"</f>
        <v>2026 год</v>
      </c>
      <c r="AF24" s="1559"/>
    </row>
    <row customHeight="1" ht="48.75">
      <c r="E25" s="625">
        <v>50</v>
      </c>
      <c r="AB25" s="1522"/>
      <c r="AC25" s="1553"/>
      <c r="AD25" s="1522"/>
      <c r="AE25" s="1298" t="s">
        <v>352</v>
      </c>
      <c r="AF25" s="492" t="s">
        <v>351</v>
      </c>
    </row>
    <row customHeight="1" ht="11.25" hidden="1">
      <c r="E26" s="625">
        <v>0</v>
      </c>
      <c r="AB26" s="700"/>
      <c r="AC26" s="714"/>
      <c r="AD26" s="700"/>
      <c r="AE26" s="1299"/>
      <c r="AF26" s="1299"/>
    </row>
    <row customHeight="1" ht="14.625" hidden="1">
      <c r="A27" s="1412"/>
      <c r="B27" s="1412"/>
      <c r="C27" s="489"/>
      <c r="D27" s="1412"/>
      <c r="E27" s="625">
        <v>15</v>
      </c>
      <c r="F27" s="489" cm="1" t="str">
        <f t="array" ref="F27:F27">X27</f>
        <v>0</v>
      </c>
      <c r="G27" s="1412"/>
      <c r="H27" s="1412"/>
      <c r="I27" s="1412"/>
      <c r="J27" s="1412"/>
      <c r="K27" s="1412"/>
      <c r="L27" s="1412"/>
      <c r="M27" s="1412"/>
      <c r="N27" s="1412"/>
      <c r="O27" s="1412"/>
      <c r="P27" s="1412"/>
      <c r="Q27" s="1412"/>
      <c r="R27" s="1412"/>
      <c r="S27" s="1412"/>
      <c r="T27" s="438">
        <f>X27&gt;0</f>
        <v>0</v>
      </c>
      <c r="U27" s="1412"/>
      <c r="V27" s="461" t="s">
        <v>267</v>
      </c>
      <c r="W27" s="1412"/>
      <c r="X27" s="1541">
        <v>0</v>
      </c>
      <c r="Y27" s="1412"/>
      <c r="Z27" s="1542"/>
      <c r="AA27" s="1412"/>
      <c r="AB27" s="1183" cm="1" t="str">
        <f t="array" ref="AB27:AB27">INDEX('Общие сведения'!$AG$179:$AG$208,MATCH($X27,'Общие сведения'!$Z$179:$Z$208,0))</f>
        <v>Тариф 0 () - тариф на транспортировку сточных вод</v>
      </c>
      <c r="AC27" s="146"/>
      <c r="AD27" s="1184"/>
      <c r="AE27" s="1184"/>
      <c r="AF27" s="1185"/>
      <c r="AG27" s="1412"/>
      <c r="AH27" s="1412"/>
      <c r="AI27" s="1377"/>
    </row>
    <row s="498" customFormat="1" customHeight="1" ht="14.625" hidden="1">
      <c r="A28" s="461"/>
      <c r="B28" s="498"/>
      <c r="C28" s="1300"/>
      <c r="D28" s="498"/>
      <c r="E28" s="650">
        <v>15</v>
      </c>
      <c r="F28" s="50" cm="1" t="str">
        <f t="array" ref="F28:F28">OFFSET(E28,-1,1)</f>
        <v>0</v>
      </c>
      <c r="G28" s="498" t="s">
        <v>321</v>
      </c>
      <c r="H28" s="498"/>
      <c r="I28" s="498"/>
      <c r="J28" s="498"/>
      <c r="K28" s="498"/>
      <c r="L28" s="498"/>
      <c r="M28" s="498"/>
      <c r="N28" s="498"/>
      <c r="O28" s="498"/>
      <c r="P28" s="498"/>
      <c r="Q28" s="498"/>
      <c r="R28" s="498"/>
      <c r="S28" s="498"/>
      <c r="T28" s="438" cm="1" t="str">
        <f t="array" ref="T28:T28">T27</f>
        <v>false</v>
      </c>
      <c r="U28" s="498"/>
      <c r="V28" s="498"/>
      <c r="W28" s="498"/>
      <c r="X28" s="1541"/>
      <c r="Y28" s="498"/>
      <c r="Z28" s="1542"/>
      <c r="AA28" s="498"/>
      <c r="AB28" s="1186" t="s">
        <v>281</v>
      </c>
      <c r="AC28" s="1187" t="s">
        <v>972</v>
      </c>
      <c r="AD28" s="488" t="s">
        <v>973</v>
      </c>
      <c r="AE28" s="1188">
        <f>IF(AE30=0,0,AE29/AE30)</f>
        <v>0</v>
      </c>
      <c r="AF28" s="500">
        <f>IF(AF30=0,0,AF29/AF30)</f>
        <v>0</v>
      </c>
      <c r="AG28" s="498"/>
      <c r="AH28" s="498"/>
      <c r="AI28" s="1012" t="s">
        <v>974</v>
      </c>
    </row>
    <row customHeight="1" ht="14.625" hidden="1">
      <c r="A29" s="1412"/>
      <c r="B29" s="1412"/>
      <c r="C29" s="491"/>
      <c r="D29" s="1412"/>
      <c r="E29" s="625">
        <v>15</v>
      </c>
      <c r="F29" s="50" cm="1" t="str">
        <f t="array" ref="F29:F29">OFFSET(E29,-1,1)</f>
        <v>0</v>
      </c>
      <c r="G29" s="461" t="s">
        <v>434</v>
      </c>
      <c r="H29" s="1412"/>
      <c r="I29" s="1412"/>
      <c r="J29" s="1412"/>
      <c r="K29" s="1412"/>
      <c r="L29" s="1412"/>
      <c r="M29" s="1412"/>
      <c r="N29" s="1412"/>
      <c r="O29" s="1412"/>
      <c r="P29" s="1412"/>
      <c r="Q29" s="1412"/>
      <c r="R29" s="1412"/>
      <c r="S29" s="1412"/>
      <c r="T29" s="438" cm="1" t="str">
        <f t="array" ref="T29:T29">T28</f>
        <v>false</v>
      </c>
      <c r="U29" s="1412"/>
      <c r="V29" s="1412"/>
      <c r="W29" s="1412"/>
      <c r="X29" s="1541"/>
      <c r="Y29" s="1412"/>
      <c r="Z29" s="1542"/>
      <c r="AA29" s="1412"/>
      <c r="AB29" s="1189" t="s">
        <v>844</v>
      </c>
      <c r="AC29" s="1190" t="s">
        <v>975</v>
      </c>
      <c r="AD29" s="501" t="s">
        <v>789</v>
      </c>
      <c r="AE29" s="1191"/>
      <c r="AF29" s="1191"/>
      <c r="AG29" s="1412"/>
      <c r="AH29" s="1412"/>
      <c r="AI29" s="1002" t="s">
        <v>976</v>
      </c>
    </row>
    <row customHeight="1" ht="32.90625" hidden="1">
      <c r="A30" s="1412"/>
      <c r="B30" s="1412"/>
      <c r="C30" s="491"/>
      <c r="D30" s="1412"/>
      <c r="E30" s="625">
        <v>33.75</v>
      </c>
      <c r="F30" s="50" cm="1" t="str">
        <f t="array" ref="F30:F30">OFFSET(E30,-1,1)</f>
        <v>0</v>
      </c>
      <c r="G30" s="461" t="s">
        <v>438</v>
      </c>
      <c r="H30" s="1412"/>
      <c r="I30" s="1412"/>
      <c r="J30" s="1412"/>
      <c r="K30" s="1412"/>
      <c r="L30" s="1412"/>
      <c r="M30" s="1412"/>
      <c r="N30" s="1412"/>
      <c r="O30" s="1412"/>
      <c r="P30" s="1412"/>
      <c r="Q30" s="1412"/>
      <c r="R30" s="1412"/>
      <c r="S30" s="1412"/>
      <c r="T30" s="438" cm="1" t="str">
        <f t="array" ref="T30:T30">T29</f>
        <v>false</v>
      </c>
      <c r="U30" s="1412"/>
      <c r="V30" s="1412"/>
      <c r="W30" s="1412"/>
      <c r="X30" s="1541"/>
      <c r="Y30" s="1412"/>
      <c r="Z30" s="1542"/>
      <c r="AA30" s="1412"/>
      <c r="AB30" s="501" t="s">
        <v>847</v>
      </c>
      <c r="AC30" s="502" t="s">
        <v>977</v>
      </c>
      <c r="AD30" s="501" t="s">
        <v>768</v>
      </c>
      <c r="AE30" s="1192">
        <f>_xlfn.SUMIFS('Условные метры'!$AL$28:$AL$36,'Условные метры'!$F$28:$F$36,$F30,'Условные метры'!$G$28:$G$36,"Итог")</f>
        <v>0</v>
      </c>
      <c r="AF30" s="1062">
        <f>_xlfn.SUMIFS('Условные метры'!$AN$28:$AN$36,'Условные метры'!$F$28:$F$36,$F30,'Условные метры'!$G$28:$G$36,"Итог")</f>
        <v>0</v>
      </c>
      <c r="AG30" s="1412"/>
      <c r="AH30" s="1412"/>
      <c r="AI30" s="1002" t="s">
        <v>978</v>
      </c>
    </row>
    <row s="498" customFormat="1" customHeight="1" ht="32.90625" hidden="1">
      <c r="A31" s="461"/>
      <c r="B31" s="498"/>
      <c r="C31" s="1301"/>
      <c r="D31" s="498"/>
      <c r="E31" s="650">
        <v>33.75</v>
      </c>
      <c r="F31" s="50" cm="1" t="str">
        <f t="array" ref="F31:F31">OFFSET(E31,-1,1)</f>
        <v>0</v>
      </c>
      <c r="G31" s="498" t="s">
        <v>322</v>
      </c>
      <c r="H31" s="498"/>
      <c r="I31" s="498"/>
      <c r="J31" s="498"/>
      <c r="K31" s="498"/>
      <c r="L31" s="498"/>
      <c r="M31" s="498"/>
      <c r="N31" s="498"/>
      <c r="O31" s="498"/>
      <c r="P31" s="498"/>
      <c r="Q31" s="498"/>
      <c r="R31" s="498"/>
      <c r="S31" s="498"/>
      <c r="T31" s="438" cm="1" t="str">
        <f t="array" ref="T31:T31">T30</f>
        <v>false</v>
      </c>
      <c r="U31" s="498"/>
      <c r="V31" s="498"/>
      <c r="W31" s="498"/>
      <c r="X31" s="1541"/>
      <c r="Y31" s="498"/>
      <c r="Z31" s="1542"/>
      <c r="AA31" s="498"/>
      <c r="AB31" s="1193">
        <v>2</v>
      </c>
      <c r="AC31" s="1194" t="s">
        <v>979</v>
      </c>
      <c r="AD31" s="1195" t="s">
        <v>973</v>
      </c>
      <c r="AE31" s="1196">
        <f>MIN(AE33,AE28)</f>
        <v>0</v>
      </c>
      <c r="AF31" s="505">
        <f>MIN(AF33,AF28)</f>
        <v>0</v>
      </c>
      <c r="AG31" s="498"/>
      <c r="AH31" s="498"/>
      <c r="AI31" s="1012" t="s">
        <v>980</v>
      </c>
    </row>
    <row customHeight="1" ht="21.9375" hidden="1">
      <c r="A32" s="1412"/>
      <c r="B32" s="1412"/>
      <c r="C32" s="491"/>
      <c r="D32" s="1412"/>
      <c r="E32" s="625">
        <v>22.5</v>
      </c>
      <c r="F32" s="50" cm="1" t="str">
        <f t="array" ref="F32:F32">OFFSET(E32,-1,1)</f>
        <v>0</v>
      </c>
      <c r="G32" s="461" t="s">
        <v>323</v>
      </c>
      <c r="H32" s="1412"/>
      <c r="I32" s="1412"/>
      <c r="J32" s="1412"/>
      <c r="K32" s="1412"/>
      <c r="L32" s="1412"/>
      <c r="M32" s="1412"/>
      <c r="N32" s="1412"/>
      <c r="O32" s="1412"/>
      <c r="P32" s="1412"/>
      <c r="Q32" s="1412"/>
      <c r="R32" s="1412"/>
      <c r="S32" s="1412"/>
      <c r="T32" s="438" cm="1" t="str">
        <f t="array" ref="T32:T32">T31</f>
        <v>false</v>
      </c>
      <c r="U32" s="1412"/>
      <c r="V32" s="1412"/>
      <c r="W32" s="1412"/>
      <c r="X32" s="1541"/>
      <c r="Y32" s="1412"/>
      <c r="Z32" s="1542"/>
      <c r="AA32" s="1412"/>
      <c r="AB32" s="1197">
        <v>3</v>
      </c>
      <c r="AC32" s="499" t="s">
        <v>981</v>
      </c>
      <c r="AD32" s="488" t="s">
        <v>973</v>
      </c>
      <c r="AE32" s="500" cm="1" t="str">
        <f t="array" ref="AE32:AE32">INDEX('Калькуляция (МСА)'!$L$26:$M$67,MATCH('Амортизация (аналог)'!$F32&amp;"УТР",'Калькуляция (МСА)'!$K$26:$K$67,0),1)</f>
        <v>0</v>
      </c>
      <c r="AF32" s="500" cm="1" t="str">
        <f t="array" ref="AF32:AF32">INDEX('Калькуляция (МСА)'!$L$26:$M$67,MATCH('Амортизация (аналог)'!$F32&amp;"УТР",'Калькуляция (МСА)'!$K$26:$K$67,0),2)</f>
        <v>0</v>
      </c>
      <c r="AG32" s="1412"/>
      <c r="AH32" s="1412"/>
      <c r="AI32" s="1002" t="s">
        <v>982</v>
      </c>
    </row>
    <row customHeight="1" ht="14.625" hidden="1">
      <c r="A33" s="1412"/>
      <c r="B33" s="1412"/>
      <c r="C33" s="491"/>
      <c r="D33" s="1412"/>
      <c r="E33" s="625">
        <v>15</v>
      </c>
      <c r="F33" s="50" cm="1" t="str">
        <f t="array" ref="F33:F33">OFFSET(E33,-1,1)</f>
        <v>0</v>
      </c>
      <c r="G33" s="461" t="s">
        <v>325</v>
      </c>
      <c r="H33" s="1412"/>
      <c r="I33" s="1412"/>
      <c r="J33" s="1412"/>
      <c r="K33" s="1412"/>
      <c r="L33" s="1412"/>
      <c r="M33" s="1412"/>
      <c r="N33" s="1412"/>
      <c r="O33" s="1412"/>
      <c r="P33" s="1412"/>
      <c r="Q33" s="1412"/>
      <c r="R33" s="1412"/>
      <c r="S33" s="1412"/>
      <c r="T33" s="438" cm="1" t="str">
        <f t="array" ref="T33:T33">T32</f>
        <v>false</v>
      </c>
      <c r="U33" s="1412"/>
      <c r="V33" s="1412"/>
      <c r="W33" s="1412"/>
      <c r="X33" s="1541"/>
      <c r="Y33" s="1412"/>
      <c r="Z33" s="1542"/>
      <c r="AA33" s="1412"/>
      <c r="AB33" s="506">
        <v>4</v>
      </c>
      <c r="AC33" s="499" t="s">
        <v>983</v>
      </c>
      <c r="AD33" s="488" t="s">
        <v>973</v>
      </c>
      <c r="AE33" s="1198">
        <f>AE32*0.15</f>
        <v>0</v>
      </c>
      <c r="AF33" s="507">
        <f>AF32*0.15</f>
        <v>0</v>
      </c>
      <c r="AG33" s="1412"/>
      <c r="AH33" s="1412"/>
      <c r="AI33" s="1002" t="s">
        <v>984</v>
      </c>
    </row>
    <row s="1624" customFormat="1" customHeight="1" ht="25.319595336914062">
      <c r="A34" s="1412"/>
      <c r="B34" s="1412"/>
      <c r="C34" s="489"/>
      <c r="D34" s="1412"/>
      <c r="E34" s="625">
        <v>15</v>
      </c>
      <c r="F34" s="489" cm="1" t="str">
        <f t="array" ref="F34:F34">X34</f>
        <v>1</v>
      </c>
      <c r="G34" s="1412"/>
      <c r="H34" s="1412"/>
      <c r="I34" s="1412"/>
      <c r="J34" s="1412"/>
      <c r="K34" s="1412"/>
      <c r="L34" s="1412"/>
      <c r="M34" s="1412"/>
      <c r="N34" s="1412"/>
      <c r="O34" s="1412"/>
      <c r="P34" s="1412"/>
      <c r="Q34" s="1412"/>
      <c r="R34" s="1412"/>
      <c r="S34" s="1412"/>
      <c r="T34" s="438">
        <f>X34&gt;0</f>
        <v>1</v>
      </c>
      <c r="U34" s="1412"/>
      <c r="V34" s="461" cm="1" t="str">
        <f t="array" ref="V34:V34">Амортизация!$AB$76</f>
        <v>Тариф 1 (Водоотведение) - тариф на транспортировку сточных вод</v>
      </c>
      <c r="W34" s="1412"/>
      <c r="X34" s="1541" t="s">
        <v>281</v>
      </c>
      <c r="Y34" s="1412"/>
      <c r="Z34" s="1542"/>
      <c r="AA34" s="1412"/>
      <c r="AB34" s="1183" cm="1" t="str">
        <f t="array" ref="AB34:AB34">Амортизация!$AB$76</f>
        <v>Тариф 1 (Водоотведение) - тариф на транспортировку сточных вод</v>
      </c>
      <c r="AC34" s="146"/>
      <c r="AD34" s="1184"/>
      <c r="AE34" s="1184"/>
      <c r="AF34" s="1185"/>
      <c r="AG34" s="1412"/>
      <c r="AH34" s="1412"/>
      <c r="AI34" s="1377"/>
    </row>
    <row s="498" customFormat="1" customHeight="1" ht="31.4559589732777">
      <c r="A35" s="461"/>
      <c r="B35" s="498"/>
      <c r="C35" s="1300"/>
      <c r="D35" s="498"/>
      <c r="E35" s="650">
        <v>15</v>
      </c>
      <c r="F35" s="50" cm="1" t="str">
        <f t="array" ref="F35:F35">OFFSET(E35,-1,1)</f>
        <v>1</v>
      </c>
      <c r="G35" s="498" t="s">
        <v>321</v>
      </c>
      <c r="H35" s="498"/>
      <c r="I35" s="498"/>
      <c r="J35" s="498"/>
      <c r="K35" s="498"/>
      <c r="L35" s="498"/>
      <c r="M35" s="498"/>
      <c r="N35" s="498"/>
      <c r="O35" s="498"/>
      <c r="P35" s="498"/>
      <c r="Q35" s="498"/>
      <c r="R35" s="498"/>
      <c r="S35" s="498"/>
      <c r="T35" s="438" cm="1" t="str">
        <f t="array" ref="T35:T35">T34</f>
        <v>true</v>
      </c>
      <c r="U35" s="498"/>
      <c r="V35" s="498"/>
      <c r="W35" s="498"/>
      <c r="X35" s="1541"/>
      <c r="Y35" s="498"/>
      <c r="Z35" s="1542"/>
      <c r="AA35" s="498"/>
      <c r="AB35" s="1186" t="s">
        <v>281</v>
      </c>
      <c r="AC35" s="1187" t="s">
        <v>972</v>
      </c>
      <c r="AD35" s="488" t="s">
        <v>973</v>
      </c>
      <c r="AE35" s="1188">
        <f>IF(AE37=0,0,AE36/AE37)</f>
        <v>0</v>
      </c>
      <c r="AF35" s="500">
        <f>IF(AF37=0,0,AF36/AF37)</f>
        <v>0</v>
      </c>
      <c r="AG35" s="498"/>
      <c r="AH35" s="498"/>
      <c r="AI35" s="1012" t="s">
        <v>974</v>
      </c>
    </row>
    <row s="1624" customFormat="1" customHeight="1" ht="28.046868064186786">
      <c r="A36" s="1412"/>
      <c r="B36" s="1412"/>
      <c r="C36" s="491"/>
      <c r="D36" s="1412"/>
      <c r="E36" s="625">
        <v>15</v>
      </c>
      <c r="F36" s="50" cm="1" t="str">
        <f t="array" ref="F36:F36">OFFSET(E36,-1,1)</f>
        <v>1</v>
      </c>
      <c r="G36" s="461" t="s">
        <v>434</v>
      </c>
      <c r="H36" s="1412"/>
      <c r="I36" s="1412"/>
      <c r="J36" s="1412"/>
      <c r="K36" s="1412"/>
      <c r="L36" s="1412"/>
      <c r="M36" s="1412"/>
      <c r="N36" s="1412"/>
      <c r="O36" s="1412"/>
      <c r="P36" s="1412"/>
      <c r="Q36" s="1412"/>
      <c r="R36" s="1412"/>
      <c r="S36" s="1412"/>
      <c r="T36" s="438" cm="1" t="str">
        <f t="array" ref="T36:T36">T35</f>
        <v>true</v>
      </c>
      <c r="U36" s="1412"/>
      <c r="V36" s="1412"/>
      <c r="W36" s="1412"/>
      <c r="X36" s="1541"/>
      <c r="Y36" s="1412"/>
      <c r="Z36" s="1542"/>
      <c r="AA36" s="1412"/>
      <c r="AB36" s="1189" t="s">
        <v>844</v>
      </c>
      <c r="AC36" s="1190" t="s">
        <v>975</v>
      </c>
      <c r="AD36" s="501" t="s">
        <v>789</v>
      </c>
      <c r="AE36" s="1191">
        <v>0</v>
      </c>
      <c r="AF36" s="1191">
        <v>0</v>
      </c>
      <c r="AG36" s="1412"/>
      <c r="AH36" s="1412"/>
      <c r="AI36" s="1002" t="s">
        <v>976</v>
      </c>
    </row>
    <row s="1624" customFormat="1" customHeight="1" ht="32.25">
      <c r="A37" s="1412"/>
      <c r="B37" s="1412"/>
      <c r="C37" s="491"/>
      <c r="D37" s="1412"/>
      <c r="E37" s="625">
        <v>33.75</v>
      </c>
      <c r="F37" s="50" cm="1" t="str">
        <f t="array" ref="F37:F37">OFFSET(E37,-1,1)</f>
        <v>1</v>
      </c>
      <c r="G37" s="461" t="s">
        <v>438</v>
      </c>
      <c r="H37" s="1412"/>
      <c r="I37" s="1412"/>
      <c r="J37" s="1412"/>
      <c r="K37" s="1412"/>
      <c r="L37" s="1412"/>
      <c r="M37" s="1412"/>
      <c r="N37" s="1412"/>
      <c r="O37" s="1412"/>
      <c r="P37" s="1412"/>
      <c r="Q37" s="1412"/>
      <c r="R37" s="1412"/>
      <c r="S37" s="1412"/>
      <c r="T37" s="438" cm="1" t="str">
        <f t="array" ref="T37:T37">T36</f>
        <v>true</v>
      </c>
      <c r="U37" s="1412"/>
      <c r="V37" s="1412"/>
      <c r="W37" s="1412"/>
      <c r="X37" s="1541"/>
      <c r="Y37" s="1412"/>
      <c r="Z37" s="1542"/>
      <c r="AA37" s="1412"/>
      <c r="AB37" s="501" t="s">
        <v>847</v>
      </c>
      <c r="AC37" s="502" t="s">
        <v>977</v>
      </c>
      <c r="AD37" s="501" t="s">
        <v>768</v>
      </c>
      <c r="AE37" s="1192">
        <f>_xlfn.SUMIFS('Условные метры'!$AL$28:$AL$36,'Условные метры'!$F$28:$F$36,$F37,'Условные метры'!$G$28:$G$36,"Итог")</f>
        <v>0.713229626247401</v>
      </c>
      <c r="AF37" s="1062">
        <f>_xlfn.SUMIFS('Условные метры'!$AN$28:$AN$36,'Условные метры'!$F$28:$F$36,$F37,'Условные метры'!$G$28:$G$36,"Итог")</f>
        <v>0.446511006012289</v>
      </c>
      <c r="AG37" s="1412"/>
      <c r="AH37" s="1412"/>
      <c r="AI37" s="1002" t="s">
        <v>978</v>
      </c>
    </row>
    <row s="498" customFormat="1" customHeight="1" ht="42.3650498823686">
      <c r="A38" s="461"/>
      <c r="B38" s="498"/>
      <c r="C38" s="1301"/>
      <c r="D38" s="498"/>
      <c r="E38" s="650">
        <v>33.75</v>
      </c>
      <c r="F38" s="50" cm="1" t="str">
        <f t="array" ref="F38:F38">OFFSET(E38,-1,1)</f>
        <v>1</v>
      </c>
      <c r="G38" s="498" t="s">
        <v>322</v>
      </c>
      <c r="H38" s="498"/>
      <c r="I38" s="498"/>
      <c r="J38" s="498"/>
      <c r="K38" s="498"/>
      <c r="L38" s="498"/>
      <c r="M38" s="498"/>
      <c r="N38" s="498"/>
      <c r="O38" s="498"/>
      <c r="P38" s="498"/>
      <c r="Q38" s="498"/>
      <c r="R38" s="498"/>
      <c r="S38" s="498"/>
      <c r="T38" s="438" cm="1" t="str">
        <f t="array" ref="T38:T38">T37</f>
        <v>true</v>
      </c>
      <c r="U38" s="498"/>
      <c r="V38" s="498"/>
      <c r="W38" s="498"/>
      <c r="X38" s="1541"/>
      <c r="Y38" s="498"/>
      <c r="Z38" s="1542"/>
      <c r="AA38" s="498"/>
      <c r="AB38" s="1193">
        <v>2</v>
      </c>
      <c r="AC38" s="1194" t="s">
        <v>979</v>
      </c>
      <c r="AD38" s="1195" t="s">
        <v>973</v>
      </c>
      <c r="AE38" s="1196">
        <f>MIN(AE40,AE35)</f>
        <v>0</v>
      </c>
      <c r="AF38" s="505">
        <f>MIN(AF40,AF35)</f>
        <v>0</v>
      </c>
      <c r="AG38" s="498"/>
      <c r="AH38" s="498"/>
      <c r="AI38" s="1012" t="s">
        <v>980</v>
      </c>
    </row>
    <row s="1624" customFormat="1" customHeight="1" ht="29.410504427823152">
      <c r="A39" s="1412"/>
      <c r="B39" s="1412"/>
      <c r="C39" s="491"/>
      <c r="D39" s="1412"/>
      <c r="E39" s="625">
        <v>22.5</v>
      </c>
      <c r="F39" s="50" cm="1" t="str">
        <f t="array" ref="F39:F39">OFFSET(E39,-1,1)</f>
        <v>1</v>
      </c>
      <c r="G39" s="461" t="s">
        <v>323</v>
      </c>
      <c r="H39" s="1412"/>
      <c r="I39" s="1412"/>
      <c r="J39" s="1412"/>
      <c r="K39" s="1412"/>
      <c r="L39" s="1412"/>
      <c r="M39" s="1412"/>
      <c r="N39" s="1412"/>
      <c r="O39" s="1412"/>
      <c r="P39" s="1412"/>
      <c r="Q39" s="1412"/>
      <c r="R39" s="1412"/>
      <c r="S39" s="1412"/>
      <c r="T39" s="438" cm="1" t="str">
        <f t="array" ref="T39:T39">T38</f>
        <v>true</v>
      </c>
      <c r="U39" s="1412"/>
      <c r="V39" s="1412"/>
      <c r="W39" s="1412"/>
      <c r="X39" s="1541"/>
      <c r="Y39" s="1412"/>
      <c r="Z39" s="1542"/>
      <c r="AA39" s="1412"/>
      <c r="AB39" s="1197">
        <v>3</v>
      </c>
      <c r="AC39" s="499" t="s">
        <v>981</v>
      </c>
      <c r="AD39" s="488" t="s">
        <v>973</v>
      </c>
      <c r="AE39" s="500" cm="1" t="str">
        <f t="array" ref="AE39:AE39">INDEX('Калькуляция (МСА)'!$L$26:$M$67,MATCH('Амортизация (аналог)'!$F39&amp;"УТР",'Калькуляция (МСА)'!$K$26:$K$67,0),1)</f>
        <v>175.45</v>
      </c>
      <c r="AF39" s="500" cm="1" t="str">
        <f t="array" ref="AF39:AF39">INDEX('Калькуляция (МСА)'!$L$26:$M$67,MATCH('Амортизация (аналог)'!$F39&amp;"УТР",'Калькуляция (МСА)'!$K$26:$K$67,0),2)</f>
        <v>221.750097510373</v>
      </c>
      <c r="AG39" s="1412"/>
      <c r="AH39" s="1412"/>
      <c r="AI39" s="1002" t="s">
        <v>982</v>
      </c>
    </row>
    <row s="1624" customFormat="1" customHeight="1" ht="23.274140791459516">
      <c r="A40" s="1412"/>
      <c r="B40" s="1412"/>
      <c r="C40" s="491"/>
      <c r="D40" s="1412"/>
      <c r="E40" s="625">
        <v>15</v>
      </c>
      <c r="F40" s="50" cm="1" t="str">
        <f t="array" ref="F40:F40">OFFSET(E40,-1,1)</f>
        <v>1</v>
      </c>
      <c r="G40" s="461" t="s">
        <v>325</v>
      </c>
      <c r="H40" s="1412"/>
      <c r="I40" s="1412"/>
      <c r="J40" s="1412"/>
      <c r="K40" s="1412"/>
      <c r="L40" s="1412"/>
      <c r="M40" s="1412"/>
      <c r="N40" s="1412"/>
      <c r="O40" s="1412"/>
      <c r="P40" s="1412"/>
      <c r="Q40" s="1412"/>
      <c r="R40" s="1412"/>
      <c r="S40" s="1412"/>
      <c r="T40" s="438" cm="1" t="str">
        <f t="array" ref="T40:T40">T39</f>
        <v>true</v>
      </c>
      <c r="U40" s="1412"/>
      <c r="V40" s="1412"/>
      <c r="W40" s="1412"/>
      <c r="X40" s="1541"/>
      <c r="Y40" s="1412"/>
      <c r="Z40" s="1542"/>
      <c r="AA40" s="1412"/>
      <c r="AB40" s="506">
        <v>4</v>
      </c>
      <c r="AC40" s="499" t="s">
        <v>983</v>
      </c>
      <c r="AD40" s="488" t="s">
        <v>973</v>
      </c>
      <c r="AE40" s="1198">
        <f>AE39*0.15</f>
        <v>26.3175</v>
      </c>
      <c r="AF40" s="507">
        <f>AF39*0.15</f>
        <v>33.2625146265559</v>
      </c>
      <c r="AG40" s="1412"/>
      <c r="AH40" s="1412"/>
      <c r="AI40" s="1002" t="s">
        <v>984</v>
      </c>
    </row>
    <row customHeight="1" ht="10.96875">
      <c r="E41" s="625">
        <v>11.25</v>
      </c>
      <c r="U41" s="70" t="s">
        <v>176</v>
      </c>
      <c r="V41" s="106" t="s">
        <v>985</v>
      </c>
      <c r="AB41" s="508"/>
      <c r="AC41" s="509"/>
      <c r="AD41" s="508"/>
      <c r="AE41" s="510"/>
      <c r="AF41" s="1542"/>
    </row>
    <row s="1282" customFormat="1" customHeight="1" ht="14.625">
      <c r="E42" s="624">
        <v>15</v>
      </c>
      <c r="AB42" s="1522" t="s">
        <v>392</v>
      </c>
      <c r="AC42" s="1522"/>
      <c r="AD42" s="1522"/>
      <c r="AE42" s="1543"/>
      <c r="AF42" s="1543"/>
      <c r="AI42" s="1013"/>
    </row>
    <row s="1282" customFormat="1" customHeight="1" ht="73.04686806418678">
      <c r="E43" s="624">
        <v>15</v>
      </c>
      <c r="AB43" s="1544" t="s">
        <v>986</v>
      </c>
      <c r="AC43" s="1544"/>
      <c r="AD43" s="1544"/>
      <c r="AE43" s="1545"/>
      <c r="AF43" s="1545"/>
      <c r="AI43" s="1013"/>
    </row>
    <row s="1282" customFormat="1" customHeight="1" ht="14.625" hidden="1">
      <c r="A44" s="1282"/>
      <c r="B44" s="1282"/>
      <c r="C44" s="1282"/>
      <c r="D44" s="1282"/>
      <c r="E44" s="624">
        <v>15</v>
      </c>
      <c r="F44" s="1282"/>
      <c r="G44" s="1282"/>
      <c r="H44" s="1282"/>
      <c r="I44" s="1282"/>
      <c r="J44" s="1282"/>
      <c r="K44" s="1282"/>
      <c r="L44" s="1282"/>
      <c r="M44" s="1282"/>
      <c r="N44" s="1282"/>
      <c r="O44" s="1282"/>
      <c r="P44" s="1282"/>
      <c r="Q44" s="1282"/>
      <c r="R44" s="1282"/>
      <c r="S44" s="1282"/>
      <c r="T44" s="438">
        <f>ROW(W44)&gt;ROW(W$44)</f>
        <v>0</v>
      </c>
      <c r="U44" s="1199"/>
      <c r="V44" s="1199"/>
      <c r="W44" s="733" t="s">
        <v>172</v>
      </c>
      <c r="X44" s="1199"/>
      <c r="Y44" s="1199"/>
      <c r="Z44" s="1199"/>
      <c r="AA44" s="1302" t="s">
        <v>173</v>
      </c>
      <c r="AB44" s="2299"/>
      <c r="AC44" s="2298"/>
      <c r="AD44" s="2298"/>
      <c r="AE44" s="1548"/>
      <c r="AF44" s="1549"/>
      <c r="AG44" s="1282"/>
      <c r="AH44" s="1282"/>
      <c r="AI44" s="1013"/>
    </row>
    <row s="2459" customFormat="1" customHeight="1" ht="62.137777155095876">
      <c r="A45" s="1282"/>
      <c r="B45" s="1282"/>
      <c r="C45" s="1282"/>
      <c r="D45" s="1282"/>
      <c r="E45" s="624">
        <v>15</v>
      </c>
      <c r="F45" s="1282"/>
      <c r="G45" s="1282"/>
      <c r="H45" s="1282"/>
      <c r="I45" s="1282"/>
      <c r="J45" s="1282"/>
      <c r="K45" s="1282"/>
      <c r="L45" s="1282"/>
      <c r="M45" s="1282"/>
      <c r="N45" s="1282"/>
      <c r="O45" s="1282"/>
      <c r="P45" s="1282"/>
      <c r="Q45" s="1282"/>
      <c r="R45" s="1282"/>
      <c r="S45" s="1282"/>
      <c r="T45" s="438">
        <f>ROW(W45)&gt;ROW(W$44)</f>
        <v>1</v>
      </c>
      <c r="U45" s="1199"/>
      <c r="V45" s="1199"/>
      <c r="W45" s="733"/>
      <c r="X45" s="1199"/>
      <c r="Y45" s="1199" t="s">
        <v>228</v>
      </c>
      <c r="Z45" s="1199"/>
      <c r="AA45" s="1302" t="s">
        <v>173</v>
      </c>
      <c r="AB45" s="1547" t="s">
        <v>987</v>
      </c>
      <c r="AC45" s="1548"/>
      <c r="AD45" s="1548"/>
      <c r="AE45" s="1548"/>
      <c r="AF45" s="1549"/>
      <c r="AG45" s="1282"/>
      <c r="AH45" s="1282"/>
      <c r="AI45" s="1013"/>
    </row>
    <row s="1282" customFormat="1" customHeight="1" ht="14.625">
      <c r="E46" s="624">
        <v>15</v>
      </c>
      <c r="W46" s="733" t="s">
        <v>396</v>
      </c>
      <c r="AB46" s="1303"/>
      <c r="AC46" s="1304" t="s">
        <v>397</v>
      </c>
      <c r="AD46" s="1305"/>
      <c r="AE46" s="1306"/>
      <c r="AF46" s="1307"/>
      <c r="AI46" s="1013"/>
    </row>
    <row customHeight="1" ht="10.96875">
      <c r="E47" s="625">
        <v>11.25</v>
      </c>
      <c r="AC47" s="511"/>
      <c r="AE47" s="1542"/>
      <c r="AF47" s="1542"/>
      <c r="AG47" s="461"/>
    </row>
  </sheetData>
  <sheetProtection formatColumns="0" formatRows="0" insertRows="0" deleteColumns="0" deleteRows="0" sort="0" autoFilter="0" insertColumns="1"/>
  <mergeCells count="14">
    <mergeCell ref="X27:X33"/>
    <mergeCell ref="Z27:Z33"/>
    <mergeCell ref="AB42:AF42"/>
    <mergeCell ref="AB43:AF43"/>
    <mergeCell ref="AB44:AF44"/>
    <mergeCell ref="AB22:AF22"/>
    <mergeCell ref="AB23:AF23"/>
    <mergeCell ref="AB24:AB25"/>
    <mergeCell ref="AC24:AC25"/>
    <mergeCell ref="AD24:AD25"/>
    <mergeCell ref="AE24:AF24"/>
    <mergeCell ref="X34:X40"/>
    <mergeCell ref="Z34:Z40"/>
    <mergeCell ref="AB45:AF45"/>
  </mergeCells>
  <dataValidations count="1">
    <dataValidation type="decimal" allowBlank="1" showErrorMessage="1" errorTitle="Ошибка" error="Допускается ввод только неотрицательных чисел!" sqref="AE31:AF31 AF33 AF38 AF40 AE33 AE38 AE40">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A90508-F08E-E72A-38E8-FD225011DBFA}" mc:Ignorable="x14ac xr xr2 xr3">
  <sheetPr>
    <tabColor rgb="FF002060"/>
    <outlinePr summaryRight="0" summaryBelow="0"/>
    <pageSetUpPr fitToPage="1"/>
  </sheetPr>
  <dimension ref="A1:BJ92"/>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8.7109375" customHeight="1" defaultRowHeight="10.5"/>
  <cols>
    <col min="1" max="1" style="861" width="3.57421875" hidden="1" customWidth="1"/>
    <col min="2" max="2" style="412" width="8.57421875" hidden="1" customWidth="1"/>
    <col min="3" max="4" style="861" width="3.57421875" hidden="1" customWidth="1"/>
    <col min="5" max="5" style="654" width="3.57421875" hidden="1" customWidth="1"/>
    <col min="6" max="6" style="861" width="13.57421875" hidden="1" customWidth="1"/>
    <col min="7" max="8" style="861" width="3.57421875" hidden="1" customWidth="1"/>
    <col min="9" max="9" style="861" width="13.421875" hidden="1" customWidth="1"/>
    <col min="10" max="10" style="861" width="3.57421875" hidden="1" customWidth="1"/>
    <col min="11" max="11" style="887" width="5.8515625" hidden="1" customWidth="1"/>
    <col min="12" max="19" style="861" width="3.57421875" hidden="1" customWidth="1"/>
    <col min="20" max="20" style="861" width="9.8515625" hidden="1" customWidth="1"/>
    <col min="21" max="21" style="861" width="7.00390625" hidden="1" customWidth="1"/>
    <col min="22" max="23" style="861" width="6.140625" hidden="1" customWidth="1"/>
    <col min="24" max="24" style="861" width="5.57421875" hidden="1" customWidth="1"/>
    <col min="25" max="25" style="861" width="5.8515625" hidden="1" customWidth="1"/>
    <col min="26" max="26" style="861" width="5.28125" hidden="1" customWidth="1"/>
    <col min="27" max="27" style="861" width="3.00390625" customWidth="1"/>
    <col min="28" max="28" style="861" width="11.00390625" customWidth="1"/>
    <col min="29" max="29" style="861" width="43.43359375" customWidth="1"/>
    <col min="30" max="34" style="861" width="15.7109375" customWidth="1"/>
    <col min="35" max="35" style="861" width="12.57421875" customWidth="1"/>
    <col min="36" max="44" style="861" width="12.57421875" hidden="1" customWidth="1"/>
    <col min="45" max="45" style="861" width="12.57421875" customWidth="1"/>
    <col min="46" max="54" style="861" width="12.57421875" hidden="1" customWidth="1"/>
    <col min="55" max="55" style="861" width="20.00390625" customWidth="1"/>
    <col min="56" max="56" style="861" width="3.00390625" customWidth="1"/>
    <col min="57" max="57" style="861" width="8.7109375" hidden="1"/>
    <col min="58" max="60" style="1018" width="8.7109375" hidden="1"/>
    <col min="61" max="62" style="654" width="8.7109375" hidden="1"/>
  </cols>
  <sheetData>
    <row customHeight="1" ht="11.25" hidden="1">
      <c r="E1" s="118"/>
      <c r="F1" s="118" t="s">
        <v>309</v>
      </c>
      <c r="G1" s="118" t="s">
        <v>320</v>
      </c>
      <c r="H1" s="118" t="s">
        <v>346</v>
      </c>
      <c r="T1" s="438" t="s">
        <v>92</v>
      </c>
      <c r="U1" s="438" t="s">
        <v>97</v>
      </c>
      <c r="V1" s="438" t="s">
        <v>93</v>
      </c>
      <c r="W1" s="438" t="s">
        <v>94</v>
      </c>
      <c r="X1" s="438" t="s">
        <v>95</v>
      </c>
      <c r="Y1" s="440" t="s">
        <v>311</v>
      </c>
      <c r="Z1" s="438" t="s">
        <v>99</v>
      </c>
      <c r="AA1" s="440" t="s">
        <v>96</v>
      </c>
      <c r="AB1" s="51"/>
      <c r="AC1" s="439" t="s">
        <v>98</v>
      </c>
      <c r="AI1" s="861"/>
      <c r="AJ1" s="861"/>
      <c r="AK1" s="861"/>
      <c r="AL1" s="861"/>
      <c r="AM1" s="861"/>
      <c r="AN1" s="861"/>
      <c r="AO1" s="861"/>
      <c r="AP1" s="861"/>
      <c r="AQ1" s="861"/>
      <c r="AR1" s="861"/>
      <c r="AS1" s="861"/>
      <c r="AT1" s="861"/>
      <c r="AU1" s="861"/>
      <c r="AV1" s="861"/>
      <c r="AW1" s="861"/>
      <c r="AX1" s="861"/>
      <c r="AY1" s="861"/>
      <c r="AZ1" s="861"/>
      <c r="BA1" s="861"/>
      <c r="BB1" s="861"/>
      <c r="BF1" s="1018" t="s">
        <v>312</v>
      </c>
      <c r="BG1" s="1018" t="s">
        <v>313</v>
      </c>
      <c r="BH1" s="1018" t="s">
        <v>314</v>
      </c>
      <c r="BI1" s="654" t="s">
        <v>317</v>
      </c>
      <c r="BJ1" s="654" t="s">
        <v>318</v>
      </c>
    </row>
    <row s="412" customFormat="1" customHeight="1" ht="11.25" hidden="1">
      <c r="B2" s="418" t="s">
        <v>18</v>
      </c>
      <c r="K2" s="888"/>
      <c r="AI2" s="418">
        <f>AI6&lt;=last_year_vis</f>
        <v>1</v>
      </c>
      <c r="AJ2" s="418">
        <f>AJ6&lt;=last_year_vis</f>
        <v>0</v>
      </c>
      <c r="AK2" s="418">
        <f>AK6&lt;=last_year_vis</f>
        <v>0</v>
      </c>
      <c r="AL2" s="418">
        <f>AL6&lt;=last_year_vis</f>
        <v>0</v>
      </c>
      <c r="AM2" s="418">
        <f>AM6&lt;=last_year_vis</f>
        <v>0</v>
      </c>
      <c r="AN2" s="418">
        <f>AN6&lt;=last_year_vis</f>
        <v>0</v>
      </c>
      <c r="AO2" s="418">
        <f>AO6&lt;=last_year_vis</f>
        <v>0</v>
      </c>
      <c r="AP2" s="418">
        <f>AP6&lt;=last_year_vis</f>
        <v>0</v>
      </c>
      <c r="AQ2" s="418">
        <f>AQ6&lt;=last_year_vis</f>
        <v>0</v>
      </c>
      <c r="AR2" s="418">
        <f>AR6&lt;=last_year_vis</f>
        <v>0</v>
      </c>
      <c r="AS2" s="418">
        <f>AS6&lt;=last_year_vis</f>
        <v>1</v>
      </c>
      <c r="AT2" s="418">
        <f>AT6&lt;=last_year_vis</f>
        <v>0</v>
      </c>
      <c r="AU2" s="418">
        <f>AU6&lt;=last_year_vis</f>
        <v>0</v>
      </c>
      <c r="AV2" s="418">
        <f>AV6&lt;=last_year_vis</f>
        <v>0</v>
      </c>
      <c r="AW2" s="418">
        <f>AW6&lt;=last_year_vis</f>
        <v>0</v>
      </c>
      <c r="AX2" s="418">
        <f>AX6&lt;=last_year_vis</f>
        <v>0</v>
      </c>
      <c r="AY2" s="418">
        <f>AY6&lt;=last_year_vis</f>
        <v>0</v>
      </c>
      <c r="AZ2" s="418">
        <f>AZ6&lt;=last_year_vis</f>
        <v>0</v>
      </c>
      <c r="BA2" s="418">
        <f>BA6&lt;=last_year_vis</f>
        <v>0</v>
      </c>
      <c r="BB2" s="418">
        <f>BB6&lt;=last_year_vis</f>
        <v>0</v>
      </c>
      <c r="BF2" s="1019"/>
      <c r="BG2" s="1019"/>
      <c r="BH2" s="1019"/>
      <c r="BI2" s="1022"/>
      <c r="BJ2" s="1022"/>
    </row>
    <row customHeight="1" ht="11.25" hidden="1">
      <c r="E3" s="118"/>
      <c r="AI3" s="861"/>
      <c r="AJ3" s="861"/>
      <c r="AK3" s="861"/>
      <c r="AL3" s="861"/>
      <c r="AM3" s="861"/>
      <c r="AN3" s="861"/>
      <c r="AO3" s="861"/>
      <c r="AP3" s="861"/>
      <c r="AQ3" s="861"/>
      <c r="AR3" s="861"/>
      <c r="AS3" s="861"/>
      <c r="AT3" s="861"/>
      <c r="AU3" s="861"/>
      <c r="AV3" s="861"/>
      <c r="AW3" s="861"/>
      <c r="AX3" s="861"/>
      <c r="AY3" s="861"/>
      <c r="AZ3" s="861"/>
      <c r="BA3" s="861"/>
      <c r="BB3" s="861"/>
    </row>
    <row customHeight="1" ht="11.25" hidden="1">
      <c r="E4" s="118"/>
      <c r="AI4" s="861"/>
      <c r="AJ4" s="861"/>
      <c r="AK4" s="861"/>
      <c r="AL4" s="861"/>
      <c r="AM4" s="861"/>
      <c r="AN4" s="861"/>
      <c r="AO4" s="861"/>
      <c r="AP4" s="861"/>
      <c r="AQ4" s="861"/>
      <c r="AR4" s="861"/>
      <c r="AS4" s="861"/>
      <c r="AT4" s="861"/>
      <c r="AU4" s="861"/>
      <c r="AV4" s="861"/>
      <c r="AW4" s="861"/>
      <c r="AX4" s="861"/>
      <c r="AY4" s="861"/>
      <c r="AZ4" s="861"/>
      <c r="BA4" s="861"/>
      <c r="BB4" s="861"/>
    </row>
    <row s="654" customFormat="1" customHeight="1" ht="11.25" hidden="1">
      <c r="A5" s="118"/>
      <c r="B5" s="412"/>
      <c r="C5" s="118"/>
      <c r="D5" s="118"/>
      <c r="E5" s="654" t="s">
        <v>19</v>
      </c>
      <c r="K5" s="889"/>
      <c r="AA5" s="654">
        <v>3</v>
      </c>
      <c r="AB5" s="654">
        <v>11</v>
      </c>
      <c r="AC5" s="654">
        <v>43.43</v>
      </c>
      <c r="AD5" s="654">
        <v>15.71</v>
      </c>
      <c r="AE5" s="654">
        <v>15.71</v>
      </c>
      <c r="AF5" s="654">
        <v>15.71</v>
      </c>
      <c r="AG5" s="654">
        <v>15.71</v>
      </c>
      <c r="AH5" s="654">
        <v>15.71</v>
      </c>
      <c r="AI5" s="654">
        <v>12.57</v>
      </c>
      <c r="AJ5" s="654">
        <v>12.57</v>
      </c>
      <c r="AK5" s="654">
        <v>12.57</v>
      </c>
      <c r="AL5" s="654">
        <v>12.57</v>
      </c>
      <c r="AM5" s="654">
        <v>12.57</v>
      </c>
      <c r="AN5" s="654">
        <v>12.57</v>
      </c>
      <c r="AO5" s="654">
        <v>12.57</v>
      </c>
      <c r="AP5" s="654">
        <v>12.57</v>
      </c>
      <c r="AQ5" s="654">
        <v>12.57</v>
      </c>
      <c r="AR5" s="654">
        <v>12.57</v>
      </c>
      <c r="AS5" s="654">
        <v>12.57</v>
      </c>
      <c r="AT5" s="654">
        <v>12.57</v>
      </c>
      <c r="AU5" s="654">
        <v>12.57</v>
      </c>
      <c r="AV5" s="654">
        <v>12.57</v>
      </c>
      <c r="AW5" s="654">
        <v>12.57</v>
      </c>
      <c r="AX5" s="654">
        <v>12.57</v>
      </c>
      <c r="AY5" s="654">
        <v>12.57</v>
      </c>
      <c r="AZ5" s="654">
        <v>12.57</v>
      </c>
      <c r="BA5" s="654">
        <v>12.57</v>
      </c>
      <c r="BB5" s="654">
        <v>12.57</v>
      </c>
      <c r="BC5" s="654">
        <v>20</v>
      </c>
      <c r="BD5" s="654">
        <v>3</v>
      </c>
      <c r="BF5" s="1018"/>
      <c r="BG5" s="1018"/>
      <c r="BH5" s="1018"/>
    </row>
    <row customHeight="1" ht="11.25" hidden="1">
      <c r="A6" s="118" t="s">
        <v>349</v>
      </c>
      <c r="AE6" s="118">
        <f>god-2</f>
        <v>2024</v>
      </c>
      <c r="AF6" s="118">
        <f>god-2</f>
        <v>2024</v>
      </c>
      <c r="AG6" s="118">
        <f>god-2</f>
        <v>2024</v>
      </c>
      <c r="AH6" s="118">
        <f>god-1</f>
        <v>2025</v>
      </c>
      <c r="AI6" s="64" cm="1" t="str">
        <f t="array" ref="AI6:AI6">god</f>
        <v>2026</v>
      </c>
      <c r="AJ6" s="64">
        <f>god+1</f>
        <v>2027</v>
      </c>
      <c r="AK6" s="64">
        <f>god+2</f>
        <v>2028</v>
      </c>
      <c r="AL6" s="64">
        <f>god+3</f>
        <v>2029</v>
      </c>
      <c r="AM6" s="64">
        <f>god+4</f>
        <v>2030</v>
      </c>
      <c r="AN6" s="64">
        <f>god+5</f>
        <v>2031</v>
      </c>
      <c r="AO6" s="64">
        <f>god+6</f>
        <v>2032</v>
      </c>
      <c r="AP6" s="64">
        <f>god+7</f>
        <v>2033</v>
      </c>
      <c r="AQ6" s="64">
        <f>god+8</f>
        <v>2034</v>
      </c>
      <c r="AR6" s="64">
        <f>god+9</f>
        <v>2035</v>
      </c>
      <c r="AS6" s="64" cm="1" t="str">
        <f t="array" ref="AS6:AS6">god</f>
        <v>2026</v>
      </c>
      <c r="AT6" s="64">
        <f>god+1</f>
        <v>2027</v>
      </c>
      <c r="AU6" s="64">
        <f>god+2</f>
        <v>2028</v>
      </c>
      <c r="AV6" s="64">
        <f>god+3</f>
        <v>2029</v>
      </c>
      <c r="AW6" s="64">
        <f>god+4</f>
        <v>2030</v>
      </c>
      <c r="AX6" s="64">
        <f>god+5</f>
        <v>2031</v>
      </c>
      <c r="AY6" s="64">
        <f>god+6</f>
        <v>2032</v>
      </c>
      <c r="AZ6" s="64">
        <f>god+7</f>
        <v>2033</v>
      </c>
      <c r="BA6" s="64">
        <f>god+8</f>
        <v>2034</v>
      </c>
      <c r="BB6" s="64">
        <f>god+9</f>
        <v>2035</v>
      </c>
    </row>
    <row customHeight="1" ht="11.25" hidden="1">
      <c r="A7" s="118" t="s">
        <v>350</v>
      </c>
      <c r="AE7" s="118" cm="1" t="str">
        <f t="array" ref="AE7:AE7">AE25</f>
        <v>Принято органом регулирования</v>
      </c>
      <c r="AF7" s="118" cm="1" t="str">
        <f t="array" ref="AF7:AF7">AF25</f>
        <v>Факт по данным организации</v>
      </c>
      <c r="AG7" s="118" cm="1" t="str">
        <f t="array" ref="AG7:AG7">AG25</f>
        <v>Факт, принятый органом регулирования</v>
      </c>
      <c r="AH7" s="118" cm="1" t="str">
        <f t="array" ref="AH7:AH7">AH25</f>
        <v>Принято органом регулирования</v>
      </c>
      <c r="AI7" s="118" cm="1" t="str">
        <f t="array" ref="AI7:AI7">AI25</f>
        <v>Предложение организации</v>
      </c>
      <c r="AJ7" s="118" cm="1" t="str">
        <f t="array" ref="AJ7:AJ7">AJ25</f>
        <v>Предложение организации</v>
      </c>
      <c r="AK7" s="118" cm="1" t="str">
        <f t="array" ref="AK7:AK7">AK25</f>
        <v>Предложение организации</v>
      </c>
      <c r="AL7" s="118" cm="1" t="str">
        <f t="array" ref="AL7:AL7">AL25</f>
        <v>Предложение организации</v>
      </c>
      <c r="AM7" s="118" cm="1" t="str">
        <f t="array" ref="AM7:AM7">AM25</f>
        <v>Предложение организации</v>
      </c>
      <c r="AN7" s="118" cm="1" t="str">
        <f t="array" ref="AN7:AN7">AN25</f>
        <v>Предложение организации</v>
      </c>
      <c r="AO7" s="118" cm="1" t="str">
        <f t="array" ref="AO7:AO7">AO25</f>
        <v>Предложение организации</v>
      </c>
      <c r="AP7" s="118" cm="1" t="str">
        <f t="array" ref="AP7:AP7">AP25</f>
        <v>Предложение организации</v>
      </c>
      <c r="AQ7" s="118" cm="1" t="str">
        <f t="array" ref="AQ7:AQ7">AQ25</f>
        <v>Предложение организации</v>
      </c>
      <c r="AR7" s="118" cm="1" t="str">
        <f t="array" ref="AR7:AR7">AR25</f>
        <v>Предложение организации</v>
      </c>
      <c r="AS7" s="118" cm="1" t="str">
        <f t="array" ref="AS7:AS7">AS25</f>
        <v>Принято органом регулирования</v>
      </c>
      <c r="AT7" s="118" cm="1" t="str">
        <f t="array" ref="AT7:AT7">AT25</f>
        <v>Принято органом регулирования</v>
      </c>
      <c r="AU7" s="118" cm="1" t="str">
        <f t="array" ref="AU7:AU7">AU25</f>
        <v>Принято органом регулирования</v>
      </c>
      <c r="AV7" s="118" cm="1" t="str">
        <f t="array" ref="AV7:AV7">AV25</f>
        <v>Принято органом регулирования</v>
      </c>
      <c r="AW7" s="118" cm="1" t="str">
        <f t="array" ref="AW7:AW7">AW25</f>
        <v>Принято органом регулирования</v>
      </c>
      <c r="AX7" s="118" cm="1" t="str">
        <f t="array" ref="AX7:AX7">AX25</f>
        <v>Принято органом регулирования</v>
      </c>
      <c r="AY7" s="118" cm="1" t="str">
        <f t="array" ref="AY7:AY7">AY25</f>
        <v>Принято органом регулирования</v>
      </c>
      <c r="AZ7" s="118" cm="1" t="str">
        <f t="array" ref="AZ7:AZ7">AZ25</f>
        <v>Принято органом регулирования</v>
      </c>
      <c r="BA7" s="118" cm="1" t="str">
        <f t="array" ref="BA7:BA7">BA25</f>
        <v>Принято органом регулирования</v>
      </c>
      <c r="BB7" s="118" cm="1" t="str">
        <f t="array" ref="BB7:BB7">BB25</f>
        <v>Принято органом регулирования</v>
      </c>
    </row>
    <row customHeight="1" ht="11.25" hidden="1">
      <c r="AI8" s="861"/>
      <c r="AJ8" s="861"/>
      <c r="AK8" s="861"/>
      <c r="AL8" s="861"/>
      <c r="AM8" s="861"/>
      <c r="AN8" s="861"/>
      <c r="AO8" s="861"/>
      <c r="AP8" s="861"/>
      <c r="AQ8" s="861"/>
      <c r="AR8" s="861"/>
      <c r="AS8" s="861"/>
      <c r="AT8" s="861"/>
      <c r="AU8" s="861"/>
      <c r="AV8" s="861"/>
      <c r="AW8" s="861"/>
      <c r="AX8" s="861"/>
      <c r="AY8" s="861"/>
      <c r="AZ8" s="861"/>
      <c r="BA8" s="861"/>
      <c r="BB8" s="861"/>
    </row>
    <row s="1018" customFormat="1" customHeight="1" ht="11.25" hidden="1">
      <c r="A9" s="1018" t="s">
        <v>354</v>
      </c>
      <c r="B9" s="1019"/>
      <c r="K9" s="1020"/>
      <c r="AE9" s="1018" cm="1" t="str">
        <f t="array" ref="AE9:AE9">AE6</f>
        <v>2024</v>
      </c>
      <c r="AF9" s="1018" cm="1" t="str">
        <f t="array" ref="AF9:AF9">AF6</f>
        <v>2024</v>
      </c>
      <c r="AG9" s="1018" cm="1" t="str">
        <f t="array" ref="AG9:AG9">AG6</f>
        <v>2024</v>
      </c>
      <c r="AH9" s="1018" cm="1" t="str">
        <f t="array" ref="AH9:AH9">AH6</f>
        <v>2025</v>
      </c>
      <c r="AI9" s="1018" cm="1" t="str">
        <f t="array" ref="AI9:AI9">AI6</f>
        <v>2026</v>
      </c>
      <c r="AJ9" s="1018" cm="1" t="str">
        <f t="array" ref="AJ9:AJ9">AJ6</f>
        <v>2027</v>
      </c>
      <c r="AK9" s="1018" cm="1" t="str">
        <f t="array" ref="AK9:AK9">AK6</f>
        <v>2028</v>
      </c>
      <c r="AL9" s="1018" cm="1" t="str">
        <f t="array" ref="AL9:AL9">AL6</f>
        <v>2029</v>
      </c>
      <c r="AM9" s="1018" cm="1" t="str">
        <f t="array" ref="AM9:AM9">AM6</f>
        <v>2030</v>
      </c>
      <c r="AN9" s="1018" cm="1" t="str">
        <f t="array" ref="AN9:AN9">AN6</f>
        <v>2031</v>
      </c>
      <c r="AO9" s="1018" cm="1" t="str">
        <f t="array" ref="AO9:AO9">AO6</f>
        <v>2032</v>
      </c>
      <c r="AP9" s="1018" cm="1" t="str">
        <f t="array" ref="AP9:AP9">AP6</f>
        <v>2033</v>
      </c>
      <c r="AQ9" s="1018" cm="1" t="str">
        <f t="array" ref="AQ9:AQ9">AQ6</f>
        <v>2034</v>
      </c>
      <c r="AR9" s="1018" cm="1" t="str">
        <f t="array" ref="AR9:AR9">AR6</f>
        <v>2035</v>
      </c>
      <c r="AS9" s="1018" cm="1" t="str">
        <f t="array" ref="AS9:AS9">AS6</f>
        <v>2026</v>
      </c>
      <c r="AT9" s="1018" cm="1" t="str">
        <f t="array" ref="AT9:AT9">AT6</f>
        <v>2027</v>
      </c>
      <c r="AU9" s="1018" cm="1" t="str">
        <f t="array" ref="AU9:AU9">AU6</f>
        <v>2028</v>
      </c>
      <c r="AV9" s="1018" cm="1" t="str">
        <f t="array" ref="AV9:AV9">AV6</f>
        <v>2029</v>
      </c>
      <c r="AW9" s="1018" cm="1" t="str">
        <f t="array" ref="AW9:AW9">AW6</f>
        <v>2030</v>
      </c>
      <c r="AX9" s="1018" cm="1" t="str">
        <f t="array" ref="AX9:AX9">AX6</f>
        <v>2031</v>
      </c>
      <c r="AY9" s="1018" cm="1" t="str">
        <f t="array" ref="AY9:AY9">AY6</f>
        <v>2032</v>
      </c>
      <c r="AZ9" s="1018" cm="1" t="str">
        <f t="array" ref="AZ9:AZ9">AZ6</f>
        <v>2033</v>
      </c>
      <c r="BA9" s="1018" cm="1" t="str">
        <f t="array" ref="BA9:BA9">BA6</f>
        <v>2034</v>
      </c>
      <c r="BB9" s="1018" cm="1" t="str">
        <f t="array" ref="BB9:BB9">BB6</f>
        <v>2035</v>
      </c>
      <c r="BI9" s="654"/>
      <c r="BJ9" s="654"/>
    </row>
    <row s="1018" customFormat="1" customHeight="1" ht="11.25" hidden="1">
      <c r="A10" s="1018" t="s">
        <v>355</v>
      </c>
      <c r="B10" s="1019"/>
      <c r="K10" s="1020"/>
      <c r="AE10" s="1018" cm="1" t="str">
        <f t="array" ref="AE10:AE10">AE25</f>
        <v>Принято органом регулирования</v>
      </c>
      <c r="AF10" s="1018" cm="1" t="str">
        <f t="array" ref="AF10:AF10">AF25</f>
        <v>Факт по данным организации</v>
      </c>
      <c r="AG10" s="1018" cm="1" t="str">
        <f t="array" ref="AG10:AG10">AG25</f>
        <v>Факт, принятый органом регулирования</v>
      </c>
      <c r="AH10" s="1018" cm="1" t="str">
        <f t="array" ref="AH10:AH10">AH25</f>
        <v>Принято органом регулирования</v>
      </c>
      <c r="AI10" s="1018" cm="1" t="str">
        <f t="array" ref="AI10:AI10">AI25</f>
        <v>Предложение организации</v>
      </c>
      <c r="AJ10" s="1018" cm="1" t="str">
        <f t="array" ref="AJ10:AJ10">AJ25</f>
        <v>Предложение организации</v>
      </c>
      <c r="AK10" s="1018" cm="1" t="str">
        <f t="array" ref="AK10:AK10">AK25</f>
        <v>Предложение организации</v>
      </c>
      <c r="AL10" s="1018" cm="1" t="str">
        <f t="array" ref="AL10:AL10">AL25</f>
        <v>Предложение организации</v>
      </c>
      <c r="AM10" s="1018" cm="1" t="str">
        <f t="array" ref="AM10:AM10">AM25</f>
        <v>Предложение организации</v>
      </c>
      <c r="AN10" s="1018" cm="1" t="str">
        <f t="array" ref="AN10:AN10">AN25</f>
        <v>Предложение организации</v>
      </c>
      <c r="AO10" s="1018" cm="1" t="str">
        <f t="array" ref="AO10:AO10">AO25</f>
        <v>Предложение организации</v>
      </c>
      <c r="AP10" s="1018" cm="1" t="str">
        <f t="array" ref="AP10:AP10">AP25</f>
        <v>Предложение организации</v>
      </c>
      <c r="AQ10" s="1018" cm="1" t="str">
        <f t="array" ref="AQ10:AQ10">AQ25</f>
        <v>Предложение организации</v>
      </c>
      <c r="AR10" s="1018" cm="1" t="str">
        <f t="array" ref="AR10:AR10">AR25</f>
        <v>Предложение организации</v>
      </c>
      <c r="AS10" s="1018" cm="1" t="str">
        <f t="array" ref="AS10:AS10">AS25</f>
        <v>Принято органом регулирования</v>
      </c>
      <c r="AT10" s="1018" cm="1" t="str">
        <f t="array" ref="AT10:AT10">AT25</f>
        <v>Принято органом регулирования</v>
      </c>
      <c r="AU10" s="1018" cm="1" t="str">
        <f t="array" ref="AU10:AU10">AU25</f>
        <v>Принято органом регулирования</v>
      </c>
      <c r="AV10" s="1018" cm="1" t="str">
        <f t="array" ref="AV10:AV10">AV25</f>
        <v>Принято органом регулирования</v>
      </c>
      <c r="AW10" s="1018" cm="1" t="str">
        <f t="array" ref="AW10:AW10">AW25</f>
        <v>Принято органом регулирования</v>
      </c>
      <c r="AX10" s="1018" cm="1" t="str">
        <f t="array" ref="AX10:AX10">AX25</f>
        <v>Принято органом регулирования</v>
      </c>
      <c r="AY10" s="1018" cm="1" t="str">
        <f t="array" ref="AY10:AY10">AY25</f>
        <v>Принято органом регулирования</v>
      </c>
      <c r="AZ10" s="1018" cm="1" t="str">
        <f t="array" ref="AZ10:AZ10">AZ25</f>
        <v>Принято органом регулирования</v>
      </c>
      <c r="BA10" s="1018" cm="1" t="str">
        <f t="array" ref="BA10:BA10">BA25</f>
        <v>Принято органом регулирования</v>
      </c>
      <c r="BB10" s="1018" cm="1" t="str">
        <f t="array" ref="BB10:BB10">BB25</f>
        <v>Принято органом регулирования</v>
      </c>
      <c r="BI10" s="654"/>
      <c r="BJ10" s="654"/>
    </row>
    <row s="1018" customFormat="1" customHeight="1" ht="11.25" hidden="1">
      <c r="A11" s="1018" t="s">
        <v>356</v>
      </c>
      <c r="B11" s="1019"/>
      <c r="K11" s="1020"/>
      <c r="AI11" s="1018"/>
      <c r="AJ11" s="1018"/>
      <c r="AK11" s="1018"/>
      <c r="AL11" s="1018"/>
      <c r="AM11" s="1018"/>
      <c r="AN11" s="1018"/>
      <c r="AO11" s="1018"/>
      <c r="AP11" s="1018"/>
      <c r="AQ11" s="1018"/>
      <c r="AR11" s="1018"/>
      <c r="AS11" s="1018"/>
      <c r="AT11" s="1018"/>
      <c r="AU11" s="1018"/>
      <c r="AV11" s="1018"/>
      <c r="AW11" s="1018"/>
      <c r="AX11" s="1018"/>
      <c r="AY11" s="1018"/>
      <c r="AZ11" s="1018"/>
      <c r="BA11" s="1018"/>
      <c r="BB11" s="1018"/>
      <c r="BC11" s="1018" cm="1" t="str">
        <f t="array" ref="BC11:BC11">BC24</f>
        <v>Ссылка на правовую норму (основание для принятия показателя в расчет тарифа)</v>
      </c>
      <c r="BI11" s="654"/>
      <c r="BJ11" s="654"/>
    </row>
    <row s="1018" customFormat="1" customHeight="1" ht="11.25" hidden="1">
      <c r="A12" s="1018" t="s">
        <v>327</v>
      </c>
      <c r="B12" s="1019"/>
      <c r="K12" s="1020"/>
      <c r="AC12" s="1018" t="s">
        <v>314</v>
      </c>
      <c r="AI12" s="1018"/>
      <c r="AJ12" s="1018"/>
      <c r="AK12" s="1018"/>
      <c r="AL12" s="1018"/>
      <c r="AM12" s="1018"/>
      <c r="AN12" s="1018"/>
      <c r="AO12" s="1018"/>
      <c r="AP12" s="1018"/>
      <c r="AQ12" s="1018"/>
      <c r="AR12" s="1018"/>
      <c r="AS12" s="1018"/>
      <c r="AT12" s="1018"/>
      <c r="AU12" s="1018"/>
      <c r="AV12" s="1018"/>
      <c r="AW12" s="1018"/>
      <c r="AX12" s="1018"/>
      <c r="AY12" s="1018"/>
      <c r="AZ12" s="1018"/>
      <c r="BA12" s="1018"/>
      <c r="BB12" s="1018"/>
      <c r="BI12" s="654"/>
      <c r="BJ12" s="654"/>
    </row>
    <row customHeight="1" ht="11.25" hidden="1">
      <c r="AI13" s="64"/>
      <c r="AJ13" s="64"/>
      <c r="AK13" s="64"/>
      <c r="AL13" s="64"/>
      <c r="AM13" s="64"/>
      <c r="AN13" s="64"/>
      <c r="AO13" s="64"/>
      <c r="AP13" s="64"/>
      <c r="AQ13" s="64"/>
      <c r="AR13" s="64"/>
      <c r="AS13" s="64"/>
      <c r="AT13" s="64"/>
      <c r="AU13" s="64"/>
      <c r="AV13" s="64"/>
      <c r="AW13" s="64"/>
      <c r="AX13" s="64"/>
      <c r="AY13" s="64"/>
      <c r="AZ13" s="64"/>
      <c r="BA13" s="64"/>
      <c r="BB13" s="64"/>
    </row>
    <row customHeight="1" ht="11.25" hidden="1">
      <c r="AI14" s="64"/>
      <c r="AJ14" s="64"/>
      <c r="AK14" s="64"/>
      <c r="AL14" s="64"/>
      <c r="AM14" s="64"/>
      <c r="AN14" s="64"/>
      <c r="AO14" s="64"/>
      <c r="AP14" s="64"/>
      <c r="AQ14" s="64"/>
      <c r="AR14" s="64"/>
      <c r="AS14" s="64"/>
      <c r="AT14" s="64"/>
      <c r="AU14" s="64"/>
      <c r="AV14" s="64"/>
      <c r="AW14" s="64"/>
      <c r="AX14" s="64"/>
      <c r="AY14" s="64"/>
      <c r="AZ14" s="64"/>
      <c r="BA14" s="64"/>
      <c r="BB14" s="64"/>
    </row>
    <row customHeight="1" ht="11.25" hidden="1">
      <c r="AI15" s="64"/>
      <c r="AJ15" s="64"/>
      <c r="AK15" s="64"/>
      <c r="AL15" s="64"/>
      <c r="AM15" s="64"/>
      <c r="AN15" s="64"/>
      <c r="AO15" s="64"/>
      <c r="AP15" s="64"/>
      <c r="AQ15" s="64"/>
      <c r="AR15" s="64"/>
      <c r="AS15" s="64"/>
      <c r="AT15" s="64"/>
      <c r="AU15" s="64"/>
      <c r="AV15" s="64"/>
      <c r="AW15" s="64"/>
      <c r="AX15" s="64"/>
      <c r="AY15" s="64"/>
      <c r="AZ15" s="64"/>
      <c r="BA15" s="64"/>
      <c r="BB15" s="64"/>
    </row>
    <row customHeight="1" ht="11.25" hidden="1">
      <c r="AI16" s="64"/>
      <c r="AJ16" s="64"/>
      <c r="AK16" s="64"/>
      <c r="AL16" s="64"/>
      <c r="AM16" s="64"/>
      <c r="AN16" s="64"/>
      <c r="AO16" s="64"/>
      <c r="AP16" s="64"/>
      <c r="AQ16" s="64"/>
      <c r="AR16" s="64"/>
      <c r="AS16" s="64"/>
      <c r="AT16" s="64"/>
      <c r="AU16" s="64"/>
      <c r="AV16" s="64"/>
      <c r="AW16" s="64"/>
      <c r="AX16" s="64"/>
      <c r="AY16" s="64"/>
      <c r="AZ16" s="64"/>
      <c r="BA16" s="64"/>
      <c r="BB16" s="64"/>
    </row>
    <row customHeight="1" ht="11.25" hidden="1">
      <c r="AI17" s="861"/>
      <c r="AJ17" s="861"/>
      <c r="AK17" s="861"/>
      <c r="AL17" s="861"/>
      <c r="AM17" s="861"/>
      <c r="AN17" s="861"/>
      <c r="AO17" s="861"/>
      <c r="AP17" s="861"/>
      <c r="AQ17" s="861"/>
      <c r="AR17" s="861"/>
      <c r="AS17" s="861"/>
      <c r="AT17" s="861"/>
      <c r="AU17" s="861"/>
      <c r="AV17" s="861"/>
      <c r="AW17" s="861"/>
      <c r="AX17" s="861"/>
      <c r="AY17" s="861"/>
      <c r="AZ17" s="861"/>
      <c r="BA17" s="861"/>
      <c r="BB17" s="861"/>
    </row>
    <row customHeight="1" ht="11.25" hidden="1">
      <c r="A18" s="118" t="s">
        <v>357</v>
      </c>
      <c r="AC18" s="118" t="s">
        <v>988</v>
      </c>
      <c r="AI18" s="861"/>
      <c r="AJ18" s="861"/>
      <c r="AK18" s="861"/>
      <c r="AL18" s="861"/>
      <c r="AM18" s="861"/>
      <c r="AN18" s="861"/>
      <c r="AO18" s="861"/>
      <c r="AP18" s="861"/>
      <c r="AQ18" s="861"/>
      <c r="AR18" s="861"/>
      <c r="AS18" s="861"/>
      <c r="AT18" s="861"/>
      <c r="AU18" s="861"/>
      <c r="AV18" s="861"/>
      <c r="AW18" s="861"/>
      <c r="AX18" s="861"/>
      <c r="AY18" s="861"/>
      <c r="AZ18" s="861"/>
      <c r="BA18" s="861"/>
      <c r="BB18" s="861"/>
    </row>
    <row customHeight="1" ht="11.25" hidden="1">
      <c r="AI19" s="861"/>
      <c r="AJ19" s="861"/>
      <c r="AK19" s="861"/>
      <c r="AL19" s="861"/>
      <c r="AM19" s="861"/>
      <c r="AN19" s="861"/>
      <c r="AO19" s="861"/>
      <c r="AP19" s="861"/>
      <c r="AQ19" s="861"/>
      <c r="AR19" s="861"/>
      <c r="AS19" s="861"/>
      <c r="AT19" s="861"/>
      <c r="AU19" s="861"/>
      <c r="AV19" s="861"/>
      <c r="AW19" s="861"/>
      <c r="AX19" s="861"/>
      <c r="AY19" s="861"/>
      <c r="AZ19" s="861"/>
      <c r="BA19" s="861"/>
      <c r="BB19" s="861"/>
    </row>
    <row customHeight="1" ht="11.25" hidden="1">
      <c r="AI20" s="861"/>
      <c r="AJ20" s="861"/>
      <c r="AK20" s="861"/>
      <c r="AL20" s="861"/>
      <c r="AM20" s="861"/>
      <c r="AN20" s="861"/>
      <c r="AO20" s="861"/>
      <c r="AP20" s="861"/>
      <c r="AQ20" s="861"/>
      <c r="AR20" s="861"/>
      <c r="AS20" s="861"/>
      <c r="AT20" s="861"/>
      <c r="AU20" s="861"/>
      <c r="AV20" s="861"/>
      <c r="AW20" s="861"/>
      <c r="AX20" s="861"/>
      <c r="AY20" s="861"/>
      <c r="AZ20" s="861"/>
      <c r="BA20" s="861"/>
      <c r="BB20" s="861"/>
    </row>
    <row customHeight="1" ht="14.625">
      <c r="E21" s="654">
        <v>15</v>
      </c>
      <c r="AA21" s="633"/>
      <c r="AC21" s="50" cm="1" t="str">
        <f t="array" ref="AC21:AC21">tpl_title</f>
        <v>Кемеровская область / 2026 / ОАО «СКЭК» (ИНН:4205153492, КПП:420501001) / ДПР: 2026-2026</v>
      </c>
      <c r="AI21" s="861"/>
      <c r="AJ21" s="861"/>
      <c r="AK21" s="861"/>
      <c r="AL21" s="861"/>
      <c r="AM21" s="861"/>
      <c r="AN21" s="861"/>
      <c r="AO21" s="861"/>
      <c r="AP21" s="861"/>
      <c r="AQ21" s="861"/>
      <c r="AR21" s="861"/>
      <c r="AS21" s="861"/>
      <c r="AT21" s="861"/>
      <c r="AU21" s="861"/>
      <c r="AV21" s="861"/>
      <c r="AW21" s="861"/>
      <c r="AX21" s="861"/>
      <c r="AY21" s="861"/>
      <c r="AZ21" s="861"/>
      <c r="BA21" s="861"/>
      <c r="BB21" s="861"/>
    </row>
    <row customHeight="1" ht="19.5">
      <c r="E22" s="654">
        <v>20</v>
      </c>
      <c r="AB22" s="285" t="s">
        <v>59</v>
      </c>
      <c r="AC22" s="189"/>
      <c r="AD22" s="189"/>
      <c r="AE22" s="189"/>
      <c r="AF22" s="189"/>
      <c r="AG22" s="189"/>
      <c r="AH22" s="189"/>
      <c r="AI22" s="189"/>
      <c r="AJ22" s="189"/>
      <c r="AK22" s="189"/>
      <c r="AL22" s="189"/>
      <c r="AM22" s="189"/>
      <c r="AN22" s="189"/>
      <c r="AO22" s="189"/>
      <c r="AP22" s="189"/>
      <c r="AQ22" s="189"/>
      <c r="AR22" s="189"/>
      <c r="AS22" s="189"/>
      <c r="AT22" s="189"/>
      <c r="AU22" s="189"/>
      <c r="AV22" s="189"/>
      <c r="AW22" s="189"/>
      <c r="AX22" s="189"/>
      <c r="AY22" s="189"/>
      <c r="AZ22" s="189"/>
      <c r="BA22" s="189"/>
      <c r="BB22" s="189"/>
      <c r="BC22" s="174"/>
    </row>
    <row customHeight="1" ht="10.96875">
      <c r="E23" s="654">
        <v>11.25</v>
      </c>
      <c r="AB23" s="119"/>
      <c r="AC23" s="120"/>
      <c r="AD23" s="120"/>
      <c r="AE23" s="120"/>
      <c r="AF23" s="120"/>
      <c r="AG23" s="120"/>
      <c r="AH23" s="120"/>
      <c r="AI23" s="120"/>
      <c r="AJ23" s="120"/>
      <c r="AK23" s="120"/>
      <c r="AL23" s="120"/>
      <c r="AM23" s="120"/>
      <c r="AN23" s="120"/>
      <c r="AO23" s="120"/>
      <c r="AP23" s="120"/>
      <c r="AQ23" s="120"/>
      <c r="AR23" s="120"/>
      <c r="AS23" s="120"/>
      <c r="AT23" s="121"/>
      <c r="AU23" s="121"/>
      <c r="AV23" s="121"/>
      <c r="AW23" s="121"/>
      <c r="AX23" s="121"/>
      <c r="AY23" s="121"/>
      <c r="AZ23" s="121"/>
      <c r="BA23" s="121"/>
      <c r="BB23" s="121"/>
    </row>
    <row customHeight="1" ht="14.625">
      <c r="E24" s="654">
        <v>15</v>
      </c>
      <c r="AB24" s="1522" t="s">
        <v>758</v>
      </c>
      <c r="AC24" s="1553" t="s">
        <v>197</v>
      </c>
      <c r="AD24" s="1522" t="s">
        <v>359</v>
      </c>
      <c r="AE24" s="325" t="str">
        <f>god-2&amp;" год"</f>
        <v>2024 год</v>
      </c>
      <c r="AF24" s="1099" t="str">
        <f>god-2&amp;" год"</f>
        <v>2024 год</v>
      </c>
      <c r="AG24" s="325" t="str">
        <f>god-2&amp;" год"</f>
        <v>2024 год</v>
      </c>
      <c r="AH24" s="60" t="str">
        <f>god-1&amp;" год"</f>
        <v>2025 год</v>
      </c>
      <c r="AI24" s="1096" t="str">
        <f>god&amp;" год"</f>
        <v>2026 год</v>
      </c>
      <c r="AJ24" s="1096" t="str">
        <f>god+1&amp;" год"</f>
        <v>2027 год</v>
      </c>
      <c r="AK24" s="1096" t="str">
        <f>god+2&amp;" год"</f>
        <v>2028 год</v>
      </c>
      <c r="AL24" s="1096" t="str">
        <f>god+3&amp;" год"</f>
        <v>2029 год</v>
      </c>
      <c r="AM24" s="1096" t="str">
        <f>god+4&amp;" год"</f>
        <v>2030 год</v>
      </c>
      <c r="AN24" s="1096" t="str">
        <f>god+5&amp;" год"</f>
        <v>2031 год</v>
      </c>
      <c r="AO24" s="1096" t="str">
        <f>god+6&amp;" год"</f>
        <v>2032 год</v>
      </c>
      <c r="AP24" s="1096" t="str">
        <f>god+7&amp;" год"</f>
        <v>2033 год</v>
      </c>
      <c r="AQ24" s="1096" t="str">
        <f>god+8&amp;" год"</f>
        <v>2034 год</v>
      </c>
      <c r="AR24" s="1096" t="str">
        <f>god+9&amp;" год"</f>
        <v>2035 год</v>
      </c>
      <c r="AS24" s="58" t="str">
        <f>god&amp;" год"</f>
        <v>2026 год</v>
      </c>
      <c r="AT24" s="58" t="str">
        <f>god+1&amp;" год"</f>
        <v>2027 год</v>
      </c>
      <c r="AU24" s="58" t="str">
        <f>god+2&amp;" год"</f>
        <v>2028 год</v>
      </c>
      <c r="AV24" s="58" t="str">
        <f>god+3&amp;" год"</f>
        <v>2029 год</v>
      </c>
      <c r="AW24" s="58" t="str">
        <f>god+4&amp;" год"</f>
        <v>2030 год</v>
      </c>
      <c r="AX24" s="58" t="str">
        <f>god+5&amp;" год"</f>
        <v>2031 год</v>
      </c>
      <c r="AY24" s="58" t="str">
        <f>god+6&amp;" год"</f>
        <v>2032 год</v>
      </c>
      <c r="AZ24" s="58" t="str">
        <f>god+7&amp;" год"</f>
        <v>2033 год</v>
      </c>
      <c r="BA24" s="58" t="str">
        <f>god+8&amp;" год"</f>
        <v>2034 год</v>
      </c>
      <c r="BB24" s="58" t="str">
        <f>god+9&amp;" год"</f>
        <v>2035 год</v>
      </c>
      <c r="BC24" s="1535" t="s">
        <v>500</v>
      </c>
    </row>
    <row customHeight="1" ht="48.75">
      <c r="E25" s="654">
        <v>50</v>
      </c>
      <c r="AB25" s="1563"/>
      <c r="AC25" s="1563"/>
      <c r="AD25" s="1563"/>
      <c r="AE25" s="58" t="s">
        <v>351</v>
      </c>
      <c r="AF25" s="1096" t="s">
        <v>424</v>
      </c>
      <c r="AG25" s="58" t="s">
        <v>425</v>
      </c>
      <c r="AH25" s="58" t="s">
        <v>351</v>
      </c>
      <c r="AI25" s="1100" t="s">
        <v>352</v>
      </c>
      <c r="AJ25" s="1100" t="s">
        <v>352</v>
      </c>
      <c r="AK25" s="1100" t="s">
        <v>352</v>
      </c>
      <c r="AL25" s="1100" t="s">
        <v>352</v>
      </c>
      <c r="AM25" s="1100" t="s">
        <v>352</v>
      </c>
      <c r="AN25" s="1100" t="s">
        <v>352</v>
      </c>
      <c r="AO25" s="1100" t="s">
        <v>352</v>
      </c>
      <c r="AP25" s="1100" t="s">
        <v>352</v>
      </c>
      <c r="AQ25" s="1100" t="s">
        <v>352</v>
      </c>
      <c r="AR25" s="1100" t="s">
        <v>352</v>
      </c>
      <c r="AS25" s="326" t="s">
        <v>351</v>
      </c>
      <c r="AT25" s="326" t="s">
        <v>351</v>
      </c>
      <c r="AU25" s="326" t="s">
        <v>351</v>
      </c>
      <c r="AV25" s="326" t="s">
        <v>351</v>
      </c>
      <c r="AW25" s="326" t="s">
        <v>351</v>
      </c>
      <c r="AX25" s="326" t="s">
        <v>351</v>
      </c>
      <c r="AY25" s="326" t="s">
        <v>351</v>
      </c>
      <c r="AZ25" s="326" t="s">
        <v>351</v>
      </c>
      <c r="BA25" s="326" t="s">
        <v>351</v>
      </c>
      <c r="BB25" s="326" t="s">
        <v>351</v>
      </c>
      <c r="BC25" s="1563"/>
    </row>
    <row s="1624" customFormat="1" customHeight="1" ht="11.25" hidden="1">
      <c r="A26" s="472"/>
      <c r="B26" s="634"/>
      <c r="C26" s="472"/>
      <c r="D26" s="472"/>
      <c r="E26" s="635">
        <v>0</v>
      </c>
      <c r="F26" s="630" t="s">
        <v>989</v>
      </c>
      <c r="G26" s="472"/>
      <c r="H26" s="472"/>
      <c r="I26" s="455"/>
      <c r="J26" s="472"/>
      <c r="K26" s="890"/>
      <c r="L26" s="455"/>
      <c r="M26" s="472"/>
      <c r="N26" s="472"/>
      <c r="O26" s="472"/>
      <c r="P26" s="472"/>
      <c r="Q26" s="472"/>
      <c r="R26" s="472"/>
      <c r="S26" s="472"/>
      <c r="T26" s="472"/>
      <c r="U26" s="472"/>
      <c r="V26" s="472"/>
      <c r="W26" s="472"/>
      <c r="X26" s="472"/>
      <c r="Y26" s="472"/>
      <c r="Z26" s="472"/>
      <c r="AA26" s="472"/>
      <c r="AB26" s="472"/>
      <c r="AC26" s="66"/>
      <c r="AD26" s="66"/>
      <c r="AE26" s="66"/>
      <c r="AF26" s="66"/>
      <c r="AI26" s="1624"/>
      <c r="AJ26" s="1624"/>
      <c r="AK26" s="1624"/>
      <c r="AL26" s="1624"/>
      <c r="AM26" s="1624"/>
      <c r="AN26" s="1624"/>
      <c r="AO26" s="1624"/>
      <c r="AP26" s="1624"/>
      <c r="AQ26" s="67"/>
      <c r="AR26" s="1624"/>
      <c r="AS26" s="1624"/>
      <c r="AT26" s="1624"/>
      <c r="AU26" s="1624"/>
      <c r="AV26" s="1624"/>
      <c r="AW26" s="1624"/>
      <c r="AX26" s="1624"/>
      <c r="AY26" s="1624"/>
      <c r="AZ26" s="1624"/>
      <c r="BA26" s="1624"/>
      <c r="BB26" s="1624"/>
      <c r="BF26" s="981"/>
      <c r="BG26" s="981"/>
      <c r="BH26" s="981"/>
      <c r="BI26" s="599"/>
      <c r="BJ26" s="599"/>
    </row>
    <row customHeight="1" ht="14.625" hidden="1">
      <c r="A27" s="861"/>
      <c r="B27" s="412"/>
      <c r="C27" s="861"/>
      <c r="D27" s="861"/>
      <c r="E27" s="654">
        <v>15</v>
      </c>
      <c r="F27" s="64" cm="1" t="str">
        <f t="array" ref="F27:F27">X27</f>
        <v>0</v>
      </c>
      <c r="G27" s="861"/>
      <c r="H27" s="861"/>
      <c r="I27" s="861" t="s">
        <v>990</v>
      </c>
      <c r="J27" s="861"/>
      <c r="K27" s="887"/>
      <c r="L27" s="861"/>
      <c r="M27" s="861"/>
      <c r="N27" s="861"/>
      <c r="O27" s="861"/>
      <c r="P27" s="861"/>
      <c r="Q27" s="861"/>
      <c r="R27" s="861"/>
      <c r="S27" s="861"/>
      <c r="T27" s="438">
        <f>X27&gt;0</f>
        <v>0</v>
      </c>
      <c r="U27" s="861"/>
      <c r="V27" s="118" t="s">
        <v>267</v>
      </c>
      <c r="W27" s="861"/>
      <c r="X27" s="1472">
        <v>0</v>
      </c>
      <c r="Y27" s="656"/>
      <c r="Z27" s="1560"/>
      <c r="AA27" s="861"/>
      <c r="AB27" s="188" cm="1" t="str">
        <f t="array" ref="AB27:AB27">INDEX('Общие сведения'!$AG$179:$AG$208,MATCH($X27,'Общие сведения'!$Z$179:$Z$208,0))</f>
        <v>Тариф 0 () - тариф на транспортировку сточных вод</v>
      </c>
      <c r="AC27" s="146"/>
      <c r="AD27" s="146"/>
      <c r="AE27" s="272">
        <f>AE33+AE38+AE43+AE48+AE28+AE53+AE54+AE55+AE56</f>
        <v>0</v>
      </c>
      <c r="AF27" s="272">
        <f>AF33+AF38+AF43+AF48+AF28+AF53+AF54+AF55+AF56</f>
        <v>0</v>
      </c>
      <c r="AG27" s="272">
        <f>AG33+AG38+AG43+AG48+AG28+AG53+AG54+AG55+AG56</f>
        <v>0</v>
      </c>
      <c r="AH27" s="272">
        <f>AH33+AH38+AH43+AH48+AH28+AH53+AH54+AH55+AH56</f>
        <v>0</v>
      </c>
      <c r="AI27" s="272">
        <f>AI33+AI38+AI43+AI48+AI28+AI53+AI54+AI55+AI56</f>
        <v>0</v>
      </c>
      <c r="AJ27" s="272">
        <f>AJ33+AJ38+AJ43+AJ48+AJ28+AJ53+AJ54+AJ55+AJ56</f>
        <v>0</v>
      </c>
      <c r="AK27" s="272">
        <f>AK33+AK38+AK43+AK48+AK28+AK53+AK54+AK55+AK56</f>
        <v>0</v>
      </c>
      <c r="AL27" s="272">
        <f>AL33+AL38+AL43+AL48+AL28+AL53+AL54+AL55+AL56</f>
        <v>0</v>
      </c>
      <c r="AM27" s="272">
        <f>AM33+AM38+AM43+AM48+AM28+AM53+AM54+AM55+AM56</f>
        <v>0</v>
      </c>
      <c r="AN27" s="272">
        <f>AN33+AN38+AN43+AN48+AN28+AN53+AN54+AN55+AN56</f>
        <v>0</v>
      </c>
      <c r="AO27" s="272">
        <f>AO33+AO38+AO43+AO48+AO28+AO53+AO54+AO55+AO56</f>
        <v>0</v>
      </c>
      <c r="AP27" s="272">
        <f>AP33+AP38+AP43+AP48+AP28+AP53+AP54+AP55+AP56</f>
        <v>0</v>
      </c>
      <c r="AQ27" s="272">
        <f>AQ33+AQ38+AQ43+AQ48+AQ28+AQ53+AQ54+AQ55+AQ56</f>
        <v>0</v>
      </c>
      <c r="AR27" s="272">
        <f>AR33+AR38+AR43+AR48+AR28+AR53+AR54+AR55+AR56</f>
        <v>0</v>
      </c>
      <c r="AS27" s="272">
        <f>AS33+AS38+AS43+AS48+AS28+AS53+AS54+AS55+AS56</f>
        <v>0</v>
      </c>
      <c r="AT27" s="272">
        <f>AT33+AT38+AT43+AT48+AT28+AT53+AT54+AT55+AT56</f>
        <v>0</v>
      </c>
      <c r="AU27" s="272">
        <f>AU33+AU38+AU43+AU48+AU28+AU53+AU54+AU55+AU56</f>
        <v>0</v>
      </c>
      <c r="AV27" s="272">
        <f>AV33+AV38+AV43+AV48+AV28+AV53+AV54+AV55+AV56</f>
        <v>0</v>
      </c>
      <c r="AW27" s="272">
        <f>AW33+AW38+AW43+AW48+AW28+AW53+AW54+AW55+AW56</f>
        <v>0</v>
      </c>
      <c r="AX27" s="272">
        <f>AX33+AX38+AX43+AX48+AX28+AX53+AX54+AX55+AX56</f>
        <v>0</v>
      </c>
      <c r="AY27" s="272">
        <f>AY33+AY38+AY43+AY48+AY28+AY53+AY54+AY55+AY56</f>
        <v>0</v>
      </c>
      <c r="AZ27" s="272">
        <f>AZ33+AZ38+AZ43+AZ48+AZ28+AZ53+AZ54+AZ55+AZ56</f>
        <v>0</v>
      </c>
      <c r="BA27" s="272">
        <f>BA33+BA38+BA43+BA48+BA28+BA53+BA54+BA55+BA56</f>
        <v>0</v>
      </c>
      <c r="BB27" s="272">
        <f>BB33+BB38+BB43+BB48+BB28+BB53+BB54+BB55+BB56</f>
        <v>0</v>
      </c>
      <c r="BC27" s="190"/>
      <c r="BD27" s="861"/>
      <c r="BE27" s="861"/>
      <c r="BF27" s="1018"/>
      <c r="BG27" s="1018"/>
      <c r="BH27" s="1018"/>
      <c r="BI27" s="654"/>
      <c r="BJ27" s="654"/>
    </row>
    <row customHeight="1" ht="14.625" hidden="1">
      <c r="A28" s="861"/>
      <c r="B28" s="412"/>
      <c r="C28" s="861"/>
      <c r="D28" s="861"/>
      <c r="E28" s="654">
        <v>15</v>
      </c>
      <c r="F28" s="50" cm="1" t="str">
        <f t="array" ref="F28:F28">OFFSET(E28,-1,1)</f>
        <v>0</v>
      </c>
      <c r="G28" s="118" t="s">
        <v>321</v>
      </c>
      <c r="H28" s="861"/>
      <c r="I28" s="861"/>
      <c r="J28" s="861"/>
      <c r="K28" s="887" t="str">
        <f>F28&amp;"1komm"</f>
        <v>01komm</v>
      </c>
      <c r="L28" s="891" cm="1" t="str">
        <f t="array" ref="L28:L28">BC28</f>
        <v>0</v>
      </c>
      <c r="M28" s="861"/>
      <c r="N28" s="861"/>
      <c r="O28" s="861"/>
      <c r="P28" s="861"/>
      <c r="Q28" s="861"/>
      <c r="R28" s="861"/>
      <c r="S28" s="861"/>
      <c r="T28" s="438" cm="1" t="str">
        <f t="array" ref="T28:T28">T27</f>
        <v>false</v>
      </c>
      <c r="U28" s="861"/>
      <c r="V28" s="861"/>
      <c r="W28" s="861"/>
      <c r="X28" s="1472"/>
      <c r="Y28" s="861"/>
      <c r="Z28" s="1560"/>
      <c r="AA28" s="861"/>
      <c r="AB28" s="177">
        <v>1</v>
      </c>
      <c r="AC28" s="178" t="s">
        <v>991</v>
      </c>
      <c r="AD28" s="177" t="s">
        <v>789</v>
      </c>
      <c r="AE28" s="179">
        <f>SUMIF(AD30:AD32,AD28,AE30:AE32)</f>
        <v>0</v>
      </c>
      <c r="AF28" s="179">
        <f>SUMIF(AD30:AD32,AD28,AF30:AF32)</f>
        <v>0</v>
      </c>
      <c r="AG28" s="179">
        <f>SUMIF(AD30:AD32,AD28,AG30:AG32)</f>
        <v>0</v>
      </c>
      <c r="AH28" s="179">
        <f>SUMIF(AD30:AD32,AD28,AH30:AH32)</f>
        <v>0</v>
      </c>
      <c r="AI28" s="179">
        <f>SUMIF(AD30:AD32,AD28,AI30:AI32)</f>
        <v>0</v>
      </c>
      <c r="AJ28" s="1357">
        <f>SUMIF(AD30:AD32,AD28,AJ30:AJ32)</f>
        <v>0</v>
      </c>
      <c r="AK28" s="1357">
        <f>SUMIF(AD30:AD32,AD28,AK30:AK32)</f>
        <v>0</v>
      </c>
      <c r="AL28" s="1357">
        <f>SUMIF(AD30:AD32,AD28,AL30:AL32)</f>
        <v>0</v>
      </c>
      <c r="AM28" s="1357">
        <f>SUMIF(AD30:AD32,AD28,AM30:AM32)</f>
        <v>0</v>
      </c>
      <c r="AN28" s="1357">
        <f>SUMIF(AD30:AD32,AD28,AN30:AN32)</f>
        <v>0</v>
      </c>
      <c r="AO28" s="1357">
        <f>SUMIF(AD30:AD32,AD28,AO30:AO32)</f>
        <v>0</v>
      </c>
      <c r="AP28" s="1357">
        <f>SUMIF(AD30:AD32,AD28,AP30:AP32)</f>
        <v>0</v>
      </c>
      <c r="AQ28" s="1357">
        <f>SUMIF(AD30:AD32,AD28,AQ30:AQ32)</f>
        <v>0</v>
      </c>
      <c r="AR28" s="1357">
        <f>SUMIF(AD30:AD32,AD28,AR30:AR32)</f>
        <v>0</v>
      </c>
      <c r="AS28" s="179">
        <f>SUMIF(AD30:AD32,AD28,AS30:AS32)</f>
        <v>0</v>
      </c>
      <c r="AT28" s="1357">
        <f>SUMIF(AD30:AD32,AD28,AT30:AT32)</f>
        <v>0</v>
      </c>
      <c r="AU28" s="1357">
        <f>SUMIF(AD30:AD32,AD28,AU30:AU32)</f>
        <v>0</v>
      </c>
      <c r="AV28" s="1357">
        <f>SUMIF(AD30:AD32,AD28,AV30:AV32)</f>
        <v>0</v>
      </c>
      <c r="AW28" s="1357">
        <f>SUMIF(AD30:AD32,AD28,AW30:AW32)</f>
        <v>0</v>
      </c>
      <c r="AX28" s="1357">
        <f>SUMIF(AD30:AD32,AD28,AX30:AX32)</f>
        <v>0</v>
      </c>
      <c r="AY28" s="1357">
        <f>SUMIF(AD30:AD32,AD28,AY30:AY32)</f>
        <v>0</v>
      </c>
      <c r="AZ28" s="1357">
        <f>SUMIF(AD30:AD32,AD28,AZ30:AZ32)</f>
        <v>0</v>
      </c>
      <c r="BA28" s="1357">
        <f>SUMIF(AD30:AD32,AD28,BA30:BA32)</f>
        <v>0</v>
      </c>
      <c r="BB28" s="1357">
        <f>SUMIF(AD30:AD32,AD28,BB30:BB32)</f>
        <v>0</v>
      </c>
      <c r="BC28" s="1880"/>
      <c r="BD28" s="861"/>
      <c r="BE28" s="861"/>
      <c r="BF28" s="1018" t="s">
        <v>992</v>
      </c>
      <c r="BG28" s="1018"/>
      <c r="BH28" s="1018"/>
      <c r="BI28" s="654"/>
      <c r="BJ28" s="654"/>
    </row>
    <row customHeight="1" ht="15" hidden="1">
      <c r="A29" s="861"/>
      <c r="B29" s="412"/>
      <c r="C29" s="861"/>
      <c r="D29" s="861"/>
      <c r="E29" s="654">
        <v>0</v>
      </c>
      <c r="F29" s="50" cm="1" t="str">
        <f t="array" ref="F29:F29">OFFSET(E29,-1,1)</f>
        <v>0</v>
      </c>
      <c r="G29" s="861"/>
      <c r="H29" s="861"/>
      <c r="I29" s="861"/>
      <c r="J29" s="861"/>
      <c r="K29" s="887"/>
      <c r="L29" s="891"/>
      <c r="M29" s="861"/>
      <c r="N29" s="861"/>
      <c r="O29" s="861"/>
      <c r="P29" s="861"/>
      <c r="Q29" s="861"/>
      <c r="R29" s="861"/>
      <c r="S29" s="861"/>
      <c r="T29" s="438" t="b">
        <v>0</v>
      </c>
      <c r="U29" s="861"/>
      <c r="V29" s="861"/>
      <c r="W29" s="118" t="s">
        <v>172</v>
      </c>
      <c r="X29" s="1472"/>
      <c r="Y29" s="1472">
        <v>0</v>
      </c>
      <c r="Z29" s="1560"/>
      <c r="AA29" s="1561" t="s">
        <v>173</v>
      </c>
      <c r="AB29" s="177"/>
      <c r="AC29" s="178"/>
      <c r="AD29" s="177"/>
      <c r="AE29" s="182">
        <f>OR(AND(AE30&lt;&gt;"",AE31=""),AND(AE30="",AE31&lt;&gt;""))</f>
        <v>0</v>
      </c>
      <c r="AF29" s="182">
        <f>OR(AND(AF30&lt;&gt;"",AF31=""),AND(AF30="",AF31&lt;&gt;""))</f>
        <v>0</v>
      </c>
      <c r="AG29" s="182">
        <f>OR(AND(AG30&lt;&gt;"",AG31=""),AND(AG30="",AG31&lt;&gt;""))</f>
        <v>0</v>
      </c>
      <c r="AH29" s="182">
        <f>OR(AND(AH30&lt;&gt;"",AH31=""),AND(AH30="",AH31&lt;&gt;""))</f>
        <v>0</v>
      </c>
      <c r="AI29" s="182">
        <f>OR(AND(AI30&lt;&gt;"",AI31=""),AND(AI30="",AI31&lt;&gt;""))</f>
        <v>0</v>
      </c>
      <c r="AJ29" s="182">
        <f>OR(AND(AJ30&lt;&gt;"",AJ31=""),AND(AJ30="",AJ31&lt;&gt;""))</f>
        <v>0</v>
      </c>
      <c r="AK29" s="182">
        <f>OR(AND(AK30&lt;&gt;"",AK31=""),AND(AK30="",AK31&lt;&gt;""))</f>
        <v>0</v>
      </c>
      <c r="AL29" s="182">
        <f>OR(AND(AL30&lt;&gt;"",AL31=""),AND(AL30="",AL31&lt;&gt;""))</f>
        <v>0</v>
      </c>
      <c r="AM29" s="182">
        <f>OR(AND(AM30&lt;&gt;"",AM31=""),AND(AM30="",AM31&lt;&gt;""))</f>
        <v>0</v>
      </c>
      <c r="AN29" s="182">
        <f>OR(AND(AN30&lt;&gt;"",AN31=""),AND(AN30="",AN31&lt;&gt;""))</f>
        <v>0</v>
      </c>
      <c r="AO29" s="182">
        <f>OR(AND(AO30&lt;&gt;"",AO31=""),AND(AO30="",AO31&lt;&gt;""))</f>
        <v>0</v>
      </c>
      <c r="AP29" s="182">
        <f>OR(AND(AP30&lt;&gt;"",AP31=""),AND(AP30="",AP31&lt;&gt;""))</f>
        <v>0</v>
      </c>
      <c r="AQ29" s="182">
        <f>OR(AND(AQ30&lt;&gt;"",AQ31=""),AND(AQ30="",AQ31&lt;&gt;""))</f>
        <v>0</v>
      </c>
      <c r="AR29" s="182">
        <f>OR(AND(AR30&lt;&gt;"",AR31=""),AND(AR30="",AR31&lt;&gt;""))</f>
        <v>0</v>
      </c>
      <c r="AS29" s="182">
        <f>OR(AND(AS30&lt;&gt;"",AS31=""),AND(AS30="",AS31&lt;&gt;""))</f>
        <v>0</v>
      </c>
      <c r="AT29" s="182">
        <f>OR(AND(AT30&lt;&gt;"",AT31=""),AND(AT30="",AT31&lt;&gt;""))</f>
        <v>0</v>
      </c>
      <c r="AU29" s="182">
        <f>OR(AND(AU30&lt;&gt;"",AU31=""),AND(AU30="",AU31&lt;&gt;""))</f>
        <v>0</v>
      </c>
      <c r="AV29" s="182">
        <f>OR(AND(AV30&lt;&gt;"",AV31=""),AND(AV30="",AV31&lt;&gt;""))</f>
        <v>0</v>
      </c>
      <c r="AW29" s="182">
        <f>OR(AND(AW30&lt;&gt;"",AW31=""),AND(AW30="",AW31&lt;&gt;""))</f>
        <v>0</v>
      </c>
      <c r="AX29" s="182">
        <f>OR(AND(AX30&lt;&gt;"",AX31=""),AND(AX30="",AX31&lt;&gt;""))</f>
        <v>0</v>
      </c>
      <c r="AY29" s="182">
        <f>OR(AND(AY30&lt;&gt;"",AY31=""),AND(AY30="",AY31&lt;&gt;""))</f>
        <v>0</v>
      </c>
      <c r="AZ29" s="182">
        <f>OR(AND(AZ30&lt;&gt;"",AZ31=""),AND(AZ30="",AZ31&lt;&gt;""))</f>
        <v>0</v>
      </c>
      <c r="BA29" s="182">
        <f>OR(AND(BA30&lt;&gt;"",BA31=""),AND(BA30="",BA31&lt;&gt;""))</f>
        <v>0</v>
      </c>
      <c r="BB29" s="182">
        <f>OR(AND(BB30&lt;&gt;"",BB31=""),AND(BB30="",BB31&lt;&gt;""))</f>
        <v>0</v>
      </c>
      <c r="BC29" s="951"/>
      <c r="BD29" s="861"/>
      <c r="BE29" s="861"/>
      <c r="BF29" s="1018"/>
      <c r="BG29" s="1018"/>
      <c r="BH29" s="1018"/>
      <c r="BI29" s="654"/>
      <c r="BJ29" s="654"/>
    </row>
    <row customHeight="1" ht="14.625" hidden="1">
      <c r="A30" s="861"/>
      <c r="B30" s="412"/>
      <c r="C30" s="861"/>
      <c r="D30" s="861"/>
      <c r="E30" s="654">
        <v>15</v>
      </c>
      <c r="F30" s="50" cm="1" t="str">
        <f t="array" ref="F30:F30">OFFSET(E30,-1,1)</f>
        <v>0</v>
      </c>
      <c r="G30" s="118" t="s">
        <v>321</v>
      </c>
      <c r="H30" s="121" cm="1" t="str">
        <f t="array" ref="H30:H30">AC30</f>
        <v>0</v>
      </c>
      <c r="I30" s="118" t="s">
        <v>993</v>
      </c>
      <c r="J30" s="861"/>
      <c r="K30" s="887"/>
      <c r="L30" s="861"/>
      <c r="M30" s="861"/>
      <c r="N30" s="861"/>
      <c r="O30" s="861"/>
      <c r="P30" s="861"/>
      <c r="Q30" s="861"/>
      <c r="R30" s="861"/>
      <c r="S30" s="861"/>
      <c r="T30" s="438">
        <f>AND(F30&gt;0,Y29&gt;0)</f>
        <v>0</v>
      </c>
      <c r="U30" s="861"/>
      <c r="V30" s="861"/>
      <c r="W30" s="861"/>
      <c r="X30" s="1472"/>
      <c r="Y30" s="1472"/>
      <c r="Z30" s="1560"/>
      <c r="AA30" s="1561"/>
      <c r="AB30" s="54" t="str">
        <f>"1."&amp;Y29</f>
        <v>1.0</v>
      </c>
      <c r="AC30" s="240"/>
      <c r="AD30" s="177" t="s">
        <v>789</v>
      </c>
      <c r="AE30" s="2480"/>
      <c r="AF30" s="2480"/>
      <c r="AG30" s="2480"/>
      <c r="AH30" s="2480"/>
      <c r="AI30" s="1359"/>
      <c r="AJ30" s="2480"/>
      <c r="AK30" s="2480"/>
      <c r="AL30" s="2480"/>
      <c r="AM30" s="2480"/>
      <c r="AN30" s="2480"/>
      <c r="AO30" s="2480"/>
      <c r="AP30" s="2480"/>
      <c r="AQ30" s="2480"/>
      <c r="AR30" s="2480"/>
      <c r="AS30" s="1359"/>
      <c r="AT30" s="2480"/>
      <c r="AU30" s="2480"/>
      <c r="AV30" s="2480"/>
      <c r="AW30" s="2480"/>
      <c r="AX30" s="2480"/>
      <c r="AY30" s="2480"/>
      <c r="AZ30" s="2480"/>
      <c r="BA30" s="2480"/>
      <c r="BB30" s="2480"/>
      <c r="BC30" s="1880"/>
      <c r="BD30" s="861"/>
      <c r="BE30" s="861"/>
      <c r="BF30" s="1018" t="s">
        <v>994</v>
      </c>
      <c r="BG30" s="1018" t="s">
        <v>995</v>
      </c>
      <c r="BH30" s="1018" cm="1" t="str">
        <f t="array" ref="BH30:BH30">AC30</f>
        <v>0</v>
      </c>
      <c r="BI30" s="654"/>
      <c r="BJ30" s="654" t="b">
        <v>1</v>
      </c>
    </row>
    <row customHeight="1" ht="14.625" hidden="1">
      <c r="A31" s="861"/>
      <c r="B31" s="412"/>
      <c r="C31" s="861"/>
      <c r="D31" s="861"/>
      <c r="E31" s="654">
        <v>15</v>
      </c>
      <c r="F31" s="50" cm="1" t="str">
        <f t="array" ref="F31:F31">OFFSET(E31,-1,1)</f>
        <v>0</v>
      </c>
      <c r="G31" s="118" t="s">
        <v>434</v>
      </c>
      <c r="H31" s="121" cm="1" t="str">
        <f t="array" ref="H31:H31">H30</f>
        <v>0</v>
      </c>
      <c r="I31" s="118" t="s">
        <v>993</v>
      </c>
      <c r="J31" s="861"/>
      <c r="K31" s="887"/>
      <c r="L31" s="861"/>
      <c r="M31" s="861"/>
      <c r="N31" s="861"/>
      <c r="O31" s="861"/>
      <c r="P31" s="861"/>
      <c r="Q31" s="861"/>
      <c r="R31" s="861"/>
      <c r="S31" s="861"/>
      <c r="T31" s="438" cm="1" t="str">
        <f t="array" ref="T31:T31">T30</f>
        <v>false</v>
      </c>
      <c r="U31" s="861"/>
      <c r="V31" s="861"/>
      <c r="W31" s="861"/>
      <c r="X31" s="1472"/>
      <c r="Y31" s="1472"/>
      <c r="Z31" s="1560"/>
      <c r="AA31" s="1561"/>
      <c r="AB31" s="54" t="str">
        <f>AB30&amp;".1"</f>
        <v>1.0.1</v>
      </c>
      <c r="AC31" s="187" t="s">
        <v>996</v>
      </c>
      <c r="AD31" s="54" t="s">
        <v>506</v>
      </c>
      <c r="AE31" s="2388"/>
      <c r="AF31" s="2388"/>
      <c r="AG31" s="2388"/>
      <c r="AH31" s="2388"/>
      <c r="AI31" s="181"/>
      <c r="AJ31" s="2388"/>
      <c r="AK31" s="2388"/>
      <c r="AL31" s="2388"/>
      <c r="AM31" s="2388"/>
      <c r="AN31" s="2388"/>
      <c r="AO31" s="2388"/>
      <c r="AP31" s="2388"/>
      <c r="AQ31" s="2388"/>
      <c r="AR31" s="2388"/>
      <c r="AS31" s="181"/>
      <c r="AT31" s="2388"/>
      <c r="AU31" s="2388"/>
      <c r="AV31" s="2388"/>
      <c r="AW31" s="2388"/>
      <c r="AX31" s="2388"/>
      <c r="AY31" s="2388"/>
      <c r="AZ31" s="2388"/>
      <c r="BA31" s="2388"/>
      <c r="BB31" s="2388"/>
      <c r="BC31" s="1880"/>
      <c r="BD31" s="861"/>
      <c r="BE31" s="861"/>
      <c r="BF31" s="1018" t="s">
        <v>997</v>
      </c>
      <c r="BG31" s="1018" t="s">
        <v>995</v>
      </c>
      <c r="BH31" s="1018" cm="1" t="str">
        <f t="array" ref="BH31:BH31">BH30</f>
        <v>0</v>
      </c>
      <c r="BI31" s="654"/>
      <c r="BJ31" s="654"/>
    </row>
    <row customHeight="1" ht="14.625" hidden="1">
      <c r="A32" s="861"/>
      <c r="B32" s="412"/>
      <c r="C32" s="861"/>
      <c r="D32" s="861"/>
      <c r="E32" s="654">
        <v>15</v>
      </c>
      <c r="F32" s="50" cm="1" t="str">
        <f t="array" ref="F32:F32">OFFSET(E32,-1,1)</f>
        <v>0</v>
      </c>
      <c r="G32" s="861"/>
      <c r="H32" s="118" t="str">
        <f>"!=='не определено' &amp;&amp; row.l1 !== null"</f>
        <v>!=='не определено' &amp;&amp; row.l1 !== null</v>
      </c>
      <c r="I32" s="861"/>
      <c r="J32" s="861"/>
      <c r="K32" s="887"/>
      <c r="L32" s="861"/>
      <c r="M32" s="861"/>
      <c r="N32" s="861"/>
      <c r="O32" s="861"/>
      <c r="P32" s="861"/>
      <c r="Q32" s="861"/>
      <c r="R32" s="861"/>
      <c r="S32" s="861"/>
      <c r="T32" s="438">
        <f>F32&gt;0</f>
        <v>0</v>
      </c>
      <c r="U32" s="861"/>
      <c r="V32" s="861"/>
      <c r="W32" s="661" t="s">
        <v>998</v>
      </c>
      <c r="X32" s="1472"/>
      <c r="Y32" s="861"/>
      <c r="Z32" s="1560"/>
      <c r="AA32" s="861"/>
      <c r="AB32" s="657"/>
      <c r="AC32" s="198" t="s">
        <v>999</v>
      </c>
      <c r="AD32" s="198"/>
      <c r="AE32" s="198"/>
      <c r="AF32" s="198"/>
      <c r="AG32" s="198"/>
      <c r="AH32" s="198"/>
      <c r="AI32" s="198"/>
      <c r="AJ32" s="198"/>
      <c r="AK32" s="198"/>
      <c r="AL32" s="198"/>
      <c r="AM32" s="198"/>
      <c r="AN32" s="198"/>
      <c r="AO32" s="198"/>
      <c r="AP32" s="198"/>
      <c r="AQ32" s="198"/>
      <c r="AR32" s="198"/>
      <c r="AS32" s="198"/>
      <c r="AT32" s="198"/>
      <c r="AU32" s="198"/>
      <c r="AV32" s="198"/>
      <c r="AW32" s="198"/>
      <c r="AX32" s="198"/>
      <c r="AY32" s="198"/>
      <c r="AZ32" s="198"/>
      <c r="BA32" s="198"/>
      <c r="BB32" s="198"/>
      <c r="BC32" s="199"/>
      <c r="BD32" s="861"/>
      <c r="BE32" s="861"/>
      <c r="BF32" s="1018"/>
      <c r="BG32" s="1018"/>
      <c r="BH32" s="1018"/>
      <c r="BI32" s="654" t="s">
        <v>995</v>
      </c>
      <c r="BJ32" s="654"/>
    </row>
    <row customHeight="1" ht="21.9375" hidden="1">
      <c r="A33" s="861"/>
      <c r="B33" s="412"/>
      <c r="C33" s="861"/>
      <c r="D33" s="861"/>
      <c r="E33" s="654">
        <v>22.5</v>
      </c>
      <c r="F33" s="50" cm="1" t="str">
        <f t="array" ref="F33:F33">OFFSET(E33,-1,1)</f>
        <v>0</v>
      </c>
      <c r="G33" s="861"/>
      <c r="H33" s="861"/>
      <c r="I33" s="861"/>
      <c r="J33" s="861"/>
      <c r="K33" s="887" t="str">
        <f>F28&amp;"2komm"</f>
        <v>02komm</v>
      </c>
      <c r="L33" s="891" cm="1" t="str">
        <f t="array" ref="L33:L33">BC33</f>
        <v>0</v>
      </c>
      <c r="M33" s="861"/>
      <c r="N33" s="861"/>
      <c r="O33" s="861"/>
      <c r="P33" s="861"/>
      <c r="Q33" s="861"/>
      <c r="R33" s="861"/>
      <c r="S33" s="861"/>
      <c r="T33" s="438" cm="1" t="str">
        <f t="array" ref="T33:T33">T32</f>
        <v>false</v>
      </c>
      <c r="U33" s="861"/>
      <c r="V33" s="861"/>
      <c r="W33" s="861"/>
      <c r="X33" s="1472"/>
      <c r="Y33" s="660"/>
      <c r="Z33" s="1560"/>
      <c r="AA33" s="861"/>
      <c r="AB33" s="177">
        <v>2</v>
      </c>
      <c r="AC33" s="178" t="s">
        <v>1000</v>
      </c>
      <c r="AD33" s="177" t="s">
        <v>789</v>
      </c>
      <c r="AE33" s="179">
        <f>SUMIF(AD35:AD37,AD33,AE35:AE37)</f>
        <v>0</v>
      </c>
      <c r="AF33" s="179">
        <f>SUMIF(AD35:AD37,AD33,AF35:AF37)</f>
        <v>0</v>
      </c>
      <c r="AG33" s="179">
        <f>SUMIF(AD35:AD37,AD33,AG35:AG37)</f>
        <v>0</v>
      </c>
      <c r="AH33" s="179">
        <f>SUMIF(AD35:AD37,AD33,AH35:AH37)</f>
        <v>0</v>
      </c>
      <c r="AI33" s="179">
        <f>SUMIF(AD35:AD37,AD33,AI35:AI37)</f>
        <v>0</v>
      </c>
      <c r="AJ33" s="1357">
        <f>SUMIF(AD35:AD37,AD33,AJ35:AJ37)</f>
        <v>0</v>
      </c>
      <c r="AK33" s="1357">
        <f>SUMIF(AD35:AD37,AD33,AK35:AK37)</f>
        <v>0</v>
      </c>
      <c r="AL33" s="1357">
        <f>SUMIF(AD35:AD37,AD33,AL35:AL37)</f>
        <v>0</v>
      </c>
      <c r="AM33" s="1357">
        <f>SUMIF(AD35:AD37,AD33,AM35:AM37)</f>
        <v>0</v>
      </c>
      <c r="AN33" s="1357">
        <f>SUMIF(AD35:AD37,AD33,AN35:AN37)</f>
        <v>0</v>
      </c>
      <c r="AO33" s="1357">
        <f>SUMIF(AD35:AD37,AD33,AO35:AO37)</f>
        <v>0</v>
      </c>
      <c r="AP33" s="1357">
        <f>SUMIF(AD35:AD37,AD33,AP35:AP37)</f>
        <v>0</v>
      </c>
      <c r="AQ33" s="1357">
        <f>SUMIF(AD35:AD37,AD33,AQ35:AQ37)</f>
        <v>0</v>
      </c>
      <c r="AR33" s="1357">
        <f>SUMIF(AD35:AD37,AD33,AR35:AR37)</f>
        <v>0</v>
      </c>
      <c r="AS33" s="179">
        <f>SUMIF(AD35:AD37,AD33,AS35:AS37)</f>
        <v>0</v>
      </c>
      <c r="AT33" s="1357">
        <f>SUMIF(AD35:AD37,AD33,AT35:AT37)</f>
        <v>0</v>
      </c>
      <c r="AU33" s="1357">
        <f>SUMIF(AD35:AD37,AD33,AU35:AU37)</f>
        <v>0</v>
      </c>
      <c r="AV33" s="1357">
        <f>SUMIF(AD35:AD37,AD33,AV35:AV37)</f>
        <v>0</v>
      </c>
      <c r="AW33" s="1357">
        <f>SUMIF(AD35:AD37,AD33,AW35:AW37)</f>
        <v>0</v>
      </c>
      <c r="AX33" s="1357">
        <f>SUMIF(AD35:AD37,AD33,AX35:AX37)</f>
        <v>0</v>
      </c>
      <c r="AY33" s="1357">
        <f>SUMIF(AD35:AD37,AD33,AY35:AY37)</f>
        <v>0</v>
      </c>
      <c r="AZ33" s="1357">
        <f>SUMIF(AD35:AD37,AD33,AZ35:AZ37)</f>
        <v>0</v>
      </c>
      <c r="BA33" s="1357">
        <f>SUMIF(AD35:AD37,AD33,BA35:BA37)</f>
        <v>0</v>
      </c>
      <c r="BB33" s="1357">
        <f>SUMIF(AD35:AD37,AD33,BB35:BB37)</f>
        <v>0</v>
      </c>
      <c r="BC33" s="1880"/>
      <c r="BD33" s="861"/>
      <c r="BE33" s="861"/>
      <c r="BF33" s="1018" t="s">
        <v>1001</v>
      </c>
      <c r="BG33" s="1018"/>
      <c r="BH33" s="1018"/>
      <c r="BI33" s="654"/>
      <c r="BJ33" s="654"/>
    </row>
    <row customHeight="1" ht="15" hidden="1">
      <c r="A34" s="861"/>
      <c r="B34" s="412"/>
      <c r="C34" s="861"/>
      <c r="D34" s="861"/>
      <c r="E34" s="654">
        <v>0</v>
      </c>
      <c r="F34" s="50" cm="1" t="str">
        <f t="array" ref="F34:F34">OFFSET(E34,-1,1)</f>
        <v>0</v>
      </c>
      <c r="G34" s="118" t="s">
        <v>322</v>
      </c>
      <c r="H34" s="861"/>
      <c r="I34" s="861"/>
      <c r="J34" s="861"/>
      <c r="K34" s="887"/>
      <c r="L34" s="891"/>
      <c r="M34" s="861"/>
      <c r="N34" s="861"/>
      <c r="O34" s="861"/>
      <c r="P34" s="861"/>
      <c r="Q34" s="861"/>
      <c r="R34" s="861"/>
      <c r="S34" s="861"/>
      <c r="T34" s="438" t="b">
        <v>0</v>
      </c>
      <c r="U34" s="861"/>
      <c r="V34" s="861"/>
      <c r="W34" s="118" t="s">
        <v>172</v>
      </c>
      <c r="X34" s="1472"/>
      <c r="Y34" s="1472">
        <v>0</v>
      </c>
      <c r="Z34" s="1560"/>
      <c r="AA34" s="1562" t="s">
        <v>173</v>
      </c>
      <c r="AB34" s="177"/>
      <c r="AC34" s="178"/>
      <c r="AD34" s="177"/>
      <c r="AE34" s="1360">
        <f>OR(AND(AE35&lt;&gt;"",AE36=""),AND(AE35="",AE36&lt;&gt;""))</f>
        <v>0</v>
      </c>
      <c r="AF34" s="1360">
        <f>OR(AND(AF35&lt;&gt;"",AF36=""),AND(AF35="",AF36&lt;&gt;""))</f>
        <v>0</v>
      </c>
      <c r="AG34" s="1360">
        <f>OR(AND(AG35&lt;&gt;"",AG36=""),AND(AG35="",AG36&lt;&gt;""))</f>
        <v>0</v>
      </c>
      <c r="AH34" s="1360">
        <f>OR(AND(AH35&lt;&gt;"",AH36=""),AND(AH35="",AH36&lt;&gt;""))</f>
        <v>0</v>
      </c>
      <c r="AI34" s="1360">
        <f>OR(AND(AI35&lt;&gt;"",AI36=""),AND(AI35="",AI36&lt;&gt;""))</f>
        <v>0</v>
      </c>
      <c r="AJ34" s="1360">
        <f>OR(AND(AJ35&lt;&gt;"",AJ36=""),AND(AJ35="",AJ36&lt;&gt;""))</f>
        <v>0</v>
      </c>
      <c r="AK34" s="1360">
        <f>OR(AND(AK35&lt;&gt;"",AK36=""),AND(AK35="",AK36&lt;&gt;""))</f>
        <v>0</v>
      </c>
      <c r="AL34" s="1360">
        <f>OR(AND(AL35&lt;&gt;"",AL36=""),AND(AL35="",AL36&lt;&gt;""))</f>
        <v>0</v>
      </c>
      <c r="AM34" s="1360">
        <f>OR(AND(AM35&lt;&gt;"",AM36=""),AND(AM35="",AM36&lt;&gt;""))</f>
        <v>0</v>
      </c>
      <c r="AN34" s="1360">
        <f>OR(AND(AN35&lt;&gt;"",AN36=""),AND(AN35="",AN36&lt;&gt;""))</f>
        <v>0</v>
      </c>
      <c r="AO34" s="1360">
        <f>OR(AND(AO35&lt;&gt;"",AO36=""),AND(AO35="",AO36&lt;&gt;""))</f>
        <v>0</v>
      </c>
      <c r="AP34" s="1360">
        <f>OR(AND(AP35&lt;&gt;"",AP36=""),AND(AP35="",AP36&lt;&gt;""))</f>
        <v>0</v>
      </c>
      <c r="AQ34" s="1360">
        <f>OR(AND(AQ35&lt;&gt;"",AQ36=""),AND(AQ35="",AQ36&lt;&gt;""))</f>
        <v>0</v>
      </c>
      <c r="AR34" s="1360">
        <f>OR(AND(AR35&lt;&gt;"",AR36=""),AND(AR35="",AR36&lt;&gt;""))</f>
        <v>0</v>
      </c>
      <c r="AS34" s="1360">
        <f>OR(AND(AS35&lt;&gt;"",AS36=""),AND(AS35="",AS36&lt;&gt;""))</f>
        <v>0</v>
      </c>
      <c r="AT34" s="1360">
        <f>OR(AND(AT35&lt;&gt;"",AT36=""),AND(AT35="",AT36&lt;&gt;""))</f>
        <v>0</v>
      </c>
      <c r="AU34" s="1360">
        <f>OR(AND(AU35&lt;&gt;"",AU36=""),AND(AU35="",AU36&lt;&gt;""))</f>
        <v>0</v>
      </c>
      <c r="AV34" s="1360">
        <f>OR(AND(AV35&lt;&gt;"",AV36=""),AND(AV35="",AV36&lt;&gt;""))</f>
        <v>0</v>
      </c>
      <c r="AW34" s="1360">
        <f>OR(AND(AW35&lt;&gt;"",AW36=""),AND(AW35="",AW36&lt;&gt;""))</f>
        <v>0</v>
      </c>
      <c r="AX34" s="1360">
        <f>OR(AND(AX35&lt;&gt;"",AX36=""),AND(AX35="",AX36&lt;&gt;""))</f>
        <v>0</v>
      </c>
      <c r="AY34" s="1360">
        <f>OR(AND(AY35&lt;&gt;"",AY36=""),AND(AY35="",AY36&lt;&gt;""))</f>
        <v>0</v>
      </c>
      <c r="AZ34" s="1360">
        <f>OR(AND(AZ35&lt;&gt;"",AZ36=""),AND(AZ35="",AZ36&lt;&gt;""))</f>
        <v>0</v>
      </c>
      <c r="BA34" s="1360">
        <f>OR(AND(BA35&lt;&gt;"",BA36=""),AND(BA35="",BA36&lt;&gt;""))</f>
        <v>0</v>
      </c>
      <c r="BB34" s="1360">
        <f>OR(AND(BB35&lt;&gt;"",BB36=""),AND(BB35="",BB36&lt;&gt;""))</f>
        <v>0</v>
      </c>
      <c r="BC34" s="951"/>
      <c r="BD34" s="861"/>
      <c r="BE34" s="861"/>
      <c r="BF34" s="1018"/>
      <c r="BG34" s="1018"/>
      <c r="BH34" s="1018"/>
      <c r="BI34" s="654"/>
      <c r="BJ34" s="654"/>
    </row>
    <row customHeight="1" ht="14.625" hidden="1">
      <c r="A35" s="861"/>
      <c r="B35" s="412"/>
      <c r="C35" s="861"/>
      <c r="D35" s="861"/>
      <c r="E35" s="654">
        <v>15</v>
      </c>
      <c r="F35" s="50" cm="1" t="str">
        <f t="array" ref="F35:F35">OFFSET(E35,-1,1)</f>
        <v>0</v>
      </c>
      <c r="G35" s="118" t="s">
        <v>322</v>
      </c>
      <c r="H35" s="121" cm="1" t="str">
        <f t="array" ref="H35:H35">AC35</f>
        <v>0</v>
      </c>
      <c r="I35" s="118" t="s">
        <v>1002</v>
      </c>
      <c r="J35" s="861"/>
      <c r="K35" s="887"/>
      <c r="L35" s="861"/>
      <c r="M35" s="861"/>
      <c r="N35" s="861"/>
      <c r="O35" s="861"/>
      <c r="P35" s="861"/>
      <c r="Q35" s="861"/>
      <c r="R35" s="861"/>
      <c r="S35" s="861"/>
      <c r="T35" s="438">
        <f>AND(F35&gt;0,Y34&gt;0)</f>
        <v>0</v>
      </c>
      <c r="U35" s="861"/>
      <c r="V35" s="861"/>
      <c r="W35" s="861"/>
      <c r="X35" s="1472"/>
      <c r="Y35" s="1472"/>
      <c r="Z35" s="1560"/>
      <c r="AA35" s="1562"/>
      <c r="AB35" s="54" t="str">
        <f>"2."&amp;Y34</f>
        <v>2.0</v>
      </c>
      <c r="AC35" s="240"/>
      <c r="AD35" s="177" t="s">
        <v>789</v>
      </c>
      <c r="AE35" s="2388"/>
      <c r="AF35" s="2388"/>
      <c r="AG35" s="2388"/>
      <c r="AH35" s="2388"/>
      <c r="AI35" s="181"/>
      <c r="AJ35" s="2388"/>
      <c r="AK35" s="2388"/>
      <c r="AL35" s="2388"/>
      <c r="AM35" s="2388"/>
      <c r="AN35" s="2388"/>
      <c r="AO35" s="2388"/>
      <c r="AP35" s="2388"/>
      <c r="AQ35" s="2388"/>
      <c r="AR35" s="2388"/>
      <c r="AS35" s="181"/>
      <c r="AT35" s="2388"/>
      <c r="AU35" s="2388"/>
      <c r="AV35" s="2388"/>
      <c r="AW35" s="2388"/>
      <c r="AX35" s="2388"/>
      <c r="AY35" s="2388"/>
      <c r="AZ35" s="2388"/>
      <c r="BA35" s="2388"/>
      <c r="BB35" s="2388"/>
      <c r="BC35" s="1880"/>
      <c r="BD35" s="861"/>
      <c r="BE35" s="861"/>
      <c r="BF35" s="1018" t="s">
        <v>994</v>
      </c>
      <c r="BG35" s="1018" t="s">
        <v>1003</v>
      </c>
      <c r="BH35" s="1018" cm="1" t="str">
        <f t="array" ref="BH35:BH35">AC35</f>
        <v>0</v>
      </c>
      <c r="BI35" s="654"/>
      <c r="BJ35" s="654" t="b">
        <v>1</v>
      </c>
    </row>
    <row customHeight="1" ht="14.625" hidden="1">
      <c r="A36" s="861"/>
      <c r="B36" s="412"/>
      <c r="C36" s="861"/>
      <c r="D36" s="861"/>
      <c r="E36" s="654">
        <v>15</v>
      </c>
      <c r="F36" s="50" cm="1" t="str">
        <f t="array" ref="F36:F36">OFFSET(E36,-1,1)</f>
        <v>0</v>
      </c>
      <c r="G36" s="118" t="s">
        <v>452</v>
      </c>
      <c r="H36" s="121" cm="1" t="str">
        <f t="array" ref="H36:H36">H35</f>
        <v>0</v>
      </c>
      <c r="I36" s="118" t="s">
        <v>1002</v>
      </c>
      <c r="J36" s="861"/>
      <c r="K36" s="887"/>
      <c r="L36" s="861"/>
      <c r="M36" s="861"/>
      <c r="N36" s="861"/>
      <c r="O36" s="861"/>
      <c r="P36" s="861"/>
      <c r="Q36" s="861"/>
      <c r="R36" s="861"/>
      <c r="S36" s="861"/>
      <c r="T36" s="438" cm="1" t="str">
        <f t="array" ref="T36:T36">T35</f>
        <v>false</v>
      </c>
      <c r="U36" s="861"/>
      <c r="V36" s="861"/>
      <c r="W36" s="861"/>
      <c r="X36" s="1472"/>
      <c r="Y36" s="1472"/>
      <c r="Z36" s="1560"/>
      <c r="AA36" s="1562"/>
      <c r="AB36" s="54" t="str">
        <f>AB35&amp;".1"</f>
        <v>2.0.1</v>
      </c>
      <c r="AC36" s="187" t="s">
        <v>1004</v>
      </c>
      <c r="AD36" s="54" t="s">
        <v>506</v>
      </c>
      <c r="AE36" s="2388"/>
      <c r="AF36" s="2388"/>
      <c r="AG36" s="2388"/>
      <c r="AH36" s="2388"/>
      <c r="AI36" s="181"/>
      <c r="AJ36" s="2388"/>
      <c r="AK36" s="2388"/>
      <c r="AL36" s="2388"/>
      <c r="AM36" s="2388"/>
      <c r="AN36" s="2388"/>
      <c r="AO36" s="2388"/>
      <c r="AP36" s="2388"/>
      <c r="AQ36" s="2388"/>
      <c r="AR36" s="2388"/>
      <c r="AS36" s="181"/>
      <c r="AT36" s="2388"/>
      <c r="AU36" s="2388"/>
      <c r="AV36" s="2388"/>
      <c r="AW36" s="2388"/>
      <c r="AX36" s="2388"/>
      <c r="AY36" s="2388"/>
      <c r="AZ36" s="2388"/>
      <c r="BA36" s="2388"/>
      <c r="BB36" s="2388"/>
      <c r="BC36" s="1880"/>
      <c r="BD36" s="861"/>
      <c r="BE36" s="861"/>
      <c r="BF36" s="1018" t="s">
        <v>997</v>
      </c>
      <c r="BG36" s="1018" t="s">
        <v>1003</v>
      </c>
      <c r="BH36" s="1018" cm="1" t="str">
        <f t="array" ref="BH36:BH36">BH35</f>
        <v>0</v>
      </c>
      <c r="BI36" s="654"/>
      <c r="BJ36" s="654"/>
    </row>
    <row customHeight="1" ht="14.625" hidden="1">
      <c r="A37" s="861"/>
      <c r="B37" s="412"/>
      <c r="C37" s="861"/>
      <c r="D37" s="861"/>
      <c r="E37" s="654">
        <v>15</v>
      </c>
      <c r="F37" s="50" cm="1" t="str">
        <f t="array" ref="F37:F37">OFFSET(E37,-1,1)</f>
        <v>0</v>
      </c>
      <c r="G37" s="861"/>
      <c r="H37" s="118" t="str">
        <f>"!=='не определено' &amp;&amp; row.l2 !== null"</f>
        <v>!=='не определено' &amp;&amp; row.l2 !== null</v>
      </c>
      <c r="I37" s="861"/>
      <c r="J37" s="861"/>
      <c r="K37" s="887"/>
      <c r="L37" s="861"/>
      <c r="M37" s="861"/>
      <c r="N37" s="861"/>
      <c r="O37" s="861"/>
      <c r="P37" s="861"/>
      <c r="Q37" s="861"/>
      <c r="R37" s="861"/>
      <c r="S37" s="861"/>
      <c r="T37" s="438">
        <f>F37&gt;0</f>
        <v>0</v>
      </c>
      <c r="U37" s="861"/>
      <c r="V37" s="861"/>
      <c r="W37" s="661" t="s">
        <v>998</v>
      </c>
      <c r="X37" s="1472"/>
      <c r="Y37" s="659"/>
      <c r="Z37" s="1560"/>
      <c r="AA37" s="861"/>
      <c r="AB37" s="657"/>
      <c r="AC37" s="198" t="s">
        <v>999</v>
      </c>
      <c r="AD37" s="198"/>
      <c r="AE37" s="198"/>
      <c r="AF37" s="198"/>
      <c r="AG37" s="198"/>
      <c r="AH37" s="198"/>
      <c r="AI37" s="198"/>
      <c r="AJ37" s="198"/>
      <c r="AK37" s="198"/>
      <c r="AL37" s="198"/>
      <c r="AM37" s="198"/>
      <c r="AN37" s="198"/>
      <c r="AO37" s="198"/>
      <c r="AP37" s="198"/>
      <c r="AQ37" s="198"/>
      <c r="AR37" s="198"/>
      <c r="AS37" s="198"/>
      <c r="AT37" s="198"/>
      <c r="AU37" s="198"/>
      <c r="AV37" s="198"/>
      <c r="AW37" s="198"/>
      <c r="AX37" s="198"/>
      <c r="AY37" s="198"/>
      <c r="AZ37" s="198"/>
      <c r="BA37" s="198"/>
      <c r="BB37" s="198"/>
      <c r="BC37" s="199"/>
      <c r="BD37" s="861"/>
      <c r="BE37" s="861"/>
      <c r="BF37" s="1018"/>
      <c r="BG37" s="1018"/>
      <c r="BH37" s="1018"/>
      <c r="BI37" s="654" t="s">
        <v>1003</v>
      </c>
      <c r="BJ37" s="654"/>
    </row>
    <row customHeight="1" ht="22.425" hidden="1">
      <c r="A38" s="861"/>
      <c r="B38" s="412"/>
      <c r="C38" s="861"/>
      <c r="D38" s="861"/>
      <c r="E38" s="654">
        <v>23</v>
      </c>
      <c r="F38" s="50" cm="1" t="str">
        <f t="array" ref="F38:F38">OFFSET(E38,-1,1)</f>
        <v>0</v>
      </c>
      <c r="G38" s="861"/>
      <c r="H38" s="861"/>
      <c r="I38" s="861"/>
      <c r="J38" s="861"/>
      <c r="K38" s="887" t="str">
        <f>F28&amp;"3komm"</f>
        <v>03komm</v>
      </c>
      <c r="L38" s="891" cm="1" t="str">
        <f t="array" ref="L38:L38">BC38</f>
        <v>0</v>
      </c>
      <c r="M38" s="861"/>
      <c r="N38" s="861"/>
      <c r="O38" s="861"/>
      <c r="P38" s="861"/>
      <c r="Q38" s="861"/>
      <c r="R38" s="861"/>
      <c r="S38" s="861"/>
      <c r="T38" s="438" cm="1" t="str">
        <f t="array" ref="T38:T38">T37</f>
        <v>false</v>
      </c>
      <c r="U38" s="861"/>
      <c r="V38" s="861"/>
      <c r="W38" s="861"/>
      <c r="X38" s="1472"/>
      <c r="Y38" s="660"/>
      <c r="Z38" s="1560"/>
      <c r="AA38" s="861"/>
      <c r="AB38" s="177">
        <v>3</v>
      </c>
      <c r="AC38" s="178" t="s">
        <v>1005</v>
      </c>
      <c r="AD38" s="177" t="s">
        <v>789</v>
      </c>
      <c r="AE38" s="179">
        <f>SUMIF(AD40:AD42,AD38,AE40:AE42)</f>
        <v>0</v>
      </c>
      <c r="AF38" s="179">
        <f>SUMIF(AD40:AD42,AD38,AF40:AF42)</f>
        <v>0</v>
      </c>
      <c r="AG38" s="179">
        <f>SUMIF(AD40:AD42,AD38,AG40:AG42)</f>
        <v>0</v>
      </c>
      <c r="AH38" s="179">
        <f>SUMIF(AD40:AD42,AD38,AH40:AH42)</f>
        <v>0</v>
      </c>
      <c r="AI38" s="179">
        <f>SUMIF(AD40:AD42,AD38,AI40:AI42)</f>
        <v>0</v>
      </c>
      <c r="AJ38" s="1357">
        <f>SUMIF(AD40:AD42,AD38,AJ40:AJ42)</f>
        <v>0</v>
      </c>
      <c r="AK38" s="1357">
        <f>SUMIF(AD40:AD42,AD38,AK40:AK42)</f>
        <v>0</v>
      </c>
      <c r="AL38" s="1357">
        <f>SUMIF(AD40:AD42,AD38,AL40:AL42)</f>
        <v>0</v>
      </c>
      <c r="AM38" s="1357">
        <f>SUMIF(AD40:AD42,AD38,AM40:AM42)</f>
        <v>0</v>
      </c>
      <c r="AN38" s="1357">
        <f>SUMIF(AD40:AD42,AD38,AN40:AN42)</f>
        <v>0</v>
      </c>
      <c r="AO38" s="1357">
        <f>SUMIF(AD40:AD42,AD38,AO40:AO42)</f>
        <v>0</v>
      </c>
      <c r="AP38" s="1357">
        <f>SUMIF(AD40:AD42,AD38,AP40:AP42)</f>
        <v>0</v>
      </c>
      <c r="AQ38" s="1357">
        <f>SUMIF(AD40:AD42,AD38,AQ40:AQ42)</f>
        <v>0</v>
      </c>
      <c r="AR38" s="1357">
        <f>SUMIF(AD40:AD42,AD38,AR40:AR42)</f>
        <v>0</v>
      </c>
      <c r="AS38" s="179">
        <f>SUMIF(AD40:AD42,AD38,AS40:AS42)</f>
        <v>0</v>
      </c>
      <c r="AT38" s="1357">
        <f>SUMIF(AD40:AD42,AD38,AT40:AT42)</f>
        <v>0</v>
      </c>
      <c r="AU38" s="1357">
        <f>SUMIF(AD40:AD42,AD38,AU40:AU42)</f>
        <v>0</v>
      </c>
      <c r="AV38" s="1357">
        <f>SUMIF(AD40:AD42,AD38,AV40:AV42)</f>
        <v>0</v>
      </c>
      <c r="AW38" s="1357">
        <f>SUMIF(AD40:AD42,AD38,AW40:AW42)</f>
        <v>0</v>
      </c>
      <c r="AX38" s="1357">
        <f>SUMIF(AD40:AD42,AD38,AX40:AX42)</f>
        <v>0</v>
      </c>
      <c r="AY38" s="1357">
        <f>SUMIF(AD40:AD42,AD38,AY40:AY42)</f>
        <v>0</v>
      </c>
      <c r="AZ38" s="1357">
        <f>SUMIF(AD40:AD42,AD38,AZ40:AZ42)</f>
        <v>0</v>
      </c>
      <c r="BA38" s="1357">
        <f>SUMIF(AD40:AD42,AD38,BA40:BA42)</f>
        <v>0</v>
      </c>
      <c r="BB38" s="1357">
        <f>SUMIF(AD40:AD42,AD38,BB40:BB42)</f>
        <v>0</v>
      </c>
      <c r="BC38" s="1880"/>
      <c r="BD38" s="861"/>
      <c r="BE38" s="861"/>
      <c r="BF38" s="1018" t="s">
        <v>1006</v>
      </c>
      <c r="BG38" s="1018"/>
      <c r="BH38" s="1018"/>
      <c r="BI38" s="654"/>
      <c r="BJ38" s="654"/>
    </row>
    <row customHeight="1" ht="15" hidden="1">
      <c r="A39" s="861"/>
      <c r="B39" s="412"/>
      <c r="C39" s="861"/>
      <c r="D39" s="861"/>
      <c r="E39" s="654">
        <v>0</v>
      </c>
      <c r="F39" s="50" cm="1" t="str">
        <f t="array" ref="F39:F39">OFFSET(E39,-1,1)</f>
        <v>0</v>
      </c>
      <c r="G39" s="118" t="s">
        <v>323</v>
      </c>
      <c r="H39" s="861"/>
      <c r="I39" s="861"/>
      <c r="J39" s="861"/>
      <c r="K39" s="887"/>
      <c r="L39" s="891"/>
      <c r="M39" s="861"/>
      <c r="N39" s="861"/>
      <c r="O39" s="861"/>
      <c r="P39" s="861"/>
      <c r="Q39" s="861"/>
      <c r="R39" s="861"/>
      <c r="S39" s="861"/>
      <c r="T39" s="438" t="b">
        <v>0</v>
      </c>
      <c r="U39" s="861"/>
      <c r="V39" s="861"/>
      <c r="W39" s="118" t="s">
        <v>172</v>
      </c>
      <c r="X39" s="1472"/>
      <c r="Y39" s="1472">
        <v>0</v>
      </c>
      <c r="Z39" s="1560"/>
      <c r="AA39" s="1562" t="s">
        <v>173</v>
      </c>
      <c r="AB39" s="177"/>
      <c r="AC39" s="178"/>
      <c r="AD39" s="177"/>
      <c r="AE39" s="1360">
        <f>OR(AND(AE40&lt;&gt;"",AE41=""),AND(AE40="",AE41&lt;&gt;""))</f>
        <v>0</v>
      </c>
      <c r="AF39" s="1360">
        <f>OR(AND(AF40&lt;&gt;"",AF41=""),AND(AF40="",AF41&lt;&gt;""))</f>
        <v>0</v>
      </c>
      <c r="AG39" s="1360">
        <f>OR(AND(AG40&lt;&gt;"",AG41=""),AND(AG40="",AG41&lt;&gt;""))</f>
        <v>0</v>
      </c>
      <c r="AH39" s="1360">
        <f>OR(AND(AH40&lt;&gt;"",AH41=""),AND(AH40="",AH41&lt;&gt;""))</f>
        <v>0</v>
      </c>
      <c r="AI39" s="1360">
        <f>OR(AND(AI40&lt;&gt;"",AI41=""),AND(AI40="",AI41&lt;&gt;""))</f>
        <v>0</v>
      </c>
      <c r="AJ39" s="1360">
        <f>OR(AND(AJ40&lt;&gt;"",AJ41=""),AND(AJ40="",AJ41&lt;&gt;""))</f>
        <v>0</v>
      </c>
      <c r="AK39" s="1360">
        <f>OR(AND(AK40&lt;&gt;"",AK41=""),AND(AK40="",AK41&lt;&gt;""))</f>
        <v>0</v>
      </c>
      <c r="AL39" s="1360">
        <f>OR(AND(AL40&lt;&gt;"",AL41=""),AND(AL40="",AL41&lt;&gt;""))</f>
        <v>0</v>
      </c>
      <c r="AM39" s="1360">
        <f>OR(AND(AM40&lt;&gt;"",AM41=""),AND(AM40="",AM41&lt;&gt;""))</f>
        <v>0</v>
      </c>
      <c r="AN39" s="1360">
        <f>OR(AND(AN40&lt;&gt;"",AN41=""),AND(AN40="",AN41&lt;&gt;""))</f>
        <v>0</v>
      </c>
      <c r="AO39" s="1360">
        <f>OR(AND(AO40&lt;&gt;"",AO41=""),AND(AO40="",AO41&lt;&gt;""))</f>
        <v>0</v>
      </c>
      <c r="AP39" s="1360">
        <f>OR(AND(AP40&lt;&gt;"",AP41=""),AND(AP40="",AP41&lt;&gt;""))</f>
        <v>0</v>
      </c>
      <c r="AQ39" s="1360">
        <f>OR(AND(AQ40&lt;&gt;"",AQ41=""),AND(AQ40="",AQ41&lt;&gt;""))</f>
        <v>0</v>
      </c>
      <c r="AR39" s="1360">
        <f>OR(AND(AR40&lt;&gt;"",AR41=""),AND(AR40="",AR41&lt;&gt;""))</f>
        <v>0</v>
      </c>
      <c r="AS39" s="1360">
        <f>OR(AND(AS40&lt;&gt;"",AS41=""),AND(AS40="",AS41&lt;&gt;""))</f>
        <v>0</v>
      </c>
      <c r="AT39" s="1360">
        <f>OR(AND(AT40&lt;&gt;"",AT41=""),AND(AT40="",AT41&lt;&gt;""))</f>
        <v>0</v>
      </c>
      <c r="AU39" s="1360">
        <f>OR(AND(AU40&lt;&gt;"",AU41=""),AND(AU40="",AU41&lt;&gt;""))</f>
        <v>0</v>
      </c>
      <c r="AV39" s="1360">
        <f>OR(AND(AV40&lt;&gt;"",AV41=""),AND(AV40="",AV41&lt;&gt;""))</f>
        <v>0</v>
      </c>
      <c r="AW39" s="1360">
        <f>OR(AND(AW40&lt;&gt;"",AW41=""),AND(AW40="",AW41&lt;&gt;""))</f>
        <v>0</v>
      </c>
      <c r="AX39" s="1360">
        <f>OR(AND(AX40&lt;&gt;"",AX41=""),AND(AX40="",AX41&lt;&gt;""))</f>
        <v>0</v>
      </c>
      <c r="AY39" s="1360">
        <f>OR(AND(AY40&lt;&gt;"",AY41=""),AND(AY40="",AY41&lt;&gt;""))</f>
        <v>0</v>
      </c>
      <c r="AZ39" s="1360">
        <f>OR(AND(AZ40&lt;&gt;"",AZ41=""),AND(AZ40="",AZ41&lt;&gt;""))</f>
        <v>0</v>
      </c>
      <c r="BA39" s="1360">
        <f>OR(AND(BA40&lt;&gt;"",BA41=""),AND(BA40="",BA41&lt;&gt;""))</f>
        <v>0</v>
      </c>
      <c r="BB39" s="1360">
        <f>OR(AND(BB40&lt;&gt;"",BB41=""),AND(BB40="",BB41&lt;&gt;""))</f>
        <v>0</v>
      </c>
      <c r="BC39" s="951"/>
      <c r="BD39" s="861"/>
      <c r="BE39" s="861"/>
      <c r="BF39" s="1018"/>
      <c r="BG39" s="1018"/>
      <c r="BH39" s="1018"/>
      <c r="BI39" s="654"/>
      <c r="BJ39" s="654"/>
    </row>
    <row customHeight="1" ht="14.625" hidden="1">
      <c r="A40" s="861"/>
      <c r="B40" s="412"/>
      <c r="C40" s="861"/>
      <c r="D40" s="861"/>
      <c r="E40" s="654">
        <v>15</v>
      </c>
      <c r="F40" s="50" cm="1" t="str">
        <f t="array" ref="F40:F40">OFFSET(E40,-1,1)</f>
        <v>0</v>
      </c>
      <c r="G40" s="118" t="s">
        <v>323</v>
      </c>
      <c r="H40" s="121" cm="1" t="str">
        <f t="array" ref="H40:H40">AC40</f>
        <v>0</v>
      </c>
      <c r="I40" s="118" t="s">
        <v>1007</v>
      </c>
      <c r="J40" s="861"/>
      <c r="K40" s="887"/>
      <c r="L40" s="861"/>
      <c r="M40" s="861"/>
      <c r="N40" s="861"/>
      <c r="O40" s="861"/>
      <c r="P40" s="861"/>
      <c r="Q40" s="861"/>
      <c r="R40" s="861"/>
      <c r="S40" s="861"/>
      <c r="T40" s="438">
        <f>AND(F40&gt;0,Y39&gt;0)</f>
        <v>0</v>
      </c>
      <c r="U40" s="861"/>
      <c r="V40" s="861"/>
      <c r="W40" s="861"/>
      <c r="X40" s="1472"/>
      <c r="Y40" s="1472"/>
      <c r="Z40" s="1560"/>
      <c r="AA40" s="1562"/>
      <c r="AB40" s="54" t="str">
        <f>"3."&amp;Y39</f>
        <v>3.0</v>
      </c>
      <c r="AC40" s="240"/>
      <c r="AD40" s="177" t="s">
        <v>789</v>
      </c>
      <c r="AE40" s="2388"/>
      <c r="AF40" s="2388"/>
      <c r="AG40" s="2388"/>
      <c r="AH40" s="2388"/>
      <c r="AI40" s="181"/>
      <c r="AJ40" s="2388"/>
      <c r="AK40" s="2388"/>
      <c r="AL40" s="2388"/>
      <c r="AM40" s="2388"/>
      <c r="AN40" s="2388"/>
      <c r="AO40" s="2388"/>
      <c r="AP40" s="2388"/>
      <c r="AQ40" s="2388"/>
      <c r="AR40" s="2388"/>
      <c r="AS40" s="181"/>
      <c r="AT40" s="2388"/>
      <c r="AU40" s="2388"/>
      <c r="AV40" s="2388"/>
      <c r="AW40" s="2388"/>
      <c r="AX40" s="2388"/>
      <c r="AY40" s="2388"/>
      <c r="AZ40" s="2388"/>
      <c r="BA40" s="2388"/>
      <c r="BB40" s="2388"/>
      <c r="BC40" s="1880"/>
      <c r="BD40" s="861"/>
      <c r="BE40" s="861"/>
      <c r="BF40" s="1018" t="s">
        <v>994</v>
      </c>
      <c r="BG40" s="1018" t="s">
        <v>1008</v>
      </c>
      <c r="BH40" s="1018" cm="1" t="str">
        <f t="array" ref="BH40:BH40">AC40</f>
        <v>0</v>
      </c>
      <c r="BI40" s="654"/>
      <c r="BJ40" s="654" t="b">
        <v>1</v>
      </c>
    </row>
    <row customHeight="1" ht="14.625" hidden="1">
      <c r="A41" s="861"/>
      <c r="B41" s="412"/>
      <c r="C41" s="861"/>
      <c r="D41" s="861"/>
      <c r="E41" s="654">
        <v>15</v>
      </c>
      <c r="F41" s="50" cm="1" t="str">
        <f t="array" ref="F41:F41">OFFSET(E41,-1,1)</f>
        <v>0</v>
      </c>
      <c r="G41" s="118" t="s">
        <v>874</v>
      </c>
      <c r="H41" s="121" cm="1" t="str">
        <f t="array" ref="H41:H41">H40</f>
        <v>0</v>
      </c>
      <c r="I41" s="118" t="s">
        <v>1007</v>
      </c>
      <c r="J41" s="861"/>
      <c r="K41" s="887"/>
      <c r="L41" s="861"/>
      <c r="M41" s="861"/>
      <c r="N41" s="861"/>
      <c r="O41" s="861"/>
      <c r="P41" s="861"/>
      <c r="Q41" s="861"/>
      <c r="R41" s="861"/>
      <c r="S41" s="861"/>
      <c r="T41" s="438" cm="1" t="str">
        <f t="array" ref="T41:T41">T40</f>
        <v>false</v>
      </c>
      <c r="U41" s="861"/>
      <c r="V41" s="861"/>
      <c r="W41" s="861"/>
      <c r="X41" s="1472"/>
      <c r="Y41" s="1472"/>
      <c r="Z41" s="1560"/>
      <c r="AA41" s="1562"/>
      <c r="AB41" s="54" t="str">
        <f>AB40&amp;".1"</f>
        <v>3.0.1</v>
      </c>
      <c r="AC41" s="187" t="s">
        <v>1009</v>
      </c>
      <c r="AD41" s="54" t="s">
        <v>506</v>
      </c>
      <c r="AE41" s="2388"/>
      <c r="AF41" s="2388"/>
      <c r="AG41" s="2388"/>
      <c r="AH41" s="2388"/>
      <c r="AI41" s="181"/>
      <c r="AJ41" s="2388"/>
      <c r="AK41" s="2388"/>
      <c r="AL41" s="2388"/>
      <c r="AM41" s="2388"/>
      <c r="AN41" s="2388"/>
      <c r="AO41" s="2388"/>
      <c r="AP41" s="2388"/>
      <c r="AQ41" s="2388"/>
      <c r="AR41" s="2388"/>
      <c r="AS41" s="181"/>
      <c r="AT41" s="2388"/>
      <c r="AU41" s="2388"/>
      <c r="AV41" s="2388"/>
      <c r="AW41" s="2388"/>
      <c r="AX41" s="2388"/>
      <c r="AY41" s="2388"/>
      <c r="AZ41" s="2388"/>
      <c r="BA41" s="2388"/>
      <c r="BB41" s="2388"/>
      <c r="BC41" s="1880"/>
      <c r="BD41" s="861"/>
      <c r="BE41" s="861"/>
      <c r="BF41" s="1018" t="s">
        <v>997</v>
      </c>
      <c r="BG41" s="1018" t="s">
        <v>1008</v>
      </c>
      <c r="BH41" s="1018" cm="1" t="str">
        <f t="array" ref="BH41:BH41">BH40</f>
        <v>0</v>
      </c>
      <c r="BI41" s="654"/>
      <c r="BJ41" s="654"/>
    </row>
    <row customHeight="1" ht="14.625" hidden="1">
      <c r="A42" s="861"/>
      <c r="B42" s="412"/>
      <c r="C42" s="861"/>
      <c r="D42" s="861"/>
      <c r="E42" s="654">
        <v>15</v>
      </c>
      <c r="F42" s="50" cm="1" t="str">
        <f t="array" ref="F42:F42">OFFSET(E42,-1,1)</f>
        <v>0</v>
      </c>
      <c r="G42" s="861"/>
      <c r="H42" s="118" t="str">
        <f>"!=='не определено' &amp;&amp; row.l3 !== null"</f>
        <v>!=='не определено' &amp;&amp; row.l3 !== null</v>
      </c>
      <c r="I42" s="861"/>
      <c r="J42" s="861"/>
      <c r="K42" s="887"/>
      <c r="L42" s="861"/>
      <c r="M42" s="861"/>
      <c r="N42" s="861"/>
      <c r="O42" s="861"/>
      <c r="P42" s="861"/>
      <c r="Q42" s="861"/>
      <c r="R42" s="861"/>
      <c r="S42" s="861"/>
      <c r="T42" s="438">
        <f>F42&gt;0</f>
        <v>0</v>
      </c>
      <c r="U42" s="861"/>
      <c r="V42" s="861"/>
      <c r="W42" s="661" t="s">
        <v>1010</v>
      </c>
      <c r="X42" s="1472"/>
      <c r="Y42" s="659"/>
      <c r="Z42" s="1560"/>
      <c r="AA42" s="861"/>
      <c r="AB42" s="657"/>
      <c r="AC42" s="198" t="s">
        <v>999</v>
      </c>
      <c r="AD42" s="198"/>
      <c r="AE42" s="198"/>
      <c r="AF42" s="198"/>
      <c r="AG42" s="198"/>
      <c r="AH42" s="198"/>
      <c r="AI42" s="198"/>
      <c r="AJ42" s="198"/>
      <c r="AK42" s="198"/>
      <c r="AL42" s="198"/>
      <c r="AM42" s="198"/>
      <c r="AN42" s="198"/>
      <c r="AO42" s="198"/>
      <c r="AP42" s="198"/>
      <c r="AQ42" s="198"/>
      <c r="AR42" s="198"/>
      <c r="AS42" s="198"/>
      <c r="AT42" s="198"/>
      <c r="AU42" s="198"/>
      <c r="AV42" s="198"/>
      <c r="AW42" s="198"/>
      <c r="AX42" s="198"/>
      <c r="AY42" s="198"/>
      <c r="AZ42" s="198"/>
      <c r="BA42" s="198"/>
      <c r="BB42" s="198"/>
      <c r="BC42" s="199"/>
      <c r="BD42" s="861"/>
      <c r="BE42" s="861"/>
      <c r="BF42" s="1018"/>
      <c r="BG42" s="1018"/>
      <c r="BH42" s="1018"/>
      <c r="BI42" s="654" t="s">
        <v>1008</v>
      </c>
      <c r="BJ42" s="654"/>
    </row>
    <row customHeight="1" ht="22.425" hidden="1">
      <c r="A43" s="861"/>
      <c r="B43" s="412"/>
      <c r="C43" s="861"/>
      <c r="D43" s="861"/>
      <c r="E43" s="654">
        <v>23</v>
      </c>
      <c r="F43" s="50" cm="1" t="str">
        <f t="array" ref="F43:F43">OFFSET(E43,-1,1)</f>
        <v>0</v>
      </c>
      <c r="G43" s="861"/>
      <c r="H43" s="861"/>
      <c r="I43" s="861"/>
      <c r="J43" s="861"/>
      <c r="K43" s="887" t="str">
        <f>F28&amp;"4komm"</f>
        <v>04komm</v>
      </c>
      <c r="L43" s="891" cm="1" t="str">
        <f t="array" ref="L43:L43">BC43</f>
        <v>0</v>
      </c>
      <c r="M43" s="861"/>
      <c r="N43" s="861"/>
      <c r="O43" s="861"/>
      <c r="P43" s="861"/>
      <c r="Q43" s="861"/>
      <c r="R43" s="861"/>
      <c r="S43" s="861"/>
      <c r="T43" s="438" cm="1" t="str">
        <f t="array" ref="T43:T43">T42</f>
        <v>false</v>
      </c>
      <c r="U43" s="861"/>
      <c r="V43" s="861"/>
      <c r="W43" s="861"/>
      <c r="X43" s="1472"/>
      <c r="Y43" s="660"/>
      <c r="Z43" s="1560"/>
      <c r="AA43" s="861"/>
      <c r="AB43" s="177">
        <v>4</v>
      </c>
      <c r="AC43" s="178" t="s">
        <v>1011</v>
      </c>
      <c r="AD43" s="177" t="s">
        <v>789</v>
      </c>
      <c r="AE43" s="179">
        <f>SUMIF(AD45:AD47,AD43,AE45:AE47)</f>
        <v>0</v>
      </c>
      <c r="AF43" s="179">
        <f>SUMIF(AD45:AD47,AD43,AF45:AF47)</f>
        <v>0</v>
      </c>
      <c r="AG43" s="179">
        <f>SUMIF(AD45:AD47,AD43,AG45:AG47)</f>
        <v>0</v>
      </c>
      <c r="AH43" s="179">
        <f>SUMIF(AD45:AD47,AD43,AH45:AH47)</f>
        <v>0</v>
      </c>
      <c r="AI43" s="179">
        <f>SUMIF(AD45:AD47,AD43,AI45:AI47)</f>
        <v>0</v>
      </c>
      <c r="AJ43" s="1357">
        <f>SUMIF(AD45:AD47,AD43,AJ45:AJ47)</f>
        <v>0</v>
      </c>
      <c r="AK43" s="1357">
        <f>SUMIF(AD45:AD47,AD43,AK45:AK47)</f>
        <v>0</v>
      </c>
      <c r="AL43" s="1357">
        <f>SUMIF(AD45:AD47,AD43,AL45:AL47)</f>
        <v>0</v>
      </c>
      <c r="AM43" s="1357">
        <f>SUMIF(AD45:AD47,AD43,AM45:AM47)</f>
        <v>0</v>
      </c>
      <c r="AN43" s="1357">
        <f>SUMIF(AD45:AD47,AD43,AN45:AN47)</f>
        <v>0</v>
      </c>
      <c r="AO43" s="1357">
        <f>SUMIF(AD45:AD47,AD43,AO45:AO47)</f>
        <v>0</v>
      </c>
      <c r="AP43" s="1357">
        <f>SUMIF(AD45:AD47,AD43,AP45:AP47)</f>
        <v>0</v>
      </c>
      <c r="AQ43" s="1357">
        <f>SUMIF(AD45:AD47,AD43,AQ45:AQ47)</f>
        <v>0</v>
      </c>
      <c r="AR43" s="1357">
        <f>SUMIF(AD45:AD47,AD43,AR45:AR47)</f>
        <v>0</v>
      </c>
      <c r="AS43" s="179">
        <f>SUMIF(AD45:AD47,AD43,AS45:AS47)</f>
        <v>0</v>
      </c>
      <c r="AT43" s="1357">
        <f>SUMIF(AD45:AD47,AD43,AT45:AT47)</f>
        <v>0</v>
      </c>
      <c r="AU43" s="1357">
        <f>SUMIF(AD45:AD47,AD43,AU45:AU47)</f>
        <v>0</v>
      </c>
      <c r="AV43" s="1357">
        <f>SUMIF(AD45:AD47,AD43,AV45:AV47)</f>
        <v>0</v>
      </c>
      <c r="AW43" s="1357">
        <f>SUMIF(AD45:AD47,AD43,AW45:AW47)</f>
        <v>0</v>
      </c>
      <c r="AX43" s="1357">
        <f>SUMIF(AD45:AD47,AD43,AX45:AX47)</f>
        <v>0</v>
      </c>
      <c r="AY43" s="1357">
        <f>SUMIF(AD45:AD47,AD43,AY45:AY47)</f>
        <v>0</v>
      </c>
      <c r="AZ43" s="1357">
        <f>SUMIF(AD45:AD47,AD43,AZ45:AZ47)</f>
        <v>0</v>
      </c>
      <c r="BA43" s="1357">
        <f>SUMIF(AD45:AD47,AD43,BA45:BA47)</f>
        <v>0</v>
      </c>
      <c r="BB43" s="1357">
        <f>SUMIF(AD45:AD47,AD43,BB45:BB47)</f>
        <v>0</v>
      </c>
      <c r="BC43" s="1880"/>
      <c r="BD43" s="861"/>
      <c r="BE43" s="861"/>
      <c r="BF43" s="1018" t="s">
        <v>1012</v>
      </c>
      <c r="BG43" s="1018"/>
      <c r="BH43" s="1018"/>
      <c r="BI43" s="654"/>
      <c r="BJ43" s="654"/>
    </row>
    <row customHeight="1" ht="15" hidden="1">
      <c r="A44" s="861"/>
      <c r="B44" s="412"/>
      <c r="C44" s="861"/>
      <c r="D44" s="861"/>
      <c r="E44" s="654">
        <v>0</v>
      </c>
      <c r="F44" s="50" cm="1" t="str">
        <f t="array" ref="F44:F44">OFFSET(E44,-1,1)</f>
        <v>0</v>
      </c>
      <c r="G44" s="118" t="s">
        <v>325</v>
      </c>
      <c r="H44" s="861"/>
      <c r="I44" s="861"/>
      <c r="J44" s="861"/>
      <c r="K44" s="887"/>
      <c r="L44" s="891"/>
      <c r="M44" s="861"/>
      <c r="N44" s="861"/>
      <c r="O44" s="861"/>
      <c r="P44" s="861"/>
      <c r="Q44" s="861"/>
      <c r="R44" s="861"/>
      <c r="S44" s="861"/>
      <c r="T44" s="438" t="b">
        <v>0</v>
      </c>
      <c r="U44" s="861"/>
      <c r="V44" s="861"/>
      <c r="W44" s="118" t="s">
        <v>172</v>
      </c>
      <c r="X44" s="1472"/>
      <c r="Y44" s="1472">
        <v>0</v>
      </c>
      <c r="Z44" s="1560"/>
      <c r="AA44" s="1562" t="s">
        <v>173</v>
      </c>
      <c r="AB44" s="177"/>
      <c r="AC44" s="178"/>
      <c r="AD44" s="177"/>
      <c r="AE44" s="1360">
        <f>OR(AND(AE45&lt;&gt;"",AE46=""),AND(AE45="",AE46&lt;&gt;""))</f>
        <v>0</v>
      </c>
      <c r="AF44" s="1360">
        <f>OR(AND(AF45&lt;&gt;"",AF46=""),AND(AF45="",AF46&lt;&gt;""))</f>
        <v>0</v>
      </c>
      <c r="AG44" s="1360">
        <f>OR(AND(AG45&lt;&gt;"",AG46=""),AND(AG45="",AG46&lt;&gt;""))</f>
        <v>0</v>
      </c>
      <c r="AH44" s="1360">
        <f>OR(AND(AH45&lt;&gt;"",AH46=""),AND(AH45="",AH46&lt;&gt;""))</f>
        <v>0</v>
      </c>
      <c r="AI44" s="1360">
        <f>OR(AND(AI45&lt;&gt;"",AI46=""),AND(AI45="",AI46&lt;&gt;""))</f>
        <v>0</v>
      </c>
      <c r="AJ44" s="1360">
        <f>OR(AND(AJ45&lt;&gt;"",AJ46=""),AND(AJ45="",AJ46&lt;&gt;""))</f>
        <v>0</v>
      </c>
      <c r="AK44" s="1360">
        <f>OR(AND(AK45&lt;&gt;"",AK46=""),AND(AK45="",AK46&lt;&gt;""))</f>
        <v>0</v>
      </c>
      <c r="AL44" s="1360">
        <f>OR(AND(AL45&lt;&gt;"",AL46=""),AND(AL45="",AL46&lt;&gt;""))</f>
        <v>0</v>
      </c>
      <c r="AM44" s="1360">
        <f>OR(AND(AM45&lt;&gt;"",AM46=""),AND(AM45="",AM46&lt;&gt;""))</f>
        <v>0</v>
      </c>
      <c r="AN44" s="1360">
        <f>OR(AND(AN45&lt;&gt;"",AN46=""),AND(AN45="",AN46&lt;&gt;""))</f>
        <v>0</v>
      </c>
      <c r="AO44" s="1360">
        <f>OR(AND(AO45&lt;&gt;"",AO46=""),AND(AO45="",AO46&lt;&gt;""))</f>
        <v>0</v>
      </c>
      <c r="AP44" s="1360">
        <f>OR(AND(AP45&lt;&gt;"",AP46=""),AND(AP45="",AP46&lt;&gt;""))</f>
        <v>0</v>
      </c>
      <c r="AQ44" s="1360">
        <f>OR(AND(AQ45&lt;&gt;"",AQ46=""),AND(AQ45="",AQ46&lt;&gt;""))</f>
        <v>0</v>
      </c>
      <c r="AR44" s="1360">
        <f>OR(AND(AR45&lt;&gt;"",AR46=""),AND(AR45="",AR46&lt;&gt;""))</f>
        <v>0</v>
      </c>
      <c r="AS44" s="1360">
        <f>OR(AND(AS45&lt;&gt;"",AS46=""),AND(AS45="",AS46&lt;&gt;""))</f>
        <v>0</v>
      </c>
      <c r="AT44" s="1360">
        <f>OR(AND(AT45&lt;&gt;"",AT46=""),AND(AT45="",AT46&lt;&gt;""))</f>
        <v>0</v>
      </c>
      <c r="AU44" s="1360">
        <f>OR(AND(AU45&lt;&gt;"",AU46=""),AND(AU45="",AU46&lt;&gt;""))</f>
        <v>0</v>
      </c>
      <c r="AV44" s="1360">
        <f>OR(AND(AV45&lt;&gt;"",AV46=""),AND(AV45="",AV46&lt;&gt;""))</f>
        <v>0</v>
      </c>
      <c r="AW44" s="1360">
        <f>OR(AND(AW45&lt;&gt;"",AW46=""),AND(AW45="",AW46&lt;&gt;""))</f>
        <v>0</v>
      </c>
      <c r="AX44" s="1360">
        <f>OR(AND(AX45&lt;&gt;"",AX46=""),AND(AX45="",AX46&lt;&gt;""))</f>
        <v>0</v>
      </c>
      <c r="AY44" s="1360">
        <f>OR(AND(AY45&lt;&gt;"",AY46=""),AND(AY45="",AY46&lt;&gt;""))</f>
        <v>0</v>
      </c>
      <c r="AZ44" s="1360">
        <f>OR(AND(AZ45&lt;&gt;"",AZ46=""),AND(AZ45="",AZ46&lt;&gt;""))</f>
        <v>0</v>
      </c>
      <c r="BA44" s="1360">
        <f>OR(AND(BA45&lt;&gt;"",BA46=""),AND(BA45="",BA46&lt;&gt;""))</f>
        <v>0</v>
      </c>
      <c r="BB44" s="1360">
        <f>OR(AND(BB45&lt;&gt;"",BB46=""),AND(BB45="",BB46&lt;&gt;""))</f>
        <v>0</v>
      </c>
      <c r="BC44" s="951"/>
      <c r="BD44" s="861"/>
      <c r="BE44" s="861"/>
      <c r="BF44" s="1018"/>
      <c r="BG44" s="1018"/>
      <c r="BH44" s="1018"/>
      <c r="BI44" s="654"/>
      <c r="BJ44" s="654"/>
    </row>
    <row customHeight="1" ht="14.625" hidden="1">
      <c r="A45" s="861"/>
      <c r="B45" s="412"/>
      <c r="C45" s="861"/>
      <c r="D45" s="861"/>
      <c r="E45" s="654">
        <v>15</v>
      </c>
      <c r="F45" s="50" cm="1" t="str">
        <f t="array" ref="F45:F45">OFFSET(E45,-1,1)</f>
        <v>0</v>
      </c>
      <c r="G45" s="118" t="s">
        <v>325</v>
      </c>
      <c r="H45" s="121" cm="1" t="str">
        <f t="array" ref="H45:H45">AC45</f>
        <v>0</v>
      </c>
      <c r="I45" s="118" t="s">
        <v>1013</v>
      </c>
      <c r="J45" s="861"/>
      <c r="K45" s="887"/>
      <c r="L45" s="861"/>
      <c r="M45" s="861"/>
      <c r="N45" s="861"/>
      <c r="O45" s="861"/>
      <c r="P45" s="861"/>
      <c r="Q45" s="861"/>
      <c r="R45" s="861"/>
      <c r="S45" s="861"/>
      <c r="T45" s="438">
        <f>AND(F45&gt;0,Y44&gt;0)</f>
        <v>0</v>
      </c>
      <c r="U45" s="861"/>
      <c r="V45" s="861"/>
      <c r="W45" s="861"/>
      <c r="X45" s="1472"/>
      <c r="Y45" s="1472"/>
      <c r="Z45" s="1560"/>
      <c r="AA45" s="1562"/>
      <c r="AB45" s="54" t="str">
        <f>"4."&amp;Y44</f>
        <v>4.0</v>
      </c>
      <c r="AC45" s="240"/>
      <c r="AD45" s="177" t="s">
        <v>789</v>
      </c>
      <c r="AE45" s="2388"/>
      <c r="AF45" s="2388"/>
      <c r="AG45" s="2388"/>
      <c r="AH45" s="2388"/>
      <c r="AI45" s="181"/>
      <c r="AJ45" s="2388"/>
      <c r="AK45" s="2388"/>
      <c r="AL45" s="2388"/>
      <c r="AM45" s="2388"/>
      <c r="AN45" s="2388"/>
      <c r="AO45" s="2388"/>
      <c r="AP45" s="2388"/>
      <c r="AQ45" s="2388"/>
      <c r="AR45" s="2388"/>
      <c r="AS45" s="181"/>
      <c r="AT45" s="2388"/>
      <c r="AU45" s="2388"/>
      <c r="AV45" s="2388"/>
      <c r="AW45" s="2388"/>
      <c r="AX45" s="2388"/>
      <c r="AY45" s="2388"/>
      <c r="AZ45" s="2388"/>
      <c r="BA45" s="2388"/>
      <c r="BB45" s="2388"/>
      <c r="BC45" s="1880"/>
      <c r="BD45" s="861"/>
      <c r="BE45" s="861"/>
      <c r="BF45" s="1018" t="s">
        <v>994</v>
      </c>
      <c r="BG45" s="1018" t="s">
        <v>1014</v>
      </c>
      <c r="BH45" s="1018" cm="1" t="str">
        <f t="array" ref="BH45:BH45">AC45</f>
        <v>0</v>
      </c>
      <c r="BI45" s="654"/>
      <c r="BJ45" s="654" t="b">
        <v>1</v>
      </c>
    </row>
    <row customHeight="1" ht="14.625" hidden="1">
      <c r="A46" s="861"/>
      <c r="B46" s="412"/>
      <c r="C46" s="861"/>
      <c r="D46" s="861"/>
      <c r="E46" s="654">
        <v>15</v>
      </c>
      <c r="F46" s="50" cm="1" t="str">
        <f t="array" ref="F46:F46">OFFSET(E46,-1,1)</f>
        <v>0</v>
      </c>
      <c r="G46" s="118" t="s">
        <v>508</v>
      </c>
      <c r="H46" s="121" cm="1" t="str">
        <f t="array" ref="H46:H46">H45</f>
        <v>0</v>
      </c>
      <c r="I46" s="118" t="s">
        <v>1013</v>
      </c>
      <c r="J46" s="861"/>
      <c r="K46" s="887"/>
      <c r="L46" s="861"/>
      <c r="M46" s="861"/>
      <c r="N46" s="861"/>
      <c r="O46" s="861"/>
      <c r="P46" s="861"/>
      <c r="Q46" s="861"/>
      <c r="R46" s="861"/>
      <c r="S46" s="861"/>
      <c r="T46" s="438" cm="1" t="str">
        <f t="array" ref="T46:T46">T45</f>
        <v>false</v>
      </c>
      <c r="U46" s="861"/>
      <c r="V46" s="861"/>
      <c r="W46" s="861"/>
      <c r="X46" s="1472"/>
      <c r="Y46" s="1472"/>
      <c r="Z46" s="1560"/>
      <c r="AA46" s="1562"/>
      <c r="AB46" s="54" t="str">
        <f>AB45&amp;".1"</f>
        <v>4.0.1</v>
      </c>
      <c r="AC46" s="187" t="s">
        <v>1015</v>
      </c>
      <c r="AD46" s="54" t="s">
        <v>506</v>
      </c>
      <c r="AE46" s="2388"/>
      <c r="AF46" s="2388"/>
      <c r="AG46" s="2388"/>
      <c r="AH46" s="2388"/>
      <c r="AI46" s="181"/>
      <c r="AJ46" s="2388"/>
      <c r="AK46" s="2388"/>
      <c r="AL46" s="2388"/>
      <c r="AM46" s="2388"/>
      <c r="AN46" s="2388"/>
      <c r="AO46" s="2388"/>
      <c r="AP46" s="2388"/>
      <c r="AQ46" s="2388"/>
      <c r="AR46" s="2388"/>
      <c r="AS46" s="181"/>
      <c r="AT46" s="2388"/>
      <c r="AU46" s="2388"/>
      <c r="AV46" s="2388"/>
      <c r="AW46" s="2388"/>
      <c r="AX46" s="2388"/>
      <c r="AY46" s="2388"/>
      <c r="AZ46" s="2388"/>
      <c r="BA46" s="2388"/>
      <c r="BB46" s="2388"/>
      <c r="BC46" s="1880"/>
      <c r="BD46" s="861"/>
      <c r="BE46" s="861"/>
      <c r="BF46" s="1018" t="s">
        <v>997</v>
      </c>
      <c r="BG46" s="1018" t="s">
        <v>1014</v>
      </c>
      <c r="BH46" s="1018" cm="1" t="str">
        <f t="array" ref="BH46:BH46">BH45</f>
        <v>0</v>
      </c>
      <c r="BI46" s="654"/>
      <c r="BJ46" s="654"/>
    </row>
    <row customHeight="1" ht="14.625" hidden="1">
      <c r="A47" s="861"/>
      <c r="B47" s="412"/>
      <c r="C47" s="861"/>
      <c r="D47" s="861"/>
      <c r="E47" s="654">
        <v>15</v>
      </c>
      <c r="F47" s="50" cm="1" t="str">
        <f t="array" ref="F47:F47">OFFSET(E47,-1,1)</f>
        <v>0</v>
      </c>
      <c r="G47" s="861"/>
      <c r="H47" s="118" t="str">
        <f>"!=='не определено' &amp;&amp; row.l4 !== null"</f>
        <v>!=='не определено' &amp;&amp; row.l4 !== null</v>
      </c>
      <c r="I47" s="861"/>
      <c r="J47" s="861"/>
      <c r="K47" s="887"/>
      <c r="L47" s="861"/>
      <c r="M47" s="861"/>
      <c r="N47" s="861"/>
      <c r="O47" s="861"/>
      <c r="P47" s="861"/>
      <c r="Q47" s="861"/>
      <c r="R47" s="861"/>
      <c r="S47" s="861"/>
      <c r="T47" s="438">
        <f>F47&gt;0</f>
        <v>0</v>
      </c>
      <c r="U47" s="861"/>
      <c r="V47" s="861"/>
      <c r="W47" s="661" t="s">
        <v>1016</v>
      </c>
      <c r="X47" s="1472"/>
      <c r="Y47" s="659"/>
      <c r="Z47" s="1560"/>
      <c r="AA47" s="861"/>
      <c r="AB47" s="657"/>
      <c r="AC47" s="198" t="s">
        <v>999</v>
      </c>
      <c r="AD47" s="198"/>
      <c r="AE47" s="198"/>
      <c r="AF47" s="198"/>
      <c r="AG47" s="198"/>
      <c r="AH47" s="198"/>
      <c r="AI47" s="198"/>
      <c r="AJ47" s="198"/>
      <c r="AK47" s="198"/>
      <c r="AL47" s="198"/>
      <c r="AM47" s="198"/>
      <c r="AN47" s="198"/>
      <c r="AO47" s="198"/>
      <c r="AP47" s="198"/>
      <c r="AQ47" s="198"/>
      <c r="AR47" s="198"/>
      <c r="AS47" s="198"/>
      <c r="AT47" s="198"/>
      <c r="AU47" s="198"/>
      <c r="AV47" s="198"/>
      <c r="AW47" s="198"/>
      <c r="AX47" s="198"/>
      <c r="AY47" s="198"/>
      <c r="AZ47" s="198"/>
      <c r="BA47" s="198"/>
      <c r="BB47" s="198"/>
      <c r="BC47" s="199"/>
      <c r="BD47" s="861"/>
      <c r="BE47" s="861"/>
      <c r="BF47" s="1018"/>
      <c r="BG47" s="1018"/>
      <c r="BH47" s="1018"/>
      <c r="BI47" s="654" t="s">
        <v>1014</v>
      </c>
      <c r="BJ47" s="654"/>
    </row>
    <row customHeight="1" ht="22.425" hidden="1">
      <c r="A48" s="861"/>
      <c r="B48" s="412"/>
      <c r="C48" s="861"/>
      <c r="D48" s="861"/>
      <c r="E48" s="654">
        <v>23</v>
      </c>
      <c r="F48" s="50" cm="1" t="str">
        <f t="array" ref="F48:F48">OFFSET(E48,-1,1)</f>
        <v>0</v>
      </c>
      <c r="G48" s="861"/>
      <c r="H48" s="861"/>
      <c r="I48" s="861"/>
      <c r="J48" s="861"/>
      <c r="K48" s="887" t="str">
        <f>F28&amp;"5komm"</f>
        <v>05komm</v>
      </c>
      <c r="L48" s="891" cm="1" t="str">
        <f t="array" ref="L48:L48">BC48</f>
        <v>0</v>
      </c>
      <c r="M48" s="861"/>
      <c r="N48" s="861"/>
      <c r="O48" s="861"/>
      <c r="P48" s="861"/>
      <c r="Q48" s="861"/>
      <c r="R48" s="861"/>
      <c r="S48" s="861"/>
      <c r="T48" s="438" cm="1" t="str">
        <f t="array" ref="T48:T48">T47</f>
        <v>false</v>
      </c>
      <c r="U48" s="861"/>
      <c r="V48" s="861"/>
      <c r="W48" s="861"/>
      <c r="X48" s="1472"/>
      <c r="Y48" s="660"/>
      <c r="Z48" s="1560"/>
      <c r="AA48" s="861"/>
      <c r="AB48" s="177">
        <v>5</v>
      </c>
      <c r="AC48" s="178" t="s">
        <v>1017</v>
      </c>
      <c r="AD48" s="177" t="s">
        <v>789</v>
      </c>
      <c r="AE48" s="179">
        <f>SUMIF(AD50:AD52,AD48,AE50:AE52)</f>
        <v>0</v>
      </c>
      <c r="AF48" s="179">
        <f>SUMIF(AD50:AD52,AD48,AF50:AF52)</f>
        <v>0</v>
      </c>
      <c r="AG48" s="179">
        <f>SUMIF(AD50:AD52,AD48,AG50:AG52)</f>
        <v>0</v>
      </c>
      <c r="AH48" s="179">
        <f>SUMIF(AD50:AD52,AD48,AH50:AH52)</f>
        <v>0</v>
      </c>
      <c r="AI48" s="179">
        <f>SUMIF(AD50:AD52,AD48,AI50:AI52)</f>
        <v>0</v>
      </c>
      <c r="AJ48" s="1357">
        <f>SUMIF(AD50:AD52,AD48,AJ50:AJ52)</f>
        <v>0</v>
      </c>
      <c r="AK48" s="1357">
        <f>SUMIF(AD50:AD52,AD48,AK50:AK52)</f>
        <v>0</v>
      </c>
      <c r="AL48" s="1357">
        <f>SUMIF(AD50:AD52,AD48,AL50:AL52)</f>
        <v>0</v>
      </c>
      <c r="AM48" s="1357">
        <f>SUMIF(AD50:AD52,AD48,AM50:AM52)</f>
        <v>0</v>
      </c>
      <c r="AN48" s="1357">
        <f>SUMIF(AD50:AD52,AD48,AN50:AN52)</f>
        <v>0</v>
      </c>
      <c r="AO48" s="1357">
        <f>SUMIF(AD50:AD52,AD48,AO50:AO52)</f>
        <v>0</v>
      </c>
      <c r="AP48" s="1357">
        <f>SUMIF(AD50:AD52,AD48,AP50:AP52)</f>
        <v>0</v>
      </c>
      <c r="AQ48" s="1357">
        <f>SUMIF(AD50:AD52,AD48,AQ50:AQ52)</f>
        <v>0</v>
      </c>
      <c r="AR48" s="1357">
        <f>SUMIF(AD50:AD52,AD48,AR50:AR52)</f>
        <v>0</v>
      </c>
      <c r="AS48" s="179">
        <f>SUMIF(AD50:AD52,AD48,AS50:AS52)</f>
        <v>0</v>
      </c>
      <c r="AT48" s="1357">
        <f>SUMIF(AD50:AD52,AD48,AT50:AT52)</f>
        <v>0</v>
      </c>
      <c r="AU48" s="1357">
        <f>SUMIF(AD50:AD52,AD48,AU50:AU52)</f>
        <v>0</v>
      </c>
      <c r="AV48" s="1357">
        <f>SUMIF(AD50:AD52,AD48,AV50:AV52)</f>
        <v>0</v>
      </c>
      <c r="AW48" s="1357">
        <f>SUMIF(AD50:AD52,AD48,AW50:AW52)</f>
        <v>0</v>
      </c>
      <c r="AX48" s="1357">
        <f>SUMIF(AD50:AD52,AD48,AX50:AX52)</f>
        <v>0</v>
      </c>
      <c r="AY48" s="1357">
        <f>SUMIF(AD50:AD52,AD48,AY50:AY52)</f>
        <v>0</v>
      </c>
      <c r="AZ48" s="1357">
        <f>SUMIF(AD50:AD52,AD48,AZ50:AZ52)</f>
        <v>0</v>
      </c>
      <c r="BA48" s="1357">
        <f>SUMIF(AD50:AD52,AD48,BA50:BA52)</f>
        <v>0</v>
      </c>
      <c r="BB48" s="1357">
        <f>SUMIF(AD50:AD52,AD48,BB50:BB52)</f>
        <v>0</v>
      </c>
      <c r="BC48" s="1880"/>
      <c r="BD48" s="861"/>
      <c r="BE48" s="861"/>
      <c r="BF48" s="1018" t="s">
        <v>1018</v>
      </c>
      <c r="BG48" s="1018"/>
      <c r="BH48" s="1018"/>
      <c r="BI48" s="654"/>
      <c r="BJ48" s="654"/>
    </row>
    <row customHeight="1" ht="15" hidden="1">
      <c r="A49" s="861"/>
      <c r="B49" s="412"/>
      <c r="C49" s="861"/>
      <c r="D49" s="861"/>
      <c r="E49" s="654">
        <v>0</v>
      </c>
      <c r="F49" s="50" cm="1" t="str">
        <f t="array" ref="F49:F49">OFFSET(E49,-1,1)</f>
        <v>0</v>
      </c>
      <c r="G49" s="118" t="s">
        <v>324</v>
      </c>
      <c r="H49" s="861"/>
      <c r="I49" s="861"/>
      <c r="J49" s="861"/>
      <c r="K49" s="887"/>
      <c r="L49" s="891"/>
      <c r="M49" s="861"/>
      <c r="N49" s="861"/>
      <c r="O49" s="861"/>
      <c r="P49" s="861"/>
      <c r="Q49" s="861"/>
      <c r="R49" s="861"/>
      <c r="S49" s="861"/>
      <c r="T49" s="438" t="b">
        <v>0</v>
      </c>
      <c r="U49" s="861"/>
      <c r="V49" s="861"/>
      <c r="W49" s="118" t="s">
        <v>172</v>
      </c>
      <c r="X49" s="1472"/>
      <c r="Y49" s="1472">
        <v>0</v>
      </c>
      <c r="Z49" s="1560"/>
      <c r="AA49" s="1562" t="s">
        <v>173</v>
      </c>
      <c r="AB49" s="177"/>
      <c r="AC49" s="178"/>
      <c r="AD49" s="177"/>
      <c r="AE49" s="1360">
        <f>OR(AND(AE50&lt;&gt;"",AE51=""),AND(AE50="",AE51&lt;&gt;""))</f>
        <v>0</v>
      </c>
      <c r="AF49" s="1360">
        <f>OR(AND(AF50&lt;&gt;"",AF51=""),AND(AF50="",AF51&lt;&gt;""))</f>
        <v>0</v>
      </c>
      <c r="AG49" s="1360">
        <f>OR(AND(AG50&lt;&gt;"",AG51=""),AND(AG50="",AG51&lt;&gt;""))</f>
        <v>0</v>
      </c>
      <c r="AH49" s="1360">
        <f>OR(AND(AH50&lt;&gt;"",AH51=""),AND(AH50="",AH51&lt;&gt;""))</f>
        <v>0</v>
      </c>
      <c r="AI49" s="1360">
        <f>OR(AND(AI50&lt;&gt;"",AI51=""),AND(AI50="",AI51&lt;&gt;""))</f>
        <v>0</v>
      </c>
      <c r="AJ49" s="1360">
        <f>OR(AND(AJ50&lt;&gt;"",AJ51=""),AND(AJ50="",AJ51&lt;&gt;""))</f>
        <v>0</v>
      </c>
      <c r="AK49" s="1360">
        <f>OR(AND(AK50&lt;&gt;"",AK51=""),AND(AK50="",AK51&lt;&gt;""))</f>
        <v>0</v>
      </c>
      <c r="AL49" s="1360">
        <f>OR(AND(AL50&lt;&gt;"",AL51=""),AND(AL50="",AL51&lt;&gt;""))</f>
        <v>0</v>
      </c>
      <c r="AM49" s="1360">
        <f>OR(AND(AM50&lt;&gt;"",AM51=""),AND(AM50="",AM51&lt;&gt;""))</f>
        <v>0</v>
      </c>
      <c r="AN49" s="1360">
        <f>OR(AND(AN50&lt;&gt;"",AN51=""),AND(AN50="",AN51&lt;&gt;""))</f>
        <v>0</v>
      </c>
      <c r="AO49" s="1360">
        <f>OR(AND(AO50&lt;&gt;"",AO51=""),AND(AO50="",AO51&lt;&gt;""))</f>
        <v>0</v>
      </c>
      <c r="AP49" s="1360">
        <f>OR(AND(AP50&lt;&gt;"",AP51=""),AND(AP50="",AP51&lt;&gt;""))</f>
        <v>0</v>
      </c>
      <c r="AQ49" s="1360">
        <f>OR(AND(AQ50&lt;&gt;"",AQ51=""),AND(AQ50="",AQ51&lt;&gt;""))</f>
        <v>0</v>
      </c>
      <c r="AR49" s="1360">
        <f>OR(AND(AR50&lt;&gt;"",AR51=""),AND(AR50="",AR51&lt;&gt;""))</f>
        <v>0</v>
      </c>
      <c r="AS49" s="1360">
        <f>OR(AND(AS50&lt;&gt;"",AS51=""),AND(AS50="",AS51&lt;&gt;""))</f>
        <v>0</v>
      </c>
      <c r="AT49" s="1360">
        <f>OR(AND(AT50&lt;&gt;"",AT51=""),AND(AT50="",AT51&lt;&gt;""))</f>
        <v>0</v>
      </c>
      <c r="AU49" s="1360">
        <f>OR(AND(AU50&lt;&gt;"",AU51=""),AND(AU50="",AU51&lt;&gt;""))</f>
        <v>0</v>
      </c>
      <c r="AV49" s="1360">
        <f>OR(AND(AV50&lt;&gt;"",AV51=""),AND(AV50="",AV51&lt;&gt;""))</f>
        <v>0</v>
      </c>
      <c r="AW49" s="1360">
        <f>OR(AND(AW50&lt;&gt;"",AW51=""),AND(AW50="",AW51&lt;&gt;""))</f>
        <v>0</v>
      </c>
      <c r="AX49" s="1360">
        <f>OR(AND(AX50&lt;&gt;"",AX51=""),AND(AX50="",AX51&lt;&gt;""))</f>
        <v>0</v>
      </c>
      <c r="AY49" s="1360">
        <f>OR(AND(AY50&lt;&gt;"",AY51=""),AND(AY50="",AY51&lt;&gt;""))</f>
        <v>0</v>
      </c>
      <c r="AZ49" s="1360">
        <f>OR(AND(AZ50&lt;&gt;"",AZ51=""),AND(AZ50="",AZ51&lt;&gt;""))</f>
        <v>0</v>
      </c>
      <c r="BA49" s="1360">
        <f>OR(AND(BA50&lt;&gt;"",BA51=""),AND(BA50="",BA51&lt;&gt;""))</f>
        <v>0</v>
      </c>
      <c r="BB49" s="1360">
        <f>OR(AND(BB50&lt;&gt;"",BB51=""),AND(BB50="",BB51&lt;&gt;""))</f>
        <v>0</v>
      </c>
      <c r="BC49" s="951"/>
      <c r="BD49" s="861"/>
      <c r="BE49" s="861"/>
      <c r="BF49" s="1018"/>
      <c r="BG49" s="1018"/>
      <c r="BH49" s="1018"/>
      <c r="BI49" s="654"/>
      <c r="BJ49" s="654"/>
    </row>
    <row customHeight="1" ht="14.625" hidden="1">
      <c r="A50" s="861"/>
      <c r="B50" s="412"/>
      <c r="C50" s="861"/>
      <c r="D50" s="861"/>
      <c r="E50" s="654">
        <v>15</v>
      </c>
      <c r="F50" s="50" cm="1" t="str">
        <f t="array" ref="F50:F50">OFFSET(E50,-1,1)</f>
        <v>0</v>
      </c>
      <c r="G50" s="118" t="s">
        <v>324</v>
      </c>
      <c r="H50" s="121" cm="1" t="str">
        <f t="array" ref="H50:H50">AC50</f>
        <v>0</v>
      </c>
      <c r="I50" s="118" t="s">
        <v>1019</v>
      </c>
      <c r="J50" s="861"/>
      <c r="K50" s="887"/>
      <c r="L50" s="861"/>
      <c r="M50" s="861"/>
      <c r="N50" s="861"/>
      <c r="O50" s="861"/>
      <c r="P50" s="861"/>
      <c r="Q50" s="861"/>
      <c r="R50" s="861"/>
      <c r="S50" s="861"/>
      <c r="T50" s="438">
        <f>AND(F50&gt;0,Y49&gt;0)</f>
        <v>0</v>
      </c>
      <c r="U50" s="861"/>
      <c r="V50" s="861"/>
      <c r="W50" s="861"/>
      <c r="X50" s="1472"/>
      <c r="Y50" s="1472"/>
      <c r="Z50" s="1560"/>
      <c r="AA50" s="1562"/>
      <c r="AB50" s="54" t="str">
        <f>"5."&amp;Y49</f>
        <v>5.0</v>
      </c>
      <c r="AC50" s="240"/>
      <c r="AD50" s="177" t="s">
        <v>789</v>
      </c>
      <c r="AE50" s="2388"/>
      <c r="AF50" s="2388"/>
      <c r="AG50" s="2388"/>
      <c r="AH50" s="2388"/>
      <c r="AI50" s="181"/>
      <c r="AJ50" s="2388"/>
      <c r="AK50" s="2388"/>
      <c r="AL50" s="2388"/>
      <c r="AM50" s="2388"/>
      <c r="AN50" s="2388"/>
      <c r="AO50" s="2388"/>
      <c r="AP50" s="2388"/>
      <c r="AQ50" s="2388"/>
      <c r="AR50" s="2388"/>
      <c r="AS50" s="181"/>
      <c r="AT50" s="2388"/>
      <c r="AU50" s="2388"/>
      <c r="AV50" s="2388"/>
      <c r="AW50" s="2388"/>
      <c r="AX50" s="2388"/>
      <c r="AY50" s="2388"/>
      <c r="AZ50" s="2388"/>
      <c r="BA50" s="2388"/>
      <c r="BB50" s="2388"/>
      <c r="BC50" s="1880"/>
      <c r="BD50" s="861"/>
      <c r="BE50" s="861"/>
      <c r="BF50" s="1018" t="s">
        <v>994</v>
      </c>
      <c r="BG50" s="1018" t="s">
        <v>1020</v>
      </c>
      <c r="BH50" s="1018" cm="1" t="str">
        <f t="array" ref="BH50:BH50">AC50</f>
        <v>0</v>
      </c>
      <c r="BI50" s="654"/>
      <c r="BJ50" s="654" t="b">
        <v>1</v>
      </c>
    </row>
    <row customHeight="1" ht="14.625" hidden="1">
      <c r="A51" s="861"/>
      <c r="B51" s="412"/>
      <c r="C51" s="861"/>
      <c r="D51" s="861"/>
      <c r="E51" s="654">
        <v>15</v>
      </c>
      <c r="F51" s="50" cm="1" t="str">
        <f t="array" ref="F51:F51">OFFSET(E51,-1,1)</f>
        <v>0</v>
      </c>
      <c r="G51" s="118" t="s">
        <v>522</v>
      </c>
      <c r="H51" s="121" cm="1" t="str">
        <f t="array" ref="H51:H51">H50</f>
        <v>0</v>
      </c>
      <c r="I51" s="118" t="s">
        <v>1019</v>
      </c>
      <c r="J51" s="861"/>
      <c r="K51" s="887"/>
      <c r="L51" s="861"/>
      <c r="M51" s="861"/>
      <c r="N51" s="861"/>
      <c r="O51" s="861"/>
      <c r="P51" s="861"/>
      <c r="Q51" s="861"/>
      <c r="R51" s="861"/>
      <c r="S51" s="861"/>
      <c r="T51" s="438" cm="1" t="str">
        <f t="array" ref="T51:T51">T50</f>
        <v>false</v>
      </c>
      <c r="U51" s="861"/>
      <c r="V51" s="861"/>
      <c r="W51" s="861"/>
      <c r="X51" s="1472"/>
      <c r="Y51" s="1472"/>
      <c r="Z51" s="1560"/>
      <c r="AA51" s="1562"/>
      <c r="AB51" s="54" t="str">
        <f>AB50&amp;".1"</f>
        <v>5.0.1</v>
      </c>
      <c r="AC51" s="187" t="s">
        <v>1021</v>
      </c>
      <c r="AD51" s="54" t="s">
        <v>506</v>
      </c>
      <c r="AE51" s="2388"/>
      <c r="AF51" s="2388"/>
      <c r="AG51" s="2388"/>
      <c r="AH51" s="2388"/>
      <c r="AI51" s="181"/>
      <c r="AJ51" s="2388"/>
      <c r="AK51" s="2388"/>
      <c r="AL51" s="2388"/>
      <c r="AM51" s="2388"/>
      <c r="AN51" s="2388"/>
      <c r="AO51" s="2388"/>
      <c r="AP51" s="2388"/>
      <c r="AQ51" s="2388"/>
      <c r="AR51" s="2388"/>
      <c r="AS51" s="181"/>
      <c r="AT51" s="2388"/>
      <c r="AU51" s="2388"/>
      <c r="AV51" s="2388"/>
      <c r="AW51" s="2388"/>
      <c r="AX51" s="2388"/>
      <c r="AY51" s="2388"/>
      <c r="AZ51" s="2388"/>
      <c r="BA51" s="2388"/>
      <c r="BB51" s="2388"/>
      <c r="BC51" s="1880"/>
      <c r="BD51" s="861"/>
      <c r="BE51" s="861"/>
      <c r="BF51" s="1018" t="s">
        <v>997</v>
      </c>
      <c r="BG51" s="1018" t="s">
        <v>1020</v>
      </c>
      <c r="BH51" s="1018" cm="1" t="str">
        <f t="array" ref="BH51:BH51">BH50</f>
        <v>0</v>
      </c>
      <c r="BI51" s="654"/>
      <c r="BJ51" s="654"/>
    </row>
    <row customHeight="1" ht="14.625" hidden="1">
      <c r="A52" s="861"/>
      <c r="B52" s="412"/>
      <c r="C52" s="861"/>
      <c r="D52" s="861"/>
      <c r="E52" s="654">
        <v>15</v>
      </c>
      <c r="F52" s="50" cm="1" t="str">
        <f t="array" ref="F52:F52">OFFSET(E52,-1,1)</f>
        <v>0</v>
      </c>
      <c r="G52" s="861"/>
      <c r="H52" s="118" t="str">
        <f>"!=='не определено' &amp;&amp; row.l5 !== null"</f>
        <v>!=='не определено' &amp;&amp; row.l5 !== null</v>
      </c>
      <c r="I52" s="861"/>
      <c r="J52" s="861"/>
      <c r="K52" s="887"/>
      <c r="L52" s="861"/>
      <c r="M52" s="861"/>
      <c r="N52" s="861"/>
      <c r="O52" s="861"/>
      <c r="P52" s="861"/>
      <c r="Q52" s="861"/>
      <c r="R52" s="861"/>
      <c r="S52" s="861"/>
      <c r="T52" s="438">
        <f>F52&gt;0</f>
        <v>0</v>
      </c>
      <c r="U52" s="861"/>
      <c r="V52" s="861"/>
      <c r="W52" s="661" t="s">
        <v>1022</v>
      </c>
      <c r="X52" s="1472"/>
      <c r="Y52" s="135"/>
      <c r="Z52" s="1560"/>
      <c r="AA52" s="861"/>
      <c r="AB52" s="657"/>
      <c r="AC52" s="198" t="s">
        <v>999</v>
      </c>
      <c r="AD52" s="198"/>
      <c r="AE52" s="198"/>
      <c r="AF52" s="198"/>
      <c r="AG52" s="198"/>
      <c r="AH52" s="198"/>
      <c r="AI52" s="198"/>
      <c r="AJ52" s="198"/>
      <c r="AK52" s="198"/>
      <c r="AL52" s="198"/>
      <c r="AM52" s="198"/>
      <c r="AN52" s="198"/>
      <c r="AO52" s="198"/>
      <c r="AP52" s="198"/>
      <c r="AQ52" s="198"/>
      <c r="AR52" s="198"/>
      <c r="AS52" s="198"/>
      <c r="AT52" s="198"/>
      <c r="AU52" s="198"/>
      <c r="AV52" s="198"/>
      <c r="AW52" s="198"/>
      <c r="AX52" s="198"/>
      <c r="AY52" s="198"/>
      <c r="AZ52" s="198"/>
      <c r="BA52" s="198"/>
      <c r="BB52" s="198"/>
      <c r="BC52" s="199"/>
      <c r="BD52" s="861"/>
      <c r="BE52" s="861"/>
      <c r="BF52" s="1018"/>
      <c r="BG52" s="1018"/>
      <c r="BH52" s="1018"/>
      <c r="BI52" s="654" t="s">
        <v>1020</v>
      </c>
      <c r="BJ52" s="654"/>
    </row>
    <row s="119" customFormat="1" customHeight="1" ht="14.625" hidden="1">
      <c r="A53" s="119"/>
      <c r="B53" s="413"/>
      <c r="C53" s="119"/>
      <c r="D53" s="119"/>
      <c r="E53" s="655">
        <v>15</v>
      </c>
      <c r="F53" s="50" cm="1" t="str">
        <f t="array" ref="F53:F53">OFFSET(E53,-1,1)</f>
        <v>0</v>
      </c>
      <c r="G53" s="118" t="s">
        <v>484</v>
      </c>
      <c r="H53" s="119"/>
      <c r="I53" s="119"/>
      <c r="J53" s="119"/>
      <c r="K53" s="887" t="str">
        <f>F28&amp;"6komm"</f>
        <v>06komm</v>
      </c>
      <c r="L53" s="891" cm="1" t="str">
        <f t="array" ref="L53:L53">BC53</f>
        <v>0</v>
      </c>
      <c r="M53" s="119"/>
      <c r="N53" s="119"/>
      <c r="O53" s="119"/>
      <c r="P53" s="119"/>
      <c r="Q53" s="119"/>
      <c r="R53" s="119"/>
      <c r="S53" s="119"/>
      <c r="T53" s="438" cm="1" t="str">
        <f t="array" ref="T53:T53">T52</f>
        <v>false</v>
      </c>
      <c r="U53" s="119"/>
      <c r="V53" s="119"/>
      <c r="W53" s="119"/>
      <c r="X53" s="1472"/>
      <c r="Y53" s="119"/>
      <c r="Z53" s="1560"/>
      <c r="AA53" s="119"/>
      <c r="AB53" s="177">
        <v>6</v>
      </c>
      <c r="AC53" s="178" t="s">
        <v>1023</v>
      </c>
      <c r="AD53" s="177" t="s">
        <v>789</v>
      </c>
      <c r="AE53" s="2494"/>
      <c r="AF53" s="2494"/>
      <c r="AG53" s="2494"/>
      <c r="AH53" s="2494"/>
      <c r="AI53" s="191"/>
      <c r="AJ53" s="2494"/>
      <c r="AK53" s="2494"/>
      <c r="AL53" s="2494"/>
      <c r="AM53" s="2494"/>
      <c r="AN53" s="2494"/>
      <c r="AO53" s="2494"/>
      <c r="AP53" s="2494"/>
      <c r="AQ53" s="2494"/>
      <c r="AR53" s="2494"/>
      <c r="AS53" s="191"/>
      <c r="AT53" s="2494"/>
      <c r="AU53" s="2494"/>
      <c r="AV53" s="2494"/>
      <c r="AW53" s="2494"/>
      <c r="AX53" s="2494"/>
      <c r="AY53" s="2494"/>
      <c r="AZ53" s="2494"/>
      <c r="BA53" s="2494"/>
      <c r="BB53" s="2494"/>
      <c r="BC53" s="1880"/>
      <c r="BD53" s="119"/>
      <c r="BE53" s="119"/>
      <c r="BF53" s="1021" t="s">
        <v>1024</v>
      </c>
      <c r="BG53" s="1021"/>
      <c r="BH53" s="1021"/>
      <c r="BI53" s="655"/>
      <c r="BJ53" s="655"/>
    </row>
    <row s="119" customFormat="1" customHeight="1" ht="14.625" hidden="1">
      <c r="A54" s="119"/>
      <c r="B54" s="413"/>
      <c r="C54" s="119"/>
      <c r="D54" s="119"/>
      <c r="E54" s="655">
        <v>15</v>
      </c>
      <c r="F54" s="50" cm="1" t="str">
        <f t="array" ref="F54:F54">OFFSET(E54,-1,1)</f>
        <v>0</v>
      </c>
      <c r="G54" s="118" t="s">
        <v>488</v>
      </c>
      <c r="H54" s="119"/>
      <c r="I54" s="119"/>
      <c r="J54" s="119"/>
      <c r="K54" s="887" t="str">
        <f>F28&amp;"7komm"</f>
        <v>07komm</v>
      </c>
      <c r="L54" s="891" cm="1" t="str">
        <f t="array" ref="L54:L54">BC54</f>
        <v>0</v>
      </c>
      <c r="M54" s="119"/>
      <c r="N54" s="119"/>
      <c r="O54" s="119"/>
      <c r="P54" s="119"/>
      <c r="Q54" s="119"/>
      <c r="R54" s="119"/>
      <c r="S54" s="119"/>
      <c r="T54" s="438" cm="1" t="str">
        <f t="array" ref="T54:T54">T53</f>
        <v>false</v>
      </c>
      <c r="U54" s="119"/>
      <c r="V54" s="119"/>
      <c r="W54" s="119"/>
      <c r="X54" s="1472"/>
      <c r="Y54" s="119"/>
      <c r="Z54" s="1560"/>
      <c r="AA54" s="119"/>
      <c r="AB54" s="177">
        <v>7</v>
      </c>
      <c r="AC54" s="178" t="s">
        <v>1025</v>
      </c>
      <c r="AD54" s="177" t="s">
        <v>789</v>
      </c>
      <c r="AE54" s="2494"/>
      <c r="AF54" s="2494"/>
      <c r="AG54" s="2494"/>
      <c r="AH54" s="2494"/>
      <c r="AI54" s="191"/>
      <c r="AJ54" s="2494"/>
      <c r="AK54" s="2494"/>
      <c r="AL54" s="2494"/>
      <c r="AM54" s="2494"/>
      <c r="AN54" s="2494"/>
      <c r="AO54" s="2494"/>
      <c r="AP54" s="2494"/>
      <c r="AQ54" s="2494"/>
      <c r="AR54" s="2494"/>
      <c r="AS54" s="191"/>
      <c r="AT54" s="2494"/>
      <c r="AU54" s="2494"/>
      <c r="AV54" s="2494"/>
      <c r="AW54" s="2494"/>
      <c r="AX54" s="2494"/>
      <c r="AY54" s="2494"/>
      <c r="AZ54" s="2494"/>
      <c r="BA54" s="2494"/>
      <c r="BB54" s="2494"/>
      <c r="BC54" s="1880"/>
      <c r="BD54" s="119"/>
      <c r="BE54" s="119"/>
      <c r="BF54" s="1021" t="s">
        <v>1026</v>
      </c>
      <c r="BG54" s="1021"/>
      <c r="BH54" s="1021"/>
      <c r="BI54" s="655"/>
      <c r="BJ54" s="655"/>
    </row>
    <row s="119" customFormat="1" customHeight="1" ht="14.625" hidden="1">
      <c r="A55" s="119"/>
      <c r="B55" s="413"/>
      <c r="C55" s="119"/>
      <c r="D55" s="119"/>
      <c r="E55" s="655">
        <v>15</v>
      </c>
      <c r="F55" s="50" cm="1" t="str">
        <f t="array" ref="F55:F55">OFFSET(E55,-1,1)</f>
        <v>0</v>
      </c>
      <c r="G55" s="118" t="s">
        <v>535</v>
      </c>
      <c r="H55" s="119"/>
      <c r="I55" s="119"/>
      <c r="J55" s="119"/>
      <c r="K55" s="887" t="str">
        <f>F28&amp;"8komm"</f>
        <v>08komm</v>
      </c>
      <c r="L55" s="891" cm="1" t="str">
        <f t="array" ref="L55:L55">BC55</f>
        <v>0</v>
      </c>
      <c r="M55" s="119"/>
      <c r="N55" s="119"/>
      <c r="O55" s="119"/>
      <c r="P55" s="119"/>
      <c r="Q55" s="119"/>
      <c r="R55" s="119"/>
      <c r="S55" s="119"/>
      <c r="T55" s="438" cm="1" t="str">
        <f t="array" ref="T55:T55">T54</f>
        <v>false</v>
      </c>
      <c r="U55" s="119"/>
      <c r="V55" s="119"/>
      <c r="W55" s="119"/>
      <c r="X55" s="1472"/>
      <c r="Y55" s="119"/>
      <c r="Z55" s="1560"/>
      <c r="AA55" s="119"/>
      <c r="AB55" s="177">
        <v>8</v>
      </c>
      <c r="AC55" s="178" t="s">
        <v>1027</v>
      </c>
      <c r="AD55" s="177" t="s">
        <v>789</v>
      </c>
      <c r="AE55" s="2494"/>
      <c r="AF55" s="2494"/>
      <c r="AG55" s="2494"/>
      <c r="AH55" s="2494"/>
      <c r="AI55" s="191"/>
      <c r="AJ55" s="2494"/>
      <c r="AK55" s="2494"/>
      <c r="AL55" s="2494"/>
      <c r="AM55" s="2494"/>
      <c r="AN55" s="2494"/>
      <c r="AO55" s="2494"/>
      <c r="AP55" s="2494"/>
      <c r="AQ55" s="2494"/>
      <c r="AR55" s="2494"/>
      <c r="AS55" s="191"/>
      <c r="AT55" s="2494"/>
      <c r="AU55" s="2494"/>
      <c r="AV55" s="2494"/>
      <c r="AW55" s="2494"/>
      <c r="AX55" s="2494"/>
      <c r="AY55" s="2494"/>
      <c r="AZ55" s="2494"/>
      <c r="BA55" s="2494"/>
      <c r="BB55" s="2494"/>
      <c r="BC55" s="1880"/>
      <c r="BD55" s="119"/>
      <c r="BE55" s="119"/>
      <c r="BF55" s="1021" t="s">
        <v>1028</v>
      </c>
      <c r="BG55" s="1021"/>
      <c r="BH55" s="1021"/>
      <c r="BI55" s="655"/>
      <c r="BJ55" s="655"/>
    </row>
    <row s="119" customFormat="1" customHeight="1" ht="14.625" hidden="1">
      <c r="A56" s="119"/>
      <c r="B56" s="413"/>
      <c r="C56" s="119"/>
      <c r="D56" s="119"/>
      <c r="E56" s="655">
        <v>15</v>
      </c>
      <c r="F56" s="50" cm="1" t="str">
        <f t="array" ref="F56:F56">OFFSET(E56,-1,1)</f>
        <v>0</v>
      </c>
      <c r="G56" s="118"/>
      <c r="H56" s="119"/>
      <c r="I56" s="119"/>
      <c r="J56" s="119"/>
      <c r="K56" s="887" t="str">
        <f>F28&amp;"9komm"</f>
        <v>09komm</v>
      </c>
      <c r="L56" s="891" cm="1" t="str">
        <f t="array" ref="L56:L56">BC56</f>
        <v>0</v>
      </c>
      <c r="M56" s="119"/>
      <c r="N56" s="119"/>
      <c r="O56" s="119"/>
      <c r="P56" s="119"/>
      <c r="Q56" s="119"/>
      <c r="R56" s="119"/>
      <c r="S56" s="119"/>
      <c r="T56" s="438" cm="1" t="str">
        <f t="array" ref="T56:T56">T55</f>
        <v>false</v>
      </c>
      <c r="U56" s="119"/>
      <c r="V56" s="119"/>
      <c r="W56" s="119"/>
      <c r="X56" s="1472"/>
      <c r="Y56" s="119"/>
      <c r="Z56" s="1560"/>
      <c r="AA56" s="119"/>
      <c r="AB56" s="177">
        <v>9</v>
      </c>
      <c r="AC56" s="178" t="s">
        <v>1029</v>
      </c>
      <c r="AD56" s="177" t="s">
        <v>789</v>
      </c>
      <c r="AE56" s="2494"/>
      <c r="AF56" s="2494"/>
      <c r="AG56" s="2494"/>
      <c r="AH56" s="2494"/>
      <c r="AI56" s="191"/>
      <c r="AJ56" s="2494"/>
      <c r="AK56" s="2494"/>
      <c r="AL56" s="2494"/>
      <c r="AM56" s="2494"/>
      <c r="AN56" s="2494"/>
      <c r="AO56" s="2494"/>
      <c r="AP56" s="2494"/>
      <c r="AQ56" s="2494"/>
      <c r="AR56" s="2494"/>
      <c r="AS56" s="191"/>
      <c r="AT56" s="2494"/>
      <c r="AU56" s="2494"/>
      <c r="AV56" s="2494"/>
      <c r="AW56" s="2494"/>
      <c r="AX56" s="2494"/>
      <c r="AY56" s="2494"/>
      <c r="AZ56" s="2494"/>
      <c r="BA56" s="2494"/>
      <c r="BB56" s="2494"/>
      <c r="BC56" s="1880"/>
      <c r="BD56" s="119"/>
      <c r="BE56" s="119"/>
      <c r="BF56" s="1021" t="s">
        <v>1030</v>
      </c>
      <c r="BG56" s="1021"/>
      <c r="BH56" s="1021"/>
      <c r="BI56" s="655"/>
      <c r="BJ56" s="655"/>
    </row>
    <row s="1624" customFormat="1" customHeight="1" ht="14.25">
      <c r="A57" s="861"/>
      <c r="B57" s="412"/>
      <c r="C57" s="861"/>
      <c r="D57" s="861"/>
      <c r="E57" s="654">
        <v>15</v>
      </c>
      <c r="F57" s="64" cm="1" t="str">
        <f t="array" ref="F57:F57">X57</f>
        <v>1</v>
      </c>
      <c r="G57" s="861"/>
      <c r="H57" s="861"/>
      <c r="I57" s="861" t="s">
        <v>990</v>
      </c>
      <c r="J57" s="861"/>
      <c r="K57" s="887"/>
      <c r="L57" s="861"/>
      <c r="M57" s="861"/>
      <c r="N57" s="861"/>
      <c r="O57" s="861"/>
      <c r="P57" s="861"/>
      <c r="Q57" s="861"/>
      <c r="R57" s="861"/>
      <c r="S57" s="861"/>
      <c r="T57" s="438">
        <f>X57&gt;0</f>
        <v>1</v>
      </c>
      <c r="U57" s="861"/>
      <c r="V57" s="118" cm="1" t="str">
        <f t="array" ref="V57:V57">Аренда!$AB$37</f>
        <v>Тариф 1 (Водоотведение) - тариф на транспортировку сточных вод</v>
      </c>
      <c r="W57" s="861"/>
      <c r="X57" s="1472" t="s">
        <v>281</v>
      </c>
      <c r="Y57" s="656"/>
      <c r="Z57" s="1560"/>
      <c r="AA57" s="861"/>
      <c r="AB57" s="188" cm="1" t="str">
        <f t="array" ref="AB57:AB57">Аренда!$AB$37</f>
        <v>Тариф 1 (Водоотведение) - тариф на транспортировку сточных вод</v>
      </c>
      <c r="AC57" s="146"/>
      <c r="AD57" s="146"/>
      <c r="AE57" s="272">
        <f>AE63+AE68+AE73+AE78+AE58+AE83+AE84+AE85+AE86</f>
        <v>0</v>
      </c>
      <c r="AF57" s="272">
        <f>AF63+AF68+AF73+AF78+AF58+AF83+AF84+AF85+AF86</f>
        <v>0</v>
      </c>
      <c r="AG57" s="272">
        <f>AG63+AG68+AG73+AG78+AG58+AG83+AG84+AG85+AG86</f>
        <v>0</v>
      </c>
      <c r="AH57" s="272">
        <f>AH63+AH68+AH73+AH78+AH58+AH83+AH84+AH85+AH86</f>
        <v>0</v>
      </c>
      <c r="AI57" s="272">
        <f>AI63+AI68+AI73+AI78+AI58+AI83+AI84+AI85+AI86</f>
        <v>0</v>
      </c>
      <c r="AJ57" s="272">
        <f>AJ63+AJ68+AJ73+AJ78+AJ58+AJ83+AJ84+AJ85+AJ86</f>
        <v>0</v>
      </c>
      <c r="AK57" s="272">
        <f>AK63+AK68+AK73+AK78+AK58+AK83+AK84+AK85+AK86</f>
        <v>0</v>
      </c>
      <c r="AL57" s="272">
        <f>AL63+AL68+AL73+AL78+AL58+AL83+AL84+AL85+AL86</f>
        <v>0</v>
      </c>
      <c r="AM57" s="272">
        <f>AM63+AM68+AM73+AM78+AM58+AM83+AM84+AM85+AM86</f>
        <v>0</v>
      </c>
      <c r="AN57" s="272">
        <f>AN63+AN68+AN73+AN78+AN58+AN83+AN84+AN85+AN86</f>
        <v>0</v>
      </c>
      <c r="AO57" s="272">
        <f>AO63+AO68+AO73+AO78+AO58+AO83+AO84+AO85+AO86</f>
        <v>0</v>
      </c>
      <c r="AP57" s="272">
        <f>AP63+AP68+AP73+AP78+AP58+AP83+AP84+AP85+AP86</f>
        <v>0</v>
      </c>
      <c r="AQ57" s="272">
        <f>AQ63+AQ68+AQ73+AQ78+AQ58+AQ83+AQ84+AQ85+AQ86</f>
        <v>0</v>
      </c>
      <c r="AR57" s="272">
        <f>AR63+AR68+AR73+AR78+AR58+AR83+AR84+AR85+AR86</f>
        <v>0</v>
      </c>
      <c r="AS57" s="272">
        <f>AS63+AS68+AS73+AS78+AS58+AS83+AS84+AS85+AS86</f>
        <v>0</v>
      </c>
      <c r="AT57" s="272">
        <f>AT63+AT68+AT73+AT78+AT58+AT83+AT84+AT85+AT86</f>
        <v>0</v>
      </c>
      <c r="AU57" s="272">
        <f>AU63+AU68+AU73+AU78+AU58+AU83+AU84+AU85+AU86</f>
        <v>0</v>
      </c>
      <c r="AV57" s="272">
        <f>AV63+AV68+AV73+AV78+AV58+AV83+AV84+AV85+AV86</f>
        <v>0</v>
      </c>
      <c r="AW57" s="272">
        <f>AW63+AW68+AW73+AW78+AW58+AW83+AW84+AW85+AW86</f>
        <v>0</v>
      </c>
      <c r="AX57" s="272">
        <f>AX63+AX68+AX73+AX78+AX58+AX83+AX84+AX85+AX86</f>
        <v>0</v>
      </c>
      <c r="AY57" s="272">
        <f>AY63+AY68+AY73+AY78+AY58+AY83+AY84+AY85+AY86</f>
        <v>0</v>
      </c>
      <c r="AZ57" s="272">
        <f>AZ63+AZ68+AZ73+AZ78+AZ58+AZ83+AZ84+AZ85+AZ86</f>
        <v>0</v>
      </c>
      <c r="BA57" s="272">
        <f>BA63+BA68+BA73+BA78+BA58+BA83+BA84+BA85+BA86</f>
        <v>0</v>
      </c>
      <c r="BB57" s="272">
        <f>BB63+BB68+BB73+BB78+BB58+BB83+BB84+BB85+BB86</f>
        <v>0</v>
      </c>
      <c r="BC57" s="190"/>
      <c r="BD57" s="861"/>
      <c r="BE57" s="861"/>
      <c r="BF57" s="1018"/>
      <c r="BG57" s="1018"/>
      <c r="BH57" s="1018"/>
      <c r="BI57" s="654"/>
      <c r="BJ57" s="654"/>
    </row>
    <row s="1624" customFormat="1" customHeight="1" ht="14.25">
      <c r="A58" s="861"/>
      <c r="B58" s="412"/>
      <c r="C58" s="861"/>
      <c r="D58" s="861"/>
      <c r="E58" s="654">
        <v>15</v>
      </c>
      <c r="F58" s="50" cm="1" t="str">
        <f t="array" ref="F58:F58">OFFSET(E58,-1,1)</f>
        <v>1</v>
      </c>
      <c r="G58" s="118" t="s">
        <v>321</v>
      </c>
      <c r="H58" s="861"/>
      <c r="I58" s="861"/>
      <c r="J58" s="861"/>
      <c r="K58" s="887" t="str">
        <f>F58&amp;"1komm"</f>
        <v>11komm</v>
      </c>
      <c r="L58" s="891" cm="1" t="str">
        <f t="array" ref="L58:L58">BC58</f>
        <v>0</v>
      </c>
      <c r="M58" s="861"/>
      <c r="N58" s="861"/>
      <c r="O58" s="861"/>
      <c r="P58" s="861"/>
      <c r="Q58" s="861"/>
      <c r="R58" s="861"/>
      <c r="S58" s="861"/>
      <c r="T58" s="438" cm="1" t="str">
        <f t="array" ref="T58:T58">T57</f>
        <v>true</v>
      </c>
      <c r="U58" s="861"/>
      <c r="V58" s="861"/>
      <c r="W58" s="861"/>
      <c r="X58" s="1472"/>
      <c r="Y58" s="861"/>
      <c r="Z58" s="1560"/>
      <c r="AA58" s="861"/>
      <c r="AB58" s="177">
        <v>1</v>
      </c>
      <c r="AC58" s="178" t="s">
        <v>991</v>
      </c>
      <c r="AD58" s="177" t="s">
        <v>789</v>
      </c>
      <c r="AE58" s="179">
        <f>SUMIF(AD60:AD62,AD58,AE60:AE62)</f>
        <v>0</v>
      </c>
      <c r="AF58" s="179">
        <f>SUMIF(AD60:AD62,AD58,AF60:AF62)</f>
        <v>0</v>
      </c>
      <c r="AG58" s="179">
        <f>SUMIF(AD60:AD62,AD58,AG60:AG62)</f>
        <v>0</v>
      </c>
      <c r="AH58" s="179">
        <f>SUMIF(AD60:AD62,AD58,AH60:AH62)</f>
        <v>0</v>
      </c>
      <c r="AI58" s="179">
        <f>SUMIF(AD60:AD62,AD58,AI60:AI62)</f>
        <v>0</v>
      </c>
      <c r="AJ58" s="1357">
        <f>SUMIF(AD60:AD62,AD58,AJ60:AJ62)</f>
        <v>0</v>
      </c>
      <c r="AK58" s="1357">
        <f>SUMIF(AD60:AD62,AD58,AK60:AK62)</f>
        <v>0</v>
      </c>
      <c r="AL58" s="1357">
        <f>SUMIF(AD60:AD62,AD58,AL60:AL62)</f>
        <v>0</v>
      </c>
      <c r="AM58" s="1357">
        <f>SUMIF(AD60:AD62,AD58,AM60:AM62)</f>
        <v>0</v>
      </c>
      <c r="AN58" s="1357">
        <f>SUMIF(AD60:AD62,AD58,AN60:AN62)</f>
        <v>0</v>
      </c>
      <c r="AO58" s="1357">
        <f>SUMIF(AD60:AD62,AD58,AO60:AO62)</f>
        <v>0</v>
      </c>
      <c r="AP58" s="1357">
        <f>SUMIF(AD60:AD62,AD58,AP60:AP62)</f>
        <v>0</v>
      </c>
      <c r="AQ58" s="1357">
        <f>SUMIF(AD60:AD62,AD58,AQ60:AQ62)</f>
        <v>0</v>
      </c>
      <c r="AR58" s="1357">
        <f>SUMIF(AD60:AD62,AD58,AR60:AR62)</f>
        <v>0</v>
      </c>
      <c r="AS58" s="179">
        <f>SUMIF(AD60:AD62,AD58,AS60:AS62)</f>
        <v>0</v>
      </c>
      <c r="AT58" s="1357">
        <f>SUMIF(AD60:AD62,AD58,AT60:AT62)</f>
        <v>0</v>
      </c>
      <c r="AU58" s="1357">
        <f>SUMIF(AD60:AD62,AD58,AU60:AU62)</f>
        <v>0</v>
      </c>
      <c r="AV58" s="1357">
        <f>SUMIF(AD60:AD62,AD58,AV60:AV62)</f>
        <v>0</v>
      </c>
      <c r="AW58" s="1357">
        <f>SUMIF(AD60:AD62,AD58,AW60:AW62)</f>
        <v>0</v>
      </c>
      <c r="AX58" s="1357">
        <f>SUMIF(AD60:AD62,AD58,AX60:AX62)</f>
        <v>0</v>
      </c>
      <c r="AY58" s="1357">
        <f>SUMIF(AD60:AD62,AD58,AY60:AY62)</f>
        <v>0</v>
      </c>
      <c r="AZ58" s="1357">
        <f>SUMIF(AD60:AD62,AD58,AZ60:AZ62)</f>
        <v>0</v>
      </c>
      <c r="BA58" s="1357">
        <f>SUMIF(AD60:AD62,AD58,BA60:BA62)</f>
        <v>0</v>
      </c>
      <c r="BB58" s="1357">
        <f>SUMIF(AD60:AD62,AD58,BB60:BB62)</f>
        <v>0</v>
      </c>
      <c r="BC58" s="166"/>
      <c r="BD58" s="861"/>
      <c r="BE58" s="861"/>
      <c r="BF58" s="1018" t="s">
        <v>992</v>
      </c>
      <c r="BG58" s="1018"/>
      <c r="BH58" s="1018"/>
      <c r="BI58" s="654"/>
      <c r="BJ58" s="654"/>
    </row>
    <row s="1624" customFormat="1" customHeight="1" ht="15" hidden="1">
      <c r="A59" s="861"/>
      <c r="B59" s="412"/>
      <c r="C59" s="861"/>
      <c r="D59" s="861"/>
      <c r="E59" s="654">
        <v>0</v>
      </c>
      <c r="F59" s="50" cm="1" t="str">
        <f t="array" ref="F59:F59">OFFSET(E59,-1,1)</f>
        <v>1</v>
      </c>
      <c r="G59" s="861"/>
      <c r="H59" s="861"/>
      <c r="I59" s="861"/>
      <c r="J59" s="861"/>
      <c r="K59" s="887"/>
      <c r="L59" s="891"/>
      <c r="M59" s="861"/>
      <c r="N59" s="861"/>
      <c r="O59" s="861"/>
      <c r="P59" s="861"/>
      <c r="Q59" s="861"/>
      <c r="R59" s="861"/>
      <c r="S59" s="861"/>
      <c r="T59" s="438" t="b">
        <v>0</v>
      </c>
      <c r="U59" s="861"/>
      <c r="V59" s="861"/>
      <c r="W59" s="118" t="s">
        <v>172</v>
      </c>
      <c r="X59" s="1472"/>
      <c r="Y59" s="1472">
        <v>0</v>
      </c>
      <c r="Z59" s="1560"/>
      <c r="AA59" s="1561" t="s">
        <v>173</v>
      </c>
      <c r="AB59" s="177"/>
      <c r="AC59" s="178"/>
      <c r="AD59" s="177"/>
      <c r="AE59" s="182">
        <f>OR(AND(AE60&lt;&gt;"",AE61=""),AND(AE60="",AE61&lt;&gt;""))</f>
        <v>0</v>
      </c>
      <c r="AF59" s="182">
        <f>OR(AND(AF60&lt;&gt;"",AF61=""),AND(AF60="",AF61&lt;&gt;""))</f>
        <v>0</v>
      </c>
      <c r="AG59" s="182">
        <f>OR(AND(AG60&lt;&gt;"",AG61=""),AND(AG60="",AG61&lt;&gt;""))</f>
        <v>0</v>
      </c>
      <c r="AH59" s="182">
        <f>OR(AND(AH60&lt;&gt;"",AH61=""),AND(AH60="",AH61&lt;&gt;""))</f>
        <v>0</v>
      </c>
      <c r="AI59" s="182">
        <f>OR(AND(AI60&lt;&gt;"",AI61=""),AND(AI60="",AI61&lt;&gt;""))</f>
        <v>0</v>
      </c>
      <c r="AJ59" s="182">
        <f>OR(AND(AJ60&lt;&gt;"",AJ61=""),AND(AJ60="",AJ61&lt;&gt;""))</f>
        <v>0</v>
      </c>
      <c r="AK59" s="182">
        <f>OR(AND(AK60&lt;&gt;"",AK61=""),AND(AK60="",AK61&lt;&gt;""))</f>
        <v>0</v>
      </c>
      <c r="AL59" s="182">
        <f>OR(AND(AL60&lt;&gt;"",AL61=""),AND(AL60="",AL61&lt;&gt;""))</f>
        <v>0</v>
      </c>
      <c r="AM59" s="182">
        <f>OR(AND(AM60&lt;&gt;"",AM61=""),AND(AM60="",AM61&lt;&gt;""))</f>
        <v>0</v>
      </c>
      <c r="AN59" s="182">
        <f>OR(AND(AN60&lt;&gt;"",AN61=""),AND(AN60="",AN61&lt;&gt;""))</f>
        <v>0</v>
      </c>
      <c r="AO59" s="182">
        <f>OR(AND(AO60&lt;&gt;"",AO61=""),AND(AO60="",AO61&lt;&gt;""))</f>
        <v>0</v>
      </c>
      <c r="AP59" s="182">
        <f>OR(AND(AP60&lt;&gt;"",AP61=""),AND(AP60="",AP61&lt;&gt;""))</f>
        <v>0</v>
      </c>
      <c r="AQ59" s="182">
        <f>OR(AND(AQ60&lt;&gt;"",AQ61=""),AND(AQ60="",AQ61&lt;&gt;""))</f>
        <v>0</v>
      </c>
      <c r="AR59" s="182">
        <f>OR(AND(AR60&lt;&gt;"",AR61=""),AND(AR60="",AR61&lt;&gt;""))</f>
        <v>0</v>
      </c>
      <c r="AS59" s="182">
        <f>OR(AND(AS60&lt;&gt;"",AS61=""),AND(AS60="",AS61&lt;&gt;""))</f>
        <v>0</v>
      </c>
      <c r="AT59" s="182">
        <f>OR(AND(AT60&lt;&gt;"",AT61=""),AND(AT60="",AT61&lt;&gt;""))</f>
        <v>0</v>
      </c>
      <c r="AU59" s="182">
        <f>OR(AND(AU60&lt;&gt;"",AU61=""),AND(AU60="",AU61&lt;&gt;""))</f>
        <v>0</v>
      </c>
      <c r="AV59" s="182">
        <f>OR(AND(AV60&lt;&gt;"",AV61=""),AND(AV60="",AV61&lt;&gt;""))</f>
        <v>0</v>
      </c>
      <c r="AW59" s="182">
        <f>OR(AND(AW60&lt;&gt;"",AW61=""),AND(AW60="",AW61&lt;&gt;""))</f>
        <v>0</v>
      </c>
      <c r="AX59" s="182">
        <f>OR(AND(AX60&lt;&gt;"",AX61=""),AND(AX60="",AX61&lt;&gt;""))</f>
        <v>0</v>
      </c>
      <c r="AY59" s="182">
        <f>OR(AND(AY60&lt;&gt;"",AY61=""),AND(AY60="",AY61&lt;&gt;""))</f>
        <v>0</v>
      </c>
      <c r="AZ59" s="182">
        <f>OR(AND(AZ60&lt;&gt;"",AZ61=""),AND(AZ60="",AZ61&lt;&gt;""))</f>
        <v>0</v>
      </c>
      <c r="BA59" s="182">
        <f>OR(AND(BA60&lt;&gt;"",BA61=""),AND(BA60="",BA61&lt;&gt;""))</f>
        <v>0</v>
      </c>
      <c r="BB59" s="182">
        <f>OR(AND(BB60&lt;&gt;"",BB61=""),AND(BB60="",BB61&lt;&gt;""))</f>
        <v>0</v>
      </c>
      <c r="BC59" s="951"/>
      <c r="BD59" s="861"/>
      <c r="BE59" s="861"/>
      <c r="BF59" s="1018"/>
      <c r="BG59" s="1018"/>
      <c r="BH59" s="1018"/>
      <c r="BI59" s="654"/>
      <c r="BJ59" s="654"/>
    </row>
    <row s="1624" customFormat="1" customHeight="1" ht="14.25" hidden="1">
      <c r="A60" s="861"/>
      <c r="B60" s="412"/>
      <c r="C60" s="861"/>
      <c r="D60" s="861"/>
      <c r="E60" s="654">
        <v>15</v>
      </c>
      <c r="F60" s="50" cm="1" t="str">
        <f t="array" ref="F60:F60">OFFSET(E60,-1,1)</f>
        <v>1</v>
      </c>
      <c r="G60" s="118" t="s">
        <v>321</v>
      </c>
      <c r="H60" s="121" cm="1" t="str">
        <f t="array" ref="H60:H60">AC60</f>
        <v>0</v>
      </c>
      <c r="I60" s="118" t="s">
        <v>993</v>
      </c>
      <c r="J60" s="861"/>
      <c r="K60" s="887"/>
      <c r="L60" s="861"/>
      <c r="M60" s="861"/>
      <c r="N60" s="861"/>
      <c r="O60" s="861"/>
      <c r="P60" s="861"/>
      <c r="Q60" s="861"/>
      <c r="R60" s="861"/>
      <c r="S60" s="861"/>
      <c r="T60" s="438">
        <f>AND(F60&gt;0,Y59&gt;0)</f>
        <v>0</v>
      </c>
      <c r="U60" s="861"/>
      <c r="V60" s="861"/>
      <c r="W60" s="861"/>
      <c r="X60" s="1472"/>
      <c r="Y60" s="1472"/>
      <c r="Z60" s="1560"/>
      <c r="AA60" s="1561"/>
      <c r="AB60" s="54" t="str">
        <f>"1."&amp;Y59</f>
        <v>1.0</v>
      </c>
      <c r="AC60" s="240"/>
      <c r="AD60" s="177" t="s">
        <v>789</v>
      </c>
      <c r="AE60" s="2480"/>
      <c r="AF60" s="2480"/>
      <c r="AG60" s="2480"/>
      <c r="AH60" s="2480"/>
      <c r="AI60" s="1359"/>
      <c r="AJ60" s="2480"/>
      <c r="AK60" s="2480"/>
      <c r="AL60" s="2480"/>
      <c r="AM60" s="2480"/>
      <c r="AN60" s="2480"/>
      <c r="AO60" s="2480"/>
      <c r="AP60" s="2480"/>
      <c r="AQ60" s="2480"/>
      <c r="AR60" s="2480"/>
      <c r="AS60" s="1359"/>
      <c r="AT60" s="2480"/>
      <c r="AU60" s="2480"/>
      <c r="AV60" s="2480"/>
      <c r="AW60" s="2480"/>
      <c r="AX60" s="2480"/>
      <c r="AY60" s="2480"/>
      <c r="AZ60" s="2480"/>
      <c r="BA60" s="2480"/>
      <c r="BB60" s="2480"/>
      <c r="BC60" s="1880"/>
      <c r="BD60" s="861"/>
      <c r="BE60" s="861"/>
      <c r="BF60" s="1018" t="s">
        <v>994</v>
      </c>
      <c r="BG60" s="1018" t="s">
        <v>995</v>
      </c>
      <c r="BH60" s="1018" cm="1" t="str">
        <f t="array" ref="BH60:BH60">AC60</f>
        <v>0</v>
      </c>
      <c r="BI60" s="654"/>
      <c r="BJ60" s="654" t="b">
        <v>1</v>
      </c>
    </row>
    <row s="1624" customFormat="1" customHeight="1" ht="14.25" hidden="1">
      <c r="A61" s="861"/>
      <c r="B61" s="412"/>
      <c r="C61" s="861"/>
      <c r="D61" s="861"/>
      <c r="E61" s="654">
        <v>15</v>
      </c>
      <c r="F61" s="50" cm="1" t="str">
        <f t="array" ref="F61:F61">OFFSET(E61,-1,1)</f>
        <v>1</v>
      </c>
      <c r="G61" s="118" t="s">
        <v>434</v>
      </c>
      <c r="H61" s="121" cm="1" t="str">
        <f t="array" ref="H61:H61">H60</f>
        <v>0</v>
      </c>
      <c r="I61" s="118" t="s">
        <v>993</v>
      </c>
      <c r="J61" s="861"/>
      <c r="K61" s="887"/>
      <c r="L61" s="861"/>
      <c r="M61" s="861"/>
      <c r="N61" s="861"/>
      <c r="O61" s="861"/>
      <c r="P61" s="861"/>
      <c r="Q61" s="861"/>
      <c r="R61" s="861"/>
      <c r="S61" s="861"/>
      <c r="T61" s="438" cm="1" t="str">
        <f t="array" ref="T61:T61">T60</f>
        <v>false</v>
      </c>
      <c r="U61" s="861"/>
      <c r="V61" s="861"/>
      <c r="W61" s="861"/>
      <c r="X61" s="1472"/>
      <c r="Y61" s="1472"/>
      <c r="Z61" s="1560"/>
      <c r="AA61" s="1561"/>
      <c r="AB61" s="54" t="str">
        <f>AB60&amp;".1"</f>
        <v>1.0.1</v>
      </c>
      <c r="AC61" s="187" t="s">
        <v>996</v>
      </c>
      <c r="AD61" s="54" t="s">
        <v>506</v>
      </c>
      <c r="AE61" s="2388"/>
      <c r="AF61" s="2388"/>
      <c r="AG61" s="2388"/>
      <c r="AH61" s="2388"/>
      <c r="AI61" s="181"/>
      <c r="AJ61" s="2388"/>
      <c r="AK61" s="2388"/>
      <c r="AL61" s="2388"/>
      <c r="AM61" s="2388"/>
      <c r="AN61" s="2388"/>
      <c r="AO61" s="2388"/>
      <c r="AP61" s="2388"/>
      <c r="AQ61" s="2388"/>
      <c r="AR61" s="2388"/>
      <c r="AS61" s="181"/>
      <c r="AT61" s="2388"/>
      <c r="AU61" s="2388"/>
      <c r="AV61" s="2388"/>
      <c r="AW61" s="2388"/>
      <c r="AX61" s="2388"/>
      <c r="AY61" s="2388"/>
      <c r="AZ61" s="2388"/>
      <c r="BA61" s="2388"/>
      <c r="BB61" s="2388"/>
      <c r="BC61" s="1880"/>
      <c r="BD61" s="861"/>
      <c r="BE61" s="861"/>
      <c r="BF61" s="1018" t="s">
        <v>997</v>
      </c>
      <c r="BG61" s="1018" t="s">
        <v>995</v>
      </c>
      <c r="BH61" s="1018" cm="1" t="str">
        <f t="array" ref="BH61:BH61">BH60</f>
        <v>0</v>
      </c>
      <c r="BI61" s="654"/>
      <c r="BJ61" s="654"/>
    </row>
    <row s="1624" customFormat="1" customHeight="1" ht="14.25">
      <c r="A62" s="861"/>
      <c r="B62" s="412"/>
      <c r="C62" s="861"/>
      <c r="D62" s="861"/>
      <c r="E62" s="654">
        <v>15</v>
      </c>
      <c r="F62" s="50" cm="1" t="str">
        <f t="array" ref="F62:F62">OFFSET(E62,-1,1)</f>
        <v>1</v>
      </c>
      <c r="G62" s="861"/>
      <c r="H62" s="118" t="str">
        <f>"!=='не определено' &amp;&amp; row.l1 !== null"</f>
        <v>!=='не определено' &amp;&amp; row.l1 !== null</v>
      </c>
      <c r="I62" s="861"/>
      <c r="J62" s="861"/>
      <c r="K62" s="887"/>
      <c r="L62" s="861"/>
      <c r="M62" s="861"/>
      <c r="N62" s="861"/>
      <c r="O62" s="861"/>
      <c r="P62" s="861"/>
      <c r="Q62" s="861"/>
      <c r="R62" s="861"/>
      <c r="S62" s="861"/>
      <c r="T62" s="438">
        <f>F62&gt;0</f>
        <v>1</v>
      </c>
      <c r="U62" s="861"/>
      <c r="V62" s="861"/>
      <c r="W62" s="661" t="s">
        <v>998</v>
      </c>
      <c r="X62" s="1472"/>
      <c r="Y62" s="861"/>
      <c r="Z62" s="1560"/>
      <c r="AA62" s="861"/>
      <c r="AB62" s="657"/>
      <c r="AC62" s="198" t="s">
        <v>999</v>
      </c>
      <c r="AD62" s="198"/>
      <c r="AE62" s="198"/>
      <c r="AF62" s="198"/>
      <c r="AG62" s="198"/>
      <c r="AH62" s="198"/>
      <c r="AI62" s="198"/>
      <c r="AJ62" s="198"/>
      <c r="AK62" s="198"/>
      <c r="AL62" s="198"/>
      <c r="AM62" s="198"/>
      <c r="AN62" s="198"/>
      <c r="AO62" s="198"/>
      <c r="AP62" s="198"/>
      <c r="AQ62" s="198"/>
      <c r="AR62" s="198"/>
      <c r="AS62" s="198"/>
      <c r="AT62" s="198"/>
      <c r="AU62" s="198"/>
      <c r="AV62" s="198"/>
      <c r="AW62" s="198"/>
      <c r="AX62" s="198"/>
      <c r="AY62" s="198"/>
      <c r="AZ62" s="198"/>
      <c r="BA62" s="198"/>
      <c r="BB62" s="198"/>
      <c r="BC62" s="199"/>
      <c r="BD62" s="861"/>
      <c r="BE62" s="861"/>
      <c r="BF62" s="1018"/>
      <c r="BG62" s="1018"/>
      <c r="BH62" s="1018"/>
      <c r="BI62" s="654" t="s">
        <v>995</v>
      </c>
      <c r="BJ62" s="654"/>
    </row>
    <row s="1624" customFormat="1" customHeight="1" ht="21.75">
      <c r="A63" s="861"/>
      <c r="B63" s="412"/>
      <c r="C63" s="861"/>
      <c r="D63" s="861"/>
      <c r="E63" s="654">
        <v>22.5</v>
      </c>
      <c r="F63" s="50" cm="1" t="str">
        <f t="array" ref="F63:F63">OFFSET(E63,-1,1)</f>
        <v>1</v>
      </c>
      <c r="G63" s="861"/>
      <c r="H63" s="861"/>
      <c r="I63" s="861"/>
      <c r="J63" s="861"/>
      <c r="K63" s="887" t="str">
        <f>F58&amp;"2komm"</f>
        <v>12komm</v>
      </c>
      <c r="L63" s="891" cm="1" t="str">
        <f t="array" ref="L63:L63">BC63</f>
        <v>0</v>
      </c>
      <c r="M63" s="861"/>
      <c r="N63" s="861"/>
      <c r="O63" s="861"/>
      <c r="P63" s="861"/>
      <c r="Q63" s="861"/>
      <c r="R63" s="861"/>
      <c r="S63" s="861"/>
      <c r="T63" s="438" cm="1" t="str">
        <f t="array" ref="T63:T63">T62</f>
        <v>true</v>
      </c>
      <c r="U63" s="861"/>
      <c r="V63" s="861"/>
      <c r="W63" s="861"/>
      <c r="X63" s="1472"/>
      <c r="Y63" s="660"/>
      <c r="Z63" s="1560"/>
      <c r="AA63" s="861"/>
      <c r="AB63" s="177">
        <v>2</v>
      </c>
      <c r="AC63" s="178" t="s">
        <v>1000</v>
      </c>
      <c r="AD63" s="177" t="s">
        <v>789</v>
      </c>
      <c r="AE63" s="179">
        <f>SUMIF(AD65:AD67,AD63,AE65:AE67)</f>
        <v>0</v>
      </c>
      <c r="AF63" s="179">
        <f>SUMIF(AD65:AD67,AD63,AF65:AF67)</f>
        <v>0</v>
      </c>
      <c r="AG63" s="179">
        <f>SUMIF(AD65:AD67,AD63,AG65:AG67)</f>
        <v>0</v>
      </c>
      <c r="AH63" s="179">
        <f>SUMIF(AD65:AD67,AD63,AH65:AH67)</f>
        <v>0</v>
      </c>
      <c r="AI63" s="179">
        <f>SUMIF(AD65:AD67,AD63,AI65:AI67)</f>
        <v>0</v>
      </c>
      <c r="AJ63" s="1357">
        <f>SUMIF(AD65:AD67,AD63,AJ65:AJ67)</f>
        <v>0</v>
      </c>
      <c r="AK63" s="1357">
        <f>SUMIF(AD65:AD67,AD63,AK65:AK67)</f>
        <v>0</v>
      </c>
      <c r="AL63" s="1357">
        <f>SUMIF(AD65:AD67,AD63,AL65:AL67)</f>
        <v>0</v>
      </c>
      <c r="AM63" s="1357">
        <f>SUMIF(AD65:AD67,AD63,AM65:AM67)</f>
        <v>0</v>
      </c>
      <c r="AN63" s="1357">
        <f>SUMIF(AD65:AD67,AD63,AN65:AN67)</f>
        <v>0</v>
      </c>
      <c r="AO63" s="1357">
        <f>SUMIF(AD65:AD67,AD63,AO65:AO67)</f>
        <v>0</v>
      </c>
      <c r="AP63" s="1357">
        <f>SUMIF(AD65:AD67,AD63,AP65:AP67)</f>
        <v>0</v>
      </c>
      <c r="AQ63" s="1357">
        <f>SUMIF(AD65:AD67,AD63,AQ65:AQ67)</f>
        <v>0</v>
      </c>
      <c r="AR63" s="1357">
        <f>SUMIF(AD65:AD67,AD63,AR65:AR67)</f>
        <v>0</v>
      </c>
      <c r="AS63" s="179">
        <f>SUMIF(AD65:AD67,AD63,AS65:AS67)</f>
        <v>0</v>
      </c>
      <c r="AT63" s="1357">
        <f>SUMIF(AD65:AD67,AD63,AT65:AT67)</f>
        <v>0</v>
      </c>
      <c r="AU63" s="1357">
        <f>SUMIF(AD65:AD67,AD63,AU65:AU67)</f>
        <v>0</v>
      </c>
      <c r="AV63" s="1357">
        <f>SUMIF(AD65:AD67,AD63,AV65:AV67)</f>
        <v>0</v>
      </c>
      <c r="AW63" s="1357">
        <f>SUMIF(AD65:AD67,AD63,AW65:AW67)</f>
        <v>0</v>
      </c>
      <c r="AX63" s="1357">
        <f>SUMIF(AD65:AD67,AD63,AX65:AX67)</f>
        <v>0</v>
      </c>
      <c r="AY63" s="1357">
        <f>SUMIF(AD65:AD67,AD63,AY65:AY67)</f>
        <v>0</v>
      </c>
      <c r="AZ63" s="1357">
        <f>SUMIF(AD65:AD67,AD63,AZ65:AZ67)</f>
        <v>0</v>
      </c>
      <c r="BA63" s="1357">
        <f>SUMIF(AD65:AD67,AD63,BA65:BA67)</f>
        <v>0</v>
      </c>
      <c r="BB63" s="1357">
        <f>SUMIF(AD65:AD67,AD63,BB65:BB67)</f>
        <v>0</v>
      </c>
      <c r="BC63" s="166"/>
      <c r="BD63" s="861"/>
      <c r="BE63" s="861"/>
      <c r="BF63" s="1018" t="s">
        <v>1001</v>
      </c>
      <c r="BG63" s="1018"/>
      <c r="BH63" s="1018"/>
      <c r="BI63" s="654"/>
      <c r="BJ63" s="654"/>
    </row>
    <row s="1624" customFormat="1" customHeight="1" ht="15" hidden="1">
      <c r="A64" s="861"/>
      <c r="B64" s="412"/>
      <c r="C64" s="861"/>
      <c r="D64" s="861"/>
      <c r="E64" s="654">
        <v>0</v>
      </c>
      <c r="F64" s="50" cm="1" t="str">
        <f t="array" ref="F64:F64">OFFSET(E64,-1,1)</f>
        <v>1</v>
      </c>
      <c r="G64" s="118" t="s">
        <v>322</v>
      </c>
      <c r="H64" s="861"/>
      <c r="I64" s="861"/>
      <c r="J64" s="861"/>
      <c r="K64" s="887"/>
      <c r="L64" s="891"/>
      <c r="M64" s="861"/>
      <c r="N64" s="861"/>
      <c r="O64" s="861"/>
      <c r="P64" s="861"/>
      <c r="Q64" s="861"/>
      <c r="R64" s="861"/>
      <c r="S64" s="861"/>
      <c r="T64" s="438" t="b">
        <v>0</v>
      </c>
      <c r="U64" s="861"/>
      <c r="V64" s="861"/>
      <c r="W64" s="118" t="s">
        <v>172</v>
      </c>
      <c r="X64" s="1472"/>
      <c r="Y64" s="1472">
        <v>0</v>
      </c>
      <c r="Z64" s="1560"/>
      <c r="AA64" s="1562" t="s">
        <v>173</v>
      </c>
      <c r="AB64" s="177"/>
      <c r="AC64" s="178"/>
      <c r="AD64" s="177"/>
      <c r="AE64" s="1360">
        <f>OR(AND(AE65&lt;&gt;"",AE66=""),AND(AE65="",AE66&lt;&gt;""))</f>
        <v>0</v>
      </c>
      <c r="AF64" s="1360">
        <f>OR(AND(AF65&lt;&gt;"",AF66=""),AND(AF65="",AF66&lt;&gt;""))</f>
        <v>0</v>
      </c>
      <c r="AG64" s="1360">
        <f>OR(AND(AG65&lt;&gt;"",AG66=""),AND(AG65="",AG66&lt;&gt;""))</f>
        <v>0</v>
      </c>
      <c r="AH64" s="1360">
        <f>OR(AND(AH65&lt;&gt;"",AH66=""),AND(AH65="",AH66&lt;&gt;""))</f>
        <v>0</v>
      </c>
      <c r="AI64" s="1360">
        <f>OR(AND(AI65&lt;&gt;"",AI66=""),AND(AI65="",AI66&lt;&gt;""))</f>
        <v>0</v>
      </c>
      <c r="AJ64" s="1360">
        <f>OR(AND(AJ65&lt;&gt;"",AJ66=""),AND(AJ65="",AJ66&lt;&gt;""))</f>
        <v>0</v>
      </c>
      <c r="AK64" s="1360">
        <f>OR(AND(AK65&lt;&gt;"",AK66=""),AND(AK65="",AK66&lt;&gt;""))</f>
        <v>0</v>
      </c>
      <c r="AL64" s="1360">
        <f>OR(AND(AL65&lt;&gt;"",AL66=""),AND(AL65="",AL66&lt;&gt;""))</f>
        <v>0</v>
      </c>
      <c r="AM64" s="1360">
        <f>OR(AND(AM65&lt;&gt;"",AM66=""),AND(AM65="",AM66&lt;&gt;""))</f>
        <v>0</v>
      </c>
      <c r="AN64" s="1360">
        <f>OR(AND(AN65&lt;&gt;"",AN66=""),AND(AN65="",AN66&lt;&gt;""))</f>
        <v>0</v>
      </c>
      <c r="AO64" s="1360">
        <f>OR(AND(AO65&lt;&gt;"",AO66=""),AND(AO65="",AO66&lt;&gt;""))</f>
        <v>0</v>
      </c>
      <c r="AP64" s="1360">
        <f>OR(AND(AP65&lt;&gt;"",AP66=""),AND(AP65="",AP66&lt;&gt;""))</f>
        <v>0</v>
      </c>
      <c r="AQ64" s="1360">
        <f>OR(AND(AQ65&lt;&gt;"",AQ66=""),AND(AQ65="",AQ66&lt;&gt;""))</f>
        <v>0</v>
      </c>
      <c r="AR64" s="1360">
        <f>OR(AND(AR65&lt;&gt;"",AR66=""),AND(AR65="",AR66&lt;&gt;""))</f>
        <v>0</v>
      </c>
      <c r="AS64" s="1360">
        <f>OR(AND(AS65&lt;&gt;"",AS66=""),AND(AS65="",AS66&lt;&gt;""))</f>
        <v>0</v>
      </c>
      <c r="AT64" s="1360">
        <f>OR(AND(AT65&lt;&gt;"",AT66=""),AND(AT65="",AT66&lt;&gt;""))</f>
        <v>0</v>
      </c>
      <c r="AU64" s="1360">
        <f>OR(AND(AU65&lt;&gt;"",AU66=""),AND(AU65="",AU66&lt;&gt;""))</f>
        <v>0</v>
      </c>
      <c r="AV64" s="1360">
        <f>OR(AND(AV65&lt;&gt;"",AV66=""),AND(AV65="",AV66&lt;&gt;""))</f>
        <v>0</v>
      </c>
      <c r="AW64" s="1360">
        <f>OR(AND(AW65&lt;&gt;"",AW66=""),AND(AW65="",AW66&lt;&gt;""))</f>
        <v>0</v>
      </c>
      <c r="AX64" s="1360">
        <f>OR(AND(AX65&lt;&gt;"",AX66=""),AND(AX65="",AX66&lt;&gt;""))</f>
        <v>0</v>
      </c>
      <c r="AY64" s="1360">
        <f>OR(AND(AY65&lt;&gt;"",AY66=""),AND(AY65="",AY66&lt;&gt;""))</f>
        <v>0</v>
      </c>
      <c r="AZ64" s="1360">
        <f>OR(AND(AZ65&lt;&gt;"",AZ66=""),AND(AZ65="",AZ66&lt;&gt;""))</f>
        <v>0</v>
      </c>
      <c r="BA64" s="1360">
        <f>OR(AND(BA65&lt;&gt;"",BA66=""),AND(BA65="",BA66&lt;&gt;""))</f>
        <v>0</v>
      </c>
      <c r="BB64" s="1360">
        <f>OR(AND(BB65&lt;&gt;"",BB66=""),AND(BB65="",BB66&lt;&gt;""))</f>
        <v>0</v>
      </c>
      <c r="BC64" s="951"/>
      <c r="BD64" s="861"/>
      <c r="BE64" s="861"/>
      <c r="BF64" s="1018"/>
      <c r="BG64" s="1018"/>
      <c r="BH64" s="1018"/>
      <c r="BI64" s="654"/>
      <c r="BJ64" s="654"/>
    </row>
    <row s="1624" customFormat="1" customHeight="1" ht="14.25" hidden="1">
      <c r="A65" s="861"/>
      <c r="B65" s="412"/>
      <c r="C65" s="861"/>
      <c r="D65" s="861"/>
      <c r="E65" s="654">
        <v>15</v>
      </c>
      <c r="F65" s="50" cm="1" t="str">
        <f t="array" ref="F65:F65">OFFSET(E65,-1,1)</f>
        <v>1</v>
      </c>
      <c r="G65" s="118" t="s">
        <v>322</v>
      </c>
      <c r="H65" s="121" cm="1" t="str">
        <f t="array" ref="H65:H65">AC65</f>
        <v>0</v>
      </c>
      <c r="I65" s="118" t="s">
        <v>1002</v>
      </c>
      <c r="J65" s="861"/>
      <c r="K65" s="887"/>
      <c r="L65" s="861"/>
      <c r="M65" s="861"/>
      <c r="N65" s="861"/>
      <c r="O65" s="861"/>
      <c r="P65" s="861"/>
      <c r="Q65" s="861"/>
      <c r="R65" s="861"/>
      <c r="S65" s="861"/>
      <c r="T65" s="438">
        <f>AND(F65&gt;0,Y64&gt;0)</f>
        <v>0</v>
      </c>
      <c r="U65" s="861"/>
      <c r="V65" s="861"/>
      <c r="W65" s="861"/>
      <c r="X65" s="1472"/>
      <c r="Y65" s="1472"/>
      <c r="Z65" s="1560"/>
      <c r="AA65" s="1562"/>
      <c r="AB65" s="54" t="str">
        <f>"2."&amp;Y64</f>
        <v>2.0</v>
      </c>
      <c r="AC65" s="240"/>
      <c r="AD65" s="177" t="s">
        <v>789</v>
      </c>
      <c r="AE65" s="2388"/>
      <c r="AF65" s="2388"/>
      <c r="AG65" s="2388"/>
      <c r="AH65" s="2388"/>
      <c r="AI65" s="181"/>
      <c r="AJ65" s="2388"/>
      <c r="AK65" s="2388"/>
      <c r="AL65" s="2388"/>
      <c r="AM65" s="2388"/>
      <c r="AN65" s="2388"/>
      <c r="AO65" s="2388"/>
      <c r="AP65" s="2388"/>
      <c r="AQ65" s="2388"/>
      <c r="AR65" s="2388"/>
      <c r="AS65" s="181"/>
      <c r="AT65" s="2388"/>
      <c r="AU65" s="2388"/>
      <c r="AV65" s="2388"/>
      <c r="AW65" s="2388"/>
      <c r="AX65" s="2388"/>
      <c r="AY65" s="2388"/>
      <c r="AZ65" s="2388"/>
      <c r="BA65" s="2388"/>
      <c r="BB65" s="2388"/>
      <c r="BC65" s="1880"/>
      <c r="BD65" s="861"/>
      <c r="BE65" s="861"/>
      <c r="BF65" s="1018" t="s">
        <v>994</v>
      </c>
      <c r="BG65" s="1018" t="s">
        <v>1003</v>
      </c>
      <c r="BH65" s="1018" cm="1" t="str">
        <f t="array" ref="BH65:BH65">AC65</f>
        <v>0</v>
      </c>
      <c r="BI65" s="654"/>
      <c r="BJ65" s="654" t="b">
        <v>1</v>
      </c>
    </row>
    <row s="1624" customFormat="1" customHeight="1" ht="14.25" hidden="1">
      <c r="A66" s="861"/>
      <c r="B66" s="412"/>
      <c r="C66" s="861"/>
      <c r="D66" s="861"/>
      <c r="E66" s="654">
        <v>15</v>
      </c>
      <c r="F66" s="50" cm="1" t="str">
        <f t="array" ref="F66:F66">OFFSET(E66,-1,1)</f>
        <v>1</v>
      </c>
      <c r="G66" s="118" t="s">
        <v>452</v>
      </c>
      <c r="H66" s="121" cm="1" t="str">
        <f t="array" ref="H66:H66">H65</f>
        <v>0</v>
      </c>
      <c r="I66" s="118" t="s">
        <v>1002</v>
      </c>
      <c r="J66" s="861"/>
      <c r="K66" s="887"/>
      <c r="L66" s="861"/>
      <c r="M66" s="861"/>
      <c r="N66" s="861"/>
      <c r="O66" s="861"/>
      <c r="P66" s="861"/>
      <c r="Q66" s="861"/>
      <c r="R66" s="861"/>
      <c r="S66" s="861"/>
      <c r="T66" s="438" cm="1" t="str">
        <f t="array" ref="T66:T66">T65</f>
        <v>false</v>
      </c>
      <c r="U66" s="861"/>
      <c r="V66" s="861"/>
      <c r="W66" s="861"/>
      <c r="X66" s="1472"/>
      <c r="Y66" s="1472"/>
      <c r="Z66" s="1560"/>
      <c r="AA66" s="1562"/>
      <c r="AB66" s="54" t="str">
        <f>AB65&amp;".1"</f>
        <v>2.0.1</v>
      </c>
      <c r="AC66" s="187" t="s">
        <v>1004</v>
      </c>
      <c r="AD66" s="54" t="s">
        <v>506</v>
      </c>
      <c r="AE66" s="2388"/>
      <c r="AF66" s="2388"/>
      <c r="AG66" s="2388"/>
      <c r="AH66" s="2388"/>
      <c r="AI66" s="181"/>
      <c r="AJ66" s="2388"/>
      <c r="AK66" s="2388"/>
      <c r="AL66" s="2388"/>
      <c r="AM66" s="2388"/>
      <c r="AN66" s="2388"/>
      <c r="AO66" s="2388"/>
      <c r="AP66" s="2388"/>
      <c r="AQ66" s="2388"/>
      <c r="AR66" s="2388"/>
      <c r="AS66" s="181"/>
      <c r="AT66" s="2388"/>
      <c r="AU66" s="2388"/>
      <c r="AV66" s="2388"/>
      <c r="AW66" s="2388"/>
      <c r="AX66" s="2388"/>
      <c r="AY66" s="2388"/>
      <c r="AZ66" s="2388"/>
      <c r="BA66" s="2388"/>
      <c r="BB66" s="2388"/>
      <c r="BC66" s="1880"/>
      <c r="BD66" s="861"/>
      <c r="BE66" s="861"/>
      <c r="BF66" s="1018" t="s">
        <v>997</v>
      </c>
      <c r="BG66" s="1018" t="s">
        <v>1003</v>
      </c>
      <c r="BH66" s="1018" cm="1" t="str">
        <f t="array" ref="BH66:BH66">BH65</f>
        <v>0</v>
      </c>
      <c r="BI66" s="654"/>
      <c r="BJ66" s="654"/>
    </row>
    <row s="1624" customFormat="1" customHeight="1" ht="14.25">
      <c r="A67" s="861"/>
      <c r="B67" s="412"/>
      <c r="C67" s="861"/>
      <c r="D67" s="861"/>
      <c r="E67" s="654">
        <v>15</v>
      </c>
      <c r="F67" s="50" cm="1" t="str">
        <f t="array" ref="F67:F67">OFFSET(E67,-1,1)</f>
        <v>1</v>
      </c>
      <c r="G67" s="861"/>
      <c r="H67" s="118" t="str">
        <f>"!=='не определено' &amp;&amp; row.l2 !== null"</f>
        <v>!=='не определено' &amp;&amp; row.l2 !== null</v>
      </c>
      <c r="I67" s="861"/>
      <c r="J67" s="861"/>
      <c r="K67" s="887"/>
      <c r="L67" s="861"/>
      <c r="M67" s="861"/>
      <c r="N67" s="861"/>
      <c r="O67" s="861"/>
      <c r="P67" s="861"/>
      <c r="Q67" s="861"/>
      <c r="R67" s="861"/>
      <c r="S67" s="861"/>
      <c r="T67" s="438">
        <f>F67&gt;0</f>
        <v>1</v>
      </c>
      <c r="U67" s="861"/>
      <c r="V67" s="861"/>
      <c r="W67" s="661" t="s">
        <v>998</v>
      </c>
      <c r="X67" s="1472"/>
      <c r="Y67" s="659"/>
      <c r="Z67" s="1560"/>
      <c r="AA67" s="861"/>
      <c r="AB67" s="657"/>
      <c r="AC67" s="198" t="s">
        <v>999</v>
      </c>
      <c r="AD67" s="198"/>
      <c r="AE67" s="198"/>
      <c r="AF67" s="198"/>
      <c r="AG67" s="198"/>
      <c r="AH67" s="198"/>
      <c r="AI67" s="198"/>
      <c r="AJ67" s="198"/>
      <c r="AK67" s="198"/>
      <c r="AL67" s="198"/>
      <c r="AM67" s="198"/>
      <c r="AN67" s="198"/>
      <c r="AO67" s="198"/>
      <c r="AP67" s="198"/>
      <c r="AQ67" s="198"/>
      <c r="AR67" s="198"/>
      <c r="AS67" s="198"/>
      <c r="AT67" s="198"/>
      <c r="AU67" s="198"/>
      <c r="AV67" s="198"/>
      <c r="AW67" s="198"/>
      <c r="AX67" s="198"/>
      <c r="AY67" s="198"/>
      <c r="AZ67" s="198"/>
      <c r="BA67" s="198"/>
      <c r="BB67" s="198"/>
      <c r="BC67" s="199"/>
      <c r="BD67" s="861"/>
      <c r="BE67" s="861"/>
      <c r="BF67" s="1018"/>
      <c r="BG67" s="1018"/>
      <c r="BH67" s="1018"/>
      <c r="BI67" s="654" t="s">
        <v>1003</v>
      </c>
      <c r="BJ67" s="654"/>
    </row>
    <row s="1624" customFormat="1" customHeight="1" ht="21.75">
      <c r="A68" s="861"/>
      <c r="B68" s="412"/>
      <c r="C68" s="861"/>
      <c r="D68" s="861"/>
      <c r="E68" s="654">
        <v>23</v>
      </c>
      <c r="F68" s="50" cm="1" t="str">
        <f t="array" ref="F68:F68">OFFSET(E68,-1,1)</f>
        <v>1</v>
      </c>
      <c r="G68" s="861"/>
      <c r="H68" s="861"/>
      <c r="I68" s="861"/>
      <c r="J68" s="861"/>
      <c r="K68" s="887" t="str">
        <f>F58&amp;"3komm"</f>
        <v>13komm</v>
      </c>
      <c r="L68" s="891" cm="1" t="str">
        <f t="array" ref="L68:L68">BC68</f>
        <v>0</v>
      </c>
      <c r="M68" s="861"/>
      <c r="N68" s="861"/>
      <c r="O68" s="861"/>
      <c r="P68" s="861"/>
      <c r="Q68" s="861"/>
      <c r="R68" s="861"/>
      <c r="S68" s="861"/>
      <c r="T68" s="438" cm="1" t="str">
        <f t="array" ref="T68:T68">T67</f>
        <v>true</v>
      </c>
      <c r="U68" s="861"/>
      <c r="V68" s="861"/>
      <c r="W68" s="861"/>
      <c r="X68" s="1472"/>
      <c r="Y68" s="660"/>
      <c r="Z68" s="1560"/>
      <c r="AA68" s="861"/>
      <c r="AB68" s="177">
        <v>3</v>
      </c>
      <c r="AC68" s="178" t="s">
        <v>1005</v>
      </c>
      <c r="AD68" s="177" t="s">
        <v>789</v>
      </c>
      <c r="AE68" s="179">
        <f>SUMIF(AD70:AD72,AD68,AE70:AE72)</f>
        <v>0</v>
      </c>
      <c r="AF68" s="179">
        <f>SUMIF(AD70:AD72,AD68,AF70:AF72)</f>
        <v>0</v>
      </c>
      <c r="AG68" s="179">
        <f>SUMIF(AD70:AD72,AD68,AG70:AG72)</f>
        <v>0</v>
      </c>
      <c r="AH68" s="179">
        <f>SUMIF(AD70:AD72,AD68,AH70:AH72)</f>
        <v>0</v>
      </c>
      <c r="AI68" s="179">
        <f>SUMIF(AD70:AD72,AD68,AI70:AI72)</f>
        <v>0</v>
      </c>
      <c r="AJ68" s="1357">
        <f>SUMIF(AD70:AD72,AD68,AJ70:AJ72)</f>
        <v>0</v>
      </c>
      <c r="AK68" s="1357">
        <f>SUMIF(AD70:AD72,AD68,AK70:AK72)</f>
        <v>0</v>
      </c>
      <c r="AL68" s="1357">
        <f>SUMIF(AD70:AD72,AD68,AL70:AL72)</f>
        <v>0</v>
      </c>
      <c r="AM68" s="1357">
        <f>SUMIF(AD70:AD72,AD68,AM70:AM72)</f>
        <v>0</v>
      </c>
      <c r="AN68" s="1357">
        <f>SUMIF(AD70:AD72,AD68,AN70:AN72)</f>
        <v>0</v>
      </c>
      <c r="AO68" s="1357">
        <f>SUMIF(AD70:AD72,AD68,AO70:AO72)</f>
        <v>0</v>
      </c>
      <c r="AP68" s="1357">
        <f>SUMIF(AD70:AD72,AD68,AP70:AP72)</f>
        <v>0</v>
      </c>
      <c r="AQ68" s="1357">
        <f>SUMIF(AD70:AD72,AD68,AQ70:AQ72)</f>
        <v>0</v>
      </c>
      <c r="AR68" s="1357">
        <f>SUMIF(AD70:AD72,AD68,AR70:AR72)</f>
        <v>0</v>
      </c>
      <c r="AS68" s="179">
        <f>SUMIF(AD70:AD72,AD68,AS70:AS72)</f>
        <v>0</v>
      </c>
      <c r="AT68" s="1357">
        <f>SUMIF(AD70:AD72,AD68,AT70:AT72)</f>
        <v>0</v>
      </c>
      <c r="AU68" s="1357">
        <f>SUMIF(AD70:AD72,AD68,AU70:AU72)</f>
        <v>0</v>
      </c>
      <c r="AV68" s="1357">
        <f>SUMIF(AD70:AD72,AD68,AV70:AV72)</f>
        <v>0</v>
      </c>
      <c r="AW68" s="1357">
        <f>SUMIF(AD70:AD72,AD68,AW70:AW72)</f>
        <v>0</v>
      </c>
      <c r="AX68" s="1357">
        <f>SUMIF(AD70:AD72,AD68,AX70:AX72)</f>
        <v>0</v>
      </c>
      <c r="AY68" s="1357">
        <f>SUMIF(AD70:AD72,AD68,AY70:AY72)</f>
        <v>0</v>
      </c>
      <c r="AZ68" s="1357">
        <f>SUMIF(AD70:AD72,AD68,AZ70:AZ72)</f>
        <v>0</v>
      </c>
      <c r="BA68" s="1357">
        <f>SUMIF(AD70:AD72,AD68,BA70:BA72)</f>
        <v>0</v>
      </c>
      <c r="BB68" s="1357">
        <f>SUMIF(AD70:AD72,AD68,BB70:BB72)</f>
        <v>0</v>
      </c>
      <c r="BC68" s="166"/>
      <c r="BD68" s="861"/>
      <c r="BE68" s="861"/>
      <c r="BF68" s="1018" t="s">
        <v>1006</v>
      </c>
      <c r="BG68" s="1018"/>
      <c r="BH68" s="1018"/>
      <c r="BI68" s="654"/>
      <c r="BJ68" s="654"/>
    </row>
    <row s="1624" customFormat="1" customHeight="1" ht="15" hidden="1">
      <c r="A69" s="861"/>
      <c r="B69" s="412"/>
      <c r="C69" s="861"/>
      <c r="D69" s="861"/>
      <c r="E69" s="654">
        <v>0</v>
      </c>
      <c r="F69" s="50" cm="1" t="str">
        <f t="array" ref="F69:F69">OFFSET(E69,-1,1)</f>
        <v>1</v>
      </c>
      <c r="G69" s="118" t="s">
        <v>323</v>
      </c>
      <c r="H69" s="861"/>
      <c r="I69" s="861"/>
      <c r="J69" s="861"/>
      <c r="K69" s="887"/>
      <c r="L69" s="891"/>
      <c r="M69" s="861"/>
      <c r="N69" s="861"/>
      <c r="O69" s="861"/>
      <c r="P69" s="861"/>
      <c r="Q69" s="861"/>
      <c r="R69" s="861"/>
      <c r="S69" s="861"/>
      <c r="T69" s="438" t="b">
        <v>0</v>
      </c>
      <c r="U69" s="861"/>
      <c r="V69" s="861"/>
      <c r="W69" s="118" t="s">
        <v>172</v>
      </c>
      <c r="X69" s="1472"/>
      <c r="Y69" s="1472">
        <v>0</v>
      </c>
      <c r="Z69" s="1560"/>
      <c r="AA69" s="1562" t="s">
        <v>173</v>
      </c>
      <c r="AB69" s="177"/>
      <c r="AC69" s="178"/>
      <c r="AD69" s="177"/>
      <c r="AE69" s="1360">
        <f>OR(AND(AE70&lt;&gt;"",AE71=""),AND(AE70="",AE71&lt;&gt;""))</f>
        <v>0</v>
      </c>
      <c r="AF69" s="1360">
        <f>OR(AND(AF70&lt;&gt;"",AF71=""),AND(AF70="",AF71&lt;&gt;""))</f>
        <v>0</v>
      </c>
      <c r="AG69" s="1360">
        <f>OR(AND(AG70&lt;&gt;"",AG71=""),AND(AG70="",AG71&lt;&gt;""))</f>
        <v>0</v>
      </c>
      <c r="AH69" s="1360">
        <f>OR(AND(AH70&lt;&gt;"",AH71=""),AND(AH70="",AH71&lt;&gt;""))</f>
        <v>0</v>
      </c>
      <c r="AI69" s="1360">
        <f>OR(AND(AI70&lt;&gt;"",AI71=""),AND(AI70="",AI71&lt;&gt;""))</f>
        <v>0</v>
      </c>
      <c r="AJ69" s="1360">
        <f>OR(AND(AJ70&lt;&gt;"",AJ71=""),AND(AJ70="",AJ71&lt;&gt;""))</f>
        <v>0</v>
      </c>
      <c r="AK69" s="1360">
        <f>OR(AND(AK70&lt;&gt;"",AK71=""),AND(AK70="",AK71&lt;&gt;""))</f>
        <v>0</v>
      </c>
      <c r="AL69" s="1360">
        <f>OR(AND(AL70&lt;&gt;"",AL71=""),AND(AL70="",AL71&lt;&gt;""))</f>
        <v>0</v>
      </c>
      <c r="AM69" s="1360">
        <f>OR(AND(AM70&lt;&gt;"",AM71=""),AND(AM70="",AM71&lt;&gt;""))</f>
        <v>0</v>
      </c>
      <c r="AN69" s="1360">
        <f>OR(AND(AN70&lt;&gt;"",AN71=""),AND(AN70="",AN71&lt;&gt;""))</f>
        <v>0</v>
      </c>
      <c r="AO69" s="1360">
        <f>OR(AND(AO70&lt;&gt;"",AO71=""),AND(AO70="",AO71&lt;&gt;""))</f>
        <v>0</v>
      </c>
      <c r="AP69" s="1360">
        <f>OR(AND(AP70&lt;&gt;"",AP71=""),AND(AP70="",AP71&lt;&gt;""))</f>
        <v>0</v>
      </c>
      <c r="AQ69" s="1360">
        <f>OR(AND(AQ70&lt;&gt;"",AQ71=""),AND(AQ70="",AQ71&lt;&gt;""))</f>
        <v>0</v>
      </c>
      <c r="AR69" s="1360">
        <f>OR(AND(AR70&lt;&gt;"",AR71=""),AND(AR70="",AR71&lt;&gt;""))</f>
        <v>0</v>
      </c>
      <c r="AS69" s="1360">
        <f>OR(AND(AS70&lt;&gt;"",AS71=""),AND(AS70="",AS71&lt;&gt;""))</f>
        <v>0</v>
      </c>
      <c r="AT69" s="1360">
        <f>OR(AND(AT70&lt;&gt;"",AT71=""),AND(AT70="",AT71&lt;&gt;""))</f>
        <v>0</v>
      </c>
      <c r="AU69" s="1360">
        <f>OR(AND(AU70&lt;&gt;"",AU71=""),AND(AU70="",AU71&lt;&gt;""))</f>
        <v>0</v>
      </c>
      <c r="AV69" s="1360">
        <f>OR(AND(AV70&lt;&gt;"",AV71=""),AND(AV70="",AV71&lt;&gt;""))</f>
        <v>0</v>
      </c>
      <c r="AW69" s="1360">
        <f>OR(AND(AW70&lt;&gt;"",AW71=""),AND(AW70="",AW71&lt;&gt;""))</f>
        <v>0</v>
      </c>
      <c r="AX69" s="1360">
        <f>OR(AND(AX70&lt;&gt;"",AX71=""),AND(AX70="",AX71&lt;&gt;""))</f>
        <v>0</v>
      </c>
      <c r="AY69" s="1360">
        <f>OR(AND(AY70&lt;&gt;"",AY71=""),AND(AY70="",AY71&lt;&gt;""))</f>
        <v>0</v>
      </c>
      <c r="AZ69" s="1360">
        <f>OR(AND(AZ70&lt;&gt;"",AZ71=""),AND(AZ70="",AZ71&lt;&gt;""))</f>
        <v>0</v>
      </c>
      <c r="BA69" s="1360">
        <f>OR(AND(BA70&lt;&gt;"",BA71=""),AND(BA70="",BA71&lt;&gt;""))</f>
        <v>0</v>
      </c>
      <c r="BB69" s="1360">
        <f>OR(AND(BB70&lt;&gt;"",BB71=""),AND(BB70="",BB71&lt;&gt;""))</f>
        <v>0</v>
      </c>
      <c r="BC69" s="951"/>
      <c r="BD69" s="861"/>
      <c r="BE69" s="861"/>
      <c r="BF69" s="1018"/>
      <c r="BG69" s="1018"/>
      <c r="BH69" s="1018"/>
      <c r="BI69" s="654"/>
      <c r="BJ69" s="654"/>
    </row>
    <row s="1624" customFormat="1" customHeight="1" ht="14.25" hidden="1">
      <c r="A70" s="861"/>
      <c r="B70" s="412"/>
      <c r="C70" s="861"/>
      <c r="D70" s="861"/>
      <c r="E70" s="654">
        <v>15</v>
      </c>
      <c r="F70" s="50" cm="1" t="str">
        <f t="array" ref="F70:F70">OFFSET(E70,-1,1)</f>
        <v>1</v>
      </c>
      <c r="G70" s="118" t="s">
        <v>323</v>
      </c>
      <c r="H70" s="121" cm="1" t="str">
        <f t="array" ref="H70:H70">AC70</f>
        <v>0</v>
      </c>
      <c r="I70" s="118" t="s">
        <v>1007</v>
      </c>
      <c r="J70" s="861"/>
      <c r="K70" s="887"/>
      <c r="L70" s="861"/>
      <c r="M70" s="861"/>
      <c r="N70" s="861"/>
      <c r="O70" s="861"/>
      <c r="P70" s="861"/>
      <c r="Q70" s="861"/>
      <c r="R70" s="861"/>
      <c r="S70" s="861"/>
      <c r="T70" s="438">
        <f>AND(F70&gt;0,Y69&gt;0)</f>
        <v>0</v>
      </c>
      <c r="U70" s="861"/>
      <c r="V70" s="861"/>
      <c r="W70" s="861"/>
      <c r="X70" s="1472"/>
      <c r="Y70" s="1472"/>
      <c r="Z70" s="1560"/>
      <c r="AA70" s="1562"/>
      <c r="AB70" s="54" t="str">
        <f>"3."&amp;Y69</f>
        <v>3.0</v>
      </c>
      <c r="AC70" s="240"/>
      <c r="AD70" s="177" t="s">
        <v>789</v>
      </c>
      <c r="AE70" s="2388"/>
      <c r="AF70" s="2388"/>
      <c r="AG70" s="2388"/>
      <c r="AH70" s="2388"/>
      <c r="AI70" s="181"/>
      <c r="AJ70" s="2388"/>
      <c r="AK70" s="2388"/>
      <c r="AL70" s="2388"/>
      <c r="AM70" s="2388"/>
      <c r="AN70" s="2388"/>
      <c r="AO70" s="2388"/>
      <c r="AP70" s="2388"/>
      <c r="AQ70" s="2388"/>
      <c r="AR70" s="2388"/>
      <c r="AS70" s="181"/>
      <c r="AT70" s="2388"/>
      <c r="AU70" s="2388"/>
      <c r="AV70" s="2388"/>
      <c r="AW70" s="2388"/>
      <c r="AX70" s="2388"/>
      <c r="AY70" s="2388"/>
      <c r="AZ70" s="2388"/>
      <c r="BA70" s="2388"/>
      <c r="BB70" s="2388"/>
      <c r="BC70" s="1880"/>
      <c r="BD70" s="861"/>
      <c r="BE70" s="861"/>
      <c r="BF70" s="1018" t="s">
        <v>994</v>
      </c>
      <c r="BG70" s="1018" t="s">
        <v>1008</v>
      </c>
      <c r="BH70" s="1018" cm="1" t="str">
        <f t="array" ref="BH70:BH70">AC70</f>
        <v>0</v>
      </c>
      <c r="BI70" s="654"/>
      <c r="BJ70" s="654" t="b">
        <v>1</v>
      </c>
    </row>
    <row s="1624" customFormat="1" customHeight="1" ht="14.25" hidden="1">
      <c r="A71" s="861"/>
      <c r="B71" s="412"/>
      <c r="C71" s="861"/>
      <c r="D71" s="861"/>
      <c r="E71" s="654">
        <v>15</v>
      </c>
      <c r="F71" s="50" cm="1" t="str">
        <f t="array" ref="F71:F71">OFFSET(E71,-1,1)</f>
        <v>1</v>
      </c>
      <c r="G71" s="118" t="s">
        <v>874</v>
      </c>
      <c r="H71" s="121" cm="1" t="str">
        <f t="array" ref="H71:H71">H70</f>
        <v>0</v>
      </c>
      <c r="I71" s="118" t="s">
        <v>1007</v>
      </c>
      <c r="J71" s="861"/>
      <c r="K71" s="887"/>
      <c r="L71" s="861"/>
      <c r="M71" s="861"/>
      <c r="N71" s="861"/>
      <c r="O71" s="861"/>
      <c r="P71" s="861"/>
      <c r="Q71" s="861"/>
      <c r="R71" s="861"/>
      <c r="S71" s="861"/>
      <c r="T71" s="438" cm="1" t="str">
        <f t="array" ref="T71:T71">T70</f>
        <v>false</v>
      </c>
      <c r="U71" s="861"/>
      <c r="V71" s="861"/>
      <c r="W71" s="861"/>
      <c r="X71" s="1472"/>
      <c r="Y71" s="1472"/>
      <c r="Z71" s="1560"/>
      <c r="AA71" s="1562"/>
      <c r="AB71" s="54" t="str">
        <f>AB70&amp;".1"</f>
        <v>3.0.1</v>
      </c>
      <c r="AC71" s="187" t="s">
        <v>1009</v>
      </c>
      <c r="AD71" s="54" t="s">
        <v>506</v>
      </c>
      <c r="AE71" s="2388"/>
      <c r="AF71" s="2388"/>
      <c r="AG71" s="2388"/>
      <c r="AH71" s="2388"/>
      <c r="AI71" s="181"/>
      <c r="AJ71" s="2388"/>
      <c r="AK71" s="2388"/>
      <c r="AL71" s="2388"/>
      <c r="AM71" s="2388"/>
      <c r="AN71" s="2388"/>
      <c r="AO71" s="2388"/>
      <c r="AP71" s="2388"/>
      <c r="AQ71" s="2388"/>
      <c r="AR71" s="2388"/>
      <c r="AS71" s="181"/>
      <c r="AT71" s="2388"/>
      <c r="AU71" s="2388"/>
      <c r="AV71" s="2388"/>
      <c r="AW71" s="2388"/>
      <c r="AX71" s="2388"/>
      <c r="AY71" s="2388"/>
      <c r="AZ71" s="2388"/>
      <c r="BA71" s="2388"/>
      <c r="BB71" s="2388"/>
      <c r="BC71" s="1880"/>
      <c r="BD71" s="861"/>
      <c r="BE71" s="861"/>
      <c r="BF71" s="1018" t="s">
        <v>997</v>
      </c>
      <c r="BG71" s="1018" t="s">
        <v>1008</v>
      </c>
      <c r="BH71" s="1018" cm="1" t="str">
        <f t="array" ref="BH71:BH71">BH70</f>
        <v>0</v>
      </c>
      <c r="BI71" s="654"/>
      <c r="BJ71" s="654"/>
    </row>
    <row s="1624" customFormat="1" customHeight="1" ht="14.25">
      <c r="A72" s="861"/>
      <c r="B72" s="412"/>
      <c r="C72" s="861"/>
      <c r="D72" s="861"/>
      <c r="E72" s="654">
        <v>15</v>
      </c>
      <c r="F72" s="50" cm="1" t="str">
        <f t="array" ref="F72:F72">OFFSET(E72,-1,1)</f>
        <v>1</v>
      </c>
      <c r="G72" s="861"/>
      <c r="H72" s="118" t="str">
        <f>"!=='не определено' &amp;&amp; row.l3 !== null"</f>
        <v>!=='не определено' &amp;&amp; row.l3 !== null</v>
      </c>
      <c r="I72" s="861"/>
      <c r="J72" s="861"/>
      <c r="K72" s="887"/>
      <c r="L72" s="861"/>
      <c r="M72" s="861"/>
      <c r="N72" s="861"/>
      <c r="O72" s="861"/>
      <c r="P72" s="861"/>
      <c r="Q72" s="861"/>
      <c r="R72" s="861"/>
      <c r="S72" s="861"/>
      <c r="T72" s="438">
        <f>F72&gt;0</f>
        <v>1</v>
      </c>
      <c r="U72" s="861"/>
      <c r="V72" s="861"/>
      <c r="W72" s="661" t="s">
        <v>1010</v>
      </c>
      <c r="X72" s="1472"/>
      <c r="Y72" s="659"/>
      <c r="Z72" s="1560"/>
      <c r="AA72" s="861"/>
      <c r="AB72" s="657"/>
      <c r="AC72" s="198" t="s">
        <v>999</v>
      </c>
      <c r="AD72" s="198"/>
      <c r="AE72" s="198"/>
      <c r="AF72" s="198"/>
      <c r="AG72" s="198"/>
      <c r="AH72" s="198"/>
      <c r="AI72" s="198"/>
      <c r="AJ72" s="198"/>
      <c r="AK72" s="198"/>
      <c r="AL72" s="198"/>
      <c r="AM72" s="198"/>
      <c r="AN72" s="198"/>
      <c r="AO72" s="198"/>
      <c r="AP72" s="198"/>
      <c r="AQ72" s="198"/>
      <c r="AR72" s="198"/>
      <c r="AS72" s="198"/>
      <c r="AT72" s="198"/>
      <c r="AU72" s="198"/>
      <c r="AV72" s="198"/>
      <c r="AW72" s="198"/>
      <c r="AX72" s="198"/>
      <c r="AY72" s="198"/>
      <c r="AZ72" s="198"/>
      <c r="BA72" s="198"/>
      <c r="BB72" s="198"/>
      <c r="BC72" s="199"/>
      <c r="BD72" s="861"/>
      <c r="BE72" s="861"/>
      <c r="BF72" s="1018"/>
      <c r="BG72" s="1018"/>
      <c r="BH72" s="1018"/>
      <c r="BI72" s="654" t="s">
        <v>1008</v>
      </c>
      <c r="BJ72" s="654"/>
    </row>
    <row s="1624" customFormat="1" customHeight="1" ht="21.75">
      <c r="A73" s="861"/>
      <c r="B73" s="412"/>
      <c r="C73" s="861"/>
      <c r="D73" s="861"/>
      <c r="E73" s="654">
        <v>23</v>
      </c>
      <c r="F73" s="50" cm="1" t="str">
        <f t="array" ref="F73:F73">OFFSET(E73,-1,1)</f>
        <v>1</v>
      </c>
      <c r="G73" s="861"/>
      <c r="H73" s="861"/>
      <c r="I73" s="861"/>
      <c r="J73" s="861"/>
      <c r="K73" s="887" t="str">
        <f>F58&amp;"4komm"</f>
        <v>14komm</v>
      </c>
      <c r="L73" s="891" cm="1" t="str">
        <f t="array" ref="L73:L73">BC73</f>
        <v>0</v>
      </c>
      <c r="M73" s="861"/>
      <c r="N73" s="861"/>
      <c r="O73" s="861"/>
      <c r="P73" s="861"/>
      <c r="Q73" s="861"/>
      <c r="R73" s="861"/>
      <c r="S73" s="861"/>
      <c r="T73" s="438" cm="1" t="str">
        <f t="array" ref="T73:T73">T72</f>
        <v>true</v>
      </c>
      <c r="U73" s="861"/>
      <c r="V73" s="861"/>
      <c r="W73" s="861"/>
      <c r="X73" s="1472"/>
      <c r="Y73" s="660"/>
      <c r="Z73" s="1560"/>
      <c r="AA73" s="861"/>
      <c r="AB73" s="177">
        <v>4</v>
      </c>
      <c r="AC73" s="178" t="s">
        <v>1011</v>
      </c>
      <c r="AD73" s="177" t="s">
        <v>789</v>
      </c>
      <c r="AE73" s="179">
        <f>SUMIF(AD75:AD77,AD73,AE75:AE77)</f>
        <v>0</v>
      </c>
      <c r="AF73" s="179">
        <f>SUMIF(AD75:AD77,AD73,AF75:AF77)</f>
        <v>0</v>
      </c>
      <c r="AG73" s="179">
        <f>SUMIF(AD75:AD77,AD73,AG75:AG77)</f>
        <v>0</v>
      </c>
      <c r="AH73" s="179">
        <f>SUMIF(AD75:AD77,AD73,AH75:AH77)</f>
        <v>0</v>
      </c>
      <c r="AI73" s="179">
        <f>SUMIF(AD75:AD77,AD73,AI75:AI77)</f>
        <v>0</v>
      </c>
      <c r="AJ73" s="1357">
        <f>SUMIF(AD75:AD77,AD73,AJ75:AJ77)</f>
        <v>0</v>
      </c>
      <c r="AK73" s="1357">
        <f>SUMIF(AD75:AD77,AD73,AK75:AK77)</f>
        <v>0</v>
      </c>
      <c r="AL73" s="1357">
        <f>SUMIF(AD75:AD77,AD73,AL75:AL77)</f>
        <v>0</v>
      </c>
      <c r="AM73" s="1357">
        <f>SUMIF(AD75:AD77,AD73,AM75:AM77)</f>
        <v>0</v>
      </c>
      <c r="AN73" s="1357">
        <f>SUMIF(AD75:AD77,AD73,AN75:AN77)</f>
        <v>0</v>
      </c>
      <c r="AO73" s="1357">
        <f>SUMIF(AD75:AD77,AD73,AO75:AO77)</f>
        <v>0</v>
      </c>
      <c r="AP73" s="1357">
        <f>SUMIF(AD75:AD77,AD73,AP75:AP77)</f>
        <v>0</v>
      </c>
      <c r="AQ73" s="1357">
        <f>SUMIF(AD75:AD77,AD73,AQ75:AQ77)</f>
        <v>0</v>
      </c>
      <c r="AR73" s="1357">
        <f>SUMIF(AD75:AD77,AD73,AR75:AR77)</f>
        <v>0</v>
      </c>
      <c r="AS73" s="179">
        <f>SUMIF(AD75:AD77,AD73,AS75:AS77)</f>
        <v>0</v>
      </c>
      <c r="AT73" s="1357">
        <f>SUMIF(AD75:AD77,AD73,AT75:AT77)</f>
        <v>0</v>
      </c>
      <c r="AU73" s="1357">
        <f>SUMIF(AD75:AD77,AD73,AU75:AU77)</f>
        <v>0</v>
      </c>
      <c r="AV73" s="1357">
        <f>SUMIF(AD75:AD77,AD73,AV75:AV77)</f>
        <v>0</v>
      </c>
      <c r="AW73" s="1357">
        <f>SUMIF(AD75:AD77,AD73,AW75:AW77)</f>
        <v>0</v>
      </c>
      <c r="AX73" s="1357">
        <f>SUMIF(AD75:AD77,AD73,AX75:AX77)</f>
        <v>0</v>
      </c>
      <c r="AY73" s="1357">
        <f>SUMIF(AD75:AD77,AD73,AY75:AY77)</f>
        <v>0</v>
      </c>
      <c r="AZ73" s="1357">
        <f>SUMIF(AD75:AD77,AD73,AZ75:AZ77)</f>
        <v>0</v>
      </c>
      <c r="BA73" s="1357">
        <f>SUMIF(AD75:AD77,AD73,BA75:BA77)</f>
        <v>0</v>
      </c>
      <c r="BB73" s="1357">
        <f>SUMIF(AD75:AD77,AD73,BB75:BB77)</f>
        <v>0</v>
      </c>
      <c r="BC73" s="166"/>
      <c r="BD73" s="861"/>
      <c r="BE73" s="861"/>
      <c r="BF73" s="1018" t="s">
        <v>1012</v>
      </c>
      <c r="BG73" s="1018"/>
      <c r="BH73" s="1018"/>
      <c r="BI73" s="654"/>
      <c r="BJ73" s="654"/>
    </row>
    <row s="1624" customFormat="1" customHeight="1" ht="15" hidden="1">
      <c r="A74" s="861"/>
      <c r="B74" s="412"/>
      <c r="C74" s="861"/>
      <c r="D74" s="861"/>
      <c r="E74" s="654">
        <v>0</v>
      </c>
      <c r="F74" s="50" cm="1" t="str">
        <f t="array" ref="F74:F74">OFFSET(E74,-1,1)</f>
        <v>1</v>
      </c>
      <c r="G74" s="118" t="s">
        <v>325</v>
      </c>
      <c r="H74" s="861"/>
      <c r="I74" s="861"/>
      <c r="J74" s="861"/>
      <c r="K74" s="887"/>
      <c r="L74" s="891"/>
      <c r="M74" s="861"/>
      <c r="N74" s="861"/>
      <c r="O74" s="861"/>
      <c r="P74" s="861"/>
      <c r="Q74" s="861"/>
      <c r="R74" s="861"/>
      <c r="S74" s="861"/>
      <c r="T74" s="438" t="b">
        <v>0</v>
      </c>
      <c r="U74" s="861"/>
      <c r="V74" s="861"/>
      <c r="W74" s="118" t="s">
        <v>172</v>
      </c>
      <c r="X74" s="1472"/>
      <c r="Y74" s="1472">
        <v>0</v>
      </c>
      <c r="Z74" s="1560"/>
      <c r="AA74" s="1562" t="s">
        <v>173</v>
      </c>
      <c r="AB74" s="177"/>
      <c r="AC74" s="178"/>
      <c r="AD74" s="177"/>
      <c r="AE74" s="1360">
        <f>OR(AND(AE75&lt;&gt;"",AE76=""),AND(AE75="",AE76&lt;&gt;""))</f>
        <v>0</v>
      </c>
      <c r="AF74" s="1360">
        <f>OR(AND(AF75&lt;&gt;"",AF76=""),AND(AF75="",AF76&lt;&gt;""))</f>
        <v>0</v>
      </c>
      <c r="AG74" s="1360">
        <f>OR(AND(AG75&lt;&gt;"",AG76=""),AND(AG75="",AG76&lt;&gt;""))</f>
        <v>0</v>
      </c>
      <c r="AH74" s="1360">
        <f>OR(AND(AH75&lt;&gt;"",AH76=""),AND(AH75="",AH76&lt;&gt;""))</f>
        <v>0</v>
      </c>
      <c r="AI74" s="1360">
        <f>OR(AND(AI75&lt;&gt;"",AI76=""),AND(AI75="",AI76&lt;&gt;""))</f>
        <v>0</v>
      </c>
      <c r="AJ74" s="1360">
        <f>OR(AND(AJ75&lt;&gt;"",AJ76=""),AND(AJ75="",AJ76&lt;&gt;""))</f>
        <v>0</v>
      </c>
      <c r="AK74" s="1360">
        <f>OR(AND(AK75&lt;&gt;"",AK76=""),AND(AK75="",AK76&lt;&gt;""))</f>
        <v>0</v>
      </c>
      <c r="AL74" s="1360">
        <f>OR(AND(AL75&lt;&gt;"",AL76=""),AND(AL75="",AL76&lt;&gt;""))</f>
        <v>0</v>
      </c>
      <c r="AM74" s="1360">
        <f>OR(AND(AM75&lt;&gt;"",AM76=""),AND(AM75="",AM76&lt;&gt;""))</f>
        <v>0</v>
      </c>
      <c r="AN74" s="1360">
        <f>OR(AND(AN75&lt;&gt;"",AN76=""),AND(AN75="",AN76&lt;&gt;""))</f>
        <v>0</v>
      </c>
      <c r="AO74" s="1360">
        <f>OR(AND(AO75&lt;&gt;"",AO76=""),AND(AO75="",AO76&lt;&gt;""))</f>
        <v>0</v>
      </c>
      <c r="AP74" s="1360">
        <f>OR(AND(AP75&lt;&gt;"",AP76=""),AND(AP75="",AP76&lt;&gt;""))</f>
        <v>0</v>
      </c>
      <c r="AQ74" s="1360">
        <f>OR(AND(AQ75&lt;&gt;"",AQ76=""),AND(AQ75="",AQ76&lt;&gt;""))</f>
        <v>0</v>
      </c>
      <c r="AR74" s="1360">
        <f>OR(AND(AR75&lt;&gt;"",AR76=""),AND(AR75="",AR76&lt;&gt;""))</f>
        <v>0</v>
      </c>
      <c r="AS74" s="1360">
        <f>OR(AND(AS75&lt;&gt;"",AS76=""),AND(AS75="",AS76&lt;&gt;""))</f>
        <v>0</v>
      </c>
      <c r="AT74" s="1360">
        <f>OR(AND(AT75&lt;&gt;"",AT76=""),AND(AT75="",AT76&lt;&gt;""))</f>
        <v>0</v>
      </c>
      <c r="AU74" s="1360">
        <f>OR(AND(AU75&lt;&gt;"",AU76=""),AND(AU75="",AU76&lt;&gt;""))</f>
        <v>0</v>
      </c>
      <c r="AV74" s="1360">
        <f>OR(AND(AV75&lt;&gt;"",AV76=""),AND(AV75="",AV76&lt;&gt;""))</f>
        <v>0</v>
      </c>
      <c r="AW74" s="1360">
        <f>OR(AND(AW75&lt;&gt;"",AW76=""),AND(AW75="",AW76&lt;&gt;""))</f>
        <v>0</v>
      </c>
      <c r="AX74" s="1360">
        <f>OR(AND(AX75&lt;&gt;"",AX76=""),AND(AX75="",AX76&lt;&gt;""))</f>
        <v>0</v>
      </c>
      <c r="AY74" s="1360">
        <f>OR(AND(AY75&lt;&gt;"",AY76=""),AND(AY75="",AY76&lt;&gt;""))</f>
        <v>0</v>
      </c>
      <c r="AZ74" s="1360">
        <f>OR(AND(AZ75&lt;&gt;"",AZ76=""),AND(AZ75="",AZ76&lt;&gt;""))</f>
        <v>0</v>
      </c>
      <c r="BA74" s="1360">
        <f>OR(AND(BA75&lt;&gt;"",BA76=""),AND(BA75="",BA76&lt;&gt;""))</f>
        <v>0</v>
      </c>
      <c r="BB74" s="1360">
        <f>OR(AND(BB75&lt;&gt;"",BB76=""),AND(BB75="",BB76&lt;&gt;""))</f>
        <v>0</v>
      </c>
      <c r="BC74" s="951"/>
      <c r="BD74" s="861"/>
      <c r="BE74" s="861"/>
      <c r="BF74" s="1018"/>
      <c r="BG74" s="1018"/>
      <c r="BH74" s="1018"/>
      <c r="BI74" s="654"/>
      <c r="BJ74" s="654"/>
    </row>
    <row s="1624" customFormat="1" customHeight="1" ht="14.25" hidden="1">
      <c r="A75" s="861"/>
      <c r="B75" s="412"/>
      <c r="C75" s="861"/>
      <c r="D75" s="861"/>
      <c r="E75" s="654">
        <v>15</v>
      </c>
      <c r="F75" s="50" cm="1" t="str">
        <f t="array" ref="F75:F75">OFFSET(E75,-1,1)</f>
        <v>1</v>
      </c>
      <c r="G75" s="118" t="s">
        <v>325</v>
      </c>
      <c r="H75" s="121" cm="1" t="str">
        <f t="array" ref="H75:H75">AC75</f>
        <v>0</v>
      </c>
      <c r="I75" s="118" t="s">
        <v>1013</v>
      </c>
      <c r="J75" s="861"/>
      <c r="K75" s="887"/>
      <c r="L75" s="861"/>
      <c r="M75" s="861"/>
      <c r="N75" s="861"/>
      <c r="O75" s="861"/>
      <c r="P75" s="861"/>
      <c r="Q75" s="861"/>
      <c r="R75" s="861"/>
      <c r="S75" s="861"/>
      <c r="T75" s="438">
        <f>AND(F75&gt;0,Y74&gt;0)</f>
        <v>0</v>
      </c>
      <c r="U75" s="861"/>
      <c r="V75" s="861"/>
      <c r="W75" s="861"/>
      <c r="X75" s="1472"/>
      <c r="Y75" s="1472"/>
      <c r="Z75" s="1560"/>
      <c r="AA75" s="1562"/>
      <c r="AB75" s="54" t="str">
        <f>"4."&amp;Y74</f>
        <v>4.0</v>
      </c>
      <c r="AC75" s="240"/>
      <c r="AD75" s="177" t="s">
        <v>789</v>
      </c>
      <c r="AE75" s="2388"/>
      <c r="AF75" s="2388"/>
      <c r="AG75" s="2388"/>
      <c r="AH75" s="2388"/>
      <c r="AI75" s="181"/>
      <c r="AJ75" s="2388"/>
      <c r="AK75" s="2388"/>
      <c r="AL75" s="2388"/>
      <c r="AM75" s="2388"/>
      <c r="AN75" s="2388"/>
      <c r="AO75" s="2388"/>
      <c r="AP75" s="2388"/>
      <c r="AQ75" s="2388"/>
      <c r="AR75" s="2388"/>
      <c r="AS75" s="181"/>
      <c r="AT75" s="2388"/>
      <c r="AU75" s="2388"/>
      <c r="AV75" s="2388"/>
      <c r="AW75" s="2388"/>
      <c r="AX75" s="2388"/>
      <c r="AY75" s="2388"/>
      <c r="AZ75" s="2388"/>
      <c r="BA75" s="2388"/>
      <c r="BB75" s="2388"/>
      <c r="BC75" s="1880"/>
      <c r="BD75" s="861"/>
      <c r="BE75" s="861"/>
      <c r="BF75" s="1018" t="s">
        <v>994</v>
      </c>
      <c r="BG75" s="1018" t="s">
        <v>1014</v>
      </c>
      <c r="BH75" s="1018" cm="1" t="str">
        <f t="array" ref="BH75:BH75">AC75</f>
        <v>0</v>
      </c>
      <c r="BI75" s="654"/>
      <c r="BJ75" s="654" t="b">
        <v>1</v>
      </c>
    </row>
    <row s="1624" customFormat="1" customHeight="1" ht="14.25" hidden="1">
      <c r="A76" s="861"/>
      <c r="B76" s="412"/>
      <c r="C76" s="861"/>
      <c r="D76" s="861"/>
      <c r="E76" s="654">
        <v>15</v>
      </c>
      <c r="F76" s="50" cm="1" t="str">
        <f t="array" ref="F76:F76">OFFSET(E76,-1,1)</f>
        <v>1</v>
      </c>
      <c r="G76" s="118" t="s">
        <v>508</v>
      </c>
      <c r="H76" s="121" cm="1" t="str">
        <f t="array" ref="H76:H76">H75</f>
        <v>0</v>
      </c>
      <c r="I76" s="118" t="s">
        <v>1013</v>
      </c>
      <c r="J76" s="861"/>
      <c r="K76" s="887"/>
      <c r="L76" s="861"/>
      <c r="M76" s="861"/>
      <c r="N76" s="861"/>
      <c r="O76" s="861"/>
      <c r="P76" s="861"/>
      <c r="Q76" s="861"/>
      <c r="R76" s="861"/>
      <c r="S76" s="861"/>
      <c r="T76" s="438" cm="1" t="str">
        <f t="array" ref="T76:T76">T75</f>
        <v>false</v>
      </c>
      <c r="U76" s="861"/>
      <c r="V76" s="861"/>
      <c r="W76" s="861"/>
      <c r="X76" s="1472"/>
      <c r="Y76" s="1472"/>
      <c r="Z76" s="1560"/>
      <c r="AA76" s="1562"/>
      <c r="AB76" s="54" t="str">
        <f>AB75&amp;".1"</f>
        <v>4.0.1</v>
      </c>
      <c r="AC76" s="187" t="s">
        <v>1015</v>
      </c>
      <c r="AD76" s="54" t="s">
        <v>506</v>
      </c>
      <c r="AE76" s="2388"/>
      <c r="AF76" s="2388"/>
      <c r="AG76" s="2388"/>
      <c r="AH76" s="2388"/>
      <c r="AI76" s="181"/>
      <c r="AJ76" s="2388"/>
      <c r="AK76" s="2388"/>
      <c r="AL76" s="2388"/>
      <c r="AM76" s="2388"/>
      <c r="AN76" s="2388"/>
      <c r="AO76" s="2388"/>
      <c r="AP76" s="2388"/>
      <c r="AQ76" s="2388"/>
      <c r="AR76" s="2388"/>
      <c r="AS76" s="181"/>
      <c r="AT76" s="2388"/>
      <c r="AU76" s="2388"/>
      <c r="AV76" s="2388"/>
      <c r="AW76" s="2388"/>
      <c r="AX76" s="2388"/>
      <c r="AY76" s="2388"/>
      <c r="AZ76" s="2388"/>
      <c r="BA76" s="2388"/>
      <c r="BB76" s="2388"/>
      <c r="BC76" s="1880"/>
      <c r="BD76" s="861"/>
      <c r="BE76" s="861"/>
      <c r="BF76" s="1018" t="s">
        <v>997</v>
      </c>
      <c r="BG76" s="1018" t="s">
        <v>1014</v>
      </c>
      <c r="BH76" s="1018" cm="1" t="str">
        <f t="array" ref="BH76:BH76">BH75</f>
        <v>0</v>
      </c>
      <c r="BI76" s="654"/>
      <c r="BJ76" s="654"/>
    </row>
    <row s="1624" customFormat="1" customHeight="1" ht="14.25">
      <c r="A77" s="861"/>
      <c r="B77" s="412"/>
      <c r="C77" s="861"/>
      <c r="D77" s="861"/>
      <c r="E77" s="654">
        <v>15</v>
      </c>
      <c r="F77" s="50" cm="1" t="str">
        <f t="array" ref="F77:F77">OFFSET(E77,-1,1)</f>
        <v>1</v>
      </c>
      <c r="G77" s="861"/>
      <c r="H77" s="118" t="str">
        <f>"!=='не определено' &amp;&amp; row.l4 !== null"</f>
        <v>!=='не определено' &amp;&amp; row.l4 !== null</v>
      </c>
      <c r="I77" s="861"/>
      <c r="J77" s="861"/>
      <c r="K77" s="887"/>
      <c r="L77" s="861"/>
      <c r="M77" s="861"/>
      <c r="N77" s="861"/>
      <c r="O77" s="861"/>
      <c r="P77" s="861"/>
      <c r="Q77" s="861"/>
      <c r="R77" s="861"/>
      <c r="S77" s="861"/>
      <c r="T77" s="438">
        <f>F77&gt;0</f>
        <v>1</v>
      </c>
      <c r="U77" s="861"/>
      <c r="V77" s="861"/>
      <c r="W77" s="661" t="s">
        <v>1016</v>
      </c>
      <c r="X77" s="1472"/>
      <c r="Y77" s="659"/>
      <c r="Z77" s="1560"/>
      <c r="AA77" s="861"/>
      <c r="AB77" s="657"/>
      <c r="AC77" s="198" t="s">
        <v>999</v>
      </c>
      <c r="AD77" s="198"/>
      <c r="AE77" s="198"/>
      <c r="AF77" s="198"/>
      <c r="AG77" s="198"/>
      <c r="AH77" s="198"/>
      <c r="AI77" s="198"/>
      <c r="AJ77" s="198"/>
      <c r="AK77" s="198"/>
      <c r="AL77" s="198"/>
      <c r="AM77" s="198"/>
      <c r="AN77" s="198"/>
      <c r="AO77" s="198"/>
      <c r="AP77" s="198"/>
      <c r="AQ77" s="198"/>
      <c r="AR77" s="198"/>
      <c r="AS77" s="198"/>
      <c r="AT77" s="198"/>
      <c r="AU77" s="198"/>
      <c r="AV77" s="198"/>
      <c r="AW77" s="198"/>
      <c r="AX77" s="198"/>
      <c r="AY77" s="198"/>
      <c r="AZ77" s="198"/>
      <c r="BA77" s="198"/>
      <c r="BB77" s="198"/>
      <c r="BC77" s="199"/>
      <c r="BD77" s="861"/>
      <c r="BE77" s="861"/>
      <c r="BF77" s="1018"/>
      <c r="BG77" s="1018"/>
      <c r="BH77" s="1018"/>
      <c r="BI77" s="654" t="s">
        <v>1014</v>
      </c>
      <c r="BJ77" s="654"/>
    </row>
    <row s="1624" customFormat="1" customHeight="1" ht="21.75">
      <c r="A78" s="861"/>
      <c r="B78" s="412"/>
      <c r="C78" s="861"/>
      <c r="D78" s="861"/>
      <c r="E78" s="654">
        <v>23</v>
      </c>
      <c r="F78" s="50" cm="1" t="str">
        <f t="array" ref="F78:F78">OFFSET(E78,-1,1)</f>
        <v>1</v>
      </c>
      <c r="G78" s="861"/>
      <c r="H78" s="861"/>
      <c r="I78" s="861"/>
      <c r="J78" s="861"/>
      <c r="K78" s="887" t="str">
        <f>F58&amp;"5komm"</f>
        <v>15komm</v>
      </c>
      <c r="L78" s="891" cm="1" t="str">
        <f t="array" ref="L78:L78">BC78</f>
        <v>0</v>
      </c>
      <c r="M78" s="861"/>
      <c r="N78" s="861"/>
      <c r="O78" s="861"/>
      <c r="P78" s="861"/>
      <c r="Q78" s="861"/>
      <c r="R78" s="861"/>
      <c r="S78" s="861"/>
      <c r="T78" s="438" cm="1" t="str">
        <f t="array" ref="T78:T78">T77</f>
        <v>true</v>
      </c>
      <c r="U78" s="861"/>
      <c r="V78" s="861"/>
      <c r="W78" s="861"/>
      <c r="X78" s="1472"/>
      <c r="Y78" s="660"/>
      <c r="Z78" s="1560"/>
      <c r="AA78" s="861"/>
      <c r="AB78" s="177">
        <v>5</v>
      </c>
      <c r="AC78" s="178" t="s">
        <v>1017</v>
      </c>
      <c r="AD78" s="177" t="s">
        <v>789</v>
      </c>
      <c r="AE78" s="179">
        <f>SUMIF(AD80:AD82,AD78,AE80:AE82)</f>
        <v>0</v>
      </c>
      <c r="AF78" s="179">
        <f>SUMIF(AD80:AD82,AD78,AF80:AF82)</f>
        <v>0</v>
      </c>
      <c r="AG78" s="179">
        <f>SUMIF(AD80:AD82,AD78,AG80:AG82)</f>
        <v>0</v>
      </c>
      <c r="AH78" s="179">
        <f>SUMIF(AD80:AD82,AD78,AH80:AH82)</f>
        <v>0</v>
      </c>
      <c r="AI78" s="179">
        <f>SUMIF(AD80:AD82,AD78,AI80:AI82)</f>
        <v>0</v>
      </c>
      <c r="AJ78" s="1357">
        <f>SUMIF(AD80:AD82,AD78,AJ80:AJ82)</f>
        <v>0</v>
      </c>
      <c r="AK78" s="1357">
        <f>SUMIF(AD80:AD82,AD78,AK80:AK82)</f>
        <v>0</v>
      </c>
      <c r="AL78" s="1357">
        <f>SUMIF(AD80:AD82,AD78,AL80:AL82)</f>
        <v>0</v>
      </c>
      <c r="AM78" s="1357">
        <f>SUMIF(AD80:AD82,AD78,AM80:AM82)</f>
        <v>0</v>
      </c>
      <c r="AN78" s="1357">
        <f>SUMIF(AD80:AD82,AD78,AN80:AN82)</f>
        <v>0</v>
      </c>
      <c r="AO78" s="1357">
        <f>SUMIF(AD80:AD82,AD78,AO80:AO82)</f>
        <v>0</v>
      </c>
      <c r="AP78" s="1357">
        <f>SUMIF(AD80:AD82,AD78,AP80:AP82)</f>
        <v>0</v>
      </c>
      <c r="AQ78" s="1357">
        <f>SUMIF(AD80:AD82,AD78,AQ80:AQ82)</f>
        <v>0</v>
      </c>
      <c r="AR78" s="1357">
        <f>SUMIF(AD80:AD82,AD78,AR80:AR82)</f>
        <v>0</v>
      </c>
      <c r="AS78" s="179">
        <f>SUMIF(AD80:AD82,AD78,AS80:AS82)</f>
        <v>0</v>
      </c>
      <c r="AT78" s="1357">
        <f>SUMIF(AD80:AD82,AD78,AT80:AT82)</f>
        <v>0</v>
      </c>
      <c r="AU78" s="1357">
        <f>SUMIF(AD80:AD82,AD78,AU80:AU82)</f>
        <v>0</v>
      </c>
      <c r="AV78" s="1357">
        <f>SUMIF(AD80:AD82,AD78,AV80:AV82)</f>
        <v>0</v>
      </c>
      <c r="AW78" s="1357">
        <f>SUMIF(AD80:AD82,AD78,AW80:AW82)</f>
        <v>0</v>
      </c>
      <c r="AX78" s="1357">
        <f>SUMIF(AD80:AD82,AD78,AX80:AX82)</f>
        <v>0</v>
      </c>
      <c r="AY78" s="1357">
        <f>SUMIF(AD80:AD82,AD78,AY80:AY82)</f>
        <v>0</v>
      </c>
      <c r="AZ78" s="1357">
        <f>SUMIF(AD80:AD82,AD78,AZ80:AZ82)</f>
        <v>0</v>
      </c>
      <c r="BA78" s="1357">
        <f>SUMIF(AD80:AD82,AD78,BA80:BA82)</f>
        <v>0</v>
      </c>
      <c r="BB78" s="1357">
        <f>SUMIF(AD80:AD82,AD78,BB80:BB82)</f>
        <v>0</v>
      </c>
      <c r="BC78" s="166"/>
      <c r="BD78" s="861"/>
      <c r="BE78" s="861"/>
      <c r="BF78" s="1018" t="s">
        <v>1018</v>
      </c>
      <c r="BG78" s="1018"/>
      <c r="BH78" s="1018"/>
      <c r="BI78" s="654"/>
      <c r="BJ78" s="654"/>
    </row>
    <row s="1624" customFormat="1" customHeight="1" ht="15" hidden="1">
      <c r="A79" s="861"/>
      <c r="B79" s="412"/>
      <c r="C79" s="861"/>
      <c r="D79" s="861"/>
      <c r="E79" s="654">
        <v>0</v>
      </c>
      <c r="F79" s="50" cm="1" t="str">
        <f t="array" ref="F79:F79">OFFSET(E79,-1,1)</f>
        <v>1</v>
      </c>
      <c r="G79" s="118" t="s">
        <v>324</v>
      </c>
      <c r="H79" s="861"/>
      <c r="I79" s="861"/>
      <c r="J79" s="861"/>
      <c r="K79" s="887"/>
      <c r="L79" s="891"/>
      <c r="M79" s="861"/>
      <c r="N79" s="861"/>
      <c r="O79" s="861"/>
      <c r="P79" s="861"/>
      <c r="Q79" s="861"/>
      <c r="R79" s="861"/>
      <c r="S79" s="861"/>
      <c r="T79" s="438" t="b">
        <v>0</v>
      </c>
      <c r="U79" s="861"/>
      <c r="V79" s="861"/>
      <c r="W79" s="118" t="s">
        <v>172</v>
      </c>
      <c r="X79" s="1472"/>
      <c r="Y79" s="1472">
        <v>0</v>
      </c>
      <c r="Z79" s="1560"/>
      <c r="AA79" s="1562" t="s">
        <v>173</v>
      </c>
      <c r="AB79" s="177"/>
      <c r="AC79" s="178"/>
      <c r="AD79" s="177"/>
      <c r="AE79" s="1360">
        <f>OR(AND(AE80&lt;&gt;"",AE81=""),AND(AE80="",AE81&lt;&gt;""))</f>
        <v>0</v>
      </c>
      <c r="AF79" s="1360">
        <f>OR(AND(AF80&lt;&gt;"",AF81=""),AND(AF80="",AF81&lt;&gt;""))</f>
        <v>0</v>
      </c>
      <c r="AG79" s="1360">
        <f>OR(AND(AG80&lt;&gt;"",AG81=""),AND(AG80="",AG81&lt;&gt;""))</f>
        <v>0</v>
      </c>
      <c r="AH79" s="1360">
        <f>OR(AND(AH80&lt;&gt;"",AH81=""),AND(AH80="",AH81&lt;&gt;""))</f>
        <v>0</v>
      </c>
      <c r="AI79" s="1360">
        <f>OR(AND(AI80&lt;&gt;"",AI81=""),AND(AI80="",AI81&lt;&gt;""))</f>
        <v>0</v>
      </c>
      <c r="AJ79" s="1360">
        <f>OR(AND(AJ80&lt;&gt;"",AJ81=""),AND(AJ80="",AJ81&lt;&gt;""))</f>
        <v>0</v>
      </c>
      <c r="AK79" s="1360">
        <f>OR(AND(AK80&lt;&gt;"",AK81=""),AND(AK80="",AK81&lt;&gt;""))</f>
        <v>0</v>
      </c>
      <c r="AL79" s="1360">
        <f>OR(AND(AL80&lt;&gt;"",AL81=""),AND(AL80="",AL81&lt;&gt;""))</f>
        <v>0</v>
      </c>
      <c r="AM79" s="1360">
        <f>OR(AND(AM80&lt;&gt;"",AM81=""),AND(AM80="",AM81&lt;&gt;""))</f>
        <v>0</v>
      </c>
      <c r="AN79" s="1360">
        <f>OR(AND(AN80&lt;&gt;"",AN81=""),AND(AN80="",AN81&lt;&gt;""))</f>
        <v>0</v>
      </c>
      <c r="AO79" s="1360">
        <f>OR(AND(AO80&lt;&gt;"",AO81=""),AND(AO80="",AO81&lt;&gt;""))</f>
        <v>0</v>
      </c>
      <c r="AP79" s="1360">
        <f>OR(AND(AP80&lt;&gt;"",AP81=""),AND(AP80="",AP81&lt;&gt;""))</f>
        <v>0</v>
      </c>
      <c r="AQ79" s="1360">
        <f>OR(AND(AQ80&lt;&gt;"",AQ81=""),AND(AQ80="",AQ81&lt;&gt;""))</f>
        <v>0</v>
      </c>
      <c r="AR79" s="1360">
        <f>OR(AND(AR80&lt;&gt;"",AR81=""),AND(AR80="",AR81&lt;&gt;""))</f>
        <v>0</v>
      </c>
      <c r="AS79" s="1360">
        <f>OR(AND(AS80&lt;&gt;"",AS81=""),AND(AS80="",AS81&lt;&gt;""))</f>
        <v>0</v>
      </c>
      <c r="AT79" s="1360">
        <f>OR(AND(AT80&lt;&gt;"",AT81=""),AND(AT80="",AT81&lt;&gt;""))</f>
        <v>0</v>
      </c>
      <c r="AU79" s="1360">
        <f>OR(AND(AU80&lt;&gt;"",AU81=""),AND(AU80="",AU81&lt;&gt;""))</f>
        <v>0</v>
      </c>
      <c r="AV79" s="1360">
        <f>OR(AND(AV80&lt;&gt;"",AV81=""),AND(AV80="",AV81&lt;&gt;""))</f>
        <v>0</v>
      </c>
      <c r="AW79" s="1360">
        <f>OR(AND(AW80&lt;&gt;"",AW81=""),AND(AW80="",AW81&lt;&gt;""))</f>
        <v>0</v>
      </c>
      <c r="AX79" s="1360">
        <f>OR(AND(AX80&lt;&gt;"",AX81=""),AND(AX80="",AX81&lt;&gt;""))</f>
        <v>0</v>
      </c>
      <c r="AY79" s="1360">
        <f>OR(AND(AY80&lt;&gt;"",AY81=""),AND(AY80="",AY81&lt;&gt;""))</f>
        <v>0</v>
      </c>
      <c r="AZ79" s="1360">
        <f>OR(AND(AZ80&lt;&gt;"",AZ81=""),AND(AZ80="",AZ81&lt;&gt;""))</f>
        <v>0</v>
      </c>
      <c r="BA79" s="1360">
        <f>OR(AND(BA80&lt;&gt;"",BA81=""),AND(BA80="",BA81&lt;&gt;""))</f>
        <v>0</v>
      </c>
      <c r="BB79" s="1360">
        <f>OR(AND(BB80&lt;&gt;"",BB81=""),AND(BB80="",BB81&lt;&gt;""))</f>
        <v>0</v>
      </c>
      <c r="BC79" s="951"/>
      <c r="BD79" s="861"/>
      <c r="BE79" s="861"/>
      <c r="BF79" s="1018"/>
      <c r="BG79" s="1018"/>
      <c r="BH79" s="1018"/>
      <c r="BI79" s="654"/>
      <c r="BJ79" s="654"/>
    </row>
    <row s="1624" customFormat="1" customHeight="1" ht="14.25" hidden="1">
      <c r="A80" s="861"/>
      <c r="B80" s="412"/>
      <c r="C80" s="861"/>
      <c r="D80" s="861"/>
      <c r="E80" s="654">
        <v>15</v>
      </c>
      <c r="F80" s="50" cm="1" t="str">
        <f t="array" ref="F80:F80">OFFSET(E80,-1,1)</f>
        <v>1</v>
      </c>
      <c r="G80" s="118" t="s">
        <v>324</v>
      </c>
      <c r="H80" s="121" cm="1" t="str">
        <f t="array" ref="H80:H80">AC80</f>
        <v>0</v>
      </c>
      <c r="I80" s="118" t="s">
        <v>1019</v>
      </c>
      <c r="J80" s="861"/>
      <c r="K80" s="887"/>
      <c r="L80" s="861"/>
      <c r="M80" s="861"/>
      <c r="N80" s="861"/>
      <c r="O80" s="861"/>
      <c r="P80" s="861"/>
      <c r="Q80" s="861"/>
      <c r="R80" s="861"/>
      <c r="S80" s="861"/>
      <c r="T80" s="438">
        <f>AND(F80&gt;0,Y79&gt;0)</f>
        <v>0</v>
      </c>
      <c r="U80" s="861"/>
      <c r="V80" s="861"/>
      <c r="W80" s="861"/>
      <c r="X80" s="1472"/>
      <c r="Y80" s="1472"/>
      <c r="Z80" s="1560"/>
      <c r="AA80" s="1562"/>
      <c r="AB80" s="54" t="str">
        <f>"5."&amp;Y79</f>
        <v>5.0</v>
      </c>
      <c r="AC80" s="240"/>
      <c r="AD80" s="177" t="s">
        <v>789</v>
      </c>
      <c r="AE80" s="2388"/>
      <c r="AF80" s="2388"/>
      <c r="AG80" s="2388"/>
      <c r="AH80" s="2388"/>
      <c r="AI80" s="181"/>
      <c r="AJ80" s="2388"/>
      <c r="AK80" s="2388"/>
      <c r="AL80" s="2388"/>
      <c r="AM80" s="2388"/>
      <c r="AN80" s="2388"/>
      <c r="AO80" s="2388"/>
      <c r="AP80" s="2388"/>
      <c r="AQ80" s="2388"/>
      <c r="AR80" s="2388"/>
      <c r="AS80" s="181"/>
      <c r="AT80" s="2388"/>
      <c r="AU80" s="2388"/>
      <c r="AV80" s="2388"/>
      <c r="AW80" s="2388"/>
      <c r="AX80" s="2388"/>
      <c r="AY80" s="2388"/>
      <c r="AZ80" s="2388"/>
      <c r="BA80" s="2388"/>
      <c r="BB80" s="2388"/>
      <c r="BC80" s="1880"/>
      <c r="BD80" s="861"/>
      <c r="BE80" s="861"/>
      <c r="BF80" s="1018" t="s">
        <v>994</v>
      </c>
      <c r="BG80" s="1018" t="s">
        <v>1020</v>
      </c>
      <c r="BH80" s="1018" cm="1" t="str">
        <f t="array" ref="BH80:BH80">AC80</f>
        <v>0</v>
      </c>
      <c r="BI80" s="654"/>
      <c r="BJ80" s="654" t="b">
        <v>1</v>
      </c>
    </row>
    <row s="1624" customFormat="1" customHeight="1" ht="14.25" hidden="1">
      <c r="A81" s="861"/>
      <c r="B81" s="412"/>
      <c r="C81" s="861"/>
      <c r="D81" s="861"/>
      <c r="E81" s="654">
        <v>15</v>
      </c>
      <c r="F81" s="50" cm="1" t="str">
        <f t="array" ref="F81:F81">OFFSET(E81,-1,1)</f>
        <v>1</v>
      </c>
      <c r="G81" s="118" t="s">
        <v>522</v>
      </c>
      <c r="H81" s="121" cm="1" t="str">
        <f t="array" ref="H81:H81">H80</f>
        <v>0</v>
      </c>
      <c r="I81" s="118" t="s">
        <v>1019</v>
      </c>
      <c r="J81" s="861"/>
      <c r="K81" s="887"/>
      <c r="L81" s="861"/>
      <c r="M81" s="861"/>
      <c r="N81" s="861"/>
      <c r="O81" s="861"/>
      <c r="P81" s="861"/>
      <c r="Q81" s="861"/>
      <c r="R81" s="861"/>
      <c r="S81" s="861"/>
      <c r="T81" s="438" cm="1" t="str">
        <f t="array" ref="T81:T81">T80</f>
        <v>false</v>
      </c>
      <c r="U81" s="861"/>
      <c r="V81" s="861"/>
      <c r="W81" s="861"/>
      <c r="X81" s="1472"/>
      <c r="Y81" s="1472"/>
      <c r="Z81" s="1560"/>
      <c r="AA81" s="1562"/>
      <c r="AB81" s="54" t="str">
        <f>AB80&amp;".1"</f>
        <v>5.0.1</v>
      </c>
      <c r="AC81" s="187" t="s">
        <v>1021</v>
      </c>
      <c r="AD81" s="54" t="s">
        <v>506</v>
      </c>
      <c r="AE81" s="2388"/>
      <c r="AF81" s="2388"/>
      <c r="AG81" s="2388"/>
      <c r="AH81" s="2388"/>
      <c r="AI81" s="181"/>
      <c r="AJ81" s="2388"/>
      <c r="AK81" s="2388"/>
      <c r="AL81" s="2388"/>
      <c r="AM81" s="2388"/>
      <c r="AN81" s="2388"/>
      <c r="AO81" s="2388"/>
      <c r="AP81" s="2388"/>
      <c r="AQ81" s="2388"/>
      <c r="AR81" s="2388"/>
      <c r="AS81" s="181"/>
      <c r="AT81" s="2388"/>
      <c r="AU81" s="2388"/>
      <c r="AV81" s="2388"/>
      <c r="AW81" s="2388"/>
      <c r="AX81" s="2388"/>
      <c r="AY81" s="2388"/>
      <c r="AZ81" s="2388"/>
      <c r="BA81" s="2388"/>
      <c r="BB81" s="2388"/>
      <c r="BC81" s="1880"/>
      <c r="BD81" s="861"/>
      <c r="BE81" s="861"/>
      <c r="BF81" s="1018" t="s">
        <v>997</v>
      </c>
      <c r="BG81" s="1018" t="s">
        <v>1020</v>
      </c>
      <c r="BH81" s="1018" cm="1" t="str">
        <f t="array" ref="BH81:BH81">BH80</f>
        <v>0</v>
      </c>
      <c r="BI81" s="654"/>
      <c r="BJ81" s="654"/>
    </row>
    <row s="1624" customFormat="1" customHeight="1" ht="14.25">
      <c r="A82" s="861"/>
      <c r="B82" s="412"/>
      <c r="C82" s="861"/>
      <c r="D82" s="861"/>
      <c r="E82" s="654">
        <v>15</v>
      </c>
      <c r="F82" s="50" cm="1" t="str">
        <f t="array" ref="F82:F82">OFFSET(E82,-1,1)</f>
        <v>1</v>
      </c>
      <c r="G82" s="861"/>
      <c r="H82" s="118" t="str">
        <f>"!=='не определено' &amp;&amp; row.l5 !== null"</f>
        <v>!=='не определено' &amp;&amp; row.l5 !== null</v>
      </c>
      <c r="I82" s="861"/>
      <c r="J82" s="861"/>
      <c r="K82" s="887"/>
      <c r="L82" s="861"/>
      <c r="M82" s="861"/>
      <c r="N82" s="861"/>
      <c r="O82" s="861"/>
      <c r="P82" s="861"/>
      <c r="Q82" s="861"/>
      <c r="R82" s="861"/>
      <c r="S82" s="861"/>
      <c r="T82" s="438">
        <f>F82&gt;0</f>
        <v>1</v>
      </c>
      <c r="U82" s="861"/>
      <c r="V82" s="861"/>
      <c r="W82" s="661" t="s">
        <v>1022</v>
      </c>
      <c r="X82" s="1472"/>
      <c r="Y82" s="135"/>
      <c r="Z82" s="1560"/>
      <c r="AA82" s="861"/>
      <c r="AB82" s="657"/>
      <c r="AC82" s="198" t="s">
        <v>999</v>
      </c>
      <c r="AD82" s="198"/>
      <c r="AE82" s="198"/>
      <c r="AF82" s="198"/>
      <c r="AG82" s="198"/>
      <c r="AH82" s="198"/>
      <c r="AI82" s="198"/>
      <c r="AJ82" s="198"/>
      <c r="AK82" s="198"/>
      <c r="AL82" s="198"/>
      <c r="AM82" s="198"/>
      <c r="AN82" s="198"/>
      <c r="AO82" s="198"/>
      <c r="AP82" s="198"/>
      <c r="AQ82" s="198"/>
      <c r="AR82" s="198"/>
      <c r="AS82" s="198"/>
      <c r="AT82" s="198"/>
      <c r="AU82" s="198"/>
      <c r="AV82" s="198"/>
      <c r="AW82" s="198"/>
      <c r="AX82" s="198"/>
      <c r="AY82" s="198"/>
      <c r="AZ82" s="198"/>
      <c r="BA82" s="198"/>
      <c r="BB82" s="198"/>
      <c r="BC82" s="199"/>
      <c r="BD82" s="861"/>
      <c r="BE82" s="861"/>
      <c r="BF82" s="1018"/>
      <c r="BG82" s="1018"/>
      <c r="BH82" s="1018"/>
      <c r="BI82" s="654" t="s">
        <v>1020</v>
      </c>
      <c r="BJ82" s="654"/>
    </row>
    <row s="119" customFormat="1" customHeight="1" ht="14.25">
      <c r="A83" s="119"/>
      <c r="B83" s="413"/>
      <c r="C83" s="119"/>
      <c r="D83" s="119"/>
      <c r="E83" s="655">
        <v>15</v>
      </c>
      <c r="F83" s="50" cm="1" t="str">
        <f t="array" ref="F83:F83">OFFSET(E83,-1,1)</f>
        <v>1</v>
      </c>
      <c r="G83" s="118" t="s">
        <v>484</v>
      </c>
      <c r="H83" s="119"/>
      <c r="I83" s="119"/>
      <c r="J83" s="119"/>
      <c r="K83" s="887" t="str">
        <f>F58&amp;"6komm"</f>
        <v>16komm</v>
      </c>
      <c r="L83" s="891" cm="1" t="str">
        <f t="array" ref="L83:L83">BC83</f>
        <v>0</v>
      </c>
      <c r="M83" s="119"/>
      <c r="N83" s="119"/>
      <c r="O83" s="119"/>
      <c r="P83" s="119"/>
      <c r="Q83" s="119"/>
      <c r="R83" s="119"/>
      <c r="S83" s="119"/>
      <c r="T83" s="438" cm="1" t="str">
        <f t="array" ref="T83:T83">T82</f>
        <v>true</v>
      </c>
      <c r="U83" s="119"/>
      <c r="V83" s="119"/>
      <c r="W83" s="119"/>
      <c r="X83" s="1472"/>
      <c r="Y83" s="119"/>
      <c r="Z83" s="1560"/>
      <c r="AA83" s="119"/>
      <c r="AB83" s="177">
        <v>6</v>
      </c>
      <c r="AC83" s="178" t="s">
        <v>1023</v>
      </c>
      <c r="AD83" s="177" t="s">
        <v>789</v>
      </c>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166"/>
      <c r="BD83" s="119"/>
      <c r="BE83" s="119"/>
      <c r="BF83" s="1021" t="s">
        <v>1024</v>
      </c>
      <c r="BG83" s="1021"/>
      <c r="BH83" s="1021"/>
      <c r="BI83" s="655"/>
      <c r="BJ83" s="655"/>
    </row>
    <row s="119" customFormat="1" customHeight="1" ht="14.25">
      <c r="A84" s="119"/>
      <c r="B84" s="413"/>
      <c r="C84" s="119"/>
      <c r="D84" s="119"/>
      <c r="E84" s="655">
        <v>15</v>
      </c>
      <c r="F84" s="50" cm="1" t="str">
        <f t="array" ref="F84:F84">OFFSET(E84,-1,1)</f>
        <v>1</v>
      </c>
      <c r="G84" s="118" t="s">
        <v>488</v>
      </c>
      <c r="H84" s="119"/>
      <c r="I84" s="119"/>
      <c r="J84" s="119"/>
      <c r="K84" s="887" t="str">
        <f>F58&amp;"7komm"</f>
        <v>17komm</v>
      </c>
      <c r="L84" s="891" cm="1" t="str">
        <f t="array" ref="L84:L84">BC84</f>
        <v>0</v>
      </c>
      <c r="M84" s="119"/>
      <c r="N84" s="119"/>
      <c r="O84" s="119"/>
      <c r="P84" s="119"/>
      <c r="Q84" s="119"/>
      <c r="R84" s="119"/>
      <c r="S84" s="119"/>
      <c r="T84" s="438" cm="1" t="str">
        <f t="array" ref="T84:T84">T83</f>
        <v>true</v>
      </c>
      <c r="U84" s="119"/>
      <c r="V84" s="119"/>
      <c r="W84" s="119"/>
      <c r="X84" s="1472"/>
      <c r="Y84" s="119"/>
      <c r="Z84" s="1560"/>
      <c r="AA84" s="119"/>
      <c r="AB84" s="177">
        <v>7</v>
      </c>
      <c r="AC84" s="178" t="s">
        <v>1025</v>
      </c>
      <c r="AD84" s="177" t="s">
        <v>789</v>
      </c>
      <c r="AE84" s="191"/>
      <c r="AF84" s="191"/>
      <c r="AG84" s="191"/>
      <c r="AH84" s="191"/>
      <c r="AI84" s="191"/>
      <c r="AJ84" s="191"/>
      <c r="AK84" s="191"/>
      <c r="AL84" s="191"/>
      <c r="AM84" s="191"/>
      <c r="AN84" s="191"/>
      <c r="AO84" s="191"/>
      <c r="AP84" s="191"/>
      <c r="AQ84" s="191"/>
      <c r="AR84" s="191"/>
      <c r="AS84" s="191"/>
      <c r="AT84" s="191"/>
      <c r="AU84" s="191"/>
      <c r="AV84" s="191"/>
      <c r="AW84" s="191"/>
      <c r="AX84" s="191"/>
      <c r="AY84" s="191"/>
      <c r="AZ84" s="191"/>
      <c r="BA84" s="191"/>
      <c r="BB84" s="191"/>
      <c r="BC84" s="166"/>
      <c r="BD84" s="119"/>
      <c r="BE84" s="119"/>
      <c r="BF84" s="1021" t="s">
        <v>1026</v>
      </c>
      <c r="BG84" s="1021"/>
      <c r="BH84" s="1021"/>
      <c r="BI84" s="655"/>
      <c r="BJ84" s="655"/>
    </row>
    <row s="119" customFormat="1" customHeight="1" ht="14.25">
      <c r="A85" s="119"/>
      <c r="B85" s="413"/>
      <c r="C85" s="119"/>
      <c r="D85" s="119"/>
      <c r="E85" s="655">
        <v>15</v>
      </c>
      <c r="F85" s="50" cm="1" t="str">
        <f t="array" ref="F85:F85">OFFSET(E85,-1,1)</f>
        <v>1</v>
      </c>
      <c r="G85" s="118" t="s">
        <v>535</v>
      </c>
      <c r="H85" s="119"/>
      <c r="I85" s="119"/>
      <c r="J85" s="119"/>
      <c r="K85" s="887" t="str">
        <f>F58&amp;"8komm"</f>
        <v>18komm</v>
      </c>
      <c r="L85" s="891" cm="1" t="str">
        <f t="array" ref="L85:L85">BC85</f>
        <v>0</v>
      </c>
      <c r="M85" s="119"/>
      <c r="N85" s="119"/>
      <c r="O85" s="119"/>
      <c r="P85" s="119"/>
      <c r="Q85" s="119"/>
      <c r="R85" s="119"/>
      <c r="S85" s="119"/>
      <c r="T85" s="438" cm="1" t="str">
        <f t="array" ref="T85:T85">T84</f>
        <v>true</v>
      </c>
      <c r="U85" s="119"/>
      <c r="V85" s="119"/>
      <c r="W85" s="119"/>
      <c r="X85" s="1472"/>
      <c r="Y85" s="119"/>
      <c r="Z85" s="1560"/>
      <c r="AA85" s="119"/>
      <c r="AB85" s="177">
        <v>8</v>
      </c>
      <c r="AC85" s="178" t="s">
        <v>1027</v>
      </c>
      <c r="AD85" s="177" t="s">
        <v>789</v>
      </c>
      <c r="AE85" s="191"/>
      <c r="AF85" s="191"/>
      <c r="AG85" s="191"/>
      <c r="AH85" s="191"/>
      <c r="AI85" s="191"/>
      <c r="AJ85" s="191"/>
      <c r="AK85" s="191"/>
      <c r="AL85" s="191"/>
      <c r="AM85" s="191"/>
      <c r="AN85" s="191"/>
      <c r="AO85" s="191"/>
      <c r="AP85" s="191"/>
      <c r="AQ85" s="191"/>
      <c r="AR85" s="191"/>
      <c r="AS85" s="191"/>
      <c r="AT85" s="191"/>
      <c r="AU85" s="191"/>
      <c r="AV85" s="191"/>
      <c r="AW85" s="191"/>
      <c r="AX85" s="191"/>
      <c r="AY85" s="191"/>
      <c r="AZ85" s="191"/>
      <c r="BA85" s="191"/>
      <c r="BB85" s="191"/>
      <c r="BC85" s="166"/>
      <c r="BD85" s="119"/>
      <c r="BE85" s="119"/>
      <c r="BF85" s="1021" t="s">
        <v>1028</v>
      </c>
      <c r="BG85" s="1021"/>
      <c r="BH85" s="1021"/>
      <c r="BI85" s="655"/>
      <c r="BJ85" s="655"/>
    </row>
    <row s="119" customFormat="1" customHeight="1" ht="14.25">
      <c r="A86" s="119"/>
      <c r="B86" s="413"/>
      <c r="C86" s="119"/>
      <c r="D86" s="119"/>
      <c r="E86" s="655">
        <v>15</v>
      </c>
      <c r="F86" s="50" cm="1" t="str">
        <f t="array" ref="F86:F86">OFFSET(E86,-1,1)</f>
        <v>1</v>
      </c>
      <c r="G86" s="118"/>
      <c r="H86" s="119"/>
      <c r="I86" s="119"/>
      <c r="J86" s="119"/>
      <c r="K86" s="887" t="str">
        <f>F58&amp;"9komm"</f>
        <v>19komm</v>
      </c>
      <c r="L86" s="891" cm="1" t="str">
        <f t="array" ref="L86:L86">BC86</f>
        <v>0</v>
      </c>
      <c r="M86" s="119"/>
      <c r="N86" s="119"/>
      <c r="O86" s="119"/>
      <c r="P86" s="119"/>
      <c r="Q86" s="119"/>
      <c r="R86" s="119"/>
      <c r="S86" s="119"/>
      <c r="T86" s="438" cm="1" t="str">
        <f t="array" ref="T86:T86">T85</f>
        <v>true</v>
      </c>
      <c r="U86" s="119"/>
      <c r="V86" s="119"/>
      <c r="W86" s="119"/>
      <c r="X86" s="1472"/>
      <c r="Y86" s="119"/>
      <c r="Z86" s="1560"/>
      <c r="AA86" s="119"/>
      <c r="AB86" s="177">
        <v>9</v>
      </c>
      <c r="AC86" s="178" t="s">
        <v>1029</v>
      </c>
      <c r="AD86" s="177" t="s">
        <v>789</v>
      </c>
      <c r="AE86" s="191"/>
      <c r="AF86" s="191"/>
      <c r="AG86" s="191"/>
      <c r="AH86" s="191"/>
      <c r="AI86" s="191"/>
      <c r="AJ86" s="191"/>
      <c r="AK86" s="191"/>
      <c r="AL86" s="191"/>
      <c r="AM86" s="191"/>
      <c r="AN86" s="191"/>
      <c r="AO86" s="191"/>
      <c r="AP86" s="191"/>
      <c r="AQ86" s="191"/>
      <c r="AR86" s="191"/>
      <c r="AS86" s="191"/>
      <c r="AT86" s="191"/>
      <c r="AU86" s="191"/>
      <c r="AV86" s="191"/>
      <c r="AW86" s="191"/>
      <c r="AX86" s="191"/>
      <c r="AY86" s="191"/>
      <c r="AZ86" s="191"/>
      <c r="BA86" s="191"/>
      <c r="BB86" s="191"/>
      <c r="BC86" s="166"/>
      <c r="BD86" s="119"/>
      <c r="BE86" s="119"/>
      <c r="BF86" s="1021" t="s">
        <v>1030</v>
      </c>
      <c r="BG86" s="1021"/>
      <c r="BH86" s="1021"/>
      <c r="BI86" s="655"/>
      <c r="BJ86" s="655"/>
    </row>
    <row customHeight="1" ht="10.2375">
      <c r="E87" s="654">
        <v>10.5</v>
      </c>
      <c r="U87" s="115" t="s">
        <v>176</v>
      </c>
      <c r="V87" s="106" t="s">
        <v>1031</v>
      </c>
      <c r="AI87" s="861"/>
      <c r="AJ87" s="861"/>
      <c r="AK87" s="861"/>
      <c r="AL87" s="861"/>
      <c r="AM87" s="861"/>
      <c r="AN87" s="861"/>
      <c r="AO87" s="861"/>
      <c r="AP87" s="861"/>
      <c r="AQ87" s="861"/>
      <c r="AR87" s="861"/>
      <c r="AS87" s="861"/>
      <c r="AT87" s="861"/>
      <c r="AU87" s="861"/>
      <c r="AV87" s="861"/>
      <c r="AW87" s="861"/>
      <c r="AX87" s="861"/>
      <c r="AY87" s="861"/>
      <c r="AZ87" s="861"/>
      <c r="BA87" s="861"/>
      <c r="BB87" s="861"/>
    </row>
    <row customHeight="1" ht="14.625">
      <c r="E88" s="654">
        <v>15</v>
      </c>
      <c r="AA88" s="64"/>
      <c r="AB88" s="1522" t="s">
        <v>392</v>
      </c>
      <c r="AC88" s="1522"/>
      <c r="AD88" s="1522"/>
      <c r="AE88" s="1522"/>
      <c r="AF88" s="1522"/>
      <c r="AG88" s="1522"/>
      <c r="AH88" s="1522"/>
      <c r="AI88" s="1543"/>
      <c r="AJ88" s="1543"/>
      <c r="AK88" s="1543"/>
      <c r="AL88" s="1543"/>
      <c r="AM88" s="1543"/>
      <c r="AN88" s="1543"/>
      <c r="AO88" s="1543"/>
      <c r="AP88" s="1543"/>
      <c r="AQ88" s="1543"/>
      <c r="AR88" s="1543"/>
      <c r="AS88" s="1543"/>
      <c r="AT88" s="1543"/>
      <c r="AU88" s="1543"/>
      <c r="AV88" s="1543"/>
      <c r="AW88" s="1543"/>
      <c r="AX88" s="1543"/>
      <c r="AY88" s="1543"/>
      <c r="AZ88" s="1543"/>
      <c r="BA88" s="1543"/>
      <c r="BB88" s="1543"/>
      <c r="BC88" s="1543"/>
      <c r="BD88" s="64"/>
    </row>
    <row customHeight="1" ht="14.625">
      <c r="E89" s="654">
        <v>15</v>
      </c>
      <c r="AA89" s="637"/>
      <c r="AB89" s="1544"/>
      <c r="AC89" s="1544"/>
      <c r="AD89" s="1544"/>
      <c r="AE89" s="1544"/>
      <c r="AF89" s="1544"/>
      <c r="AG89" s="1544"/>
      <c r="AH89" s="1544"/>
      <c r="AI89" s="1545"/>
      <c r="AJ89" s="2394"/>
      <c r="AK89" s="2394"/>
      <c r="AL89" s="2394"/>
      <c r="AM89" s="2394"/>
      <c r="AN89" s="2394"/>
      <c r="AO89" s="2394"/>
      <c r="AP89" s="2394"/>
      <c r="AQ89" s="2394"/>
      <c r="AR89" s="2394"/>
      <c r="AS89" s="1545"/>
      <c r="AT89" s="2394"/>
      <c r="AU89" s="2394"/>
      <c r="AV89" s="2394"/>
      <c r="AW89" s="2394"/>
      <c r="AX89" s="2394"/>
      <c r="AY89" s="2394"/>
      <c r="AZ89" s="2394"/>
      <c r="BA89" s="2394"/>
      <c r="BB89" s="2394"/>
      <c r="BC89" s="1545"/>
      <c r="BD89" s="64"/>
    </row>
    <row customHeight="1" ht="14.625" hidden="1">
      <c r="A90" s="861"/>
      <c r="B90" s="412"/>
      <c r="C90" s="861"/>
      <c r="D90" s="861"/>
      <c r="E90" s="654">
        <v>15</v>
      </c>
      <c r="F90" s="861"/>
      <c r="G90" s="861"/>
      <c r="H90" s="861"/>
      <c r="I90" s="861"/>
      <c r="J90" s="861"/>
      <c r="K90" s="887"/>
      <c r="L90" s="861"/>
      <c r="M90" s="861"/>
      <c r="N90" s="861"/>
      <c r="O90" s="861"/>
      <c r="P90" s="861"/>
      <c r="Q90" s="861"/>
      <c r="R90" s="861"/>
      <c r="S90" s="861"/>
      <c r="T90" s="438">
        <f>ROW(W90)&gt;ROW(W$90)</f>
        <v>0</v>
      </c>
      <c r="U90" s="861"/>
      <c r="V90" s="861"/>
      <c r="W90" s="733" t="s">
        <v>172</v>
      </c>
      <c r="X90" s="861"/>
      <c r="Y90" s="861"/>
      <c r="Z90" s="861"/>
      <c r="AA90" s="648" t="s">
        <v>173</v>
      </c>
      <c r="AB90" s="2395" t="s">
        <v>228</v>
      </c>
      <c r="AC90" s="2395"/>
      <c r="AD90" s="2395"/>
      <c r="AE90" s="2395"/>
      <c r="AF90" s="2395"/>
      <c r="AG90" s="2395"/>
      <c r="AH90" s="2395"/>
      <c r="AI90" s="1545"/>
      <c r="AJ90" s="2394"/>
      <c r="AK90" s="2394"/>
      <c r="AL90" s="2394"/>
      <c r="AM90" s="2394"/>
      <c r="AN90" s="2394"/>
      <c r="AO90" s="2394"/>
      <c r="AP90" s="2394"/>
      <c r="AQ90" s="2394"/>
      <c r="AR90" s="2394"/>
      <c r="AS90" s="1545"/>
      <c r="AT90" s="2394"/>
      <c r="AU90" s="2394"/>
      <c r="AV90" s="2394"/>
      <c r="AW90" s="2394"/>
      <c r="AX90" s="2394"/>
      <c r="AY90" s="2394"/>
      <c r="AZ90" s="2394"/>
      <c r="BA90" s="2394"/>
      <c r="BB90" s="2394"/>
      <c r="BC90" s="2394"/>
      <c r="BD90" s="64"/>
      <c r="BE90" s="861"/>
      <c r="BF90" s="1018"/>
      <c r="BG90" s="1018"/>
      <c r="BH90" s="1018"/>
      <c r="BI90" s="654"/>
      <c r="BJ90" s="654"/>
    </row>
    <row customHeight="1" ht="14.625">
      <c r="E91" s="654">
        <v>15</v>
      </c>
      <c r="W91" s="733" t="s">
        <v>396</v>
      </c>
      <c r="AA91" s="64"/>
      <c r="AB91" s="658"/>
      <c r="AC91" s="487" t="s">
        <v>397</v>
      </c>
      <c r="AD91" s="276"/>
      <c r="AE91" s="276"/>
      <c r="AF91" s="277"/>
      <c r="AG91" s="277"/>
      <c r="AH91" s="277"/>
      <c r="AI91" s="277"/>
      <c r="AJ91" s="277"/>
      <c r="AK91" s="277"/>
      <c r="AL91" s="277"/>
      <c r="AM91" s="277"/>
      <c r="AN91" s="277"/>
      <c r="AO91" s="277"/>
      <c r="AP91" s="277"/>
      <c r="AQ91" s="277"/>
      <c r="AR91" s="277"/>
      <c r="AS91" s="277"/>
      <c r="AT91" s="277"/>
      <c r="AU91" s="277"/>
      <c r="AV91" s="277"/>
      <c r="AW91" s="277"/>
      <c r="AX91" s="277"/>
      <c r="AY91" s="277"/>
      <c r="AZ91" s="277"/>
      <c r="BA91" s="277"/>
      <c r="BB91" s="277"/>
      <c r="BC91" s="278"/>
      <c r="BD91" s="64"/>
    </row>
    <row customHeight="1" ht="10.96875">
      <c r="E92" s="654">
        <v>11.25</v>
      </c>
      <c r="AI92" s="861"/>
      <c r="AJ92" s="861"/>
      <c r="AK92" s="861"/>
      <c r="AL92" s="861"/>
      <c r="AM92" s="861"/>
      <c r="AN92" s="861"/>
      <c r="AO92" s="861"/>
      <c r="AP92" s="861"/>
      <c r="AQ92" s="861"/>
      <c r="AR92" s="861"/>
      <c r="AS92" s="861"/>
      <c r="AT92" s="861"/>
      <c r="AU92" s="861"/>
      <c r="AV92" s="861"/>
      <c r="AW92" s="861"/>
      <c r="AX92" s="861"/>
      <c r="AY92" s="861"/>
      <c r="AZ92" s="861"/>
      <c r="BA92" s="861"/>
      <c r="BB92" s="861"/>
      <c r="BD92" s="398"/>
    </row>
  </sheetData>
  <sheetProtection formatColumns="0" formatRows="0" insertRows="0" deleteColumns="0" deleteRows="0" sort="0" autoFilter="0" insertColumns="1"/>
  <mergeCells count="31">
    <mergeCell ref="AB90:BC90"/>
    <mergeCell ref="AB88:BC88"/>
    <mergeCell ref="AB89:BC89"/>
    <mergeCell ref="AB24:AB25"/>
    <mergeCell ref="AC24:AC25"/>
    <mergeCell ref="AD24:AD25"/>
    <mergeCell ref="BC24:BC25"/>
    <mergeCell ref="X27:X56"/>
    <mergeCell ref="Z27:Z56"/>
    <mergeCell ref="Y29:Y31"/>
    <mergeCell ref="AA29:AA31"/>
    <mergeCell ref="Y34:Y36"/>
    <mergeCell ref="AA34:AA36"/>
    <mergeCell ref="Y39:Y41"/>
    <mergeCell ref="AA39:AA41"/>
    <mergeCell ref="Y44:Y46"/>
    <mergeCell ref="AA44:AA46"/>
    <mergeCell ref="Y49:Y51"/>
    <mergeCell ref="AA49:AA51"/>
    <mergeCell ref="X57:X86"/>
    <mergeCell ref="Z57:Z86"/>
    <mergeCell ref="Y59:Y61"/>
    <mergeCell ref="AA59:AA61"/>
    <mergeCell ref="Y64:Y66"/>
    <mergeCell ref="AA64:AA66"/>
    <mergeCell ref="Y69:Y71"/>
    <mergeCell ref="AA69:AA71"/>
    <mergeCell ref="Y74:Y76"/>
    <mergeCell ref="AA74:AA76"/>
    <mergeCell ref="Y79:Y81"/>
    <mergeCell ref="AA79:AA81"/>
  </mergeCells>
  <dataValidations count="1">
    <dataValidation type="decimal" allowBlank="1" showErrorMessage="1" errorTitle="Ошибка" error="Допускается ввод только неотрицательных чисел!" sqref="AE35:BB36 AE50:BB51 AE40:BB41 AE45:BB46 AE30:BB31 BB53:BB56 BB60:BB61 BB65:BB66 BB70:BB71 BB75:BB76 BB80:BB81 BB83:BB86 BA53:BA56 BA60:BA61 BA65:BA66 BA70:BA71 BA75:BA76 BA80:BA81 BA83:BA86 AZ53:AZ56 AZ60:AZ61 AZ65:AZ66 AZ70:AZ71 AZ75:AZ76 AZ80:AZ81 AZ83:AZ86 AY53:AY56 AY60:AY61 AY65:AY66 AY70:AY71 AY75:AY76 AY80:AY81 AY83:AY86 AX53:AX56 AX60:AX61 AX65:AX66 AX70:AX71 AX75:AX76 AX80:AX81 AX83:AX86 AW53:AW56 AW60:AW61 AW65:AW66 AW70:AW71 AW75:AW76 AW80:AW81 AW83:AW86 AV53:AV56 AV60:AV61 AV65:AV66 AV70:AV71 AV75:AV76 AV80:AV81 AV83:AV86 AU53:AU56 AU60:AU61 AU65:AU66 AU70:AU71 AU75:AU76 AU80:AU81 AU83:AU86 AT53:AT56 AT60:AT61 AT65:AT66 AT70:AT71 AT75:AT76 AT80:AT81 AT83:AT86 AS53:AS56 AS60:AS61 AS65:AS66 AS70:AS71 AS75:AS76 AS80:AS81 AS83:AS86 AR53:AR56 AR60:AR61 AR65:AR66 AR70:AR71 AR75:AR76 AR80:AR81 AR83:AR86 AQ53:AQ56 AQ60:AQ61 AQ65:AQ66 AQ70:AQ71 AQ75:AQ76 AQ80:AQ81 AQ83:AQ86 AP53:AP56 AP60:AP61 AP65:AP66 AP70:AP71 AP75:AP76 AP80:AP81 AP83:AP86 AO53:AO56 AO60:AO61 AO65:AO66 AO70:AO71 AO75:AO76 AO80:AO81 AO83:AO86 AN53:AN56 AN60:AN61 AN65:AN66 AN70:AN71 AN75:AN76 AN80:AN81 AN83:AN86 AM53:AM56 AM60:AM61 AM65:AM66 AM70:AM71 AM75:AM76 AM80:AM81 AM83:AM86 AL53:AL56 AL60:AL61 AL65:AL66 AL70:AL71 AL75:AL76 AL80:AL81 AL83:AL86 AK53:AK56 AK60:AK61 AK65:AK66 AK70:AK71 AK75:AK76 AK80:AK81 AK83:AK86 AJ53:AJ56 AJ60:AJ61 AJ65:AJ66 AJ70:AJ71 AJ75:AJ76 AJ80:AJ81 AJ83:AJ86 AI53:AI56 AI60:AI61 AI65:AI66 AI70:AI71 AI75:AI76 AI80:AI81 AI83:AI86 AH53:AH56 AH60:AH61 AH65:AH66 AH70:AH71 AH75:AH76 AH80:AH81 AH83:AH86 AG53:AG56 AG60:AG61 AG65:AG66 AG70:AG71 AG75:AG76 AG80:AG81 AG83:AG86 AF53:AF56 AF60:AF61 AF65:AF66 AF70:AF71 AF75:AF76 AF80:AF81 AF83:AF86 AE53:AE56 AE60:AE61 AE65:AE66 AE70:AE71 AE75:AE76 AE80:AE81 AE83:AE8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E2F41C-A0E2-7D82-AC28-F5343ABBBD58}" mc:Ignorable="x14ac xr xr2 xr3">
  <sheetPr>
    <tabColor rgb="FF002060"/>
    <outlinePr summaryBelow="0"/>
    <pageSetUpPr fitToPage="1"/>
  </sheetPr>
  <dimension ref="A1:AR82"/>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82" width="3.57421875" hidden="1" customWidth="1"/>
    <col min="2" max="2" style="1389" width="8.57421875" hidden="1" customWidth="1"/>
    <col min="3" max="4" style="1282" width="3.57421875" hidden="1" customWidth="1"/>
    <col min="5" max="5" style="1283" width="3.57421875" hidden="1" customWidth="1"/>
    <col min="6" max="6" style="1282" width="3.57421875" hidden="1" customWidth="1"/>
    <col min="7" max="7" style="1290" width="9.8515625" hidden="1" customWidth="1"/>
    <col min="8" max="10" style="1282" width="3.57421875" hidden="1" customWidth="1"/>
    <col min="11" max="11" style="1290" width="6.421875" hidden="1" customWidth="1"/>
    <col min="12" max="12" style="1290" width="3.57421875" hidden="1" customWidth="1"/>
    <col min="13" max="17" style="1282" width="3.57421875" hidden="1" customWidth="1"/>
    <col min="18" max="18" style="1300" width="3.57421875" hidden="1" customWidth="1"/>
    <col min="19" max="19" style="1282" width="3.57421875" hidden="1" customWidth="1"/>
    <col min="20" max="20" style="1282" width="11.140625" hidden="1" customWidth="1"/>
    <col min="21" max="21" style="1282" width="5.8515625" hidden="1" customWidth="1"/>
    <col min="22" max="23" style="1282" width="6.140625" hidden="1" customWidth="1"/>
    <col min="24" max="25" style="1282" width="5.57421875" hidden="1" customWidth="1"/>
    <col min="26" max="26" style="1282" width="5.28125" hidden="1" customWidth="1"/>
    <col min="27" max="27" style="1282" width="3.00390625" customWidth="1"/>
    <col min="28" max="28" style="1282" width="11.00390625" customWidth="1"/>
    <col min="29" max="29" style="1282" width="56.7109375" customWidth="1"/>
    <col min="30" max="30" style="1282" width="12.00390625" customWidth="1"/>
    <col min="31" max="36" style="1282" width="13.00390625" customWidth="1"/>
    <col min="37" max="37" style="1282" width="20.00390625" customWidth="1"/>
    <col min="38" max="38" style="1282" width="3.00390625" customWidth="1"/>
    <col min="39" max="39" style="1282" width="9.140625" hidden="1"/>
    <col min="40" max="42" style="1284" width="9.140625" hidden="1"/>
    <col min="43" max="44" style="1283" width="9.140625" hidden="1"/>
  </cols>
  <sheetData>
    <row customHeight="1" ht="11.25" hidden="1">
      <c r="E1" s="64"/>
      <c r="F1" s="64" t="s">
        <v>309</v>
      </c>
      <c r="H1" s="64" t="s">
        <v>320</v>
      </c>
      <c r="I1" s="64" t="s">
        <v>346</v>
      </c>
      <c r="T1" s="438" t="s">
        <v>92</v>
      </c>
      <c r="U1" s="438" t="s">
        <v>97</v>
      </c>
      <c r="V1" s="438" t="s">
        <v>93</v>
      </c>
      <c r="W1" s="438" t="s">
        <v>94</v>
      </c>
      <c r="X1" s="438" t="s">
        <v>95</v>
      </c>
      <c r="Y1" s="440" t="s">
        <v>311</v>
      </c>
      <c r="Z1" s="438" t="s">
        <v>99</v>
      </c>
      <c r="AA1" s="440" t="s">
        <v>96</v>
      </c>
      <c r="AB1" s="387"/>
      <c r="AC1" s="439" t="s">
        <v>98</v>
      </c>
      <c r="AI1" s="1282"/>
      <c r="AJ1" s="1282"/>
      <c r="AN1" s="992" t="s">
        <v>312</v>
      </c>
      <c r="AO1" s="992" t="s">
        <v>313</v>
      </c>
      <c r="AP1" s="992" t="s">
        <v>314</v>
      </c>
      <c r="AQ1" s="607" t="s">
        <v>317</v>
      </c>
      <c r="AR1" s="607" t="s">
        <v>318</v>
      </c>
    </row>
    <row s="1389" customFormat="1" customHeight="1" ht="11.25" hidden="1">
      <c r="B2" s="417" t="s">
        <v>18</v>
      </c>
      <c r="G2" s="458"/>
      <c r="K2" s="458"/>
      <c r="L2" s="458"/>
      <c r="AI2" s="418">
        <f>AI11&lt;=last_year_vis</f>
        <v>1</v>
      </c>
      <c r="AJ2" s="418">
        <f>AJ11&lt;=last_year_vis</f>
        <v>1</v>
      </c>
      <c r="AN2" s="993"/>
      <c r="AO2" s="993"/>
      <c r="AP2" s="993"/>
      <c r="AQ2" s="1006"/>
      <c r="AR2" s="1006"/>
    </row>
    <row customHeight="1" ht="11.25" hidden="1">
      <c r="E3" s="64"/>
      <c r="AI3" s="1282"/>
      <c r="AJ3" s="1282"/>
    </row>
    <row customHeight="1" ht="11.25" hidden="1">
      <c r="E4" s="64"/>
      <c r="AI4" s="1282"/>
      <c r="AJ4" s="1282"/>
    </row>
    <row s="1283" customFormat="1" customHeight="1" ht="11.25" hidden="1">
      <c r="A5" s="64"/>
      <c r="B5" s="399"/>
      <c r="C5" s="64"/>
      <c r="D5" s="64"/>
      <c r="E5" s="607" t="s">
        <v>19</v>
      </c>
      <c r="G5" s="663"/>
      <c r="K5" s="663"/>
      <c r="L5" s="663"/>
      <c r="R5" s="592"/>
      <c r="AA5" s="607">
        <v>3</v>
      </c>
      <c r="AB5" s="607">
        <v>11</v>
      </c>
      <c r="AC5" s="607">
        <v>56.71</v>
      </c>
      <c r="AD5" s="607">
        <v>12</v>
      </c>
      <c r="AE5" s="607">
        <v>13</v>
      </c>
      <c r="AF5" s="607">
        <v>13</v>
      </c>
      <c r="AG5" s="607">
        <v>13</v>
      </c>
      <c r="AH5" s="607">
        <v>13</v>
      </c>
      <c r="AI5" s="607">
        <v>13</v>
      </c>
      <c r="AJ5" s="607">
        <v>13</v>
      </c>
      <c r="AK5" s="607">
        <v>20</v>
      </c>
      <c r="AL5" s="607">
        <v>3</v>
      </c>
      <c r="AN5" s="992"/>
      <c r="AO5" s="992"/>
      <c r="AP5" s="992"/>
    </row>
    <row customHeight="1" ht="11.25" hidden="1">
      <c r="AI6" s="1282"/>
      <c r="AJ6" s="1282"/>
    </row>
    <row s="1284" customFormat="1" customHeight="1" ht="11.25" hidden="1">
      <c r="A7" s="992" t="s">
        <v>354</v>
      </c>
      <c r="B7" s="993"/>
      <c r="G7" s="1008"/>
      <c r="K7" s="1008"/>
      <c r="L7" s="1008"/>
      <c r="R7" s="994"/>
      <c r="AE7" s="992" cm="1" t="str">
        <f t="array" ref="AE7:AE7">AE11</f>
        <v>2024</v>
      </c>
      <c r="AF7" s="992" cm="1" t="str">
        <f t="array" ref="AF7:AF7">AF11</f>
        <v>2024</v>
      </c>
      <c r="AG7" s="992" cm="1" t="str">
        <f t="array" ref="AG7:AG7">AG11</f>
        <v>2024</v>
      </c>
      <c r="AH7" s="992" cm="1" t="str">
        <f t="array" ref="AH7:AH7">AH11</f>
        <v>2025</v>
      </c>
      <c r="AI7" s="992" cm="1" t="str">
        <f t="array" ref="AI7:AI7">AI11</f>
        <v>2026</v>
      </c>
      <c r="AJ7" s="992" cm="1" t="str">
        <f t="array" ref="AJ7:AJ7">AJ11</f>
        <v>2026</v>
      </c>
      <c r="AQ7" s="607"/>
      <c r="AR7" s="607"/>
    </row>
    <row s="1284" customFormat="1" customHeight="1" ht="11.25" hidden="1">
      <c r="A8" s="992" t="s">
        <v>355</v>
      </c>
      <c r="B8" s="993"/>
      <c r="G8" s="1008"/>
      <c r="K8" s="1008"/>
      <c r="L8" s="1008"/>
      <c r="R8" s="994"/>
      <c r="AE8" s="992" cm="1" t="str">
        <f t="array" ref="AE8:AE8">AE25</f>
        <v>Принято органом регулирования</v>
      </c>
      <c r="AF8" s="992" cm="1" t="str">
        <f t="array" ref="AF8:AF8">AF25</f>
        <v>Факт по данным организации</v>
      </c>
      <c r="AG8" s="992" cm="1" t="str">
        <f t="array" ref="AG8:AG8">AG25</f>
        <v>Факт, принятый органом регулирования</v>
      </c>
      <c r="AH8" s="992" cm="1" t="str">
        <f t="array" ref="AH8:AH8">AH25</f>
        <v>Принято органом регулирования</v>
      </c>
      <c r="AI8" s="992" cm="1" t="str">
        <f t="array" ref="AI8:AI8">AI25</f>
        <v>Предложение организации</v>
      </c>
      <c r="AJ8" s="992" cm="1" t="str">
        <f t="array" ref="AJ8:AJ8">AJ25</f>
        <v>Принято органом регулирования</v>
      </c>
      <c r="AQ8" s="607"/>
      <c r="AR8" s="607"/>
    </row>
    <row s="1284" customFormat="1" customHeight="1" ht="11.25" hidden="1">
      <c r="A9" s="992" t="s">
        <v>356</v>
      </c>
      <c r="B9" s="993"/>
      <c r="G9" s="1008"/>
      <c r="K9" s="1008"/>
      <c r="L9" s="1008"/>
      <c r="R9" s="994"/>
      <c r="AI9" s="1284"/>
      <c r="AJ9" s="1284"/>
      <c r="AK9" s="992" cm="1" t="str">
        <f t="array" ref="AK9:AK9">AK24</f>
        <v>Ссылка на правовую норму (основание для принятия показателя в расчет тарифа)</v>
      </c>
      <c r="AQ9" s="607"/>
      <c r="AR9" s="607"/>
    </row>
    <row s="1284" customFormat="1" customHeight="1" ht="11.25" hidden="1">
      <c r="A10" s="992" t="s">
        <v>327</v>
      </c>
      <c r="B10" s="993"/>
      <c r="G10" s="1008"/>
      <c r="K10" s="1008"/>
      <c r="L10" s="1008"/>
      <c r="R10" s="994"/>
      <c r="AC10" s="992" t="s">
        <v>314</v>
      </c>
      <c r="AI10" s="1284"/>
      <c r="AJ10" s="1284"/>
      <c r="AQ10" s="607"/>
      <c r="AR10" s="607"/>
    </row>
    <row customHeight="1" ht="11.25" hidden="1">
      <c r="A11" s="64" t="s">
        <v>349</v>
      </c>
      <c r="AE11" s="64">
        <f>god-2</f>
        <v>2024</v>
      </c>
      <c r="AF11" s="64">
        <f>god-2</f>
        <v>2024</v>
      </c>
      <c r="AG11" s="64">
        <f>god-2</f>
        <v>2024</v>
      </c>
      <c r="AH11" s="64">
        <f>god-1</f>
        <v>2025</v>
      </c>
      <c r="AI11" s="64" cm="1" t="str">
        <f t="array" ref="AI11:AI11">god</f>
        <v>2026</v>
      </c>
      <c r="AJ11" s="64" cm="1" t="str">
        <f t="array" ref="AJ11:AJ11">god</f>
        <v>2026</v>
      </c>
      <c r="AK11" s="118"/>
    </row>
    <row customHeight="1" ht="11.25" hidden="1">
      <c r="A12" s="64" t="s">
        <v>350</v>
      </c>
      <c r="AE12" s="88" cm="1" t="str">
        <f t="array" ref="AE12:AE12">AE25</f>
        <v>Принято органом регулирования</v>
      </c>
      <c r="AF12" s="88" cm="1" t="str">
        <f t="array" ref="AF12:AF12">AF25</f>
        <v>Факт по данным организации</v>
      </c>
      <c r="AG12" s="88" cm="1" t="str">
        <f t="array" ref="AG12:AG12">AG25</f>
        <v>Факт, принятый органом регулирования</v>
      </c>
      <c r="AH12" s="88" cm="1" t="str">
        <f t="array" ref="AH12:AH12">AH25</f>
        <v>Принято органом регулирования</v>
      </c>
      <c r="AI12" s="88" cm="1" t="str">
        <f t="array" ref="AI12:AI12">AI25</f>
        <v>Предложение организации</v>
      </c>
      <c r="AJ12" s="88" cm="1" t="str">
        <f t="array" ref="AJ12:AJ12">AJ25</f>
        <v>Принято органом регулирования</v>
      </c>
    </row>
    <row customHeight="1" ht="11.25" hidden="1">
      <c r="AE13" s="88" t="str">
        <f>AE11&amp;AE12</f>
        <v>2024Принято органом регулирования</v>
      </c>
      <c r="AF13" s="88" t="str">
        <f>AF11&amp;AF12</f>
        <v>2024Факт по данным организации</v>
      </c>
      <c r="AG13" s="88" t="str">
        <f>AG11&amp;AG12</f>
        <v>2024Факт, принятый органом регулирования</v>
      </c>
      <c r="AH13" s="88" t="str">
        <f>AH11&amp;AH12</f>
        <v>2025Принято органом регулирования</v>
      </c>
      <c r="AI13" s="88" t="str">
        <f>AI11&amp;AI12</f>
        <v>2026Предложение организации</v>
      </c>
      <c r="AJ13" s="88" t="str">
        <f>AJ11&amp;AJ12</f>
        <v>2026Принято органом регулирования</v>
      </c>
    </row>
    <row customHeight="1" ht="11.25" hidden="1">
      <c r="AI14" s="1282"/>
      <c r="AJ14" s="1282"/>
    </row>
    <row customHeight="1" ht="11.25" hidden="1">
      <c r="AI15" s="1282"/>
      <c r="AJ15" s="1282"/>
    </row>
    <row customHeight="1" ht="11.25" hidden="1">
      <c r="AI16" s="1282"/>
      <c r="AJ16" s="1282"/>
    </row>
    <row customHeight="1" ht="11.25" hidden="1">
      <c r="AI17" s="1282"/>
      <c r="AJ17" s="1282"/>
      <c r="AK17" s="118"/>
    </row>
    <row customHeight="1" ht="11.25" hidden="1">
      <c r="A18" s="64" t="s">
        <v>357</v>
      </c>
      <c r="AC18" s="64" t="s">
        <v>197</v>
      </c>
      <c r="AI18" s="1282"/>
      <c r="AJ18" s="1282"/>
    </row>
    <row customHeight="1" ht="11.25" hidden="1">
      <c r="AI19" s="1282"/>
      <c r="AJ19" s="1282"/>
    </row>
    <row customHeight="1" ht="11.25" hidden="1">
      <c r="AI20" s="1282"/>
      <c r="AJ20" s="1282"/>
    </row>
    <row customHeight="1" ht="14.625">
      <c r="E21" s="607">
        <v>15</v>
      </c>
      <c r="AA21" s="633"/>
      <c r="AC21" s="50" cm="1" t="str">
        <f t="array" ref="AC21:AC21">tpl_title</f>
        <v>Кемеровская область / 2026 / ОАО «СКЭК» (ИНН:4205153492, КПП:420501001) / ДПР: 2026-2026</v>
      </c>
      <c r="AI21" s="1282"/>
      <c r="AJ21" s="1282"/>
    </row>
    <row s="1379" customFormat="1" customHeight="1" ht="19.74375">
      <c r="B22" s="399"/>
      <c r="E22" s="608">
        <v>20.25</v>
      </c>
      <c r="G22" s="457"/>
      <c r="K22" s="457"/>
      <c r="L22" s="457"/>
      <c r="R22" s="50"/>
      <c r="AB22" s="285" t="s">
        <v>1032</v>
      </c>
      <c r="AC22" s="316"/>
      <c r="AD22" s="316"/>
      <c r="AE22" s="316"/>
      <c r="AF22" s="316"/>
      <c r="AG22" s="316"/>
      <c r="AH22" s="316"/>
      <c r="AI22" s="316"/>
      <c r="AJ22" s="316"/>
      <c r="AK22" s="316"/>
      <c r="AN22" s="995"/>
      <c r="AO22" s="995"/>
      <c r="AP22" s="995"/>
      <c r="AQ22" s="608"/>
      <c r="AR22" s="608"/>
    </row>
    <row s="1379" customFormat="1" customHeight="1" ht="10.96875">
      <c r="B23" s="399"/>
      <c r="C23" s="466"/>
      <c r="D23" s="466"/>
      <c r="E23" s="816">
        <v>11.25</v>
      </c>
      <c r="F23" s="466"/>
      <c r="G23" s="466"/>
      <c r="H23" s="466"/>
      <c r="I23" s="466"/>
      <c r="J23" s="466"/>
      <c r="K23" s="457"/>
      <c r="L23" s="457"/>
      <c r="M23" s="466"/>
      <c r="N23" s="466"/>
      <c r="O23" s="466"/>
      <c r="P23" s="466"/>
      <c r="Q23" s="466"/>
      <c r="R23" s="340"/>
      <c r="S23" s="466"/>
      <c r="T23" s="466"/>
      <c r="U23" s="466"/>
      <c r="V23" s="466"/>
      <c r="W23" s="466"/>
      <c r="X23" s="466"/>
      <c r="Y23" s="466"/>
      <c r="Z23" s="466"/>
      <c r="AA23" s="466"/>
      <c r="AB23" s="837"/>
      <c r="AC23" s="838"/>
      <c r="AD23" s="838"/>
      <c r="AE23" s="838"/>
      <c r="AF23" s="838"/>
      <c r="AG23" s="838"/>
      <c r="AH23" s="838"/>
      <c r="AI23" s="838"/>
      <c r="AJ23" s="838"/>
      <c r="AK23" s="838"/>
      <c r="AN23" s="995"/>
      <c r="AO23" s="995"/>
      <c r="AP23" s="995"/>
      <c r="AQ23" s="608"/>
      <c r="AR23" s="608"/>
    </row>
    <row s="1399" customFormat="1" customHeight="1" ht="14.625">
      <c r="B24" s="401"/>
      <c r="C24" s="543"/>
      <c r="D24" s="543"/>
      <c r="E24" s="839">
        <v>15</v>
      </c>
      <c r="F24" s="543"/>
      <c r="G24" s="543"/>
      <c r="H24" s="543"/>
      <c r="I24" s="543"/>
      <c r="J24" s="543"/>
      <c r="K24" s="459"/>
      <c r="L24" s="459"/>
      <c r="M24" s="543"/>
      <c r="N24" s="543"/>
      <c r="O24" s="543"/>
      <c r="P24" s="543"/>
      <c r="Q24" s="543"/>
      <c r="R24" s="340"/>
      <c r="S24" s="543"/>
      <c r="T24" s="543"/>
      <c r="U24" s="543"/>
      <c r="V24" s="543"/>
      <c r="W24" s="543"/>
      <c r="X24" s="543"/>
      <c r="Y24" s="543"/>
      <c r="Z24" s="543"/>
      <c r="AA24" s="543"/>
      <c r="AB24" s="1522" t="s">
        <v>758</v>
      </c>
      <c r="AC24" s="1553" t="s">
        <v>197</v>
      </c>
      <c r="AD24" s="1522" t="s">
        <v>359</v>
      </c>
      <c r="AE24" s="742" t="str">
        <f>god-2&amp;" год"</f>
        <v>2024 год</v>
      </c>
      <c r="AF24" s="1101" t="str">
        <f>god-2&amp;" год"</f>
        <v>2024 год</v>
      </c>
      <c r="AG24" s="742" t="str">
        <f>god-2&amp;" год"</f>
        <v>2024 год</v>
      </c>
      <c r="AH24" s="742" t="str">
        <f>god-1&amp;" год"</f>
        <v>2025 год</v>
      </c>
      <c r="AI24" s="1102" t="str">
        <f>god&amp;" год"</f>
        <v>2026 год</v>
      </c>
      <c r="AJ24" s="840" t="str">
        <f>god&amp;" год"</f>
        <v>2026 год</v>
      </c>
      <c r="AK24" s="1522" t="s">
        <v>500</v>
      </c>
      <c r="AN24" s="990"/>
      <c r="AO24" s="990"/>
      <c r="AP24" s="990"/>
      <c r="AQ24" s="605"/>
      <c r="AR24" s="605"/>
    </row>
    <row s="1399" customFormat="1" customHeight="1" ht="44.118750000000006">
      <c r="B25" s="401"/>
      <c r="C25" s="543"/>
      <c r="D25" s="543"/>
      <c r="E25" s="839">
        <v>45.25</v>
      </c>
      <c r="F25" s="543"/>
      <c r="G25" s="543"/>
      <c r="H25" s="543"/>
      <c r="I25" s="543"/>
      <c r="J25" s="543"/>
      <c r="K25" s="459"/>
      <c r="L25" s="459"/>
      <c r="M25" s="543"/>
      <c r="N25" s="543"/>
      <c r="O25" s="543"/>
      <c r="P25" s="543"/>
      <c r="Q25" s="543"/>
      <c r="R25" s="340"/>
      <c r="S25" s="543"/>
      <c r="T25" s="543"/>
      <c r="U25" s="543"/>
      <c r="V25" s="543"/>
      <c r="W25" s="543"/>
      <c r="X25" s="543"/>
      <c r="Y25" s="543"/>
      <c r="Z25" s="543"/>
      <c r="AA25" s="543"/>
      <c r="AB25" s="1566"/>
      <c r="AC25" s="1566"/>
      <c r="AD25" s="1566"/>
      <c r="AE25" s="742" t="s">
        <v>351</v>
      </c>
      <c r="AF25" s="1101" t="s">
        <v>424</v>
      </c>
      <c r="AG25" s="742" t="s">
        <v>425</v>
      </c>
      <c r="AH25" s="742" t="s">
        <v>351</v>
      </c>
      <c r="AI25" s="1103" t="s">
        <v>352</v>
      </c>
      <c r="AJ25" s="841" t="s">
        <v>351</v>
      </c>
      <c r="AK25" s="1566"/>
      <c r="AN25" s="990"/>
      <c r="AO25" s="990"/>
      <c r="AP25" s="990"/>
      <c r="AQ25" s="605"/>
      <c r="AR25" s="605"/>
    </row>
    <row s="1624" customFormat="1" customHeight="1" ht="11.25" hidden="1">
      <c r="A26" s="442"/>
      <c r="B26" s="634"/>
      <c r="C26" s="455"/>
      <c r="D26" s="455"/>
      <c r="E26" s="842">
        <v>0</v>
      </c>
      <c r="F26" s="455"/>
      <c r="G26" s="455"/>
      <c r="H26" s="455"/>
      <c r="I26" s="455"/>
      <c r="J26" s="455"/>
      <c r="K26" s="890"/>
      <c r="L26" s="890"/>
      <c r="M26" s="455"/>
      <c r="N26" s="455"/>
      <c r="O26" s="455"/>
      <c r="P26" s="455"/>
      <c r="Q26" s="455"/>
      <c r="R26" s="455"/>
      <c r="S26" s="455"/>
      <c r="T26" s="455"/>
      <c r="U26" s="455"/>
      <c r="V26" s="455"/>
      <c r="W26" s="455"/>
      <c r="X26" s="455"/>
      <c r="Y26" s="455"/>
      <c r="Z26" s="455"/>
      <c r="AA26" s="455"/>
      <c r="AB26" s="455"/>
      <c r="AC26" s="455"/>
      <c r="AD26" s="455"/>
      <c r="AE26" s="455"/>
      <c r="AF26" s="455"/>
      <c r="AG26" s="0"/>
      <c r="AH26" s="0"/>
      <c r="AI26" s="0"/>
      <c r="AJ26" s="0"/>
      <c r="AK26" s="0"/>
      <c r="AN26" s="996"/>
      <c r="AO26" s="996"/>
      <c r="AP26" s="996"/>
      <c r="AQ26" s="984"/>
      <c r="AR26" s="662"/>
    </row>
    <row s="1513" customFormat="1" customHeight="1" ht="14.625" hidden="1">
      <c r="A27" s="1513"/>
      <c r="B27" s="401"/>
      <c r="C27" s="843"/>
      <c r="D27" s="843"/>
      <c r="E27" s="844">
        <v>15</v>
      </c>
      <c r="F27" s="466" cm="1" t="str">
        <f t="array" ref="F27:F27">X27</f>
        <v>0</v>
      </c>
      <c r="G27" s="815" t="s">
        <v>60</v>
      </c>
      <c r="H27" s="815"/>
      <c r="I27" s="815"/>
      <c r="J27" s="843"/>
      <c r="K27" s="456"/>
      <c r="L27" s="456"/>
      <c r="M27" s="843"/>
      <c r="N27" s="843"/>
      <c r="O27" s="843"/>
      <c r="P27" s="843"/>
      <c r="Q27" s="843"/>
      <c r="R27" s="843"/>
      <c r="S27" s="843"/>
      <c r="T27" s="438">
        <f>X27&gt;0</f>
        <v>0</v>
      </c>
      <c r="U27" s="843"/>
      <c r="V27" s="843" t="s">
        <v>267</v>
      </c>
      <c r="W27" s="843"/>
      <c r="X27" s="1564">
        <v>0</v>
      </c>
      <c r="Y27" s="843"/>
      <c r="Z27" s="1565"/>
      <c r="AA27" s="843"/>
      <c r="AB27" s="208" cm="1" t="str">
        <f t="array" ref="AB27:AB27">INDEX('Общие сведения'!$AG$179:$AG$208,MATCH($X27,'Общие сведения'!$Z$179:$Z$208,0))</f>
        <v>Тариф 0 () - тариф на транспортировку сточных вод</v>
      </c>
      <c r="AC27" s="845"/>
      <c r="AD27" s="845"/>
      <c r="AE27" s="846">
        <f>AE28+AE33+AE34+AE39+AE40+AE45+AE46+AE51</f>
        <v>0</v>
      </c>
      <c r="AF27" s="846">
        <f>AF28+AF33+AF34+AF39+AF40+AF45+AF46+AF51</f>
        <v>0</v>
      </c>
      <c r="AG27" s="846">
        <f>AG28+AG33+AG34+AG39+AG40+AG45+AG46+AG51</f>
        <v>0</v>
      </c>
      <c r="AH27" s="846">
        <f>AH28+AH33+AH34+AH39+AH40+AH45+AH46+AH51</f>
        <v>0</v>
      </c>
      <c r="AI27" s="846">
        <f>AI28+AI33+AI34+AI39+AI40+AI45+AI46+AI51</f>
        <v>0</v>
      </c>
      <c r="AJ27" s="846">
        <f>AJ28+AJ33+AJ34+AJ39+AJ40+AJ45+AJ46+AJ51</f>
        <v>0</v>
      </c>
      <c r="AK27" s="846"/>
      <c r="AL27" s="1513"/>
      <c r="AM27" s="1513"/>
      <c r="AN27" s="1007"/>
      <c r="AO27" s="1007"/>
      <c r="AP27" s="1007"/>
      <c r="AQ27" s="233"/>
      <c r="AR27" s="233"/>
    </row>
    <row s="1513" customFormat="1" customHeight="1" ht="21.9375" hidden="1">
      <c r="A28" s="1513"/>
      <c r="B28" s="401"/>
      <c r="C28" s="843"/>
      <c r="D28" s="843"/>
      <c r="E28" s="844">
        <v>22.5</v>
      </c>
      <c r="F28" s="50" cm="1" t="str">
        <f t="array" ref="F28:F28">OFFSET(E28,-1,1)</f>
        <v>0</v>
      </c>
      <c r="G28" s="340" t="s">
        <v>1033</v>
      </c>
      <c r="H28" s="815" t="s">
        <v>321</v>
      </c>
      <c r="I28" s="815"/>
      <c r="J28" s="843"/>
      <c r="K28" s="456" t="str">
        <f>F28&amp;"1komm"</f>
        <v>01komm</v>
      </c>
      <c r="L28" s="893" cm="1" t="str">
        <f t="array" ref="L28:L28">AK28</f>
        <v>0</v>
      </c>
      <c r="M28" s="843"/>
      <c r="N28" s="843"/>
      <c r="O28" s="843"/>
      <c r="P28" s="843"/>
      <c r="Q28" s="843"/>
      <c r="R28" s="843"/>
      <c r="S28" s="843"/>
      <c r="T28" s="438" cm="1" t="str">
        <f t="array" ref="T28:T28">T27</f>
        <v>false</v>
      </c>
      <c r="U28" s="843"/>
      <c r="V28" s="843"/>
      <c r="W28" s="843"/>
      <c r="X28" s="1564"/>
      <c r="Y28" s="843"/>
      <c r="Z28" s="1565"/>
      <c r="AA28" s="843"/>
      <c r="AB28" s="666">
        <v>1</v>
      </c>
      <c r="AC28" s="823" t="s">
        <v>1034</v>
      </c>
      <c r="AD28" s="742" t="s">
        <v>789</v>
      </c>
      <c r="AE28" s="2655"/>
      <c r="AF28" s="2655"/>
      <c r="AG28" s="2655"/>
      <c r="AH28" s="2655"/>
      <c r="AI28" s="179">
        <f>_xlfn.SUMIFS(AI29:AI32,$AD29:$AD32,$AD28)</f>
        <v>0</v>
      </c>
      <c r="AJ28" s="179">
        <f>_xlfn.SUMIFS(AJ29:AJ32,$AD29:$AD32,$AD28)</f>
        <v>0</v>
      </c>
      <c r="AK28" s="1798"/>
      <c r="AL28" s="1513"/>
      <c r="AM28" s="1513"/>
      <c r="AN28" s="1007" t="s">
        <v>1035</v>
      </c>
      <c r="AO28" s="1007"/>
      <c r="AP28" s="1007"/>
      <c r="AQ28" s="233"/>
      <c r="AR28" s="233"/>
    </row>
    <row s="1513" customFormat="1" customHeight="1" ht="18.28125" hidden="1">
      <c r="A29" s="1513"/>
      <c r="B29" s="401"/>
      <c r="C29" s="843"/>
      <c r="D29" s="843"/>
      <c r="E29" s="844">
        <v>18.75</v>
      </c>
      <c r="F29" s="50" cm="1" t="str">
        <f t="array" ref="F29:F29">OFFSET(E29,-1,1)</f>
        <v>0</v>
      </c>
      <c r="G29" s="815"/>
      <c r="H29" s="815" t="s">
        <v>321</v>
      </c>
      <c r="I29" s="815" cm="1" t="str">
        <f t="array" ref="I29:I29">AC29</f>
        <v>0</v>
      </c>
      <c r="J29" s="843"/>
      <c r="K29" s="456"/>
      <c r="L29" s="456"/>
      <c r="M29" s="843"/>
      <c r="N29" s="843"/>
      <c r="O29" s="843"/>
      <c r="P29" s="843"/>
      <c r="Q29" s="843"/>
      <c r="R29" s="843"/>
      <c r="S29" s="843"/>
      <c r="T29" s="438">
        <f>AND(F29&gt;0,Y29&gt;0)</f>
        <v>0</v>
      </c>
      <c r="U29" s="843"/>
      <c r="V29" s="843"/>
      <c r="W29" s="843" t="s">
        <v>172</v>
      </c>
      <c r="X29" s="1564"/>
      <c r="Y29" s="1564">
        <v>0</v>
      </c>
      <c r="Z29" s="1565"/>
      <c r="AA29" s="1562" t="s">
        <v>173</v>
      </c>
      <c r="AB29" s="266" t="str">
        <f>"1."&amp;Y29</f>
        <v>1.0</v>
      </c>
      <c r="AC29" s="2657"/>
      <c r="AD29" s="742" t="s">
        <v>789</v>
      </c>
      <c r="AE29" s="2658"/>
      <c r="AF29" s="2658"/>
      <c r="AG29" s="2658"/>
      <c r="AH29" s="2658"/>
      <c r="AI29" s="748">
        <f>AI30*AI31*12/1000</f>
        <v>0</v>
      </c>
      <c r="AJ29" s="748">
        <f>AJ30*AJ31*12/1000</f>
        <v>0</v>
      </c>
      <c r="AK29" s="1798"/>
      <c r="AL29" s="1513"/>
      <c r="AM29" s="1513"/>
      <c r="AN29" s="1007" t="s">
        <v>1036</v>
      </c>
      <c r="AO29" s="1007" t="s">
        <v>1037</v>
      </c>
      <c r="AP29" s="1007" cm="1" t="str">
        <f t="array" ref="AP29:AP29">AC29</f>
        <v>0</v>
      </c>
      <c r="AQ29" s="233"/>
      <c r="AR29" s="233" t="b">
        <v>1</v>
      </c>
    </row>
    <row s="1513" customFormat="1" customHeight="1" ht="14.625" hidden="1">
      <c r="A30" s="1513"/>
      <c r="B30" s="401"/>
      <c r="C30" s="843"/>
      <c r="D30" s="843"/>
      <c r="E30" s="844">
        <v>15</v>
      </c>
      <c r="F30" s="50" cm="1" t="str">
        <f t="array" ref="F30:F30">OFFSET(E30,-1,1)</f>
        <v>0</v>
      </c>
      <c r="G30" s="848" t="s">
        <v>1038</v>
      </c>
      <c r="H30" s="815" t="str">
        <f>H29&amp;"_1"</f>
        <v>l1_1</v>
      </c>
      <c r="I30" s="815" cm="1" t="str">
        <f t="array" ref="I30:I30">I29</f>
        <v>0</v>
      </c>
      <c r="J30" s="843"/>
      <c r="K30" s="456"/>
      <c r="L30" s="456"/>
      <c r="M30" s="843"/>
      <c r="N30" s="843"/>
      <c r="O30" s="843"/>
      <c r="P30" s="843"/>
      <c r="Q30" s="843"/>
      <c r="R30" s="843"/>
      <c r="S30" s="843"/>
      <c r="T30" s="438" cm="1" t="str">
        <f t="array" ref="T30:T30">T29</f>
        <v>false</v>
      </c>
      <c r="U30" s="843"/>
      <c r="V30" s="843"/>
      <c r="W30" s="843"/>
      <c r="X30" s="1564"/>
      <c r="Y30" s="1564"/>
      <c r="Z30" s="1565"/>
      <c r="AA30" s="1562"/>
      <c r="AB30" s="666" t="str">
        <f>AB29&amp;".1"</f>
        <v>1.0.1</v>
      </c>
      <c r="AC30" s="741" t="s">
        <v>1039</v>
      </c>
      <c r="AD30" s="742" t="s">
        <v>1040</v>
      </c>
      <c r="AE30" s="2658"/>
      <c r="AF30" s="2658"/>
      <c r="AG30" s="2658"/>
      <c r="AH30" s="2658"/>
      <c r="AI30" s="264"/>
      <c r="AJ30" s="264"/>
      <c r="AK30" s="1798"/>
      <c r="AL30" s="1513"/>
      <c r="AM30" s="1513"/>
      <c r="AN30" s="1007" t="s">
        <v>1041</v>
      </c>
      <c r="AO30" s="1007" t="s">
        <v>1037</v>
      </c>
      <c r="AP30" s="1007" cm="1" t="str">
        <f t="array" ref="AP30:AP30">AP29</f>
        <v>0</v>
      </c>
      <c r="AQ30" s="233"/>
      <c r="AR30" s="233"/>
    </row>
    <row s="1513" customFormat="1" customHeight="1" ht="14.625" hidden="1">
      <c r="A31" s="1513"/>
      <c r="B31" s="401"/>
      <c r="C31" s="843"/>
      <c r="D31" s="843"/>
      <c r="E31" s="844">
        <v>15</v>
      </c>
      <c r="F31" s="50" cm="1" t="str">
        <f t="array" ref="F31:F31">OFFSET(E31,-1,1)</f>
        <v>0</v>
      </c>
      <c r="G31" s="815"/>
      <c r="H31" s="815" t="str">
        <f>H29&amp;"_2"</f>
        <v>l1_2</v>
      </c>
      <c r="I31" s="815" cm="1" t="str">
        <f t="array" ref="I31:I31">I30</f>
        <v>0</v>
      </c>
      <c r="J31" s="843"/>
      <c r="K31" s="456"/>
      <c r="L31" s="456"/>
      <c r="M31" s="843"/>
      <c r="N31" s="843"/>
      <c r="O31" s="843"/>
      <c r="P31" s="843"/>
      <c r="Q31" s="843"/>
      <c r="R31" s="843"/>
      <c r="S31" s="843"/>
      <c r="T31" s="438" cm="1" t="str">
        <f t="array" ref="T31:T31">T30</f>
        <v>false</v>
      </c>
      <c r="U31" s="843"/>
      <c r="V31" s="843"/>
      <c r="W31" s="843"/>
      <c r="X31" s="1564"/>
      <c r="Y31" s="1564"/>
      <c r="Z31" s="1565"/>
      <c r="AA31" s="1562"/>
      <c r="AB31" s="666" t="str">
        <f>AB29&amp;".2"</f>
        <v>1.0.2</v>
      </c>
      <c r="AC31" s="741" t="s">
        <v>1042</v>
      </c>
      <c r="AD31" s="742" t="s">
        <v>1043</v>
      </c>
      <c r="AE31" s="2658"/>
      <c r="AF31" s="2658"/>
      <c r="AG31" s="2658"/>
      <c r="AH31" s="2658"/>
      <c r="AI31" s="264"/>
      <c r="AJ31" s="264"/>
      <c r="AK31" s="1798"/>
      <c r="AL31" s="1513"/>
      <c r="AM31" s="1513"/>
      <c r="AN31" s="1007" t="s">
        <v>1044</v>
      </c>
      <c r="AO31" s="1007" t="s">
        <v>1037</v>
      </c>
      <c r="AP31" s="1007" cm="1" t="str">
        <f t="array" ref="AP31:AP31">AP30</f>
        <v>0</v>
      </c>
      <c r="AQ31" s="233"/>
      <c r="AR31" s="233"/>
    </row>
    <row s="1513" customFormat="1" customHeight="1" ht="14.625" hidden="1">
      <c r="A32" s="1513"/>
      <c r="B32" s="401"/>
      <c r="C32" s="843"/>
      <c r="D32" s="843"/>
      <c r="E32" s="844">
        <v>15</v>
      </c>
      <c r="F32" s="50" cm="1" t="str">
        <f t="array" ref="F32:F32">OFFSET(E32,-1,1)</f>
        <v>0</v>
      </c>
      <c r="G32" s="340"/>
      <c r="H32" s="815"/>
      <c r="I32" s="118" t="str">
        <f>"!=='не определено' &amp;&amp; row.l1 !== null"</f>
        <v>!=='не определено' &amp;&amp; row.l1 !== null</v>
      </c>
      <c r="J32" s="843"/>
      <c r="K32" s="456"/>
      <c r="L32" s="456"/>
      <c r="M32" s="843"/>
      <c r="N32" s="843"/>
      <c r="O32" s="843"/>
      <c r="P32" s="843"/>
      <c r="Q32" s="843"/>
      <c r="R32" s="843"/>
      <c r="S32" s="843"/>
      <c r="T32" s="438">
        <f>F32&gt;0</f>
        <v>0</v>
      </c>
      <c r="U32" s="843"/>
      <c r="V32" s="843"/>
      <c r="W32" s="733" t="s">
        <v>388</v>
      </c>
      <c r="X32" s="1564"/>
      <c r="Y32" s="849"/>
      <c r="Z32" s="1565"/>
      <c r="AA32" s="843"/>
      <c r="AB32" s="850"/>
      <c r="AC32" s="226" t="s">
        <v>176</v>
      </c>
      <c r="AD32" s="752"/>
      <c r="AE32" s="752"/>
      <c r="AF32" s="752"/>
      <c r="AG32" s="752"/>
      <c r="AH32" s="752"/>
      <c r="AI32" s="752"/>
      <c r="AJ32" s="752"/>
      <c r="AK32" s="753"/>
      <c r="AL32" s="1513"/>
      <c r="AM32" s="1513"/>
      <c r="AN32" s="1007"/>
      <c r="AO32" s="1007"/>
      <c r="AP32" s="1007"/>
      <c r="AQ32" s="233" t="s">
        <v>1037</v>
      </c>
      <c r="AR32" s="233"/>
    </row>
    <row s="1513" customFormat="1" customHeight="1" ht="21.9375" hidden="1">
      <c r="A33" s="1513"/>
      <c r="B33" s="401"/>
      <c r="C33" s="843"/>
      <c r="D33" s="843"/>
      <c r="E33" s="844">
        <v>22.5</v>
      </c>
      <c r="F33" s="50" cm="1" t="str">
        <f t="array" ref="F33:F33">OFFSET(E33,-1,1)</f>
        <v>0</v>
      </c>
      <c r="G33" s="340" t="s">
        <v>1045</v>
      </c>
      <c r="H33" s="815" t="s">
        <v>322</v>
      </c>
      <c r="I33" s="815"/>
      <c r="J33" s="843"/>
      <c r="K33" s="456" t="str">
        <f>F33&amp;"2komm"</f>
        <v>02komm</v>
      </c>
      <c r="L33" s="893" cm="1" t="str">
        <f t="array" ref="L33:L33">AK33</f>
        <v>0</v>
      </c>
      <c r="M33" s="843"/>
      <c r="N33" s="843"/>
      <c r="O33" s="843"/>
      <c r="P33" s="843"/>
      <c r="Q33" s="843"/>
      <c r="R33" s="843"/>
      <c r="S33" s="843"/>
      <c r="T33" s="438" cm="1" t="str">
        <f t="array" ref="T33:T33">T32</f>
        <v>false</v>
      </c>
      <c r="U33" s="843"/>
      <c r="V33" s="843"/>
      <c r="W33" s="843"/>
      <c r="X33" s="1564"/>
      <c r="Y33" s="849"/>
      <c r="Z33" s="1565"/>
      <c r="AA33" s="843"/>
      <c r="AB33" s="666" t="s">
        <v>504</v>
      </c>
      <c r="AC33" s="823" t="s">
        <v>1046</v>
      </c>
      <c r="AD33" s="742" t="s">
        <v>789</v>
      </c>
      <c r="AE33" s="2655">
        <f>AE28*_xlfn.SUMIFS(INDEX(Сценарии!$AE$25:$BF$82,,MATCH(AE$13,Сценарии!$AE$8:$BF$8,0)),Сценарии!$F$25:$F$82,$F33,Сценарии!$G$25:$G$82,"СВФОТ")/100</f>
        <v>0</v>
      </c>
      <c r="AF33" s="2655">
        <f>AF28*_xlfn.SUMIFS(INDEX(Сценарии!$AE$25:$BF$82,,MATCH(AF$13,Сценарии!$AE$8:$BF$8,0)),Сценарии!$F$25:$F$82,$F33,Сценарии!$G$25:$G$82,"СВФОТ")/100</f>
        <v>0</v>
      </c>
      <c r="AG33" s="2655">
        <f>AG28*_xlfn.SUMIFS(INDEX(Сценарии!$AE$25:$BF$82,,MATCH(AG$13,Сценарии!$AE$8:$BF$8,0)),Сценарии!$F$25:$F$82,$F33,Сценарии!$G$25:$G$82,"СВФОТ")/100</f>
        <v>0</v>
      </c>
      <c r="AH33" s="2655">
        <f>AH28*_xlfn.SUMIFS(INDEX(Сценарии!$AE$25:$BF$82,,MATCH(AH$13,Сценарии!$AE$8:$BF$8,0)),Сценарии!$F$25:$F$82,$F33,Сценарии!$G$25:$G$82,"СВФОТ")/100</f>
        <v>0</v>
      </c>
      <c r="AI33" s="264">
        <f>AI28*_xlfn.SUMIFS(INDEX(Сценарии!$AE$25:$BF$82,,MATCH(AI$13,Сценарии!$AE$8:$BF$8,0)),Сценарии!$F$25:$F$82,$F33,Сценарии!$G$25:$G$82,"СВФОТ")/100</f>
        <v>0</v>
      </c>
      <c r="AJ33" s="264">
        <f>AJ28*_xlfn.SUMIFS(INDEX(Сценарии!$AE$25:$BF$82,,MATCH(AJ$13,Сценарии!$AE$8:$BF$8,0)),Сценарии!$F$25:$F$82,$F33,Сценарии!$G$25:$G$82,"СВФОТ")/100</f>
        <v>0</v>
      </c>
      <c r="AK33" s="1798"/>
      <c r="AL33" s="1513"/>
      <c r="AM33" s="1513"/>
      <c r="AN33" s="1007" t="s">
        <v>1047</v>
      </c>
      <c r="AO33" s="1007"/>
      <c r="AP33" s="1007"/>
      <c r="AQ33" s="233"/>
      <c r="AR33" s="233"/>
    </row>
    <row s="1513" customFormat="1" customHeight="1" ht="14.625" hidden="1">
      <c r="A34" s="1513"/>
      <c r="B34" s="401"/>
      <c r="C34" s="843"/>
      <c r="D34" s="843"/>
      <c r="E34" s="844">
        <v>15</v>
      </c>
      <c r="F34" s="50" cm="1" t="str">
        <f t="array" ref="F34:F34">OFFSET(E34,-1,1)</f>
        <v>0</v>
      </c>
      <c r="G34" s="340" t="s">
        <v>1048</v>
      </c>
      <c r="H34" s="815" t="s">
        <v>323</v>
      </c>
      <c r="I34" s="815"/>
      <c r="J34" s="843"/>
      <c r="K34" s="456" t="str">
        <f>F34&amp;"3komm"</f>
        <v>03komm</v>
      </c>
      <c r="L34" s="893" cm="1" t="str">
        <f t="array" ref="L34:L34">AK34</f>
        <v>0</v>
      </c>
      <c r="M34" s="843"/>
      <c r="N34" s="843"/>
      <c r="O34" s="843"/>
      <c r="P34" s="843"/>
      <c r="Q34" s="843"/>
      <c r="R34" s="843"/>
      <c r="S34" s="843"/>
      <c r="T34" s="438" cm="1" t="str">
        <f t="array" ref="T34:T34">T33</f>
        <v>false</v>
      </c>
      <c r="U34" s="843"/>
      <c r="V34" s="843"/>
      <c r="W34" s="843"/>
      <c r="X34" s="1564"/>
      <c r="Y34" s="849"/>
      <c r="Z34" s="1565"/>
      <c r="AA34" s="843"/>
      <c r="AB34" s="666" t="s">
        <v>319</v>
      </c>
      <c r="AC34" s="823" t="s">
        <v>1049</v>
      </c>
      <c r="AD34" s="742" t="s">
        <v>789</v>
      </c>
      <c r="AE34" s="2655"/>
      <c r="AF34" s="2655"/>
      <c r="AG34" s="2655"/>
      <c r="AH34" s="2655"/>
      <c r="AI34" s="179">
        <f>_xlfn.SUMIFS(AI35:AI38,$AD35:$AD38,$AD34)</f>
        <v>0</v>
      </c>
      <c r="AJ34" s="179">
        <f>_xlfn.SUMIFS(AJ35:AJ38,$AD35:$AD38,$AD34)</f>
        <v>0</v>
      </c>
      <c r="AK34" s="1798"/>
      <c r="AL34" s="1513"/>
      <c r="AM34" s="1513"/>
      <c r="AN34" s="1007" t="s">
        <v>1050</v>
      </c>
      <c r="AO34" s="1007"/>
      <c r="AP34" s="1007"/>
      <c r="AQ34" s="233"/>
      <c r="AR34" s="233"/>
    </row>
    <row s="1513" customFormat="1" customHeight="1" ht="18.28125" hidden="1">
      <c r="A35" s="1513"/>
      <c r="B35" s="401"/>
      <c r="C35" s="843"/>
      <c r="D35" s="843"/>
      <c r="E35" s="844">
        <v>18.75</v>
      </c>
      <c r="F35" s="50" cm="1" t="str">
        <f t="array" ref="F35:F35">OFFSET(E35,-1,1)</f>
        <v>0</v>
      </c>
      <c r="G35" s="815"/>
      <c r="H35" s="815" t="s">
        <v>323</v>
      </c>
      <c r="I35" s="815" cm="1" t="str">
        <f t="array" ref="I35:I35">AC35</f>
        <v>0</v>
      </c>
      <c r="J35" s="843"/>
      <c r="K35" s="456"/>
      <c r="L35" s="456"/>
      <c r="M35" s="843"/>
      <c r="N35" s="843"/>
      <c r="O35" s="843"/>
      <c r="P35" s="843"/>
      <c r="Q35" s="843"/>
      <c r="R35" s="843"/>
      <c r="S35" s="843"/>
      <c r="T35" s="438">
        <f>AND(F35&gt;0,Y35&gt;0)</f>
        <v>0</v>
      </c>
      <c r="U35" s="843"/>
      <c r="V35" s="843"/>
      <c r="W35" s="843" t="s">
        <v>172</v>
      </c>
      <c r="X35" s="1564"/>
      <c r="Y35" s="1564">
        <v>0</v>
      </c>
      <c r="Z35" s="1565"/>
      <c r="AA35" s="1562" t="s">
        <v>173</v>
      </c>
      <c r="AB35" s="266" t="str">
        <f>"3."&amp;Y35</f>
        <v>3.0</v>
      </c>
      <c r="AC35" s="2657"/>
      <c r="AD35" s="742" t="s">
        <v>789</v>
      </c>
      <c r="AE35" s="2658"/>
      <c r="AF35" s="2658"/>
      <c r="AG35" s="2658"/>
      <c r="AH35" s="2658"/>
      <c r="AI35" s="748">
        <f>AI36*AI37*12/1000</f>
        <v>0</v>
      </c>
      <c r="AJ35" s="748">
        <f>AJ36*AJ37*12/1000</f>
        <v>0</v>
      </c>
      <c r="AK35" s="1798"/>
      <c r="AL35" s="1513"/>
      <c r="AM35" s="1513"/>
      <c r="AN35" s="1007" t="s">
        <v>1036</v>
      </c>
      <c r="AO35" s="1007" t="s">
        <v>1051</v>
      </c>
      <c r="AP35" s="1007" cm="1" t="str">
        <f t="array" ref="AP35:AP35">AC35</f>
        <v>0</v>
      </c>
      <c r="AQ35" s="233"/>
      <c r="AR35" s="233" t="b">
        <v>1</v>
      </c>
    </row>
    <row s="1513" customFormat="1" customHeight="1" ht="14.625" hidden="1">
      <c r="A36" s="1513"/>
      <c r="B36" s="401"/>
      <c r="C36" s="843"/>
      <c r="D36" s="843"/>
      <c r="E36" s="844">
        <v>15</v>
      </c>
      <c r="F36" s="50" cm="1" t="str">
        <f t="array" ref="F36:F36">OFFSET(E36,-1,1)</f>
        <v>0</v>
      </c>
      <c r="G36" s="848" t="s">
        <v>1052</v>
      </c>
      <c r="H36" s="815" t="str">
        <f>H35&amp;"_1"</f>
        <v>l3_1</v>
      </c>
      <c r="I36" s="815" cm="1" t="str">
        <f t="array" ref="I36:I36">I35</f>
        <v>0</v>
      </c>
      <c r="J36" s="843"/>
      <c r="K36" s="456"/>
      <c r="L36" s="456"/>
      <c r="M36" s="843"/>
      <c r="N36" s="843"/>
      <c r="O36" s="843"/>
      <c r="P36" s="843"/>
      <c r="Q36" s="843"/>
      <c r="R36" s="843"/>
      <c r="S36" s="843"/>
      <c r="T36" s="438" cm="1" t="str">
        <f t="array" ref="T36:T36">T35</f>
        <v>false</v>
      </c>
      <c r="U36" s="843"/>
      <c r="V36" s="843"/>
      <c r="W36" s="843"/>
      <c r="X36" s="1564"/>
      <c r="Y36" s="1564"/>
      <c r="Z36" s="1565"/>
      <c r="AA36" s="1562"/>
      <c r="AB36" s="666" t="str">
        <f>AB35&amp;".1"</f>
        <v>3.0.1</v>
      </c>
      <c r="AC36" s="741" t="s">
        <v>1039</v>
      </c>
      <c r="AD36" s="742" t="s">
        <v>1040</v>
      </c>
      <c r="AE36" s="2658"/>
      <c r="AF36" s="2658"/>
      <c r="AG36" s="2658"/>
      <c r="AH36" s="2658"/>
      <c r="AI36" s="264"/>
      <c r="AJ36" s="264"/>
      <c r="AK36" s="1798"/>
      <c r="AL36" s="1513"/>
      <c r="AM36" s="1513"/>
      <c r="AN36" s="1007" t="s">
        <v>1041</v>
      </c>
      <c r="AO36" s="1007" t="s">
        <v>1051</v>
      </c>
      <c r="AP36" s="1007" cm="1" t="str">
        <f t="array" ref="AP36:AP36">AP35</f>
        <v>0</v>
      </c>
      <c r="AQ36" s="233"/>
      <c r="AR36" s="233"/>
    </row>
    <row s="1513" customFormat="1" customHeight="1" ht="14.625" hidden="1">
      <c r="A37" s="1513"/>
      <c r="B37" s="401"/>
      <c r="C37" s="843"/>
      <c r="D37" s="843"/>
      <c r="E37" s="844">
        <v>15</v>
      </c>
      <c r="F37" s="50" cm="1" t="str">
        <f t="array" ref="F37:F37">OFFSET(E37,-1,1)</f>
        <v>0</v>
      </c>
      <c r="G37" s="815"/>
      <c r="H37" s="815" t="str">
        <f>H35&amp;"_2"</f>
        <v>l3_2</v>
      </c>
      <c r="I37" s="815" cm="1" t="str">
        <f t="array" ref="I37:I37">I36</f>
        <v>0</v>
      </c>
      <c r="J37" s="843"/>
      <c r="K37" s="456"/>
      <c r="L37" s="456"/>
      <c r="M37" s="843"/>
      <c r="N37" s="843"/>
      <c r="O37" s="843"/>
      <c r="P37" s="843"/>
      <c r="Q37" s="843"/>
      <c r="R37" s="843"/>
      <c r="S37" s="843"/>
      <c r="T37" s="438" cm="1" t="str">
        <f t="array" ref="T37:T37">T36</f>
        <v>false</v>
      </c>
      <c r="U37" s="843"/>
      <c r="V37" s="843"/>
      <c r="W37" s="843"/>
      <c r="X37" s="1564"/>
      <c r="Y37" s="1564"/>
      <c r="Z37" s="1565"/>
      <c r="AA37" s="1562"/>
      <c r="AB37" s="666" t="str">
        <f>AB35&amp;".2"</f>
        <v>3.0.2</v>
      </c>
      <c r="AC37" s="741" t="s">
        <v>1042</v>
      </c>
      <c r="AD37" s="742" t="s">
        <v>1043</v>
      </c>
      <c r="AE37" s="2658"/>
      <c r="AF37" s="2658"/>
      <c r="AG37" s="2658"/>
      <c r="AH37" s="2658"/>
      <c r="AI37" s="264"/>
      <c r="AJ37" s="264"/>
      <c r="AK37" s="1798"/>
      <c r="AL37" s="1513"/>
      <c r="AM37" s="1513"/>
      <c r="AN37" s="1007" t="s">
        <v>1044</v>
      </c>
      <c r="AO37" s="1007" t="s">
        <v>1051</v>
      </c>
      <c r="AP37" s="1007" cm="1" t="str">
        <f t="array" ref="AP37:AP37">AP36</f>
        <v>0</v>
      </c>
      <c r="AQ37" s="233"/>
      <c r="AR37" s="233"/>
    </row>
    <row s="1513" customFormat="1" customHeight="1" ht="14.625" hidden="1">
      <c r="A38" s="1513"/>
      <c r="B38" s="401"/>
      <c r="C38" s="843"/>
      <c r="D38" s="843"/>
      <c r="E38" s="844">
        <v>15</v>
      </c>
      <c r="F38" s="50" cm="1" t="str">
        <f t="array" ref="F38:F38">OFFSET(E38,-1,1)</f>
        <v>0</v>
      </c>
      <c r="G38" s="340"/>
      <c r="H38" s="815"/>
      <c r="I38" s="118" t="str">
        <f>"!=='не определено' &amp;&amp; row.l3 !== null"</f>
        <v>!=='не определено' &amp;&amp; row.l3 !== null</v>
      </c>
      <c r="J38" s="843"/>
      <c r="K38" s="456"/>
      <c r="L38" s="456"/>
      <c r="M38" s="843"/>
      <c r="N38" s="843"/>
      <c r="O38" s="843"/>
      <c r="P38" s="843"/>
      <c r="Q38" s="843"/>
      <c r="R38" s="843"/>
      <c r="S38" s="843"/>
      <c r="T38" s="438">
        <f>F38&gt;0</f>
        <v>0</v>
      </c>
      <c r="U38" s="843"/>
      <c r="V38" s="843"/>
      <c r="W38" s="733" t="s">
        <v>837</v>
      </c>
      <c r="X38" s="1564"/>
      <c r="Y38" s="849"/>
      <c r="Z38" s="1565"/>
      <c r="AA38" s="843"/>
      <c r="AB38" s="850"/>
      <c r="AC38" s="226" t="s">
        <v>176</v>
      </c>
      <c r="AD38" s="752"/>
      <c r="AE38" s="752"/>
      <c r="AF38" s="752"/>
      <c r="AG38" s="752"/>
      <c r="AH38" s="752"/>
      <c r="AI38" s="752"/>
      <c r="AJ38" s="752"/>
      <c r="AK38" s="753"/>
      <c r="AL38" s="1513"/>
      <c r="AM38" s="1513"/>
      <c r="AN38" s="1007"/>
      <c r="AO38" s="1007"/>
      <c r="AP38" s="1007"/>
      <c r="AQ38" s="233" t="s">
        <v>1051</v>
      </c>
      <c r="AR38" s="233"/>
    </row>
    <row s="1513" customFormat="1" customHeight="1" ht="21.9375" hidden="1">
      <c r="A39" s="1513"/>
      <c r="B39" s="401"/>
      <c r="C39" s="843"/>
      <c r="D39" s="843"/>
      <c r="E39" s="844">
        <v>22.5</v>
      </c>
      <c r="F39" s="50" cm="1" t="str">
        <f t="array" ref="F39:F39">OFFSET(E39,-1,1)</f>
        <v>0</v>
      </c>
      <c r="G39" s="340" t="s">
        <v>1053</v>
      </c>
      <c r="H39" s="815" t="s">
        <v>325</v>
      </c>
      <c r="I39" s="815"/>
      <c r="J39" s="843"/>
      <c r="K39" s="456" t="str">
        <f>F39&amp;"4komm"</f>
        <v>04komm</v>
      </c>
      <c r="L39" s="893" cm="1" t="str">
        <f t="array" ref="L39:L39">AK39</f>
        <v>0</v>
      </c>
      <c r="M39" s="843"/>
      <c r="N39" s="843"/>
      <c r="O39" s="843"/>
      <c r="P39" s="843"/>
      <c r="Q39" s="843"/>
      <c r="R39" s="843"/>
      <c r="S39" s="843"/>
      <c r="T39" s="438" cm="1" t="str">
        <f t="array" ref="T39:T39">T38</f>
        <v>false</v>
      </c>
      <c r="U39" s="843"/>
      <c r="V39" s="843"/>
      <c r="W39" s="843"/>
      <c r="X39" s="1564"/>
      <c r="Y39" s="849"/>
      <c r="Z39" s="1565"/>
      <c r="AA39" s="843"/>
      <c r="AB39" s="666" t="s">
        <v>530</v>
      </c>
      <c r="AC39" s="823" t="s">
        <v>1054</v>
      </c>
      <c r="AD39" s="742" t="s">
        <v>789</v>
      </c>
      <c r="AE39" s="2655">
        <f>AE34*_xlfn.SUMIFS(INDEX(Сценарии!$AE$25:$BF$82,,MATCH(AE$13,Сценарии!$AE$8:$BF$8,0)),Сценарии!$F$25:$F$82,$F39,Сценарии!$G$25:$G$82,"СВФОТ")/100</f>
        <v>0</v>
      </c>
      <c r="AF39" s="2655">
        <f>AF34*_xlfn.SUMIFS(INDEX(Сценарии!$AE$25:$BF$82,,MATCH(AF$13,Сценарии!$AE$8:$BF$8,0)),Сценарии!$F$25:$F$82,$F39,Сценарии!$G$25:$G$82,"СВФОТ")/100</f>
        <v>0</v>
      </c>
      <c r="AG39" s="2655">
        <f>AG34*_xlfn.SUMIFS(INDEX(Сценарии!$AE$25:$BF$82,,MATCH(AG$13,Сценарии!$AE$8:$BF$8,0)),Сценарии!$F$25:$F$82,$F39,Сценарии!$G$25:$G$82,"СВФОТ")/100</f>
        <v>0</v>
      </c>
      <c r="AH39" s="2655">
        <f>AH34*_xlfn.SUMIFS(INDEX(Сценарии!$AE$25:$BF$82,,MATCH(AH$13,Сценарии!$AE$8:$BF$8,0)),Сценарии!$F$25:$F$82,$F39,Сценарии!$G$25:$G$82,"СВФОТ")/100</f>
        <v>0</v>
      </c>
      <c r="AI39" s="264">
        <f>AI34*_xlfn.SUMIFS(INDEX(Сценарии!$AE$25:$BF$82,,MATCH(AI$13,Сценарии!$AE$8:$BF$8,0)),Сценарии!$F$25:$F$82,$F39,Сценарии!$G$25:$G$82,"СВФОТ")/100</f>
        <v>0</v>
      </c>
      <c r="AJ39" s="264">
        <f>AJ34*_xlfn.SUMIFS(INDEX(Сценарии!$AE$25:$BF$82,,MATCH(AJ$13,Сценарии!$AE$8:$BF$8,0)),Сценарии!$F$25:$F$82,$F39,Сценарии!$G$25:$G$82,"СВФОТ")/100</f>
        <v>0</v>
      </c>
      <c r="AK39" s="1798"/>
      <c r="AL39" s="1513"/>
      <c r="AM39" s="1513"/>
      <c r="AN39" s="1007" t="s">
        <v>1055</v>
      </c>
      <c r="AO39" s="1007"/>
      <c r="AP39" s="1007"/>
      <c r="AQ39" s="233"/>
      <c r="AR39" s="233"/>
    </row>
    <row s="1513" customFormat="1" customHeight="1" ht="21.9375" hidden="1">
      <c r="A40" s="1513"/>
      <c r="B40" s="401"/>
      <c r="C40" s="843"/>
      <c r="D40" s="843"/>
      <c r="E40" s="844">
        <v>22.5</v>
      </c>
      <c r="F40" s="50" cm="1" t="str">
        <f t="array" ref="F40:F40">OFFSET(E40,-1,1)</f>
        <v>0</v>
      </c>
      <c r="G40" s="340" t="s">
        <v>1056</v>
      </c>
      <c r="H40" s="815" t="s">
        <v>324</v>
      </c>
      <c r="I40" s="815"/>
      <c r="J40" s="843"/>
      <c r="K40" s="456" t="str">
        <f>F40&amp;"5komm"</f>
        <v>05komm</v>
      </c>
      <c r="L40" s="893" cm="1" t="str">
        <f t="array" ref="L40:L40">AK40</f>
        <v>0</v>
      </c>
      <c r="M40" s="843"/>
      <c r="N40" s="843"/>
      <c r="O40" s="843"/>
      <c r="P40" s="843"/>
      <c r="Q40" s="843"/>
      <c r="R40" s="843"/>
      <c r="S40" s="843"/>
      <c r="T40" s="438" cm="1" t="str">
        <f t="array" ref="T40:T40">T39</f>
        <v>false</v>
      </c>
      <c r="U40" s="843"/>
      <c r="V40" s="843"/>
      <c r="W40" s="843"/>
      <c r="X40" s="1564"/>
      <c r="Y40" s="849"/>
      <c r="Z40" s="1565"/>
      <c r="AA40" s="843"/>
      <c r="AB40" s="666" t="s">
        <v>485</v>
      </c>
      <c r="AC40" s="823" t="s">
        <v>1057</v>
      </c>
      <c r="AD40" s="742" t="s">
        <v>789</v>
      </c>
      <c r="AE40" s="2655"/>
      <c r="AF40" s="2655"/>
      <c r="AG40" s="2655"/>
      <c r="AH40" s="2655"/>
      <c r="AI40" s="179">
        <f>_xlfn.SUMIFS(AI41:AI44,$AD41:$AD44,$AD40)</f>
        <v>0</v>
      </c>
      <c r="AJ40" s="179">
        <f>_xlfn.SUMIFS(AJ41:AJ44,$AD41:$AD44,$AD40)</f>
        <v>0</v>
      </c>
      <c r="AK40" s="1798"/>
      <c r="AL40" s="1513"/>
      <c r="AM40" s="1513"/>
      <c r="AN40" s="1007" t="s">
        <v>1058</v>
      </c>
      <c r="AO40" s="1007"/>
      <c r="AP40" s="1007"/>
      <c r="AQ40" s="233"/>
      <c r="AR40" s="233"/>
    </row>
    <row s="1513" customFormat="1" customHeight="1" ht="18.28125" hidden="1">
      <c r="A41" s="1513"/>
      <c r="B41" s="401"/>
      <c r="C41" s="843"/>
      <c r="D41" s="843"/>
      <c r="E41" s="844">
        <v>18.75</v>
      </c>
      <c r="F41" s="50" cm="1" t="str">
        <f t="array" ref="F41:F41">OFFSET(E41,-1,1)</f>
        <v>0</v>
      </c>
      <c r="G41" s="815"/>
      <c r="H41" s="815" t="s">
        <v>324</v>
      </c>
      <c r="I41" s="815" cm="1" t="str">
        <f t="array" ref="I41:I41">AC41</f>
        <v>0</v>
      </c>
      <c r="J41" s="843"/>
      <c r="K41" s="456"/>
      <c r="L41" s="456"/>
      <c r="M41" s="843"/>
      <c r="N41" s="843"/>
      <c r="O41" s="843"/>
      <c r="P41" s="843"/>
      <c r="Q41" s="843"/>
      <c r="R41" s="843"/>
      <c r="S41" s="843"/>
      <c r="T41" s="438">
        <f>AND(F41&gt;0,Y41&gt;0)</f>
        <v>0</v>
      </c>
      <c r="U41" s="843"/>
      <c r="V41" s="843"/>
      <c r="W41" s="843" t="s">
        <v>172</v>
      </c>
      <c r="X41" s="1564"/>
      <c r="Y41" s="1564">
        <v>0</v>
      </c>
      <c r="Z41" s="1565"/>
      <c r="AA41" s="1562" t="s">
        <v>173</v>
      </c>
      <c r="AB41" s="266" t="str">
        <f>"5."&amp;Y41</f>
        <v>5.0</v>
      </c>
      <c r="AC41" s="2657"/>
      <c r="AD41" s="742" t="s">
        <v>789</v>
      </c>
      <c r="AE41" s="2658"/>
      <c r="AF41" s="2658"/>
      <c r="AG41" s="2658"/>
      <c r="AH41" s="2658"/>
      <c r="AI41" s="748">
        <f>AI42*AI43*12/1000</f>
        <v>0</v>
      </c>
      <c r="AJ41" s="748">
        <f>AJ42*AJ43*12/1000</f>
        <v>0</v>
      </c>
      <c r="AK41" s="1798"/>
      <c r="AL41" s="1513"/>
      <c r="AM41" s="1513"/>
      <c r="AN41" s="1007" t="s">
        <v>1036</v>
      </c>
      <c r="AO41" s="1007" t="s">
        <v>1059</v>
      </c>
      <c r="AP41" s="1007" cm="1" t="str">
        <f t="array" ref="AP41:AP41">AC41</f>
        <v>0</v>
      </c>
      <c r="AQ41" s="233"/>
      <c r="AR41" s="233" t="b">
        <v>1</v>
      </c>
    </row>
    <row s="1513" customFormat="1" customHeight="1" ht="14.625" hidden="1">
      <c r="A42" s="1513"/>
      <c r="B42" s="401"/>
      <c r="C42" s="843"/>
      <c r="D42" s="843"/>
      <c r="E42" s="844">
        <v>15</v>
      </c>
      <c r="F42" s="50" cm="1" t="str">
        <f t="array" ref="F42:F42">OFFSET(E42,-1,1)</f>
        <v>0</v>
      </c>
      <c r="G42" s="815"/>
      <c r="H42" s="815" t="str">
        <f>H41&amp;"_1"</f>
        <v>l5_1</v>
      </c>
      <c r="I42" s="815" cm="1" t="str">
        <f t="array" ref="I42:I42">I41</f>
        <v>0</v>
      </c>
      <c r="J42" s="843"/>
      <c r="K42" s="456"/>
      <c r="L42" s="456"/>
      <c r="M42" s="843"/>
      <c r="N42" s="843"/>
      <c r="O42" s="843"/>
      <c r="P42" s="843"/>
      <c r="Q42" s="843"/>
      <c r="R42" s="843"/>
      <c r="S42" s="843"/>
      <c r="T42" s="438" cm="1" t="str">
        <f t="array" ref="T42:T42">T41</f>
        <v>false</v>
      </c>
      <c r="U42" s="843"/>
      <c r="V42" s="843"/>
      <c r="W42" s="843"/>
      <c r="X42" s="1564"/>
      <c r="Y42" s="1564"/>
      <c r="Z42" s="1565"/>
      <c r="AA42" s="1562"/>
      <c r="AB42" s="666" t="str">
        <f>AB41&amp;".1"</f>
        <v>5.0.1</v>
      </c>
      <c r="AC42" s="741" t="s">
        <v>1039</v>
      </c>
      <c r="AD42" s="742" t="s">
        <v>1040</v>
      </c>
      <c r="AE42" s="2658"/>
      <c r="AF42" s="2658"/>
      <c r="AG42" s="2658"/>
      <c r="AH42" s="2658"/>
      <c r="AI42" s="264"/>
      <c r="AJ42" s="264"/>
      <c r="AK42" s="1798"/>
      <c r="AL42" s="1513"/>
      <c r="AM42" s="1513"/>
      <c r="AN42" s="1007" t="s">
        <v>1041</v>
      </c>
      <c r="AO42" s="1007" t="s">
        <v>1059</v>
      </c>
      <c r="AP42" s="1007" cm="1" t="str">
        <f t="array" ref="AP42:AP42">AP41</f>
        <v>0</v>
      </c>
      <c r="AQ42" s="233"/>
      <c r="AR42" s="233"/>
    </row>
    <row s="1513" customFormat="1" customHeight="1" ht="14.625" hidden="1">
      <c r="A43" s="1513"/>
      <c r="B43" s="401"/>
      <c r="C43" s="843"/>
      <c r="D43" s="843"/>
      <c r="E43" s="844">
        <v>15</v>
      </c>
      <c r="F43" s="50" cm="1" t="str">
        <f t="array" ref="F43:F43">OFFSET(E43,-1,1)</f>
        <v>0</v>
      </c>
      <c r="G43" s="815"/>
      <c r="H43" s="815" t="str">
        <f>H41&amp;"_2"</f>
        <v>l5_2</v>
      </c>
      <c r="I43" s="815" cm="1" t="str">
        <f t="array" ref="I43:I43">I42</f>
        <v>0</v>
      </c>
      <c r="J43" s="843"/>
      <c r="K43" s="456"/>
      <c r="L43" s="456"/>
      <c r="M43" s="843"/>
      <c r="N43" s="843"/>
      <c r="O43" s="843"/>
      <c r="P43" s="843"/>
      <c r="Q43" s="843"/>
      <c r="R43" s="843"/>
      <c r="S43" s="843"/>
      <c r="T43" s="438" cm="1" t="str">
        <f t="array" ref="T43:T43">T42</f>
        <v>false</v>
      </c>
      <c r="U43" s="843"/>
      <c r="V43" s="843"/>
      <c r="W43" s="843"/>
      <c r="X43" s="1564"/>
      <c r="Y43" s="1564"/>
      <c r="Z43" s="1565"/>
      <c r="AA43" s="1562"/>
      <c r="AB43" s="666" t="str">
        <f>AB41&amp;".2"</f>
        <v>5.0.2</v>
      </c>
      <c r="AC43" s="741" t="s">
        <v>1042</v>
      </c>
      <c r="AD43" s="742" t="s">
        <v>1043</v>
      </c>
      <c r="AE43" s="2658"/>
      <c r="AF43" s="2658"/>
      <c r="AG43" s="2658"/>
      <c r="AH43" s="2658"/>
      <c r="AI43" s="264"/>
      <c r="AJ43" s="264"/>
      <c r="AK43" s="1798"/>
      <c r="AL43" s="1513"/>
      <c r="AM43" s="1513"/>
      <c r="AN43" s="1007" t="s">
        <v>1044</v>
      </c>
      <c r="AO43" s="1007" t="s">
        <v>1059</v>
      </c>
      <c r="AP43" s="1007" cm="1" t="str">
        <f t="array" ref="AP43:AP43">AP42</f>
        <v>0</v>
      </c>
      <c r="AQ43" s="233"/>
      <c r="AR43" s="233"/>
    </row>
    <row s="1513" customFormat="1" customHeight="1" ht="14.625" hidden="1">
      <c r="A44" s="1513"/>
      <c r="B44" s="401"/>
      <c r="C44" s="843"/>
      <c r="D44" s="843"/>
      <c r="E44" s="844">
        <v>15</v>
      </c>
      <c r="F44" s="50" cm="1" t="str">
        <f t="array" ref="F44:F44">OFFSET(E44,-1,1)</f>
        <v>0</v>
      </c>
      <c r="G44" s="340"/>
      <c r="H44" s="815"/>
      <c r="I44" s="118" t="str">
        <f>"!=='не определено' &amp;&amp; row.l5 !== null"</f>
        <v>!=='не определено' &amp;&amp; row.l5 !== null</v>
      </c>
      <c r="J44" s="843"/>
      <c r="K44" s="456"/>
      <c r="L44" s="456"/>
      <c r="M44" s="843"/>
      <c r="N44" s="843"/>
      <c r="O44" s="843"/>
      <c r="P44" s="843"/>
      <c r="Q44" s="843"/>
      <c r="R44" s="843"/>
      <c r="S44" s="843"/>
      <c r="T44" s="438">
        <f>F44&gt;0</f>
        <v>0</v>
      </c>
      <c r="U44" s="843"/>
      <c r="V44" s="843"/>
      <c r="W44" s="733" t="s">
        <v>1060</v>
      </c>
      <c r="X44" s="1564"/>
      <c r="Y44" s="849"/>
      <c r="Z44" s="1565"/>
      <c r="AA44" s="843"/>
      <c r="AB44" s="850"/>
      <c r="AC44" s="226" t="s">
        <v>176</v>
      </c>
      <c r="AD44" s="752"/>
      <c r="AE44" s="752"/>
      <c r="AF44" s="752"/>
      <c r="AG44" s="752"/>
      <c r="AH44" s="752"/>
      <c r="AI44" s="752"/>
      <c r="AJ44" s="752"/>
      <c r="AK44" s="753"/>
      <c r="AL44" s="1513"/>
      <c r="AM44" s="1513"/>
      <c r="AN44" s="1007"/>
      <c r="AO44" s="1007"/>
      <c r="AP44" s="1007"/>
      <c r="AQ44" s="233" t="s">
        <v>1059</v>
      </c>
      <c r="AR44" s="233"/>
    </row>
    <row s="1513" customFormat="1" customHeight="1" ht="21.9375" hidden="1">
      <c r="A45" s="1513"/>
      <c r="B45" s="401"/>
      <c r="C45" s="843"/>
      <c r="D45" s="843"/>
      <c r="E45" s="844">
        <v>22.5</v>
      </c>
      <c r="F45" s="50" cm="1" t="str">
        <f t="array" ref="F45:F45">OFFSET(E45,-1,1)</f>
        <v>0</v>
      </c>
      <c r="G45" s="340" t="s">
        <v>1061</v>
      </c>
      <c r="H45" s="815" t="s">
        <v>484</v>
      </c>
      <c r="I45" s="815"/>
      <c r="J45" s="843"/>
      <c r="K45" s="456" t="str">
        <f>F45&amp;"6komm"</f>
        <v>06komm</v>
      </c>
      <c r="L45" s="456" cm="1" t="str">
        <f t="array" ref="L45:L45">AK45</f>
        <v>0</v>
      </c>
      <c r="M45" s="843"/>
      <c r="N45" s="843"/>
      <c r="O45" s="843"/>
      <c r="P45" s="843"/>
      <c r="Q45" s="843"/>
      <c r="R45" s="843"/>
      <c r="S45" s="843"/>
      <c r="T45" s="438" cm="1" t="str">
        <f t="array" ref="T45:T45">T44</f>
        <v>false</v>
      </c>
      <c r="U45" s="843"/>
      <c r="V45" s="843"/>
      <c r="W45" s="843"/>
      <c r="X45" s="1564"/>
      <c r="Y45" s="849"/>
      <c r="Z45" s="1565"/>
      <c r="AA45" s="843"/>
      <c r="AB45" s="666" t="s">
        <v>489</v>
      </c>
      <c r="AC45" s="823" t="s">
        <v>1062</v>
      </c>
      <c r="AD45" s="742" t="s">
        <v>789</v>
      </c>
      <c r="AE45" s="2655">
        <f>AE40*_xlfn.SUMIFS(INDEX(Сценарии!$AE$25:$BF$82,,MATCH(AE$13,Сценарии!$AE$8:$BF$8,0)),Сценарии!$F$25:$F$82,$F45,Сценарии!$G$25:$G$82,"СВФОТ")/100</f>
        <v>0</v>
      </c>
      <c r="AF45" s="2655">
        <f>AF40*_xlfn.SUMIFS(INDEX(Сценарии!$AE$25:$BF$82,,MATCH(AF$13,Сценарии!$AE$8:$BF$8,0)),Сценарии!$F$25:$F$82,$F45,Сценарии!$G$25:$G$82,"СВФОТ")/100</f>
        <v>0</v>
      </c>
      <c r="AG45" s="2655">
        <f>AG40*_xlfn.SUMIFS(INDEX(Сценарии!$AE$25:$BF$82,,MATCH(AG$13,Сценарии!$AE$8:$BF$8,0)),Сценарии!$F$25:$F$82,$F45,Сценарии!$G$25:$G$82,"СВФОТ")/100</f>
        <v>0</v>
      </c>
      <c r="AH45" s="2655">
        <f>AH40*_xlfn.SUMIFS(INDEX(Сценарии!$AE$25:$BF$82,,MATCH(AH$13,Сценарии!$AE$8:$BF$8,0)),Сценарии!$F$25:$F$82,$F45,Сценарии!$G$25:$G$82,"СВФОТ")/100</f>
        <v>0</v>
      </c>
      <c r="AI45" s="264">
        <f>AI40*_xlfn.SUMIFS(INDEX(Сценарии!$AE$25:$BF$82,,MATCH(AI$13,Сценарии!$AE$8:$BF$8,0)),Сценарии!$F$25:$F$82,$F45,Сценарии!$G$25:$G$82,"СВФОТ")/100</f>
        <v>0</v>
      </c>
      <c r="AJ45" s="264">
        <f>AJ40*_xlfn.SUMIFS(INDEX(Сценарии!$AE$25:$BF$82,,MATCH(AJ$13,Сценарии!$AE$8:$BF$8,0)),Сценарии!$F$25:$F$82,$F45,Сценарии!$G$25:$G$82,"СВФОТ")/100</f>
        <v>0</v>
      </c>
      <c r="AK45" s="2665"/>
      <c r="AL45" s="1513"/>
      <c r="AM45" s="1513"/>
      <c r="AN45" s="1007" t="s">
        <v>1063</v>
      </c>
      <c r="AO45" s="1007"/>
      <c r="AP45" s="1007"/>
      <c r="AQ45" s="233"/>
      <c r="AR45" s="233"/>
    </row>
    <row s="1513" customFormat="1" customHeight="1" ht="14.625" hidden="1">
      <c r="A46" s="1513"/>
      <c r="B46" s="401"/>
      <c r="C46" s="843"/>
      <c r="D46" s="843"/>
      <c r="E46" s="844">
        <v>15</v>
      </c>
      <c r="F46" s="50" cm="1" t="str">
        <f t="array" ref="F46:F46">OFFSET(E46,-1,1)</f>
        <v>0</v>
      </c>
      <c r="G46" s="340" t="s">
        <v>1064</v>
      </c>
      <c r="H46" s="815" t="s">
        <v>488</v>
      </c>
      <c r="I46" s="815"/>
      <c r="J46" s="843"/>
      <c r="K46" s="456" t="str">
        <f>F46&amp;"7komm"</f>
        <v>07komm</v>
      </c>
      <c r="L46" s="456" cm="1" t="str">
        <f t="array" ref="L46:L46">AK46</f>
        <v>0</v>
      </c>
      <c r="M46" s="843"/>
      <c r="N46" s="843"/>
      <c r="O46" s="843"/>
      <c r="P46" s="843"/>
      <c r="Q46" s="843"/>
      <c r="R46" s="843"/>
      <c r="S46" s="843"/>
      <c r="T46" s="438" cm="1" t="str">
        <f t="array" ref="T46:T46">T45</f>
        <v>false</v>
      </c>
      <c r="U46" s="843"/>
      <c r="V46" s="843"/>
      <c r="W46" s="843"/>
      <c r="X46" s="1564"/>
      <c r="Y46" s="849"/>
      <c r="Z46" s="1565"/>
      <c r="AA46" s="843"/>
      <c r="AB46" s="666" t="s">
        <v>551</v>
      </c>
      <c r="AC46" s="823" t="s">
        <v>1065</v>
      </c>
      <c r="AD46" s="742" t="s">
        <v>789</v>
      </c>
      <c r="AE46" s="2655"/>
      <c r="AF46" s="2655"/>
      <c r="AG46" s="2655"/>
      <c r="AH46" s="2655"/>
      <c r="AI46" s="179">
        <f>_xlfn.SUMIFS(AI47:AI50,$AD47:$AD50,$AD46)</f>
        <v>0</v>
      </c>
      <c r="AJ46" s="179">
        <f>_xlfn.SUMIFS(AJ47:AJ50,$AD47:$AD50,$AD46)</f>
        <v>0</v>
      </c>
      <c r="AK46" s="2665"/>
      <c r="AL46" s="1513"/>
      <c r="AM46" s="1513"/>
      <c r="AN46" s="1007" t="s">
        <v>1066</v>
      </c>
      <c r="AO46" s="1007"/>
      <c r="AP46" s="1007"/>
      <c r="AQ46" s="233"/>
      <c r="AR46" s="233"/>
    </row>
    <row s="1513" customFormat="1" customHeight="1" ht="18.28125" hidden="1">
      <c r="A47" s="1513"/>
      <c r="B47" s="1513"/>
      <c r="C47" s="851"/>
      <c r="D47" s="851"/>
      <c r="E47" s="852">
        <v>18.75</v>
      </c>
      <c r="F47" s="50" cm="1" t="str">
        <f t="array" ref="F47:F47">OFFSET(E47,-1,1)</f>
        <v>0</v>
      </c>
      <c r="G47" s="848"/>
      <c r="H47" s="815" t="s">
        <v>488</v>
      </c>
      <c r="I47" s="848" cm="1" t="str">
        <f t="array" ref="I47:I47">AC47</f>
        <v>0</v>
      </c>
      <c r="J47" s="851"/>
      <c r="K47" s="892"/>
      <c r="L47" s="892"/>
      <c r="M47" s="851"/>
      <c r="N47" s="851"/>
      <c r="O47" s="851"/>
      <c r="P47" s="851"/>
      <c r="Q47" s="851"/>
      <c r="R47" s="851"/>
      <c r="S47" s="851"/>
      <c r="T47" s="438">
        <f>AND(F47&gt;0,Y47&gt;0)</f>
        <v>0</v>
      </c>
      <c r="U47" s="851"/>
      <c r="V47" s="851"/>
      <c r="W47" s="843" t="s">
        <v>172</v>
      </c>
      <c r="X47" s="1564"/>
      <c r="Y47" s="1564">
        <v>0</v>
      </c>
      <c r="Z47" s="1565"/>
      <c r="AA47" s="1562" t="s">
        <v>173</v>
      </c>
      <c r="AB47" s="1200" t="str">
        <f>"7."&amp;Y47</f>
        <v>7.0</v>
      </c>
      <c r="AC47" s="2670"/>
      <c r="AD47" s="854" t="s">
        <v>789</v>
      </c>
      <c r="AE47" s="2672"/>
      <c r="AF47" s="2672"/>
      <c r="AG47" s="2672"/>
      <c r="AH47" s="2672"/>
      <c r="AI47" s="856">
        <f>AI48*AI49*12/1000</f>
        <v>0</v>
      </c>
      <c r="AJ47" s="856">
        <f>AJ48*AJ49*12/1000</f>
        <v>0</v>
      </c>
      <c r="AK47" s="2674"/>
      <c r="AL47" s="1513"/>
      <c r="AM47" s="1513"/>
      <c r="AN47" s="1007" t="s">
        <v>1036</v>
      </c>
      <c r="AO47" s="1023" t="s">
        <v>1067</v>
      </c>
      <c r="AP47" s="1007" cm="1" t="str">
        <f t="array" ref="AP47:AP47">AC47</f>
        <v>0</v>
      </c>
      <c r="AQ47" s="1024"/>
      <c r="AR47" s="233" t="b">
        <v>1</v>
      </c>
    </row>
    <row s="1513" customFormat="1" customHeight="1" ht="14.625" hidden="1">
      <c r="A48" s="1513"/>
      <c r="B48" s="1513"/>
      <c r="C48" s="851"/>
      <c r="D48" s="851"/>
      <c r="E48" s="852">
        <v>15</v>
      </c>
      <c r="F48" s="50" cm="1" t="str">
        <f t="array" ref="F48:F48">OFFSET(E48,-1,1)</f>
        <v>0</v>
      </c>
      <c r="G48" s="848"/>
      <c r="H48" s="848" t="str">
        <f>H47&amp;"_1"</f>
        <v>l7_1</v>
      </c>
      <c r="I48" s="848" cm="1" t="str">
        <f t="array" ref="I48:I48">I47</f>
        <v>0</v>
      </c>
      <c r="J48" s="851"/>
      <c r="K48" s="892"/>
      <c r="L48" s="892"/>
      <c r="M48" s="851"/>
      <c r="N48" s="851"/>
      <c r="O48" s="851"/>
      <c r="P48" s="851"/>
      <c r="Q48" s="851"/>
      <c r="R48" s="851"/>
      <c r="S48" s="851"/>
      <c r="T48" s="438" cm="1" t="str">
        <f t="array" ref="T48:T48">T47</f>
        <v>false</v>
      </c>
      <c r="U48" s="851"/>
      <c r="V48" s="851"/>
      <c r="W48" s="851"/>
      <c r="X48" s="1564"/>
      <c r="Y48" s="1564"/>
      <c r="Z48" s="1565"/>
      <c r="AA48" s="1562"/>
      <c r="AB48" s="858" t="str">
        <f>AB47&amp;".1"</f>
        <v>7.0.1</v>
      </c>
      <c r="AC48" s="859" t="s">
        <v>1039</v>
      </c>
      <c r="AD48" s="854" t="s">
        <v>1040</v>
      </c>
      <c r="AE48" s="2672"/>
      <c r="AF48" s="2672"/>
      <c r="AG48" s="2672"/>
      <c r="AH48" s="2672"/>
      <c r="AI48" s="860"/>
      <c r="AJ48" s="860"/>
      <c r="AK48" s="2674"/>
      <c r="AL48" s="1513"/>
      <c r="AM48" s="1513"/>
      <c r="AN48" s="1007" t="s">
        <v>1041</v>
      </c>
      <c r="AO48" s="1023" t="s">
        <v>1067</v>
      </c>
      <c r="AP48" s="1007" cm="1" t="str">
        <f t="array" ref="AP48:AP48">AP47</f>
        <v>0</v>
      </c>
      <c r="AQ48" s="1024"/>
      <c r="AR48" s="1024"/>
    </row>
    <row s="1513" customFormat="1" customHeight="1" ht="14.625" hidden="1">
      <c r="A49" s="1513"/>
      <c r="B49" s="1513"/>
      <c r="C49" s="851"/>
      <c r="D49" s="851"/>
      <c r="E49" s="852">
        <v>15</v>
      </c>
      <c r="F49" s="50" cm="1" t="str">
        <f t="array" ref="F49:F49">OFFSET(E49,-1,1)</f>
        <v>0</v>
      </c>
      <c r="G49" s="848"/>
      <c r="H49" s="848" t="str">
        <f>H47&amp;"_2"</f>
        <v>l7_2</v>
      </c>
      <c r="I49" s="848" cm="1" t="str">
        <f t="array" ref="I49:I49">I48</f>
        <v>0</v>
      </c>
      <c r="J49" s="851"/>
      <c r="K49" s="892"/>
      <c r="L49" s="892"/>
      <c r="M49" s="851"/>
      <c r="N49" s="851"/>
      <c r="O49" s="851"/>
      <c r="P49" s="851"/>
      <c r="Q49" s="851"/>
      <c r="R49" s="851"/>
      <c r="S49" s="851"/>
      <c r="T49" s="438" cm="1" t="str">
        <f t="array" ref="T49:T49">T48</f>
        <v>false</v>
      </c>
      <c r="U49" s="851"/>
      <c r="V49" s="851"/>
      <c r="W49" s="851"/>
      <c r="X49" s="1564"/>
      <c r="Y49" s="1564"/>
      <c r="Z49" s="1565"/>
      <c r="AA49" s="1562"/>
      <c r="AB49" s="858" t="str">
        <f>AB47&amp;".2"</f>
        <v>7.0.2</v>
      </c>
      <c r="AC49" s="859" t="s">
        <v>1042</v>
      </c>
      <c r="AD49" s="854" t="s">
        <v>1043</v>
      </c>
      <c r="AE49" s="2672"/>
      <c r="AF49" s="2672"/>
      <c r="AG49" s="2672"/>
      <c r="AH49" s="2672"/>
      <c r="AI49" s="860"/>
      <c r="AJ49" s="860"/>
      <c r="AK49" s="2674"/>
      <c r="AL49" s="1513"/>
      <c r="AM49" s="1513"/>
      <c r="AN49" s="1007" t="s">
        <v>1044</v>
      </c>
      <c r="AO49" s="1023" t="s">
        <v>1067</v>
      </c>
      <c r="AP49" s="1007" cm="1" t="str">
        <f t="array" ref="AP49:AP49">AP48</f>
        <v>0</v>
      </c>
      <c r="AQ49" s="1024"/>
      <c r="AR49" s="1024"/>
    </row>
    <row s="1513" customFormat="1" customHeight="1" ht="14.625" hidden="1">
      <c r="A50" s="1513"/>
      <c r="B50" s="401"/>
      <c r="C50" s="843"/>
      <c r="D50" s="843"/>
      <c r="E50" s="844">
        <v>15</v>
      </c>
      <c r="F50" s="50" cm="1" t="str">
        <f t="array" ref="F50:F50">OFFSET(E50,-1,1)</f>
        <v>0</v>
      </c>
      <c r="G50" s="340"/>
      <c r="H50" s="815"/>
      <c r="I50" s="118" t="str">
        <f>"!=='не определено' &amp;&amp; row.l7 !== null"</f>
        <v>!=='не определено' &amp;&amp; row.l7 !== null</v>
      </c>
      <c r="J50" s="843"/>
      <c r="K50" s="456"/>
      <c r="L50" s="456"/>
      <c r="M50" s="843"/>
      <c r="N50" s="843"/>
      <c r="O50" s="843"/>
      <c r="P50" s="843"/>
      <c r="Q50" s="843"/>
      <c r="R50" s="843"/>
      <c r="S50" s="843"/>
      <c r="T50" s="438">
        <f>F50&gt;0</f>
        <v>0</v>
      </c>
      <c r="U50" s="843"/>
      <c r="V50" s="843"/>
      <c r="W50" s="733" t="s">
        <v>1068</v>
      </c>
      <c r="X50" s="1564"/>
      <c r="Y50" s="843"/>
      <c r="Z50" s="1565"/>
      <c r="AA50" s="843"/>
      <c r="AB50" s="850"/>
      <c r="AC50" s="226" t="s">
        <v>176</v>
      </c>
      <c r="AD50" s="752"/>
      <c r="AE50" s="752"/>
      <c r="AF50" s="752"/>
      <c r="AG50" s="752"/>
      <c r="AH50" s="752"/>
      <c r="AI50" s="752"/>
      <c r="AJ50" s="752"/>
      <c r="AK50" s="753"/>
      <c r="AL50" s="1513"/>
      <c r="AM50" s="1513"/>
      <c r="AN50" s="1007"/>
      <c r="AO50" s="1007"/>
      <c r="AP50" s="1007"/>
      <c r="AQ50" s="1024" t="s">
        <v>1067</v>
      </c>
      <c r="AR50" s="233"/>
    </row>
    <row s="1513" customFormat="1" customHeight="1" ht="21.9375" hidden="1">
      <c r="A51" s="1513"/>
      <c r="B51" s="401"/>
      <c r="C51" s="843"/>
      <c r="D51" s="843"/>
      <c r="E51" s="844">
        <v>22.5</v>
      </c>
      <c r="F51" s="50" cm="1" t="str">
        <f t="array" ref="F51:F51">OFFSET(E51,-1,1)</f>
        <v>0</v>
      </c>
      <c r="G51" s="340" t="s">
        <v>1069</v>
      </c>
      <c r="H51" s="815" t="s">
        <v>535</v>
      </c>
      <c r="I51" s="815"/>
      <c r="J51" s="843"/>
      <c r="K51" s="456" t="str">
        <f>F51&amp;"8komm"</f>
        <v>08komm</v>
      </c>
      <c r="L51" s="893" cm="1" t="str">
        <f t="array" ref="L51:L51">AK51</f>
        <v>0</v>
      </c>
      <c r="M51" s="843"/>
      <c r="N51" s="843"/>
      <c r="O51" s="843"/>
      <c r="P51" s="843"/>
      <c r="Q51" s="843"/>
      <c r="R51" s="843"/>
      <c r="S51" s="843"/>
      <c r="T51" s="438" cm="1" t="str">
        <f t="array" ref="T51:T51">T50</f>
        <v>false</v>
      </c>
      <c r="U51" s="843"/>
      <c r="V51" s="843"/>
      <c r="W51" s="843"/>
      <c r="X51" s="1564"/>
      <c r="Y51" s="843"/>
      <c r="Z51" s="1565"/>
      <c r="AA51" s="843"/>
      <c r="AB51" s="666" t="s">
        <v>559</v>
      </c>
      <c r="AC51" s="823" t="s">
        <v>1070</v>
      </c>
      <c r="AD51" s="742" t="s">
        <v>789</v>
      </c>
      <c r="AE51" s="2655">
        <f>AE46*_xlfn.SUMIFS(INDEX(Сценарии!$AE$25:$BF$82,,MATCH(AE$13,Сценарии!$AE$8:$BF$8,0)),Сценарии!$F$25:$F$82,$F51,Сценарии!$G$25:$G$82,"СВФОТ")/100</f>
        <v>0</v>
      </c>
      <c r="AF51" s="2655">
        <f>AF46*_xlfn.SUMIFS(INDEX(Сценарии!$AE$25:$BF$82,,MATCH(AF$13,Сценарии!$AE$8:$BF$8,0)),Сценарии!$F$25:$F$82,$F51,Сценарии!$G$25:$G$82,"СВФОТ")/100</f>
        <v>0</v>
      </c>
      <c r="AG51" s="2655">
        <f>AG46*_xlfn.SUMIFS(INDEX(Сценарии!$AE$25:$BF$82,,MATCH(AG$13,Сценарии!$AE$8:$BF$8,0)),Сценарии!$F$25:$F$82,$F51,Сценарии!$G$25:$G$82,"СВФОТ")/100</f>
        <v>0</v>
      </c>
      <c r="AH51" s="2655">
        <f>AH46*_xlfn.SUMIFS(INDEX(Сценарии!$AE$25:$BF$82,,MATCH(AH$13,Сценарии!$AE$8:$BF$8,0)),Сценарии!$F$25:$F$82,$F51,Сценарии!$G$25:$G$82,"СВФОТ")/100</f>
        <v>0</v>
      </c>
      <c r="AI51" s="264">
        <f>AI46*_xlfn.SUMIFS(INDEX(Сценарии!$AE$25:$BF$82,,MATCH(AI$13,Сценарии!$AE$8:$BF$8,0)),Сценарии!$F$25:$F$82,$F51,Сценарии!$G$25:$G$82,"СВФОТ")/100</f>
        <v>0</v>
      </c>
      <c r="AJ51" s="264">
        <f>AJ46*_xlfn.SUMIFS(INDEX(Сценарии!$AE$25:$BF$82,,MATCH(AJ$13,Сценарии!$AE$8:$BF$8,0)),Сценарии!$F$25:$F$82,$F51,Сценарии!$G$25:$G$82,"СВФОТ")/100</f>
        <v>0</v>
      </c>
      <c r="AK51" s="1798"/>
      <c r="AL51" s="1513"/>
      <c r="AM51" s="1513"/>
      <c r="AN51" s="1007" t="s">
        <v>1071</v>
      </c>
      <c r="AO51" s="1007"/>
      <c r="AP51" s="1007"/>
      <c r="AQ51" s="233"/>
      <c r="AR51" s="233"/>
    </row>
    <row s="1401" customFormat="1" customHeight="1" ht="14.25">
      <c r="A52" s="1513"/>
      <c r="B52" s="401"/>
      <c r="C52" s="843"/>
      <c r="D52" s="843"/>
      <c r="E52" s="844">
        <v>15</v>
      </c>
      <c r="F52" s="466" cm="1" t="str">
        <f t="array" ref="F52:F52">X52</f>
        <v>1</v>
      </c>
      <c r="G52" s="815" t="s">
        <v>60</v>
      </c>
      <c r="H52" s="815"/>
      <c r="I52" s="815"/>
      <c r="J52" s="843"/>
      <c r="K52" s="456"/>
      <c r="L52" s="456"/>
      <c r="M52" s="843"/>
      <c r="N52" s="843"/>
      <c r="O52" s="843"/>
      <c r="P52" s="843"/>
      <c r="Q52" s="843"/>
      <c r="R52" s="843"/>
      <c r="S52" s="843"/>
      <c r="T52" s="438">
        <f>X52&gt;0</f>
        <v>1</v>
      </c>
      <c r="U52" s="843"/>
      <c r="V52" s="843" cm="1" t="str">
        <f t="array" ref="V52:V52">Покупка!$AB$57</f>
        <v>Тариф 1 (Водоотведение) - тариф на транспортировку сточных вод</v>
      </c>
      <c r="W52" s="843"/>
      <c r="X52" s="1564" t="s">
        <v>281</v>
      </c>
      <c r="Y52" s="843"/>
      <c r="Z52" s="1565"/>
      <c r="AA52" s="843"/>
      <c r="AB52" s="208" cm="1" t="str">
        <f t="array" ref="AB52:AB52">Покупка!$AB$57</f>
        <v>Тариф 1 (Водоотведение) - тариф на транспортировку сточных вод</v>
      </c>
      <c r="AC52" s="845"/>
      <c r="AD52" s="845"/>
      <c r="AE52" s="846">
        <f>AE53+AE58+AE59+AE64+AE65+AE70+AE71+AE76</f>
        <v>0</v>
      </c>
      <c r="AF52" s="846">
        <f>AF53+AF58+AF59+AF64+AF65+AF70+AF71+AF76</f>
        <v>0</v>
      </c>
      <c r="AG52" s="846">
        <f>AG53+AG58+AG59+AG64+AG65+AG70+AG71+AG76</f>
        <v>0</v>
      </c>
      <c r="AH52" s="846">
        <f>AH53+AH58+AH59+AH64+AH65+AH70+AH71+AH76</f>
        <v>0</v>
      </c>
      <c r="AI52" s="846">
        <f>AI53+AI58+AI59+AI64+AI65+AI70+AI71+AI76</f>
        <v>0</v>
      </c>
      <c r="AJ52" s="846">
        <f>AJ53+AJ58+AJ59+AJ64+AJ65+AJ70+AJ71+AJ76</f>
        <v>0</v>
      </c>
      <c r="AK52" s="846"/>
      <c r="AL52" s="1513"/>
      <c r="AM52" s="1513"/>
      <c r="AN52" s="1007"/>
      <c r="AO52" s="1007"/>
      <c r="AP52" s="1007"/>
      <c r="AQ52" s="233"/>
      <c r="AR52" s="233"/>
    </row>
    <row s="1401" customFormat="1" customHeight="1" ht="21.75">
      <c r="A53" s="1513"/>
      <c r="B53" s="401"/>
      <c r="C53" s="843"/>
      <c r="D53" s="843"/>
      <c r="E53" s="844">
        <v>22.5</v>
      </c>
      <c r="F53" s="50" cm="1" t="str">
        <f t="array" ref="F53:F53">OFFSET(E53,-1,1)</f>
        <v>1</v>
      </c>
      <c r="G53" s="340" t="s">
        <v>1033</v>
      </c>
      <c r="H53" s="815" t="s">
        <v>321</v>
      </c>
      <c r="I53" s="815"/>
      <c r="J53" s="843"/>
      <c r="K53" s="456" t="str">
        <f>F53&amp;"1komm"</f>
        <v>11komm</v>
      </c>
      <c r="L53" s="893" cm="1" t="str">
        <f t="array" ref="L53:L53">AK53</f>
        <v>0</v>
      </c>
      <c r="M53" s="843"/>
      <c r="N53" s="843"/>
      <c r="O53" s="843"/>
      <c r="P53" s="843"/>
      <c r="Q53" s="843"/>
      <c r="R53" s="843"/>
      <c r="S53" s="843"/>
      <c r="T53" s="438" cm="1" t="str">
        <f t="array" ref="T53:T53">T52</f>
        <v>true</v>
      </c>
      <c r="U53" s="843"/>
      <c r="V53" s="843"/>
      <c r="W53" s="843"/>
      <c r="X53" s="1564"/>
      <c r="Y53" s="843"/>
      <c r="Z53" s="1565"/>
      <c r="AA53" s="843"/>
      <c r="AB53" s="666">
        <v>1</v>
      </c>
      <c r="AC53" s="823" t="s">
        <v>1034</v>
      </c>
      <c r="AD53" s="742" t="s">
        <v>789</v>
      </c>
      <c r="AE53" s="264"/>
      <c r="AF53" s="264"/>
      <c r="AG53" s="264"/>
      <c r="AH53" s="264"/>
      <c r="AI53" s="179">
        <f>_xlfn.SUMIFS(AI54:AI57,$AD54:$AD57,$AD53)</f>
        <v>0</v>
      </c>
      <c r="AJ53" s="179">
        <f>_xlfn.SUMIFS(AJ54:AJ57,$AD54:$AD57,$AD53)</f>
        <v>0</v>
      </c>
      <c r="AK53" s="822"/>
      <c r="AL53" s="1513"/>
      <c r="AM53" s="1513"/>
      <c r="AN53" s="1007" t="s">
        <v>1035</v>
      </c>
      <c r="AO53" s="1007"/>
      <c r="AP53" s="1007"/>
      <c r="AQ53" s="233"/>
      <c r="AR53" s="233"/>
    </row>
    <row s="1401" customFormat="1" customHeight="1" ht="18" hidden="1">
      <c r="A54" s="1513"/>
      <c r="B54" s="401"/>
      <c r="C54" s="843"/>
      <c r="D54" s="843"/>
      <c r="E54" s="844">
        <v>18.75</v>
      </c>
      <c r="F54" s="50" cm="1" t="str">
        <f t="array" ref="F54:F54">OFFSET(E54,-1,1)</f>
        <v>1</v>
      </c>
      <c r="G54" s="815"/>
      <c r="H54" s="815" t="s">
        <v>321</v>
      </c>
      <c r="I54" s="815" cm="1" t="str">
        <f t="array" ref="I54:I54">AC54</f>
        <v>0</v>
      </c>
      <c r="J54" s="843"/>
      <c r="K54" s="456"/>
      <c r="L54" s="456"/>
      <c r="M54" s="843"/>
      <c r="N54" s="843"/>
      <c r="O54" s="843"/>
      <c r="P54" s="843"/>
      <c r="Q54" s="843"/>
      <c r="R54" s="843"/>
      <c r="S54" s="843"/>
      <c r="T54" s="438">
        <f>AND(F54&gt;0,Y54&gt;0)</f>
        <v>0</v>
      </c>
      <c r="U54" s="843"/>
      <c r="V54" s="843"/>
      <c r="W54" s="843" t="s">
        <v>172</v>
      </c>
      <c r="X54" s="1564"/>
      <c r="Y54" s="1564">
        <v>0</v>
      </c>
      <c r="Z54" s="1565"/>
      <c r="AA54" s="1562" t="s">
        <v>173</v>
      </c>
      <c r="AB54" s="266" t="str">
        <f>"1."&amp;Y54</f>
        <v>1.0</v>
      </c>
      <c r="AC54" s="2657"/>
      <c r="AD54" s="742" t="s">
        <v>789</v>
      </c>
      <c r="AE54" s="2658"/>
      <c r="AF54" s="2658"/>
      <c r="AG54" s="2658"/>
      <c r="AH54" s="2658"/>
      <c r="AI54" s="748">
        <f>AI55*AI56*12/1000</f>
        <v>0</v>
      </c>
      <c r="AJ54" s="748">
        <f>AJ55*AJ56*12/1000</f>
        <v>0</v>
      </c>
      <c r="AK54" s="1798"/>
      <c r="AL54" s="1513"/>
      <c r="AM54" s="1513"/>
      <c r="AN54" s="1007" t="s">
        <v>1036</v>
      </c>
      <c r="AO54" s="1007" t="s">
        <v>1037</v>
      </c>
      <c r="AP54" s="1007" cm="1" t="str">
        <f t="array" ref="AP54:AP54">AC54</f>
        <v>0</v>
      </c>
      <c r="AQ54" s="233"/>
      <c r="AR54" s="233" t="b">
        <v>1</v>
      </c>
    </row>
    <row s="1401" customFormat="1" customHeight="1" ht="14.25" hidden="1">
      <c r="A55" s="1513"/>
      <c r="B55" s="401"/>
      <c r="C55" s="843"/>
      <c r="D55" s="843"/>
      <c r="E55" s="844">
        <v>15</v>
      </c>
      <c r="F55" s="50" cm="1" t="str">
        <f t="array" ref="F55:F55">OFFSET(E55,-1,1)</f>
        <v>1</v>
      </c>
      <c r="G55" s="848" t="s">
        <v>1038</v>
      </c>
      <c r="H55" s="815" t="str">
        <f>H54&amp;"_1"</f>
        <v>l1_1</v>
      </c>
      <c r="I55" s="815" cm="1" t="str">
        <f t="array" ref="I55:I55">I54</f>
        <v>0</v>
      </c>
      <c r="J55" s="843"/>
      <c r="K55" s="456"/>
      <c r="L55" s="456"/>
      <c r="M55" s="843"/>
      <c r="N55" s="843"/>
      <c r="O55" s="843"/>
      <c r="P55" s="843"/>
      <c r="Q55" s="843"/>
      <c r="R55" s="843"/>
      <c r="S55" s="843"/>
      <c r="T55" s="438" cm="1" t="str">
        <f t="array" ref="T55:T55">T54</f>
        <v>false</v>
      </c>
      <c r="U55" s="843"/>
      <c r="V55" s="843"/>
      <c r="W55" s="843"/>
      <c r="X55" s="1564"/>
      <c r="Y55" s="1564"/>
      <c r="Z55" s="1565"/>
      <c r="AA55" s="1562"/>
      <c r="AB55" s="666" t="str">
        <f>AB54&amp;".1"</f>
        <v>1.0.1</v>
      </c>
      <c r="AC55" s="741" t="s">
        <v>1039</v>
      </c>
      <c r="AD55" s="742" t="s">
        <v>1040</v>
      </c>
      <c r="AE55" s="2658"/>
      <c r="AF55" s="2658"/>
      <c r="AG55" s="2658"/>
      <c r="AH55" s="2658"/>
      <c r="AI55" s="264"/>
      <c r="AJ55" s="264"/>
      <c r="AK55" s="1798"/>
      <c r="AL55" s="1513"/>
      <c r="AM55" s="1513"/>
      <c r="AN55" s="1007" t="s">
        <v>1041</v>
      </c>
      <c r="AO55" s="1007" t="s">
        <v>1037</v>
      </c>
      <c r="AP55" s="1007" cm="1" t="str">
        <f t="array" ref="AP55:AP55">AP54</f>
        <v>0</v>
      </c>
      <c r="AQ55" s="233"/>
      <c r="AR55" s="233"/>
    </row>
    <row s="1401" customFormat="1" customHeight="1" ht="14.25" hidden="1">
      <c r="A56" s="1513"/>
      <c r="B56" s="401"/>
      <c r="C56" s="843"/>
      <c r="D56" s="843"/>
      <c r="E56" s="844">
        <v>15</v>
      </c>
      <c r="F56" s="50" cm="1" t="str">
        <f t="array" ref="F56:F56">OFFSET(E56,-1,1)</f>
        <v>1</v>
      </c>
      <c r="G56" s="815"/>
      <c r="H56" s="815" t="str">
        <f>H54&amp;"_2"</f>
        <v>l1_2</v>
      </c>
      <c r="I56" s="815" cm="1" t="str">
        <f t="array" ref="I56:I56">I55</f>
        <v>0</v>
      </c>
      <c r="J56" s="843"/>
      <c r="K56" s="456"/>
      <c r="L56" s="456"/>
      <c r="M56" s="843"/>
      <c r="N56" s="843"/>
      <c r="O56" s="843"/>
      <c r="P56" s="843"/>
      <c r="Q56" s="843"/>
      <c r="R56" s="843"/>
      <c r="S56" s="843"/>
      <c r="T56" s="438" cm="1" t="str">
        <f t="array" ref="T56:T56">T55</f>
        <v>false</v>
      </c>
      <c r="U56" s="843"/>
      <c r="V56" s="843"/>
      <c r="W56" s="843"/>
      <c r="X56" s="1564"/>
      <c r="Y56" s="1564"/>
      <c r="Z56" s="1565"/>
      <c r="AA56" s="1562"/>
      <c r="AB56" s="666" t="str">
        <f>AB54&amp;".2"</f>
        <v>1.0.2</v>
      </c>
      <c r="AC56" s="741" t="s">
        <v>1042</v>
      </c>
      <c r="AD56" s="742" t="s">
        <v>1043</v>
      </c>
      <c r="AE56" s="2658"/>
      <c r="AF56" s="2658"/>
      <c r="AG56" s="2658"/>
      <c r="AH56" s="2658"/>
      <c r="AI56" s="264"/>
      <c r="AJ56" s="264"/>
      <c r="AK56" s="1798"/>
      <c r="AL56" s="1513"/>
      <c r="AM56" s="1513"/>
      <c r="AN56" s="1007" t="s">
        <v>1044</v>
      </c>
      <c r="AO56" s="1007" t="s">
        <v>1037</v>
      </c>
      <c r="AP56" s="1007" cm="1" t="str">
        <f t="array" ref="AP56:AP56">AP55</f>
        <v>0</v>
      </c>
      <c r="AQ56" s="233"/>
      <c r="AR56" s="233"/>
    </row>
    <row s="1401" customFormat="1" customHeight="1" ht="14.25">
      <c r="A57" s="1513"/>
      <c r="B57" s="401"/>
      <c r="C57" s="843"/>
      <c r="D57" s="843"/>
      <c r="E57" s="844">
        <v>15</v>
      </c>
      <c r="F57" s="50" cm="1" t="str">
        <f t="array" ref="F57:F57">OFFSET(E57,-1,1)</f>
        <v>1</v>
      </c>
      <c r="G57" s="340"/>
      <c r="H57" s="815"/>
      <c r="I57" s="118" t="str">
        <f>"!=='не определено' &amp;&amp; row.l1 !== null"</f>
        <v>!=='не определено' &amp;&amp; row.l1 !== null</v>
      </c>
      <c r="J57" s="843"/>
      <c r="K57" s="456"/>
      <c r="L57" s="456"/>
      <c r="M57" s="843"/>
      <c r="N57" s="843"/>
      <c r="O57" s="843"/>
      <c r="P57" s="843"/>
      <c r="Q57" s="843"/>
      <c r="R57" s="843"/>
      <c r="S57" s="843"/>
      <c r="T57" s="438">
        <f>F57&gt;0</f>
        <v>1</v>
      </c>
      <c r="U57" s="843"/>
      <c r="V57" s="843"/>
      <c r="W57" s="733" t="s">
        <v>388</v>
      </c>
      <c r="X57" s="1564"/>
      <c r="Y57" s="849"/>
      <c r="Z57" s="1565"/>
      <c r="AA57" s="843"/>
      <c r="AB57" s="850"/>
      <c r="AC57" s="226" t="s">
        <v>176</v>
      </c>
      <c r="AD57" s="752"/>
      <c r="AE57" s="752"/>
      <c r="AF57" s="752"/>
      <c r="AG57" s="752"/>
      <c r="AH57" s="752"/>
      <c r="AI57" s="752"/>
      <c r="AJ57" s="752"/>
      <c r="AK57" s="753"/>
      <c r="AL57" s="1513"/>
      <c r="AM57" s="1513"/>
      <c r="AN57" s="1007"/>
      <c r="AO57" s="1007"/>
      <c r="AP57" s="1007"/>
      <c r="AQ57" s="233" t="s">
        <v>1037</v>
      </c>
      <c r="AR57" s="233"/>
    </row>
    <row s="1401" customFormat="1" customHeight="1" ht="21.75">
      <c r="A58" s="1513"/>
      <c r="B58" s="401"/>
      <c r="C58" s="843"/>
      <c r="D58" s="843"/>
      <c r="E58" s="844">
        <v>22.5</v>
      </c>
      <c r="F58" s="50" cm="1" t="str">
        <f t="array" ref="F58:F58">OFFSET(E58,-1,1)</f>
        <v>1</v>
      </c>
      <c r="G58" s="340" t="s">
        <v>1045</v>
      </c>
      <c r="H58" s="815" t="s">
        <v>322</v>
      </c>
      <c r="I58" s="815"/>
      <c r="J58" s="843"/>
      <c r="K58" s="456" t="str">
        <f>F58&amp;"2komm"</f>
        <v>12komm</v>
      </c>
      <c r="L58" s="893" cm="1" t="str">
        <f t="array" ref="L58:L58">AK58</f>
        <v>0</v>
      </c>
      <c r="M58" s="843"/>
      <c r="N58" s="843"/>
      <c r="O58" s="843"/>
      <c r="P58" s="843"/>
      <c r="Q58" s="843"/>
      <c r="R58" s="843"/>
      <c r="S58" s="843"/>
      <c r="T58" s="438" cm="1" t="str">
        <f t="array" ref="T58:T58">T57</f>
        <v>true</v>
      </c>
      <c r="U58" s="843"/>
      <c r="V58" s="843"/>
      <c r="W58" s="843"/>
      <c r="X58" s="1564"/>
      <c r="Y58" s="849"/>
      <c r="Z58" s="1565"/>
      <c r="AA58" s="843"/>
      <c r="AB58" s="666" t="s">
        <v>504</v>
      </c>
      <c r="AC58" s="823" t="s">
        <v>1046</v>
      </c>
      <c r="AD58" s="742" t="s">
        <v>789</v>
      </c>
      <c r="AE58" s="264">
        <f>AE53*_xlfn.SUMIFS(INDEX(Сценарии!$AE$25:$BF$82,,MATCH(AE$13,Сценарии!$AE$8:$BF$8,0)),Сценарии!$F$25:$F$82,$F58,Сценарии!$G$25:$G$82,"СВФОТ")/100</f>
        <v>0</v>
      </c>
      <c r="AF58" s="264">
        <f>AF53*_xlfn.SUMIFS(INDEX(Сценарии!$AE$25:$BF$82,,MATCH(AF$13,Сценарии!$AE$8:$BF$8,0)),Сценарии!$F$25:$F$82,$F58,Сценарии!$G$25:$G$82,"СВФОТ")/100</f>
        <v>0</v>
      </c>
      <c r="AG58" s="264">
        <f>AG53*_xlfn.SUMIFS(INDEX(Сценарии!$AE$25:$BF$82,,MATCH(AG$13,Сценарии!$AE$8:$BF$8,0)),Сценарии!$F$25:$F$82,$F58,Сценарии!$G$25:$G$82,"СВФОТ")/100</f>
        <v>0</v>
      </c>
      <c r="AH58" s="264">
        <f>AH53*_xlfn.SUMIFS(INDEX(Сценарии!$AE$25:$BF$82,,MATCH(AH$13,Сценарии!$AE$8:$BF$8,0)),Сценарии!$F$25:$F$82,$F58,Сценарии!$G$25:$G$82,"СВФОТ")/100</f>
        <v>0</v>
      </c>
      <c r="AI58" s="264">
        <f>AI53*_xlfn.SUMIFS(INDEX(Сценарии!$AE$25:$BF$82,,MATCH(AI$13,Сценарии!$AE$8:$BF$8,0)),Сценарии!$F$25:$F$82,$F58,Сценарии!$G$25:$G$82,"СВФОТ")/100</f>
        <v>0</v>
      </c>
      <c r="AJ58" s="264">
        <f>AJ53*_xlfn.SUMIFS(INDEX(Сценарии!$AE$25:$BF$82,,MATCH(AJ$13,Сценарии!$AE$8:$BF$8,0)),Сценарии!$F$25:$F$82,$F58,Сценарии!$G$25:$G$82,"СВФОТ")/100</f>
        <v>0</v>
      </c>
      <c r="AK58" s="822"/>
      <c r="AL58" s="1513"/>
      <c r="AM58" s="1513"/>
      <c r="AN58" s="1007" t="s">
        <v>1047</v>
      </c>
      <c r="AO58" s="1007"/>
      <c r="AP58" s="1007"/>
      <c r="AQ58" s="233"/>
      <c r="AR58" s="233"/>
    </row>
    <row s="1401" customFormat="1" customHeight="1" ht="14.25">
      <c r="A59" s="1513"/>
      <c r="B59" s="401"/>
      <c r="C59" s="843"/>
      <c r="D59" s="843"/>
      <c r="E59" s="844">
        <v>15</v>
      </c>
      <c r="F59" s="50" cm="1" t="str">
        <f t="array" ref="F59:F59">OFFSET(E59,-1,1)</f>
        <v>1</v>
      </c>
      <c r="G59" s="340" t="s">
        <v>1048</v>
      </c>
      <c r="H59" s="815" t="s">
        <v>323</v>
      </c>
      <c r="I59" s="815"/>
      <c r="J59" s="843"/>
      <c r="K59" s="456" t="str">
        <f>F59&amp;"3komm"</f>
        <v>13komm</v>
      </c>
      <c r="L59" s="893" cm="1" t="str">
        <f t="array" ref="L59:L59">AK59</f>
        <v>0</v>
      </c>
      <c r="M59" s="843"/>
      <c r="N59" s="843"/>
      <c r="O59" s="843"/>
      <c r="P59" s="843"/>
      <c r="Q59" s="843"/>
      <c r="R59" s="843"/>
      <c r="S59" s="843"/>
      <c r="T59" s="438" cm="1" t="str">
        <f t="array" ref="T59:T59">T58</f>
        <v>true</v>
      </c>
      <c r="U59" s="843"/>
      <c r="V59" s="843"/>
      <c r="W59" s="843"/>
      <c r="X59" s="1564"/>
      <c r="Y59" s="849"/>
      <c r="Z59" s="1565"/>
      <c r="AA59" s="843"/>
      <c r="AB59" s="666" t="s">
        <v>319</v>
      </c>
      <c r="AC59" s="823" t="s">
        <v>1049</v>
      </c>
      <c r="AD59" s="742" t="s">
        <v>789</v>
      </c>
      <c r="AE59" s="264"/>
      <c r="AF59" s="264"/>
      <c r="AG59" s="264"/>
      <c r="AH59" s="264"/>
      <c r="AI59" s="179">
        <f>_xlfn.SUMIFS(AI60:AI63,$AD60:$AD63,$AD59)</f>
        <v>0</v>
      </c>
      <c r="AJ59" s="179">
        <f>_xlfn.SUMIFS(AJ60:AJ63,$AD60:$AD63,$AD59)</f>
        <v>0</v>
      </c>
      <c r="AK59" s="822"/>
      <c r="AL59" s="1513"/>
      <c r="AM59" s="1513"/>
      <c r="AN59" s="1007" t="s">
        <v>1050</v>
      </c>
      <c r="AO59" s="1007"/>
      <c r="AP59" s="1007"/>
      <c r="AQ59" s="233"/>
      <c r="AR59" s="233"/>
    </row>
    <row s="1401" customFormat="1" customHeight="1" ht="18" hidden="1">
      <c r="A60" s="1513"/>
      <c r="B60" s="401"/>
      <c r="C60" s="843"/>
      <c r="D60" s="843"/>
      <c r="E60" s="844">
        <v>18.75</v>
      </c>
      <c r="F60" s="50" cm="1" t="str">
        <f t="array" ref="F60:F60">OFFSET(E60,-1,1)</f>
        <v>1</v>
      </c>
      <c r="G60" s="815"/>
      <c r="H60" s="815" t="s">
        <v>323</v>
      </c>
      <c r="I60" s="815" cm="1" t="str">
        <f t="array" ref="I60:I60">AC60</f>
        <v>0</v>
      </c>
      <c r="J60" s="843"/>
      <c r="K60" s="456"/>
      <c r="L60" s="456"/>
      <c r="M60" s="843"/>
      <c r="N60" s="843"/>
      <c r="O60" s="843"/>
      <c r="P60" s="843"/>
      <c r="Q60" s="843"/>
      <c r="R60" s="843"/>
      <c r="S60" s="843"/>
      <c r="T60" s="438">
        <f>AND(F60&gt;0,Y60&gt;0)</f>
        <v>0</v>
      </c>
      <c r="U60" s="843"/>
      <c r="V60" s="843"/>
      <c r="W60" s="843" t="s">
        <v>172</v>
      </c>
      <c r="X60" s="1564"/>
      <c r="Y60" s="1564">
        <v>0</v>
      </c>
      <c r="Z60" s="1565"/>
      <c r="AA60" s="1562" t="s">
        <v>173</v>
      </c>
      <c r="AB60" s="266" t="str">
        <f>"3."&amp;Y60</f>
        <v>3.0</v>
      </c>
      <c r="AC60" s="2657"/>
      <c r="AD60" s="742" t="s">
        <v>789</v>
      </c>
      <c r="AE60" s="2658"/>
      <c r="AF60" s="2658"/>
      <c r="AG60" s="2658"/>
      <c r="AH60" s="2658"/>
      <c r="AI60" s="748">
        <f>AI61*AI62*12/1000</f>
        <v>0</v>
      </c>
      <c r="AJ60" s="748">
        <f>AJ61*AJ62*12/1000</f>
        <v>0</v>
      </c>
      <c r="AK60" s="1798"/>
      <c r="AL60" s="1513"/>
      <c r="AM60" s="1513"/>
      <c r="AN60" s="1007" t="s">
        <v>1036</v>
      </c>
      <c r="AO60" s="1007" t="s">
        <v>1051</v>
      </c>
      <c r="AP60" s="1007" cm="1" t="str">
        <f t="array" ref="AP60:AP60">AC60</f>
        <v>0</v>
      </c>
      <c r="AQ60" s="233"/>
      <c r="AR60" s="233" t="b">
        <v>1</v>
      </c>
    </row>
    <row s="1401" customFormat="1" customHeight="1" ht="14.25" hidden="1">
      <c r="A61" s="1513"/>
      <c r="B61" s="401"/>
      <c r="C61" s="843"/>
      <c r="D61" s="843"/>
      <c r="E61" s="844">
        <v>15</v>
      </c>
      <c r="F61" s="50" cm="1" t="str">
        <f t="array" ref="F61:F61">OFFSET(E61,-1,1)</f>
        <v>1</v>
      </c>
      <c r="G61" s="848" t="s">
        <v>1052</v>
      </c>
      <c r="H61" s="815" t="str">
        <f>H60&amp;"_1"</f>
        <v>l3_1</v>
      </c>
      <c r="I61" s="815" cm="1" t="str">
        <f t="array" ref="I61:I61">I60</f>
        <v>0</v>
      </c>
      <c r="J61" s="843"/>
      <c r="K61" s="456"/>
      <c r="L61" s="456"/>
      <c r="M61" s="843"/>
      <c r="N61" s="843"/>
      <c r="O61" s="843"/>
      <c r="P61" s="843"/>
      <c r="Q61" s="843"/>
      <c r="R61" s="843"/>
      <c r="S61" s="843"/>
      <c r="T61" s="438" cm="1" t="str">
        <f t="array" ref="T61:T61">T60</f>
        <v>false</v>
      </c>
      <c r="U61" s="843"/>
      <c r="V61" s="843"/>
      <c r="W61" s="843"/>
      <c r="X61" s="1564"/>
      <c r="Y61" s="1564"/>
      <c r="Z61" s="1565"/>
      <c r="AA61" s="1562"/>
      <c r="AB61" s="666" t="str">
        <f>AB60&amp;".1"</f>
        <v>3.0.1</v>
      </c>
      <c r="AC61" s="741" t="s">
        <v>1039</v>
      </c>
      <c r="AD61" s="742" t="s">
        <v>1040</v>
      </c>
      <c r="AE61" s="2658"/>
      <c r="AF61" s="2658"/>
      <c r="AG61" s="2658"/>
      <c r="AH61" s="2658"/>
      <c r="AI61" s="264"/>
      <c r="AJ61" s="264"/>
      <c r="AK61" s="1798"/>
      <c r="AL61" s="1513"/>
      <c r="AM61" s="1513"/>
      <c r="AN61" s="1007" t="s">
        <v>1041</v>
      </c>
      <c r="AO61" s="1007" t="s">
        <v>1051</v>
      </c>
      <c r="AP61" s="1007" cm="1" t="str">
        <f t="array" ref="AP61:AP61">AP60</f>
        <v>0</v>
      </c>
      <c r="AQ61" s="233"/>
      <c r="AR61" s="233"/>
    </row>
    <row s="1401" customFormat="1" customHeight="1" ht="14.25" hidden="1">
      <c r="A62" s="1513"/>
      <c r="B62" s="401"/>
      <c r="C62" s="843"/>
      <c r="D62" s="843"/>
      <c r="E62" s="844">
        <v>15</v>
      </c>
      <c r="F62" s="50" cm="1" t="str">
        <f t="array" ref="F62:F62">OFFSET(E62,-1,1)</f>
        <v>1</v>
      </c>
      <c r="G62" s="815"/>
      <c r="H62" s="815" t="str">
        <f>H60&amp;"_2"</f>
        <v>l3_2</v>
      </c>
      <c r="I62" s="815" cm="1" t="str">
        <f t="array" ref="I62:I62">I61</f>
        <v>0</v>
      </c>
      <c r="J62" s="843"/>
      <c r="K62" s="456"/>
      <c r="L62" s="456"/>
      <c r="M62" s="843"/>
      <c r="N62" s="843"/>
      <c r="O62" s="843"/>
      <c r="P62" s="843"/>
      <c r="Q62" s="843"/>
      <c r="R62" s="843"/>
      <c r="S62" s="843"/>
      <c r="T62" s="438" cm="1" t="str">
        <f t="array" ref="T62:T62">T61</f>
        <v>false</v>
      </c>
      <c r="U62" s="843"/>
      <c r="V62" s="843"/>
      <c r="W62" s="843"/>
      <c r="X62" s="1564"/>
      <c r="Y62" s="1564"/>
      <c r="Z62" s="1565"/>
      <c r="AA62" s="1562"/>
      <c r="AB62" s="666" t="str">
        <f>AB60&amp;".2"</f>
        <v>3.0.2</v>
      </c>
      <c r="AC62" s="741" t="s">
        <v>1042</v>
      </c>
      <c r="AD62" s="742" t="s">
        <v>1043</v>
      </c>
      <c r="AE62" s="2658"/>
      <c r="AF62" s="2658"/>
      <c r="AG62" s="2658"/>
      <c r="AH62" s="2658"/>
      <c r="AI62" s="264"/>
      <c r="AJ62" s="264"/>
      <c r="AK62" s="1798"/>
      <c r="AL62" s="1513"/>
      <c r="AM62" s="1513"/>
      <c r="AN62" s="1007" t="s">
        <v>1044</v>
      </c>
      <c r="AO62" s="1007" t="s">
        <v>1051</v>
      </c>
      <c r="AP62" s="1007" cm="1" t="str">
        <f t="array" ref="AP62:AP62">AP61</f>
        <v>0</v>
      </c>
      <c r="AQ62" s="233"/>
      <c r="AR62" s="233"/>
    </row>
    <row s="1401" customFormat="1" customHeight="1" ht="14.25">
      <c r="A63" s="1513"/>
      <c r="B63" s="401"/>
      <c r="C63" s="843"/>
      <c r="D63" s="843"/>
      <c r="E63" s="844">
        <v>15</v>
      </c>
      <c r="F63" s="50" cm="1" t="str">
        <f t="array" ref="F63:F63">OFFSET(E63,-1,1)</f>
        <v>1</v>
      </c>
      <c r="G63" s="340"/>
      <c r="H63" s="815"/>
      <c r="I63" s="118" t="str">
        <f>"!=='не определено' &amp;&amp; row.l3 !== null"</f>
        <v>!=='не определено' &amp;&amp; row.l3 !== null</v>
      </c>
      <c r="J63" s="843"/>
      <c r="K63" s="456"/>
      <c r="L63" s="456"/>
      <c r="M63" s="843"/>
      <c r="N63" s="843"/>
      <c r="O63" s="843"/>
      <c r="P63" s="843"/>
      <c r="Q63" s="843"/>
      <c r="R63" s="843"/>
      <c r="S63" s="843"/>
      <c r="T63" s="438">
        <f>F63&gt;0</f>
        <v>1</v>
      </c>
      <c r="U63" s="843"/>
      <c r="V63" s="843"/>
      <c r="W63" s="733" t="s">
        <v>837</v>
      </c>
      <c r="X63" s="1564"/>
      <c r="Y63" s="849"/>
      <c r="Z63" s="1565"/>
      <c r="AA63" s="843"/>
      <c r="AB63" s="850"/>
      <c r="AC63" s="226" t="s">
        <v>176</v>
      </c>
      <c r="AD63" s="752"/>
      <c r="AE63" s="752"/>
      <c r="AF63" s="752"/>
      <c r="AG63" s="752"/>
      <c r="AH63" s="752"/>
      <c r="AI63" s="752"/>
      <c r="AJ63" s="752"/>
      <c r="AK63" s="753"/>
      <c r="AL63" s="1513"/>
      <c r="AM63" s="1513"/>
      <c r="AN63" s="1007"/>
      <c r="AO63" s="1007"/>
      <c r="AP63" s="1007"/>
      <c r="AQ63" s="233" t="s">
        <v>1051</v>
      </c>
      <c r="AR63" s="233"/>
    </row>
    <row s="1401" customFormat="1" customHeight="1" ht="21.75">
      <c r="A64" s="1513"/>
      <c r="B64" s="401"/>
      <c r="C64" s="843"/>
      <c r="D64" s="843"/>
      <c r="E64" s="844">
        <v>22.5</v>
      </c>
      <c r="F64" s="50" cm="1" t="str">
        <f t="array" ref="F64:F64">OFFSET(E64,-1,1)</f>
        <v>1</v>
      </c>
      <c r="G64" s="340" t="s">
        <v>1053</v>
      </c>
      <c r="H64" s="815" t="s">
        <v>325</v>
      </c>
      <c r="I64" s="815"/>
      <c r="J64" s="843"/>
      <c r="K64" s="456" t="str">
        <f>F64&amp;"4komm"</f>
        <v>14komm</v>
      </c>
      <c r="L64" s="893" cm="1" t="str">
        <f t="array" ref="L64:L64">AK64</f>
        <v>0</v>
      </c>
      <c r="M64" s="843"/>
      <c r="N64" s="843"/>
      <c r="O64" s="843"/>
      <c r="P64" s="843"/>
      <c r="Q64" s="843"/>
      <c r="R64" s="843"/>
      <c r="S64" s="843"/>
      <c r="T64" s="438" cm="1" t="str">
        <f t="array" ref="T64:T64">T63</f>
        <v>true</v>
      </c>
      <c r="U64" s="843"/>
      <c r="V64" s="843"/>
      <c r="W64" s="843"/>
      <c r="X64" s="1564"/>
      <c r="Y64" s="849"/>
      <c r="Z64" s="1565"/>
      <c r="AA64" s="843"/>
      <c r="AB64" s="666" t="s">
        <v>530</v>
      </c>
      <c r="AC64" s="823" t="s">
        <v>1054</v>
      </c>
      <c r="AD64" s="742" t="s">
        <v>789</v>
      </c>
      <c r="AE64" s="264">
        <f>AE59*_xlfn.SUMIFS(INDEX(Сценарии!$AE$25:$BF$82,,MATCH(AE$13,Сценарии!$AE$8:$BF$8,0)),Сценарии!$F$25:$F$82,$F64,Сценарии!$G$25:$G$82,"СВФОТ")/100</f>
        <v>0</v>
      </c>
      <c r="AF64" s="264">
        <f>AF59*_xlfn.SUMIFS(INDEX(Сценарии!$AE$25:$BF$82,,MATCH(AF$13,Сценарии!$AE$8:$BF$8,0)),Сценарии!$F$25:$F$82,$F64,Сценарии!$G$25:$G$82,"СВФОТ")/100</f>
        <v>0</v>
      </c>
      <c r="AG64" s="264">
        <f>AG59*_xlfn.SUMIFS(INDEX(Сценарии!$AE$25:$BF$82,,MATCH(AG$13,Сценарии!$AE$8:$BF$8,0)),Сценарии!$F$25:$F$82,$F64,Сценарии!$G$25:$G$82,"СВФОТ")/100</f>
        <v>0</v>
      </c>
      <c r="AH64" s="264">
        <f>AH59*_xlfn.SUMIFS(INDEX(Сценарии!$AE$25:$BF$82,,MATCH(AH$13,Сценарии!$AE$8:$BF$8,0)),Сценарии!$F$25:$F$82,$F64,Сценарии!$G$25:$G$82,"СВФОТ")/100</f>
        <v>0</v>
      </c>
      <c r="AI64" s="264">
        <f>AI59*_xlfn.SUMIFS(INDEX(Сценарии!$AE$25:$BF$82,,MATCH(AI$13,Сценарии!$AE$8:$BF$8,0)),Сценарии!$F$25:$F$82,$F64,Сценарии!$G$25:$G$82,"СВФОТ")/100</f>
        <v>0</v>
      </c>
      <c r="AJ64" s="264">
        <f>AJ59*_xlfn.SUMIFS(INDEX(Сценарии!$AE$25:$BF$82,,MATCH(AJ$13,Сценарии!$AE$8:$BF$8,0)),Сценарии!$F$25:$F$82,$F64,Сценарии!$G$25:$G$82,"СВФОТ")/100</f>
        <v>0</v>
      </c>
      <c r="AK64" s="822"/>
      <c r="AL64" s="1513"/>
      <c r="AM64" s="1513"/>
      <c r="AN64" s="1007" t="s">
        <v>1055</v>
      </c>
      <c r="AO64" s="1007"/>
      <c r="AP64" s="1007"/>
      <c r="AQ64" s="233"/>
      <c r="AR64" s="233"/>
    </row>
    <row s="1401" customFormat="1" customHeight="1" ht="21.75">
      <c r="A65" s="1513"/>
      <c r="B65" s="401"/>
      <c r="C65" s="843"/>
      <c r="D65" s="843"/>
      <c r="E65" s="844">
        <v>22.5</v>
      </c>
      <c r="F65" s="50" cm="1" t="str">
        <f t="array" ref="F65:F65">OFFSET(E65,-1,1)</f>
        <v>1</v>
      </c>
      <c r="G65" s="340" t="s">
        <v>1056</v>
      </c>
      <c r="H65" s="815" t="s">
        <v>324</v>
      </c>
      <c r="I65" s="815"/>
      <c r="J65" s="843"/>
      <c r="K65" s="456" t="str">
        <f>F65&amp;"5komm"</f>
        <v>15komm</v>
      </c>
      <c r="L65" s="893" cm="1" t="str">
        <f t="array" ref="L65:L65">AK65</f>
        <v>0</v>
      </c>
      <c r="M65" s="843"/>
      <c r="N65" s="843"/>
      <c r="O65" s="843"/>
      <c r="P65" s="843"/>
      <c r="Q65" s="843"/>
      <c r="R65" s="843"/>
      <c r="S65" s="843"/>
      <c r="T65" s="438" cm="1" t="str">
        <f t="array" ref="T65:T65">T64</f>
        <v>true</v>
      </c>
      <c r="U65" s="843"/>
      <c r="V65" s="843"/>
      <c r="W65" s="843"/>
      <c r="X65" s="1564"/>
      <c r="Y65" s="849"/>
      <c r="Z65" s="1565"/>
      <c r="AA65" s="843"/>
      <c r="AB65" s="666" t="s">
        <v>485</v>
      </c>
      <c r="AC65" s="823" t="s">
        <v>1057</v>
      </c>
      <c r="AD65" s="742" t="s">
        <v>789</v>
      </c>
      <c r="AE65" s="264"/>
      <c r="AF65" s="264"/>
      <c r="AG65" s="264"/>
      <c r="AH65" s="264"/>
      <c r="AI65" s="179">
        <f>_xlfn.SUMIFS(AI66:AI69,$AD66:$AD69,$AD65)</f>
        <v>0</v>
      </c>
      <c r="AJ65" s="179">
        <f>_xlfn.SUMIFS(AJ66:AJ69,$AD66:$AD69,$AD65)</f>
        <v>0</v>
      </c>
      <c r="AK65" s="822"/>
      <c r="AL65" s="1513"/>
      <c r="AM65" s="1513"/>
      <c r="AN65" s="1007" t="s">
        <v>1058</v>
      </c>
      <c r="AO65" s="1007"/>
      <c r="AP65" s="1007"/>
      <c r="AQ65" s="233"/>
      <c r="AR65" s="233"/>
    </row>
    <row s="1401" customFormat="1" customHeight="1" ht="18" hidden="1">
      <c r="A66" s="1513"/>
      <c r="B66" s="401"/>
      <c r="C66" s="843"/>
      <c r="D66" s="843"/>
      <c r="E66" s="844">
        <v>18.75</v>
      </c>
      <c r="F66" s="50" cm="1" t="str">
        <f t="array" ref="F66:F66">OFFSET(E66,-1,1)</f>
        <v>1</v>
      </c>
      <c r="G66" s="815"/>
      <c r="H66" s="815" t="s">
        <v>324</v>
      </c>
      <c r="I66" s="815" cm="1" t="str">
        <f t="array" ref="I66:I66">AC66</f>
        <v>0</v>
      </c>
      <c r="J66" s="843"/>
      <c r="K66" s="456"/>
      <c r="L66" s="456"/>
      <c r="M66" s="843"/>
      <c r="N66" s="843"/>
      <c r="O66" s="843"/>
      <c r="P66" s="843"/>
      <c r="Q66" s="843"/>
      <c r="R66" s="843"/>
      <c r="S66" s="843"/>
      <c r="T66" s="438">
        <f>AND(F66&gt;0,Y66&gt;0)</f>
        <v>0</v>
      </c>
      <c r="U66" s="843"/>
      <c r="V66" s="843"/>
      <c r="W66" s="843" t="s">
        <v>172</v>
      </c>
      <c r="X66" s="1564"/>
      <c r="Y66" s="1564">
        <v>0</v>
      </c>
      <c r="Z66" s="1565"/>
      <c r="AA66" s="1562" t="s">
        <v>173</v>
      </c>
      <c r="AB66" s="266" t="str">
        <f>"5."&amp;Y66</f>
        <v>5.0</v>
      </c>
      <c r="AC66" s="2657"/>
      <c r="AD66" s="742" t="s">
        <v>789</v>
      </c>
      <c r="AE66" s="2658"/>
      <c r="AF66" s="2658"/>
      <c r="AG66" s="2658"/>
      <c r="AH66" s="2658"/>
      <c r="AI66" s="748">
        <f>AI67*AI68*12/1000</f>
        <v>0</v>
      </c>
      <c r="AJ66" s="748">
        <f>AJ67*AJ68*12/1000</f>
        <v>0</v>
      </c>
      <c r="AK66" s="1798"/>
      <c r="AL66" s="1513"/>
      <c r="AM66" s="1513"/>
      <c r="AN66" s="1007" t="s">
        <v>1036</v>
      </c>
      <c r="AO66" s="1007" t="s">
        <v>1059</v>
      </c>
      <c r="AP66" s="1007" cm="1" t="str">
        <f t="array" ref="AP66:AP66">AC66</f>
        <v>0</v>
      </c>
      <c r="AQ66" s="233"/>
      <c r="AR66" s="233" t="b">
        <v>1</v>
      </c>
    </row>
    <row s="1401" customFormat="1" customHeight="1" ht="14.25" hidden="1">
      <c r="A67" s="1513"/>
      <c r="B67" s="401"/>
      <c r="C67" s="843"/>
      <c r="D67" s="843"/>
      <c r="E67" s="844">
        <v>15</v>
      </c>
      <c r="F67" s="50" cm="1" t="str">
        <f t="array" ref="F67:F67">OFFSET(E67,-1,1)</f>
        <v>1</v>
      </c>
      <c r="G67" s="815"/>
      <c r="H67" s="815" t="str">
        <f>H66&amp;"_1"</f>
        <v>l5_1</v>
      </c>
      <c r="I67" s="815" cm="1" t="str">
        <f t="array" ref="I67:I67">I66</f>
        <v>0</v>
      </c>
      <c r="J67" s="843"/>
      <c r="K67" s="456"/>
      <c r="L67" s="456"/>
      <c r="M67" s="843"/>
      <c r="N67" s="843"/>
      <c r="O67" s="843"/>
      <c r="P67" s="843"/>
      <c r="Q67" s="843"/>
      <c r="R67" s="843"/>
      <c r="S67" s="843"/>
      <c r="T67" s="438" cm="1" t="str">
        <f t="array" ref="T67:T67">T66</f>
        <v>false</v>
      </c>
      <c r="U67" s="843"/>
      <c r="V67" s="843"/>
      <c r="W67" s="843"/>
      <c r="X67" s="1564"/>
      <c r="Y67" s="1564"/>
      <c r="Z67" s="1565"/>
      <c r="AA67" s="1562"/>
      <c r="AB67" s="666" t="str">
        <f>AB66&amp;".1"</f>
        <v>5.0.1</v>
      </c>
      <c r="AC67" s="741" t="s">
        <v>1039</v>
      </c>
      <c r="AD67" s="742" t="s">
        <v>1040</v>
      </c>
      <c r="AE67" s="2658"/>
      <c r="AF67" s="2658"/>
      <c r="AG67" s="2658"/>
      <c r="AH67" s="2658"/>
      <c r="AI67" s="264"/>
      <c r="AJ67" s="264"/>
      <c r="AK67" s="1798"/>
      <c r="AL67" s="1513"/>
      <c r="AM67" s="1513"/>
      <c r="AN67" s="1007" t="s">
        <v>1041</v>
      </c>
      <c r="AO67" s="1007" t="s">
        <v>1059</v>
      </c>
      <c r="AP67" s="1007" cm="1" t="str">
        <f t="array" ref="AP67:AP67">AP66</f>
        <v>0</v>
      </c>
      <c r="AQ67" s="233"/>
      <c r="AR67" s="233"/>
    </row>
    <row s="1401" customFormat="1" customHeight="1" ht="14.25" hidden="1">
      <c r="A68" s="1513"/>
      <c r="B68" s="401"/>
      <c r="C68" s="843"/>
      <c r="D68" s="843"/>
      <c r="E68" s="844">
        <v>15</v>
      </c>
      <c r="F68" s="50" cm="1" t="str">
        <f t="array" ref="F68:F68">OFFSET(E68,-1,1)</f>
        <v>1</v>
      </c>
      <c r="G68" s="815"/>
      <c r="H68" s="815" t="str">
        <f>H66&amp;"_2"</f>
        <v>l5_2</v>
      </c>
      <c r="I68" s="815" cm="1" t="str">
        <f t="array" ref="I68:I68">I67</f>
        <v>0</v>
      </c>
      <c r="J68" s="843"/>
      <c r="K68" s="456"/>
      <c r="L68" s="456"/>
      <c r="M68" s="843"/>
      <c r="N68" s="843"/>
      <c r="O68" s="843"/>
      <c r="P68" s="843"/>
      <c r="Q68" s="843"/>
      <c r="R68" s="843"/>
      <c r="S68" s="843"/>
      <c r="T68" s="438" cm="1" t="str">
        <f t="array" ref="T68:T68">T67</f>
        <v>false</v>
      </c>
      <c r="U68" s="843"/>
      <c r="V68" s="843"/>
      <c r="W68" s="843"/>
      <c r="X68" s="1564"/>
      <c r="Y68" s="1564"/>
      <c r="Z68" s="1565"/>
      <c r="AA68" s="1562"/>
      <c r="AB68" s="666" t="str">
        <f>AB66&amp;".2"</f>
        <v>5.0.2</v>
      </c>
      <c r="AC68" s="741" t="s">
        <v>1042</v>
      </c>
      <c r="AD68" s="742" t="s">
        <v>1043</v>
      </c>
      <c r="AE68" s="2658"/>
      <c r="AF68" s="2658"/>
      <c r="AG68" s="2658"/>
      <c r="AH68" s="2658"/>
      <c r="AI68" s="264"/>
      <c r="AJ68" s="264"/>
      <c r="AK68" s="1798"/>
      <c r="AL68" s="1513"/>
      <c r="AM68" s="1513"/>
      <c r="AN68" s="1007" t="s">
        <v>1044</v>
      </c>
      <c r="AO68" s="1007" t="s">
        <v>1059</v>
      </c>
      <c r="AP68" s="1007" cm="1" t="str">
        <f t="array" ref="AP68:AP68">AP67</f>
        <v>0</v>
      </c>
      <c r="AQ68" s="233"/>
      <c r="AR68" s="233"/>
    </row>
    <row s="1401" customFormat="1" customHeight="1" ht="14.25">
      <c r="A69" s="1513"/>
      <c r="B69" s="401"/>
      <c r="C69" s="843"/>
      <c r="D69" s="843"/>
      <c r="E69" s="844">
        <v>15</v>
      </c>
      <c r="F69" s="50" cm="1" t="str">
        <f t="array" ref="F69:F69">OFFSET(E69,-1,1)</f>
        <v>1</v>
      </c>
      <c r="G69" s="340"/>
      <c r="H69" s="815"/>
      <c r="I69" s="118" t="str">
        <f>"!=='не определено' &amp;&amp; row.l5 !== null"</f>
        <v>!=='не определено' &amp;&amp; row.l5 !== null</v>
      </c>
      <c r="J69" s="843"/>
      <c r="K69" s="456"/>
      <c r="L69" s="456"/>
      <c r="M69" s="843"/>
      <c r="N69" s="843"/>
      <c r="O69" s="843"/>
      <c r="P69" s="843"/>
      <c r="Q69" s="843"/>
      <c r="R69" s="843"/>
      <c r="S69" s="843"/>
      <c r="T69" s="438">
        <f>F69&gt;0</f>
        <v>1</v>
      </c>
      <c r="U69" s="843"/>
      <c r="V69" s="843"/>
      <c r="W69" s="733" t="s">
        <v>1060</v>
      </c>
      <c r="X69" s="1564"/>
      <c r="Y69" s="849"/>
      <c r="Z69" s="1565"/>
      <c r="AA69" s="843"/>
      <c r="AB69" s="850"/>
      <c r="AC69" s="226" t="s">
        <v>176</v>
      </c>
      <c r="AD69" s="752"/>
      <c r="AE69" s="752"/>
      <c r="AF69" s="752"/>
      <c r="AG69" s="752"/>
      <c r="AH69" s="752"/>
      <c r="AI69" s="752"/>
      <c r="AJ69" s="752"/>
      <c r="AK69" s="753"/>
      <c r="AL69" s="1513"/>
      <c r="AM69" s="1513"/>
      <c r="AN69" s="1007"/>
      <c r="AO69" s="1007"/>
      <c r="AP69" s="1007"/>
      <c r="AQ69" s="233" t="s">
        <v>1059</v>
      </c>
      <c r="AR69" s="233"/>
    </row>
    <row s="1401" customFormat="1" customHeight="1" ht="21.75">
      <c r="A70" s="1513"/>
      <c r="B70" s="401"/>
      <c r="C70" s="843"/>
      <c r="D70" s="843"/>
      <c r="E70" s="844">
        <v>22.5</v>
      </c>
      <c r="F70" s="50" cm="1" t="str">
        <f t="array" ref="F70:F70">OFFSET(E70,-1,1)</f>
        <v>1</v>
      </c>
      <c r="G70" s="340" t="s">
        <v>1061</v>
      </c>
      <c r="H70" s="815" t="s">
        <v>484</v>
      </c>
      <c r="I70" s="815"/>
      <c r="J70" s="843"/>
      <c r="K70" s="456" t="str">
        <f>F70&amp;"6komm"</f>
        <v>16komm</v>
      </c>
      <c r="L70" s="456" cm="1" t="str">
        <f t="array" ref="L70:L70">AK70</f>
        <v>0</v>
      </c>
      <c r="M70" s="843"/>
      <c r="N70" s="843"/>
      <c r="O70" s="843"/>
      <c r="P70" s="843"/>
      <c r="Q70" s="843"/>
      <c r="R70" s="843"/>
      <c r="S70" s="843"/>
      <c r="T70" s="438" cm="1" t="str">
        <f t="array" ref="T70:T70">T69</f>
        <v>true</v>
      </c>
      <c r="U70" s="843"/>
      <c r="V70" s="843"/>
      <c r="W70" s="843"/>
      <c r="X70" s="1564"/>
      <c r="Y70" s="849"/>
      <c r="Z70" s="1565"/>
      <c r="AA70" s="843"/>
      <c r="AB70" s="666" t="s">
        <v>489</v>
      </c>
      <c r="AC70" s="823" t="s">
        <v>1062</v>
      </c>
      <c r="AD70" s="742" t="s">
        <v>789</v>
      </c>
      <c r="AE70" s="264">
        <f>AE65*_xlfn.SUMIFS(INDEX(Сценарии!$AE$25:$BF$82,,MATCH(AE$13,Сценарии!$AE$8:$BF$8,0)),Сценарии!$F$25:$F$82,$F70,Сценарии!$G$25:$G$82,"СВФОТ")/100</f>
        <v>0</v>
      </c>
      <c r="AF70" s="264">
        <f>AF65*_xlfn.SUMIFS(INDEX(Сценарии!$AE$25:$BF$82,,MATCH(AF$13,Сценарии!$AE$8:$BF$8,0)),Сценарии!$F$25:$F$82,$F70,Сценарии!$G$25:$G$82,"СВФОТ")/100</f>
        <v>0</v>
      </c>
      <c r="AG70" s="264">
        <f>AG65*_xlfn.SUMIFS(INDEX(Сценарии!$AE$25:$BF$82,,MATCH(AG$13,Сценарии!$AE$8:$BF$8,0)),Сценарии!$F$25:$F$82,$F70,Сценарии!$G$25:$G$82,"СВФОТ")/100</f>
        <v>0</v>
      </c>
      <c r="AH70" s="264">
        <f>AH65*_xlfn.SUMIFS(INDEX(Сценарии!$AE$25:$BF$82,,MATCH(AH$13,Сценарии!$AE$8:$BF$8,0)),Сценарии!$F$25:$F$82,$F70,Сценарии!$G$25:$G$82,"СВФОТ")/100</f>
        <v>0</v>
      </c>
      <c r="AI70" s="264">
        <f>AI65*_xlfn.SUMIFS(INDEX(Сценарии!$AE$25:$BF$82,,MATCH(AI$13,Сценарии!$AE$8:$BF$8,0)),Сценарии!$F$25:$F$82,$F70,Сценарии!$G$25:$G$82,"СВФОТ")/100</f>
        <v>0</v>
      </c>
      <c r="AJ70" s="264">
        <f>AJ65*_xlfn.SUMIFS(INDEX(Сценарии!$AE$25:$BF$82,,MATCH(AJ$13,Сценарии!$AE$8:$BF$8,0)),Сценарии!$F$25:$F$82,$F70,Сценарии!$G$25:$G$82,"СВФОТ")/100</f>
        <v>0</v>
      </c>
      <c r="AK70" s="894"/>
      <c r="AL70" s="1513"/>
      <c r="AM70" s="1513"/>
      <c r="AN70" s="1007" t="s">
        <v>1063</v>
      </c>
      <c r="AO70" s="1007"/>
      <c r="AP70" s="1007"/>
      <c r="AQ70" s="233"/>
      <c r="AR70" s="233"/>
    </row>
    <row s="1401" customFormat="1" customHeight="1" ht="14.25">
      <c r="A71" s="1513"/>
      <c r="B71" s="401"/>
      <c r="C71" s="843"/>
      <c r="D71" s="843"/>
      <c r="E71" s="844">
        <v>15</v>
      </c>
      <c r="F71" s="50" cm="1" t="str">
        <f t="array" ref="F71:F71">OFFSET(E71,-1,1)</f>
        <v>1</v>
      </c>
      <c r="G71" s="340" t="s">
        <v>1064</v>
      </c>
      <c r="H71" s="815" t="s">
        <v>488</v>
      </c>
      <c r="I71" s="815"/>
      <c r="J71" s="843"/>
      <c r="K71" s="456" t="str">
        <f>F71&amp;"7komm"</f>
        <v>17komm</v>
      </c>
      <c r="L71" s="456" cm="1" t="str">
        <f t="array" ref="L71:L71">AK71</f>
        <v>0</v>
      </c>
      <c r="M71" s="843"/>
      <c r="N71" s="843"/>
      <c r="O71" s="843"/>
      <c r="P71" s="843"/>
      <c r="Q71" s="843"/>
      <c r="R71" s="843"/>
      <c r="S71" s="843"/>
      <c r="T71" s="438" cm="1" t="str">
        <f t="array" ref="T71:T71">T70</f>
        <v>true</v>
      </c>
      <c r="U71" s="843"/>
      <c r="V71" s="843"/>
      <c r="W71" s="843"/>
      <c r="X71" s="1564"/>
      <c r="Y71" s="849"/>
      <c r="Z71" s="1565"/>
      <c r="AA71" s="843"/>
      <c r="AB71" s="666" t="s">
        <v>551</v>
      </c>
      <c r="AC71" s="823" t="s">
        <v>1065</v>
      </c>
      <c r="AD71" s="742" t="s">
        <v>789</v>
      </c>
      <c r="AE71" s="264"/>
      <c r="AF71" s="264"/>
      <c r="AG71" s="264"/>
      <c r="AH71" s="264"/>
      <c r="AI71" s="179">
        <f>_xlfn.SUMIFS(AI72:AI75,$AD72:$AD75,$AD71)</f>
        <v>0</v>
      </c>
      <c r="AJ71" s="179">
        <f>_xlfn.SUMIFS(AJ72:AJ75,$AD72:$AD75,$AD71)</f>
        <v>0</v>
      </c>
      <c r="AK71" s="894"/>
      <c r="AL71" s="1513"/>
      <c r="AM71" s="1513"/>
      <c r="AN71" s="1007" t="s">
        <v>1066</v>
      </c>
      <c r="AO71" s="1007"/>
      <c r="AP71" s="1007"/>
      <c r="AQ71" s="233"/>
      <c r="AR71" s="233"/>
    </row>
    <row s="1401" customFormat="1" customHeight="1" ht="18" hidden="1">
      <c r="A72" s="1513"/>
      <c r="B72" s="1513"/>
      <c r="C72" s="851"/>
      <c r="D72" s="851"/>
      <c r="E72" s="852">
        <v>18.75</v>
      </c>
      <c r="F72" s="50" cm="1" t="str">
        <f t="array" ref="F72:F72">OFFSET(E72,-1,1)</f>
        <v>1</v>
      </c>
      <c r="G72" s="848"/>
      <c r="H72" s="815" t="s">
        <v>488</v>
      </c>
      <c r="I72" s="848" cm="1" t="str">
        <f t="array" ref="I72:I72">AC72</f>
        <v>0</v>
      </c>
      <c r="J72" s="851"/>
      <c r="K72" s="892"/>
      <c r="L72" s="892"/>
      <c r="M72" s="851"/>
      <c r="N72" s="851"/>
      <c r="O72" s="851"/>
      <c r="P72" s="851"/>
      <c r="Q72" s="851"/>
      <c r="R72" s="851"/>
      <c r="S72" s="851"/>
      <c r="T72" s="438">
        <f>AND(F72&gt;0,Y72&gt;0)</f>
        <v>0</v>
      </c>
      <c r="U72" s="851"/>
      <c r="V72" s="851"/>
      <c r="W72" s="843" t="s">
        <v>172</v>
      </c>
      <c r="X72" s="1564"/>
      <c r="Y72" s="1564">
        <v>0</v>
      </c>
      <c r="Z72" s="1565"/>
      <c r="AA72" s="1562" t="s">
        <v>173</v>
      </c>
      <c r="AB72" s="1200" t="str">
        <f>"7."&amp;Y72</f>
        <v>7.0</v>
      </c>
      <c r="AC72" s="2670"/>
      <c r="AD72" s="854" t="s">
        <v>789</v>
      </c>
      <c r="AE72" s="2672"/>
      <c r="AF72" s="2672"/>
      <c r="AG72" s="2672"/>
      <c r="AH72" s="2672"/>
      <c r="AI72" s="856">
        <f>AI73*AI74*12/1000</f>
        <v>0</v>
      </c>
      <c r="AJ72" s="856">
        <f>AJ73*AJ74*12/1000</f>
        <v>0</v>
      </c>
      <c r="AK72" s="2674"/>
      <c r="AL72" s="1513"/>
      <c r="AM72" s="1513"/>
      <c r="AN72" s="1007" t="s">
        <v>1036</v>
      </c>
      <c r="AO72" s="1023" t="s">
        <v>1067</v>
      </c>
      <c r="AP72" s="1007" cm="1" t="str">
        <f t="array" ref="AP72:AP72">AC72</f>
        <v>0</v>
      </c>
      <c r="AQ72" s="1024"/>
      <c r="AR72" s="233" t="b">
        <v>1</v>
      </c>
    </row>
    <row s="1401" customFormat="1" customHeight="1" ht="14.25" hidden="1">
      <c r="A73" s="1513"/>
      <c r="B73" s="1513"/>
      <c r="C73" s="851"/>
      <c r="D73" s="851"/>
      <c r="E73" s="852">
        <v>15</v>
      </c>
      <c r="F73" s="50" cm="1" t="str">
        <f t="array" ref="F73:F73">OFFSET(E73,-1,1)</f>
        <v>1</v>
      </c>
      <c r="G73" s="848"/>
      <c r="H73" s="848" t="str">
        <f>H72&amp;"_1"</f>
        <v>l7_1</v>
      </c>
      <c r="I73" s="848" cm="1" t="str">
        <f t="array" ref="I73:I73">I72</f>
        <v>0</v>
      </c>
      <c r="J73" s="851"/>
      <c r="K73" s="892"/>
      <c r="L73" s="892"/>
      <c r="M73" s="851"/>
      <c r="N73" s="851"/>
      <c r="O73" s="851"/>
      <c r="P73" s="851"/>
      <c r="Q73" s="851"/>
      <c r="R73" s="851"/>
      <c r="S73" s="851"/>
      <c r="T73" s="438" cm="1" t="str">
        <f t="array" ref="T73:T73">T72</f>
        <v>false</v>
      </c>
      <c r="U73" s="851"/>
      <c r="V73" s="851"/>
      <c r="W73" s="851"/>
      <c r="X73" s="1564"/>
      <c r="Y73" s="1564"/>
      <c r="Z73" s="1565"/>
      <c r="AA73" s="1562"/>
      <c r="AB73" s="858" t="str">
        <f>AB72&amp;".1"</f>
        <v>7.0.1</v>
      </c>
      <c r="AC73" s="859" t="s">
        <v>1039</v>
      </c>
      <c r="AD73" s="854" t="s">
        <v>1040</v>
      </c>
      <c r="AE73" s="2672"/>
      <c r="AF73" s="2672"/>
      <c r="AG73" s="2672"/>
      <c r="AH73" s="2672"/>
      <c r="AI73" s="860"/>
      <c r="AJ73" s="860"/>
      <c r="AK73" s="2674"/>
      <c r="AL73" s="1513"/>
      <c r="AM73" s="1513"/>
      <c r="AN73" s="1007" t="s">
        <v>1041</v>
      </c>
      <c r="AO73" s="1023" t="s">
        <v>1067</v>
      </c>
      <c r="AP73" s="1007" cm="1" t="str">
        <f t="array" ref="AP73:AP73">AP72</f>
        <v>0</v>
      </c>
      <c r="AQ73" s="1024"/>
      <c r="AR73" s="1024"/>
    </row>
    <row s="1401" customFormat="1" customHeight="1" ht="14.25" hidden="1">
      <c r="A74" s="1513"/>
      <c r="B74" s="1513"/>
      <c r="C74" s="851"/>
      <c r="D74" s="851"/>
      <c r="E74" s="852">
        <v>15</v>
      </c>
      <c r="F74" s="50" cm="1" t="str">
        <f t="array" ref="F74:F74">OFFSET(E74,-1,1)</f>
        <v>1</v>
      </c>
      <c r="G74" s="848"/>
      <c r="H74" s="848" t="str">
        <f>H72&amp;"_2"</f>
        <v>l7_2</v>
      </c>
      <c r="I74" s="848" cm="1" t="str">
        <f t="array" ref="I74:I74">I73</f>
        <v>0</v>
      </c>
      <c r="J74" s="851"/>
      <c r="K74" s="892"/>
      <c r="L74" s="892"/>
      <c r="M74" s="851"/>
      <c r="N74" s="851"/>
      <c r="O74" s="851"/>
      <c r="P74" s="851"/>
      <c r="Q74" s="851"/>
      <c r="R74" s="851"/>
      <c r="S74" s="851"/>
      <c r="T74" s="438" cm="1" t="str">
        <f t="array" ref="T74:T74">T73</f>
        <v>false</v>
      </c>
      <c r="U74" s="851"/>
      <c r="V74" s="851"/>
      <c r="W74" s="851"/>
      <c r="X74" s="1564"/>
      <c r="Y74" s="1564"/>
      <c r="Z74" s="1565"/>
      <c r="AA74" s="1562"/>
      <c r="AB74" s="858" t="str">
        <f>AB72&amp;".2"</f>
        <v>7.0.2</v>
      </c>
      <c r="AC74" s="859" t="s">
        <v>1042</v>
      </c>
      <c r="AD74" s="854" t="s">
        <v>1043</v>
      </c>
      <c r="AE74" s="2672"/>
      <c r="AF74" s="2672"/>
      <c r="AG74" s="2672"/>
      <c r="AH74" s="2672"/>
      <c r="AI74" s="860"/>
      <c r="AJ74" s="860"/>
      <c r="AK74" s="2674"/>
      <c r="AL74" s="1513"/>
      <c r="AM74" s="1513"/>
      <c r="AN74" s="1007" t="s">
        <v>1044</v>
      </c>
      <c r="AO74" s="1023" t="s">
        <v>1067</v>
      </c>
      <c r="AP74" s="1007" cm="1" t="str">
        <f t="array" ref="AP74:AP74">AP73</f>
        <v>0</v>
      </c>
      <c r="AQ74" s="1024"/>
      <c r="AR74" s="1024"/>
    </row>
    <row s="1401" customFormat="1" customHeight="1" ht="14.25">
      <c r="A75" s="1513"/>
      <c r="B75" s="401"/>
      <c r="C75" s="843"/>
      <c r="D75" s="843"/>
      <c r="E75" s="844">
        <v>15</v>
      </c>
      <c r="F75" s="50" cm="1" t="str">
        <f t="array" ref="F75:F75">OFFSET(E75,-1,1)</f>
        <v>1</v>
      </c>
      <c r="G75" s="340"/>
      <c r="H75" s="815"/>
      <c r="I75" s="118" t="str">
        <f>"!=='не определено' &amp;&amp; row.l7 !== null"</f>
        <v>!=='не определено' &amp;&amp; row.l7 !== null</v>
      </c>
      <c r="J75" s="843"/>
      <c r="K75" s="456"/>
      <c r="L75" s="456"/>
      <c r="M75" s="843"/>
      <c r="N75" s="843"/>
      <c r="O75" s="843"/>
      <c r="P75" s="843"/>
      <c r="Q75" s="843"/>
      <c r="R75" s="843"/>
      <c r="S75" s="843"/>
      <c r="T75" s="438">
        <f>F75&gt;0</f>
        <v>1</v>
      </c>
      <c r="U75" s="843"/>
      <c r="V75" s="843"/>
      <c r="W75" s="733" t="s">
        <v>1068</v>
      </c>
      <c r="X75" s="1564"/>
      <c r="Y75" s="843"/>
      <c r="Z75" s="1565"/>
      <c r="AA75" s="843"/>
      <c r="AB75" s="850"/>
      <c r="AC75" s="226" t="s">
        <v>176</v>
      </c>
      <c r="AD75" s="752"/>
      <c r="AE75" s="752"/>
      <c r="AF75" s="752"/>
      <c r="AG75" s="752"/>
      <c r="AH75" s="752"/>
      <c r="AI75" s="752"/>
      <c r="AJ75" s="752"/>
      <c r="AK75" s="753"/>
      <c r="AL75" s="1513"/>
      <c r="AM75" s="1513"/>
      <c r="AN75" s="1007"/>
      <c r="AO75" s="1007"/>
      <c r="AP75" s="1007"/>
      <c r="AQ75" s="1024" t="s">
        <v>1067</v>
      </c>
      <c r="AR75" s="233"/>
    </row>
    <row s="1401" customFormat="1" customHeight="1" ht="21.75">
      <c r="A76" s="1513"/>
      <c r="B76" s="401"/>
      <c r="C76" s="843"/>
      <c r="D76" s="843"/>
      <c r="E76" s="844">
        <v>22.5</v>
      </c>
      <c r="F76" s="50" cm="1" t="str">
        <f t="array" ref="F76:F76">OFFSET(E76,-1,1)</f>
        <v>1</v>
      </c>
      <c r="G76" s="340" t="s">
        <v>1069</v>
      </c>
      <c r="H76" s="815" t="s">
        <v>535</v>
      </c>
      <c r="I76" s="815"/>
      <c r="J76" s="843"/>
      <c r="K76" s="456" t="str">
        <f>F76&amp;"8komm"</f>
        <v>18komm</v>
      </c>
      <c r="L76" s="893" cm="1" t="str">
        <f t="array" ref="L76:L76">AK76</f>
        <v>0</v>
      </c>
      <c r="M76" s="843"/>
      <c r="N76" s="843"/>
      <c r="O76" s="843"/>
      <c r="P76" s="843"/>
      <c r="Q76" s="843"/>
      <c r="R76" s="843"/>
      <c r="S76" s="843"/>
      <c r="T76" s="438" cm="1" t="str">
        <f t="array" ref="T76:T76">T75</f>
        <v>true</v>
      </c>
      <c r="U76" s="843"/>
      <c r="V76" s="843"/>
      <c r="W76" s="843"/>
      <c r="X76" s="1564"/>
      <c r="Y76" s="843"/>
      <c r="Z76" s="1565"/>
      <c r="AA76" s="843"/>
      <c r="AB76" s="666" t="s">
        <v>559</v>
      </c>
      <c r="AC76" s="823" t="s">
        <v>1070</v>
      </c>
      <c r="AD76" s="742" t="s">
        <v>789</v>
      </c>
      <c r="AE76" s="264">
        <f>AE71*_xlfn.SUMIFS(INDEX(Сценарии!$AE$25:$BF$82,,MATCH(AE$13,Сценарии!$AE$8:$BF$8,0)),Сценарии!$F$25:$F$82,$F76,Сценарии!$G$25:$G$82,"СВФОТ")/100</f>
        <v>0</v>
      </c>
      <c r="AF76" s="264">
        <f>AF71*_xlfn.SUMIFS(INDEX(Сценарии!$AE$25:$BF$82,,MATCH(AF$13,Сценарии!$AE$8:$BF$8,0)),Сценарии!$F$25:$F$82,$F76,Сценарии!$G$25:$G$82,"СВФОТ")/100</f>
        <v>0</v>
      </c>
      <c r="AG76" s="264">
        <f>AG71*_xlfn.SUMIFS(INDEX(Сценарии!$AE$25:$BF$82,,MATCH(AG$13,Сценарии!$AE$8:$BF$8,0)),Сценарии!$F$25:$F$82,$F76,Сценарии!$G$25:$G$82,"СВФОТ")/100</f>
        <v>0</v>
      </c>
      <c r="AH76" s="264">
        <f>AH71*_xlfn.SUMIFS(INDEX(Сценарии!$AE$25:$BF$82,,MATCH(AH$13,Сценарии!$AE$8:$BF$8,0)),Сценарии!$F$25:$F$82,$F76,Сценарии!$G$25:$G$82,"СВФОТ")/100</f>
        <v>0</v>
      </c>
      <c r="AI76" s="264">
        <f>AI71*_xlfn.SUMIFS(INDEX(Сценарии!$AE$25:$BF$82,,MATCH(AI$13,Сценарии!$AE$8:$BF$8,0)),Сценарии!$F$25:$F$82,$F76,Сценарии!$G$25:$G$82,"СВФОТ")/100</f>
        <v>0</v>
      </c>
      <c r="AJ76" s="264">
        <f>AJ71*_xlfn.SUMIFS(INDEX(Сценарии!$AE$25:$BF$82,,MATCH(AJ$13,Сценарии!$AE$8:$BF$8,0)),Сценарии!$F$25:$F$82,$F76,Сценарии!$G$25:$G$82,"СВФОТ")/100</f>
        <v>0</v>
      </c>
      <c r="AK76" s="822"/>
      <c r="AL76" s="1513"/>
      <c r="AM76" s="1513"/>
      <c r="AN76" s="1007" t="s">
        <v>1071</v>
      </c>
      <c r="AO76" s="1007"/>
      <c r="AP76" s="1007"/>
      <c r="AQ76" s="233"/>
      <c r="AR76" s="233"/>
    </row>
    <row s="1624" customFormat="1" customHeight="1" ht="10.96875">
      <c r="A77" s="442"/>
      <c r="B77" s="634"/>
      <c r="C77" s="455"/>
      <c r="D77" s="455"/>
      <c r="E77" s="842">
        <v>11.25</v>
      </c>
      <c r="F77" s="455"/>
      <c r="G77" s="455"/>
      <c r="H77" s="455"/>
      <c r="I77" s="455"/>
      <c r="J77" s="455"/>
      <c r="K77" s="890"/>
      <c r="L77" s="890"/>
      <c r="M77" s="455"/>
      <c r="N77" s="455"/>
      <c r="O77" s="455"/>
      <c r="P77" s="455"/>
      <c r="Q77" s="455"/>
      <c r="R77" s="455"/>
      <c r="S77" s="455"/>
      <c r="T77" s="455"/>
      <c r="U77" s="455" t="s">
        <v>176</v>
      </c>
      <c r="V77" s="825" t="s">
        <v>1072</v>
      </c>
      <c r="W77" s="455"/>
      <c r="X77" s="455"/>
      <c r="Y77" s="455"/>
      <c r="Z77" s="455"/>
      <c r="AA77" s="455"/>
      <c r="AB77" s="455"/>
      <c r="AC77" s="455"/>
      <c r="AD77" s="455"/>
      <c r="AE77" s="455"/>
      <c r="AF77" s="455"/>
      <c r="AG77" s="0"/>
      <c r="AH77" s="0"/>
      <c r="AI77" s="0"/>
      <c r="AJ77" s="0"/>
      <c r="AK77" s="0"/>
      <c r="AN77" s="996"/>
      <c r="AO77" s="996"/>
      <c r="AP77" s="996"/>
      <c r="AQ77" s="662"/>
      <c r="AR77" s="662"/>
    </row>
    <row customHeight="1" ht="14.625">
      <c r="C78" s="466"/>
      <c r="D78" s="466"/>
      <c r="E78" s="816">
        <v>15</v>
      </c>
      <c r="F78" s="466"/>
      <c r="G78" s="466"/>
      <c r="H78" s="466"/>
      <c r="I78" s="466"/>
      <c r="J78" s="466"/>
      <c r="M78" s="466"/>
      <c r="N78" s="466"/>
      <c r="O78" s="466"/>
      <c r="P78" s="466"/>
      <c r="Q78" s="466"/>
      <c r="R78" s="340"/>
      <c r="S78" s="466"/>
      <c r="T78" s="466"/>
      <c r="U78" s="466"/>
      <c r="V78" s="466"/>
      <c r="W78" s="466"/>
      <c r="X78" s="466"/>
      <c r="Y78" s="466"/>
      <c r="Z78" s="466"/>
      <c r="AA78" s="466"/>
      <c r="AB78" s="1522" t="s">
        <v>392</v>
      </c>
      <c r="AC78" s="1522"/>
      <c r="AD78" s="1522"/>
      <c r="AE78" s="1522"/>
      <c r="AF78" s="1522"/>
      <c r="AG78" s="1522"/>
      <c r="AH78" s="1522"/>
      <c r="AI78" s="1567"/>
      <c r="AJ78" s="1567"/>
      <c r="AK78" s="1567"/>
    </row>
    <row customHeight="1" ht="14.625">
      <c r="E79" s="607">
        <v>15</v>
      </c>
      <c r="AA79" s="637"/>
      <c r="AB79" s="1544"/>
      <c r="AC79" s="1544"/>
      <c r="AD79" s="1544"/>
      <c r="AE79" s="1544"/>
      <c r="AF79" s="1544"/>
      <c r="AG79" s="1544"/>
      <c r="AH79" s="1544"/>
      <c r="AI79" s="1545"/>
      <c r="AJ79" s="1545"/>
      <c r="AK79" s="1545"/>
    </row>
    <row customHeight="1" ht="14.625" hidden="1">
      <c r="A80" s="1282"/>
      <c r="B80" s="1389"/>
      <c r="C80" s="1282"/>
      <c r="D80" s="1282"/>
      <c r="E80" s="607">
        <v>15</v>
      </c>
      <c r="F80" s="1282"/>
      <c r="G80" s="1290"/>
      <c r="H80" s="1282"/>
      <c r="I80" s="1282"/>
      <c r="J80" s="1282"/>
      <c r="K80" s="1290"/>
      <c r="L80" s="1290"/>
      <c r="M80" s="1282"/>
      <c r="N80" s="1282"/>
      <c r="O80" s="1282"/>
      <c r="P80" s="1282"/>
      <c r="Q80" s="1282"/>
      <c r="R80" s="1300"/>
      <c r="S80" s="1282"/>
      <c r="T80" s="438">
        <f>ROW(W80)&gt;ROW(W$80)</f>
        <v>0</v>
      </c>
      <c r="U80" s="1282"/>
      <c r="V80" s="1282"/>
      <c r="W80" s="733" t="s">
        <v>172</v>
      </c>
      <c r="X80" s="1282"/>
      <c r="Y80" s="1282"/>
      <c r="Z80" s="1282"/>
      <c r="AA80" s="638" t="s">
        <v>173</v>
      </c>
      <c r="AB80" s="2395" t="s">
        <v>228</v>
      </c>
      <c r="AC80" s="2395"/>
      <c r="AD80" s="2395"/>
      <c r="AE80" s="2395"/>
      <c r="AF80" s="2395"/>
      <c r="AG80" s="2395"/>
      <c r="AH80" s="2395"/>
      <c r="AI80" s="1545"/>
      <c r="AJ80" s="1545"/>
      <c r="AK80" s="2394"/>
      <c r="AL80" s="1282"/>
      <c r="AM80" s="1282"/>
      <c r="AN80" s="1284"/>
      <c r="AO80" s="1284"/>
      <c r="AP80" s="1284"/>
      <c r="AQ80" s="1283"/>
      <c r="AR80" s="1283"/>
    </row>
    <row customHeight="1" ht="14.625">
      <c r="E81" s="607">
        <v>15</v>
      </c>
      <c r="W81" s="733" t="s">
        <v>396</v>
      </c>
      <c r="AB81" s="658"/>
      <c r="AC81" s="487" t="s">
        <v>397</v>
      </c>
      <c r="AD81" s="276"/>
      <c r="AE81" s="276"/>
      <c r="AF81" s="277"/>
      <c r="AG81" s="277"/>
      <c r="AH81" s="277"/>
      <c r="AI81" s="277"/>
      <c r="AJ81" s="277"/>
      <c r="AK81" s="278"/>
    </row>
    <row customHeight="1" ht="10.725000000000001">
      <c r="E82" s="607">
        <v>11</v>
      </c>
      <c r="AI82" s="1282"/>
      <c r="AJ82" s="1282"/>
      <c r="AL82" s="398"/>
    </row>
  </sheetData>
  <sheetProtection formatColumns="0" formatRows="0" insertRows="0" deleteColumns="0" deleteRows="0" sort="0" autoFilter="0" insertColumns="1"/>
  <mergeCells count="27">
    <mergeCell ref="AB24:AB25"/>
    <mergeCell ref="AC24:AC25"/>
    <mergeCell ref="AD24:AD25"/>
    <mergeCell ref="AK24:AK25"/>
    <mergeCell ref="AB80:AK80"/>
    <mergeCell ref="AB78:AK78"/>
    <mergeCell ref="AB79:AK79"/>
    <mergeCell ref="X27:X51"/>
    <mergeCell ref="Z27:Z51"/>
    <mergeCell ref="AA29:AA31"/>
    <mergeCell ref="AA35:AA37"/>
    <mergeCell ref="AA41:AA43"/>
    <mergeCell ref="AA47:AA49"/>
    <mergeCell ref="Y29:Y31"/>
    <mergeCell ref="Y35:Y37"/>
    <mergeCell ref="Y41:Y43"/>
    <mergeCell ref="Y47:Y49"/>
    <mergeCell ref="X52:X76"/>
    <mergeCell ref="Z52:Z76"/>
    <mergeCell ref="AA54:AA56"/>
    <mergeCell ref="AA60:AA62"/>
    <mergeCell ref="AA66:AA68"/>
    <mergeCell ref="AA72:AA74"/>
    <mergeCell ref="Y54:Y56"/>
    <mergeCell ref="Y60:Y62"/>
    <mergeCell ref="Y66:Y68"/>
    <mergeCell ref="Y72:Y74"/>
  </mergeCells>
  <dataValidations count="1">
    <dataValidation type="decimal" allowBlank="1" showErrorMessage="1" errorTitle="Ошибка" error="Допускается ввод только неотрицательных чисел!" sqref="AJ51 AJ54:AJ56 AJ58 AJ60:AJ62 AJ64 AJ66:AJ68 AJ70 AJ72:AJ74 AJ76 AI51 AI54:AI56 AI58 AI60:AI62 AI64 AI66:AI68 AI70 AI72:AI74 AI76 AH51 AH53 AH58:AH59 AH64:AH65 AH70:AH71 AH76 AG51 AG53 AG58:AG59 AG64:AG65 AG70:AG71 AG76 AF51 AF53 AF58:AF59 AF64:AF65 AF70:AF71 AF76 AE51 AE53 AE58:AE59 AE64:AE65 AE70:AE71 AE76 AI47:AJ49 AE46:AH46 AE45:AJ45 AI41:AJ43 AE40:AH40 AE39:AJ39 AI35:AJ37 AE34:AH34 AE33:AJ33 AI29:AJ31 AE28:AH28">
      <formula1>0</formula1>
      <formula2>9.99999999999999E+23</formula2>
    </dataValidation>
  </dataValidation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0F94E8-E258-F118-6BB8-B39CC237106A}" mc:Ignorable="x14ac xr xr2 xr3">
  <dimension ref="A1:AA17"/>
  <sheetViews>
    <sheetView topLeftCell="A1" showGridLines="0" showRowColHeaders="0" workbookViewId="0">
      <selection activeCell="A1" sqref="A1"/>
    </sheetView>
  </sheetViews>
  <sheetFormatPr defaultColWidth="10.421875" customHeight="1" defaultRowHeight="12.600000000000001"/>
  <cols>
    <col min="1" max="1" style="1144" width="5.140625" customWidth="1"/>
    <col min="2" max="2" style="409" width="8.57421875" customWidth="1"/>
    <col min="3" max="3" style="1144" width="15.57421875" customWidth="1"/>
    <col min="4" max="25" style="1144" width="6.00390625" customWidth="1"/>
    <col min="26" max="27" style="1144" width="10.421875"/>
  </cols>
  <sheetData>
    <row customHeight="1" ht="15.75">
      <c r="A1" s="1112"/>
      <c r="B1" s="408"/>
      <c r="C1" s="1113"/>
      <c r="D1" s="1113"/>
      <c r="E1" s="1113"/>
      <c r="F1" s="1113"/>
      <c r="G1" s="1113"/>
      <c r="H1" s="1113"/>
      <c r="I1" s="1113"/>
      <c r="J1" s="1113"/>
      <c r="K1" s="1113"/>
      <c r="L1" s="1113"/>
      <c r="M1" s="1113"/>
      <c r="N1" s="1113"/>
      <c r="O1" s="1113"/>
      <c r="P1" s="1113"/>
      <c r="Q1" s="1113"/>
      <c r="R1" s="1113"/>
      <c r="S1" s="1113"/>
      <c r="T1" s="1113"/>
      <c r="U1" s="1113"/>
      <c r="V1" s="1113"/>
      <c r="W1" s="1113"/>
      <c r="X1" s="1113"/>
      <c r="Y1" s="1114"/>
      <c r="Z1" s="1113"/>
      <c r="AA1" s="1115" t="s">
        <v>3</v>
      </c>
    </row>
    <row s="409" customFormat="1" customHeight="1" ht="17.25">
      <c r="A2" s="1116"/>
      <c r="B2" s="1422" t="s">
        <v>4</v>
      </c>
      <c r="C2" s="1422"/>
      <c r="D2" s="1422"/>
      <c r="E2" s="1422"/>
      <c r="F2" s="1422"/>
      <c r="G2" s="1422"/>
      <c r="H2" s="1422"/>
      <c r="I2" s="1422"/>
      <c r="J2" s="1422"/>
      <c r="K2" s="1422"/>
      <c r="L2" s="1422"/>
      <c r="M2" s="1422"/>
      <c r="N2" s="1422"/>
      <c r="O2" s="1422"/>
      <c r="P2" s="1422"/>
      <c r="Q2" s="1117"/>
      <c r="R2" s="1117"/>
      <c r="S2" s="1117"/>
      <c r="T2" s="1117"/>
      <c r="U2" s="1117"/>
      <c r="V2" s="1118"/>
      <c r="W2" s="1117"/>
      <c r="X2" s="1117"/>
      <c r="Y2" s="1119"/>
      <c r="Z2" s="1116"/>
      <c r="AA2" s="1116"/>
    </row>
    <row customHeight="1" ht="15.75">
      <c r="A3" s="1113"/>
      <c r="B3" s="1423" t="s">
        <v>5</v>
      </c>
      <c r="C3" s="1423"/>
      <c r="D3" s="1423"/>
      <c r="E3" s="1423"/>
      <c r="F3" s="1423"/>
      <c r="G3" s="1423"/>
      <c r="H3" s="1423"/>
      <c r="I3" s="1423"/>
      <c r="J3" s="1423"/>
      <c r="K3" s="1423"/>
      <c r="L3" s="1423"/>
      <c r="M3" s="1423"/>
      <c r="N3" s="1423"/>
      <c r="O3" s="1423"/>
      <c r="P3" s="1423"/>
      <c r="Q3" s="1120"/>
      <c r="R3" s="1120"/>
      <c r="S3" s="1121"/>
      <c r="T3" s="1121"/>
      <c r="U3" s="1121"/>
      <c r="V3" s="1120"/>
      <c r="W3" s="1120"/>
      <c r="X3" s="1120"/>
      <c r="Y3" s="1120"/>
      <c r="Z3" s="1113"/>
      <c r="AA3" s="394"/>
    </row>
    <row customHeight="1" ht="16.5">
      <c r="A4" s="1113"/>
      <c r="B4" s="410"/>
      <c r="C4" s="1113"/>
      <c r="D4" s="1120"/>
      <c r="E4" s="1120"/>
      <c r="F4" s="1120"/>
      <c r="G4" s="1120"/>
      <c r="H4" s="1120"/>
      <c r="I4" s="1120"/>
      <c r="J4" s="1120"/>
      <c r="K4" s="1120"/>
      <c r="L4" s="1120"/>
      <c r="M4" s="1120"/>
      <c r="N4" s="1120"/>
      <c r="O4" s="1120"/>
      <c r="P4" s="1120"/>
      <c r="Q4" s="1120"/>
      <c r="R4" s="1120"/>
      <c r="S4" s="1120"/>
      <c r="T4" s="1120"/>
      <c r="U4" s="1120"/>
      <c r="V4" s="1120"/>
      <c r="W4" s="1120"/>
      <c r="X4" s="1120"/>
      <c r="Y4" s="1120"/>
      <c r="Z4" s="1113"/>
      <c r="AA4" s="394"/>
    </row>
    <row customHeight="1" ht="22.5">
      <c r="A5" s="1122"/>
      <c r="B5" s="1424"/>
      <c r="C5" s="1425"/>
      <c r="D5" s="1425"/>
      <c r="E5" s="1425"/>
      <c r="F5" s="1425"/>
      <c r="G5" s="1425"/>
      <c r="H5" s="1425"/>
      <c r="I5" s="1425"/>
      <c r="J5" s="1425"/>
      <c r="K5" s="1425"/>
      <c r="L5" s="1425"/>
      <c r="M5" s="1425"/>
      <c r="N5" s="1425"/>
      <c r="O5" s="1425"/>
      <c r="P5" s="1425"/>
      <c r="Q5" s="1425"/>
      <c r="R5" s="1425"/>
      <c r="S5" s="1425"/>
      <c r="T5" s="1425"/>
      <c r="U5" s="1425"/>
      <c r="V5" s="1425"/>
      <c r="W5" s="1425"/>
      <c r="X5" s="1425"/>
      <c r="Y5" s="1426"/>
      <c r="Z5" s="1122"/>
      <c r="AA5" s="394"/>
    </row>
    <row customHeight="1" ht="13.5">
      <c r="A6" s="1123"/>
      <c r="B6" s="1427" t="s">
        <v>6</v>
      </c>
      <c r="C6" s="1428"/>
      <c r="D6" s="1124"/>
      <c r="E6" s="1124"/>
      <c r="F6" s="1124"/>
      <c r="G6" s="1124"/>
      <c r="H6" s="1124"/>
      <c r="I6" s="1124"/>
      <c r="J6" s="1124"/>
      <c r="K6" s="1124"/>
      <c r="L6" s="1124"/>
      <c r="M6" s="1124"/>
      <c r="N6" s="1124"/>
      <c r="O6" s="1124"/>
      <c r="P6" s="1124"/>
      <c r="Q6" s="1124"/>
      <c r="R6" s="1124"/>
      <c r="S6" s="1124"/>
      <c r="T6" s="1124"/>
      <c r="U6" s="1124"/>
      <c r="V6" s="1124"/>
      <c r="W6" s="1124"/>
      <c r="X6" s="1124"/>
      <c r="Y6" s="1125"/>
      <c r="Z6" s="1126"/>
      <c r="AA6" s="1127"/>
    </row>
    <row customHeight="1" ht="13.5">
      <c r="A7" s="1123"/>
      <c r="B7" s="1427"/>
      <c r="C7" s="1428"/>
      <c r="D7" s="1124"/>
      <c r="E7" s="1124"/>
      <c r="F7" s="1128"/>
      <c r="G7" s="1128"/>
      <c r="H7" s="1128"/>
      <c r="I7" s="1128"/>
      <c r="J7" s="1128"/>
      <c r="K7" s="1128"/>
      <c r="L7" s="1128"/>
      <c r="M7" s="1128"/>
      <c r="N7" s="1128"/>
      <c r="O7" s="1124"/>
      <c r="P7" s="1128"/>
      <c r="Q7" s="1128"/>
      <c r="R7" s="1128"/>
      <c r="S7" s="1128"/>
      <c r="T7" s="1128"/>
      <c r="U7" s="1128"/>
      <c r="V7" s="1128"/>
      <c r="W7" s="1128"/>
      <c r="X7" s="1128"/>
      <c r="Y7" s="1125"/>
      <c r="Z7" s="1126"/>
      <c r="AA7" s="1127"/>
    </row>
    <row customHeight="1" ht="13.5">
      <c r="A8" s="1123"/>
      <c r="B8" s="1427"/>
      <c r="C8" s="1428"/>
      <c r="D8" s="1129"/>
      <c r="E8" s="1130" t="s">
        <v>7</v>
      </c>
      <c r="F8" s="1430" t="s">
        <v>8</v>
      </c>
      <c r="G8" s="1431"/>
      <c r="H8" s="1431"/>
      <c r="I8" s="1431"/>
      <c r="J8" s="1431"/>
      <c r="K8" s="1431"/>
      <c r="L8" s="1431"/>
      <c r="M8" s="1431"/>
      <c r="N8" s="1129"/>
      <c r="O8" s="1131" t="s">
        <v>7</v>
      </c>
      <c r="P8" s="1432" t="s">
        <v>9</v>
      </c>
      <c r="Q8" s="1433"/>
      <c r="R8" s="1433"/>
      <c r="S8" s="1433"/>
      <c r="T8" s="1433"/>
      <c r="U8" s="1433"/>
      <c r="V8" s="1433"/>
      <c r="W8" s="1433"/>
      <c r="X8" s="1433"/>
      <c r="Y8" s="1125"/>
      <c r="Z8" s="1126"/>
      <c r="AA8" s="1127"/>
    </row>
    <row customHeight="1" ht="13.5">
      <c r="A9" s="1123"/>
      <c r="B9" s="1427"/>
      <c r="C9" s="1428"/>
      <c r="D9" s="1129"/>
      <c r="E9" s="1132" t="s">
        <v>7</v>
      </c>
      <c r="F9" s="1430" t="s">
        <v>10</v>
      </c>
      <c r="G9" s="1431"/>
      <c r="H9" s="1431"/>
      <c r="I9" s="1431"/>
      <c r="J9" s="1431"/>
      <c r="K9" s="1431"/>
      <c r="L9" s="1431"/>
      <c r="M9" s="1431"/>
      <c r="N9" s="1129"/>
      <c r="O9" s="1133" t="s">
        <v>7</v>
      </c>
      <c r="P9" s="1432" t="s">
        <v>11</v>
      </c>
      <c r="Q9" s="1433"/>
      <c r="R9" s="1433"/>
      <c r="S9" s="1433"/>
      <c r="T9" s="1433"/>
      <c r="U9" s="1433"/>
      <c r="V9" s="1433"/>
      <c r="W9" s="1433"/>
      <c r="X9" s="1433"/>
      <c r="Y9" s="1125"/>
      <c r="Z9" s="1126"/>
      <c r="AA9" s="1127"/>
    </row>
    <row customHeight="1" ht="13.5">
      <c r="A10" s="1123"/>
      <c r="B10" s="1427"/>
      <c r="C10" s="1429"/>
      <c r="D10" s="1129"/>
      <c r="E10" s="1134" t="s">
        <v>7</v>
      </c>
      <c r="F10" s="1433" t="s">
        <v>12</v>
      </c>
      <c r="G10" s="1434"/>
      <c r="H10" s="1434"/>
      <c r="I10" s="1434"/>
      <c r="J10" s="1434"/>
      <c r="K10" s="1434"/>
      <c r="L10" s="1434"/>
      <c r="M10" s="1434"/>
      <c r="N10" s="1434"/>
      <c r="O10" s="1135" t="s">
        <v>7</v>
      </c>
      <c r="P10" s="1433" t="s">
        <v>13</v>
      </c>
      <c r="Q10" s="1434"/>
      <c r="R10" s="1434"/>
      <c r="S10" s="1434"/>
      <c r="T10" s="1434"/>
      <c r="U10" s="1434"/>
      <c r="V10" s="1434"/>
      <c r="W10" s="1434"/>
      <c r="X10" s="1434"/>
      <c r="Y10" s="1125"/>
      <c r="Z10" s="1126"/>
      <c r="AA10" s="1127"/>
    </row>
    <row customHeight="1" ht="30">
      <c r="A11" s="1123"/>
      <c r="B11" s="1427"/>
      <c r="C11" s="1429"/>
      <c r="D11" s="1136"/>
      <c r="E11" s="1137"/>
      <c r="F11" s="1128"/>
      <c r="G11" s="1128"/>
      <c r="H11" s="1128"/>
      <c r="I11" s="1128"/>
      <c r="J11" s="1128"/>
      <c r="K11" s="1128"/>
      <c r="L11" s="1128"/>
      <c r="M11" s="1128"/>
      <c r="N11" s="1128"/>
      <c r="O11" s="1137"/>
      <c r="P11" s="1128"/>
      <c r="Q11" s="1128"/>
      <c r="R11" s="1128"/>
      <c r="S11" s="1128"/>
      <c r="T11" s="1128"/>
      <c r="U11" s="1128"/>
      <c r="V11" s="1128"/>
      <c r="W11" s="1128"/>
      <c r="X11" s="1128"/>
      <c r="Y11" s="1125"/>
      <c r="Z11" s="1126"/>
      <c r="AA11" s="1127"/>
    </row>
    <row customHeight="1" ht="19.5">
      <c r="A12" s="1123"/>
      <c r="B12" s="1435" t="s">
        <v>14</v>
      </c>
      <c r="C12" s="1436"/>
      <c r="D12" s="1129"/>
      <c r="E12" s="1138"/>
      <c r="F12" s="1138"/>
      <c r="G12" s="1138"/>
      <c r="H12" s="1138"/>
      <c r="I12" s="1138"/>
      <c r="J12" s="1138"/>
      <c r="K12" s="1138"/>
      <c r="L12" s="1138"/>
      <c r="M12" s="1138"/>
      <c r="N12" s="1138"/>
      <c r="O12" s="1138"/>
      <c r="P12" s="1138"/>
      <c r="Q12" s="1138"/>
      <c r="R12" s="1138"/>
      <c r="S12" s="1138"/>
      <c r="T12" s="1138"/>
      <c r="U12" s="1138"/>
      <c r="V12" s="1138"/>
      <c r="W12" s="1138"/>
      <c r="X12" s="1138"/>
      <c r="Y12" s="1125"/>
      <c r="Z12" s="1126"/>
      <c r="AA12" s="1127"/>
    </row>
    <row customHeight="1" ht="68.25">
      <c r="A13" s="1123"/>
      <c r="B13" s="1427"/>
      <c r="C13" s="1429"/>
      <c r="D13" s="1139"/>
      <c r="E13" s="1431" t="s">
        <v>15</v>
      </c>
      <c r="F13" s="1431"/>
      <c r="G13" s="1431"/>
      <c r="H13" s="1431"/>
      <c r="I13" s="1431"/>
      <c r="J13" s="1431"/>
      <c r="K13" s="1431"/>
      <c r="L13" s="1431"/>
      <c r="M13" s="1431"/>
      <c r="N13" s="1431"/>
      <c r="O13" s="1431"/>
      <c r="P13" s="1431"/>
      <c r="Q13" s="1431"/>
      <c r="R13" s="1431"/>
      <c r="S13" s="1431"/>
      <c r="T13" s="1431"/>
      <c r="U13" s="1431"/>
      <c r="V13" s="1431"/>
      <c r="W13" s="1431"/>
      <c r="X13" s="1431"/>
      <c r="Y13" s="1125"/>
      <c r="Z13" s="1126"/>
      <c r="AA13" s="1127"/>
    </row>
    <row customHeight="1" ht="13.5">
      <c r="A14" s="1123"/>
      <c r="B14" s="1435" t="s">
        <v>16</v>
      </c>
      <c r="C14" s="1436"/>
      <c r="D14" s="1124"/>
      <c r="E14" s="1138"/>
      <c r="F14" s="1138"/>
      <c r="G14" s="1138"/>
      <c r="H14" s="1138"/>
      <c r="I14" s="1138"/>
      <c r="J14" s="1138"/>
      <c r="K14" s="1138"/>
      <c r="L14" s="1138"/>
      <c r="M14" s="1138"/>
      <c r="N14" s="1138"/>
      <c r="O14" s="1138"/>
      <c r="P14" s="1138"/>
      <c r="Q14" s="1138"/>
      <c r="R14" s="1138"/>
      <c r="S14" s="1138"/>
      <c r="T14" s="1138"/>
      <c r="U14" s="1138"/>
      <c r="V14" s="1138"/>
      <c r="W14" s="1138"/>
      <c r="X14" s="1138"/>
      <c r="Y14" s="1125"/>
      <c r="Z14" s="1126"/>
      <c r="AA14" s="1127"/>
    </row>
    <row customHeight="1" ht="65.25">
      <c r="A15" s="1123"/>
      <c r="B15" s="1427"/>
      <c r="C15" s="1428"/>
      <c r="D15" s="1129"/>
      <c r="E15" s="1439" t="s">
        <v>17</v>
      </c>
      <c r="F15" s="1439"/>
      <c r="G15" s="1439"/>
      <c r="H15" s="1439"/>
      <c r="I15" s="1439"/>
      <c r="J15" s="1439"/>
      <c r="K15" s="1439"/>
      <c r="L15" s="1439"/>
      <c r="M15" s="1439"/>
      <c r="N15" s="1439"/>
      <c r="O15" s="1439"/>
      <c r="P15" s="1439"/>
      <c r="Q15" s="1439"/>
      <c r="R15" s="1439"/>
      <c r="S15" s="1439"/>
      <c r="T15" s="1439"/>
      <c r="U15" s="1439"/>
      <c r="V15" s="1439"/>
      <c r="W15" s="1439"/>
      <c r="X15" s="1439"/>
      <c r="Y15" s="1125"/>
      <c r="Z15" s="1126"/>
      <c r="AA15" s="1127"/>
    </row>
    <row customHeight="1" ht="16.5">
      <c r="A16" s="1123"/>
      <c r="B16" s="1437"/>
      <c r="C16" s="1438"/>
      <c r="D16" s="1140"/>
      <c r="E16" s="1141"/>
      <c r="F16" s="1141"/>
      <c r="G16" s="1141"/>
      <c r="H16" s="1141"/>
      <c r="I16" s="1141"/>
      <c r="J16" s="1141"/>
      <c r="K16" s="1141"/>
      <c r="L16" s="1141"/>
      <c r="M16" s="1141"/>
      <c r="N16" s="1141"/>
      <c r="O16" s="1141"/>
      <c r="P16" s="1141"/>
      <c r="Q16" s="1141"/>
      <c r="R16" s="1141"/>
      <c r="S16" s="1141"/>
      <c r="T16" s="1141"/>
      <c r="U16" s="1141"/>
      <c r="V16" s="1141"/>
      <c r="W16" s="1141"/>
      <c r="X16" s="1141"/>
      <c r="Y16" s="1142"/>
      <c r="Z16" s="1126"/>
      <c r="AA16" s="1143"/>
    </row>
    <row customHeight="1" ht="95.25">
      <c r="A17" s="1113"/>
      <c r="B17" s="1439"/>
      <c r="C17" s="1440"/>
      <c r="D17" s="1440"/>
      <c r="E17" s="1440"/>
      <c r="F17" s="1440"/>
      <c r="G17" s="1440"/>
      <c r="H17" s="1440"/>
      <c r="I17" s="1440"/>
      <c r="J17" s="1440"/>
      <c r="K17" s="1440"/>
      <c r="L17" s="1440"/>
      <c r="M17" s="1440"/>
      <c r="N17" s="1440"/>
      <c r="O17" s="1440"/>
      <c r="P17" s="1440"/>
      <c r="Q17" s="1440"/>
      <c r="R17" s="1440"/>
      <c r="S17" s="1440"/>
      <c r="T17" s="1440"/>
      <c r="U17" s="1440"/>
      <c r="V17" s="1440"/>
      <c r="W17" s="1440"/>
      <c r="X17" s="1440"/>
      <c r="Y17" s="1440"/>
      <c r="Z17" s="1113"/>
      <c r="AA17" s="394"/>
    </row>
  </sheetData>
  <sheetProtection insertRows="0" deleteColumns="0" deleteRows="0" sort="0" autoFilter="0" insertColumns="1"/>
  <mergeCells count="15">
    <mergeCell ref="B12:C13"/>
    <mergeCell ref="E13:X13"/>
    <mergeCell ref="B14:C16"/>
    <mergeCell ref="E15:X15"/>
    <mergeCell ref="B17:Y17"/>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68AE7C-47B8-B668-53E5-8CFF3C480AA8}" mc:Ignorable="x14ac xr xr2 xr3">
  <sheetPr>
    <tabColor rgb="FF002060"/>
    <outlinePr summaryBelow="0"/>
    <pageSetUpPr fitToPage="1"/>
  </sheetPr>
  <dimension ref="A1:AN70"/>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82" width="3.57421875" hidden="1" customWidth="1"/>
    <col min="2" max="2" style="1389" width="8.57421875" hidden="1" customWidth="1"/>
    <col min="3" max="4" style="1282" width="3.57421875" hidden="1" customWidth="1"/>
    <col min="5" max="5" style="1283" width="3.57421875" hidden="1" customWidth="1"/>
    <col min="6" max="7" style="1282" width="3.57421875" hidden="1" customWidth="1"/>
    <col min="8" max="8" style="1282" width="2.28125" hidden="1" customWidth="1"/>
    <col min="9" max="10" style="1282" width="3.57421875" hidden="1" customWidth="1"/>
    <col min="11" max="11" style="1282" width="6.140625" hidden="1" customWidth="1"/>
    <col min="12" max="12" style="1282" width="8.57421875" hidden="1" customWidth="1"/>
    <col min="13" max="17" style="1282" width="3.57421875" hidden="1" customWidth="1"/>
    <col min="18" max="18" style="1300" width="3.57421875" hidden="1" customWidth="1"/>
    <col min="19" max="19" style="1282" width="3.57421875" hidden="1" customWidth="1"/>
    <col min="20" max="20" style="1282" width="9.57421875" hidden="1" customWidth="1"/>
    <col min="21" max="21" style="1282" width="5.8515625" hidden="1" customWidth="1"/>
    <col min="22" max="23" style="1282" width="6.140625" hidden="1" customWidth="1"/>
    <col min="24" max="25" style="1282" width="5.57421875" hidden="1" customWidth="1"/>
    <col min="26" max="26" style="1282" width="5.28125" hidden="1" customWidth="1"/>
    <col min="27" max="27" style="1282" width="3.00390625" customWidth="1"/>
    <col min="28" max="28" style="1282" width="11.00390625" customWidth="1"/>
    <col min="29" max="29" style="1282" width="55.00390625" customWidth="1"/>
    <col min="30" max="30" style="1282" width="12.00390625" customWidth="1"/>
    <col min="31" max="36" style="1282" width="13.00390625" customWidth="1"/>
    <col min="37" max="37" style="1282" width="20.00390625" customWidth="1"/>
    <col min="38" max="38" style="1282" width="3.00390625" customWidth="1"/>
    <col min="39" max="39" style="1282" width="9.140625" hidden="1"/>
    <col min="40" max="40" style="1284" width="9.140625" hidden="1"/>
  </cols>
  <sheetData>
    <row customHeight="1" ht="11.25" hidden="1">
      <c r="E1" s="64"/>
      <c r="F1" s="64" t="s">
        <v>309</v>
      </c>
      <c r="H1" s="64" t="s">
        <v>320</v>
      </c>
      <c r="T1" s="438" t="s">
        <v>92</v>
      </c>
      <c r="U1" s="438" t="s">
        <v>97</v>
      </c>
      <c r="V1" s="438" t="s">
        <v>93</v>
      </c>
      <c r="W1" s="438" t="s">
        <v>94</v>
      </c>
      <c r="X1" s="438" t="s">
        <v>95</v>
      </c>
      <c r="Y1" s="440" t="s">
        <v>311</v>
      </c>
      <c r="Z1" s="438" t="s">
        <v>99</v>
      </c>
      <c r="AA1" s="439" t="s">
        <v>96</v>
      </c>
      <c r="AB1" s="51"/>
      <c r="AC1" s="439" t="s">
        <v>98</v>
      </c>
      <c r="AI1" s="1282"/>
      <c r="AJ1" s="1282"/>
      <c r="AN1" s="992" t="s">
        <v>312</v>
      </c>
    </row>
    <row s="1389" customFormat="1" customHeight="1" ht="11.25" hidden="1">
      <c r="B2" s="417" t="s">
        <v>18</v>
      </c>
      <c r="AI2" s="418">
        <f>AI6&lt;=last_year_vis</f>
        <v>1</v>
      </c>
      <c r="AJ2" s="418">
        <f>AJ6&lt;=last_year_vis</f>
        <v>1</v>
      </c>
      <c r="AN2" s="993"/>
    </row>
    <row customHeight="1" ht="11.25" hidden="1">
      <c r="E3" s="64"/>
      <c r="AI3" s="1282"/>
      <c r="AJ3" s="1282"/>
    </row>
    <row customHeight="1" ht="11.25" hidden="1">
      <c r="E4" s="64"/>
      <c r="AI4" s="1282"/>
      <c r="AJ4" s="1282"/>
    </row>
    <row s="1283" customFormat="1" customHeight="1" ht="11.25" hidden="1">
      <c r="A5" s="64"/>
      <c r="B5" s="399"/>
      <c r="C5" s="64"/>
      <c r="D5" s="64"/>
      <c r="E5" s="607" t="s">
        <v>19</v>
      </c>
      <c r="R5" s="592"/>
      <c r="AA5" s="607">
        <v>3</v>
      </c>
      <c r="AB5" s="607">
        <v>11</v>
      </c>
      <c r="AC5" s="607">
        <v>55</v>
      </c>
      <c r="AD5" s="607">
        <v>12</v>
      </c>
      <c r="AE5" s="607">
        <v>13</v>
      </c>
      <c r="AF5" s="607">
        <v>13</v>
      </c>
      <c r="AG5" s="607">
        <v>13</v>
      </c>
      <c r="AH5" s="607">
        <v>13</v>
      </c>
      <c r="AI5" s="607">
        <v>13</v>
      </c>
      <c r="AJ5" s="607">
        <v>13</v>
      </c>
      <c r="AK5" s="607">
        <v>20</v>
      </c>
      <c r="AL5" s="607">
        <v>3</v>
      </c>
      <c r="AN5" s="992"/>
    </row>
    <row customHeight="1" ht="11.25" hidden="1">
      <c r="A6" s="64" t="s">
        <v>349</v>
      </c>
      <c r="AE6" s="64">
        <f>god-2</f>
        <v>2024</v>
      </c>
      <c r="AF6" s="64">
        <f>god-2</f>
        <v>2024</v>
      </c>
      <c r="AG6" s="64">
        <f>god-2</f>
        <v>2024</v>
      </c>
      <c r="AH6" s="64">
        <f>god-1</f>
        <v>2025</v>
      </c>
      <c r="AI6" s="64" cm="1" t="str">
        <f t="array" ref="AI6:AI6">god</f>
        <v>2026</v>
      </c>
      <c r="AJ6" s="64" cm="1" t="str">
        <f t="array" ref="AJ6:AJ6">god</f>
        <v>2026</v>
      </c>
    </row>
    <row customHeight="1" ht="11.25" hidden="1">
      <c r="A7" s="64" t="s">
        <v>350</v>
      </c>
      <c r="AE7" s="64" cm="1" t="str">
        <f t="array" ref="AE7:AE7">AE25</f>
        <v>Принято органом регулирования</v>
      </c>
      <c r="AF7" s="64" cm="1" t="str">
        <f t="array" ref="AF7:AF7">AF25</f>
        <v>Факт по данным организации</v>
      </c>
      <c r="AG7" s="64" cm="1" t="str">
        <f t="array" ref="AG7:AG7">AG25</f>
        <v>Факт, принятый органом регулирования</v>
      </c>
      <c r="AH7" s="64" cm="1" t="str">
        <f t="array" ref="AH7:AH7">AH25</f>
        <v>Принято органом регулирования</v>
      </c>
      <c r="AI7" s="64" cm="1" t="str">
        <f t="array" ref="AI7:AI7">AI25</f>
        <v>Предложение организации</v>
      </c>
      <c r="AJ7" s="64" cm="1" t="str">
        <f t="array" ref="AJ7:AJ7">AJ25</f>
        <v>Принято органом регулирования</v>
      </c>
    </row>
    <row customHeight="1" ht="11.25" hidden="1">
      <c r="AI8" s="1282"/>
      <c r="AJ8" s="1282"/>
    </row>
    <row s="1284" customFormat="1" customHeight="1" ht="11.25" hidden="1">
      <c r="A9" s="992" t="s">
        <v>354</v>
      </c>
      <c r="B9" s="993"/>
      <c r="R9" s="994"/>
      <c r="AE9" s="992" cm="1" t="str">
        <f t="array" ref="AE9:AE9">AE6</f>
        <v>2024</v>
      </c>
      <c r="AF9" s="992" cm="1" t="str">
        <f t="array" ref="AF9:AF9">AF6</f>
        <v>2024</v>
      </c>
      <c r="AG9" s="992" cm="1" t="str">
        <f t="array" ref="AG9:AG9">AG6</f>
        <v>2024</v>
      </c>
      <c r="AH9" s="992" cm="1" t="str">
        <f t="array" ref="AH9:AH9">AH6</f>
        <v>2025</v>
      </c>
      <c r="AI9" s="992" cm="1" t="str">
        <f t="array" ref="AI9:AI9">AI6</f>
        <v>2026</v>
      </c>
      <c r="AJ9" s="992" cm="1" t="str">
        <f t="array" ref="AJ9:AJ9">AJ6</f>
        <v>2026</v>
      </c>
    </row>
    <row s="1284" customFormat="1" customHeight="1" ht="11.25" hidden="1">
      <c r="A10" s="992" t="s">
        <v>355</v>
      </c>
      <c r="B10" s="993"/>
      <c r="R10" s="994"/>
      <c r="AE10" s="992" cm="1" t="str">
        <f t="array" ref="AE10:AE10">AE25</f>
        <v>Принято органом регулирования</v>
      </c>
      <c r="AF10" s="992" cm="1" t="str">
        <f t="array" ref="AF10:AF10">AF25</f>
        <v>Факт по данным организации</v>
      </c>
      <c r="AG10" s="992" cm="1" t="str">
        <f t="array" ref="AG10:AG10">AG25</f>
        <v>Факт, принятый органом регулирования</v>
      </c>
      <c r="AH10" s="992" cm="1" t="str">
        <f t="array" ref="AH10:AH10">AH25</f>
        <v>Принято органом регулирования</v>
      </c>
      <c r="AI10" s="992" cm="1" t="str">
        <f t="array" ref="AI10:AI10">AI25</f>
        <v>Предложение организации</v>
      </c>
      <c r="AJ10" s="992" cm="1" t="str">
        <f t="array" ref="AJ10:AJ10">AJ25</f>
        <v>Принято органом регулирования</v>
      </c>
    </row>
    <row s="1284" customFormat="1" customHeight="1" ht="11.25" hidden="1">
      <c r="A11" s="992" t="s">
        <v>356</v>
      </c>
      <c r="B11" s="993"/>
      <c r="R11" s="994"/>
      <c r="AI11" s="1284"/>
      <c r="AJ11" s="1284"/>
      <c r="AK11" s="1018" cm="1" t="str">
        <f t="array" ref="AK11:AK11">AK24</f>
        <v>Ссылка на правовую норму (основание для принятия показателя в расчет тарифа)</v>
      </c>
    </row>
    <row customHeight="1" ht="11.25" hidden="1">
      <c r="AI12" s="1282"/>
      <c r="AJ12" s="1282"/>
    </row>
    <row customHeight="1" ht="11.25" hidden="1">
      <c r="AI13" s="1282"/>
      <c r="AJ13" s="1282"/>
    </row>
    <row customHeight="1" ht="11.25" hidden="1">
      <c r="AI14" s="1282"/>
      <c r="AJ14" s="1282"/>
    </row>
    <row customHeight="1" ht="11.25" hidden="1">
      <c r="AI15" s="1282"/>
      <c r="AJ15" s="1282"/>
    </row>
    <row customHeight="1" ht="11.25" hidden="1">
      <c r="AI16" s="1282"/>
      <c r="AJ16" s="1282"/>
    </row>
    <row customHeight="1" ht="11.25" hidden="1">
      <c r="AI17" s="1282"/>
      <c r="AJ17" s="1282"/>
      <c r="AK17" s="118"/>
    </row>
    <row customHeight="1" ht="11.25" hidden="1">
      <c r="AI18" s="1282"/>
      <c r="AJ18" s="1282"/>
    </row>
    <row customHeight="1" ht="11.25" hidden="1">
      <c r="AI19" s="1282"/>
      <c r="AJ19" s="1282"/>
    </row>
    <row customHeight="1" ht="11.25" hidden="1">
      <c r="AI20" s="1282"/>
      <c r="AJ20" s="1282"/>
    </row>
    <row customHeight="1" ht="14.625">
      <c r="E21" s="607">
        <v>15</v>
      </c>
      <c r="AA21" s="397"/>
      <c r="AC21" s="50" cm="1" t="str">
        <f t="array" ref="AC21:AC21">tpl_title</f>
        <v>Кемеровская область / 2026 / ОАО «СКЭК» (ИНН:4205153492, КПП:420501001) / ДПР: 2026-2026</v>
      </c>
      <c r="AI21" s="1282"/>
      <c r="AJ21" s="1282"/>
    </row>
    <row s="1379" customFormat="1" customHeight="1" ht="19.74375">
      <c r="B22" s="399"/>
      <c r="E22" s="608">
        <v>20.25</v>
      </c>
      <c r="R22" s="50"/>
      <c r="AB22" s="286" t="s">
        <v>63</v>
      </c>
      <c r="AC22" s="316"/>
      <c r="AD22" s="316"/>
      <c r="AE22" s="316"/>
      <c r="AF22" s="316"/>
      <c r="AG22" s="316"/>
      <c r="AH22" s="316"/>
      <c r="AI22" s="316"/>
      <c r="AJ22" s="316"/>
      <c r="AK22" s="316"/>
      <c r="AN22" s="995"/>
    </row>
    <row s="1379" customFormat="1" customHeight="1" ht="10.96875">
      <c r="B23" s="399"/>
      <c r="E23" s="608">
        <v>11.25</v>
      </c>
      <c r="R23" s="50"/>
      <c r="AB23" s="317"/>
      <c r="AC23" s="168"/>
      <c r="AD23" s="168"/>
      <c r="AE23" s="168"/>
      <c r="AF23" s="168"/>
      <c r="AG23" s="168"/>
      <c r="AH23" s="168"/>
      <c r="AI23" s="168"/>
      <c r="AJ23" s="168"/>
      <c r="AK23" s="168"/>
      <c r="AN23" s="995"/>
    </row>
    <row s="1399" customFormat="1" customHeight="1" ht="14.625">
      <c r="B24" s="401"/>
      <c r="E24" s="605">
        <v>15</v>
      </c>
      <c r="R24" s="315"/>
      <c r="AB24" s="1522" t="s">
        <v>758</v>
      </c>
      <c r="AC24" s="1553" t="s">
        <v>197</v>
      </c>
      <c r="AD24" s="1522" t="s">
        <v>359</v>
      </c>
      <c r="AE24" s="57" t="str">
        <f>god-2&amp;" год"</f>
        <v>2024 год</v>
      </c>
      <c r="AF24" s="1098" t="str">
        <f>god-2&amp;" год"</f>
        <v>2024 год</v>
      </c>
      <c r="AG24" s="57" t="str">
        <f>god-2&amp;" год"</f>
        <v>2024 год</v>
      </c>
      <c r="AH24" s="57" t="str">
        <f>god-1&amp;" год"</f>
        <v>2025 год</v>
      </c>
      <c r="AI24" s="1096" t="str">
        <f>god&amp;" год"</f>
        <v>2026 год</v>
      </c>
      <c r="AJ24" s="58" t="str">
        <f>god&amp;" год"</f>
        <v>2026 год</v>
      </c>
      <c r="AK24" s="1535" t="s">
        <v>500</v>
      </c>
      <c r="AN24" s="990"/>
    </row>
    <row s="1399" customFormat="1" customHeight="1" ht="44.118750000000006">
      <c r="B25" s="401"/>
      <c r="E25" s="605">
        <v>45.25</v>
      </c>
      <c r="R25" s="315"/>
      <c r="AB25" s="1563"/>
      <c r="AC25" s="1563"/>
      <c r="AD25" s="1563"/>
      <c r="AE25" s="57" t="s">
        <v>351</v>
      </c>
      <c r="AF25" s="1098" t="s">
        <v>424</v>
      </c>
      <c r="AG25" s="57" t="s">
        <v>425</v>
      </c>
      <c r="AH25" s="57" t="s">
        <v>351</v>
      </c>
      <c r="AI25" s="1100" t="s">
        <v>352</v>
      </c>
      <c r="AJ25" s="326" t="s">
        <v>351</v>
      </c>
      <c r="AK25" s="1563"/>
      <c r="AN25" s="990"/>
    </row>
    <row customHeight="1" ht="15" hidden="1">
      <c r="C26" s="0"/>
      <c r="D26" s="0"/>
      <c r="E26" s="233">
        <v>0</v>
      </c>
      <c r="F26" s="51"/>
      <c r="G26" s="0"/>
      <c r="H26" s="0"/>
      <c r="I26" s="0"/>
      <c r="J26" s="0"/>
      <c r="K26" s="0"/>
      <c r="L26" s="0"/>
      <c r="M26" s="0"/>
      <c r="N26" s="0"/>
      <c r="O26" s="0"/>
      <c r="P26" s="0"/>
      <c r="Q26" s="0"/>
      <c r="R26" s="0"/>
      <c r="S26" s="0"/>
      <c r="T26" s="0"/>
      <c r="U26" s="0"/>
      <c r="V26" s="0"/>
      <c r="W26" s="0"/>
      <c r="X26" s="0"/>
      <c r="Y26" s="0"/>
      <c r="Z26" s="0"/>
      <c r="AA26" s="0"/>
      <c r="AB26" s="0"/>
      <c r="AC26" s="66"/>
      <c r="AD26" s="66"/>
      <c r="AE26" s="66"/>
      <c r="AF26" s="66"/>
      <c r="AG26" s="0"/>
      <c r="AH26" s="0"/>
      <c r="AI26" s="0"/>
      <c r="AJ26" s="0"/>
      <c r="AK26" s="0"/>
      <c r="AL26" s="0"/>
    </row>
    <row customHeight="1" ht="10.96875" hidden="1">
      <c r="A27" s="1282"/>
      <c r="B27" s="1389"/>
      <c r="C27" s="112"/>
      <c r="D27" s="112"/>
      <c r="E27" s="233">
        <v>11.25</v>
      </c>
      <c r="F27" s="64" cm="1" t="str">
        <f t="array" ref="F27:F27">X27</f>
        <v>0</v>
      </c>
      <c r="G27" s="112"/>
      <c r="H27" s="112"/>
      <c r="I27" s="112"/>
      <c r="J27" s="112"/>
      <c r="K27" s="112"/>
      <c r="L27" s="112"/>
      <c r="M27" s="112"/>
      <c r="N27" s="112"/>
      <c r="O27" s="112"/>
      <c r="P27" s="112"/>
      <c r="Q27" s="112"/>
      <c r="R27" s="112"/>
      <c r="S27" s="112"/>
      <c r="T27" s="438">
        <f>X27&gt;0</f>
        <v>0</v>
      </c>
      <c r="U27" s="112"/>
      <c r="V27" s="112" t="s">
        <v>267</v>
      </c>
      <c r="W27" s="112"/>
      <c r="X27" s="1491">
        <v>0</v>
      </c>
      <c r="Y27" s="112"/>
      <c r="Z27" s="1513"/>
      <c r="AA27" s="112"/>
      <c r="AB27" s="208" cm="1" t="str">
        <f t="array" ref="AB27:AB27">INDEX('Общие сведения'!$AG$179:$AG$208,MATCH($X27,'Общие сведения'!$Z$179:$Z$208,0))</f>
        <v>Тариф 0 () - тариф на транспортировку сточных вод</v>
      </c>
      <c r="AC27" s="146"/>
      <c r="AD27" s="146"/>
      <c r="AE27" s="272">
        <f>AE28+AE29+AE30+AE38+AE39+AE40+AE41+AE42</f>
        <v>0</v>
      </c>
      <c r="AF27" s="272">
        <f>AF28+AF29+AF30+AF38+AF39+AF40+AF41+AF42</f>
        <v>0</v>
      </c>
      <c r="AG27" s="272">
        <f>AG28+AG29+AG30+AG38+AG39+AG40+AG41+AG42</f>
        <v>0</v>
      </c>
      <c r="AH27" s="272">
        <f>AH28+AH29+AH30+AH38+AH39+AH40+AH41+AH42</f>
        <v>0</v>
      </c>
      <c r="AI27" s="272">
        <f>AI28+AI29+AI30+AI38+AI39+AI40+AI41+AI42</f>
        <v>0</v>
      </c>
      <c r="AJ27" s="272">
        <f>AJ28+AJ29+AJ30+AJ38+AJ39+AJ40+AJ41+AJ42</f>
        <v>0</v>
      </c>
      <c r="AK27" s="140"/>
      <c r="AL27" s="112"/>
      <c r="AM27" s="1282"/>
      <c r="AN27" s="1284"/>
    </row>
    <row customHeight="1" ht="21.9375" hidden="1">
      <c r="A28" s="1282"/>
      <c r="B28" s="1389"/>
      <c r="C28" s="112"/>
      <c r="D28" s="112"/>
      <c r="E28" s="233">
        <v>22.5</v>
      </c>
      <c r="F28" s="50" cm="1" t="str">
        <f t="array" ref="F28:F28">OFFSET(E28,-1,1)</f>
        <v>0</v>
      </c>
      <c r="G28" s="112"/>
      <c r="H28" s="92" t="s">
        <v>321</v>
      </c>
      <c r="I28" s="112"/>
      <c r="J28" s="112"/>
      <c r="K28" s="112"/>
      <c r="L28" s="112"/>
      <c r="M28" s="112"/>
      <c r="N28" s="112"/>
      <c r="O28" s="112"/>
      <c r="P28" s="112"/>
      <c r="Q28" s="112"/>
      <c r="R28" s="112"/>
      <c r="S28" s="112"/>
      <c r="T28" s="438" cm="1" t="str">
        <f t="array" ref="T28:T28">T27</f>
        <v>false</v>
      </c>
      <c r="U28" s="112"/>
      <c r="V28" s="112"/>
      <c r="W28" s="112"/>
      <c r="X28" s="1491"/>
      <c r="Y28" s="112"/>
      <c r="Z28" s="1513"/>
      <c r="AA28" s="112"/>
      <c r="AB28" s="318">
        <v>1</v>
      </c>
      <c r="AC28" s="307" t="s">
        <v>1057</v>
      </c>
      <c r="AD28" s="56" t="s">
        <v>789</v>
      </c>
      <c r="AE28" s="868">
        <f>_xlfn.SUMIFS(ФОТ!AE$25:AE$77,ФОТ!$F$25:$F$77,$F28,ФОТ!$AC$25:$AC$77,$AC28)</f>
        <v>0</v>
      </c>
      <c r="AF28" s="868">
        <f>_xlfn.SUMIFS(ФОТ!AF$25:AF$77,ФОТ!$F$25:$F$77,$F28,ФОТ!$AC$25:$AC$77,$AC28)</f>
        <v>0</v>
      </c>
      <c r="AG28" s="868">
        <f>_xlfn.SUMIFS(ФОТ!AG$25:AG$77,ФОТ!$F$25:$F$77,$F28,ФОТ!$AC$25:$AC$77,$AC28)</f>
        <v>0</v>
      </c>
      <c r="AH28" s="868">
        <f>_xlfn.SUMIFS(ФОТ!AH$25:AH$77,ФОТ!$F$25:$F$77,$F28,ФОТ!$AC$25:$AC$77,$AC28)</f>
        <v>0</v>
      </c>
      <c r="AI28" s="868">
        <f>_xlfn.SUMIFS(ФОТ!AI$25:AI$77,ФОТ!$F$25:$F$77,$F28,ФОТ!$AC$25:$AC$77,$AC28)</f>
        <v>0</v>
      </c>
      <c r="AJ28" s="868">
        <f>_xlfn.SUMIFS(ФОТ!AJ$25:AJ$77,ФОТ!$F$25:$F$77,$F28,ФОТ!$AC$25:$AC$77,$AC28)</f>
        <v>0</v>
      </c>
      <c r="AK28" s="1907"/>
      <c r="AL28" s="112"/>
      <c r="AM28" s="1282"/>
      <c r="AN28" s="992" t="s">
        <v>1073</v>
      </c>
    </row>
    <row customHeight="1" ht="21.9375" hidden="1">
      <c r="A29" s="1282"/>
      <c r="B29" s="1389"/>
      <c r="C29" s="112"/>
      <c r="D29" s="112"/>
      <c r="E29" s="233">
        <v>22.5</v>
      </c>
      <c r="F29" s="50" cm="1" t="str">
        <f t="array" ref="F29:F29">OFFSET(E29,-1,1)</f>
        <v>0</v>
      </c>
      <c r="G29" s="112"/>
      <c r="H29" s="92" t="s">
        <v>322</v>
      </c>
      <c r="I29" s="112"/>
      <c r="J29" s="456"/>
      <c r="K29" s="456"/>
      <c r="L29" s="456"/>
      <c r="M29" s="112"/>
      <c r="N29" s="112"/>
      <c r="O29" s="112"/>
      <c r="P29" s="112"/>
      <c r="Q29" s="112"/>
      <c r="R29" s="112"/>
      <c r="S29" s="112"/>
      <c r="T29" s="438" cm="1" t="str">
        <f t="array" ref="T29:T29">T28</f>
        <v>false</v>
      </c>
      <c r="U29" s="112"/>
      <c r="V29" s="112"/>
      <c r="W29" s="112"/>
      <c r="X29" s="1491"/>
      <c r="Y29" s="112"/>
      <c r="Z29" s="1513"/>
      <c r="AA29" s="112"/>
      <c r="AB29" s="318" t="s">
        <v>504</v>
      </c>
      <c r="AC29" s="307" t="s">
        <v>1062</v>
      </c>
      <c r="AD29" s="56" t="s">
        <v>789</v>
      </c>
      <c r="AE29" s="868">
        <f>_xlfn.SUMIFS(ФОТ!AE$25:AE$77,ФОТ!$F$25:$F$77,$F29,ФОТ!$AC$25:$AC$77,$AC29)</f>
        <v>0</v>
      </c>
      <c r="AF29" s="868">
        <f>_xlfn.SUMIFS(ФОТ!AF$25:AF$77,ФОТ!$F$25:$F$77,$F29,ФОТ!$AC$25:$AC$77,$AC29)</f>
        <v>0</v>
      </c>
      <c r="AG29" s="868">
        <f>_xlfn.SUMIFS(ФОТ!AG$25:AG$77,ФОТ!$F$25:$F$77,$F29,ФОТ!$AC$25:$AC$77,$AC29)</f>
        <v>0</v>
      </c>
      <c r="AH29" s="868">
        <f>_xlfn.SUMIFS(ФОТ!AH$25:AH$77,ФОТ!$F$25:$F$77,$F29,ФОТ!$AC$25:$AC$77,$AC29)</f>
        <v>0</v>
      </c>
      <c r="AI29" s="868">
        <f>_xlfn.SUMIFS(ФОТ!AI$25:AI$77,ФОТ!$F$25:$F$77,$F29,ФОТ!$AC$25:$AC$77,$AC29)</f>
        <v>0</v>
      </c>
      <c r="AJ29" s="868">
        <f>_xlfn.SUMIFS(ФОТ!AJ$25:AJ$77,ФОТ!$F$25:$F$77,$F29,ФОТ!$AC$25:$AC$77,$AC29)</f>
        <v>0</v>
      </c>
      <c r="AK29" s="1907"/>
      <c r="AL29" s="112"/>
      <c r="AM29" s="1282"/>
      <c r="AN29" s="992" t="s">
        <v>1063</v>
      </c>
    </row>
    <row customHeight="1" ht="32.90625" hidden="1">
      <c r="A30" s="1282"/>
      <c r="B30" s="1389"/>
      <c r="C30" s="112"/>
      <c r="D30" s="112"/>
      <c r="E30" s="233">
        <v>33.75</v>
      </c>
      <c r="F30" s="50" cm="1" t="str">
        <f t="array" ref="F30:F30">OFFSET(E30,-1,1)</f>
        <v>0</v>
      </c>
      <c r="G30" s="315" t="s">
        <v>1074</v>
      </c>
      <c r="H30" s="92" t="s">
        <v>323</v>
      </c>
      <c r="I30" s="112"/>
      <c r="J30" s="456"/>
      <c r="K30" s="456" t="str">
        <f>F30&amp;"17komm"</f>
        <v>017komm</v>
      </c>
      <c r="L30" s="893" cm="1" t="str">
        <f t="array" ref="L30:L30">AK30</f>
        <v>0</v>
      </c>
      <c r="M30" s="112"/>
      <c r="N30" s="112"/>
      <c r="O30" s="112"/>
      <c r="P30" s="112"/>
      <c r="Q30" s="112"/>
      <c r="R30" s="112"/>
      <c r="S30" s="112"/>
      <c r="T30" s="438" cm="1" t="str">
        <f t="array" ref="T30:T30">T29</f>
        <v>false</v>
      </c>
      <c r="U30" s="112"/>
      <c r="V30" s="112"/>
      <c r="W30" s="112"/>
      <c r="X30" s="1491"/>
      <c r="Y30" s="112"/>
      <c r="Z30" s="1513"/>
      <c r="AA30" s="112"/>
      <c r="AB30" s="318" t="s">
        <v>319</v>
      </c>
      <c r="AC30" s="307" t="s">
        <v>1075</v>
      </c>
      <c r="AD30" s="56" t="s">
        <v>789</v>
      </c>
      <c r="AE30" s="204">
        <f>SUM(AE31:AE37)</f>
        <v>0</v>
      </c>
      <c r="AF30" s="204">
        <f>SUM(AF31:AF37)</f>
        <v>0</v>
      </c>
      <c r="AG30" s="204">
        <f>SUM(AG31:AG37)</f>
        <v>0</v>
      </c>
      <c r="AH30" s="204">
        <f>SUM(AH31:AH37)</f>
        <v>0</v>
      </c>
      <c r="AI30" s="204">
        <f>SUM(AI31:AI37)</f>
        <v>0</v>
      </c>
      <c r="AJ30" s="204">
        <f>SUM(AJ31:AJ37)</f>
        <v>0</v>
      </c>
      <c r="AK30" s="1907"/>
      <c r="AL30" s="112"/>
      <c r="AM30" s="1282"/>
      <c r="AN30" s="992" t="s">
        <v>1076</v>
      </c>
    </row>
    <row s="1624" customFormat="1" customHeight="1" ht="14.625" hidden="1">
      <c r="A31" s="1624"/>
      <c r="B31" s="402"/>
      <c r="C31" s="112"/>
      <c r="D31" s="112"/>
      <c r="E31" s="233">
        <v>15</v>
      </c>
      <c r="F31" s="1153" cm="1" t="str">
        <f t="array" ref="F31:F31">OFFSET(E31,-1,1)</f>
        <v>0</v>
      </c>
      <c r="G31" s="124" t="s">
        <v>1077</v>
      </c>
      <c r="H31" s="92" t="s">
        <v>874</v>
      </c>
      <c r="I31" s="112"/>
      <c r="J31" s="456"/>
      <c r="K31" s="456" t="str">
        <f>F31&amp;"18komm"</f>
        <v>018komm</v>
      </c>
      <c r="L31" s="893" cm="1" t="str">
        <f t="array" ref="L31:L31">AK31</f>
        <v>0</v>
      </c>
      <c r="M31" s="112"/>
      <c r="N31" s="112"/>
      <c r="O31" s="112"/>
      <c r="P31" s="112"/>
      <c r="Q31" s="112"/>
      <c r="R31" s="112"/>
      <c r="S31" s="112"/>
      <c r="T31" s="438" cm="1" t="str">
        <f t="array" ref="T31:T31">T30</f>
        <v>false</v>
      </c>
      <c r="U31" s="112"/>
      <c r="V31" s="112"/>
      <c r="W31" s="112"/>
      <c r="X31" s="1491"/>
      <c r="Y31" s="112"/>
      <c r="Z31" s="1513"/>
      <c r="AA31" s="112"/>
      <c r="AB31" s="318" t="s">
        <v>523</v>
      </c>
      <c r="AC31" s="180" t="s">
        <v>1078</v>
      </c>
      <c r="AD31" s="56" t="s">
        <v>789</v>
      </c>
      <c r="AE31" s="2730"/>
      <c r="AF31" s="2730"/>
      <c r="AG31" s="2730"/>
      <c r="AH31" s="2730"/>
      <c r="AI31" s="195"/>
      <c r="AJ31" s="195"/>
      <c r="AK31" s="1907"/>
      <c r="AL31" s="112"/>
      <c r="AM31" s="1624"/>
      <c r="AN31" s="996" t="s">
        <v>1079</v>
      </c>
    </row>
    <row s="1513" customFormat="1" customHeight="1" ht="14.625" hidden="1">
      <c r="A32" s="1513"/>
      <c r="B32" s="401"/>
      <c r="C32" s="1513"/>
      <c r="D32" s="1513"/>
      <c r="E32" s="233">
        <v>15</v>
      </c>
      <c r="F32" s="50" cm="1" t="str">
        <f t="array" ref="F32:F32">OFFSET(E32,-1,1)</f>
        <v>0</v>
      </c>
      <c r="G32" s="124" t="s">
        <v>1080</v>
      </c>
      <c r="H32" s="92" t="s">
        <v>876</v>
      </c>
      <c r="I32" s="1513"/>
      <c r="J32" s="456"/>
      <c r="K32" s="456" t="str">
        <f>F32&amp;"11komm"</f>
        <v>011komm</v>
      </c>
      <c r="L32" s="893" cm="1" t="str">
        <f t="array" ref="L32:L32">AK32</f>
        <v>0</v>
      </c>
      <c r="M32" s="1513"/>
      <c r="N32" s="1513"/>
      <c r="O32" s="1513"/>
      <c r="P32" s="1513"/>
      <c r="Q32" s="1513"/>
      <c r="R32" s="1513"/>
      <c r="S32" s="1513"/>
      <c r="T32" s="438" cm="1" t="str">
        <f t="array" ref="T32:T32">T31</f>
        <v>false</v>
      </c>
      <c r="U32" s="1513"/>
      <c r="V32" s="1513"/>
      <c r="W32" s="1513"/>
      <c r="X32" s="1491"/>
      <c r="Y32" s="1513"/>
      <c r="Z32" s="1513"/>
      <c r="AA32" s="1513"/>
      <c r="AB32" s="318" t="s">
        <v>527</v>
      </c>
      <c r="AC32" s="180" t="s">
        <v>1081</v>
      </c>
      <c r="AD32" s="56" t="s">
        <v>789</v>
      </c>
      <c r="AE32" s="2730"/>
      <c r="AF32" s="2730"/>
      <c r="AG32" s="2730"/>
      <c r="AH32" s="2730"/>
      <c r="AI32" s="195"/>
      <c r="AJ32" s="195"/>
      <c r="AK32" s="1907"/>
      <c r="AL32" s="1513"/>
      <c r="AM32" s="1513"/>
      <c r="AN32" s="1007" t="s">
        <v>1082</v>
      </c>
    </row>
    <row s="1513" customFormat="1" customHeight="1" ht="14.625" hidden="1">
      <c r="A33" s="1513"/>
      <c r="B33" s="401"/>
      <c r="C33" s="1513"/>
      <c r="D33" s="1513"/>
      <c r="E33" s="233">
        <v>15</v>
      </c>
      <c r="F33" s="50" cm="1" t="str">
        <f t="array" ref="F33:F33">OFFSET(E33,-1,1)</f>
        <v>0</v>
      </c>
      <c r="G33" s="124" t="s">
        <v>1083</v>
      </c>
      <c r="H33" s="92" t="s">
        <v>878</v>
      </c>
      <c r="I33" s="1513"/>
      <c r="J33" s="456"/>
      <c r="K33" s="456" t="str">
        <f>F33&amp;"12komm"</f>
        <v>012komm</v>
      </c>
      <c r="L33" s="893" cm="1" t="str">
        <f t="array" ref="L33:L33">AK33</f>
        <v>0</v>
      </c>
      <c r="M33" s="1513"/>
      <c r="N33" s="1513"/>
      <c r="O33" s="1513"/>
      <c r="P33" s="1513"/>
      <c r="Q33" s="1513"/>
      <c r="R33" s="1513"/>
      <c r="S33" s="1513"/>
      <c r="T33" s="438" cm="1" t="str">
        <f t="array" ref="T33:T33">T32</f>
        <v>false</v>
      </c>
      <c r="U33" s="1513"/>
      <c r="V33" s="1513"/>
      <c r="W33" s="1513"/>
      <c r="X33" s="1491"/>
      <c r="Y33" s="1513"/>
      <c r="Z33" s="1513"/>
      <c r="AA33" s="1513"/>
      <c r="AB33" s="318" t="s">
        <v>744</v>
      </c>
      <c r="AC33" s="180" t="s">
        <v>1084</v>
      </c>
      <c r="AD33" s="56" t="s">
        <v>789</v>
      </c>
      <c r="AE33" s="2730"/>
      <c r="AF33" s="2730"/>
      <c r="AG33" s="2730"/>
      <c r="AH33" s="2730"/>
      <c r="AI33" s="195"/>
      <c r="AJ33" s="195"/>
      <c r="AK33" s="1907"/>
      <c r="AL33" s="1513"/>
      <c r="AM33" s="1513"/>
      <c r="AN33" s="1007" t="s">
        <v>1085</v>
      </c>
    </row>
    <row s="1513" customFormat="1" customHeight="1" ht="14.625" hidden="1">
      <c r="A34" s="1513"/>
      <c r="B34" s="401"/>
      <c r="C34" s="1513"/>
      <c r="D34" s="1513"/>
      <c r="E34" s="233">
        <v>15</v>
      </c>
      <c r="F34" s="50" cm="1" t="str">
        <f t="array" ref="F34:F34">OFFSET(E34,-1,1)</f>
        <v>0</v>
      </c>
      <c r="G34" s="124" t="s">
        <v>1086</v>
      </c>
      <c r="H34" s="92" t="s">
        <v>880</v>
      </c>
      <c r="I34" s="1513"/>
      <c r="J34" s="456"/>
      <c r="K34" s="456" t="str">
        <f>F34&amp;"13komm"</f>
        <v>013komm</v>
      </c>
      <c r="L34" s="893" cm="1" t="str">
        <f t="array" ref="L34:L34">AK34</f>
        <v>0</v>
      </c>
      <c r="M34" s="1513"/>
      <c r="N34" s="1513"/>
      <c r="O34" s="1513"/>
      <c r="P34" s="1513"/>
      <c r="Q34" s="1513"/>
      <c r="R34" s="1513"/>
      <c r="S34" s="1513"/>
      <c r="T34" s="438" cm="1" t="str">
        <f t="array" ref="T34:T34">T33</f>
        <v>false</v>
      </c>
      <c r="U34" s="1513"/>
      <c r="V34" s="1513"/>
      <c r="W34" s="1513"/>
      <c r="X34" s="1491"/>
      <c r="Y34" s="1513"/>
      <c r="Z34" s="1513"/>
      <c r="AA34" s="1513"/>
      <c r="AB34" s="318" t="s">
        <v>881</v>
      </c>
      <c r="AC34" s="180" t="s">
        <v>1087</v>
      </c>
      <c r="AD34" s="56" t="s">
        <v>789</v>
      </c>
      <c r="AE34" s="2730"/>
      <c r="AF34" s="2730"/>
      <c r="AG34" s="2730"/>
      <c r="AH34" s="2730"/>
      <c r="AI34" s="195"/>
      <c r="AJ34" s="195"/>
      <c r="AK34" s="1907"/>
      <c r="AL34" s="1513"/>
      <c r="AM34" s="1513"/>
      <c r="AN34" s="1007" t="s">
        <v>1088</v>
      </c>
    </row>
    <row s="1513" customFormat="1" customHeight="1" ht="14.625" hidden="1">
      <c r="A35" s="1513"/>
      <c r="B35" s="401"/>
      <c r="C35" s="1513"/>
      <c r="D35" s="1513"/>
      <c r="E35" s="233">
        <v>15</v>
      </c>
      <c r="F35" s="50" cm="1" t="str">
        <f t="array" ref="F35:F35">OFFSET(E35,-1,1)</f>
        <v>0</v>
      </c>
      <c r="G35" s="124" t="s">
        <v>1089</v>
      </c>
      <c r="H35" s="92" t="s">
        <v>883</v>
      </c>
      <c r="I35" s="1513"/>
      <c r="J35" s="456"/>
      <c r="K35" s="456" t="str">
        <f>F35&amp;"14komm"</f>
        <v>014komm</v>
      </c>
      <c r="L35" s="893" cm="1" t="str">
        <f t="array" ref="L35:L35">AK35</f>
        <v>0</v>
      </c>
      <c r="M35" s="1513"/>
      <c r="N35" s="1513"/>
      <c r="O35" s="1513"/>
      <c r="P35" s="1513"/>
      <c r="Q35" s="1513"/>
      <c r="R35" s="1513"/>
      <c r="S35" s="1513"/>
      <c r="T35" s="438" cm="1" t="str">
        <f t="array" ref="T35:T35">T34</f>
        <v>false</v>
      </c>
      <c r="U35" s="1513"/>
      <c r="V35" s="1513"/>
      <c r="W35" s="1513"/>
      <c r="X35" s="1491"/>
      <c r="Y35" s="1513"/>
      <c r="Z35" s="1513"/>
      <c r="AA35" s="1513"/>
      <c r="AB35" s="318" t="s">
        <v>884</v>
      </c>
      <c r="AC35" s="180" t="s">
        <v>1090</v>
      </c>
      <c r="AD35" s="56" t="s">
        <v>789</v>
      </c>
      <c r="AE35" s="2730"/>
      <c r="AF35" s="2730"/>
      <c r="AG35" s="2730"/>
      <c r="AH35" s="2730"/>
      <c r="AI35" s="195"/>
      <c r="AJ35" s="195"/>
      <c r="AK35" s="1907"/>
      <c r="AL35" s="1513"/>
      <c r="AM35" s="1513"/>
      <c r="AN35" s="1007" t="s">
        <v>1091</v>
      </c>
    </row>
    <row s="1513" customFormat="1" customHeight="1" ht="14.625" hidden="1">
      <c r="A36" s="1513"/>
      <c r="B36" s="401"/>
      <c r="C36" s="1513"/>
      <c r="D36" s="1513"/>
      <c r="E36" s="233">
        <v>15</v>
      </c>
      <c r="F36" s="50" cm="1" t="str">
        <f t="array" ref="F36:F36">OFFSET(E36,-1,1)</f>
        <v>0</v>
      </c>
      <c r="G36" s="124" t="s">
        <v>1092</v>
      </c>
      <c r="H36" s="92" t="s">
        <v>1093</v>
      </c>
      <c r="I36" s="1513"/>
      <c r="J36" s="456"/>
      <c r="K36" s="456" t="str">
        <f>F36&amp;"15komm"</f>
        <v>015komm</v>
      </c>
      <c r="L36" s="893" cm="1" t="str">
        <f t="array" ref="L36:L36">AK36</f>
        <v>0</v>
      </c>
      <c r="M36" s="1513"/>
      <c r="N36" s="1513"/>
      <c r="O36" s="1513"/>
      <c r="P36" s="1513"/>
      <c r="Q36" s="1513"/>
      <c r="R36" s="1513"/>
      <c r="S36" s="1513"/>
      <c r="T36" s="438" cm="1" t="str">
        <f t="array" ref="T36:T36">T35</f>
        <v>false</v>
      </c>
      <c r="U36" s="1513"/>
      <c r="V36" s="1513"/>
      <c r="W36" s="1513"/>
      <c r="X36" s="1491"/>
      <c r="Y36" s="1513"/>
      <c r="Z36" s="1513"/>
      <c r="AA36" s="1513"/>
      <c r="AB36" s="318" t="s">
        <v>1094</v>
      </c>
      <c r="AC36" s="180" t="s">
        <v>1095</v>
      </c>
      <c r="AD36" s="56" t="s">
        <v>789</v>
      </c>
      <c r="AE36" s="2730"/>
      <c r="AF36" s="2730"/>
      <c r="AG36" s="2730"/>
      <c r="AH36" s="2730"/>
      <c r="AI36" s="195"/>
      <c r="AJ36" s="195"/>
      <c r="AK36" s="1907"/>
      <c r="AL36" s="1513"/>
      <c r="AM36" s="1513"/>
      <c r="AN36" s="1007" t="s">
        <v>1096</v>
      </c>
    </row>
    <row s="1513" customFormat="1" customHeight="1" ht="14.625" hidden="1">
      <c r="A37" s="1513"/>
      <c r="B37" s="401"/>
      <c r="C37" s="1513"/>
      <c r="D37" s="1513"/>
      <c r="E37" s="233">
        <v>15</v>
      </c>
      <c r="F37" s="50" cm="1" t="str">
        <f t="array" ref="F37:F37">OFFSET(E37,-1,1)</f>
        <v>0</v>
      </c>
      <c r="G37" s="124" t="s">
        <v>1097</v>
      </c>
      <c r="H37" s="92" t="s">
        <v>1098</v>
      </c>
      <c r="I37" s="1513"/>
      <c r="J37" s="456"/>
      <c r="K37" s="456" t="str">
        <f>F37&amp;"16komm"</f>
        <v>016komm</v>
      </c>
      <c r="L37" s="893" cm="1" t="str">
        <f t="array" ref="L37:L37">AK37</f>
        <v>0</v>
      </c>
      <c r="M37" s="1513"/>
      <c r="N37" s="1513"/>
      <c r="O37" s="1513"/>
      <c r="P37" s="1513"/>
      <c r="Q37" s="1513"/>
      <c r="R37" s="1513"/>
      <c r="S37" s="1513"/>
      <c r="T37" s="438" cm="1" t="str">
        <f t="array" ref="T37:T37">T36</f>
        <v>false</v>
      </c>
      <c r="U37" s="1513"/>
      <c r="V37" s="1513"/>
      <c r="W37" s="1513"/>
      <c r="X37" s="1491"/>
      <c r="Y37" s="1513"/>
      <c r="Z37" s="1513"/>
      <c r="AA37" s="1513"/>
      <c r="AB37" s="318" t="s">
        <v>1099</v>
      </c>
      <c r="AC37" s="180" t="s">
        <v>1100</v>
      </c>
      <c r="AD37" s="56" t="s">
        <v>789</v>
      </c>
      <c r="AE37" s="2730"/>
      <c r="AF37" s="2730"/>
      <c r="AG37" s="2730"/>
      <c r="AH37" s="2730"/>
      <c r="AI37" s="195"/>
      <c r="AJ37" s="195"/>
      <c r="AK37" s="1907"/>
      <c r="AL37" s="1513"/>
      <c r="AM37" s="1513"/>
      <c r="AN37" s="1007" t="s">
        <v>1101</v>
      </c>
    </row>
    <row s="1513" customFormat="1" customHeight="1" ht="32.90625" hidden="1">
      <c r="A38" s="1513"/>
      <c r="B38" s="401"/>
      <c r="C38" s="1513"/>
      <c r="D38" s="1513"/>
      <c r="E38" s="233">
        <v>33.75</v>
      </c>
      <c r="F38" s="50" cm="1" t="str">
        <f t="array" ref="F38:F38">OFFSET(E38,-1,1)</f>
        <v>0</v>
      </c>
      <c r="G38" s="315" t="s">
        <v>1102</v>
      </c>
      <c r="H38" s="92" t="s">
        <v>325</v>
      </c>
      <c r="I38" s="1513"/>
      <c r="J38" s="456"/>
      <c r="K38" s="456" t="str">
        <f>F38&amp;"2komm"</f>
        <v>02komm</v>
      </c>
      <c r="L38" s="893" cm="1" t="str">
        <f t="array" ref="L38:L38">AK38</f>
        <v>0</v>
      </c>
      <c r="M38" s="1513"/>
      <c r="N38" s="1513"/>
      <c r="O38" s="1513"/>
      <c r="P38" s="1513"/>
      <c r="Q38" s="1513"/>
      <c r="R38" s="1513"/>
      <c r="S38" s="1513"/>
      <c r="T38" s="438" cm="1" t="str">
        <f t="array" ref="T38:T38">T37</f>
        <v>false</v>
      </c>
      <c r="U38" s="1513"/>
      <c r="V38" s="1513"/>
      <c r="W38" s="1513"/>
      <c r="X38" s="1491"/>
      <c r="Y38" s="1513"/>
      <c r="Z38" s="1513"/>
      <c r="AA38" s="1513"/>
      <c r="AB38" s="318" t="s">
        <v>530</v>
      </c>
      <c r="AC38" s="307" t="s">
        <v>1103</v>
      </c>
      <c r="AD38" s="56" t="s">
        <v>789</v>
      </c>
      <c r="AE38" s="2730"/>
      <c r="AF38" s="2730"/>
      <c r="AG38" s="2730"/>
      <c r="AH38" s="2730"/>
      <c r="AI38" s="195"/>
      <c r="AJ38" s="195"/>
      <c r="AK38" s="1907"/>
      <c r="AL38" s="1513"/>
      <c r="AM38" s="1513"/>
      <c r="AN38" s="1007" t="s">
        <v>1104</v>
      </c>
    </row>
    <row s="1513" customFormat="1" customHeight="1" ht="14.625" hidden="1">
      <c r="A39" s="1513"/>
      <c r="B39" s="401"/>
      <c r="C39" s="1513"/>
      <c r="D39" s="1513"/>
      <c r="E39" s="233">
        <v>15</v>
      </c>
      <c r="F39" s="50" cm="1" t="str">
        <f t="array" ref="F39:F39">OFFSET(E39,-1,1)</f>
        <v>0</v>
      </c>
      <c r="G39" s="315" t="s">
        <v>1105</v>
      </c>
      <c r="H39" s="92" t="s">
        <v>324</v>
      </c>
      <c r="I39" s="1513"/>
      <c r="J39" s="456"/>
      <c r="K39" s="456" t="str">
        <f>F39&amp;"3komm"</f>
        <v>03komm</v>
      </c>
      <c r="L39" s="893" cm="1" t="str">
        <f t="array" ref="L39:L39">AK39</f>
        <v>0</v>
      </c>
      <c r="M39" s="1513"/>
      <c r="N39" s="1513"/>
      <c r="O39" s="1513"/>
      <c r="P39" s="1513"/>
      <c r="Q39" s="1513"/>
      <c r="R39" s="1513"/>
      <c r="S39" s="1513"/>
      <c r="T39" s="438" cm="1" t="str">
        <f t="array" ref="T39:T39">T38</f>
        <v>false</v>
      </c>
      <c r="U39" s="1513"/>
      <c r="V39" s="1513"/>
      <c r="W39" s="1513"/>
      <c r="X39" s="1491"/>
      <c r="Y39" s="1513"/>
      <c r="Z39" s="1513"/>
      <c r="AA39" s="1513"/>
      <c r="AB39" s="318" t="s">
        <v>485</v>
      </c>
      <c r="AC39" s="307" t="s">
        <v>1106</v>
      </c>
      <c r="AD39" s="56" t="s">
        <v>789</v>
      </c>
      <c r="AE39" s="2730"/>
      <c r="AF39" s="2730"/>
      <c r="AG39" s="2730"/>
      <c r="AH39" s="2730"/>
      <c r="AI39" s="195"/>
      <c r="AJ39" s="195"/>
      <c r="AK39" s="1907"/>
      <c r="AL39" s="1513"/>
      <c r="AM39" s="1513"/>
      <c r="AN39" s="1007" t="s">
        <v>1107</v>
      </c>
    </row>
    <row s="1513" customFormat="1" customHeight="1" ht="14.625" hidden="1">
      <c r="A40" s="1513"/>
      <c r="B40" s="401"/>
      <c r="C40" s="1513"/>
      <c r="D40" s="1513"/>
      <c r="E40" s="233">
        <v>15</v>
      </c>
      <c r="F40" s="50" cm="1" t="str">
        <f t="array" ref="F40:F40">OFFSET(E40,-1,1)</f>
        <v>0</v>
      </c>
      <c r="G40" s="315" t="s">
        <v>1108</v>
      </c>
      <c r="H40" s="92" t="s">
        <v>484</v>
      </c>
      <c r="I40" s="1513"/>
      <c r="J40" s="1513"/>
      <c r="K40" s="456" t="str">
        <f>F40&amp;"4komm"</f>
        <v>04komm</v>
      </c>
      <c r="L40" s="893" cm="1" t="str">
        <f t="array" ref="L40:L40">AK40</f>
        <v>0</v>
      </c>
      <c r="M40" s="1513"/>
      <c r="N40" s="1513"/>
      <c r="O40" s="1513"/>
      <c r="P40" s="1513"/>
      <c r="Q40" s="1513"/>
      <c r="R40" s="1513"/>
      <c r="S40" s="1513"/>
      <c r="T40" s="438" cm="1" t="str">
        <f t="array" ref="T40:T40">T39</f>
        <v>false</v>
      </c>
      <c r="U40" s="1513"/>
      <c r="V40" s="1513"/>
      <c r="W40" s="1513"/>
      <c r="X40" s="1491"/>
      <c r="Y40" s="1513"/>
      <c r="Z40" s="1513"/>
      <c r="AA40" s="1513"/>
      <c r="AB40" s="318" t="s">
        <v>489</v>
      </c>
      <c r="AC40" s="307" t="s">
        <v>1109</v>
      </c>
      <c r="AD40" s="56" t="s">
        <v>789</v>
      </c>
      <c r="AE40" s="2730"/>
      <c r="AF40" s="2730"/>
      <c r="AG40" s="2730"/>
      <c r="AH40" s="2730"/>
      <c r="AI40" s="195"/>
      <c r="AJ40" s="195"/>
      <c r="AK40" s="1907"/>
      <c r="AL40" s="1513"/>
      <c r="AM40" s="1513"/>
      <c r="AN40" s="1007" t="s">
        <v>1110</v>
      </c>
    </row>
    <row s="1513" customFormat="1" customHeight="1" ht="14.625" hidden="1">
      <c r="A41" s="1513"/>
      <c r="B41" s="401"/>
      <c r="C41" s="1513"/>
      <c r="D41" s="1513"/>
      <c r="E41" s="233">
        <v>15</v>
      </c>
      <c r="F41" s="50" cm="1" t="str">
        <f t="array" ref="F41:F41">OFFSET(E41,-1,1)</f>
        <v>0</v>
      </c>
      <c r="G41" s="315" t="s">
        <v>1111</v>
      </c>
      <c r="H41" s="92" t="s">
        <v>488</v>
      </c>
      <c r="I41" s="1513"/>
      <c r="J41" s="1513"/>
      <c r="K41" s="456" t="str">
        <f>F41&amp;"5komm"</f>
        <v>05komm</v>
      </c>
      <c r="L41" s="893" cm="1" t="str">
        <f t="array" ref="L41:L41">AK41</f>
        <v>0</v>
      </c>
      <c r="M41" s="1513"/>
      <c r="N41" s="1513"/>
      <c r="O41" s="1513"/>
      <c r="P41" s="1513"/>
      <c r="Q41" s="1513"/>
      <c r="R41" s="1513"/>
      <c r="S41" s="1513"/>
      <c r="T41" s="438" cm="1" t="str">
        <f t="array" ref="T41:T41">T40</f>
        <v>false</v>
      </c>
      <c r="U41" s="1513"/>
      <c r="V41" s="1513"/>
      <c r="W41" s="1513"/>
      <c r="X41" s="1491"/>
      <c r="Y41" s="1513"/>
      <c r="Z41" s="1513"/>
      <c r="AA41" s="1513"/>
      <c r="AB41" s="318" t="s">
        <v>551</v>
      </c>
      <c r="AC41" s="307" t="s">
        <v>1112</v>
      </c>
      <c r="AD41" s="56" t="s">
        <v>789</v>
      </c>
      <c r="AE41" s="2730"/>
      <c r="AF41" s="2730"/>
      <c r="AG41" s="2730"/>
      <c r="AH41" s="2730"/>
      <c r="AI41" s="195"/>
      <c r="AJ41" s="195"/>
      <c r="AK41" s="1907"/>
      <c r="AL41" s="1513"/>
      <c r="AM41" s="1513"/>
      <c r="AN41" s="1007" t="s">
        <v>1113</v>
      </c>
    </row>
    <row s="1513" customFormat="1" customHeight="1" ht="14.625" hidden="1">
      <c r="A42" s="1513"/>
      <c r="B42" s="401"/>
      <c r="C42" s="1513"/>
      <c r="D42" s="1513"/>
      <c r="E42" s="233">
        <v>15</v>
      </c>
      <c r="F42" s="50" cm="1" t="str">
        <f t="array" ref="F42:F42">OFFSET(E42,-1,1)</f>
        <v>0</v>
      </c>
      <c r="G42" s="315" t="s">
        <v>1114</v>
      </c>
      <c r="H42" s="92" t="s">
        <v>535</v>
      </c>
      <c r="I42" s="1513"/>
      <c r="J42" s="1513"/>
      <c r="K42" s="456" t="str">
        <f>F42&amp;"6komm"</f>
        <v>06komm</v>
      </c>
      <c r="L42" s="893" cm="1" t="str">
        <f t="array" ref="L42:L42">AK42</f>
        <v>0</v>
      </c>
      <c r="M42" s="1513"/>
      <c r="N42" s="1513"/>
      <c r="O42" s="1513"/>
      <c r="P42" s="1513"/>
      <c r="Q42" s="1513"/>
      <c r="R42" s="1513"/>
      <c r="S42" s="1513"/>
      <c r="T42" s="438" cm="1" t="str">
        <f t="array" ref="T42:T42">T41</f>
        <v>false</v>
      </c>
      <c r="U42" s="1513"/>
      <c r="V42" s="1513"/>
      <c r="W42" s="1513"/>
      <c r="X42" s="1491"/>
      <c r="Y42" s="1513"/>
      <c r="Z42" s="1513"/>
      <c r="AA42" s="1513"/>
      <c r="AB42" s="318" t="s">
        <v>559</v>
      </c>
      <c r="AC42" s="307" t="s">
        <v>1115</v>
      </c>
      <c r="AD42" s="56" t="s">
        <v>789</v>
      </c>
      <c r="AE42" s="319">
        <f>SUM(AE43:AE45)</f>
        <v>0</v>
      </c>
      <c r="AF42" s="319">
        <f>SUM(AF43:AF45)</f>
        <v>0</v>
      </c>
      <c r="AG42" s="319">
        <f>SUM(AG43:AG45)</f>
        <v>0</v>
      </c>
      <c r="AH42" s="319">
        <f>SUM(AH43:AH45)</f>
        <v>0</v>
      </c>
      <c r="AI42" s="319">
        <f>SUM(AI43:AI45)</f>
        <v>0</v>
      </c>
      <c r="AJ42" s="319">
        <f>SUM(AJ43:AJ45)</f>
        <v>0</v>
      </c>
      <c r="AK42" s="1907"/>
      <c r="AL42" s="1513"/>
      <c r="AM42" s="1513"/>
      <c r="AN42" s="1007" t="s">
        <v>385</v>
      </c>
    </row>
    <row s="1513" customFormat="1" customHeight="1" ht="14.625" hidden="1">
      <c r="A43" s="1513"/>
      <c r="B43" s="401"/>
      <c r="C43" s="1513"/>
      <c r="D43" s="1513"/>
      <c r="E43" s="233">
        <v>15</v>
      </c>
      <c r="F43" s="50" cm="1" t="str">
        <f t="array" ref="F43:F43">OFFSET(E43,-1,1)</f>
        <v>0</v>
      </c>
      <c r="G43" s="315" t="s">
        <v>1116</v>
      </c>
      <c r="H43" s="92" t="s">
        <v>538</v>
      </c>
      <c r="I43" s="1513"/>
      <c r="J43" s="1513"/>
      <c r="K43" s="456" t="str">
        <f>F43&amp;"7komm"</f>
        <v>07komm</v>
      </c>
      <c r="L43" s="893" cm="1" t="str">
        <f t="array" ref="L43:L43">AK43</f>
        <v>0</v>
      </c>
      <c r="M43" s="1513"/>
      <c r="N43" s="1513"/>
      <c r="O43" s="1513"/>
      <c r="P43" s="1513"/>
      <c r="Q43" s="1513"/>
      <c r="R43" s="1513"/>
      <c r="S43" s="1513"/>
      <c r="T43" s="438" cm="1" t="str">
        <f t="array" ref="T43:T43">T42</f>
        <v>false</v>
      </c>
      <c r="U43" s="1513"/>
      <c r="V43" s="1513"/>
      <c r="W43" s="1513"/>
      <c r="X43" s="1491"/>
      <c r="Y43" s="1513"/>
      <c r="Z43" s="1513"/>
      <c r="AA43" s="1513"/>
      <c r="AB43" s="318" t="s">
        <v>563</v>
      </c>
      <c r="AC43" s="180" t="s">
        <v>1117</v>
      </c>
      <c r="AD43" s="56" t="s">
        <v>789</v>
      </c>
      <c r="AE43" s="2730"/>
      <c r="AF43" s="2730"/>
      <c r="AG43" s="2730"/>
      <c r="AH43" s="2730"/>
      <c r="AI43" s="195"/>
      <c r="AJ43" s="195"/>
      <c r="AK43" s="1907"/>
      <c r="AL43" s="1513"/>
      <c r="AM43" s="1513"/>
      <c r="AN43" s="1007" t="s">
        <v>1118</v>
      </c>
    </row>
    <row s="1513" customFormat="1" customHeight="1" ht="43.875" hidden="1">
      <c r="A44" s="1513"/>
      <c r="B44" s="401"/>
      <c r="C44" s="1513"/>
      <c r="D44" s="1513"/>
      <c r="E44" s="233">
        <v>45</v>
      </c>
      <c r="F44" s="50" cm="1" t="str">
        <f t="array" ref="F44:F44">OFFSET(E44,-1,1)</f>
        <v>0</v>
      </c>
      <c r="G44" s="315" t="s">
        <v>1119</v>
      </c>
      <c r="H44" s="92" t="s">
        <v>542</v>
      </c>
      <c r="I44" s="1513"/>
      <c r="J44" s="1513"/>
      <c r="K44" s="456" t="str">
        <f>F44&amp;"8komm"</f>
        <v>08komm</v>
      </c>
      <c r="L44" s="893" cm="1" t="str">
        <f t="array" ref="L44:L44">AK44</f>
        <v>0</v>
      </c>
      <c r="M44" s="1513"/>
      <c r="N44" s="1513"/>
      <c r="O44" s="1513"/>
      <c r="P44" s="1513"/>
      <c r="Q44" s="1513"/>
      <c r="R44" s="1513"/>
      <c r="S44" s="1513"/>
      <c r="T44" s="438" cm="1" t="str">
        <f t="array" ref="T44:T44">T43</f>
        <v>false</v>
      </c>
      <c r="U44" s="1513"/>
      <c r="V44" s="1513"/>
      <c r="W44" s="1513"/>
      <c r="X44" s="1491"/>
      <c r="Y44" s="1513"/>
      <c r="Z44" s="1513"/>
      <c r="AA44" s="1513"/>
      <c r="AB44" s="318" t="s">
        <v>580</v>
      </c>
      <c r="AC44" s="738" t="s">
        <v>1120</v>
      </c>
      <c r="AD44" s="56" t="s">
        <v>789</v>
      </c>
      <c r="AE44" s="2730"/>
      <c r="AF44" s="2730"/>
      <c r="AG44" s="2730"/>
      <c r="AH44" s="2730"/>
      <c r="AI44" s="195"/>
      <c r="AJ44" s="195"/>
      <c r="AK44" s="1907"/>
      <c r="AL44" s="1513"/>
      <c r="AM44" s="1513"/>
      <c r="AN44" s="1007" t="s">
        <v>1121</v>
      </c>
    </row>
    <row s="1513" customFormat="1" customHeight="1" ht="14.625" hidden="1">
      <c r="A45" s="1513"/>
      <c r="B45" s="401"/>
      <c r="C45" s="1513"/>
      <c r="D45" s="1513"/>
      <c r="E45" s="233">
        <v>15</v>
      </c>
      <c r="F45" s="50" cm="1" t="str">
        <f t="array" ref="F45:F45">OFFSET(E45,-1,1)</f>
        <v>0</v>
      </c>
      <c r="G45" s="124" t="s">
        <v>1122</v>
      </c>
      <c r="H45" s="92" t="s">
        <v>546</v>
      </c>
      <c r="I45" s="1513"/>
      <c r="J45" s="1513"/>
      <c r="K45" s="456" t="str">
        <f>F45&amp;"9komm"</f>
        <v>09komm</v>
      </c>
      <c r="L45" s="893" cm="1" t="str">
        <f t="array" ref="L45:L45">AK45</f>
        <v>0</v>
      </c>
      <c r="M45" s="1513"/>
      <c r="N45" s="1513"/>
      <c r="O45" s="1513"/>
      <c r="P45" s="1513"/>
      <c r="Q45" s="1513"/>
      <c r="R45" s="1513"/>
      <c r="S45" s="1513"/>
      <c r="T45" s="438" cm="1" t="str">
        <f t="array" ref="T45:T45">T44</f>
        <v>false</v>
      </c>
      <c r="U45" s="1513"/>
      <c r="V45" s="1513"/>
      <c r="W45" s="1513"/>
      <c r="X45" s="1491"/>
      <c r="Y45" s="1513"/>
      <c r="Z45" s="1513"/>
      <c r="AA45" s="1513"/>
      <c r="AB45" s="318" t="s">
        <v>592</v>
      </c>
      <c r="AC45" s="180" t="s">
        <v>1123</v>
      </c>
      <c r="AD45" s="56" t="s">
        <v>789</v>
      </c>
      <c r="AE45" s="2730"/>
      <c r="AF45" s="2730"/>
      <c r="AG45" s="2730"/>
      <c r="AH45" s="2730"/>
      <c r="AI45" s="1330"/>
      <c r="AJ45" s="1330"/>
      <c r="AK45" s="1907"/>
      <c r="AL45" s="1513"/>
      <c r="AM45" s="1513"/>
      <c r="AN45" s="1007" t="s">
        <v>1124</v>
      </c>
    </row>
    <row s="1624" customFormat="1" customHeight="1" ht="10.5">
      <c r="A46" s="1282"/>
      <c r="B46" s="1389"/>
      <c r="C46" s="112"/>
      <c r="D46" s="112"/>
      <c r="E46" s="233">
        <v>11.25</v>
      </c>
      <c r="F46" s="64" cm="1" t="str">
        <f t="array" ref="F46:F46">X46</f>
        <v>1</v>
      </c>
      <c r="G46" s="112"/>
      <c r="H46" s="112"/>
      <c r="I46" s="112"/>
      <c r="J46" s="112"/>
      <c r="K46" s="112"/>
      <c r="L46" s="112"/>
      <c r="M46" s="112"/>
      <c r="N46" s="112"/>
      <c r="O46" s="112"/>
      <c r="P46" s="112"/>
      <c r="Q46" s="112"/>
      <c r="R46" s="112"/>
      <c r="S46" s="112"/>
      <c r="T46" s="438">
        <f>X46&gt;0</f>
        <v>1</v>
      </c>
      <c r="U46" s="112"/>
      <c r="V46" s="112" cm="1" t="str">
        <f t="array" ref="V46:V46">ФОТ!$AB$52</f>
        <v>Тариф 1 (Водоотведение) - тариф на транспортировку сточных вод</v>
      </c>
      <c r="W46" s="112"/>
      <c r="X46" s="1491" t="s">
        <v>281</v>
      </c>
      <c r="Y46" s="112"/>
      <c r="Z46" s="1513"/>
      <c r="AA46" s="112"/>
      <c r="AB46" s="208" cm="1" t="str">
        <f t="array" ref="AB46:AB46">ФОТ!$AB$52</f>
        <v>Тариф 1 (Водоотведение) - тариф на транспортировку сточных вод</v>
      </c>
      <c r="AC46" s="146"/>
      <c r="AD46" s="146"/>
      <c r="AE46" s="272">
        <f>AE47+AE48+AE49+AE57+AE58+AE59+AE60+AE61</f>
        <v>0</v>
      </c>
      <c r="AF46" s="272">
        <f>AF47+AF48+AF49+AF57+AF58+AF59+AF60+AF61</f>
        <v>0</v>
      </c>
      <c r="AG46" s="272">
        <f>AG47+AG48+AG49+AG57+AG58+AG59+AG60+AG61</f>
        <v>0</v>
      </c>
      <c r="AH46" s="272">
        <f>AH47+AH48+AH49+AH57+AH58+AH59+AH60+AH61</f>
        <v>0</v>
      </c>
      <c r="AI46" s="272">
        <f>AI47+AI48+AI49+AI57+AI58+AI59+AI60+AI61</f>
        <v>0</v>
      </c>
      <c r="AJ46" s="272">
        <f>AJ47+AJ48+AJ49+AJ57+AJ58+AJ59+AJ60+AJ61</f>
        <v>0</v>
      </c>
      <c r="AK46" s="140"/>
      <c r="AL46" s="112"/>
      <c r="AM46" s="1282"/>
      <c r="AN46" s="1284"/>
    </row>
    <row s="1624" customFormat="1" customHeight="1" ht="21.75">
      <c r="A47" s="1282"/>
      <c r="B47" s="1389"/>
      <c r="C47" s="112"/>
      <c r="D47" s="112"/>
      <c r="E47" s="233">
        <v>22.5</v>
      </c>
      <c r="F47" s="50" cm="1" t="str">
        <f t="array" ref="F47:F47">OFFSET(E47,-1,1)</f>
        <v>1</v>
      </c>
      <c r="G47" s="112"/>
      <c r="H47" s="92" t="s">
        <v>321</v>
      </c>
      <c r="I47" s="112"/>
      <c r="J47" s="112"/>
      <c r="K47" s="112"/>
      <c r="L47" s="112"/>
      <c r="M47" s="112"/>
      <c r="N47" s="112"/>
      <c r="O47" s="112"/>
      <c r="P47" s="112"/>
      <c r="Q47" s="112"/>
      <c r="R47" s="112"/>
      <c r="S47" s="112"/>
      <c r="T47" s="438" cm="1" t="str">
        <f t="array" ref="T47:T47">T46</f>
        <v>true</v>
      </c>
      <c r="U47" s="112"/>
      <c r="V47" s="112"/>
      <c r="W47" s="112"/>
      <c r="X47" s="1491"/>
      <c r="Y47" s="112"/>
      <c r="Z47" s="1513"/>
      <c r="AA47" s="112"/>
      <c r="AB47" s="318">
        <v>1</v>
      </c>
      <c r="AC47" s="307" t="s">
        <v>1057</v>
      </c>
      <c r="AD47" s="56" t="s">
        <v>789</v>
      </c>
      <c r="AE47" s="868">
        <f>_xlfn.SUMIFS(ФОТ!AE$25:AE$77,ФОТ!$F$25:$F$77,$F47,ФОТ!$AC$25:$AC$77,$AC47)</f>
        <v>0</v>
      </c>
      <c r="AF47" s="868">
        <f>_xlfn.SUMIFS(ФОТ!AF$25:AF$77,ФОТ!$F$25:$F$77,$F47,ФОТ!$AC$25:$AC$77,$AC47)</f>
        <v>0</v>
      </c>
      <c r="AG47" s="868">
        <f>_xlfn.SUMIFS(ФОТ!AG$25:AG$77,ФОТ!$F$25:$F$77,$F47,ФОТ!$AC$25:$AC$77,$AC47)</f>
        <v>0</v>
      </c>
      <c r="AH47" s="868">
        <f>_xlfn.SUMIFS(ФОТ!AH$25:AH$77,ФОТ!$F$25:$F$77,$F47,ФОТ!$AC$25:$AC$77,$AC47)</f>
        <v>0</v>
      </c>
      <c r="AI47" s="868">
        <f>_xlfn.SUMIFS(ФОТ!AI$25:AI$77,ФОТ!$F$25:$F$77,$F47,ФОТ!$AC$25:$AC$77,$AC47)</f>
        <v>0</v>
      </c>
      <c r="AJ47" s="868">
        <f>_xlfn.SUMIFS(ФОТ!AJ$25:AJ$77,ФОТ!$F$25:$F$77,$F47,ФОТ!$AC$25:$AC$77,$AC47)</f>
        <v>0</v>
      </c>
      <c r="AK47" s="275"/>
      <c r="AL47" s="112"/>
      <c r="AM47" s="1282"/>
      <c r="AN47" s="992" t="s">
        <v>1073</v>
      </c>
    </row>
    <row s="1624" customFormat="1" customHeight="1" ht="21.75">
      <c r="A48" s="1282"/>
      <c r="B48" s="1389"/>
      <c r="C48" s="112"/>
      <c r="D48" s="112"/>
      <c r="E48" s="233">
        <v>22.5</v>
      </c>
      <c r="F48" s="50" cm="1" t="str">
        <f t="array" ref="F48:F48">OFFSET(E48,-1,1)</f>
        <v>1</v>
      </c>
      <c r="G48" s="112"/>
      <c r="H48" s="92" t="s">
        <v>322</v>
      </c>
      <c r="I48" s="112"/>
      <c r="J48" s="456"/>
      <c r="K48" s="456"/>
      <c r="L48" s="456"/>
      <c r="M48" s="112"/>
      <c r="N48" s="112"/>
      <c r="O48" s="112"/>
      <c r="P48" s="112"/>
      <c r="Q48" s="112"/>
      <c r="R48" s="112"/>
      <c r="S48" s="112"/>
      <c r="T48" s="438" cm="1" t="str">
        <f t="array" ref="T48:T48">T47</f>
        <v>true</v>
      </c>
      <c r="U48" s="112"/>
      <c r="V48" s="112"/>
      <c r="W48" s="112"/>
      <c r="X48" s="1491"/>
      <c r="Y48" s="112"/>
      <c r="Z48" s="1513"/>
      <c r="AA48" s="112"/>
      <c r="AB48" s="318" t="s">
        <v>504</v>
      </c>
      <c r="AC48" s="307" t="s">
        <v>1062</v>
      </c>
      <c r="AD48" s="56" t="s">
        <v>789</v>
      </c>
      <c r="AE48" s="868">
        <f>_xlfn.SUMIFS(ФОТ!AE$25:AE$77,ФОТ!$F$25:$F$77,$F48,ФОТ!$AC$25:$AC$77,$AC48)</f>
        <v>0</v>
      </c>
      <c r="AF48" s="868">
        <f>_xlfn.SUMIFS(ФОТ!AF$25:AF$77,ФОТ!$F$25:$F$77,$F48,ФОТ!$AC$25:$AC$77,$AC48)</f>
        <v>0</v>
      </c>
      <c r="AG48" s="868">
        <f>_xlfn.SUMIFS(ФОТ!AG$25:AG$77,ФОТ!$F$25:$F$77,$F48,ФОТ!$AC$25:$AC$77,$AC48)</f>
        <v>0</v>
      </c>
      <c r="AH48" s="868">
        <f>_xlfn.SUMIFS(ФОТ!AH$25:AH$77,ФОТ!$F$25:$F$77,$F48,ФОТ!$AC$25:$AC$77,$AC48)</f>
        <v>0</v>
      </c>
      <c r="AI48" s="868">
        <f>_xlfn.SUMIFS(ФОТ!AI$25:AI$77,ФОТ!$F$25:$F$77,$F48,ФОТ!$AC$25:$AC$77,$AC48)</f>
        <v>0</v>
      </c>
      <c r="AJ48" s="868">
        <f>_xlfn.SUMIFS(ФОТ!AJ$25:AJ$77,ФОТ!$F$25:$F$77,$F48,ФОТ!$AC$25:$AC$77,$AC48)</f>
        <v>0</v>
      </c>
      <c r="AK48" s="275"/>
      <c r="AL48" s="112"/>
      <c r="AM48" s="1282"/>
      <c r="AN48" s="992" t="s">
        <v>1063</v>
      </c>
    </row>
    <row s="1624" customFormat="1" customHeight="1" ht="32.25">
      <c r="A49" s="1282"/>
      <c r="B49" s="1389"/>
      <c r="C49" s="112"/>
      <c r="D49" s="112"/>
      <c r="E49" s="233">
        <v>33.75</v>
      </c>
      <c r="F49" s="50" cm="1" t="str">
        <f t="array" ref="F49:F49">OFFSET(E49,-1,1)</f>
        <v>1</v>
      </c>
      <c r="G49" s="315" t="s">
        <v>1074</v>
      </c>
      <c r="H49" s="92" t="s">
        <v>323</v>
      </c>
      <c r="I49" s="112"/>
      <c r="J49" s="456"/>
      <c r="K49" s="456" t="str">
        <f>F49&amp;"17komm"</f>
        <v>117komm</v>
      </c>
      <c r="L49" s="893" cm="1" t="str">
        <f t="array" ref="L49:L49">AK49</f>
        <v>0</v>
      </c>
      <c r="M49" s="112"/>
      <c r="N49" s="112"/>
      <c r="O49" s="112"/>
      <c r="P49" s="112"/>
      <c r="Q49" s="112"/>
      <c r="R49" s="112"/>
      <c r="S49" s="112"/>
      <c r="T49" s="438" cm="1" t="str">
        <f t="array" ref="T49:T49">T48</f>
        <v>true</v>
      </c>
      <c r="U49" s="112"/>
      <c r="V49" s="112"/>
      <c r="W49" s="112"/>
      <c r="X49" s="1491"/>
      <c r="Y49" s="112"/>
      <c r="Z49" s="1513"/>
      <c r="AA49" s="112"/>
      <c r="AB49" s="318" t="s">
        <v>319</v>
      </c>
      <c r="AC49" s="307" t="s">
        <v>1075</v>
      </c>
      <c r="AD49" s="56" t="s">
        <v>789</v>
      </c>
      <c r="AE49" s="204">
        <f>SUM(AE50:AE56)</f>
        <v>0</v>
      </c>
      <c r="AF49" s="204">
        <f>SUM(AF50:AF56)</f>
        <v>0</v>
      </c>
      <c r="AG49" s="204">
        <f>SUM(AG50:AG56)</f>
        <v>0</v>
      </c>
      <c r="AH49" s="204">
        <f>SUM(AH50:AH56)</f>
        <v>0</v>
      </c>
      <c r="AI49" s="204">
        <f>SUM(AI50:AI56)</f>
        <v>0</v>
      </c>
      <c r="AJ49" s="204">
        <f>SUM(AJ50:AJ56)</f>
        <v>0</v>
      </c>
      <c r="AK49" s="275"/>
      <c r="AL49" s="112"/>
      <c r="AM49" s="1282"/>
      <c r="AN49" s="992" t="s">
        <v>1076</v>
      </c>
    </row>
    <row s="1624" customFormat="1" customHeight="1" ht="14.25">
      <c r="A50" s="1624"/>
      <c r="B50" s="402"/>
      <c r="C50" s="112"/>
      <c r="D50" s="112"/>
      <c r="E50" s="233">
        <v>15</v>
      </c>
      <c r="F50" s="1153" cm="1" t="str">
        <f t="array" ref="F50:F50">OFFSET(E50,-1,1)</f>
        <v>1</v>
      </c>
      <c r="G50" s="124" t="s">
        <v>1077</v>
      </c>
      <c r="H50" s="92" t="s">
        <v>874</v>
      </c>
      <c r="I50" s="112"/>
      <c r="J50" s="456"/>
      <c r="K50" s="456" t="str">
        <f>F50&amp;"18komm"</f>
        <v>118komm</v>
      </c>
      <c r="L50" s="893" cm="1" t="str">
        <f t="array" ref="L50:L50">AK50</f>
        <v>0</v>
      </c>
      <c r="M50" s="112"/>
      <c r="N50" s="112"/>
      <c r="O50" s="112"/>
      <c r="P50" s="112"/>
      <c r="Q50" s="112"/>
      <c r="R50" s="112"/>
      <c r="S50" s="112"/>
      <c r="T50" s="438" cm="1" t="str">
        <f t="array" ref="T50:T50">T49</f>
        <v>true</v>
      </c>
      <c r="U50" s="112"/>
      <c r="V50" s="112"/>
      <c r="W50" s="112"/>
      <c r="X50" s="1491"/>
      <c r="Y50" s="112"/>
      <c r="Z50" s="1513"/>
      <c r="AA50" s="112"/>
      <c r="AB50" s="318" t="s">
        <v>523</v>
      </c>
      <c r="AC50" s="180" t="s">
        <v>1078</v>
      </c>
      <c r="AD50" s="56" t="s">
        <v>789</v>
      </c>
      <c r="AE50" s="195"/>
      <c r="AF50" s="195"/>
      <c r="AG50" s="195"/>
      <c r="AH50" s="195"/>
      <c r="AI50" s="195"/>
      <c r="AJ50" s="195"/>
      <c r="AK50" s="275"/>
      <c r="AL50" s="112"/>
      <c r="AM50" s="1624"/>
      <c r="AN50" s="996" t="s">
        <v>1079</v>
      </c>
    </row>
    <row s="1401" customFormat="1" customHeight="1" ht="14.25">
      <c r="A51" s="1513"/>
      <c r="B51" s="401"/>
      <c r="C51" s="1513"/>
      <c r="D51" s="1513"/>
      <c r="E51" s="233">
        <v>15</v>
      </c>
      <c r="F51" s="50" cm="1" t="str">
        <f t="array" ref="F51:F51">OFFSET(E51,-1,1)</f>
        <v>1</v>
      </c>
      <c r="G51" s="124" t="s">
        <v>1080</v>
      </c>
      <c r="H51" s="92" t="s">
        <v>876</v>
      </c>
      <c r="I51" s="1513"/>
      <c r="J51" s="456"/>
      <c r="K51" s="456" t="str">
        <f>F51&amp;"11komm"</f>
        <v>111komm</v>
      </c>
      <c r="L51" s="893" cm="1" t="str">
        <f t="array" ref="L51:L51">AK51</f>
        <v>0</v>
      </c>
      <c r="M51" s="1513"/>
      <c r="N51" s="1513"/>
      <c r="O51" s="1513"/>
      <c r="P51" s="1513"/>
      <c r="Q51" s="1513"/>
      <c r="R51" s="1513"/>
      <c r="S51" s="1513"/>
      <c r="T51" s="438" cm="1" t="str">
        <f t="array" ref="T51:T51">T50</f>
        <v>true</v>
      </c>
      <c r="U51" s="1513"/>
      <c r="V51" s="1513"/>
      <c r="W51" s="1513"/>
      <c r="X51" s="1491"/>
      <c r="Y51" s="1513"/>
      <c r="Z51" s="1513"/>
      <c r="AA51" s="1513"/>
      <c r="AB51" s="318" t="s">
        <v>527</v>
      </c>
      <c r="AC51" s="180" t="s">
        <v>1081</v>
      </c>
      <c r="AD51" s="56" t="s">
        <v>789</v>
      </c>
      <c r="AE51" s="195"/>
      <c r="AF51" s="195"/>
      <c r="AG51" s="195"/>
      <c r="AH51" s="195"/>
      <c r="AI51" s="195"/>
      <c r="AJ51" s="195"/>
      <c r="AK51" s="275"/>
      <c r="AL51" s="1513"/>
      <c r="AM51" s="1513"/>
      <c r="AN51" s="1007" t="s">
        <v>1082</v>
      </c>
    </row>
    <row s="1401" customFormat="1" customHeight="1" ht="14.25">
      <c r="A52" s="1513"/>
      <c r="B52" s="401"/>
      <c r="C52" s="1513"/>
      <c r="D52" s="1513"/>
      <c r="E52" s="233">
        <v>15</v>
      </c>
      <c r="F52" s="50" cm="1" t="str">
        <f t="array" ref="F52:F52">OFFSET(E52,-1,1)</f>
        <v>1</v>
      </c>
      <c r="G52" s="124" t="s">
        <v>1083</v>
      </c>
      <c r="H52" s="92" t="s">
        <v>878</v>
      </c>
      <c r="I52" s="1513"/>
      <c r="J52" s="456"/>
      <c r="K52" s="456" t="str">
        <f>F52&amp;"12komm"</f>
        <v>112komm</v>
      </c>
      <c r="L52" s="893" cm="1" t="str">
        <f t="array" ref="L52:L52">AK52</f>
        <v>0</v>
      </c>
      <c r="M52" s="1513"/>
      <c r="N52" s="1513"/>
      <c r="O52" s="1513"/>
      <c r="P52" s="1513"/>
      <c r="Q52" s="1513"/>
      <c r="R52" s="1513"/>
      <c r="S52" s="1513"/>
      <c r="T52" s="438" cm="1" t="str">
        <f t="array" ref="T52:T52">T51</f>
        <v>true</v>
      </c>
      <c r="U52" s="1513"/>
      <c r="V52" s="1513"/>
      <c r="W52" s="1513"/>
      <c r="X52" s="1491"/>
      <c r="Y52" s="1513"/>
      <c r="Z52" s="1513"/>
      <c r="AA52" s="1513"/>
      <c r="AB52" s="318" t="s">
        <v>744</v>
      </c>
      <c r="AC52" s="180" t="s">
        <v>1084</v>
      </c>
      <c r="AD52" s="56" t="s">
        <v>789</v>
      </c>
      <c r="AE52" s="195"/>
      <c r="AF52" s="195"/>
      <c r="AG52" s="195"/>
      <c r="AH52" s="195"/>
      <c r="AI52" s="195"/>
      <c r="AJ52" s="195"/>
      <c r="AK52" s="275"/>
      <c r="AL52" s="1513"/>
      <c r="AM52" s="1513"/>
      <c r="AN52" s="1007" t="s">
        <v>1085</v>
      </c>
    </row>
    <row s="1401" customFormat="1" customHeight="1" ht="14.25">
      <c r="A53" s="1513"/>
      <c r="B53" s="401"/>
      <c r="C53" s="1513"/>
      <c r="D53" s="1513"/>
      <c r="E53" s="233">
        <v>15</v>
      </c>
      <c r="F53" s="50" cm="1" t="str">
        <f t="array" ref="F53:F53">OFFSET(E53,-1,1)</f>
        <v>1</v>
      </c>
      <c r="G53" s="124" t="s">
        <v>1086</v>
      </c>
      <c r="H53" s="92" t="s">
        <v>880</v>
      </c>
      <c r="I53" s="1513"/>
      <c r="J53" s="456"/>
      <c r="K53" s="456" t="str">
        <f>F53&amp;"13komm"</f>
        <v>113komm</v>
      </c>
      <c r="L53" s="893" cm="1" t="str">
        <f t="array" ref="L53:L53">AK53</f>
        <v>0</v>
      </c>
      <c r="M53" s="1513"/>
      <c r="N53" s="1513"/>
      <c r="O53" s="1513"/>
      <c r="P53" s="1513"/>
      <c r="Q53" s="1513"/>
      <c r="R53" s="1513"/>
      <c r="S53" s="1513"/>
      <c r="T53" s="438" cm="1" t="str">
        <f t="array" ref="T53:T53">T52</f>
        <v>true</v>
      </c>
      <c r="U53" s="1513"/>
      <c r="V53" s="1513"/>
      <c r="W53" s="1513"/>
      <c r="X53" s="1491"/>
      <c r="Y53" s="1513"/>
      <c r="Z53" s="1513"/>
      <c r="AA53" s="1513"/>
      <c r="AB53" s="318" t="s">
        <v>881</v>
      </c>
      <c r="AC53" s="180" t="s">
        <v>1087</v>
      </c>
      <c r="AD53" s="56" t="s">
        <v>789</v>
      </c>
      <c r="AE53" s="195"/>
      <c r="AF53" s="195"/>
      <c r="AG53" s="195"/>
      <c r="AH53" s="195"/>
      <c r="AI53" s="195"/>
      <c r="AJ53" s="195"/>
      <c r="AK53" s="275"/>
      <c r="AL53" s="1513"/>
      <c r="AM53" s="1513"/>
      <c r="AN53" s="1007" t="s">
        <v>1088</v>
      </c>
    </row>
    <row s="1401" customFormat="1" customHeight="1" ht="14.25">
      <c r="A54" s="1513"/>
      <c r="B54" s="401"/>
      <c r="C54" s="1513"/>
      <c r="D54" s="1513"/>
      <c r="E54" s="233">
        <v>15</v>
      </c>
      <c r="F54" s="50" cm="1" t="str">
        <f t="array" ref="F54:F54">OFFSET(E54,-1,1)</f>
        <v>1</v>
      </c>
      <c r="G54" s="124" t="s">
        <v>1089</v>
      </c>
      <c r="H54" s="92" t="s">
        <v>883</v>
      </c>
      <c r="I54" s="1513"/>
      <c r="J54" s="456"/>
      <c r="K54" s="456" t="str">
        <f>F54&amp;"14komm"</f>
        <v>114komm</v>
      </c>
      <c r="L54" s="893" cm="1" t="str">
        <f t="array" ref="L54:L54">AK54</f>
        <v>0</v>
      </c>
      <c r="M54" s="1513"/>
      <c r="N54" s="1513"/>
      <c r="O54" s="1513"/>
      <c r="P54" s="1513"/>
      <c r="Q54" s="1513"/>
      <c r="R54" s="1513"/>
      <c r="S54" s="1513"/>
      <c r="T54" s="438" cm="1" t="str">
        <f t="array" ref="T54:T54">T53</f>
        <v>true</v>
      </c>
      <c r="U54" s="1513"/>
      <c r="V54" s="1513"/>
      <c r="W54" s="1513"/>
      <c r="X54" s="1491"/>
      <c r="Y54" s="1513"/>
      <c r="Z54" s="1513"/>
      <c r="AA54" s="1513"/>
      <c r="AB54" s="318" t="s">
        <v>884</v>
      </c>
      <c r="AC54" s="180" t="s">
        <v>1090</v>
      </c>
      <c r="AD54" s="56" t="s">
        <v>789</v>
      </c>
      <c r="AE54" s="195"/>
      <c r="AF54" s="195"/>
      <c r="AG54" s="195"/>
      <c r="AH54" s="195"/>
      <c r="AI54" s="195"/>
      <c r="AJ54" s="195"/>
      <c r="AK54" s="275"/>
      <c r="AL54" s="1513"/>
      <c r="AM54" s="1513"/>
      <c r="AN54" s="1007" t="s">
        <v>1091</v>
      </c>
    </row>
    <row s="1401" customFormat="1" customHeight="1" ht="14.25">
      <c r="A55" s="1513"/>
      <c r="B55" s="401"/>
      <c r="C55" s="1513"/>
      <c r="D55" s="1513"/>
      <c r="E55" s="233">
        <v>15</v>
      </c>
      <c r="F55" s="50" cm="1" t="str">
        <f t="array" ref="F55:F55">OFFSET(E55,-1,1)</f>
        <v>1</v>
      </c>
      <c r="G55" s="124" t="s">
        <v>1092</v>
      </c>
      <c r="H55" s="92" t="s">
        <v>1093</v>
      </c>
      <c r="I55" s="1513"/>
      <c r="J55" s="456"/>
      <c r="K55" s="456" t="str">
        <f>F55&amp;"15komm"</f>
        <v>115komm</v>
      </c>
      <c r="L55" s="893" cm="1" t="str">
        <f t="array" ref="L55:L55">AK55</f>
        <v>0</v>
      </c>
      <c r="M55" s="1513"/>
      <c r="N55" s="1513"/>
      <c r="O55" s="1513"/>
      <c r="P55" s="1513"/>
      <c r="Q55" s="1513"/>
      <c r="R55" s="1513"/>
      <c r="S55" s="1513"/>
      <c r="T55" s="438" cm="1" t="str">
        <f t="array" ref="T55:T55">T54</f>
        <v>true</v>
      </c>
      <c r="U55" s="1513"/>
      <c r="V55" s="1513"/>
      <c r="W55" s="1513"/>
      <c r="X55" s="1491"/>
      <c r="Y55" s="1513"/>
      <c r="Z55" s="1513"/>
      <c r="AA55" s="1513"/>
      <c r="AB55" s="318" t="s">
        <v>1094</v>
      </c>
      <c r="AC55" s="180" t="s">
        <v>1095</v>
      </c>
      <c r="AD55" s="56" t="s">
        <v>789</v>
      </c>
      <c r="AE55" s="195"/>
      <c r="AF55" s="195"/>
      <c r="AG55" s="195"/>
      <c r="AH55" s="195"/>
      <c r="AI55" s="195"/>
      <c r="AJ55" s="195"/>
      <c r="AK55" s="275"/>
      <c r="AL55" s="1513"/>
      <c r="AM55" s="1513"/>
      <c r="AN55" s="1007" t="s">
        <v>1096</v>
      </c>
    </row>
    <row s="1401" customFormat="1" customHeight="1" ht="14.25">
      <c r="A56" s="1513"/>
      <c r="B56" s="401"/>
      <c r="C56" s="1513"/>
      <c r="D56" s="1513"/>
      <c r="E56" s="233">
        <v>15</v>
      </c>
      <c r="F56" s="50" cm="1" t="str">
        <f t="array" ref="F56:F56">OFFSET(E56,-1,1)</f>
        <v>1</v>
      </c>
      <c r="G56" s="124" t="s">
        <v>1097</v>
      </c>
      <c r="H56" s="92" t="s">
        <v>1098</v>
      </c>
      <c r="I56" s="1513"/>
      <c r="J56" s="456"/>
      <c r="K56" s="456" t="str">
        <f>F56&amp;"16komm"</f>
        <v>116komm</v>
      </c>
      <c r="L56" s="893" cm="1" t="str">
        <f t="array" ref="L56:L56">AK56</f>
        <v>0</v>
      </c>
      <c r="M56" s="1513"/>
      <c r="N56" s="1513"/>
      <c r="O56" s="1513"/>
      <c r="P56" s="1513"/>
      <c r="Q56" s="1513"/>
      <c r="R56" s="1513"/>
      <c r="S56" s="1513"/>
      <c r="T56" s="438" cm="1" t="str">
        <f t="array" ref="T56:T56">T55</f>
        <v>true</v>
      </c>
      <c r="U56" s="1513"/>
      <c r="V56" s="1513"/>
      <c r="W56" s="1513"/>
      <c r="X56" s="1491"/>
      <c r="Y56" s="1513"/>
      <c r="Z56" s="1513"/>
      <c r="AA56" s="1513"/>
      <c r="AB56" s="318" t="s">
        <v>1099</v>
      </c>
      <c r="AC56" s="180" t="s">
        <v>1100</v>
      </c>
      <c r="AD56" s="56" t="s">
        <v>789</v>
      </c>
      <c r="AE56" s="195"/>
      <c r="AF56" s="195"/>
      <c r="AG56" s="195"/>
      <c r="AH56" s="195"/>
      <c r="AI56" s="195"/>
      <c r="AJ56" s="195"/>
      <c r="AK56" s="275"/>
      <c r="AL56" s="1513"/>
      <c r="AM56" s="1513"/>
      <c r="AN56" s="1007" t="s">
        <v>1101</v>
      </c>
    </row>
    <row s="1401" customFormat="1" customHeight="1" ht="32.25">
      <c r="A57" s="1513"/>
      <c r="B57" s="401"/>
      <c r="C57" s="1513"/>
      <c r="D57" s="1513"/>
      <c r="E57" s="233">
        <v>33.75</v>
      </c>
      <c r="F57" s="50" cm="1" t="str">
        <f t="array" ref="F57:F57">OFFSET(E57,-1,1)</f>
        <v>1</v>
      </c>
      <c r="G57" s="315" t="s">
        <v>1102</v>
      </c>
      <c r="H57" s="92" t="s">
        <v>325</v>
      </c>
      <c r="I57" s="1513"/>
      <c r="J57" s="456"/>
      <c r="K57" s="456" t="str">
        <f>F57&amp;"2komm"</f>
        <v>12komm</v>
      </c>
      <c r="L57" s="893" cm="1" t="str">
        <f t="array" ref="L57:L57">AK57</f>
        <v>0</v>
      </c>
      <c r="M57" s="1513"/>
      <c r="N57" s="1513"/>
      <c r="O57" s="1513"/>
      <c r="P57" s="1513"/>
      <c r="Q57" s="1513"/>
      <c r="R57" s="1513"/>
      <c r="S57" s="1513"/>
      <c r="T57" s="438" cm="1" t="str">
        <f t="array" ref="T57:T57">T56</f>
        <v>true</v>
      </c>
      <c r="U57" s="1513"/>
      <c r="V57" s="1513"/>
      <c r="W57" s="1513"/>
      <c r="X57" s="1491"/>
      <c r="Y57" s="1513"/>
      <c r="Z57" s="1513"/>
      <c r="AA57" s="1513"/>
      <c r="AB57" s="318" t="s">
        <v>530</v>
      </c>
      <c r="AC57" s="307" t="s">
        <v>1103</v>
      </c>
      <c r="AD57" s="56" t="s">
        <v>789</v>
      </c>
      <c r="AE57" s="195"/>
      <c r="AF57" s="195"/>
      <c r="AG57" s="195"/>
      <c r="AH57" s="195"/>
      <c r="AI57" s="195"/>
      <c r="AJ57" s="195"/>
      <c r="AK57" s="275"/>
      <c r="AL57" s="1513"/>
      <c r="AM57" s="1513"/>
      <c r="AN57" s="1007" t="s">
        <v>1104</v>
      </c>
    </row>
    <row s="1401" customFormat="1" customHeight="1" ht="14.25">
      <c r="A58" s="1513"/>
      <c r="B58" s="401"/>
      <c r="C58" s="1513"/>
      <c r="D58" s="1513"/>
      <c r="E58" s="233">
        <v>15</v>
      </c>
      <c r="F58" s="50" cm="1" t="str">
        <f t="array" ref="F58:F58">OFFSET(E58,-1,1)</f>
        <v>1</v>
      </c>
      <c r="G58" s="315" t="s">
        <v>1105</v>
      </c>
      <c r="H58" s="92" t="s">
        <v>324</v>
      </c>
      <c r="I58" s="1513"/>
      <c r="J58" s="456"/>
      <c r="K58" s="456" t="str">
        <f>F58&amp;"3komm"</f>
        <v>13komm</v>
      </c>
      <c r="L58" s="893" cm="1" t="str">
        <f t="array" ref="L58:L58">AK58</f>
        <v>0</v>
      </c>
      <c r="M58" s="1513"/>
      <c r="N58" s="1513"/>
      <c r="O58" s="1513"/>
      <c r="P58" s="1513"/>
      <c r="Q58" s="1513"/>
      <c r="R58" s="1513"/>
      <c r="S58" s="1513"/>
      <c r="T58" s="438" cm="1" t="str">
        <f t="array" ref="T58:T58">T57</f>
        <v>true</v>
      </c>
      <c r="U58" s="1513"/>
      <c r="V58" s="1513"/>
      <c r="W58" s="1513"/>
      <c r="X58" s="1491"/>
      <c r="Y58" s="1513"/>
      <c r="Z58" s="1513"/>
      <c r="AA58" s="1513"/>
      <c r="AB58" s="318" t="s">
        <v>485</v>
      </c>
      <c r="AC58" s="307" t="s">
        <v>1106</v>
      </c>
      <c r="AD58" s="56" t="s">
        <v>789</v>
      </c>
      <c r="AE58" s="195"/>
      <c r="AF58" s="195"/>
      <c r="AG58" s="195"/>
      <c r="AH58" s="195"/>
      <c r="AI58" s="195"/>
      <c r="AJ58" s="195"/>
      <c r="AK58" s="275"/>
      <c r="AL58" s="1513"/>
      <c r="AM58" s="1513"/>
      <c r="AN58" s="1007" t="s">
        <v>1107</v>
      </c>
    </row>
    <row s="1401" customFormat="1" customHeight="1" ht="14.25">
      <c r="A59" s="1513"/>
      <c r="B59" s="401"/>
      <c r="C59" s="1513"/>
      <c r="D59" s="1513"/>
      <c r="E59" s="233">
        <v>15</v>
      </c>
      <c r="F59" s="50" cm="1" t="str">
        <f t="array" ref="F59:F59">OFFSET(E59,-1,1)</f>
        <v>1</v>
      </c>
      <c r="G59" s="315" t="s">
        <v>1108</v>
      </c>
      <c r="H59" s="92" t="s">
        <v>484</v>
      </c>
      <c r="I59" s="1513"/>
      <c r="J59" s="1513"/>
      <c r="K59" s="456" t="str">
        <f>F59&amp;"4komm"</f>
        <v>14komm</v>
      </c>
      <c r="L59" s="893" cm="1" t="str">
        <f t="array" ref="L59:L59">AK59</f>
        <v>0</v>
      </c>
      <c r="M59" s="1513"/>
      <c r="N59" s="1513"/>
      <c r="O59" s="1513"/>
      <c r="P59" s="1513"/>
      <c r="Q59" s="1513"/>
      <c r="R59" s="1513"/>
      <c r="S59" s="1513"/>
      <c r="T59" s="438" cm="1" t="str">
        <f t="array" ref="T59:T59">T58</f>
        <v>true</v>
      </c>
      <c r="U59" s="1513"/>
      <c r="V59" s="1513"/>
      <c r="W59" s="1513"/>
      <c r="X59" s="1491"/>
      <c r="Y59" s="1513"/>
      <c r="Z59" s="1513"/>
      <c r="AA59" s="1513"/>
      <c r="AB59" s="318" t="s">
        <v>489</v>
      </c>
      <c r="AC59" s="307" t="s">
        <v>1109</v>
      </c>
      <c r="AD59" s="56" t="s">
        <v>789</v>
      </c>
      <c r="AE59" s="195"/>
      <c r="AF59" s="195"/>
      <c r="AG59" s="195"/>
      <c r="AH59" s="195"/>
      <c r="AI59" s="195"/>
      <c r="AJ59" s="195"/>
      <c r="AK59" s="275"/>
      <c r="AL59" s="1513"/>
      <c r="AM59" s="1513"/>
      <c r="AN59" s="1007" t="s">
        <v>1110</v>
      </c>
    </row>
    <row s="1401" customFormat="1" customHeight="1" ht="14.25">
      <c r="A60" s="1513"/>
      <c r="B60" s="401"/>
      <c r="C60" s="1513"/>
      <c r="D60" s="1513"/>
      <c r="E60" s="233">
        <v>15</v>
      </c>
      <c r="F60" s="50" cm="1" t="str">
        <f t="array" ref="F60:F60">OFFSET(E60,-1,1)</f>
        <v>1</v>
      </c>
      <c r="G60" s="315" t="s">
        <v>1111</v>
      </c>
      <c r="H60" s="92" t="s">
        <v>488</v>
      </c>
      <c r="I60" s="1513"/>
      <c r="J60" s="1513"/>
      <c r="K60" s="456" t="str">
        <f>F60&amp;"5komm"</f>
        <v>15komm</v>
      </c>
      <c r="L60" s="893" cm="1" t="str">
        <f t="array" ref="L60:L60">AK60</f>
        <v>0</v>
      </c>
      <c r="M60" s="1513"/>
      <c r="N60" s="1513"/>
      <c r="O60" s="1513"/>
      <c r="P60" s="1513"/>
      <c r="Q60" s="1513"/>
      <c r="R60" s="1513"/>
      <c r="S60" s="1513"/>
      <c r="T60" s="438" cm="1" t="str">
        <f t="array" ref="T60:T60">T59</f>
        <v>true</v>
      </c>
      <c r="U60" s="1513"/>
      <c r="V60" s="1513"/>
      <c r="W60" s="1513"/>
      <c r="X60" s="1491"/>
      <c r="Y60" s="1513"/>
      <c r="Z60" s="1513"/>
      <c r="AA60" s="1513"/>
      <c r="AB60" s="318" t="s">
        <v>551</v>
      </c>
      <c r="AC60" s="307" t="s">
        <v>1112</v>
      </c>
      <c r="AD60" s="56" t="s">
        <v>789</v>
      </c>
      <c r="AE60" s="195"/>
      <c r="AF60" s="195"/>
      <c r="AG60" s="195"/>
      <c r="AH60" s="195"/>
      <c r="AI60" s="195"/>
      <c r="AJ60" s="195"/>
      <c r="AK60" s="275"/>
      <c r="AL60" s="1513"/>
      <c r="AM60" s="1513"/>
      <c r="AN60" s="1007" t="s">
        <v>1113</v>
      </c>
    </row>
    <row s="1401" customFormat="1" customHeight="1" ht="14.25">
      <c r="A61" s="1513"/>
      <c r="B61" s="401"/>
      <c r="C61" s="1513"/>
      <c r="D61" s="1513"/>
      <c r="E61" s="233">
        <v>15</v>
      </c>
      <c r="F61" s="50" cm="1" t="str">
        <f t="array" ref="F61:F61">OFFSET(E61,-1,1)</f>
        <v>1</v>
      </c>
      <c r="G61" s="315" t="s">
        <v>1114</v>
      </c>
      <c r="H61" s="92" t="s">
        <v>535</v>
      </c>
      <c r="I61" s="1513"/>
      <c r="J61" s="1513"/>
      <c r="K61" s="456" t="str">
        <f>F61&amp;"6komm"</f>
        <v>16komm</v>
      </c>
      <c r="L61" s="893" cm="1" t="str">
        <f t="array" ref="L61:L61">AK61</f>
        <v>0</v>
      </c>
      <c r="M61" s="1513"/>
      <c r="N61" s="1513"/>
      <c r="O61" s="1513"/>
      <c r="P61" s="1513"/>
      <c r="Q61" s="1513"/>
      <c r="R61" s="1513"/>
      <c r="S61" s="1513"/>
      <c r="T61" s="438" cm="1" t="str">
        <f t="array" ref="T61:T61">T60</f>
        <v>true</v>
      </c>
      <c r="U61" s="1513"/>
      <c r="V61" s="1513"/>
      <c r="W61" s="1513"/>
      <c r="X61" s="1491"/>
      <c r="Y61" s="1513"/>
      <c r="Z61" s="1513"/>
      <c r="AA61" s="1513"/>
      <c r="AB61" s="318" t="s">
        <v>559</v>
      </c>
      <c r="AC61" s="307" t="s">
        <v>1115</v>
      </c>
      <c r="AD61" s="56" t="s">
        <v>789</v>
      </c>
      <c r="AE61" s="319">
        <f>SUM(AE62:AE64)</f>
        <v>0</v>
      </c>
      <c r="AF61" s="319">
        <f>SUM(AF62:AF64)</f>
        <v>0</v>
      </c>
      <c r="AG61" s="319">
        <f>SUM(AG62:AG64)</f>
        <v>0</v>
      </c>
      <c r="AH61" s="319">
        <f>SUM(AH62:AH64)</f>
        <v>0</v>
      </c>
      <c r="AI61" s="319">
        <f>SUM(AI62:AI64)</f>
        <v>0</v>
      </c>
      <c r="AJ61" s="319">
        <f>SUM(AJ62:AJ64)</f>
        <v>0</v>
      </c>
      <c r="AK61" s="275"/>
      <c r="AL61" s="1513"/>
      <c r="AM61" s="1513"/>
      <c r="AN61" s="1007" t="s">
        <v>385</v>
      </c>
    </row>
    <row s="1401" customFormat="1" customHeight="1" ht="14.25">
      <c r="A62" s="1513"/>
      <c r="B62" s="401"/>
      <c r="C62" s="1513"/>
      <c r="D62" s="1513"/>
      <c r="E62" s="233">
        <v>15</v>
      </c>
      <c r="F62" s="50" cm="1" t="str">
        <f t="array" ref="F62:F62">OFFSET(E62,-1,1)</f>
        <v>1</v>
      </c>
      <c r="G62" s="315" t="s">
        <v>1116</v>
      </c>
      <c r="H62" s="92" t="s">
        <v>538</v>
      </c>
      <c r="I62" s="1513"/>
      <c r="J62" s="1513"/>
      <c r="K62" s="456" t="str">
        <f>F62&amp;"7komm"</f>
        <v>17komm</v>
      </c>
      <c r="L62" s="893" cm="1" t="str">
        <f t="array" ref="L62:L62">AK62</f>
        <v>0</v>
      </c>
      <c r="M62" s="1513"/>
      <c r="N62" s="1513"/>
      <c r="O62" s="1513"/>
      <c r="P62" s="1513"/>
      <c r="Q62" s="1513"/>
      <c r="R62" s="1513"/>
      <c r="S62" s="1513"/>
      <c r="T62" s="438" cm="1" t="str">
        <f t="array" ref="T62:T62">T61</f>
        <v>true</v>
      </c>
      <c r="U62" s="1513"/>
      <c r="V62" s="1513"/>
      <c r="W62" s="1513"/>
      <c r="X62" s="1491"/>
      <c r="Y62" s="1513"/>
      <c r="Z62" s="1513"/>
      <c r="AA62" s="1513"/>
      <c r="AB62" s="318" t="s">
        <v>563</v>
      </c>
      <c r="AC62" s="180" t="s">
        <v>1117</v>
      </c>
      <c r="AD62" s="56" t="s">
        <v>789</v>
      </c>
      <c r="AE62" s="195"/>
      <c r="AF62" s="195"/>
      <c r="AG62" s="195"/>
      <c r="AH62" s="195"/>
      <c r="AI62" s="195"/>
      <c r="AJ62" s="195"/>
      <c r="AK62" s="275"/>
      <c r="AL62" s="1513"/>
      <c r="AM62" s="1513"/>
      <c r="AN62" s="1007" t="s">
        <v>1118</v>
      </c>
    </row>
    <row s="1401" customFormat="1" customHeight="1" ht="43.5">
      <c r="A63" s="1513"/>
      <c r="B63" s="401"/>
      <c r="C63" s="1513"/>
      <c r="D63" s="1513"/>
      <c r="E63" s="233">
        <v>45</v>
      </c>
      <c r="F63" s="50" cm="1" t="str">
        <f t="array" ref="F63:F63">OFFSET(E63,-1,1)</f>
        <v>1</v>
      </c>
      <c r="G63" s="315" t="s">
        <v>1119</v>
      </c>
      <c r="H63" s="92" t="s">
        <v>542</v>
      </c>
      <c r="I63" s="1513"/>
      <c r="J63" s="1513"/>
      <c r="K63" s="456" t="str">
        <f>F63&amp;"8komm"</f>
        <v>18komm</v>
      </c>
      <c r="L63" s="893" cm="1" t="str">
        <f t="array" ref="L63:L63">AK63</f>
        <v>0</v>
      </c>
      <c r="M63" s="1513"/>
      <c r="N63" s="1513"/>
      <c r="O63" s="1513"/>
      <c r="P63" s="1513"/>
      <c r="Q63" s="1513"/>
      <c r="R63" s="1513"/>
      <c r="S63" s="1513"/>
      <c r="T63" s="438" cm="1" t="str">
        <f t="array" ref="T63:T63">T62</f>
        <v>true</v>
      </c>
      <c r="U63" s="1513"/>
      <c r="V63" s="1513"/>
      <c r="W63" s="1513"/>
      <c r="X63" s="1491"/>
      <c r="Y63" s="1513"/>
      <c r="Z63" s="1513"/>
      <c r="AA63" s="1513"/>
      <c r="AB63" s="318" t="s">
        <v>580</v>
      </c>
      <c r="AC63" s="738" t="s">
        <v>1120</v>
      </c>
      <c r="AD63" s="56" t="s">
        <v>789</v>
      </c>
      <c r="AE63" s="195"/>
      <c r="AF63" s="195"/>
      <c r="AG63" s="195"/>
      <c r="AH63" s="195"/>
      <c r="AI63" s="195"/>
      <c r="AJ63" s="195"/>
      <c r="AK63" s="275"/>
      <c r="AL63" s="1513"/>
      <c r="AM63" s="1513"/>
      <c r="AN63" s="1007" t="s">
        <v>1121</v>
      </c>
    </row>
    <row s="1401" customFormat="1" customHeight="1" ht="14.25">
      <c r="A64" s="1513"/>
      <c r="B64" s="401"/>
      <c r="C64" s="1513"/>
      <c r="D64" s="1513"/>
      <c r="E64" s="233">
        <v>15</v>
      </c>
      <c r="F64" s="50" cm="1" t="str">
        <f t="array" ref="F64:F64">OFFSET(E64,-1,1)</f>
        <v>1</v>
      </c>
      <c r="G64" s="124" t="s">
        <v>1122</v>
      </c>
      <c r="H64" s="92" t="s">
        <v>546</v>
      </c>
      <c r="I64" s="1513"/>
      <c r="J64" s="1513"/>
      <c r="K64" s="456" t="str">
        <f>F64&amp;"9komm"</f>
        <v>19komm</v>
      </c>
      <c r="L64" s="893" cm="1" t="str">
        <f t="array" ref="L64:L64">AK64</f>
        <v>0</v>
      </c>
      <c r="M64" s="1513"/>
      <c r="N64" s="1513"/>
      <c r="O64" s="1513"/>
      <c r="P64" s="1513"/>
      <c r="Q64" s="1513"/>
      <c r="R64" s="1513"/>
      <c r="S64" s="1513"/>
      <c r="T64" s="438" cm="1" t="str">
        <f t="array" ref="T64:T64">T63</f>
        <v>true</v>
      </c>
      <c r="U64" s="1513"/>
      <c r="V64" s="1513"/>
      <c r="W64" s="1513"/>
      <c r="X64" s="1491"/>
      <c r="Y64" s="1513"/>
      <c r="Z64" s="1513"/>
      <c r="AA64" s="1513"/>
      <c r="AB64" s="318" t="s">
        <v>592</v>
      </c>
      <c r="AC64" s="180" t="s">
        <v>1123</v>
      </c>
      <c r="AD64" s="56" t="s">
        <v>789</v>
      </c>
      <c r="AE64" s="195"/>
      <c r="AF64" s="195"/>
      <c r="AG64" s="195"/>
      <c r="AH64" s="195"/>
      <c r="AI64" s="1330"/>
      <c r="AJ64" s="1330"/>
      <c r="AK64" s="275"/>
      <c r="AL64" s="1513"/>
      <c r="AM64" s="1513"/>
      <c r="AN64" s="1007" t="s">
        <v>1124</v>
      </c>
    </row>
    <row s="1513" customFormat="1" customHeight="1" ht="10.96875">
      <c r="B65" s="401"/>
      <c r="C65" s="0"/>
      <c r="D65" s="0"/>
      <c r="E65" s="233">
        <v>11.25</v>
      </c>
      <c r="F65" s="51"/>
      <c r="G65" s="0"/>
      <c r="H65" s="0"/>
      <c r="I65" s="0"/>
      <c r="J65" s="0"/>
      <c r="K65" s="0"/>
      <c r="L65" s="0"/>
      <c r="M65" s="0"/>
      <c r="N65" s="0"/>
      <c r="O65" s="0"/>
      <c r="P65" s="0"/>
      <c r="Q65" s="0"/>
      <c r="R65" s="0"/>
      <c r="S65" s="0"/>
      <c r="T65" s="0"/>
      <c r="U65" s="0" t="s">
        <v>176</v>
      </c>
      <c r="V65" s="106" t="s">
        <v>1125</v>
      </c>
      <c r="W65" s="0"/>
      <c r="X65" s="0"/>
      <c r="Y65" s="0"/>
      <c r="Z65" s="0"/>
      <c r="AA65" s="0"/>
      <c r="AB65" s="0"/>
      <c r="AC65" s="66"/>
      <c r="AD65" s="66"/>
      <c r="AE65" s="320"/>
      <c r="AF65" s="320"/>
      <c r="AG65" s="321"/>
      <c r="AH65" s="321"/>
      <c r="AI65" s="321"/>
      <c r="AJ65" s="0"/>
      <c r="AK65" s="0"/>
      <c r="AL65" s="0"/>
      <c r="AN65" s="1007"/>
    </row>
    <row s="1513" customFormat="1" customHeight="1" ht="14.625">
      <c r="B66" s="401"/>
      <c r="C66" s="64"/>
      <c r="D66" s="64"/>
      <c r="E66" s="607">
        <v>15</v>
      </c>
      <c r="F66" s="64"/>
      <c r="G66" s="64"/>
      <c r="H66" s="64"/>
      <c r="I66" s="64"/>
      <c r="J66" s="64"/>
      <c r="K66" s="64"/>
      <c r="L66" s="64"/>
      <c r="M66" s="64"/>
      <c r="N66" s="64"/>
      <c r="O66" s="64"/>
      <c r="P66" s="64"/>
      <c r="Q66" s="64"/>
      <c r="R66" s="315"/>
      <c r="S66" s="64"/>
      <c r="T66" s="64"/>
      <c r="U66" s="64"/>
      <c r="V66" s="64"/>
      <c r="W66" s="64"/>
      <c r="X66" s="64"/>
      <c r="Y66" s="64"/>
      <c r="Z66" s="64"/>
      <c r="AA66" s="64"/>
      <c r="AB66" s="1522" t="s">
        <v>392</v>
      </c>
      <c r="AC66" s="1522"/>
      <c r="AD66" s="1522"/>
      <c r="AE66" s="1522"/>
      <c r="AF66" s="1522"/>
      <c r="AG66" s="1522"/>
      <c r="AH66" s="1522"/>
      <c r="AI66" s="1543"/>
      <c r="AJ66" s="1543"/>
      <c r="AK66" s="1543"/>
      <c r="AL66" s="64"/>
      <c r="AN66" s="1007"/>
    </row>
    <row s="1513" customFormat="1" customHeight="1" ht="14.625">
      <c r="B67" s="401"/>
      <c r="C67" s="64"/>
      <c r="D67" s="64"/>
      <c r="E67" s="607">
        <v>15</v>
      </c>
      <c r="F67" s="64"/>
      <c r="G67" s="64"/>
      <c r="H67" s="64"/>
      <c r="I67" s="64"/>
      <c r="J67" s="64"/>
      <c r="K67" s="64"/>
      <c r="L67" s="64"/>
      <c r="M67" s="64"/>
      <c r="N67" s="64"/>
      <c r="O67" s="64"/>
      <c r="P67" s="64"/>
      <c r="Q67" s="64"/>
      <c r="R67" s="315"/>
      <c r="S67" s="64"/>
      <c r="U67" s="64"/>
      <c r="V67" s="64"/>
      <c r="W67" s="64"/>
      <c r="X67" s="64"/>
      <c r="Y67" s="64"/>
      <c r="Z67" s="64"/>
      <c r="AA67" s="139"/>
      <c r="AB67" s="1544"/>
      <c r="AC67" s="1544"/>
      <c r="AD67" s="1544"/>
      <c r="AE67" s="1544"/>
      <c r="AF67" s="1544"/>
      <c r="AG67" s="1544"/>
      <c r="AH67" s="1544"/>
      <c r="AI67" s="1545"/>
      <c r="AJ67" s="1545"/>
      <c r="AK67" s="1545"/>
      <c r="AL67" s="64"/>
      <c r="AN67" s="1007"/>
    </row>
    <row s="1513" customFormat="1" customHeight="1" ht="14.625" hidden="1">
      <c r="A68" s="1513"/>
      <c r="B68" s="401"/>
      <c r="C68" s="64"/>
      <c r="D68" s="64"/>
      <c r="E68" s="607">
        <v>15</v>
      </c>
      <c r="F68" s="64"/>
      <c r="G68" s="64"/>
      <c r="H68" s="64"/>
      <c r="I68" s="64"/>
      <c r="J68" s="64"/>
      <c r="K68" s="64"/>
      <c r="L68" s="64"/>
      <c r="M68" s="64"/>
      <c r="N68" s="64"/>
      <c r="O68" s="64"/>
      <c r="P68" s="64"/>
      <c r="Q68" s="64"/>
      <c r="R68" s="315"/>
      <c r="S68" s="64"/>
      <c r="T68" s="438">
        <f>ROW(W68)&gt;ROW(W$68)</f>
        <v>0</v>
      </c>
      <c r="U68" s="64"/>
      <c r="V68" s="64"/>
      <c r="W68" s="733" t="s">
        <v>172</v>
      </c>
      <c r="X68" s="64"/>
      <c r="Y68" s="64"/>
      <c r="Z68" s="64"/>
      <c r="AA68" s="392" t="s">
        <v>173</v>
      </c>
      <c r="AB68" s="2395" t="s">
        <v>228</v>
      </c>
      <c r="AC68" s="2395"/>
      <c r="AD68" s="2395"/>
      <c r="AE68" s="2395"/>
      <c r="AF68" s="2395"/>
      <c r="AG68" s="2395"/>
      <c r="AH68" s="2395"/>
      <c r="AI68" s="1545"/>
      <c r="AJ68" s="1545"/>
      <c r="AK68" s="2394"/>
      <c r="AL68" s="64"/>
      <c r="AM68" s="1513"/>
      <c r="AN68" s="1007"/>
    </row>
    <row s="1513" customFormat="1" customHeight="1" ht="14.625">
      <c r="B69" s="401"/>
      <c r="C69" s="64"/>
      <c r="D69" s="64"/>
      <c r="E69" s="607">
        <v>15</v>
      </c>
      <c r="F69" s="64"/>
      <c r="G69" s="64"/>
      <c r="H69" s="64"/>
      <c r="I69" s="64"/>
      <c r="J69" s="64"/>
      <c r="K69" s="64"/>
      <c r="L69" s="64"/>
      <c r="M69" s="64"/>
      <c r="N69" s="64"/>
      <c r="O69" s="64"/>
      <c r="P69" s="64"/>
      <c r="Q69" s="64"/>
      <c r="R69" s="315"/>
      <c r="S69" s="64"/>
      <c r="T69" s="64"/>
      <c r="U69" s="64"/>
      <c r="V69" s="64"/>
      <c r="W69" s="733" t="s">
        <v>396</v>
      </c>
      <c r="X69" s="64"/>
      <c r="Y69" s="64"/>
      <c r="Z69" s="64"/>
      <c r="AA69" s="64"/>
      <c r="AB69" s="623"/>
      <c r="AC69" s="487" t="s">
        <v>1126</v>
      </c>
      <c r="AD69" s="276"/>
      <c r="AE69" s="276"/>
      <c r="AF69" s="277"/>
      <c r="AG69" s="277"/>
      <c r="AH69" s="277"/>
      <c r="AI69" s="277"/>
      <c r="AJ69" s="277"/>
      <c r="AK69" s="278"/>
      <c r="AL69" s="64"/>
      <c r="AN69" s="1007"/>
    </row>
    <row s="1624" customFormat="1" customHeight="1" ht="11.25">
      <c r="B70" s="402"/>
      <c r="E70" s="662" t="s">
        <v>971</v>
      </c>
      <c r="F70" s="51"/>
      <c r="AC70" s="66"/>
      <c r="AD70" s="66"/>
      <c r="AE70" s="320"/>
      <c r="AF70" s="320"/>
      <c r="AG70" s="321"/>
      <c r="AH70" s="321"/>
      <c r="AI70" s="321"/>
      <c r="AJ70" s="1624"/>
      <c r="AL70" s="0"/>
      <c r="AN70" s="996"/>
    </row>
  </sheetData>
  <sheetProtection formatColumns="0" formatRows="0" insertRows="0" deleteColumns="0" deleteRows="0" sort="0" autoFilter="0" insertColumns="1"/>
  <mergeCells count="11">
    <mergeCell ref="AB24:AB25"/>
    <mergeCell ref="AC24:AC25"/>
    <mergeCell ref="AD24:AD25"/>
    <mergeCell ref="AK24:AK25"/>
    <mergeCell ref="AB68:AK68"/>
    <mergeCell ref="X27:X45"/>
    <mergeCell ref="Z27:Z45"/>
    <mergeCell ref="AB66:AK66"/>
    <mergeCell ref="AB67:AK67"/>
    <mergeCell ref="X46:X64"/>
    <mergeCell ref="Z46:Z64"/>
  </mergeCells>
  <dataValidations count="1">
    <dataValidation type="decimal" allowBlank="1" showErrorMessage="1" errorTitle="Ошибка" error="Допускается ввод только неотрицательных чисел!" sqref="AH45 AH50:AH60 AH62:AH64 AG45 AG50:AG60 AG62:AG64 AF45 AF50:AF60 AF62:AF64 AE45 AE50:AE60 AE62:AE64 AE43:AJ44 AE31:AJ41 AI50 AJ50 AI51 AJ51 AI52 AJ52 AI53 AJ53 AI54 AJ54 AI55 AJ55 AI56 AJ56 AI57 AJ57 AI58 AJ58 AI59 AJ59 AI60 AJ60 AI62 AJ62 AI63 AJ63">
      <formula1>0</formula1>
      <formula2>9.99999999999999E+23</formula2>
    </dataValidation>
  </dataValidation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9A62F8-E958-5E18-193A-5FB59B0449B9}" mc:Ignorable="x14ac xr xr2 xr3">
  <sheetPr>
    <tabColor rgb="FF002060"/>
    <outlinePr summaryBelow="0"/>
  </sheetPr>
  <dimension ref="A1:AR5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4.25"/>
  <cols>
    <col min="1" max="1" style="1363" width="3.57421875" hidden="1" customWidth="1"/>
    <col min="2" max="2" style="1369" width="8.57421875" hidden="1" customWidth="1"/>
    <col min="3" max="4" style="1363" width="3.57421875" hidden="1" customWidth="1"/>
    <col min="5" max="5" style="1370" width="3.57421875" hidden="1" customWidth="1"/>
    <col min="6" max="6" style="1363" width="3.57421875" hidden="1" customWidth="1"/>
    <col min="7" max="7" style="1363" width="9.28125" hidden="1" customWidth="1"/>
    <col min="8" max="19" style="1363" width="3.57421875" hidden="1" customWidth="1"/>
    <col min="20" max="20" style="1363" width="10.421875" hidden="1" customWidth="1"/>
    <col min="21" max="21" style="1363" width="5.8515625" hidden="1" customWidth="1"/>
    <col min="22" max="23" style="1363" width="6.140625" hidden="1" customWidth="1"/>
    <col min="24" max="25" style="1363" width="5.57421875" hidden="1" customWidth="1"/>
    <col min="26" max="26" style="1363" width="5.28125" hidden="1" customWidth="1"/>
    <col min="27" max="27" style="420" width="3.00390625" customWidth="1"/>
    <col min="28" max="28" style="420" width="11.00390625" customWidth="1"/>
    <col min="29" max="29" style="420" width="50.140625" customWidth="1"/>
    <col min="30" max="30" style="420" width="10.29296875" customWidth="1"/>
    <col min="31" max="36" style="420" width="13.00390625" customWidth="1"/>
    <col min="37" max="37" style="420" width="20.00390625" customWidth="1"/>
    <col min="38" max="38" style="420" width="3.00390625" customWidth="1"/>
    <col min="39" max="39" style="420" width="9.140625" hidden="1"/>
    <col min="40" max="42" style="1374" width="9.140625" hidden="1"/>
    <col min="43" max="44" style="1370" width="9.140625" hidden="1"/>
  </cols>
  <sheetData>
    <row s="1363" customFormat="1" customHeight="1" ht="11.25" hidden="1">
      <c r="B1" s="400"/>
      <c r="F1" s="88" t="s">
        <v>309</v>
      </c>
      <c r="G1" s="88" t="s">
        <v>320</v>
      </c>
      <c r="H1" s="88" t="s">
        <v>346</v>
      </c>
      <c r="T1" s="438" t="s">
        <v>92</v>
      </c>
      <c r="U1" s="438" t="s">
        <v>97</v>
      </c>
      <c r="V1" s="438" t="s">
        <v>93</v>
      </c>
      <c r="W1" s="438" t="s">
        <v>94</v>
      </c>
      <c r="X1" s="438" t="s">
        <v>95</v>
      </c>
      <c r="Y1" s="440" t="s">
        <v>311</v>
      </c>
      <c r="Z1" s="438" t="s">
        <v>99</v>
      </c>
      <c r="AA1" s="439" t="s">
        <v>96</v>
      </c>
      <c r="AB1" s="51"/>
      <c r="AC1" s="439" t="s">
        <v>98</v>
      </c>
      <c r="AI1" s="1363"/>
      <c r="AJ1" s="1363"/>
      <c r="AN1" s="974" t="s">
        <v>312</v>
      </c>
      <c r="AO1" s="974" t="s">
        <v>313</v>
      </c>
      <c r="AP1" s="974" t="s">
        <v>314</v>
      </c>
      <c r="AQ1" s="593" t="s">
        <v>317</v>
      </c>
      <c r="AR1" s="593" t="s">
        <v>318</v>
      </c>
    </row>
    <row s="1369" customFormat="1" customHeight="1" ht="11.25" hidden="1">
      <c r="B2" s="418" t="s">
        <v>18</v>
      </c>
      <c r="AI2" s="418">
        <f>AI6&lt;=last_year_vis</f>
        <v>1</v>
      </c>
      <c r="AJ2" s="418">
        <f>AJ6&lt;=last_year_vis</f>
        <v>1</v>
      </c>
      <c r="AN2" s="986"/>
      <c r="AO2" s="986"/>
      <c r="AP2" s="986"/>
      <c r="AQ2" s="991"/>
      <c r="AR2" s="991"/>
    </row>
    <row s="1363" customFormat="1" customHeight="1" ht="11.25" hidden="1">
      <c r="B3" s="400"/>
      <c r="AI3" s="1363"/>
      <c r="AJ3" s="1363"/>
      <c r="AN3" s="974"/>
      <c r="AO3" s="974"/>
      <c r="AP3" s="974"/>
      <c r="AQ3" s="593"/>
      <c r="AR3" s="593"/>
    </row>
    <row s="1363" customFormat="1" customHeight="1" ht="11.25" hidden="1">
      <c r="B4" s="400"/>
      <c r="AI4" s="1363"/>
      <c r="AJ4" s="1363"/>
      <c r="AN4" s="974"/>
      <c r="AO4" s="974"/>
      <c r="AP4" s="974"/>
      <c r="AQ4" s="593"/>
      <c r="AR4" s="593"/>
    </row>
    <row s="1370" customFormat="1" customHeight="1" ht="11.25" hidden="1">
      <c r="A5" s="88"/>
      <c r="B5" s="400"/>
      <c r="C5" s="88"/>
      <c r="D5" s="88"/>
      <c r="E5" s="593" t="s">
        <v>19</v>
      </c>
      <c r="AA5" s="593">
        <v>3</v>
      </c>
      <c r="AB5" s="593">
        <v>11</v>
      </c>
      <c r="AC5" s="593">
        <v>50.14</v>
      </c>
      <c r="AD5" s="593">
        <v>10.29</v>
      </c>
      <c r="AE5" s="593">
        <v>13</v>
      </c>
      <c r="AF5" s="593">
        <v>13</v>
      </c>
      <c r="AG5" s="593">
        <v>13</v>
      </c>
      <c r="AH5" s="593">
        <v>13</v>
      </c>
      <c r="AI5" s="593">
        <v>13</v>
      </c>
      <c r="AJ5" s="593">
        <v>13</v>
      </c>
      <c r="AK5" s="593">
        <v>20</v>
      </c>
      <c r="AL5" s="593">
        <v>3</v>
      </c>
      <c r="AN5" s="974"/>
      <c r="AO5" s="974"/>
      <c r="AP5" s="974"/>
    </row>
    <row s="1363" customFormat="1" customHeight="1" ht="11.25" hidden="1">
      <c r="A6" s="88" t="s">
        <v>349</v>
      </c>
      <c r="B6" s="400"/>
      <c r="E6" s="593"/>
      <c r="AE6" s="88">
        <f>god-2</f>
        <v>2024</v>
      </c>
      <c r="AF6" s="88">
        <f>god-2</f>
        <v>2024</v>
      </c>
      <c r="AG6" s="88">
        <f>god-2</f>
        <v>2024</v>
      </c>
      <c r="AH6" s="88">
        <f>god-1</f>
        <v>2025</v>
      </c>
      <c r="AI6" s="64" cm="1" t="str">
        <f t="array" ref="AI6:AI6">god</f>
        <v>2026</v>
      </c>
      <c r="AJ6" s="64" cm="1" t="str">
        <f t="array" ref="AJ6:AJ6">god</f>
        <v>2026</v>
      </c>
      <c r="AN6" s="974"/>
      <c r="AO6" s="974"/>
      <c r="AP6" s="974"/>
      <c r="AQ6" s="593"/>
      <c r="AR6" s="593"/>
    </row>
    <row s="1363" customFormat="1" customHeight="1" ht="11.25" hidden="1">
      <c r="A7" s="88" t="s">
        <v>350</v>
      </c>
      <c r="B7" s="400"/>
      <c r="E7" s="593"/>
      <c r="AE7" s="88" cm="1" t="str">
        <f t="array" ref="AE7:AE7">AE25</f>
        <v>Принято органом регулирования</v>
      </c>
      <c r="AF7" s="88" cm="1" t="str">
        <f t="array" ref="AF7:AF7">AF25</f>
        <v>Факт по данным организации</v>
      </c>
      <c r="AG7" s="88" cm="1" t="str">
        <f t="array" ref="AG7:AG7">AG25</f>
        <v>Факт, принятый органом регулирования</v>
      </c>
      <c r="AH7" s="88" cm="1" t="str">
        <f t="array" ref="AH7:AH7">AH25</f>
        <v>Принято органом регулирования</v>
      </c>
      <c r="AI7" s="88" cm="1" t="str">
        <f t="array" ref="AI7:AI7">AI25</f>
        <v>Предложение организации</v>
      </c>
      <c r="AJ7" s="88" cm="1" t="str">
        <f t="array" ref="AJ7:AJ7">AJ25</f>
        <v>Принято органом регулирования</v>
      </c>
      <c r="AN7" s="974"/>
      <c r="AO7" s="974"/>
      <c r="AP7" s="974"/>
      <c r="AQ7" s="593"/>
      <c r="AR7" s="593"/>
    </row>
    <row s="1363" customFormat="1" customHeight="1" ht="11.25" hidden="1">
      <c r="B8" s="400"/>
      <c r="E8" s="593"/>
      <c r="AI8" s="1363"/>
      <c r="AJ8" s="1363"/>
      <c r="AN8" s="974"/>
      <c r="AO8" s="974"/>
      <c r="AP8" s="974"/>
      <c r="AQ8" s="593"/>
      <c r="AR8" s="593"/>
    </row>
    <row s="1374" customFormat="1" customHeight="1" ht="11.25" hidden="1">
      <c r="A9" s="974" t="s">
        <v>354</v>
      </c>
      <c r="B9" s="986"/>
      <c r="AE9" s="974" cm="1" t="str">
        <f t="array" ref="AE9:AE9">AE6</f>
        <v>2024</v>
      </c>
      <c r="AF9" s="974" cm="1" t="str">
        <f t="array" ref="AF9:AF9">AF6</f>
        <v>2024</v>
      </c>
      <c r="AG9" s="974" cm="1" t="str">
        <f t="array" ref="AG9:AG9">AG6</f>
        <v>2024</v>
      </c>
      <c r="AH9" s="974" cm="1" t="str">
        <f t="array" ref="AH9:AH9">AH6</f>
        <v>2025</v>
      </c>
      <c r="AI9" s="974" cm="1" t="str">
        <f t="array" ref="AI9:AI9">AI6</f>
        <v>2026</v>
      </c>
      <c r="AJ9" s="974" cm="1" t="str">
        <f t="array" ref="AJ9:AJ9">AJ6</f>
        <v>2026</v>
      </c>
      <c r="AQ9" s="593"/>
      <c r="AR9" s="593"/>
    </row>
    <row s="1374" customFormat="1" customHeight="1" ht="11.25" hidden="1">
      <c r="A10" s="974" t="s">
        <v>355</v>
      </c>
      <c r="B10" s="986"/>
      <c r="AE10" s="974" cm="1" t="str">
        <f t="array" ref="AE10:AE10">AE25</f>
        <v>Принято органом регулирования</v>
      </c>
      <c r="AF10" s="974" cm="1" t="str">
        <f t="array" ref="AF10:AF10">AF25</f>
        <v>Факт по данным организации</v>
      </c>
      <c r="AG10" s="974" cm="1" t="str">
        <f t="array" ref="AG10:AG10">AG25</f>
        <v>Факт, принятый органом регулирования</v>
      </c>
      <c r="AH10" s="974" cm="1" t="str">
        <f t="array" ref="AH10:AH10">AH25</f>
        <v>Принято органом регулирования</v>
      </c>
      <c r="AI10" s="974" cm="1" t="str">
        <f t="array" ref="AI10:AI10">AI25</f>
        <v>Предложение организации</v>
      </c>
      <c r="AJ10" s="974" cm="1" t="str">
        <f t="array" ref="AJ10:AJ10">AJ25</f>
        <v>Принято органом регулирования</v>
      </c>
      <c r="AQ10" s="593"/>
      <c r="AR10" s="593"/>
    </row>
    <row s="1374" customFormat="1" customHeight="1" ht="11.25" hidden="1">
      <c r="A11" s="974" t="s">
        <v>356</v>
      </c>
      <c r="B11" s="986"/>
      <c r="AI11" s="1374"/>
      <c r="AJ11" s="1374"/>
      <c r="AK11" s="1009" cm="1" t="str">
        <f t="array" ref="AK11:AK11">AK24</f>
        <v>Ссылка на правовую норму (основание для принятия показателя в расчет тарифа)</v>
      </c>
      <c r="AQ11" s="593"/>
      <c r="AR11" s="593"/>
    </row>
    <row s="1374" customFormat="1" customHeight="1" ht="11.25" hidden="1">
      <c r="A12" s="974" t="s">
        <v>327</v>
      </c>
      <c r="B12" s="986"/>
      <c r="AC12" s="974" t="s">
        <v>314</v>
      </c>
      <c r="AI12" s="1374"/>
      <c r="AJ12" s="1374"/>
      <c r="AQ12" s="593"/>
      <c r="AR12" s="593"/>
    </row>
    <row s="1363" customFormat="1" customHeight="1" ht="11.25" hidden="1">
      <c r="B13" s="400"/>
      <c r="E13" s="593"/>
      <c r="AI13" s="1363"/>
      <c r="AJ13" s="1363"/>
      <c r="AN13" s="974"/>
      <c r="AO13" s="974"/>
      <c r="AP13" s="974"/>
      <c r="AQ13" s="593"/>
      <c r="AR13" s="593"/>
    </row>
    <row s="1363" customFormat="1" customHeight="1" ht="11.25" hidden="1">
      <c r="B14" s="400"/>
      <c r="E14" s="593"/>
      <c r="AI14" s="1363"/>
      <c r="AJ14" s="1363"/>
      <c r="AN14" s="974"/>
      <c r="AO14" s="974"/>
      <c r="AP14" s="974"/>
      <c r="AQ14" s="593"/>
      <c r="AR14" s="593"/>
    </row>
    <row s="1363" customFormat="1" customHeight="1" ht="11.25" hidden="1">
      <c r="B15" s="400"/>
      <c r="E15" s="593"/>
      <c r="AI15" s="1363"/>
      <c r="AJ15" s="1363"/>
      <c r="AN15" s="974"/>
      <c r="AO15" s="974"/>
      <c r="AP15" s="974"/>
      <c r="AQ15" s="593"/>
      <c r="AR15" s="593"/>
    </row>
    <row s="1363" customFormat="1" customHeight="1" ht="11.25" hidden="1">
      <c r="B16" s="400"/>
      <c r="E16" s="593"/>
      <c r="AI16" s="1363"/>
      <c r="AJ16" s="1363"/>
      <c r="AN16" s="974"/>
      <c r="AO16" s="974"/>
      <c r="AP16" s="974"/>
      <c r="AQ16" s="593"/>
      <c r="AR16" s="593"/>
    </row>
    <row s="1363" customFormat="1" customHeight="1" ht="11.25" hidden="1">
      <c r="B17" s="400"/>
      <c r="E17" s="593"/>
      <c r="AE17" s="64"/>
      <c r="AF17" s="64"/>
      <c r="AG17" s="64"/>
      <c r="AH17" s="64"/>
      <c r="AI17" s="1363"/>
      <c r="AJ17" s="1363"/>
      <c r="AK17" s="398"/>
      <c r="AN17" s="974"/>
      <c r="AO17" s="974"/>
      <c r="AP17" s="974"/>
      <c r="AQ17" s="593"/>
      <c r="AR17" s="593"/>
    </row>
    <row s="1363" customFormat="1" customHeight="1" ht="11.25" hidden="1">
      <c r="A18" s="88" t="s">
        <v>357</v>
      </c>
      <c r="B18" s="400"/>
      <c r="E18" s="593"/>
      <c r="AC18" s="88" t="s">
        <v>358</v>
      </c>
      <c r="AI18" s="1363"/>
      <c r="AJ18" s="1363"/>
      <c r="AN18" s="974"/>
      <c r="AO18" s="974"/>
      <c r="AP18" s="974"/>
      <c r="AQ18" s="593"/>
      <c r="AR18" s="593"/>
    </row>
    <row s="1363" customFormat="1" customHeight="1" ht="11.25" hidden="1">
      <c r="B19" s="400"/>
      <c r="E19" s="593"/>
      <c r="AI19" s="1363"/>
      <c r="AJ19" s="1363"/>
      <c r="AN19" s="974"/>
      <c r="AO19" s="974"/>
      <c r="AP19" s="974"/>
      <c r="AQ19" s="593"/>
      <c r="AR19" s="593"/>
    </row>
    <row s="1363" customFormat="1" customHeight="1" ht="11.25" hidden="1">
      <c r="B20" s="400"/>
      <c r="E20" s="593"/>
      <c r="AI20" s="1363"/>
      <c r="AJ20" s="1363"/>
      <c r="AN20" s="974"/>
      <c r="AO20" s="974"/>
      <c r="AP20" s="974"/>
      <c r="AQ20" s="593"/>
      <c r="AR20" s="593"/>
    </row>
    <row customHeight="1" ht="14.625">
      <c r="E21" s="593">
        <v>15</v>
      </c>
      <c r="AA21" s="421"/>
      <c r="AC21" s="340" cm="1" t="str">
        <f t="array" ref="AC21:AC21">tpl_title</f>
        <v>Кемеровская область / 2026 / ОАО «СКЭК» (ИНН:4205153492, КПП:420501001) / ДПР: 2026-2026</v>
      </c>
      <c r="AI21" s="420"/>
      <c r="AJ21" s="420"/>
    </row>
    <row customHeight="1" ht="19.5">
      <c r="E22" s="593">
        <v>20</v>
      </c>
      <c r="AB22" s="286" t="s">
        <v>65</v>
      </c>
      <c r="AC22" s="192"/>
      <c r="AD22" s="192"/>
      <c r="AE22" s="192"/>
      <c r="AF22" s="192"/>
      <c r="AG22" s="192"/>
      <c r="AH22" s="192"/>
      <c r="AI22" s="192"/>
      <c r="AJ22" s="192"/>
      <c r="AK22" s="422"/>
    </row>
    <row customHeight="1" ht="13.893750000000002">
      <c r="E23" s="593">
        <v>14.25</v>
      </c>
      <c r="AB23" s="115"/>
      <c r="AC23" s="115"/>
      <c r="AD23" s="115"/>
      <c r="AE23" s="115"/>
      <c r="AF23" s="115"/>
      <c r="AG23" s="115"/>
      <c r="AH23" s="115"/>
      <c r="AI23" s="115"/>
      <c r="AJ23" s="115"/>
      <c r="AK23" s="115"/>
    </row>
    <row customHeight="1" ht="14.625">
      <c r="E24" s="593">
        <v>15</v>
      </c>
      <c r="AB24" s="1522" t="s">
        <v>21</v>
      </c>
      <c r="AC24" s="1522" t="s">
        <v>358</v>
      </c>
      <c r="AD24" s="1522" t="s">
        <v>940</v>
      </c>
      <c r="AE24" s="57" t="str">
        <f>god-2&amp;" год"</f>
        <v>2024 год</v>
      </c>
      <c r="AF24" s="1098" t="str">
        <f>god-2&amp;" год"</f>
        <v>2024 год</v>
      </c>
      <c r="AG24" s="57" t="str">
        <f>god-2&amp;" год"</f>
        <v>2024 год</v>
      </c>
      <c r="AH24" s="57" t="str">
        <f>god-1&amp;" год"</f>
        <v>2025 год</v>
      </c>
      <c r="AI24" s="1096" t="str">
        <f>god&amp;" год"</f>
        <v>2026 год</v>
      </c>
      <c r="AJ24" s="58" t="str">
        <f>god&amp;" год"</f>
        <v>2026 год</v>
      </c>
      <c r="AK24" s="1570" t="s">
        <v>500</v>
      </c>
    </row>
    <row customHeight="1" ht="44.118750000000006">
      <c r="E25" s="593">
        <v>45.25</v>
      </c>
      <c r="AB25" s="1522"/>
      <c r="AC25" s="1522"/>
      <c r="AD25" s="1522"/>
      <c r="AE25" s="57" t="s">
        <v>351</v>
      </c>
      <c r="AF25" s="1098" t="s">
        <v>424</v>
      </c>
      <c r="AG25" s="57" t="s">
        <v>425</v>
      </c>
      <c r="AH25" s="57" t="s">
        <v>351</v>
      </c>
      <c r="AI25" s="1100" t="s">
        <v>352</v>
      </c>
      <c r="AJ25" s="326" t="s">
        <v>351</v>
      </c>
      <c r="AK25" s="1570"/>
    </row>
    <row customHeight="1" ht="12" hidden="1">
      <c r="E26" s="593">
        <v>0</v>
      </c>
      <c r="AB26" s="711"/>
      <c r="AC26" s="711"/>
      <c r="AD26" s="711"/>
      <c r="AE26" s="712"/>
      <c r="AF26" s="712"/>
      <c r="AG26" s="712"/>
      <c r="AH26" s="712"/>
      <c r="AI26" s="696"/>
      <c r="AJ26" s="696"/>
      <c r="AK26" s="713"/>
    </row>
    <row customHeight="1" ht="14.625" hidden="1">
      <c r="A27" s="1363"/>
      <c r="B27" s="1369"/>
      <c r="C27" s="1363"/>
      <c r="D27" s="1363"/>
      <c r="E27" s="593">
        <v>15</v>
      </c>
      <c r="F27" s="64" cm="1" t="str">
        <f t="array" ref="F27:F27">X27</f>
        <v>0</v>
      </c>
      <c r="G27" s="88" t="s">
        <v>1127</v>
      </c>
      <c r="H27" s="1363"/>
      <c r="I27" s="1363"/>
      <c r="J27" s="1363"/>
      <c r="K27" s="1363"/>
      <c r="L27" s="1363"/>
      <c r="M27" s="1363"/>
      <c r="N27" s="1363"/>
      <c r="O27" s="1363"/>
      <c r="P27" s="1363"/>
      <c r="Q27" s="1363"/>
      <c r="R27" s="1363"/>
      <c r="S27" s="1363"/>
      <c r="T27" s="438">
        <f>X27&gt;0</f>
        <v>0</v>
      </c>
      <c r="U27" s="1363"/>
      <c r="V27" s="88" t="s">
        <v>267</v>
      </c>
      <c r="W27" s="1363"/>
      <c r="X27" s="1511">
        <v>0</v>
      </c>
      <c r="Y27" s="1363"/>
      <c r="Z27" s="1494"/>
      <c r="AA27" s="420"/>
      <c r="AB27" s="188" cm="1" t="str">
        <f t="array" ref="AB27:AB27">INDEX('Общие сведения'!$AG$179:$AG$208,MATCH($X27,'Общие сведения'!$Z$179:$Z$208,0))</f>
        <v>Тариф 0 () - тариф на транспортировку сточных вод</v>
      </c>
      <c r="AC27" s="146"/>
      <c r="AD27" s="146"/>
      <c r="AE27" s="272">
        <f>SUM(AE28:AE36)</f>
        <v>0</v>
      </c>
      <c r="AF27" s="272">
        <f>SUM(AF28:AF36)</f>
        <v>0</v>
      </c>
      <c r="AG27" s="272">
        <f>SUM(AG28:AG36)</f>
        <v>0</v>
      </c>
      <c r="AH27" s="272">
        <f>SUM(AH28:AH36)</f>
        <v>0</v>
      </c>
      <c r="AI27" s="272">
        <f>SUM(AI28:AI36)</f>
        <v>0</v>
      </c>
      <c r="AJ27" s="272">
        <f>SUM(AJ28:AJ36)</f>
        <v>0</v>
      </c>
      <c r="AK27" s="190"/>
      <c r="AL27" s="420"/>
      <c r="AM27" s="420"/>
      <c r="AN27" s="1374"/>
      <c r="AO27" s="1374"/>
      <c r="AP27" s="1374"/>
      <c r="AQ27" s="1370"/>
      <c r="AR27" s="1370"/>
    </row>
    <row customHeight="1" ht="21.9375" hidden="1">
      <c r="A28" s="1363"/>
      <c r="B28" s="1369"/>
      <c r="C28" s="1363"/>
      <c r="D28" s="1363"/>
      <c r="E28" s="593">
        <v>22.5</v>
      </c>
      <c r="F28" s="50" cm="1" t="str">
        <f t="array" ref="F28:F28">OFFSET(E28,-1,1)</f>
        <v>0</v>
      </c>
      <c r="G28" s="88" t="s">
        <v>321</v>
      </c>
      <c r="H28" s="1363"/>
      <c r="I28" s="1363"/>
      <c r="J28" s="1363"/>
      <c r="K28" s="90" t="str">
        <f>F28&amp;"komm"</f>
        <v>0komm</v>
      </c>
      <c r="L28" s="895" cm="1" t="str">
        <f t="array" ref="L28:L28">AK28</f>
        <v>0</v>
      </c>
      <c r="M28" s="1363"/>
      <c r="N28" s="1363"/>
      <c r="O28" s="1363"/>
      <c r="P28" s="1363"/>
      <c r="Q28" s="1363"/>
      <c r="R28" s="1363"/>
      <c r="S28" s="1363"/>
      <c r="T28" s="438" cm="1" t="str">
        <f t="array" ref="T28:T28">T27</f>
        <v>false</v>
      </c>
      <c r="U28" s="1363"/>
      <c r="V28" s="1363"/>
      <c r="W28" s="1363"/>
      <c r="X28" s="1511"/>
      <c r="Y28" s="1363"/>
      <c r="Z28" s="1494"/>
      <c r="AA28" s="420"/>
      <c r="AB28" s="265" t="s">
        <v>281</v>
      </c>
      <c r="AC28" s="424" t="s">
        <v>1128</v>
      </c>
      <c r="AD28" s="266" t="s">
        <v>789</v>
      </c>
      <c r="AE28" s="2655"/>
      <c r="AF28" s="2730"/>
      <c r="AG28" s="2730"/>
      <c r="AH28" s="2730"/>
      <c r="AI28" s="195"/>
      <c r="AJ28" s="195"/>
      <c r="AK28" s="1880"/>
      <c r="AL28" s="420"/>
      <c r="AM28" s="420"/>
      <c r="AN28" s="974" t="s">
        <v>1129</v>
      </c>
      <c r="AO28" s="1374"/>
      <c r="AP28" s="1374"/>
      <c r="AQ28" s="1370"/>
      <c r="AR28" s="1370"/>
    </row>
    <row customHeight="1" ht="21.9375" hidden="1">
      <c r="A29" s="1363"/>
      <c r="B29" s="1369"/>
      <c r="C29" s="1363"/>
      <c r="D29" s="1363"/>
      <c r="E29" s="593">
        <v>22.5</v>
      </c>
      <c r="F29" s="50" cm="1" t="str">
        <f t="array" ref="F29:F29">OFFSET(E29,-1,1)</f>
        <v>0</v>
      </c>
      <c r="G29" s="88" t="s">
        <v>322</v>
      </c>
      <c r="H29" s="1363"/>
      <c r="I29" s="1363"/>
      <c r="J29" s="1363"/>
      <c r="K29" s="1363"/>
      <c r="L29" s="1363"/>
      <c r="M29" s="1363"/>
      <c r="N29" s="1363"/>
      <c r="O29" s="1363"/>
      <c r="P29" s="1363"/>
      <c r="Q29" s="1363"/>
      <c r="R29" s="1363"/>
      <c r="S29" s="1363"/>
      <c r="T29" s="438" cm="1" t="str">
        <f t="array" ref="T29:T29">T28</f>
        <v>false</v>
      </c>
      <c r="U29" s="1363"/>
      <c r="V29" s="1363"/>
      <c r="W29" s="1363"/>
      <c r="X29" s="1511"/>
      <c r="Y29" s="1363"/>
      <c r="Z29" s="1494"/>
      <c r="AA29" s="420"/>
      <c r="AB29" s="265" t="s">
        <v>504</v>
      </c>
      <c r="AC29" s="424" t="s">
        <v>1130</v>
      </c>
      <c r="AD29" s="266" t="s">
        <v>789</v>
      </c>
      <c r="AE29" s="2655"/>
      <c r="AF29" s="2730"/>
      <c r="AG29" s="2730"/>
      <c r="AH29" s="2730"/>
      <c r="AI29" s="195"/>
      <c r="AJ29" s="195"/>
      <c r="AK29" s="1880"/>
      <c r="AL29" s="420"/>
      <c r="AM29" s="420"/>
      <c r="AN29" s="974" t="s">
        <v>1131</v>
      </c>
      <c r="AO29" s="1374"/>
      <c r="AP29" s="1374"/>
      <c r="AQ29" s="1370"/>
      <c r="AR29" s="1370"/>
    </row>
    <row customHeight="1" ht="21.9375" hidden="1">
      <c r="A30" s="1363"/>
      <c r="B30" s="1369"/>
      <c r="C30" s="1363"/>
      <c r="D30" s="1363"/>
      <c r="E30" s="593">
        <v>22.5</v>
      </c>
      <c r="F30" s="50" cm="1" t="str">
        <f t="array" ref="F30:F30">OFFSET(E30,-1,1)</f>
        <v>0</v>
      </c>
      <c r="G30" s="88" t="s">
        <v>323</v>
      </c>
      <c r="H30" s="1363"/>
      <c r="I30" s="1363"/>
      <c r="J30" s="1363"/>
      <c r="K30" s="1363"/>
      <c r="L30" s="1363"/>
      <c r="M30" s="1363"/>
      <c r="N30" s="1363"/>
      <c r="O30" s="1363"/>
      <c r="P30" s="1363"/>
      <c r="Q30" s="1363"/>
      <c r="R30" s="1363"/>
      <c r="S30" s="1363"/>
      <c r="T30" s="438" cm="1" t="str">
        <f t="array" ref="T30:T30">T29</f>
        <v>false</v>
      </c>
      <c r="U30" s="1363"/>
      <c r="V30" s="1363"/>
      <c r="W30" s="1363"/>
      <c r="X30" s="1511"/>
      <c r="Y30" s="1363"/>
      <c r="Z30" s="1494"/>
      <c r="AA30" s="420"/>
      <c r="AB30" s="265" t="s">
        <v>319</v>
      </c>
      <c r="AC30" s="424" t="s">
        <v>1132</v>
      </c>
      <c r="AD30" s="266" t="s">
        <v>789</v>
      </c>
      <c r="AE30" s="2655"/>
      <c r="AF30" s="2730"/>
      <c r="AG30" s="2730"/>
      <c r="AH30" s="2730"/>
      <c r="AI30" s="195"/>
      <c r="AJ30" s="195"/>
      <c r="AK30" s="1880"/>
      <c r="AL30" s="420"/>
      <c r="AM30" s="420"/>
      <c r="AN30" s="974" t="s">
        <v>1133</v>
      </c>
      <c r="AO30" s="1374"/>
      <c r="AP30" s="1374"/>
      <c r="AQ30" s="1370"/>
      <c r="AR30" s="1370"/>
    </row>
    <row s="1624" customFormat="1" customHeight="1" ht="32.90625" hidden="1">
      <c r="A31" s="88"/>
      <c r="B31" s="400"/>
      <c r="C31" s="88"/>
      <c r="D31" s="88"/>
      <c r="E31" s="593">
        <v>33.75</v>
      </c>
      <c r="F31" s="1153" cm="1" t="str">
        <f t="array" ref="F31:F31">OFFSET(E31,-1,1)</f>
        <v>0</v>
      </c>
      <c r="G31" s="88" t="s">
        <v>325</v>
      </c>
      <c r="H31" s="88"/>
      <c r="I31" s="88"/>
      <c r="J31" s="88"/>
      <c r="K31" s="88"/>
      <c r="L31" s="88"/>
      <c r="M31" s="88"/>
      <c r="N31" s="88"/>
      <c r="O31" s="88"/>
      <c r="P31" s="88"/>
      <c r="Q31" s="88"/>
      <c r="R31" s="88"/>
      <c r="S31" s="88"/>
      <c r="T31" s="438" cm="1" t="str">
        <f t="array" ref="T31:T31">T30</f>
        <v>false</v>
      </c>
      <c r="U31" s="88"/>
      <c r="V31" s="88"/>
      <c r="W31" s="88"/>
      <c r="X31" s="1511"/>
      <c r="Y31" s="88"/>
      <c r="Z31" s="1494"/>
      <c r="AA31" s="420"/>
      <c r="AB31" s="862">
        <v>4</v>
      </c>
      <c r="AC31" s="424" t="s">
        <v>1134</v>
      </c>
      <c r="AD31" s="266" t="s">
        <v>789</v>
      </c>
      <c r="AE31" s="749">
        <f>_xlfn.SUMIFS(ФОТ!AE$25:AE$77,ФОТ!$F$25:$F$77,$F31,ФОТ!$G$25:$G$77,"СП")+_xlfn.SUMIFS(ФОТ!AE$25:AE$77,ФОТ!$F$25:$F$77,$F31,ФОТ!$G$25:$G$77,"СОЦ_СП")</f>
        <v>0</v>
      </c>
      <c r="AF31" s="749">
        <f>_xlfn.SUMIFS(ФОТ!AF$25:AF$77,ФОТ!$F$25:$F$77,$F31,ФОТ!$G$25:$G$77,"СП")+_xlfn.SUMIFS(ФОТ!AF$25:AF$77,ФОТ!$F$25:$F$77,$F31,ФОТ!$G$25:$G$77,"СОЦ_СП")</f>
        <v>0</v>
      </c>
      <c r="AG31" s="749">
        <f>_xlfn.SUMIFS(ФОТ!AG$25:AG$77,ФОТ!$F$25:$F$77,$F31,ФОТ!$G$25:$G$77,"СП")+_xlfn.SUMIFS(ФОТ!AG$25:AG$77,ФОТ!$F$25:$F$77,$F31,ФОТ!$G$25:$G$77,"СОЦ_СП")</f>
        <v>0</v>
      </c>
      <c r="AH31" s="749">
        <f>_xlfn.SUMIFS(ФОТ!AH$25:AH$77,ФОТ!$F$25:$F$77,$F31,ФОТ!$G$25:$G$77,"СП")+_xlfn.SUMIFS(ФОТ!AH$25:AH$77,ФОТ!$F$25:$F$77,$F31,ФОТ!$G$25:$G$77,"СОЦ_СП")</f>
        <v>0</v>
      </c>
      <c r="AI31" s="749">
        <f>_xlfn.SUMIFS(ФОТ!AI$25:AI$77,ФОТ!$F$25:$F$77,$F31,ФОТ!$G$25:$G$77,"СП")+_xlfn.SUMIFS(ФОТ!AI$25:AI$77,ФОТ!$F$25:$F$77,$F31,ФОТ!$G$25:$G$77,"СОЦ_СП")</f>
        <v>0</v>
      </c>
      <c r="AJ31" s="749">
        <f>_xlfn.SUMIFS(ФОТ!AJ$25:AJ$77,ФОТ!$F$25:$F$77,$F31,ФОТ!$G$25:$G$77,"СП")+_xlfn.SUMIFS(ФОТ!AJ$25:AJ$77,ФОТ!$F$25:$F$77,$F31,ФОТ!$G$25:$G$77,"СОЦ_СП")</f>
        <v>0</v>
      </c>
      <c r="AK31" s="1880"/>
      <c r="AL31" s="420"/>
      <c r="AM31" s="1624"/>
      <c r="AN31" s="1025" t="s">
        <v>1135</v>
      </c>
      <c r="AO31" s="1025"/>
      <c r="AP31" s="1025"/>
      <c r="AQ31" s="647"/>
      <c r="AR31" s="647"/>
    </row>
    <row customHeight="1" ht="32.90625" hidden="1">
      <c r="A32" s="1363"/>
      <c r="B32" s="1369"/>
      <c r="C32" s="1363"/>
      <c r="D32" s="1363"/>
      <c r="E32" s="593">
        <v>33.75</v>
      </c>
      <c r="F32" s="50" cm="1" t="str">
        <f t="array" ref="F32:F32">OFFSET(E32,-1,1)</f>
        <v>0</v>
      </c>
      <c r="G32" s="88" t="s">
        <v>324</v>
      </c>
      <c r="H32" s="1363"/>
      <c r="I32" s="1363"/>
      <c r="J32" s="1363"/>
      <c r="K32" s="1363"/>
      <c r="L32" s="1363"/>
      <c r="M32" s="1363"/>
      <c r="N32" s="1363"/>
      <c r="O32" s="1363"/>
      <c r="P32" s="1363"/>
      <c r="Q32" s="1363"/>
      <c r="R32" s="1363"/>
      <c r="S32" s="1363"/>
      <c r="T32" s="438" cm="1" t="str">
        <f t="array" ref="T32:T32">T31</f>
        <v>false</v>
      </c>
      <c r="U32" s="1363"/>
      <c r="V32" s="1363"/>
      <c r="W32" s="1363"/>
      <c r="X32" s="1511"/>
      <c r="Y32" s="1363"/>
      <c r="Z32" s="1494"/>
      <c r="AA32" s="420"/>
      <c r="AB32" s="265" t="s">
        <v>485</v>
      </c>
      <c r="AC32" s="424" t="s">
        <v>1136</v>
      </c>
      <c r="AD32" s="266" t="s">
        <v>789</v>
      </c>
      <c r="AE32" s="2655"/>
      <c r="AF32" s="2655"/>
      <c r="AG32" s="2655"/>
      <c r="AH32" s="2655"/>
      <c r="AI32" s="264"/>
      <c r="AJ32" s="264"/>
      <c r="AK32" s="1880"/>
      <c r="AL32" s="420"/>
      <c r="AM32" s="420"/>
      <c r="AN32" s="974" t="s">
        <v>1118</v>
      </c>
      <c r="AO32" s="1374"/>
      <c r="AP32" s="1374"/>
      <c r="AQ32" s="1370"/>
      <c r="AR32" s="1370"/>
    </row>
    <row customHeight="1" ht="21.9375" hidden="1">
      <c r="A33" s="1363"/>
      <c r="B33" s="1369"/>
      <c r="C33" s="1363"/>
      <c r="D33" s="1363"/>
      <c r="E33" s="593">
        <v>22.5</v>
      </c>
      <c r="F33" s="50" cm="1" t="str">
        <f t="array" ref="F33:F33">OFFSET(E33,-1,1)</f>
        <v>0</v>
      </c>
      <c r="G33" s="88" t="s">
        <v>484</v>
      </c>
      <c r="H33" s="1363"/>
      <c r="I33" s="1363"/>
      <c r="J33" s="1363"/>
      <c r="K33" s="1363"/>
      <c r="L33" s="1363"/>
      <c r="M33" s="1363"/>
      <c r="N33" s="1363"/>
      <c r="O33" s="1363"/>
      <c r="P33" s="1363"/>
      <c r="Q33" s="1363"/>
      <c r="R33" s="1363"/>
      <c r="S33" s="1363"/>
      <c r="T33" s="438" cm="1" t="str">
        <f t="array" ref="T33:T33">T32</f>
        <v>false</v>
      </c>
      <c r="U33" s="1363"/>
      <c r="V33" s="1363"/>
      <c r="W33" s="1363"/>
      <c r="X33" s="1511"/>
      <c r="Y33" s="1363"/>
      <c r="Z33" s="1494"/>
      <c r="AA33" s="420"/>
      <c r="AB33" s="265" t="s">
        <v>489</v>
      </c>
      <c r="AC33" s="424" t="s">
        <v>1137</v>
      </c>
      <c r="AD33" s="266" t="s">
        <v>789</v>
      </c>
      <c r="AE33" s="2655"/>
      <c r="AF33" s="2655"/>
      <c r="AG33" s="2655"/>
      <c r="AH33" s="2655"/>
      <c r="AI33" s="264"/>
      <c r="AJ33" s="264"/>
      <c r="AK33" s="1880"/>
      <c r="AL33" s="420"/>
      <c r="AM33" s="420"/>
      <c r="AN33" s="974" t="s">
        <v>1104</v>
      </c>
      <c r="AO33" s="1374"/>
      <c r="AP33" s="1374"/>
      <c r="AQ33" s="1370"/>
      <c r="AR33" s="1370"/>
    </row>
    <row customHeight="1" ht="43.875" hidden="1">
      <c r="A34" s="1363"/>
      <c r="B34" s="1369"/>
      <c r="C34" s="1363"/>
      <c r="D34" s="1363"/>
      <c r="E34" s="593">
        <v>45</v>
      </c>
      <c r="F34" s="50" cm="1" t="str">
        <f t="array" ref="F34:F34">OFFSET(E34,-1,1)</f>
        <v>0</v>
      </c>
      <c r="G34" s="88" t="s">
        <v>488</v>
      </c>
      <c r="H34" s="1363"/>
      <c r="I34" s="1363"/>
      <c r="J34" s="1363"/>
      <c r="K34" s="1363"/>
      <c r="L34" s="1363"/>
      <c r="M34" s="1363"/>
      <c r="N34" s="1363"/>
      <c r="O34" s="1363"/>
      <c r="P34" s="1363"/>
      <c r="Q34" s="1363"/>
      <c r="R34" s="1363"/>
      <c r="S34" s="1363"/>
      <c r="T34" s="438" cm="1" t="str">
        <f t="array" ref="T34:T34">T33</f>
        <v>false</v>
      </c>
      <c r="U34" s="1363"/>
      <c r="V34" s="1363"/>
      <c r="W34" s="1363"/>
      <c r="X34" s="1511"/>
      <c r="Y34" s="1363"/>
      <c r="Z34" s="1494"/>
      <c r="AA34" s="420"/>
      <c r="AB34" s="265" t="s">
        <v>551</v>
      </c>
      <c r="AC34" s="424" t="s">
        <v>1138</v>
      </c>
      <c r="AD34" s="266" t="s">
        <v>789</v>
      </c>
      <c r="AE34" s="2655"/>
      <c r="AF34" s="2655"/>
      <c r="AG34" s="2655"/>
      <c r="AH34" s="2655"/>
      <c r="AI34" s="264"/>
      <c r="AJ34" s="264"/>
      <c r="AK34" s="1880"/>
      <c r="AL34" s="420"/>
      <c r="AM34" s="420"/>
      <c r="AN34" s="974" t="s">
        <v>1139</v>
      </c>
      <c r="AO34" s="1374"/>
      <c r="AP34" s="1374"/>
      <c r="AQ34" s="1370"/>
      <c r="AR34" s="1370"/>
    </row>
    <row customHeight="1" ht="43.875" hidden="1">
      <c r="A35" s="1363"/>
      <c r="B35" s="1369"/>
      <c r="C35" s="1363"/>
      <c r="D35" s="1363"/>
      <c r="E35" s="593">
        <v>45</v>
      </c>
      <c r="F35" s="50" cm="1" t="str">
        <f t="array" ref="F35:F35">OFFSET(E35,-1,1)</f>
        <v>0</v>
      </c>
      <c r="G35" s="88" t="s">
        <v>535</v>
      </c>
      <c r="H35" s="1363"/>
      <c r="I35" s="1363"/>
      <c r="J35" s="1363"/>
      <c r="K35" s="1363"/>
      <c r="L35" s="1363"/>
      <c r="M35" s="1363"/>
      <c r="N35" s="1363"/>
      <c r="O35" s="1363"/>
      <c r="P35" s="1363"/>
      <c r="Q35" s="1363"/>
      <c r="R35" s="1363"/>
      <c r="S35" s="1363"/>
      <c r="T35" s="438" cm="1" t="str">
        <f t="array" ref="T35:T35">T34</f>
        <v>false</v>
      </c>
      <c r="U35" s="1363"/>
      <c r="V35" s="1363"/>
      <c r="W35" s="1363"/>
      <c r="X35" s="1511"/>
      <c r="Y35" s="1363"/>
      <c r="Z35" s="1494"/>
      <c r="AA35" s="420"/>
      <c r="AB35" s="265" t="s">
        <v>559</v>
      </c>
      <c r="AC35" s="424" t="s">
        <v>1140</v>
      </c>
      <c r="AD35" s="266" t="s">
        <v>789</v>
      </c>
      <c r="AE35" s="2655"/>
      <c r="AF35" s="2655"/>
      <c r="AG35" s="2655"/>
      <c r="AH35" s="2655"/>
      <c r="AI35" s="264"/>
      <c r="AJ35" s="264"/>
      <c r="AK35" s="1880"/>
      <c r="AL35" s="420"/>
      <c r="AM35" s="420"/>
      <c r="AN35" s="974" t="s">
        <v>1141</v>
      </c>
      <c r="AO35" s="1374"/>
      <c r="AP35" s="1374"/>
      <c r="AQ35" s="1370"/>
      <c r="AR35" s="1370"/>
    </row>
    <row customHeight="1" ht="14.625" hidden="1">
      <c r="A36" s="1363"/>
      <c r="B36" s="1369"/>
      <c r="C36" s="1363"/>
      <c r="D36" s="1363"/>
      <c r="E36" s="593">
        <v>15</v>
      </c>
      <c r="F36" s="50" cm="1" t="str">
        <f t="array" ref="F36:F36">OFFSET(E36,-1,1)</f>
        <v>0</v>
      </c>
      <c r="G36" s="88" t="s">
        <v>550</v>
      </c>
      <c r="H36" s="1363"/>
      <c r="I36" s="1363"/>
      <c r="J36" s="1363"/>
      <c r="K36" s="1363"/>
      <c r="L36" s="1363"/>
      <c r="M36" s="1363"/>
      <c r="N36" s="1363"/>
      <c r="O36" s="1363"/>
      <c r="P36" s="1363"/>
      <c r="Q36" s="1363"/>
      <c r="R36" s="1363"/>
      <c r="S36" s="1363"/>
      <c r="T36" s="438" cm="1" t="str">
        <f t="array" ref="T36:T36">T35</f>
        <v>false</v>
      </c>
      <c r="U36" s="1363"/>
      <c r="V36" s="1363"/>
      <c r="W36" s="1363"/>
      <c r="X36" s="1511"/>
      <c r="Y36" s="1363"/>
      <c r="Z36" s="1494"/>
      <c r="AA36" s="420"/>
      <c r="AB36" s="322">
        <v>9</v>
      </c>
      <c r="AC36" s="424" t="s">
        <v>1142</v>
      </c>
      <c r="AD36" s="266" t="s">
        <v>789</v>
      </c>
      <c r="AE36" s="201">
        <f>SUM(AE37:AE38)</f>
        <v>0</v>
      </c>
      <c r="AF36" s="201">
        <f>SUM(AF37:AF38)</f>
        <v>0</v>
      </c>
      <c r="AG36" s="201">
        <f>SUM(AG37:AG38)</f>
        <v>0</v>
      </c>
      <c r="AH36" s="201">
        <f>SUM(AH37:AH38)</f>
        <v>0</v>
      </c>
      <c r="AI36" s="201">
        <f>SUM(AI37:AI38)</f>
        <v>0</v>
      </c>
      <c r="AJ36" s="201">
        <f>SUM(AJ37:AJ38)</f>
        <v>0</v>
      </c>
      <c r="AK36" s="1880"/>
      <c r="AL36" s="420"/>
      <c r="AM36" s="420"/>
      <c r="AN36" s="974" t="s">
        <v>385</v>
      </c>
      <c r="AO36" s="1374"/>
      <c r="AP36" s="1374"/>
      <c r="AQ36" s="1370"/>
      <c r="AR36" s="1370"/>
    </row>
    <row customHeight="1" ht="14.625" hidden="1">
      <c r="A37" s="1363"/>
      <c r="B37" s="1369"/>
      <c r="C37" s="1363"/>
      <c r="D37" s="1363"/>
      <c r="E37" s="593">
        <v>15</v>
      </c>
      <c r="F37" s="50" cm="1" t="str">
        <f t="array" ref="F37:F37">OFFSET(E37,-1,1)</f>
        <v>0</v>
      </c>
      <c r="G37" s="88" t="s">
        <v>550</v>
      </c>
      <c r="H37" s="88" cm="1" t="str">
        <f t="array" ref="H37:H37">AC37</f>
        <v>0</v>
      </c>
      <c r="I37" s="1363"/>
      <c r="J37" s="1363"/>
      <c r="K37" s="1363"/>
      <c r="L37" s="1363"/>
      <c r="M37" s="1363"/>
      <c r="N37" s="1363"/>
      <c r="O37" s="1363"/>
      <c r="P37" s="1363"/>
      <c r="Q37" s="1363"/>
      <c r="R37" s="1363"/>
      <c r="S37" s="1363"/>
      <c r="T37" s="438">
        <f>AND(F37&gt;0,Y37&gt;0)</f>
        <v>0</v>
      </c>
      <c r="U37" s="1363"/>
      <c r="V37" s="1363"/>
      <c r="W37" s="733" t="s">
        <v>172</v>
      </c>
      <c r="X37" s="1511"/>
      <c r="Y37" s="88">
        <v>0</v>
      </c>
      <c r="Z37" s="1494"/>
      <c r="AA37" s="392" t="s">
        <v>173</v>
      </c>
      <c r="AB37" s="666" t="str">
        <f>"9."&amp;Y37</f>
        <v>9.0</v>
      </c>
      <c r="AC37" s="2657"/>
      <c r="AD37" s="266" t="s">
        <v>789</v>
      </c>
      <c r="AE37" s="2655"/>
      <c r="AF37" s="2655"/>
      <c r="AG37" s="2655"/>
      <c r="AH37" s="2655"/>
      <c r="AI37" s="264"/>
      <c r="AJ37" s="264"/>
      <c r="AK37" s="1880"/>
      <c r="AL37" s="420"/>
      <c r="AM37" s="420"/>
      <c r="AN37" s="974" t="s">
        <v>385</v>
      </c>
      <c r="AO37" s="974" t="s">
        <v>1143</v>
      </c>
      <c r="AP37" s="974" cm="1" t="str">
        <f t="array" ref="AP37:AP37">AC37</f>
        <v>0</v>
      </c>
      <c r="AQ37" s="1370"/>
      <c r="AR37" s="593" t="b">
        <v>1</v>
      </c>
    </row>
    <row customHeight="1" ht="14.625" hidden="1">
      <c r="A38" s="112"/>
      <c r="B38" s="401"/>
      <c r="C38" s="112"/>
      <c r="D38" s="112"/>
      <c r="E38" s="233">
        <v>15</v>
      </c>
      <c r="F38" s="50" cm="1" t="str">
        <f t="array" ref="F38:F38">OFFSET(E38,-1,1)</f>
        <v>0</v>
      </c>
      <c r="G38" s="112"/>
      <c r="H38" s="118" t="str">
        <f>"!=='не определено'"</f>
        <v>!=='не определено'</v>
      </c>
      <c r="I38" s="112"/>
      <c r="J38" s="112"/>
      <c r="K38" s="112"/>
      <c r="L38" s="112"/>
      <c r="M38" s="112"/>
      <c r="N38" s="112"/>
      <c r="O38" s="112"/>
      <c r="P38" s="112"/>
      <c r="Q38" s="112"/>
      <c r="R38" s="112"/>
      <c r="S38" s="112"/>
      <c r="T38" s="438">
        <f>F38&gt;0</f>
        <v>0</v>
      </c>
      <c r="U38" s="112"/>
      <c r="V38" s="112"/>
      <c r="W38" s="733" t="s">
        <v>772</v>
      </c>
      <c r="X38" s="1511"/>
      <c r="Y38" s="112"/>
      <c r="Z38" s="1494"/>
      <c r="AA38" s="112"/>
      <c r="AB38" s="197"/>
      <c r="AC38" s="198" t="s">
        <v>176</v>
      </c>
      <c r="AD38" s="198"/>
      <c r="AE38" s="198"/>
      <c r="AF38" s="198"/>
      <c r="AG38" s="198"/>
      <c r="AH38" s="198"/>
      <c r="AI38" s="198"/>
      <c r="AJ38" s="198"/>
      <c r="AK38" s="199"/>
      <c r="AL38" s="112"/>
      <c r="AM38" s="420"/>
      <c r="AN38" s="1374"/>
      <c r="AO38" s="1374"/>
      <c r="AP38" s="1374"/>
      <c r="AQ38" s="593" t="s">
        <v>1143</v>
      </c>
      <c r="AR38" s="1370"/>
    </row>
    <row s="1624" customFormat="1" customHeight="1" ht="14.25">
      <c r="A39" s="1363"/>
      <c r="B39" s="1369"/>
      <c r="C39" s="1363"/>
      <c r="D39" s="1363"/>
      <c r="E39" s="593">
        <v>15</v>
      </c>
      <c r="F39" s="64" cm="1" t="str">
        <f t="array" ref="F39:F39">X39</f>
        <v>1</v>
      </c>
      <c r="G39" s="88" t="s">
        <v>1127</v>
      </c>
      <c r="H39" s="1363"/>
      <c r="I39" s="1363"/>
      <c r="J39" s="1363"/>
      <c r="K39" s="1363"/>
      <c r="L39" s="1363"/>
      <c r="M39" s="1363"/>
      <c r="N39" s="1363"/>
      <c r="O39" s="1363"/>
      <c r="P39" s="1363"/>
      <c r="Q39" s="1363"/>
      <c r="R39" s="1363"/>
      <c r="S39" s="1363"/>
      <c r="T39" s="438">
        <f>X39&gt;0</f>
        <v>1</v>
      </c>
      <c r="U39" s="1363"/>
      <c r="V39" s="88" cm="1" t="str">
        <f t="array" ref="V39:V39">Административные!$AB$46</f>
        <v>Тариф 1 (Водоотведение) - тариф на транспортировку сточных вод</v>
      </c>
      <c r="W39" s="1363"/>
      <c r="X39" s="1511" t="s">
        <v>281</v>
      </c>
      <c r="Y39" s="1363"/>
      <c r="Z39" s="1494"/>
      <c r="AA39" s="420"/>
      <c r="AB39" s="188" cm="1" t="str">
        <f t="array" ref="AB39:AB39">Административные!$AB$46</f>
        <v>Тариф 1 (Водоотведение) - тариф на транспортировку сточных вод</v>
      </c>
      <c r="AC39" s="146"/>
      <c r="AD39" s="146"/>
      <c r="AE39" s="272">
        <f>SUM(AE40:AE48)</f>
        <v>0</v>
      </c>
      <c r="AF39" s="272">
        <f>SUM(AF40:AF48)</f>
        <v>0</v>
      </c>
      <c r="AG39" s="272">
        <f>SUM(AG40:AG48)</f>
        <v>0</v>
      </c>
      <c r="AH39" s="272">
        <f>SUM(AH40:AH48)</f>
        <v>0</v>
      </c>
      <c r="AI39" s="272">
        <f>SUM(AI40:AI48)</f>
        <v>0</v>
      </c>
      <c r="AJ39" s="272">
        <f>SUM(AJ40:AJ48)</f>
        <v>0</v>
      </c>
      <c r="AK39" s="190"/>
      <c r="AL39" s="420"/>
      <c r="AM39" s="420"/>
      <c r="AN39" s="1374"/>
      <c r="AO39" s="1374"/>
      <c r="AP39" s="1374"/>
      <c r="AQ39" s="1370"/>
      <c r="AR39" s="1370"/>
    </row>
    <row s="1624" customFormat="1" customHeight="1" ht="21.75">
      <c r="A40" s="1363"/>
      <c r="B40" s="1369"/>
      <c r="C40" s="1363"/>
      <c r="D40" s="1363"/>
      <c r="E40" s="593">
        <v>22.5</v>
      </c>
      <c r="F40" s="50" cm="1" t="str">
        <f t="array" ref="F40:F40">OFFSET(E40,-1,1)</f>
        <v>1</v>
      </c>
      <c r="G40" s="88" t="s">
        <v>321</v>
      </c>
      <c r="H40" s="1363"/>
      <c r="I40" s="1363"/>
      <c r="J40" s="1363"/>
      <c r="K40" s="90" t="str">
        <f>F40&amp;"komm"</f>
        <v>1komm</v>
      </c>
      <c r="L40" s="895" cm="1" t="str">
        <f t="array" ref="L40:L40">AK40</f>
        <v>0</v>
      </c>
      <c r="M40" s="1363"/>
      <c r="N40" s="1363"/>
      <c r="O40" s="1363"/>
      <c r="P40" s="1363"/>
      <c r="Q40" s="1363"/>
      <c r="R40" s="1363"/>
      <c r="S40" s="1363"/>
      <c r="T40" s="438" cm="1" t="str">
        <f t="array" ref="T40:T40">T39</f>
        <v>true</v>
      </c>
      <c r="U40" s="1363"/>
      <c r="V40" s="1363"/>
      <c r="W40" s="1363"/>
      <c r="X40" s="1511"/>
      <c r="Y40" s="1363"/>
      <c r="Z40" s="1494"/>
      <c r="AA40" s="420"/>
      <c r="AB40" s="265" t="s">
        <v>281</v>
      </c>
      <c r="AC40" s="424" t="s">
        <v>1128</v>
      </c>
      <c r="AD40" s="266" t="s">
        <v>789</v>
      </c>
      <c r="AE40" s="264"/>
      <c r="AF40" s="195"/>
      <c r="AG40" s="195"/>
      <c r="AH40" s="195"/>
      <c r="AI40" s="195"/>
      <c r="AJ40" s="195"/>
      <c r="AK40" s="166"/>
      <c r="AL40" s="420"/>
      <c r="AM40" s="420"/>
      <c r="AN40" s="974" t="s">
        <v>1129</v>
      </c>
      <c r="AO40" s="1374"/>
      <c r="AP40" s="1374"/>
      <c r="AQ40" s="1370"/>
      <c r="AR40" s="1370"/>
    </row>
    <row s="1624" customFormat="1" customHeight="1" ht="21.75">
      <c r="A41" s="1363"/>
      <c r="B41" s="1369"/>
      <c r="C41" s="1363"/>
      <c r="D41" s="1363"/>
      <c r="E41" s="593">
        <v>22.5</v>
      </c>
      <c r="F41" s="50" cm="1" t="str">
        <f t="array" ref="F41:F41">OFFSET(E41,-1,1)</f>
        <v>1</v>
      </c>
      <c r="G41" s="88" t="s">
        <v>322</v>
      </c>
      <c r="H41" s="1363"/>
      <c r="I41" s="1363"/>
      <c r="J41" s="1363"/>
      <c r="K41" s="1363"/>
      <c r="L41" s="1363"/>
      <c r="M41" s="1363"/>
      <c r="N41" s="1363"/>
      <c r="O41" s="1363"/>
      <c r="P41" s="1363"/>
      <c r="Q41" s="1363"/>
      <c r="R41" s="1363"/>
      <c r="S41" s="1363"/>
      <c r="T41" s="438" cm="1" t="str">
        <f t="array" ref="T41:T41">T40</f>
        <v>true</v>
      </c>
      <c r="U41" s="1363"/>
      <c r="V41" s="1363"/>
      <c r="W41" s="1363"/>
      <c r="X41" s="1511"/>
      <c r="Y41" s="1363"/>
      <c r="Z41" s="1494"/>
      <c r="AA41" s="420"/>
      <c r="AB41" s="265" t="s">
        <v>504</v>
      </c>
      <c r="AC41" s="424" t="s">
        <v>1130</v>
      </c>
      <c r="AD41" s="266" t="s">
        <v>789</v>
      </c>
      <c r="AE41" s="264"/>
      <c r="AF41" s="195"/>
      <c r="AG41" s="195"/>
      <c r="AH41" s="195"/>
      <c r="AI41" s="195"/>
      <c r="AJ41" s="195"/>
      <c r="AK41" s="166"/>
      <c r="AL41" s="420"/>
      <c r="AM41" s="420"/>
      <c r="AN41" s="974" t="s">
        <v>1131</v>
      </c>
      <c r="AO41" s="1374"/>
      <c r="AP41" s="1374"/>
      <c r="AQ41" s="1370"/>
      <c r="AR41" s="1370"/>
    </row>
    <row s="1624" customFormat="1" customHeight="1" ht="21.75">
      <c r="A42" s="1363"/>
      <c r="B42" s="1369"/>
      <c r="C42" s="1363"/>
      <c r="D42" s="1363"/>
      <c r="E42" s="593">
        <v>22.5</v>
      </c>
      <c r="F42" s="50" cm="1" t="str">
        <f t="array" ref="F42:F42">OFFSET(E42,-1,1)</f>
        <v>1</v>
      </c>
      <c r="G42" s="88" t="s">
        <v>323</v>
      </c>
      <c r="H42" s="1363"/>
      <c r="I42" s="1363"/>
      <c r="J42" s="1363"/>
      <c r="K42" s="1363"/>
      <c r="L42" s="1363"/>
      <c r="M42" s="1363"/>
      <c r="N42" s="1363"/>
      <c r="O42" s="1363"/>
      <c r="P42" s="1363"/>
      <c r="Q42" s="1363"/>
      <c r="R42" s="1363"/>
      <c r="S42" s="1363"/>
      <c r="T42" s="438" cm="1" t="str">
        <f t="array" ref="T42:T42">T41</f>
        <v>true</v>
      </c>
      <c r="U42" s="1363"/>
      <c r="V42" s="1363"/>
      <c r="W42" s="1363"/>
      <c r="X42" s="1511"/>
      <c r="Y42" s="1363"/>
      <c r="Z42" s="1494"/>
      <c r="AA42" s="420"/>
      <c r="AB42" s="265" t="s">
        <v>319</v>
      </c>
      <c r="AC42" s="424" t="s">
        <v>1132</v>
      </c>
      <c r="AD42" s="266" t="s">
        <v>789</v>
      </c>
      <c r="AE42" s="264"/>
      <c r="AF42" s="195"/>
      <c r="AG42" s="195"/>
      <c r="AH42" s="195"/>
      <c r="AI42" s="195"/>
      <c r="AJ42" s="195"/>
      <c r="AK42" s="166"/>
      <c r="AL42" s="420"/>
      <c r="AM42" s="420"/>
      <c r="AN42" s="974" t="s">
        <v>1133</v>
      </c>
      <c r="AO42" s="1374"/>
      <c r="AP42" s="1374"/>
      <c r="AQ42" s="1370"/>
      <c r="AR42" s="1370"/>
    </row>
    <row s="1624" customFormat="1" customHeight="1" ht="32.25">
      <c r="A43" s="88"/>
      <c r="B43" s="400"/>
      <c r="C43" s="88"/>
      <c r="D43" s="88"/>
      <c r="E43" s="593">
        <v>33.75</v>
      </c>
      <c r="F43" s="1153" cm="1" t="str">
        <f t="array" ref="F43:F43">OFFSET(E43,-1,1)</f>
        <v>1</v>
      </c>
      <c r="G43" s="88" t="s">
        <v>325</v>
      </c>
      <c r="H43" s="88"/>
      <c r="I43" s="88"/>
      <c r="J43" s="88"/>
      <c r="K43" s="88"/>
      <c r="L43" s="88"/>
      <c r="M43" s="88"/>
      <c r="N43" s="88"/>
      <c r="O43" s="88"/>
      <c r="P43" s="88"/>
      <c r="Q43" s="88"/>
      <c r="R43" s="88"/>
      <c r="S43" s="88"/>
      <c r="T43" s="438" cm="1" t="str">
        <f t="array" ref="T43:T43">T42</f>
        <v>true</v>
      </c>
      <c r="U43" s="88"/>
      <c r="V43" s="88"/>
      <c r="W43" s="88"/>
      <c r="X43" s="1511"/>
      <c r="Y43" s="88"/>
      <c r="Z43" s="1494"/>
      <c r="AA43" s="420"/>
      <c r="AB43" s="862">
        <v>4</v>
      </c>
      <c r="AC43" s="424" t="s">
        <v>1134</v>
      </c>
      <c r="AD43" s="266" t="s">
        <v>789</v>
      </c>
      <c r="AE43" s="749">
        <f>_xlfn.SUMIFS(ФОТ!AE$25:AE$77,ФОТ!$F$25:$F$77,$F43,ФОТ!$G$25:$G$77,"СП")+_xlfn.SUMIFS(ФОТ!AE$25:AE$77,ФОТ!$F$25:$F$77,$F43,ФОТ!$G$25:$G$77,"СОЦ_СП")</f>
        <v>0</v>
      </c>
      <c r="AF43" s="749">
        <f>_xlfn.SUMIFS(ФОТ!AF$25:AF$77,ФОТ!$F$25:$F$77,$F43,ФОТ!$G$25:$G$77,"СП")+_xlfn.SUMIFS(ФОТ!AF$25:AF$77,ФОТ!$F$25:$F$77,$F43,ФОТ!$G$25:$G$77,"СОЦ_СП")</f>
        <v>0</v>
      </c>
      <c r="AG43" s="749">
        <f>_xlfn.SUMIFS(ФОТ!AG$25:AG$77,ФОТ!$F$25:$F$77,$F43,ФОТ!$G$25:$G$77,"СП")+_xlfn.SUMIFS(ФОТ!AG$25:AG$77,ФОТ!$F$25:$F$77,$F43,ФОТ!$G$25:$G$77,"СОЦ_СП")</f>
        <v>0</v>
      </c>
      <c r="AH43" s="749">
        <f>_xlfn.SUMIFS(ФОТ!AH$25:AH$77,ФОТ!$F$25:$F$77,$F43,ФОТ!$G$25:$G$77,"СП")+_xlfn.SUMIFS(ФОТ!AH$25:AH$77,ФОТ!$F$25:$F$77,$F43,ФОТ!$G$25:$G$77,"СОЦ_СП")</f>
        <v>0</v>
      </c>
      <c r="AI43" s="749">
        <f>_xlfn.SUMIFS(ФОТ!AI$25:AI$77,ФОТ!$F$25:$F$77,$F43,ФОТ!$G$25:$G$77,"СП")+_xlfn.SUMIFS(ФОТ!AI$25:AI$77,ФОТ!$F$25:$F$77,$F43,ФОТ!$G$25:$G$77,"СОЦ_СП")</f>
        <v>0</v>
      </c>
      <c r="AJ43" s="749">
        <f>_xlfn.SUMIFS(ФОТ!AJ$25:AJ$77,ФОТ!$F$25:$F$77,$F43,ФОТ!$G$25:$G$77,"СП")+_xlfn.SUMIFS(ФОТ!AJ$25:AJ$77,ФОТ!$F$25:$F$77,$F43,ФОТ!$G$25:$G$77,"СОЦ_СП")</f>
        <v>0</v>
      </c>
      <c r="AK43" s="166"/>
      <c r="AL43" s="420"/>
      <c r="AM43" s="1624"/>
      <c r="AN43" s="1025" t="s">
        <v>1135</v>
      </c>
      <c r="AO43" s="1025"/>
      <c r="AP43" s="1025"/>
      <c r="AQ43" s="647"/>
      <c r="AR43" s="647"/>
    </row>
    <row s="1624" customFormat="1" customHeight="1" ht="32.25">
      <c r="A44" s="1363"/>
      <c r="B44" s="1369"/>
      <c r="C44" s="1363"/>
      <c r="D44" s="1363"/>
      <c r="E44" s="593">
        <v>33.75</v>
      </c>
      <c r="F44" s="50" cm="1" t="str">
        <f t="array" ref="F44:F44">OFFSET(E44,-1,1)</f>
        <v>1</v>
      </c>
      <c r="G44" s="88" t="s">
        <v>324</v>
      </c>
      <c r="H44" s="1363"/>
      <c r="I44" s="1363"/>
      <c r="J44" s="1363"/>
      <c r="K44" s="1363"/>
      <c r="L44" s="1363"/>
      <c r="M44" s="1363"/>
      <c r="N44" s="1363"/>
      <c r="O44" s="1363"/>
      <c r="P44" s="1363"/>
      <c r="Q44" s="1363"/>
      <c r="R44" s="1363"/>
      <c r="S44" s="1363"/>
      <c r="T44" s="438" cm="1" t="str">
        <f t="array" ref="T44:T44">T43</f>
        <v>true</v>
      </c>
      <c r="U44" s="1363"/>
      <c r="V44" s="1363"/>
      <c r="W44" s="1363"/>
      <c r="X44" s="1511"/>
      <c r="Y44" s="1363"/>
      <c r="Z44" s="1494"/>
      <c r="AA44" s="420"/>
      <c r="AB44" s="265" t="s">
        <v>485</v>
      </c>
      <c r="AC44" s="424" t="s">
        <v>1136</v>
      </c>
      <c r="AD44" s="266" t="s">
        <v>789</v>
      </c>
      <c r="AE44" s="264"/>
      <c r="AF44" s="264"/>
      <c r="AG44" s="264"/>
      <c r="AH44" s="264"/>
      <c r="AI44" s="264"/>
      <c r="AJ44" s="264"/>
      <c r="AK44" s="166"/>
      <c r="AL44" s="420"/>
      <c r="AM44" s="420"/>
      <c r="AN44" s="974" t="s">
        <v>1118</v>
      </c>
      <c r="AO44" s="1374"/>
      <c r="AP44" s="1374"/>
      <c r="AQ44" s="1370"/>
      <c r="AR44" s="1370"/>
    </row>
    <row s="1624" customFormat="1" customHeight="1" ht="21.75">
      <c r="A45" s="1363"/>
      <c r="B45" s="1369"/>
      <c r="C45" s="1363"/>
      <c r="D45" s="1363"/>
      <c r="E45" s="593">
        <v>22.5</v>
      </c>
      <c r="F45" s="50" cm="1" t="str">
        <f t="array" ref="F45:F45">OFFSET(E45,-1,1)</f>
        <v>1</v>
      </c>
      <c r="G45" s="88" t="s">
        <v>484</v>
      </c>
      <c r="H45" s="1363"/>
      <c r="I45" s="1363"/>
      <c r="J45" s="1363"/>
      <c r="K45" s="1363"/>
      <c r="L45" s="1363"/>
      <c r="M45" s="1363"/>
      <c r="N45" s="1363"/>
      <c r="O45" s="1363"/>
      <c r="P45" s="1363"/>
      <c r="Q45" s="1363"/>
      <c r="R45" s="1363"/>
      <c r="S45" s="1363"/>
      <c r="T45" s="438" cm="1" t="str">
        <f t="array" ref="T45:T45">T44</f>
        <v>true</v>
      </c>
      <c r="U45" s="1363"/>
      <c r="V45" s="1363"/>
      <c r="W45" s="1363"/>
      <c r="X45" s="1511"/>
      <c r="Y45" s="1363"/>
      <c r="Z45" s="1494"/>
      <c r="AA45" s="420"/>
      <c r="AB45" s="265" t="s">
        <v>489</v>
      </c>
      <c r="AC45" s="424" t="s">
        <v>1137</v>
      </c>
      <c r="AD45" s="266" t="s">
        <v>789</v>
      </c>
      <c r="AE45" s="264"/>
      <c r="AF45" s="264"/>
      <c r="AG45" s="264"/>
      <c r="AH45" s="264"/>
      <c r="AI45" s="264"/>
      <c r="AJ45" s="264"/>
      <c r="AK45" s="166"/>
      <c r="AL45" s="420"/>
      <c r="AM45" s="420"/>
      <c r="AN45" s="974" t="s">
        <v>1104</v>
      </c>
      <c r="AO45" s="1374"/>
      <c r="AP45" s="1374"/>
      <c r="AQ45" s="1370"/>
      <c r="AR45" s="1370"/>
    </row>
    <row s="1624" customFormat="1" customHeight="1" ht="43.5">
      <c r="A46" s="1363"/>
      <c r="B46" s="1369"/>
      <c r="C46" s="1363"/>
      <c r="D46" s="1363"/>
      <c r="E46" s="593">
        <v>45</v>
      </c>
      <c r="F46" s="50" cm="1" t="str">
        <f t="array" ref="F46:F46">OFFSET(E46,-1,1)</f>
        <v>1</v>
      </c>
      <c r="G46" s="88" t="s">
        <v>488</v>
      </c>
      <c r="H46" s="1363"/>
      <c r="I46" s="1363"/>
      <c r="J46" s="1363"/>
      <c r="K46" s="1363"/>
      <c r="L46" s="1363"/>
      <c r="M46" s="1363"/>
      <c r="N46" s="1363"/>
      <c r="O46" s="1363"/>
      <c r="P46" s="1363"/>
      <c r="Q46" s="1363"/>
      <c r="R46" s="1363"/>
      <c r="S46" s="1363"/>
      <c r="T46" s="438" cm="1" t="str">
        <f t="array" ref="T46:T46">T45</f>
        <v>true</v>
      </c>
      <c r="U46" s="1363"/>
      <c r="V46" s="1363"/>
      <c r="W46" s="1363"/>
      <c r="X46" s="1511"/>
      <c r="Y46" s="1363"/>
      <c r="Z46" s="1494"/>
      <c r="AA46" s="420"/>
      <c r="AB46" s="265" t="s">
        <v>551</v>
      </c>
      <c r="AC46" s="424" t="s">
        <v>1138</v>
      </c>
      <c r="AD46" s="266" t="s">
        <v>789</v>
      </c>
      <c r="AE46" s="264"/>
      <c r="AF46" s="264"/>
      <c r="AG46" s="264"/>
      <c r="AH46" s="264"/>
      <c r="AI46" s="264"/>
      <c r="AJ46" s="264"/>
      <c r="AK46" s="166"/>
      <c r="AL46" s="420"/>
      <c r="AM46" s="420"/>
      <c r="AN46" s="974" t="s">
        <v>1139</v>
      </c>
      <c r="AO46" s="1374"/>
      <c r="AP46" s="1374"/>
      <c r="AQ46" s="1370"/>
      <c r="AR46" s="1370"/>
    </row>
    <row s="1624" customFormat="1" customHeight="1" ht="43.5">
      <c r="A47" s="1363"/>
      <c r="B47" s="1369"/>
      <c r="C47" s="1363"/>
      <c r="D47" s="1363"/>
      <c r="E47" s="593">
        <v>45</v>
      </c>
      <c r="F47" s="50" cm="1" t="str">
        <f t="array" ref="F47:F47">OFFSET(E47,-1,1)</f>
        <v>1</v>
      </c>
      <c r="G47" s="88" t="s">
        <v>535</v>
      </c>
      <c r="H47" s="1363"/>
      <c r="I47" s="1363"/>
      <c r="J47" s="1363"/>
      <c r="K47" s="1363"/>
      <c r="L47" s="1363"/>
      <c r="M47" s="1363"/>
      <c r="N47" s="1363"/>
      <c r="O47" s="1363"/>
      <c r="P47" s="1363"/>
      <c r="Q47" s="1363"/>
      <c r="R47" s="1363"/>
      <c r="S47" s="1363"/>
      <c r="T47" s="438" cm="1" t="str">
        <f t="array" ref="T47:T47">T46</f>
        <v>true</v>
      </c>
      <c r="U47" s="1363"/>
      <c r="V47" s="1363"/>
      <c r="W47" s="1363"/>
      <c r="X47" s="1511"/>
      <c r="Y47" s="1363"/>
      <c r="Z47" s="1494"/>
      <c r="AA47" s="420"/>
      <c r="AB47" s="265" t="s">
        <v>559</v>
      </c>
      <c r="AC47" s="424" t="s">
        <v>1140</v>
      </c>
      <c r="AD47" s="266" t="s">
        <v>789</v>
      </c>
      <c r="AE47" s="264"/>
      <c r="AF47" s="264"/>
      <c r="AG47" s="264"/>
      <c r="AH47" s="264"/>
      <c r="AI47" s="264"/>
      <c r="AJ47" s="264"/>
      <c r="AK47" s="166"/>
      <c r="AL47" s="420"/>
      <c r="AM47" s="420"/>
      <c r="AN47" s="974" t="s">
        <v>1141</v>
      </c>
      <c r="AO47" s="1374"/>
      <c r="AP47" s="1374"/>
      <c r="AQ47" s="1370"/>
      <c r="AR47" s="1370"/>
    </row>
    <row s="1624" customFormat="1" customHeight="1" ht="14.25">
      <c r="A48" s="1363"/>
      <c r="B48" s="1369"/>
      <c r="C48" s="1363"/>
      <c r="D48" s="1363"/>
      <c r="E48" s="593">
        <v>15</v>
      </c>
      <c r="F48" s="50" cm="1" t="str">
        <f t="array" ref="F48:F48">OFFSET(E48,-1,1)</f>
        <v>1</v>
      </c>
      <c r="G48" s="88" t="s">
        <v>550</v>
      </c>
      <c r="H48" s="1363"/>
      <c r="I48" s="1363"/>
      <c r="J48" s="1363"/>
      <c r="K48" s="1363"/>
      <c r="L48" s="1363"/>
      <c r="M48" s="1363"/>
      <c r="N48" s="1363"/>
      <c r="O48" s="1363"/>
      <c r="P48" s="1363"/>
      <c r="Q48" s="1363"/>
      <c r="R48" s="1363"/>
      <c r="S48" s="1363"/>
      <c r="T48" s="438" cm="1" t="str">
        <f t="array" ref="T48:T48">T47</f>
        <v>true</v>
      </c>
      <c r="U48" s="1363"/>
      <c r="V48" s="1363"/>
      <c r="W48" s="1363"/>
      <c r="X48" s="1511"/>
      <c r="Y48" s="1363"/>
      <c r="Z48" s="1494"/>
      <c r="AA48" s="420"/>
      <c r="AB48" s="322">
        <v>9</v>
      </c>
      <c r="AC48" s="424" t="s">
        <v>1142</v>
      </c>
      <c r="AD48" s="266" t="s">
        <v>789</v>
      </c>
      <c r="AE48" s="201">
        <f>SUM(AE49:AE50)</f>
        <v>0</v>
      </c>
      <c r="AF48" s="201">
        <f>SUM(AF49:AF50)</f>
        <v>0</v>
      </c>
      <c r="AG48" s="201">
        <f>SUM(AG49:AG50)</f>
        <v>0</v>
      </c>
      <c r="AH48" s="201">
        <f>SUM(AH49:AH50)</f>
        <v>0</v>
      </c>
      <c r="AI48" s="201">
        <f>SUM(AI49:AI50)</f>
        <v>0</v>
      </c>
      <c r="AJ48" s="201">
        <f>SUM(AJ49:AJ50)</f>
        <v>0</v>
      </c>
      <c r="AK48" s="166"/>
      <c r="AL48" s="420"/>
      <c r="AM48" s="420"/>
      <c r="AN48" s="974" t="s">
        <v>385</v>
      </c>
      <c r="AO48" s="1374"/>
      <c r="AP48" s="1374"/>
      <c r="AQ48" s="1370"/>
      <c r="AR48" s="1370"/>
    </row>
    <row s="1624" customFormat="1" customHeight="1" ht="14.25" hidden="1">
      <c r="A49" s="1363"/>
      <c r="B49" s="1369"/>
      <c r="C49" s="1363"/>
      <c r="D49" s="1363"/>
      <c r="E49" s="593">
        <v>15</v>
      </c>
      <c r="F49" s="50" cm="1" t="str">
        <f t="array" ref="F49:F49">OFFSET(E49,-1,1)</f>
        <v>1</v>
      </c>
      <c r="G49" s="88" t="s">
        <v>550</v>
      </c>
      <c r="H49" s="88" cm="1" t="str">
        <f t="array" ref="H49:H49">AC49</f>
        <v>0</v>
      </c>
      <c r="I49" s="1363"/>
      <c r="J49" s="1363"/>
      <c r="K49" s="1363"/>
      <c r="L49" s="1363"/>
      <c r="M49" s="1363"/>
      <c r="N49" s="1363"/>
      <c r="O49" s="1363"/>
      <c r="P49" s="1363"/>
      <c r="Q49" s="1363"/>
      <c r="R49" s="1363"/>
      <c r="S49" s="1363"/>
      <c r="T49" s="438">
        <f>AND(F49&gt;0,Y49&gt;0)</f>
        <v>0</v>
      </c>
      <c r="U49" s="1363"/>
      <c r="V49" s="1363"/>
      <c r="W49" s="733" t="s">
        <v>172</v>
      </c>
      <c r="X49" s="1511"/>
      <c r="Y49" s="88">
        <v>0</v>
      </c>
      <c r="Z49" s="1494"/>
      <c r="AA49" s="392" t="s">
        <v>173</v>
      </c>
      <c r="AB49" s="666" t="str">
        <f>"9."&amp;Y49</f>
        <v>9.0</v>
      </c>
      <c r="AC49" s="2657"/>
      <c r="AD49" s="266" t="s">
        <v>789</v>
      </c>
      <c r="AE49" s="2655"/>
      <c r="AF49" s="2655"/>
      <c r="AG49" s="2655"/>
      <c r="AH49" s="2655"/>
      <c r="AI49" s="264"/>
      <c r="AJ49" s="264"/>
      <c r="AK49" s="1880"/>
      <c r="AL49" s="420"/>
      <c r="AM49" s="420"/>
      <c r="AN49" s="974" t="s">
        <v>385</v>
      </c>
      <c r="AO49" s="974" t="s">
        <v>1143</v>
      </c>
      <c r="AP49" s="974" cm="1" t="str">
        <f t="array" ref="AP49:AP49">AC49</f>
        <v>0</v>
      </c>
      <c r="AQ49" s="1370"/>
      <c r="AR49" s="593" t="b">
        <v>1</v>
      </c>
    </row>
    <row s="1624" customFormat="1" customHeight="1" ht="14.25">
      <c r="A50" s="112"/>
      <c r="B50" s="401"/>
      <c r="C50" s="112"/>
      <c r="D50" s="112"/>
      <c r="E50" s="233">
        <v>15</v>
      </c>
      <c r="F50" s="50" cm="1" t="str">
        <f t="array" ref="F50:F50">OFFSET(E50,-1,1)</f>
        <v>1</v>
      </c>
      <c r="G50" s="112"/>
      <c r="H50" s="118" t="str">
        <f>"!=='не определено'"</f>
        <v>!=='не определено'</v>
      </c>
      <c r="I50" s="112"/>
      <c r="J50" s="112"/>
      <c r="K50" s="112"/>
      <c r="L50" s="112"/>
      <c r="M50" s="112"/>
      <c r="N50" s="112"/>
      <c r="O50" s="112"/>
      <c r="P50" s="112"/>
      <c r="Q50" s="112"/>
      <c r="R50" s="112"/>
      <c r="S50" s="112"/>
      <c r="T50" s="438">
        <f>F50&gt;0</f>
        <v>1</v>
      </c>
      <c r="U50" s="112"/>
      <c r="V50" s="112"/>
      <c r="W50" s="733" t="s">
        <v>772</v>
      </c>
      <c r="X50" s="1511"/>
      <c r="Y50" s="112"/>
      <c r="Z50" s="1494"/>
      <c r="AA50" s="112"/>
      <c r="AB50" s="197"/>
      <c r="AC50" s="198" t="s">
        <v>176</v>
      </c>
      <c r="AD50" s="198"/>
      <c r="AE50" s="198"/>
      <c r="AF50" s="198"/>
      <c r="AG50" s="198"/>
      <c r="AH50" s="198"/>
      <c r="AI50" s="198"/>
      <c r="AJ50" s="198"/>
      <c r="AK50" s="199"/>
      <c r="AL50" s="112"/>
      <c r="AM50" s="420"/>
      <c r="AN50" s="1374"/>
      <c r="AO50" s="1374"/>
      <c r="AP50" s="1374"/>
      <c r="AQ50" s="593" t="s">
        <v>1143</v>
      </c>
      <c r="AR50" s="1370"/>
    </row>
    <row customHeight="1" ht="10.725000000000001">
      <c r="A51" s="0"/>
      <c r="B51" s="402"/>
      <c r="C51" s="0"/>
      <c r="D51" s="0"/>
      <c r="E51" s="593">
        <v>11</v>
      </c>
      <c r="F51" s="51"/>
      <c r="G51" s="0"/>
      <c r="H51" s="0"/>
      <c r="I51" s="0"/>
      <c r="J51" s="0"/>
      <c r="K51" s="0"/>
      <c r="L51" s="0"/>
      <c r="M51" s="0"/>
      <c r="N51" s="0"/>
      <c r="O51" s="0"/>
      <c r="P51" s="0"/>
      <c r="Q51" s="0"/>
      <c r="R51" s="0"/>
      <c r="S51" s="0"/>
      <c r="T51" s="0"/>
      <c r="U51" s="0" t="s">
        <v>176</v>
      </c>
      <c r="V51" s="106" t="s">
        <v>1144</v>
      </c>
      <c r="W51" s="0"/>
      <c r="X51" s="0"/>
      <c r="Y51" s="0"/>
      <c r="Z51" s="0"/>
      <c r="AA51" s="0"/>
      <c r="AB51" s="0"/>
      <c r="AC51" s="66"/>
      <c r="AD51" s="66"/>
      <c r="AE51" s="66"/>
      <c r="AF51" s="66"/>
      <c r="AG51" s="0"/>
      <c r="AH51" s="0"/>
      <c r="AI51" s="0"/>
      <c r="AJ51" s="0"/>
      <c r="AK51" s="0"/>
      <c r="AL51" s="0"/>
    </row>
    <row customHeight="1" ht="14.625">
      <c r="A52" s="64"/>
      <c r="B52" s="399"/>
      <c r="C52" s="64"/>
      <c r="D52" s="64"/>
      <c r="E52" s="607">
        <v>15</v>
      </c>
      <c r="F52" s="64"/>
      <c r="G52" s="64"/>
      <c r="H52" s="64"/>
      <c r="I52" s="64"/>
      <c r="J52" s="64"/>
      <c r="K52" s="64"/>
      <c r="L52" s="64"/>
      <c r="M52" s="64"/>
      <c r="N52" s="64"/>
      <c r="O52" s="64"/>
      <c r="P52" s="64"/>
      <c r="Q52" s="64"/>
      <c r="R52" s="64"/>
      <c r="S52" s="64"/>
      <c r="T52" s="64"/>
      <c r="U52" s="64"/>
      <c r="V52" s="64"/>
      <c r="W52" s="64"/>
      <c r="X52" s="64"/>
      <c r="Y52" s="64"/>
      <c r="Z52" s="64"/>
      <c r="AA52" s="64"/>
      <c r="AB52" s="1522" t="s">
        <v>392</v>
      </c>
      <c r="AC52" s="1522"/>
      <c r="AD52" s="1522"/>
      <c r="AE52" s="1522"/>
      <c r="AF52" s="1522"/>
      <c r="AG52" s="1522"/>
      <c r="AH52" s="1522"/>
      <c r="AI52" s="1569"/>
      <c r="AJ52" s="1569"/>
      <c r="AK52" s="1569"/>
      <c r="AL52" s="64"/>
    </row>
    <row customHeight="1" ht="14.625">
      <c r="A53" s="64"/>
      <c r="B53" s="399"/>
      <c r="C53" s="64"/>
      <c r="D53" s="64"/>
      <c r="E53" s="607">
        <v>15</v>
      </c>
      <c r="F53" s="64"/>
      <c r="G53" s="64"/>
      <c r="H53" s="64"/>
      <c r="I53" s="64"/>
      <c r="J53" s="64"/>
      <c r="K53" s="64"/>
      <c r="L53" s="64"/>
      <c r="M53" s="64"/>
      <c r="N53" s="64"/>
      <c r="O53" s="64"/>
      <c r="P53" s="64"/>
      <c r="Q53" s="64"/>
      <c r="R53" s="64"/>
      <c r="S53" s="64"/>
      <c r="U53" s="64"/>
      <c r="V53" s="64"/>
      <c r="W53" s="64"/>
      <c r="X53" s="64"/>
      <c r="Y53" s="64"/>
      <c r="Z53" s="64"/>
      <c r="AA53" s="423"/>
      <c r="AB53" s="1544"/>
      <c r="AC53" s="1544"/>
      <c r="AD53" s="1544"/>
      <c r="AE53" s="1544"/>
      <c r="AF53" s="1544"/>
      <c r="AG53" s="1544"/>
      <c r="AH53" s="1544"/>
      <c r="AI53" s="1568"/>
      <c r="AJ53" s="1568"/>
      <c r="AK53" s="1568"/>
      <c r="AL53" s="64"/>
    </row>
    <row customHeight="1" ht="14.625" hidden="1">
      <c r="A54" s="64"/>
      <c r="B54" s="399"/>
      <c r="C54" s="64"/>
      <c r="D54" s="64"/>
      <c r="E54" s="607">
        <v>15</v>
      </c>
      <c r="F54" s="64"/>
      <c r="G54" s="64"/>
      <c r="H54" s="64"/>
      <c r="I54" s="64"/>
      <c r="J54" s="64"/>
      <c r="K54" s="64"/>
      <c r="L54" s="64"/>
      <c r="M54" s="64"/>
      <c r="N54" s="64"/>
      <c r="O54" s="64"/>
      <c r="P54" s="64"/>
      <c r="Q54" s="64"/>
      <c r="R54" s="64"/>
      <c r="S54" s="64"/>
      <c r="T54" s="438">
        <f>ROW(W54)&gt;ROW(W$54)</f>
        <v>0</v>
      </c>
      <c r="U54" s="64"/>
      <c r="V54" s="64"/>
      <c r="W54" s="733" t="s">
        <v>172</v>
      </c>
      <c r="X54" s="64"/>
      <c r="Y54" s="64"/>
      <c r="Z54" s="64"/>
      <c r="AA54" s="392" t="s">
        <v>173</v>
      </c>
      <c r="AB54" s="2395" t="s">
        <v>228</v>
      </c>
      <c r="AC54" s="2395"/>
      <c r="AD54" s="2395"/>
      <c r="AE54" s="2395"/>
      <c r="AF54" s="2395"/>
      <c r="AG54" s="2395"/>
      <c r="AH54" s="2395"/>
      <c r="AI54" s="1568"/>
      <c r="AJ54" s="1568"/>
      <c r="AK54" s="2757"/>
      <c r="AL54" s="64"/>
      <c r="AM54" s="420"/>
      <c r="AN54" s="1374"/>
      <c r="AO54" s="1374"/>
      <c r="AP54" s="1374"/>
      <c r="AQ54" s="1370"/>
      <c r="AR54" s="1370"/>
    </row>
    <row s="1513" customFormat="1" customHeight="1" ht="14.625">
      <c r="A55" s="64"/>
      <c r="B55" s="399"/>
      <c r="C55" s="64"/>
      <c r="D55" s="64"/>
      <c r="E55" s="607">
        <v>15</v>
      </c>
      <c r="F55" s="64"/>
      <c r="G55" s="64"/>
      <c r="H55" s="64"/>
      <c r="I55" s="64"/>
      <c r="J55" s="64"/>
      <c r="K55" s="64"/>
      <c r="L55" s="64"/>
      <c r="M55" s="64"/>
      <c r="N55" s="64"/>
      <c r="O55" s="64"/>
      <c r="P55" s="64"/>
      <c r="Q55" s="64"/>
      <c r="R55" s="64"/>
      <c r="S55" s="64"/>
      <c r="T55" s="64"/>
      <c r="U55" s="64"/>
      <c r="V55" s="64"/>
      <c r="W55" s="733" t="s">
        <v>396</v>
      </c>
      <c r="X55" s="64"/>
      <c r="Y55" s="64"/>
      <c r="Z55" s="64"/>
      <c r="AA55" s="64"/>
      <c r="AB55" s="623"/>
      <c r="AC55" s="487" t="s">
        <v>397</v>
      </c>
      <c r="AD55" s="276"/>
      <c r="AE55" s="276"/>
      <c r="AF55" s="277"/>
      <c r="AG55" s="277"/>
      <c r="AH55" s="277"/>
      <c r="AI55" s="277"/>
      <c r="AJ55" s="277"/>
      <c r="AK55" s="278"/>
      <c r="AL55" s="64"/>
      <c r="AN55" s="1007"/>
      <c r="AO55" s="1007"/>
      <c r="AP55" s="1007"/>
      <c r="AQ55" s="233"/>
      <c r="AR55" s="233"/>
    </row>
    <row s="1624" customFormat="1" customHeight="1" ht="10.725000000000001">
      <c r="A56" s="88"/>
      <c r="B56" s="400"/>
      <c r="C56" s="88"/>
      <c r="D56" s="88"/>
      <c r="E56" s="593">
        <v>11</v>
      </c>
      <c r="F56" s="88"/>
      <c r="G56" s="88"/>
      <c r="H56" s="88"/>
      <c r="I56" s="88"/>
      <c r="J56" s="88"/>
      <c r="K56" s="88"/>
      <c r="L56" s="88"/>
      <c r="M56" s="88"/>
      <c r="N56" s="88"/>
      <c r="O56" s="88"/>
      <c r="P56" s="88"/>
      <c r="Q56" s="88"/>
      <c r="R56" s="88"/>
      <c r="S56" s="88"/>
      <c r="T56" s="88"/>
      <c r="U56" s="88"/>
      <c r="V56" s="88"/>
      <c r="W56" s="88"/>
      <c r="X56" s="88"/>
      <c r="Y56" s="88"/>
      <c r="Z56" s="88"/>
      <c r="AA56" s="420"/>
      <c r="AB56" s="420"/>
      <c r="AC56" s="420"/>
      <c r="AD56" s="420"/>
      <c r="AE56" s="420"/>
      <c r="AF56" s="420"/>
      <c r="AG56" s="420"/>
      <c r="AH56" s="420"/>
      <c r="AI56" s="420"/>
      <c r="AJ56" s="420"/>
      <c r="AK56" s="420"/>
      <c r="AL56" s="398"/>
      <c r="AN56" s="1025"/>
      <c r="AO56" s="1025"/>
      <c r="AP56" s="1025"/>
      <c r="AQ56" s="647"/>
      <c r="AR56" s="647"/>
    </row>
    <row customHeight="1" ht="14.25" hidden="1">
      <c r="A57" s="420"/>
      <c r="B57" s="420"/>
      <c r="C57" s="420"/>
      <c r="D57" s="420"/>
      <c r="E57" s="665"/>
      <c r="F57" s="420"/>
      <c r="G57" s="420"/>
      <c r="H57" s="420"/>
      <c r="I57" s="420"/>
      <c r="J57" s="420"/>
      <c r="K57" s="420"/>
      <c r="L57" s="420"/>
      <c r="M57" s="420"/>
      <c r="N57" s="420"/>
      <c r="O57" s="420"/>
      <c r="P57" s="420"/>
      <c r="Q57" s="420"/>
      <c r="R57" s="420"/>
      <c r="S57" s="420"/>
      <c r="T57" s="420"/>
      <c r="U57" s="420"/>
      <c r="V57" s="420"/>
      <c r="W57" s="420"/>
      <c r="X57" s="420"/>
      <c r="Y57" s="420"/>
      <c r="Z57" s="420"/>
      <c r="AI57" s="420"/>
      <c r="AJ57" s="420"/>
    </row>
  </sheetData>
  <sheetProtection formatColumns="0" formatRows="0" insertRows="0" deleteColumns="0" deleteRows="0" sort="0" autoFilter="0" insertColumns="1"/>
  <mergeCells count="11">
    <mergeCell ref="AB24:AB25"/>
    <mergeCell ref="AC24:AC25"/>
    <mergeCell ref="AD24:AD25"/>
    <mergeCell ref="AK24:AK25"/>
    <mergeCell ref="AB54:AK54"/>
    <mergeCell ref="X27:X38"/>
    <mergeCell ref="Z27:Z38"/>
    <mergeCell ref="AB52:AK52"/>
    <mergeCell ref="AB53:AK53"/>
    <mergeCell ref="X39:X50"/>
    <mergeCell ref="Z39:Z50"/>
  </mergeCells>
  <dataValidations count="2">
    <dataValidation type="decimal" allowBlank="1" showErrorMessage="1" errorTitle="Ошибка" error="Допускается ввод только неотрицательных чисел!" sqref="AE37:AH37 AE28:AJ35 AE40 AF40 AG40 AH40 AI40 AJ40 AE41 AF41 AG41 AH41 AI41 AJ41 AE42 AF42 AG42 AH42 AI42 AJ42 AE43 AF43 AG43 AH43 AI43 AJ43 AE44 AF44 AG44 AH44 AI44 AJ44 AE45 AF45 AG45 AH45 AI45 AJ45 AE46 AF46 AG46 AH46 AI46 AJ46 AE47 AF47 AG47 AH47 AI47 AJ47 AE49 AF49 AG49 AH49">
      <formula1>0</formula1>
      <formula2>9.99999999999999E+23</formula2>
    </dataValidation>
    <dataValidation allowBlank="1" showInputMessage="1" showErrorMessage="1" sqref="AI52:AK55 AI37:AJ37 AI49 AJ4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1C59A8-16A7-8FBC-CAA2-EEFE2D9DC9B7}" mc:Ignorable="x14ac xr xr2 xr3">
  <sheetPr>
    <tabColor rgb="FF002060"/>
    <outlinePr summaryRight="0" summaryBelow="0"/>
    <pageSetUpPr fitToPage="1"/>
  </sheetPr>
  <dimension ref="A1:BJ60"/>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363" width="3.57421875" hidden="1" customWidth="1"/>
    <col min="2" max="2" style="1369" width="8.57421875" hidden="1" customWidth="1"/>
    <col min="3" max="4" style="1363" width="3.57421875" hidden="1" customWidth="1"/>
    <col min="5" max="5" style="1370" width="3.57421875" hidden="1" customWidth="1"/>
    <col min="6" max="7" style="1363" width="3.57421875" hidden="1" customWidth="1"/>
    <col min="8" max="8" style="1363" width="6.00390625" hidden="1" customWidth="1"/>
    <col min="9" max="19" style="1363" width="3.57421875" hidden="1" customWidth="1"/>
    <col min="20" max="20" style="1363" width="10.00390625" hidden="1" customWidth="1"/>
    <col min="21" max="21" style="1363" width="5.8515625" hidden="1" customWidth="1"/>
    <col min="22" max="23" style="1363" width="6.140625" hidden="1" customWidth="1"/>
    <col min="24" max="25" style="1363" width="5.57421875" hidden="1" customWidth="1"/>
    <col min="26" max="26" style="1363" width="5.28125" hidden="1" customWidth="1"/>
    <col min="27" max="27" style="1363" width="3.00390625" customWidth="1"/>
    <col min="28" max="28" style="1363" width="6.00390625" customWidth="1"/>
    <col min="29" max="29" style="1363" width="35.00390625" customWidth="1"/>
    <col min="30" max="30" style="1363" width="12.00390625" customWidth="1"/>
    <col min="31" max="35" style="1363" width="12.57421875" customWidth="1"/>
    <col min="36" max="44" style="1363" width="12.57421875" hidden="1" customWidth="1"/>
    <col min="45" max="45" style="1363" width="12.57421875" customWidth="1"/>
    <col min="46" max="54" style="1363" width="12.57421875" hidden="1" customWidth="1"/>
    <col min="55" max="55" style="1363" width="20.00390625" customWidth="1"/>
    <col min="56" max="56" style="1363" width="3.00390625" customWidth="1"/>
    <col min="57" max="57" style="1363" width="9.140625" hidden="1"/>
    <col min="58" max="60" style="1374" width="9.140625" hidden="1"/>
    <col min="61" max="62" style="1370" width="9.140625" hidden="1"/>
  </cols>
  <sheetData>
    <row customHeight="1" ht="11.25" hidden="1">
      <c r="E1" s="115"/>
      <c r="F1" s="115" t="s">
        <v>309</v>
      </c>
      <c r="G1" s="115" t="s">
        <v>320</v>
      </c>
      <c r="I1" s="115" t="s">
        <v>346</v>
      </c>
      <c r="T1" s="438" t="s">
        <v>92</v>
      </c>
      <c r="U1" s="438" t="s">
        <v>97</v>
      </c>
      <c r="V1" s="438" t="s">
        <v>93</v>
      </c>
      <c r="W1" s="438" t="s">
        <v>94</v>
      </c>
      <c r="X1" s="438" t="s">
        <v>95</v>
      </c>
      <c r="Y1" s="440" t="s">
        <v>311</v>
      </c>
      <c r="Z1" s="438" t="s">
        <v>99</v>
      </c>
      <c r="AA1" s="439" t="s">
        <v>96</v>
      </c>
      <c r="AB1" s="51"/>
      <c r="AC1" s="439" t="s">
        <v>98</v>
      </c>
      <c r="AI1" s="1363"/>
      <c r="AJ1" s="1363"/>
      <c r="AK1" s="1363"/>
      <c r="AL1" s="1363"/>
      <c r="AM1" s="1363"/>
      <c r="AN1" s="1363"/>
      <c r="AO1" s="1363"/>
      <c r="AP1" s="1363"/>
      <c r="AQ1" s="1363"/>
      <c r="AR1" s="1363"/>
      <c r="AS1" s="1363"/>
      <c r="AT1" s="1363"/>
      <c r="AU1" s="1363"/>
      <c r="AV1" s="1363"/>
      <c r="AW1" s="1363"/>
      <c r="AX1" s="1363"/>
      <c r="AY1" s="1363"/>
      <c r="AZ1" s="1363"/>
      <c r="BA1" s="1363"/>
      <c r="BB1" s="1363"/>
      <c r="BF1" s="1015" t="s">
        <v>312</v>
      </c>
      <c r="BG1" s="1015" t="s">
        <v>313</v>
      </c>
      <c r="BH1" s="1015" t="s">
        <v>314</v>
      </c>
      <c r="BI1" s="652" t="s">
        <v>317</v>
      </c>
      <c r="BJ1" s="652" t="s">
        <v>318</v>
      </c>
    </row>
    <row s="1369" customFormat="1" customHeight="1" ht="11.25" hidden="1">
      <c r="B2" s="419" t="s">
        <v>18</v>
      </c>
      <c r="AI2" s="418">
        <f>AI6&lt;=last_year_vis</f>
        <v>1</v>
      </c>
      <c r="AJ2" s="418">
        <f>AJ6&lt;=last_year_vis</f>
        <v>0</v>
      </c>
      <c r="AK2" s="418">
        <f>AK6&lt;=last_year_vis</f>
        <v>0</v>
      </c>
      <c r="AL2" s="418">
        <f>AL6&lt;=last_year_vis</f>
        <v>0</v>
      </c>
      <c r="AM2" s="418">
        <f>AM6&lt;=last_year_vis</f>
        <v>0</v>
      </c>
      <c r="AN2" s="418">
        <f>AN6&lt;=last_year_vis</f>
        <v>0</v>
      </c>
      <c r="AO2" s="418">
        <f>AO6&lt;=last_year_vis</f>
        <v>0</v>
      </c>
      <c r="AP2" s="418">
        <f>AP6&lt;=last_year_vis</f>
        <v>0</v>
      </c>
      <c r="AQ2" s="418">
        <f>AQ6&lt;=last_year_vis</f>
        <v>0</v>
      </c>
      <c r="AR2" s="418">
        <f>AR6&lt;=last_year_vis</f>
        <v>0</v>
      </c>
      <c r="AS2" s="418">
        <f>AS6&lt;=last_year_vis</f>
        <v>1</v>
      </c>
      <c r="AT2" s="418">
        <f>AT6&lt;=last_year_vis</f>
        <v>0</v>
      </c>
      <c r="AU2" s="418">
        <f>AU6&lt;=last_year_vis</f>
        <v>0</v>
      </c>
      <c r="AV2" s="418">
        <f>AV6&lt;=last_year_vis</f>
        <v>0</v>
      </c>
      <c r="AW2" s="418">
        <f>AW6&lt;=last_year_vis</f>
        <v>0</v>
      </c>
      <c r="AX2" s="418">
        <f>AX6&lt;=last_year_vis</f>
        <v>0</v>
      </c>
      <c r="AY2" s="418">
        <f>AY6&lt;=last_year_vis</f>
        <v>0</v>
      </c>
      <c r="AZ2" s="418">
        <f>AZ6&lt;=last_year_vis</f>
        <v>0</v>
      </c>
      <c r="BA2" s="418">
        <f>BA6&lt;=last_year_vis</f>
        <v>0</v>
      </c>
      <c r="BB2" s="418">
        <f>BB6&lt;=last_year_vis</f>
        <v>0</v>
      </c>
      <c r="BF2" s="1014"/>
      <c r="BG2" s="1014"/>
      <c r="BH2" s="1014"/>
      <c r="BI2" s="1026"/>
      <c r="BJ2" s="1026"/>
    </row>
    <row customHeight="1" ht="11.25" hidden="1">
      <c r="E3" s="115"/>
      <c r="AI3" s="1363"/>
      <c r="AJ3" s="1363"/>
      <c r="AK3" s="1363"/>
      <c r="AL3" s="1363"/>
      <c r="AM3" s="1363"/>
      <c r="AN3" s="1363"/>
      <c r="AO3" s="1363"/>
      <c r="AP3" s="1363"/>
      <c r="AQ3" s="1363"/>
      <c r="AR3" s="1363"/>
      <c r="AS3" s="1363"/>
      <c r="AT3" s="1363"/>
      <c r="AU3" s="1363"/>
      <c r="AV3" s="1363"/>
      <c r="AW3" s="1363"/>
      <c r="AX3" s="1363"/>
      <c r="AY3" s="1363"/>
      <c r="AZ3" s="1363"/>
      <c r="BA3" s="1363"/>
      <c r="BB3" s="1363"/>
    </row>
    <row customHeight="1" ht="11.25" hidden="1">
      <c r="E4" s="115"/>
      <c r="AI4" s="1363"/>
      <c r="AJ4" s="1363"/>
      <c r="AK4" s="1363"/>
      <c r="AL4" s="1363"/>
      <c r="AM4" s="1363"/>
      <c r="AN4" s="1363"/>
      <c r="AO4" s="1363"/>
      <c r="AP4" s="1363"/>
      <c r="AQ4" s="1363"/>
      <c r="AR4" s="1363"/>
      <c r="AS4" s="1363"/>
      <c r="AT4" s="1363"/>
      <c r="AU4" s="1363"/>
      <c r="AV4" s="1363"/>
      <c r="AW4" s="1363"/>
      <c r="AX4" s="1363"/>
      <c r="AY4" s="1363"/>
      <c r="AZ4" s="1363"/>
      <c r="BA4" s="1363"/>
      <c r="BB4" s="1363"/>
    </row>
    <row s="1370" customFormat="1" customHeight="1" ht="11.25" hidden="1">
      <c r="A5" s="115"/>
      <c r="B5" s="414"/>
      <c r="C5" s="115"/>
      <c r="D5" s="115"/>
      <c r="E5" s="652" t="s">
        <v>19</v>
      </c>
      <c r="AA5" s="652">
        <v>3</v>
      </c>
      <c r="AB5" s="652">
        <v>6</v>
      </c>
      <c r="AC5" s="652">
        <v>35</v>
      </c>
      <c r="AD5" s="652">
        <v>12</v>
      </c>
      <c r="AE5" s="652">
        <v>12.57</v>
      </c>
      <c r="AF5" s="652">
        <v>12.57</v>
      </c>
      <c r="AG5" s="652">
        <v>12.57</v>
      </c>
      <c r="AH5" s="652">
        <v>12.57</v>
      </c>
      <c r="AI5" s="652">
        <v>12.57</v>
      </c>
      <c r="AJ5" s="652">
        <v>12.57</v>
      </c>
      <c r="AK5" s="652">
        <v>12.57</v>
      </c>
      <c r="AL5" s="652">
        <v>12.57</v>
      </c>
      <c r="AM5" s="652">
        <v>12.57</v>
      </c>
      <c r="AN5" s="652">
        <v>12.57</v>
      </c>
      <c r="AO5" s="652">
        <v>12.57</v>
      </c>
      <c r="AP5" s="652">
        <v>12.57</v>
      </c>
      <c r="AQ5" s="652">
        <v>12.57</v>
      </c>
      <c r="AR5" s="652">
        <v>12.57</v>
      </c>
      <c r="AS5" s="652">
        <v>12.57</v>
      </c>
      <c r="AT5" s="652">
        <v>12.57</v>
      </c>
      <c r="AU5" s="652">
        <v>12.57</v>
      </c>
      <c r="AV5" s="652">
        <v>12.57</v>
      </c>
      <c r="AW5" s="652">
        <v>12.57</v>
      </c>
      <c r="AX5" s="652">
        <v>12.57</v>
      </c>
      <c r="AY5" s="652">
        <v>12.57</v>
      </c>
      <c r="AZ5" s="652">
        <v>12.57</v>
      </c>
      <c r="BA5" s="652">
        <v>12.57</v>
      </c>
      <c r="BB5" s="652">
        <v>12.57</v>
      </c>
      <c r="BC5" s="652">
        <v>20</v>
      </c>
      <c r="BD5" s="652">
        <v>3</v>
      </c>
      <c r="BF5" s="1015"/>
      <c r="BG5" s="1015"/>
      <c r="BH5" s="1015"/>
    </row>
    <row customHeight="1" ht="11.25" hidden="1">
      <c r="A6" s="115" t="s">
        <v>349</v>
      </c>
      <c r="AE6" s="115">
        <f>god-2</f>
        <v>2024</v>
      </c>
      <c r="AF6" s="115">
        <f>god-2</f>
        <v>2024</v>
      </c>
      <c r="AG6" s="115">
        <f>god-2</f>
        <v>2024</v>
      </c>
      <c r="AH6" s="115">
        <f>god-1</f>
        <v>2025</v>
      </c>
      <c r="AI6" s="64" cm="1" t="str">
        <f t="array" ref="AI6:AI6">god</f>
        <v>2026</v>
      </c>
      <c r="AJ6" s="64">
        <f>god+1</f>
        <v>2027</v>
      </c>
      <c r="AK6" s="64">
        <f>god+2</f>
        <v>2028</v>
      </c>
      <c r="AL6" s="64">
        <f>god+3</f>
        <v>2029</v>
      </c>
      <c r="AM6" s="64">
        <f>god+4</f>
        <v>2030</v>
      </c>
      <c r="AN6" s="64">
        <f>god+5</f>
        <v>2031</v>
      </c>
      <c r="AO6" s="64">
        <f>god+6</f>
        <v>2032</v>
      </c>
      <c r="AP6" s="64">
        <f>god+7</f>
        <v>2033</v>
      </c>
      <c r="AQ6" s="64">
        <f>god+8</f>
        <v>2034</v>
      </c>
      <c r="AR6" s="64">
        <f>god+9</f>
        <v>2035</v>
      </c>
      <c r="AS6" s="64" cm="1" t="str">
        <f t="array" ref="AS6:AS6">god</f>
        <v>2026</v>
      </c>
      <c r="AT6" s="64">
        <f>god+1</f>
        <v>2027</v>
      </c>
      <c r="AU6" s="64">
        <f>god+2</f>
        <v>2028</v>
      </c>
      <c r="AV6" s="64">
        <f>god+3</f>
        <v>2029</v>
      </c>
      <c r="AW6" s="64">
        <f>god+4</f>
        <v>2030</v>
      </c>
      <c r="AX6" s="64">
        <f>god+5</f>
        <v>2031</v>
      </c>
      <c r="AY6" s="64">
        <f>god+6</f>
        <v>2032</v>
      </c>
      <c r="AZ6" s="64">
        <f>god+7</f>
        <v>2033</v>
      </c>
      <c r="BA6" s="64">
        <f>god+8</f>
        <v>2034</v>
      </c>
      <c r="BB6" s="64">
        <f>god+9</f>
        <v>2035</v>
      </c>
    </row>
    <row customHeight="1" ht="11.25" hidden="1">
      <c r="A7" s="115" t="s">
        <v>350</v>
      </c>
      <c r="AE7" s="115" cm="1" t="str">
        <f t="array" ref="AE7:AE7">AE25</f>
        <v>Принято органом регулирования</v>
      </c>
      <c r="AF7" s="115" cm="1" t="str">
        <f t="array" ref="AF7:AF7">AF25</f>
        <v>Факт по данным организации</v>
      </c>
      <c r="AG7" s="115" cm="1" t="str">
        <f t="array" ref="AG7:AG7">AG25</f>
        <v>Факт, принятый органом регулирования</v>
      </c>
      <c r="AH7" s="115" cm="1" t="str">
        <f t="array" ref="AH7:AH7">AH25</f>
        <v>Принято органом регулирования</v>
      </c>
      <c r="AI7" s="115" cm="1" t="str">
        <f t="array" ref="AI7:AI7">AI25</f>
        <v>Предложение организации</v>
      </c>
      <c r="AJ7" s="115" cm="1" t="str">
        <f t="array" ref="AJ7:AJ7">AJ25</f>
        <v>Предложение организации</v>
      </c>
      <c r="AK7" s="115" cm="1" t="str">
        <f t="array" ref="AK7:AK7">AK25</f>
        <v>Предложение организации</v>
      </c>
      <c r="AL7" s="115" cm="1" t="str">
        <f t="array" ref="AL7:AL7">AL25</f>
        <v>Предложение организации</v>
      </c>
      <c r="AM7" s="115" cm="1" t="str">
        <f t="array" ref="AM7:AM7">AM25</f>
        <v>Предложение организации</v>
      </c>
      <c r="AN7" s="115" cm="1" t="str">
        <f t="array" ref="AN7:AN7">AN25</f>
        <v>Предложение организации</v>
      </c>
      <c r="AO7" s="115" cm="1" t="str">
        <f t="array" ref="AO7:AO7">AO25</f>
        <v>Предложение организации</v>
      </c>
      <c r="AP7" s="115" cm="1" t="str">
        <f t="array" ref="AP7:AP7">AP25</f>
        <v>Предложение организации</v>
      </c>
      <c r="AQ7" s="115" cm="1" t="str">
        <f t="array" ref="AQ7:AQ7">AQ25</f>
        <v>Предложение организации</v>
      </c>
      <c r="AR7" s="115" cm="1" t="str">
        <f t="array" ref="AR7:AR7">AR25</f>
        <v>Предложение организации</v>
      </c>
      <c r="AS7" s="115" cm="1" t="str">
        <f t="array" ref="AS7:AS7">AS25</f>
        <v>Принято органом регулирования</v>
      </c>
      <c r="AT7" s="115" cm="1" t="str">
        <f t="array" ref="AT7:AT7">AT25</f>
        <v>Принято органом регулирования</v>
      </c>
      <c r="AU7" s="115" cm="1" t="str">
        <f t="array" ref="AU7:AU7">AU25</f>
        <v>Принято органом регулирования</v>
      </c>
      <c r="AV7" s="115" cm="1" t="str">
        <f t="array" ref="AV7:AV7">AV25</f>
        <v>Принято органом регулирования</v>
      </c>
      <c r="AW7" s="115" cm="1" t="str">
        <f t="array" ref="AW7:AW7">AW25</f>
        <v>Принято органом регулирования</v>
      </c>
      <c r="AX7" s="115" cm="1" t="str">
        <f t="array" ref="AX7:AX7">AX25</f>
        <v>Принято органом регулирования</v>
      </c>
      <c r="AY7" s="115" cm="1" t="str">
        <f t="array" ref="AY7:AY7">AY25</f>
        <v>Принято органом регулирования</v>
      </c>
      <c r="AZ7" s="115" cm="1" t="str">
        <f t="array" ref="AZ7:AZ7">AZ25</f>
        <v>Принято органом регулирования</v>
      </c>
      <c r="BA7" s="115" cm="1" t="str">
        <f t="array" ref="BA7:BA7">BA25</f>
        <v>Принято органом регулирования</v>
      </c>
      <c r="BB7" s="115" cm="1" t="str">
        <f t="array" ref="BB7:BB7">BB25</f>
        <v>Принято органом регулирования</v>
      </c>
    </row>
    <row customHeight="1" ht="11.25" hidden="1">
      <c r="AI8" s="1363"/>
      <c r="AJ8" s="1363"/>
      <c r="AK8" s="1363"/>
      <c r="AL8" s="1363"/>
      <c r="AM8" s="1363"/>
      <c r="AN8" s="1363"/>
      <c r="AO8" s="1363"/>
      <c r="AP8" s="1363"/>
      <c r="AQ8" s="1363"/>
      <c r="AR8" s="1363"/>
      <c r="AS8" s="1363"/>
      <c r="AT8" s="1363"/>
      <c r="AU8" s="1363"/>
      <c r="AV8" s="1363"/>
      <c r="AW8" s="1363"/>
      <c r="AX8" s="1363"/>
      <c r="AY8" s="1363"/>
      <c r="AZ8" s="1363"/>
      <c r="BA8" s="1363"/>
      <c r="BB8" s="1363"/>
    </row>
    <row s="1374" customFormat="1" customHeight="1" ht="11.25" hidden="1">
      <c r="A9" s="1015" t="s">
        <v>354</v>
      </c>
      <c r="B9" s="1014"/>
      <c r="AE9" s="1015" cm="1" t="str">
        <f t="array" ref="AE9:AE9">AE6</f>
        <v>2024</v>
      </c>
      <c r="AF9" s="1015" cm="1" t="str">
        <f t="array" ref="AF9:AF9">AF6</f>
        <v>2024</v>
      </c>
      <c r="AG9" s="1015" cm="1" t="str">
        <f t="array" ref="AG9:AG9">AG6</f>
        <v>2024</v>
      </c>
      <c r="AH9" s="1015" cm="1" t="str">
        <f t="array" ref="AH9:AH9">AH6</f>
        <v>2025</v>
      </c>
      <c r="AI9" s="1015" cm="1" t="str">
        <f t="array" ref="AI9:AI9">AI6</f>
        <v>2026</v>
      </c>
      <c r="AJ9" s="1015" cm="1" t="str">
        <f t="array" ref="AJ9:AJ9">AJ6</f>
        <v>2027</v>
      </c>
      <c r="AK9" s="1015" cm="1" t="str">
        <f t="array" ref="AK9:AK9">AK6</f>
        <v>2028</v>
      </c>
      <c r="AL9" s="1015" cm="1" t="str">
        <f t="array" ref="AL9:AL9">AL6</f>
        <v>2029</v>
      </c>
      <c r="AM9" s="1015" cm="1" t="str">
        <f t="array" ref="AM9:AM9">AM6</f>
        <v>2030</v>
      </c>
      <c r="AN9" s="1015" cm="1" t="str">
        <f t="array" ref="AN9:AN9">AN6</f>
        <v>2031</v>
      </c>
      <c r="AO9" s="1015" cm="1" t="str">
        <f t="array" ref="AO9:AO9">AO6</f>
        <v>2032</v>
      </c>
      <c r="AP9" s="1015" cm="1" t="str">
        <f t="array" ref="AP9:AP9">AP6</f>
        <v>2033</v>
      </c>
      <c r="AQ9" s="1015" cm="1" t="str">
        <f t="array" ref="AQ9:AQ9">AQ6</f>
        <v>2034</v>
      </c>
      <c r="AR9" s="1015" cm="1" t="str">
        <f t="array" ref="AR9:AR9">AR6</f>
        <v>2035</v>
      </c>
      <c r="AS9" s="1015" cm="1" t="str">
        <f t="array" ref="AS9:AS9">AS6</f>
        <v>2026</v>
      </c>
      <c r="AT9" s="1015" cm="1" t="str">
        <f t="array" ref="AT9:AT9">AT6</f>
        <v>2027</v>
      </c>
      <c r="AU9" s="1015" cm="1" t="str">
        <f t="array" ref="AU9:AU9">AU6</f>
        <v>2028</v>
      </c>
      <c r="AV9" s="1015" cm="1" t="str">
        <f t="array" ref="AV9:AV9">AV6</f>
        <v>2029</v>
      </c>
      <c r="AW9" s="1015" cm="1" t="str">
        <f t="array" ref="AW9:AW9">AW6</f>
        <v>2030</v>
      </c>
      <c r="AX9" s="1015" cm="1" t="str">
        <f t="array" ref="AX9:AX9">AX6</f>
        <v>2031</v>
      </c>
      <c r="AY9" s="1015" cm="1" t="str">
        <f t="array" ref="AY9:AY9">AY6</f>
        <v>2032</v>
      </c>
      <c r="AZ9" s="1015" cm="1" t="str">
        <f t="array" ref="AZ9:AZ9">AZ6</f>
        <v>2033</v>
      </c>
      <c r="BA9" s="1015" cm="1" t="str">
        <f t="array" ref="BA9:BA9">BA6</f>
        <v>2034</v>
      </c>
      <c r="BB9" s="1015" cm="1" t="str">
        <f t="array" ref="BB9:BB9">BB6</f>
        <v>2035</v>
      </c>
      <c r="BI9" s="652"/>
      <c r="BJ9" s="652"/>
    </row>
    <row s="1374" customFormat="1" customHeight="1" ht="11.25" hidden="1">
      <c r="A10" s="1015" t="s">
        <v>355</v>
      </c>
      <c r="B10" s="1014"/>
      <c r="AE10" s="1015" cm="1" t="str">
        <f t="array" ref="AE10:AE10">AE25</f>
        <v>Принято органом регулирования</v>
      </c>
      <c r="AF10" s="1015" cm="1" t="str">
        <f t="array" ref="AF10:AF10">AF25</f>
        <v>Факт по данным организации</v>
      </c>
      <c r="AG10" s="1015" cm="1" t="str">
        <f t="array" ref="AG10:AG10">AG25</f>
        <v>Факт, принятый органом регулирования</v>
      </c>
      <c r="AH10" s="1015" cm="1" t="str">
        <f t="array" ref="AH10:AH10">AH25</f>
        <v>Принято органом регулирования</v>
      </c>
      <c r="AI10" s="1015" cm="1" t="str">
        <f t="array" ref="AI10:AI10">AI25</f>
        <v>Предложение организации</v>
      </c>
      <c r="AJ10" s="1015" cm="1" t="str">
        <f t="array" ref="AJ10:AJ10">AJ25</f>
        <v>Предложение организации</v>
      </c>
      <c r="AK10" s="1015" cm="1" t="str">
        <f t="array" ref="AK10:AK10">AK25</f>
        <v>Предложение организации</v>
      </c>
      <c r="AL10" s="1015" cm="1" t="str">
        <f t="array" ref="AL10:AL10">AL25</f>
        <v>Предложение организации</v>
      </c>
      <c r="AM10" s="1015" cm="1" t="str">
        <f t="array" ref="AM10:AM10">AM25</f>
        <v>Предложение организации</v>
      </c>
      <c r="AN10" s="1015" cm="1" t="str">
        <f t="array" ref="AN10:AN10">AN25</f>
        <v>Предложение организации</v>
      </c>
      <c r="AO10" s="1015" cm="1" t="str">
        <f t="array" ref="AO10:AO10">AO25</f>
        <v>Предложение организации</v>
      </c>
      <c r="AP10" s="1015" cm="1" t="str">
        <f t="array" ref="AP10:AP10">AP25</f>
        <v>Предложение организации</v>
      </c>
      <c r="AQ10" s="1015" cm="1" t="str">
        <f t="array" ref="AQ10:AQ10">AQ25</f>
        <v>Предложение организации</v>
      </c>
      <c r="AR10" s="1015" cm="1" t="str">
        <f t="array" ref="AR10:AR10">AR25</f>
        <v>Предложение организации</v>
      </c>
      <c r="AS10" s="1015" cm="1" t="str">
        <f t="array" ref="AS10:AS10">AS25</f>
        <v>Принято органом регулирования</v>
      </c>
      <c r="AT10" s="1015" cm="1" t="str">
        <f t="array" ref="AT10:AT10">AT25</f>
        <v>Принято органом регулирования</v>
      </c>
      <c r="AU10" s="1015" cm="1" t="str">
        <f t="array" ref="AU10:AU10">AU25</f>
        <v>Принято органом регулирования</v>
      </c>
      <c r="AV10" s="1015" cm="1" t="str">
        <f t="array" ref="AV10:AV10">AV25</f>
        <v>Принято органом регулирования</v>
      </c>
      <c r="AW10" s="1015" cm="1" t="str">
        <f t="array" ref="AW10:AW10">AW25</f>
        <v>Принято органом регулирования</v>
      </c>
      <c r="AX10" s="1015" cm="1" t="str">
        <f t="array" ref="AX10:AX10">AX25</f>
        <v>Принято органом регулирования</v>
      </c>
      <c r="AY10" s="1015" cm="1" t="str">
        <f t="array" ref="AY10:AY10">AY25</f>
        <v>Принято органом регулирования</v>
      </c>
      <c r="AZ10" s="1015" cm="1" t="str">
        <f t="array" ref="AZ10:AZ10">AZ25</f>
        <v>Принято органом регулирования</v>
      </c>
      <c r="BA10" s="1015" cm="1" t="str">
        <f t="array" ref="BA10:BA10">BA25</f>
        <v>Принято органом регулирования</v>
      </c>
      <c r="BB10" s="1015" cm="1" t="str">
        <f t="array" ref="BB10:BB10">BB25</f>
        <v>Принято органом регулирования</v>
      </c>
      <c r="BI10" s="652"/>
      <c r="BJ10" s="652"/>
    </row>
    <row s="1374" customFormat="1" customHeight="1" ht="11.25" hidden="1">
      <c r="A11" s="1015" t="s">
        <v>356</v>
      </c>
      <c r="B11" s="1014"/>
      <c r="AI11" s="1374"/>
      <c r="AJ11" s="1374"/>
      <c r="AK11" s="1374"/>
      <c r="AL11" s="1374"/>
      <c r="AM11" s="1374"/>
      <c r="AN11" s="1374"/>
      <c r="AO11" s="1374"/>
      <c r="AP11" s="1374"/>
      <c r="AQ11" s="1374"/>
      <c r="AR11" s="1374"/>
      <c r="AS11" s="1374"/>
      <c r="AT11" s="1374"/>
      <c r="AU11" s="1374"/>
      <c r="AV11" s="1374"/>
      <c r="AW11" s="1374"/>
      <c r="AX11" s="1374"/>
      <c r="AY11" s="1374"/>
      <c r="AZ11" s="1374"/>
      <c r="BA11" s="1374"/>
      <c r="BB11" s="1374"/>
      <c r="BC11" s="1015" cm="1" t="str">
        <f t="array" ref="BC11:BC11">BC24</f>
        <v>Ссылка на правовую норму (основание для принятия показателя в расчет тарифа)</v>
      </c>
      <c r="BI11" s="652"/>
      <c r="BJ11" s="652"/>
    </row>
    <row s="1374" customFormat="1" customHeight="1" ht="11.25" hidden="1">
      <c r="A12" s="1015" t="s">
        <v>327</v>
      </c>
      <c r="B12" s="1014"/>
      <c r="AC12" s="1015" t="s">
        <v>314</v>
      </c>
      <c r="AI12" s="1374"/>
      <c r="AJ12" s="1374"/>
      <c r="AK12" s="1374"/>
      <c r="AL12" s="1374"/>
      <c r="AM12" s="1374"/>
      <c r="AN12" s="1374"/>
      <c r="AO12" s="1374"/>
      <c r="AP12" s="1374"/>
      <c r="AQ12" s="1374"/>
      <c r="AR12" s="1374"/>
      <c r="AS12" s="1374"/>
      <c r="AT12" s="1374"/>
      <c r="AU12" s="1374"/>
      <c r="AV12" s="1374"/>
      <c r="AW12" s="1374"/>
      <c r="AX12" s="1374"/>
      <c r="AY12" s="1374"/>
      <c r="AZ12" s="1374"/>
      <c r="BA12" s="1374"/>
      <c r="BB12" s="1374"/>
      <c r="BI12" s="652"/>
      <c r="BJ12" s="652"/>
    </row>
    <row customHeight="1" ht="11.25" hidden="1">
      <c r="AI13" s="64"/>
      <c r="AJ13" s="64"/>
      <c r="AK13" s="64"/>
      <c r="AL13" s="64"/>
      <c r="AM13" s="64"/>
      <c r="AN13" s="64"/>
      <c r="AO13" s="64"/>
      <c r="AP13" s="64"/>
      <c r="AQ13" s="64"/>
      <c r="AR13" s="64"/>
      <c r="AS13" s="64"/>
      <c r="AT13" s="64"/>
      <c r="AU13" s="64"/>
      <c r="AV13" s="64"/>
      <c r="AW13" s="64"/>
      <c r="AX13" s="64"/>
      <c r="AY13" s="64"/>
      <c r="AZ13" s="64"/>
      <c r="BA13" s="64"/>
      <c r="BB13" s="64"/>
    </row>
    <row customHeight="1" ht="11.25" hidden="1">
      <c r="AI14" s="64"/>
      <c r="AJ14" s="64"/>
      <c r="AK14" s="64"/>
      <c r="AL14" s="64"/>
      <c r="AM14" s="64"/>
      <c r="AN14" s="64"/>
      <c r="AO14" s="64"/>
      <c r="AP14" s="64"/>
      <c r="AQ14" s="64"/>
      <c r="AR14" s="64"/>
      <c r="AS14" s="64"/>
      <c r="AT14" s="64"/>
      <c r="AU14" s="64"/>
      <c r="AV14" s="64"/>
      <c r="AW14" s="64"/>
      <c r="AX14" s="64"/>
      <c r="AY14" s="64"/>
      <c r="AZ14" s="64"/>
      <c r="BA14" s="64"/>
      <c r="BB14" s="64"/>
    </row>
    <row customHeight="1" ht="11.25" hidden="1">
      <c r="AI15" s="64"/>
      <c r="AJ15" s="64"/>
      <c r="AK15" s="64"/>
      <c r="AL15" s="64"/>
      <c r="AM15" s="64"/>
      <c r="AN15" s="64"/>
      <c r="AO15" s="64"/>
      <c r="AP15" s="64"/>
      <c r="AQ15" s="64"/>
      <c r="AR15" s="64"/>
      <c r="AS15" s="64"/>
      <c r="AT15" s="64"/>
      <c r="AU15" s="64"/>
      <c r="AV15" s="64"/>
      <c r="AW15" s="64"/>
      <c r="AX15" s="64"/>
      <c r="AY15" s="64"/>
      <c r="AZ15" s="64"/>
      <c r="BA15" s="64"/>
      <c r="BB15" s="64"/>
    </row>
    <row customHeight="1" ht="11.25" hidden="1">
      <c r="AI16" s="64"/>
      <c r="AJ16" s="64"/>
      <c r="AK16" s="64"/>
      <c r="AL16" s="64"/>
      <c r="AM16" s="64"/>
      <c r="AN16" s="64"/>
      <c r="AO16" s="64"/>
      <c r="AP16" s="64"/>
      <c r="AQ16" s="64"/>
      <c r="AR16" s="64"/>
      <c r="AS16" s="64"/>
      <c r="AT16" s="64"/>
      <c r="AU16" s="64"/>
      <c r="AV16" s="64"/>
      <c r="AW16" s="64"/>
      <c r="AX16" s="64"/>
      <c r="AY16" s="64"/>
      <c r="AZ16" s="64"/>
      <c r="BA16" s="64"/>
      <c r="BB16" s="64"/>
    </row>
    <row customHeight="1" ht="11.25" hidden="1">
      <c r="AI17" s="1363"/>
      <c r="AJ17" s="1363"/>
      <c r="AK17" s="1363"/>
      <c r="AL17" s="1363"/>
      <c r="AM17" s="1363"/>
      <c r="AN17" s="1363"/>
      <c r="AO17" s="1363"/>
      <c r="AP17" s="1363"/>
      <c r="AQ17" s="1363"/>
      <c r="AR17" s="1363"/>
      <c r="AS17" s="1363"/>
      <c r="AT17" s="1363"/>
      <c r="AU17" s="1363"/>
      <c r="AV17" s="1363"/>
      <c r="AW17" s="1363"/>
      <c r="AX17" s="1363"/>
      <c r="AY17" s="1363"/>
      <c r="AZ17" s="1363"/>
      <c r="BA17" s="1363"/>
      <c r="BB17" s="1363"/>
    </row>
    <row customHeight="1" ht="11.25" hidden="1">
      <c r="A18" s="115" t="s">
        <v>357</v>
      </c>
      <c r="AC18" s="115" t="s">
        <v>358</v>
      </c>
      <c r="AI18" s="1363"/>
      <c r="AJ18" s="1363"/>
      <c r="AK18" s="1363"/>
      <c r="AL18" s="1363"/>
      <c r="AM18" s="1363"/>
      <c r="AN18" s="1363"/>
      <c r="AO18" s="1363"/>
      <c r="AP18" s="1363"/>
      <c r="AQ18" s="1363"/>
      <c r="AR18" s="1363"/>
      <c r="AS18" s="1363"/>
      <c r="AT18" s="1363"/>
      <c r="AU18" s="1363"/>
      <c r="AV18" s="1363"/>
      <c r="AW18" s="1363"/>
      <c r="AX18" s="1363"/>
      <c r="AY18" s="1363"/>
      <c r="AZ18" s="1363"/>
      <c r="BA18" s="1363"/>
      <c r="BB18" s="1363"/>
    </row>
    <row customHeight="1" ht="11.25" hidden="1">
      <c r="AI19" s="1363"/>
      <c r="AJ19" s="1363"/>
      <c r="AK19" s="1363"/>
      <c r="AL19" s="1363"/>
      <c r="AM19" s="1363"/>
      <c r="AN19" s="1363"/>
      <c r="AO19" s="1363"/>
      <c r="AP19" s="1363"/>
      <c r="AQ19" s="1363"/>
      <c r="AR19" s="1363"/>
      <c r="AS19" s="1363"/>
      <c r="AT19" s="1363"/>
      <c r="AU19" s="1363"/>
      <c r="AV19" s="1363"/>
      <c r="AW19" s="1363"/>
      <c r="AX19" s="1363"/>
      <c r="AY19" s="1363"/>
      <c r="AZ19" s="1363"/>
      <c r="BA19" s="1363"/>
      <c r="BB19" s="1363"/>
    </row>
    <row customHeight="1" ht="11.25" hidden="1">
      <c r="AI20" s="1363"/>
      <c r="AJ20" s="1363"/>
      <c r="AK20" s="1363"/>
      <c r="AL20" s="1363"/>
      <c r="AM20" s="1363"/>
      <c r="AN20" s="1363"/>
      <c r="AO20" s="1363"/>
      <c r="AP20" s="1363"/>
      <c r="AQ20" s="1363"/>
      <c r="AR20" s="1363"/>
      <c r="AS20" s="1363"/>
      <c r="AT20" s="1363"/>
      <c r="AU20" s="1363"/>
      <c r="AV20" s="1363"/>
      <c r="AW20" s="1363"/>
      <c r="AX20" s="1363"/>
      <c r="AY20" s="1363"/>
      <c r="AZ20" s="1363"/>
      <c r="BA20" s="1363"/>
      <c r="BB20" s="1363"/>
    </row>
    <row customHeight="1" ht="14.625">
      <c r="E21" s="652">
        <v>15</v>
      </c>
      <c r="AA21" s="397"/>
      <c r="AC21" s="332" cm="1" t="str">
        <f t="array" ref="AC21:AC21">tpl_title</f>
        <v>Кемеровская область / 2026 / ОАО «СКЭК» (ИНН:4205153492, КПП:420501001) / ДПР: 2026-2026</v>
      </c>
      <c r="AI21" s="1363"/>
      <c r="AJ21" s="1363"/>
      <c r="AK21" s="1363"/>
      <c r="AL21" s="1363"/>
      <c r="AM21" s="1363"/>
      <c r="AN21" s="1363"/>
      <c r="AO21" s="1363"/>
      <c r="AP21" s="1363"/>
      <c r="AQ21" s="1363"/>
      <c r="AR21" s="1363"/>
      <c r="AS21" s="1363"/>
      <c r="AT21" s="1363"/>
      <c r="AU21" s="1363"/>
      <c r="AV21" s="1363"/>
      <c r="AW21" s="1363"/>
      <c r="AX21" s="1363"/>
      <c r="AY21" s="1363"/>
      <c r="AZ21" s="1363"/>
      <c r="BA21" s="1363"/>
      <c r="BB21" s="1363"/>
    </row>
    <row customHeight="1" ht="19.5">
      <c r="E22" s="652">
        <v>20</v>
      </c>
      <c r="AB22" s="286" t="s">
        <v>67</v>
      </c>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2"/>
      <c r="BA22" s="192"/>
      <c r="BB22" s="192"/>
      <c r="BC22" s="189"/>
    </row>
    <row customHeight="1" ht="10.96875">
      <c r="E23" s="652">
        <v>11.25</v>
      </c>
      <c r="AI23" s="1363"/>
      <c r="AJ23" s="1363"/>
      <c r="AK23" s="1363"/>
      <c r="AL23" s="1363"/>
      <c r="AM23" s="1363"/>
      <c r="AN23" s="1363"/>
      <c r="AO23" s="1363"/>
      <c r="AP23" s="1363"/>
      <c r="AQ23" s="1363"/>
      <c r="AR23" s="1363"/>
      <c r="AS23" s="1363"/>
      <c r="AT23" s="1363"/>
      <c r="AU23" s="1363"/>
      <c r="AV23" s="1363"/>
      <c r="AW23" s="1363"/>
      <c r="AX23" s="1363"/>
      <c r="AY23" s="1363"/>
      <c r="AZ23" s="1363"/>
      <c r="BA23" s="1363"/>
      <c r="BB23" s="1363"/>
    </row>
    <row s="1363" customFormat="1" customHeight="1" ht="14.625">
      <c r="B24" s="400"/>
      <c r="E24" s="593">
        <v>15</v>
      </c>
      <c r="AB24" s="1522" t="s">
        <v>21</v>
      </c>
      <c r="AC24" s="1522" t="s">
        <v>358</v>
      </c>
      <c r="AD24" s="1522" t="s">
        <v>940</v>
      </c>
      <c r="AE24" s="325" t="str">
        <f>god-2&amp;" год"</f>
        <v>2024 год</v>
      </c>
      <c r="AF24" s="1099" t="str">
        <f>god-2&amp;" год"</f>
        <v>2024 год</v>
      </c>
      <c r="AG24" s="325" t="str">
        <f>god-2&amp;" год"</f>
        <v>2024 год</v>
      </c>
      <c r="AH24" s="60" t="str">
        <f>god-1&amp;" год"</f>
        <v>2025 год</v>
      </c>
      <c r="AI24" s="1096" t="str">
        <f>god&amp;" год"</f>
        <v>2026 год</v>
      </c>
      <c r="AJ24" s="1096" t="str">
        <f>god+1&amp;" год"</f>
        <v>2027 год</v>
      </c>
      <c r="AK24" s="1096" t="str">
        <f>god+2&amp;" год"</f>
        <v>2028 год</v>
      </c>
      <c r="AL24" s="1096" t="str">
        <f>god+3&amp;" год"</f>
        <v>2029 год</v>
      </c>
      <c r="AM24" s="1096" t="str">
        <f>god+4&amp;" год"</f>
        <v>2030 год</v>
      </c>
      <c r="AN24" s="1096" t="str">
        <f>god+5&amp;" год"</f>
        <v>2031 год</v>
      </c>
      <c r="AO24" s="1096" t="str">
        <f>god+6&amp;" год"</f>
        <v>2032 год</v>
      </c>
      <c r="AP24" s="1096" t="str">
        <f>god+7&amp;" год"</f>
        <v>2033 год</v>
      </c>
      <c r="AQ24" s="1096" t="str">
        <f>god+8&amp;" год"</f>
        <v>2034 год</v>
      </c>
      <c r="AR24" s="1096" t="str">
        <f>god+9&amp;" год"</f>
        <v>2035 год</v>
      </c>
      <c r="AS24" s="58" t="str">
        <f>god&amp;" год"</f>
        <v>2026 год</v>
      </c>
      <c r="AT24" s="58" t="str">
        <f>god+1&amp;" год"</f>
        <v>2027 год</v>
      </c>
      <c r="AU24" s="58" t="str">
        <f>god+2&amp;" год"</f>
        <v>2028 год</v>
      </c>
      <c r="AV24" s="58" t="str">
        <f>god+3&amp;" год"</f>
        <v>2029 год</v>
      </c>
      <c r="AW24" s="58" t="str">
        <f>god+4&amp;" год"</f>
        <v>2030 год</v>
      </c>
      <c r="AX24" s="58" t="str">
        <f>god+5&amp;" год"</f>
        <v>2031 год</v>
      </c>
      <c r="AY24" s="58" t="str">
        <f>god+6&amp;" год"</f>
        <v>2032 год</v>
      </c>
      <c r="AZ24" s="58" t="str">
        <f>god+7&amp;" год"</f>
        <v>2033 год</v>
      </c>
      <c r="BA24" s="58" t="str">
        <f>god+8&amp;" год"</f>
        <v>2034 год</v>
      </c>
      <c r="BB24" s="58" t="str">
        <f>god+9&amp;" год"</f>
        <v>2035 год</v>
      </c>
      <c r="BC24" s="1570" t="s">
        <v>500</v>
      </c>
      <c r="BF24" s="974"/>
      <c r="BG24" s="974"/>
      <c r="BH24" s="974"/>
      <c r="BI24" s="593"/>
      <c r="BJ24" s="593"/>
    </row>
    <row s="1363" customFormat="1" customHeight="1" ht="48.75">
      <c r="B25" s="400"/>
      <c r="E25" s="593">
        <v>50</v>
      </c>
      <c r="AB25" s="1522"/>
      <c r="AC25" s="1522"/>
      <c r="AD25" s="1522"/>
      <c r="AE25" s="58" t="s">
        <v>351</v>
      </c>
      <c r="AF25" s="1096" t="s">
        <v>424</v>
      </c>
      <c r="AG25" s="58" t="s">
        <v>425</v>
      </c>
      <c r="AH25" s="58" t="s">
        <v>351</v>
      </c>
      <c r="AI25" s="1100" t="s">
        <v>352</v>
      </c>
      <c r="AJ25" s="1100" t="s">
        <v>352</v>
      </c>
      <c r="AK25" s="1100" t="s">
        <v>352</v>
      </c>
      <c r="AL25" s="1100" t="s">
        <v>352</v>
      </c>
      <c r="AM25" s="1100" t="s">
        <v>352</v>
      </c>
      <c r="AN25" s="1100" t="s">
        <v>352</v>
      </c>
      <c r="AO25" s="1100" t="s">
        <v>352</v>
      </c>
      <c r="AP25" s="1100" t="s">
        <v>352</v>
      </c>
      <c r="AQ25" s="1100" t="s">
        <v>352</v>
      </c>
      <c r="AR25" s="1100" t="s">
        <v>352</v>
      </c>
      <c r="AS25" s="326" t="s">
        <v>351</v>
      </c>
      <c r="AT25" s="326" t="s">
        <v>351</v>
      </c>
      <c r="AU25" s="326" t="s">
        <v>351</v>
      </c>
      <c r="AV25" s="326" t="s">
        <v>351</v>
      </c>
      <c r="AW25" s="326" t="s">
        <v>351</v>
      </c>
      <c r="AX25" s="326" t="s">
        <v>351</v>
      </c>
      <c r="AY25" s="326" t="s">
        <v>351</v>
      </c>
      <c r="AZ25" s="326" t="s">
        <v>351</v>
      </c>
      <c r="BA25" s="326" t="s">
        <v>351</v>
      </c>
      <c r="BB25" s="326" t="s">
        <v>351</v>
      </c>
      <c r="BC25" s="1570"/>
      <c r="BF25" s="974"/>
      <c r="BG25" s="974"/>
      <c r="BH25" s="974"/>
      <c r="BI25" s="593"/>
      <c r="BJ25" s="593"/>
    </row>
    <row s="1624" customFormat="1" customHeight="1" ht="11.25">
      <c r="B26" s="402"/>
      <c r="E26" s="647" t="s">
        <v>362</v>
      </c>
      <c r="F26" s="51"/>
      <c r="AC26" s="66"/>
      <c r="AD26" s="66"/>
      <c r="AE26" s="66"/>
      <c r="AF26" s="66"/>
      <c r="AI26" s="1624"/>
      <c r="AJ26" s="1624"/>
      <c r="AK26" s="1624"/>
      <c r="AL26" s="1624"/>
      <c r="AM26" s="1624"/>
      <c r="AN26" s="1624"/>
      <c r="AO26" s="1624"/>
      <c r="AP26" s="1624"/>
      <c r="AQ26" s="67"/>
      <c r="AR26" s="1624"/>
      <c r="AS26" s="1624"/>
      <c r="AT26" s="1624"/>
      <c r="AU26" s="1624"/>
      <c r="AV26" s="1624"/>
      <c r="AW26" s="1624"/>
      <c r="AX26" s="1624"/>
      <c r="AY26" s="1624"/>
      <c r="AZ26" s="1624"/>
      <c r="BA26" s="1624"/>
      <c r="BB26" s="1624"/>
      <c r="BF26" s="981"/>
      <c r="BG26" s="981"/>
      <c r="BH26" s="981"/>
      <c r="BI26" s="599"/>
      <c r="BJ26" s="599"/>
    </row>
    <row s="1363" customFormat="1" customHeight="1" ht="14.625" hidden="1">
      <c r="A27" s="1363"/>
      <c r="B27" s="400"/>
      <c r="C27" s="1363"/>
      <c r="D27" s="1363"/>
      <c r="E27" s="593">
        <v>15</v>
      </c>
      <c r="F27" s="64" cm="1" t="str">
        <f t="array" ref="F27:F27">X27</f>
        <v>0</v>
      </c>
      <c r="G27" s="1363"/>
      <c r="H27" s="1363"/>
      <c r="I27" s="1363"/>
      <c r="J27" s="1363"/>
      <c r="K27" s="1363"/>
      <c r="L27" s="1363"/>
      <c r="M27" s="1363"/>
      <c r="N27" s="1363"/>
      <c r="O27" s="1363"/>
      <c r="P27" s="1363"/>
      <c r="Q27" s="1363"/>
      <c r="R27" s="1363"/>
      <c r="S27" s="1363"/>
      <c r="T27" s="438">
        <f>X27&gt;0</f>
        <v>0</v>
      </c>
      <c r="U27" s="1363"/>
      <c r="V27" s="88" t="s">
        <v>267</v>
      </c>
      <c r="W27" s="1363"/>
      <c r="X27" s="1511">
        <v>0</v>
      </c>
      <c r="Y27" s="1363"/>
      <c r="Z27" s="1494"/>
      <c r="AA27" s="1363"/>
      <c r="AB27" s="188" cm="1" t="str">
        <f t="array" ref="AB27:AB27">INDEX('Общие сведения'!$AG$179:$AG$208,MATCH($X27,'Общие сведения'!$Z$179:$Z$208,0))</f>
        <v>Тариф 0 () - тариф на транспортировку сточных вод</v>
      </c>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363"/>
      <c r="BE27" s="1363"/>
      <c r="BF27" s="974"/>
      <c r="BG27" s="974"/>
      <c r="BH27" s="974"/>
      <c r="BI27" s="593"/>
      <c r="BJ27" s="593"/>
    </row>
    <row s="1363" customFormat="1" customHeight="1" ht="21.9375" hidden="1">
      <c r="A28" s="1363"/>
      <c r="B28" s="400"/>
      <c r="C28" s="1363"/>
      <c r="D28" s="1363"/>
      <c r="E28" s="593">
        <v>22.5</v>
      </c>
      <c r="F28" s="50" cm="1" t="str">
        <f t="array" ref="F28:F28">OFFSET(E28,-1,1)</f>
        <v>0</v>
      </c>
      <c r="G28" s="88" t="s">
        <v>1127</v>
      </c>
      <c r="H28" s="1363"/>
      <c r="I28" s="1363"/>
      <c r="J28" s="1363"/>
      <c r="K28" s="90" t="str">
        <f>F28&amp;"komm"</f>
        <v>0komm</v>
      </c>
      <c r="L28" s="895" cm="1" t="str">
        <f t="array" ref="L28:L28">BC28</f>
        <v>0</v>
      </c>
      <c r="M28" s="1363"/>
      <c r="N28" s="1363"/>
      <c r="O28" s="1363"/>
      <c r="P28" s="1363"/>
      <c r="Q28" s="1363"/>
      <c r="R28" s="1363"/>
      <c r="S28" s="1363"/>
      <c r="T28" s="438" cm="1" t="str">
        <f t="array" ref="T28:T28">T27</f>
        <v>false</v>
      </c>
      <c r="U28" s="1363"/>
      <c r="V28" s="1363"/>
      <c r="W28" s="1363"/>
      <c r="X28" s="1511"/>
      <c r="Y28" s="1363"/>
      <c r="Z28" s="1494"/>
      <c r="AA28" s="1363"/>
      <c r="AB28" s="200">
        <v>0</v>
      </c>
      <c r="AC28" s="185" t="s">
        <v>1145</v>
      </c>
      <c r="AD28" s="177" t="s">
        <v>789</v>
      </c>
      <c r="AE28" s="193">
        <f>SUM(AE29:AE38)</f>
        <v>0</v>
      </c>
      <c r="AF28" s="193">
        <f>SUM(AF29:AF38)</f>
        <v>0</v>
      </c>
      <c r="AG28" s="193">
        <f>SUM(AG29:AG38)</f>
        <v>0</v>
      </c>
      <c r="AH28" s="193">
        <f>SUM(AH29:AH38)</f>
        <v>0</v>
      </c>
      <c r="AI28" s="193">
        <f>SUM(AI29:AI38)</f>
        <v>0</v>
      </c>
      <c r="AJ28" s="193">
        <f>SUM(AJ29:AJ38)</f>
        <v>0</v>
      </c>
      <c r="AK28" s="193">
        <f>SUM(AK29:AK38)</f>
        <v>0</v>
      </c>
      <c r="AL28" s="193">
        <f>SUM(AL29:AL38)</f>
        <v>0</v>
      </c>
      <c r="AM28" s="193">
        <f>SUM(AM29:AM38)</f>
        <v>0</v>
      </c>
      <c r="AN28" s="193">
        <f>SUM(AN29:AN38)</f>
        <v>0</v>
      </c>
      <c r="AO28" s="193">
        <f>SUM(AO29:AO38)</f>
        <v>0</v>
      </c>
      <c r="AP28" s="193">
        <f>SUM(AP29:AP38)</f>
        <v>0</v>
      </c>
      <c r="AQ28" s="193">
        <f>SUM(AQ29:AQ38)</f>
        <v>0</v>
      </c>
      <c r="AR28" s="193">
        <f>SUM(AR29:AR38)</f>
        <v>0</v>
      </c>
      <c r="AS28" s="193">
        <f>SUM(AS29:AS38)</f>
        <v>0</v>
      </c>
      <c r="AT28" s="193">
        <f>SUM(AT29:AT38)</f>
        <v>0</v>
      </c>
      <c r="AU28" s="193">
        <f>SUM(AU29:AU38)</f>
        <v>0</v>
      </c>
      <c r="AV28" s="193">
        <f>SUM(AV29:AV38)</f>
        <v>0</v>
      </c>
      <c r="AW28" s="193">
        <f>SUM(AW29:AW38)</f>
        <v>0</v>
      </c>
      <c r="AX28" s="193">
        <f>SUM(AX29:AX38)</f>
        <v>0</v>
      </c>
      <c r="AY28" s="193">
        <f>SUM(AY29:AY38)</f>
        <v>0</v>
      </c>
      <c r="AZ28" s="193">
        <f>SUM(AZ29:AZ38)</f>
        <v>0</v>
      </c>
      <c r="BA28" s="193">
        <f>SUM(BA29:BA38)</f>
        <v>0</v>
      </c>
      <c r="BB28" s="193">
        <f>SUM(BB29:BB38)</f>
        <v>0</v>
      </c>
      <c r="BC28" s="1880"/>
      <c r="BD28" s="1363"/>
      <c r="BE28" s="1363"/>
      <c r="BF28" s="974" t="s">
        <v>1146</v>
      </c>
      <c r="BG28" s="974"/>
      <c r="BH28" s="974"/>
      <c r="BI28" s="593"/>
      <c r="BJ28" s="593"/>
    </row>
    <row s="1363" customFormat="1" customHeight="1" ht="14.625" hidden="1">
      <c r="A29" s="1363"/>
      <c r="B29" s="400"/>
      <c r="C29" s="1363"/>
      <c r="D29" s="1363"/>
      <c r="E29" s="593">
        <v>15</v>
      </c>
      <c r="F29" s="50" cm="1" t="str">
        <f t="array" ref="F29:F29">OFFSET(E29,-1,1)</f>
        <v>0</v>
      </c>
      <c r="G29" s="88" t="s">
        <v>321</v>
      </c>
      <c r="H29" s="1363"/>
      <c r="I29" s="1363"/>
      <c r="J29" s="1363"/>
      <c r="K29" s="90" t="str">
        <f>F29&amp;"1komm"</f>
        <v>01komm</v>
      </c>
      <c r="L29" s="895" cm="1" t="str">
        <f t="array" ref="L29:L29">BC29</f>
        <v>0</v>
      </c>
      <c r="M29" s="1363"/>
      <c r="N29" s="1363"/>
      <c r="O29" s="1363"/>
      <c r="P29" s="1363"/>
      <c r="Q29" s="1363"/>
      <c r="R29" s="1363"/>
      <c r="S29" s="1363"/>
      <c r="T29" s="438" cm="1" t="str">
        <f t="array" ref="T29:T29">T28</f>
        <v>false</v>
      </c>
      <c r="U29" s="1363"/>
      <c r="V29" s="1363"/>
      <c r="W29" s="1363"/>
      <c r="X29" s="1511"/>
      <c r="Y29" s="1363"/>
      <c r="Z29" s="1494"/>
      <c r="AA29" s="1363"/>
      <c r="AB29" s="265" t="s">
        <v>281</v>
      </c>
      <c r="AC29" s="424" t="s">
        <v>1147</v>
      </c>
      <c r="AD29" s="266" t="s">
        <v>789</v>
      </c>
      <c r="AE29" s="2760"/>
      <c r="AF29" s="2730"/>
      <c r="AG29" s="2730"/>
      <c r="AH29" s="2730"/>
      <c r="AI29" s="195"/>
      <c r="AJ29" s="2730"/>
      <c r="AK29" s="2730"/>
      <c r="AL29" s="2730"/>
      <c r="AM29" s="2730"/>
      <c r="AN29" s="2730"/>
      <c r="AO29" s="2730"/>
      <c r="AP29" s="2730"/>
      <c r="AQ29" s="2730"/>
      <c r="AR29" s="2730"/>
      <c r="AS29" s="195"/>
      <c r="AT29" s="2730"/>
      <c r="AU29" s="2730"/>
      <c r="AV29" s="2730"/>
      <c r="AW29" s="2730"/>
      <c r="AX29" s="2730"/>
      <c r="AY29" s="2730"/>
      <c r="AZ29" s="2730"/>
      <c r="BA29" s="2730"/>
      <c r="BB29" s="2730"/>
      <c r="BC29" s="1880"/>
      <c r="BD29" s="1363"/>
      <c r="BE29" s="1363"/>
      <c r="BF29" s="974" t="s">
        <v>1148</v>
      </c>
      <c r="BG29" s="974"/>
      <c r="BH29" s="974"/>
      <c r="BI29" s="593"/>
      <c r="BJ29" s="593"/>
    </row>
    <row s="1363" customFormat="1" customHeight="1" ht="21.9375" hidden="1">
      <c r="A30" s="1363"/>
      <c r="B30" s="814"/>
      <c r="C30" s="398"/>
      <c r="D30" s="398"/>
      <c r="E30" s="594">
        <v>22.5</v>
      </c>
      <c r="F30" s="50" cm="1" t="str">
        <f t="array" ref="F30:F30">OFFSET(E30,-1,1)</f>
        <v>0</v>
      </c>
      <c r="G30" s="398" t="s">
        <v>322</v>
      </c>
      <c r="H30" s="398"/>
      <c r="I30" s="398"/>
      <c r="J30" s="398"/>
      <c r="K30" s="90" t="str">
        <f>F30&amp;"2komm"</f>
        <v>02komm</v>
      </c>
      <c r="L30" s="895" cm="1" t="str">
        <f t="array" ref="L30:L30">BC30</f>
        <v>0</v>
      </c>
      <c r="M30" s="398"/>
      <c r="N30" s="398"/>
      <c r="O30" s="398"/>
      <c r="P30" s="398"/>
      <c r="Q30" s="398"/>
      <c r="R30" s="398"/>
      <c r="S30" s="398"/>
      <c r="T30" s="438" cm="1" t="str">
        <f t="array" ref="T30:T30">T29</f>
        <v>false</v>
      </c>
      <c r="U30" s="398"/>
      <c r="V30" s="398"/>
      <c r="W30" s="1363"/>
      <c r="X30" s="1511"/>
      <c r="Y30" s="1363"/>
      <c r="Z30" s="1494"/>
      <c r="AA30" s="1363"/>
      <c r="AB30" s="265" t="s">
        <v>504</v>
      </c>
      <c r="AC30" s="424" t="s">
        <v>1149</v>
      </c>
      <c r="AD30" s="266" t="s">
        <v>789</v>
      </c>
      <c r="AE30" s="2760"/>
      <c r="AF30" s="2730"/>
      <c r="AG30" s="2730"/>
      <c r="AH30" s="2730"/>
      <c r="AI30" s="195"/>
      <c r="AJ30" s="2730"/>
      <c r="AK30" s="2730"/>
      <c r="AL30" s="2730"/>
      <c r="AM30" s="2730"/>
      <c r="AN30" s="2730"/>
      <c r="AO30" s="2730"/>
      <c r="AP30" s="2730"/>
      <c r="AQ30" s="2730"/>
      <c r="AR30" s="2730"/>
      <c r="AS30" s="195"/>
      <c r="AT30" s="2730"/>
      <c r="AU30" s="2730"/>
      <c r="AV30" s="2730"/>
      <c r="AW30" s="2730"/>
      <c r="AX30" s="2730"/>
      <c r="AY30" s="2730"/>
      <c r="AZ30" s="2730"/>
      <c r="BA30" s="2730"/>
      <c r="BB30" s="2730"/>
      <c r="BC30" s="1880"/>
      <c r="BD30" s="1363"/>
      <c r="BE30" s="1363"/>
      <c r="BF30" s="974" t="s">
        <v>1150</v>
      </c>
      <c r="BG30" s="974"/>
      <c r="BH30" s="974"/>
      <c r="BI30" s="593"/>
      <c r="BJ30" s="593"/>
    </row>
    <row s="1363" customFormat="1" customHeight="1" ht="21.9375" hidden="1">
      <c r="A31" s="1363"/>
      <c r="B31" s="814"/>
      <c r="C31" s="398"/>
      <c r="D31" s="398"/>
      <c r="E31" s="594">
        <v>22.5</v>
      </c>
      <c r="F31" s="50" cm="1" t="str">
        <f t="array" ref="F31:F31">OFFSET(E31,-1,1)</f>
        <v>0</v>
      </c>
      <c r="G31" s="398" t="s">
        <v>323</v>
      </c>
      <c r="H31" s="398" t="s">
        <v>1151</v>
      </c>
      <c r="I31" s="398"/>
      <c r="J31" s="398"/>
      <c r="K31" s="90" t="str">
        <f>F31&amp;"3komm"</f>
        <v>03komm</v>
      </c>
      <c r="L31" s="895" cm="1" t="str">
        <f t="array" ref="L31:L31">BC31</f>
        <v>0</v>
      </c>
      <c r="M31" s="398"/>
      <c r="N31" s="398"/>
      <c r="O31" s="398"/>
      <c r="P31" s="398"/>
      <c r="Q31" s="398"/>
      <c r="R31" s="398"/>
      <c r="S31" s="398"/>
      <c r="T31" s="438" cm="1" t="str">
        <f t="array" ref="T31:T31">T30</f>
        <v>false</v>
      </c>
      <c r="U31" s="398"/>
      <c r="V31" s="398"/>
      <c r="W31" s="1363"/>
      <c r="X31" s="1511"/>
      <c r="Y31" s="1363"/>
      <c r="Z31" s="1494"/>
      <c r="AA31" s="1363"/>
      <c r="AB31" s="265" t="s">
        <v>319</v>
      </c>
      <c r="AC31" s="424" t="s">
        <v>1152</v>
      </c>
      <c r="AD31" s="266" t="s">
        <v>789</v>
      </c>
      <c r="AE31" s="2760"/>
      <c r="AF31" s="2730"/>
      <c r="AG31" s="2730"/>
      <c r="AH31" s="2730"/>
      <c r="AI31" s="195"/>
      <c r="AJ31" s="2730"/>
      <c r="AK31" s="2730"/>
      <c r="AL31" s="2730"/>
      <c r="AM31" s="2730"/>
      <c r="AN31" s="2730"/>
      <c r="AO31" s="2730"/>
      <c r="AP31" s="2730"/>
      <c r="AQ31" s="2730"/>
      <c r="AR31" s="2730"/>
      <c r="AS31" s="195"/>
      <c r="AT31" s="2730"/>
      <c r="AU31" s="2730"/>
      <c r="AV31" s="2730"/>
      <c r="AW31" s="2730"/>
      <c r="AX31" s="2730"/>
      <c r="AY31" s="2730"/>
      <c r="AZ31" s="2730"/>
      <c r="BA31" s="2730"/>
      <c r="BB31" s="2730"/>
      <c r="BC31" s="1880"/>
      <c r="BD31" s="1363"/>
      <c r="BE31" s="1363"/>
      <c r="BF31" s="974" t="s">
        <v>1153</v>
      </c>
      <c r="BG31" s="974"/>
      <c r="BH31" s="974"/>
      <c r="BI31" s="593"/>
      <c r="BJ31" s="593"/>
    </row>
    <row customHeight="1" ht="14.625" hidden="1">
      <c r="A32" s="1363"/>
      <c r="B32" s="867"/>
      <c r="C32" s="863"/>
      <c r="D32" s="863"/>
      <c r="E32" s="864">
        <v>15</v>
      </c>
      <c r="F32" s="50" cm="1" t="str">
        <f t="array" ref="F32:F32">OFFSET(E32,-1,1)</f>
        <v>0</v>
      </c>
      <c r="G32" s="863" t="s">
        <v>325</v>
      </c>
      <c r="H32" s="863"/>
      <c r="I32" s="863"/>
      <c r="J32" s="863"/>
      <c r="K32" s="90" t="str">
        <f>F32&amp;"4komm"</f>
        <v>04komm</v>
      </c>
      <c r="L32" s="895" cm="1" t="str">
        <f t="array" ref="L32:L32">BC32</f>
        <v>0</v>
      </c>
      <c r="M32" s="863"/>
      <c r="N32" s="863"/>
      <c r="O32" s="863"/>
      <c r="P32" s="863"/>
      <c r="Q32" s="863"/>
      <c r="R32" s="863"/>
      <c r="S32" s="863"/>
      <c r="T32" s="438" cm="1" t="str">
        <f t="array" ref="T32:T32">T31</f>
        <v>false</v>
      </c>
      <c r="U32" s="863"/>
      <c r="V32" s="863"/>
      <c r="W32" s="1363"/>
      <c r="X32" s="1511"/>
      <c r="Y32" s="1363"/>
      <c r="Z32" s="1494"/>
      <c r="AA32" s="1363"/>
      <c r="AB32" s="865">
        <v>4</v>
      </c>
      <c r="AC32" s="424" t="s">
        <v>1154</v>
      </c>
      <c r="AD32" s="266" t="s">
        <v>789</v>
      </c>
      <c r="AE32" s="2767"/>
      <c r="AF32" s="2767"/>
      <c r="AG32" s="2767"/>
      <c r="AH32" s="2767"/>
      <c r="AI32" s="196"/>
      <c r="AJ32" s="2767"/>
      <c r="AK32" s="2767"/>
      <c r="AL32" s="2767"/>
      <c r="AM32" s="2767"/>
      <c r="AN32" s="2767"/>
      <c r="AO32" s="2767"/>
      <c r="AP32" s="2767"/>
      <c r="AQ32" s="2767"/>
      <c r="AR32" s="2767"/>
      <c r="AS32" s="196"/>
      <c r="AT32" s="2767"/>
      <c r="AU32" s="2767"/>
      <c r="AV32" s="2767"/>
      <c r="AW32" s="2767"/>
      <c r="AX32" s="2767"/>
      <c r="AY32" s="2767"/>
      <c r="AZ32" s="2767"/>
      <c r="BA32" s="2767"/>
      <c r="BB32" s="2767"/>
      <c r="BC32" s="1880"/>
      <c r="BD32" s="1363"/>
      <c r="BE32" s="1363"/>
      <c r="BF32" s="1015" t="s">
        <v>1155</v>
      </c>
      <c r="BG32" s="1374"/>
      <c r="BH32" s="1374"/>
      <c r="BI32" s="1370"/>
      <c r="BJ32" s="1370"/>
    </row>
    <row s="1363" customFormat="1" customHeight="1" ht="14.625" hidden="1">
      <c r="A33" s="1363"/>
      <c r="B33" s="814"/>
      <c r="C33" s="398"/>
      <c r="D33" s="398"/>
      <c r="E33" s="594">
        <v>15</v>
      </c>
      <c r="F33" s="50" cm="1" t="str">
        <f t="array" ref="F33:F33">OFFSET(E33,-1,1)</f>
        <v>0</v>
      </c>
      <c r="G33" s="398" t="s">
        <v>324</v>
      </c>
      <c r="H33" s="398"/>
      <c r="I33" s="398"/>
      <c r="J33" s="398"/>
      <c r="K33" s="90" t="str">
        <f>F33&amp;"5komm"</f>
        <v>05komm</v>
      </c>
      <c r="L33" s="895" cm="1" t="str">
        <f t="array" ref="L33:L33">BC33</f>
        <v>0</v>
      </c>
      <c r="M33" s="398"/>
      <c r="N33" s="398"/>
      <c r="O33" s="398"/>
      <c r="P33" s="398"/>
      <c r="Q33" s="398"/>
      <c r="R33" s="398"/>
      <c r="S33" s="398"/>
      <c r="T33" s="438" cm="1" t="str">
        <f t="array" ref="T33:T33">T32</f>
        <v>false</v>
      </c>
      <c r="U33" s="398"/>
      <c r="V33" s="398"/>
      <c r="W33" s="1363"/>
      <c r="X33" s="1511"/>
      <c r="Y33" s="1363"/>
      <c r="Z33" s="1494"/>
      <c r="AA33" s="1363"/>
      <c r="AB33" s="265" t="s">
        <v>485</v>
      </c>
      <c r="AC33" s="424" t="s">
        <v>1156</v>
      </c>
      <c r="AD33" s="266" t="s">
        <v>789</v>
      </c>
      <c r="AE33" s="2760"/>
      <c r="AF33" s="2760"/>
      <c r="AG33" s="2760"/>
      <c r="AH33" s="2760"/>
      <c r="AI33" s="194"/>
      <c r="AJ33" s="2760"/>
      <c r="AK33" s="2760"/>
      <c r="AL33" s="2760"/>
      <c r="AM33" s="2760"/>
      <c r="AN33" s="2760"/>
      <c r="AO33" s="2760"/>
      <c r="AP33" s="2760"/>
      <c r="AQ33" s="2760"/>
      <c r="AR33" s="2760"/>
      <c r="AS33" s="194"/>
      <c r="AT33" s="2760"/>
      <c r="AU33" s="2760"/>
      <c r="AV33" s="2760"/>
      <c r="AW33" s="2760"/>
      <c r="AX33" s="2760"/>
      <c r="AY33" s="2760"/>
      <c r="AZ33" s="2760"/>
      <c r="BA33" s="2760"/>
      <c r="BB33" s="2760"/>
      <c r="BC33" s="1880"/>
      <c r="BD33" s="1363"/>
      <c r="BE33" s="1363"/>
      <c r="BF33" s="974" t="s">
        <v>1157</v>
      </c>
      <c r="BG33" s="974"/>
      <c r="BH33" s="974"/>
      <c r="BI33" s="593"/>
      <c r="BJ33" s="593"/>
    </row>
    <row s="1363" customFormat="1" customHeight="1" ht="14.625" hidden="1">
      <c r="A34" s="1363"/>
      <c r="B34" s="814"/>
      <c r="C34" s="398"/>
      <c r="D34" s="398"/>
      <c r="E34" s="594">
        <v>15</v>
      </c>
      <c r="F34" s="50" cm="1" t="str">
        <f t="array" ref="F34:F34">OFFSET(E34,-1,1)</f>
        <v>0</v>
      </c>
      <c r="G34" s="398" t="s">
        <v>484</v>
      </c>
      <c r="H34" s="398"/>
      <c r="I34" s="398"/>
      <c r="J34" s="398"/>
      <c r="K34" s="90" t="str">
        <f>F34&amp;"6komm"</f>
        <v>06komm</v>
      </c>
      <c r="L34" s="895" cm="1" t="str">
        <f t="array" ref="L34:L34">BC34</f>
        <v>0</v>
      </c>
      <c r="M34" s="398"/>
      <c r="N34" s="398"/>
      <c r="O34" s="398"/>
      <c r="P34" s="398"/>
      <c r="Q34" s="398"/>
      <c r="R34" s="398"/>
      <c r="S34" s="398"/>
      <c r="T34" s="438" cm="1" t="str">
        <f t="array" ref="T34:T34">T33</f>
        <v>false</v>
      </c>
      <c r="U34" s="398"/>
      <c r="V34" s="398"/>
      <c r="W34" s="1363"/>
      <c r="X34" s="1511"/>
      <c r="Y34" s="1363"/>
      <c r="Z34" s="1494"/>
      <c r="AA34" s="1363"/>
      <c r="AB34" s="265" t="s">
        <v>489</v>
      </c>
      <c r="AC34" s="424" t="s">
        <v>1158</v>
      </c>
      <c r="AD34" s="266" t="s">
        <v>789</v>
      </c>
      <c r="AE34" s="2760"/>
      <c r="AF34" s="2760"/>
      <c r="AG34" s="2760"/>
      <c r="AH34" s="2760"/>
      <c r="AI34" s="194"/>
      <c r="AJ34" s="2760"/>
      <c r="AK34" s="2760"/>
      <c r="AL34" s="2760"/>
      <c r="AM34" s="2760"/>
      <c r="AN34" s="2760"/>
      <c r="AO34" s="2760"/>
      <c r="AP34" s="2760"/>
      <c r="AQ34" s="2760"/>
      <c r="AR34" s="2760"/>
      <c r="AS34" s="194"/>
      <c r="AT34" s="2760"/>
      <c r="AU34" s="2760"/>
      <c r="AV34" s="2760"/>
      <c r="AW34" s="2760"/>
      <c r="AX34" s="2760"/>
      <c r="AY34" s="2760"/>
      <c r="AZ34" s="2760"/>
      <c r="BA34" s="2760"/>
      <c r="BB34" s="2760"/>
      <c r="BC34" s="1880"/>
      <c r="BD34" s="1363"/>
      <c r="BE34" s="1363"/>
      <c r="BF34" s="974" t="s">
        <v>1159</v>
      </c>
      <c r="BG34" s="974"/>
      <c r="BH34" s="974"/>
      <c r="BI34" s="593"/>
      <c r="BJ34" s="593"/>
    </row>
    <row s="1363" customFormat="1" customHeight="1" ht="14.625" hidden="1">
      <c r="A35" s="1363"/>
      <c r="B35" s="814"/>
      <c r="C35" s="398"/>
      <c r="D35" s="398"/>
      <c r="E35" s="594">
        <v>15</v>
      </c>
      <c r="F35" s="50" cm="1" t="str">
        <f t="array" ref="F35:F35">OFFSET(E35,-1,1)</f>
        <v>0</v>
      </c>
      <c r="G35" s="398" t="s">
        <v>488</v>
      </c>
      <c r="H35" s="398" t="s">
        <v>1160</v>
      </c>
      <c r="I35" s="398"/>
      <c r="J35" s="398"/>
      <c r="K35" s="90" t="str">
        <f>F35&amp;"7komm"</f>
        <v>07komm</v>
      </c>
      <c r="L35" s="895" cm="1" t="str">
        <f t="array" ref="L35:L35">BC35</f>
        <v>0</v>
      </c>
      <c r="M35" s="398"/>
      <c r="N35" s="398"/>
      <c r="O35" s="398"/>
      <c r="P35" s="398"/>
      <c r="Q35" s="398"/>
      <c r="R35" s="398"/>
      <c r="S35" s="398"/>
      <c r="T35" s="438" cm="1" t="str">
        <f t="array" ref="T35:T35">T34</f>
        <v>false</v>
      </c>
      <c r="U35" s="398"/>
      <c r="V35" s="398"/>
      <c r="W35" s="1363"/>
      <c r="X35" s="1511"/>
      <c r="Y35" s="1363"/>
      <c r="Z35" s="1494"/>
      <c r="AA35" s="1363"/>
      <c r="AB35" s="265" t="s">
        <v>551</v>
      </c>
      <c r="AC35" s="424" t="s">
        <v>1161</v>
      </c>
      <c r="AD35" s="266" t="s">
        <v>789</v>
      </c>
      <c r="AE35" s="2760"/>
      <c r="AF35" s="2760"/>
      <c r="AG35" s="2760"/>
      <c r="AH35" s="2760"/>
      <c r="AI35" s="194"/>
      <c r="AJ35" s="2760"/>
      <c r="AK35" s="2760"/>
      <c r="AL35" s="2760"/>
      <c r="AM35" s="2760"/>
      <c r="AN35" s="2760"/>
      <c r="AO35" s="2760"/>
      <c r="AP35" s="2760"/>
      <c r="AQ35" s="2760"/>
      <c r="AR35" s="2760"/>
      <c r="AS35" s="194"/>
      <c r="AT35" s="2760"/>
      <c r="AU35" s="2760"/>
      <c r="AV35" s="2760"/>
      <c r="AW35" s="2760"/>
      <c r="AX35" s="2760"/>
      <c r="AY35" s="2760"/>
      <c r="AZ35" s="2760"/>
      <c r="BA35" s="2760"/>
      <c r="BB35" s="2760"/>
      <c r="BC35" s="1880"/>
      <c r="BD35" s="1363"/>
      <c r="BE35" s="1363"/>
      <c r="BF35" s="974" t="s">
        <v>1162</v>
      </c>
      <c r="BG35" s="974"/>
      <c r="BH35" s="974"/>
      <c r="BI35" s="593"/>
      <c r="BJ35" s="593"/>
    </row>
    <row s="1363" customFormat="1" customHeight="1" ht="21.9375" hidden="1">
      <c r="A36" s="1363"/>
      <c r="B36" s="814"/>
      <c r="C36" s="398"/>
      <c r="D36" s="398"/>
      <c r="E36" s="594">
        <v>22.5</v>
      </c>
      <c r="F36" s="50" cm="1" t="str">
        <f t="array" ref="F36:F36">OFFSET(E36,-1,1)</f>
        <v>0</v>
      </c>
      <c r="G36" s="398" t="s">
        <v>535</v>
      </c>
      <c r="H36" s="398"/>
      <c r="I36" s="398"/>
      <c r="J36" s="398"/>
      <c r="K36" s="90" t="str">
        <f>F36&amp;"8komm"</f>
        <v>08komm</v>
      </c>
      <c r="L36" s="895" cm="1" t="str">
        <f t="array" ref="L36:L36">BC36</f>
        <v>0</v>
      </c>
      <c r="M36" s="398"/>
      <c r="N36" s="398"/>
      <c r="O36" s="398"/>
      <c r="P36" s="398"/>
      <c r="Q36" s="398"/>
      <c r="R36" s="398"/>
      <c r="S36" s="398"/>
      <c r="T36" s="438" cm="1" t="str">
        <f t="array" ref="T36:T36">T35</f>
        <v>false</v>
      </c>
      <c r="U36" s="398"/>
      <c r="V36" s="398"/>
      <c r="W36" s="1363"/>
      <c r="X36" s="1511"/>
      <c r="Y36" s="1363"/>
      <c r="Z36" s="1494"/>
      <c r="AA36" s="1363"/>
      <c r="AB36" s="265" t="s">
        <v>559</v>
      </c>
      <c r="AC36" s="424" t="s">
        <v>1163</v>
      </c>
      <c r="AD36" s="266" t="s">
        <v>789</v>
      </c>
      <c r="AE36" s="2760"/>
      <c r="AF36" s="2760"/>
      <c r="AG36" s="2760"/>
      <c r="AH36" s="2760"/>
      <c r="AI36" s="194"/>
      <c r="AJ36" s="2760"/>
      <c r="AK36" s="2760"/>
      <c r="AL36" s="2760"/>
      <c r="AM36" s="2760"/>
      <c r="AN36" s="2760"/>
      <c r="AO36" s="2760"/>
      <c r="AP36" s="2760"/>
      <c r="AQ36" s="2760"/>
      <c r="AR36" s="2760"/>
      <c r="AS36" s="194"/>
      <c r="AT36" s="2760"/>
      <c r="AU36" s="2760"/>
      <c r="AV36" s="2760"/>
      <c r="AW36" s="2760"/>
      <c r="AX36" s="2760"/>
      <c r="AY36" s="2760"/>
      <c r="AZ36" s="2760"/>
      <c r="BA36" s="2760"/>
      <c r="BB36" s="2760"/>
      <c r="BC36" s="1880"/>
      <c r="BD36" s="1363"/>
      <c r="BE36" s="1363"/>
      <c r="BF36" s="974" t="s">
        <v>1164</v>
      </c>
      <c r="BG36" s="974"/>
      <c r="BH36" s="974"/>
      <c r="BI36" s="593"/>
      <c r="BJ36" s="593"/>
    </row>
    <row s="998" customFormat="1" customHeight="1" ht="21.9375" hidden="1">
      <c r="A37" s="998"/>
      <c r="B37" s="814"/>
      <c r="C37" s="398"/>
      <c r="D37" s="398"/>
      <c r="E37" s="594">
        <v>22.5</v>
      </c>
      <c r="F37" s="50" cm="1" t="str">
        <f t="array" ref="F37:F37">OFFSET(E37,-1,1)</f>
        <v>0</v>
      </c>
      <c r="G37" s="398"/>
      <c r="H37" s="398"/>
      <c r="I37" s="398"/>
      <c r="J37" s="398"/>
      <c r="K37" s="90" t="str">
        <f>F37&amp;"9komm"</f>
        <v>09komm</v>
      </c>
      <c r="L37" s="895" cm="1" t="str">
        <f t="array" ref="L37:L37">BC37</f>
        <v>0</v>
      </c>
      <c r="M37" s="398"/>
      <c r="N37" s="398"/>
      <c r="O37" s="398"/>
      <c r="P37" s="398"/>
      <c r="Q37" s="398"/>
      <c r="R37" s="398"/>
      <c r="S37" s="398"/>
      <c r="T37" s="438" cm="1" t="str">
        <f t="array" ref="T37:T37">T36</f>
        <v>false</v>
      </c>
      <c r="U37" s="398"/>
      <c r="V37" s="398"/>
      <c r="W37" s="998"/>
      <c r="X37" s="1511"/>
      <c r="Y37" s="998"/>
      <c r="Z37" s="1494"/>
      <c r="AA37" s="998"/>
      <c r="AB37" s="265" t="s">
        <v>717</v>
      </c>
      <c r="AC37" s="424" t="s">
        <v>1165</v>
      </c>
      <c r="AD37" s="266" t="s">
        <v>789</v>
      </c>
      <c r="AE37" s="2655"/>
      <c r="AF37" s="2655"/>
      <c r="AG37" s="2655"/>
      <c r="AH37" s="2655"/>
      <c r="AI37" s="264"/>
      <c r="AJ37" s="2655"/>
      <c r="AK37" s="2655"/>
      <c r="AL37" s="2655"/>
      <c r="AM37" s="2655"/>
      <c r="AN37" s="2655"/>
      <c r="AO37" s="2655"/>
      <c r="AP37" s="2655"/>
      <c r="AQ37" s="2655"/>
      <c r="AR37" s="2655"/>
      <c r="AS37" s="264"/>
      <c r="AT37" s="2655"/>
      <c r="AU37" s="2655"/>
      <c r="AV37" s="2655"/>
      <c r="AW37" s="2655"/>
      <c r="AX37" s="2655"/>
      <c r="AY37" s="2655"/>
      <c r="AZ37" s="2655"/>
      <c r="BA37" s="2655"/>
      <c r="BB37" s="2655"/>
      <c r="BC37" s="2770"/>
      <c r="BD37" s="998"/>
      <c r="BE37" s="998"/>
      <c r="BF37" s="982" t="s">
        <v>1166</v>
      </c>
      <c r="BG37" s="982"/>
      <c r="BH37" s="982"/>
      <c r="BI37" s="668"/>
      <c r="BJ37" s="668"/>
    </row>
    <row customHeight="1" ht="14.625" hidden="1">
      <c r="A38" s="1363"/>
      <c r="B38" s="867"/>
      <c r="C38" s="863"/>
      <c r="D38" s="863"/>
      <c r="E38" s="864">
        <v>15</v>
      </c>
      <c r="F38" s="50" cm="1" t="str">
        <f t="array" ref="F38:F38">OFFSET(E38,-1,1)</f>
        <v>0</v>
      </c>
      <c r="G38" s="863" t="s">
        <v>550</v>
      </c>
      <c r="H38" s="899"/>
      <c r="I38" s="863"/>
      <c r="J38" s="863"/>
      <c r="K38" s="90" t="str">
        <f>F38&amp;"10komm"</f>
        <v>010komm</v>
      </c>
      <c r="L38" s="895" cm="1" t="str">
        <f t="array" ref="L38:L38">BC38</f>
        <v>0</v>
      </c>
      <c r="M38" s="863"/>
      <c r="N38" s="863"/>
      <c r="O38" s="863"/>
      <c r="P38" s="863"/>
      <c r="Q38" s="863"/>
      <c r="R38" s="863"/>
      <c r="S38" s="863"/>
      <c r="T38" s="438" cm="1" t="str">
        <f t="array" ref="T38:T38">T37</f>
        <v>false</v>
      </c>
      <c r="U38" s="863"/>
      <c r="V38" s="863"/>
      <c r="W38" s="1363"/>
      <c r="X38" s="1511"/>
      <c r="Y38" s="1363"/>
      <c r="Z38" s="1494"/>
      <c r="AA38" s="1363"/>
      <c r="AB38" s="865">
        <v>10</v>
      </c>
      <c r="AC38" s="424" t="s">
        <v>1167</v>
      </c>
      <c r="AD38" s="266" t="s">
        <v>789</v>
      </c>
      <c r="AE38" s="201">
        <f>SUM(AE39:AE40)</f>
        <v>0</v>
      </c>
      <c r="AF38" s="201">
        <f>SUM(AF39:AF40)</f>
        <v>0</v>
      </c>
      <c r="AG38" s="201">
        <f>SUM(AG39:AG40)</f>
        <v>0</v>
      </c>
      <c r="AH38" s="201">
        <f>SUM(AH39:AH40)</f>
        <v>0</v>
      </c>
      <c r="AI38" s="201">
        <f>SUM(AI39:AI40)</f>
        <v>0</v>
      </c>
      <c r="AJ38" s="201">
        <f>SUM(AJ39:AJ40)</f>
        <v>0</v>
      </c>
      <c r="AK38" s="201">
        <f>SUM(AK39:AK40)</f>
        <v>0</v>
      </c>
      <c r="AL38" s="201">
        <f>SUM(AL39:AL40)</f>
        <v>0</v>
      </c>
      <c r="AM38" s="201">
        <f>SUM(AM39:AM40)</f>
        <v>0</v>
      </c>
      <c r="AN38" s="201">
        <f>SUM(AN39:AN40)</f>
        <v>0</v>
      </c>
      <c r="AO38" s="201">
        <f>SUM(AO39:AO40)</f>
        <v>0</v>
      </c>
      <c r="AP38" s="201">
        <f>SUM(AP39:AP40)</f>
        <v>0</v>
      </c>
      <c r="AQ38" s="201">
        <f>SUM(AQ39:AQ40)</f>
        <v>0</v>
      </c>
      <c r="AR38" s="201">
        <f>SUM(AR39:AR40)</f>
        <v>0</v>
      </c>
      <c r="AS38" s="201">
        <f>SUM(AS39:AS40)</f>
        <v>0</v>
      </c>
      <c r="AT38" s="201">
        <f>SUM(AT39:AT40)</f>
        <v>0</v>
      </c>
      <c r="AU38" s="201">
        <f>SUM(AU39:AU40)</f>
        <v>0</v>
      </c>
      <c r="AV38" s="201">
        <f>SUM(AV39:AV40)</f>
        <v>0</v>
      </c>
      <c r="AW38" s="201">
        <f>SUM(AW39:AW40)</f>
        <v>0</v>
      </c>
      <c r="AX38" s="201">
        <f>SUM(AX39:AX40)</f>
        <v>0</v>
      </c>
      <c r="AY38" s="201">
        <f>SUM(AY39:AY40)</f>
        <v>0</v>
      </c>
      <c r="AZ38" s="201">
        <f>SUM(AZ39:AZ40)</f>
        <v>0</v>
      </c>
      <c r="BA38" s="201">
        <f>SUM(BA39:BA40)</f>
        <v>0</v>
      </c>
      <c r="BB38" s="201">
        <f>SUM(BB39:BB40)</f>
        <v>0</v>
      </c>
      <c r="BC38" s="1880"/>
      <c r="BD38" s="1363"/>
      <c r="BE38" s="1363"/>
      <c r="BF38" s="1015" t="s">
        <v>1168</v>
      </c>
      <c r="BG38" s="1374"/>
      <c r="BH38" s="1374"/>
      <c r="BI38" s="1370"/>
      <c r="BJ38" s="1370"/>
    </row>
    <row customHeight="1" ht="14.625" hidden="1">
      <c r="A39" s="88"/>
      <c r="B39" s="814"/>
      <c r="C39" s="398"/>
      <c r="D39" s="398"/>
      <c r="E39" s="594">
        <v>15</v>
      </c>
      <c r="F39" s="50" cm="1" t="str">
        <f t="array" ref="F39:F39">OFFSET(E39,-1,1)</f>
        <v>0</v>
      </c>
      <c r="G39" s="398" t="s">
        <v>550</v>
      </c>
      <c r="H39" s="899"/>
      <c r="I39" s="1057" cm="1" t="str">
        <f t="array" ref="I39:I39">AC39</f>
        <v>0</v>
      </c>
      <c r="J39" s="398"/>
      <c r="K39" s="398"/>
      <c r="L39" s="398"/>
      <c r="M39" s="398"/>
      <c r="N39" s="398"/>
      <c r="O39" s="398"/>
      <c r="P39" s="398"/>
      <c r="Q39" s="398"/>
      <c r="R39" s="398"/>
      <c r="S39" s="398"/>
      <c r="T39" s="438">
        <f>AND(F39&gt;0,Y39&gt;0)</f>
        <v>0</v>
      </c>
      <c r="U39" s="398"/>
      <c r="V39" s="398"/>
      <c r="W39" s="733" t="s">
        <v>172</v>
      </c>
      <c r="X39" s="1511"/>
      <c r="Y39" s="88">
        <v>0</v>
      </c>
      <c r="Z39" s="1494"/>
      <c r="AA39" s="392" t="s">
        <v>173</v>
      </c>
      <c r="AB39" s="666" t="str">
        <f>"10."&amp;Y39</f>
        <v>10.0</v>
      </c>
      <c r="AC39" s="2773"/>
      <c r="AD39" s="266" t="s">
        <v>789</v>
      </c>
      <c r="AE39" s="2760"/>
      <c r="AF39" s="2760"/>
      <c r="AG39" s="2760"/>
      <c r="AH39" s="2760"/>
      <c r="AI39" s="194"/>
      <c r="AJ39" s="2760"/>
      <c r="AK39" s="2760"/>
      <c r="AL39" s="2760"/>
      <c r="AM39" s="2760"/>
      <c r="AN39" s="2760"/>
      <c r="AO39" s="2760"/>
      <c r="AP39" s="2760"/>
      <c r="AQ39" s="2760"/>
      <c r="AR39" s="2760"/>
      <c r="AS39" s="194"/>
      <c r="AT39" s="2760"/>
      <c r="AU39" s="2760"/>
      <c r="AV39" s="2760"/>
      <c r="AW39" s="2760"/>
      <c r="AX39" s="2760"/>
      <c r="AY39" s="2760"/>
      <c r="AZ39" s="2760"/>
      <c r="BA39" s="2760"/>
      <c r="BB39" s="2760"/>
      <c r="BC39" s="1880"/>
      <c r="BD39" s="88"/>
      <c r="BE39" s="1363"/>
      <c r="BF39" s="1015" t="s">
        <v>1168</v>
      </c>
      <c r="BG39" s="1015" t="s">
        <v>1169</v>
      </c>
      <c r="BH39" s="1027" cm="1" t="str">
        <f t="array" ref="BH39:BH39">AC39</f>
        <v>0</v>
      </c>
      <c r="BI39" s="1370"/>
      <c r="BJ39" s="652" t="b">
        <v>1</v>
      </c>
    </row>
    <row s="1363" customFormat="1" customHeight="1" ht="14.625" hidden="1">
      <c r="A40" s="1363"/>
      <c r="B40" s="814"/>
      <c r="C40" s="398"/>
      <c r="D40" s="398"/>
      <c r="E40" s="594">
        <v>15</v>
      </c>
      <c r="F40" s="50" cm="1" t="str">
        <f t="array" ref="F40:F40">OFFSET(E40,-1,1)</f>
        <v>0</v>
      </c>
      <c r="G40" s="398"/>
      <c r="H40" s="1363"/>
      <c r="I40" s="398" t="str">
        <f>"!=='не определено'"</f>
        <v>!=='не определено'</v>
      </c>
      <c r="J40" s="398"/>
      <c r="K40" s="398"/>
      <c r="L40" s="398"/>
      <c r="M40" s="398"/>
      <c r="N40" s="398"/>
      <c r="O40" s="398"/>
      <c r="P40" s="398"/>
      <c r="Q40" s="398"/>
      <c r="R40" s="398"/>
      <c r="S40" s="398"/>
      <c r="T40" s="438">
        <f>F40&gt;0</f>
        <v>0</v>
      </c>
      <c r="U40" s="398"/>
      <c r="V40" s="398"/>
      <c r="W40" s="733" t="s">
        <v>388</v>
      </c>
      <c r="X40" s="1511"/>
      <c r="Y40" s="1363"/>
      <c r="Z40" s="1494"/>
      <c r="AA40" s="1363"/>
      <c r="AB40" s="751"/>
      <c r="AC40" s="226" t="s">
        <v>176</v>
      </c>
      <c r="AD40" s="752"/>
      <c r="AE40" s="198"/>
      <c r="AF40" s="198"/>
      <c r="AG40" s="198"/>
      <c r="AH40" s="198"/>
      <c r="AI40" s="198"/>
      <c r="AJ40" s="198"/>
      <c r="AK40" s="198"/>
      <c r="AL40" s="198"/>
      <c r="AM40" s="198"/>
      <c r="AN40" s="198"/>
      <c r="AO40" s="198"/>
      <c r="AP40" s="198"/>
      <c r="AQ40" s="198"/>
      <c r="AR40" s="198"/>
      <c r="AS40" s="198"/>
      <c r="AT40" s="198"/>
      <c r="AU40" s="198"/>
      <c r="AV40" s="198"/>
      <c r="AW40" s="198"/>
      <c r="AX40" s="198"/>
      <c r="AY40" s="198"/>
      <c r="AZ40" s="198"/>
      <c r="BA40" s="198"/>
      <c r="BB40" s="198"/>
      <c r="BC40" s="199"/>
      <c r="BD40" s="1363"/>
      <c r="BE40" s="1363"/>
      <c r="BF40" s="974"/>
      <c r="BG40" s="974"/>
      <c r="BH40" s="974"/>
      <c r="BI40" s="593" t="s">
        <v>1169</v>
      </c>
      <c r="BJ40" s="593"/>
    </row>
    <row s="511" customFormat="1" customHeight="1" ht="14.25">
      <c r="A41" s="1363"/>
      <c r="B41" s="400"/>
      <c r="C41" s="1363"/>
      <c r="D41" s="1363"/>
      <c r="E41" s="593">
        <v>15</v>
      </c>
      <c r="F41" s="64" cm="1" t="str">
        <f t="array" ref="F41:F41">X41</f>
        <v>1</v>
      </c>
      <c r="G41" s="1363"/>
      <c r="H41" s="1363"/>
      <c r="I41" s="1363"/>
      <c r="J41" s="1363"/>
      <c r="K41" s="1363"/>
      <c r="L41" s="1363"/>
      <c r="M41" s="1363"/>
      <c r="N41" s="1363"/>
      <c r="O41" s="1363"/>
      <c r="P41" s="1363"/>
      <c r="Q41" s="1363"/>
      <c r="R41" s="1363"/>
      <c r="S41" s="1363"/>
      <c r="T41" s="438">
        <f>X41&gt;0</f>
        <v>1</v>
      </c>
      <c r="U41" s="1363"/>
      <c r="V41" s="88" cm="1" t="str">
        <f t="array" ref="V41:V41">'Сбытовые расходы ГО'!$AB$39</f>
        <v>Тариф 1 (Водоотведение) - тариф на транспортировку сточных вод</v>
      </c>
      <c r="W41" s="1363"/>
      <c r="X41" s="1511" t="s">
        <v>281</v>
      </c>
      <c r="Y41" s="1363"/>
      <c r="Z41" s="1494"/>
      <c r="AA41" s="1363"/>
      <c r="AB41" s="188" cm="1" t="str">
        <f t="array" ref="AB41:AB41">'Сбытовые расходы ГО'!$AB$39</f>
        <v>Тариф 1 (Водоотведение) - тариф на транспортировку сточных вод</v>
      </c>
      <c r="AC41" s="146"/>
      <c r="AD41" s="146"/>
      <c r="AE41" s="146"/>
      <c r="AF41" s="146"/>
      <c r="AG41" s="146"/>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363"/>
      <c r="BE41" s="1363"/>
      <c r="BF41" s="974"/>
      <c r="BG41" s="974"/>
      <c r="BH41" s="974"/>
      <c r="BI41" s="593"/>
      <c r="BJ41" s="593"/>
    </row>
    <row s="511" customFormat="1" customHeight="1" ht="21.75">
      <c r="A42" s="1363"/>
      <c r="B42" s="400"/>
      <c r="C42" s="1363"/>
      <c r="D42" s="1363"/>
      <c r="E42" s="593">
        <v>22.5</v>
      </c>
      <c r="F42" s="50" cm="1" t="str">
        <f t="array" ref="F42:F42">OFFSET(E42,-1,1)</f>
        <v>1</v>
      </c>
      <c r="G42" s="88" t="s">
        <v>1127</v>
      </c>
      <c r="H42" s="1363"/>
      <c r="I42" s="1363"/>
      <c r="J42" s="1363"/>
      <c r="K42" s="90" t="str">
        <f>F42&amp;"komm"</f>
        <v>1komm</v>
      </c>
      <c r="L42" s="895" cm="1" t="str">
        <f t="array" ref="L42:L42">BC42</f>
        <v>0</v>
      </c>
      <c r="M42" s="1363"/>
      <c r="N42" s="1363"/>
      <c r="O42" s="1363"/>
      <c r="P42" s="1363"/>
      <c r="Q42" s="1363"/>
      <c r="R42" s="1363"/>
      <c r="S42" s="1363"/>
      <c r="T42" s="438" cm="1" t="str">
        <f t="array" ref="T42:T42">T41</f>
        <v>true</v>
      </c>
      <c r="U42" s="1363"/>
      <c r="V42" s="1363"/>
      <c r="W42" s="1363"/>
      <c r="X42" s="1511"/>
      <c r="Y42" s="1363"/>
      <c r="Z42" s="1494"/>
      <c r="AA42" s="1363"/>
      <c r="AB42" s="200">
        <v>0</v>
      </c>
      <c r="AC42" s="185" t="s">
        <v>1145</v>
      </c>
      <c r="AD42" s="177" t="s">
        <v>789</v>
      </c>
      <c r="AE42" s="193">
        <f>SUM(AE43:AE52)</f>
        <v>0</v>
      </c>
      <c r="AF42" s="193">
        <f>SUM(AF43:AF52)</f>
        <v>0</v>
      </c>
      <c r="AG42" s="193">
        <f>SUM(AG43:AG52)</f>
        <v>0</v>
      </c>
      <c r="AH42" s="193">
        <f>SUM(AH43:AH52)</f>
        <v>0</v>
      </c>
      <c r="AI42" s="193">
        <f>SUM(AI43:AI52)</f>
        <v>0</v>
      </c>
      <c r="AJ42" s="193">
        <f>SUM(AJ43:AJ52)</f>
        <v>0</v>
      </c>
      <c r="AK42" s="193">
        <f>SUM(AK43:AK52)</f>
        <v>0</v>
      </c>
      <c r="AL42" s="193">
        <f>SUM(AL43:AL52)</f>
        <v>0</v>
      </c>
      <c r="AM42" s="193">
        <f>SUM(AM43:AM52)</f>
        <v>0</v>
      </c>
      <c r="AN42" s="193">
        <f>SUM(AN43:AN52)</f>
        <v>0</v>
      </c>
      <c r="AO42" s="193">
        <f>SUM(AO43:AO52)</f>
        <v>0</v>
      </c>
      <c r="AP42" s="193">
        <f>SUM(AP43:AP52)</f>
        <v>0</v>
      </c>
      <c r="AQ42" s="193">
        <f>SUM(AQ43:AQ52)</f>
        <v>0</v>
      </c>
      <c r="AR42" s="193">
        <f>SUM(AR43:AR52)</f>
        <v>0</v>
      </c>
      <c r="AS42" s="193">
        <f>SUM(AS43:AS52)</f>
        <v>0</v>
      </c>
      <c r="AT42" s="193">
        <f>SUM(AT43:AT52)</f>
        <v>0</v>
      </c>
      <c r="AU42" s="193">
        <f>SUM(AU43:AU52)</f>
        <v>0</v>
      </c>
      <c r="AV42" s="193">
        <f>SUM(AV43:AV52)</f>
        <v>0</v>
      </c>
      <c r="AW42" s="193">
        <f>SUM(AW43:AW52)</f>
        <v>0</v>
      </c>
      <c r="AX42" s="193">
        <f>SUM(AX43:AX52)</f>
        <v>0</v>
      </c>
      <c r="AY42" s="193">
        <f>SUM(AY43:AY52)</f>
        <v>0</v>
      </c>
      <c r="AZ42" s="193">
        <f>SUM(AZ43:AZ52)</f>
        <v>0</v>
      </c>
      <c r="BA42" s="193">
        <f>SUM(BA43:BA52)</f>
        <v>0</v>
      </c>
      <c r="BB42" s="193">
        <f>SUM(BB43:BB52)</f>
        <v>0</v>
      </c>
      <c r="BC42" s="166"/>
      <c r="BD42" s="1363"/>
      <c r="BE42" s="1363"/>
      <c r="BF42" s="974" t="s">
        <v>1146</v>
      </c>
      <c r="BG42" s="974"/>
      <c r="BH42" s="974"/>
      <c r="BI42" s="593"/>
      <c r="BJ42" s="593"/>
    </row>
    <row s="511" customFormat="1" customHeight="1" ht="14.25">
      <c r="A43" s="1363"/>
      <c r="B43" s="400"/>
      <c r="C43" s="1363"/>
      <c r="D43" s="1363"/>
      <c r="E43" s="593">
        <v>15</v>
      </c>
      <c r="F43" s="50" cm="1" t="str">
        <f t="array" ref="F43:F43">OFFSET(E43,-1,1)</f>
        <v>1</v>
      </c>
      <c r="G43" s="88" t="s">
        <v>321</v>
      </c>
      <c r="H43" s="1363"/>
      <c r="I43" s="1363"/>
      <c r="J43" s="1363"/>
      <c r="K43" s="90" t="str">
        <f>F43&amp;"1komm"</f>
        <v>11komm</v>
      </c>
      <c r="L43" s="895" cm="1" t="str">
        <f t="array" ref="L43:L43">BC43</f>
        <v>0</v>
      </c>
      <c r="M43" s="1363"/>
      <c r="N43" s="1363"/>
      <c r="O43" s="1363"/>
      <c r="P43" s="1363"/>
      <c r="Q43" s="1363"/>
      <c r="R43" s="1363"/>
      <c r="S43" s="1363"/>
      <c r="T43" s="438" cm="1" t="str">
        <f t="array" ref="T43:T43">T42</f>
        <v>true</v>
      </c>
      <c r="U43" s="1363"/>
      <c r="V43" s="1363"/>
      <c r="W43" s="1363"/>
      <c r="X43" s="1511"/>
      <c r="Y43" s="1363"/>
      <c r="Z43" s="1494"/>
      <c r="AA43" s="1363"/>
      <c r="AB43" s="265" t="s">
        <v>281</v>
      </c>
      <c r="AC43" s="424" t="s">
        <v>1147</v>
      </c>
      <c r="AD43" s="266" t="s">
        <v>789</v>
      </c>
      <c r="AE43" s="194"/>
      <c r="AF43" s="195"/>
      <c r="AG43" s="195"/>
      <c r="AH43" s="195"/>
      <c r="AI43" s="195"/>
      <c r="AJ43" s="195"/>
      <c r="AK43" s="195"/>
      <c r="AL43" s="195"/>
      <c r="AM43" s="195"/>
      <c r="AN43" s="195"/>
      <c r="AO43" s="195"/>
      <c r="AP43" s="195"/>
      <c r="AQ43" s="195"/>
      <c r="AR43" s="195"/>
      <c r="AS43" s="195"/>
      <c r="AT43" s="195"/>
      <c r="AU43" s="195"/>
      <c r="AV43" s="195"/>
      <c r="AW43" s="195"/>
      <c r="AX43" s="195"/>
      <c r="AY43" s="195"/>
      <c r="AZ43" s="195"/>
      <c r="BA43" s="195"/>
      <c r="BB43" s="195"/>
      <c r="BC43" s="166"/>
      <c r="BD43" s="1363"/>
      <c r="BE43" s="1363"/>
      <c r="BF43" s="974" t="s">
        <v>1148</v>
      </c>
      <c r="BG43" s="974"/>
      <c r="BH43" s="974"/>
      <c r="BI43" s="593"/>
      <c r="BJ43" s="593"/>
    </row>
    <row s="511" customFormat="1" customHeight="1" ht="21.75">
      <c r="A44" s="1363"/>
      <c r="B44" s="814"/>
      <c r="C44" s="398"/>
      <c r="D44" s="398"/>
      <c r="E44" s="594">
        <v>22.5</v>
      </c>
      <c r="F44" s="50" cm="1" t="str">
        <f t="array" ref="F44:F44">OFFSET(E44,-1,1)</f>
        <v>1</v>
      </c>
      <c r="G44" s="398" t="s">
        <v>322</v>
      </c>
      <c r="H44" s="398"/>
      <c r="I44" s="398"/>
      <c r="J44" s="398"/>
      <c r="K44" s="90" t="str">
        <f>F44&amp;"2komm"</f>
        <v>12komm</v>
      </c>
      <c r="L44" s="895" cm="1" t="str">
        <f t="array" ref="L44:L44">BC44</f>
        <v>0</v>
      </c>
      <c r="M44" s="398"/>
      <c r="N44" s="398"/>
      <c r="O44" s="398"/>
      <c r="P44" s="398"/>
      <c r="Q44" s="398"/>
      <c r="R44" s="398"/>
      <c r="S44" s="398"/>
      <c r="T44" s="438" cm="1" t="str">
        <f t="array" ref="T44:T44">T43</f>
        <v>true</v>
      </c>
      <c r="U44" s="398"/>
      <c r="V44" s="398"/>
      <c r="W44" s="1363"/>
      <c r="X44" s="1511"/>
      <c r="Y44" s="1363"/>
      <c r="Z44" s="1494"/>
      <c r="AA44" s="1363"/>
      <c r="AB44" s="265" t="s">
        <v>504</v>
      </c>
      <c r="AC44" s="424" t="s">
        <v>1149</v>
      </c>
      <c r="AD44" s="266" t="s">
        <v>789</v>
      </c>
      <c r="AE44" s="194"/>
      <c r="AF44" s="195"/>
      <c r="AG44" s="195"/>
      <c r="AH44" s="195"/>
      <c r="AI44" s="195"/>
      <c r="AJ44" s="195"/>
      <c r="AK44" s="195"/>
      <c r="AL44" s="195"/>
      <c r="AM44" s="195"/>
      <c r="AN44" s="195"/>
      <c r="AO44" s="195"/>
      <c r="AP44" s="195"/>
      <c r="AQ44" s="195"/>
      <c r="AR44" s="195"/>
      <c r="AS44" s="195"/>
      <c r="AT44" s="195"/>
      <c r="AU44" s="195"/>
      <c r="AV44" s="195"/>
      <c r="AW44" s="195"/>
      <c r="AX44" s="195"/>
      <c r="AY44" s="195"/>
      <c r="AZ44" s="195"/>
      <c r="BA44" s="195"/>
      <c r="BB44" s="195"/>
      <c r="BC44" s="166"/>
      <c r="BD44" s="1363"/>
      <c r="BE44" s="1363"/>
      <c r="BF44" s="974" t="s">
        <v>1150</v>
      </c>
      <c r="BG44" s="974"/>
      <c r="BH44" s="974"/>
      <c r="BI44" s="593"/>
      <c r="BJ44" s="593"/>
    </row>
    <row s="511" customFormat="1" customHeight="1" ht="21.75">
      <c r="A45" s="1363"/>
      <c r="B45" s="814"/>
      <c r="C45" s="398"/>
      <c r="D45" s="398"/>
      <c r="E45" s="594">
        <v>22.5</v>
      </c>
      <c r="F45" s="50" cm="1" t="str">
        <f t="array" ref="F45:F45">OFFSET(E45,-1,1)</f>
        <v>1</v>
      </c>
      <c r="G45" s="398" t="s">
        <v>323</v>
      </c>
      <c r="H45" s="398" t="s">
        <v>1151</v>
      </c>
      <c r="I45" s="398"/>
      <c r="J45" s="398"/>
      <c r="K45" s="90" t="str">
        <f>F45&amp;"3komm"</f>
        <v>13komm</v>
      </c>
      <c r="L45" s="895" cm="1" t="str">
        <f t="array" ref="L45:L45">BC45</f>
        <v>0</v>
      </c>
      <c r="M45" s="398"/>
      <c r="N45" s="398"/>
      <c r="O45" s="398"/>
      <c r="P45" s="398"/>
      <c r="Q45" s="398"/>
      <c r="R45" s="398"/>
      <c r="S45" s="398"/>
      <c r="T45" s="438" cm="1" t="str">
        <f t="array" ref="T45:T45">T44</f>
        <v>true</v>
      </c>
      <c r="U45" s="398"/>
      <c r="V45" s="398"/>
      <c r="W45" s="1363"/>
      <c r="X45" s="1511"/>
      <c r="Y45" s="1363"/>
      <c r="Z45" s="1494"/>
      <c r="AA45" s="1363"/>
      <c r="AB45" s="265" t="s">
        <v>319</v>
      </c>
      <c r="AC45" s="424" t="s">
        <v>1152</v>
      </c>
      <c r="AD45" s="266" t="s">
        <v>789</v>
      </c>
      <c r="AE45" s="194"/>
      <c r="AF45" s="195"/>
      <c r="AG45" s="195"/>
      <c r="AH45" s="195"/>
      <c r="AI45" s="195"/>
      <c r="AJ45" s="195"/>
      <c r="AK45" s="195"/>
      <c r="AL45" s="195"/>
      <c r="AM45" s="195"/>
      <c r="AN45" s="195"/>
      <c r="AO45" s="195"/>
      <c r="AP45" s="195"/>
      <c r="AQ45" s="195"/>
      <c r="AR45" s="195"/>
      <c r="AS45" s="195"/>
      <c r="AT45" s="195"/>
      <c r="AU45" s="195"/>
      <c r="AV45" s="195"/>
      <c r="AW45" s="195"/>
      <c r="AX45" s="195"/>
      <c r="AY45" s="195"/>
      <c r="AZ45" s="195"/>
      <c r="BA45" s="195"/>
      <c r="BB45" s="195"/>
      <c r="BC45" s="166"/>
      <c r="BD45" s="1363"/>
      <c r="BE45" s="1363"/>
      <c r="BF45" s="974" t="s">
        <v>1153</v>
      </c>
      <c r="BG45" s="974"/>
      <c r="BH45" s="974"/>
      <c r="BI45" s="593"/>
      <c r="BJ45" s="593"/>
    </row>
    <row s="1624" customFormat="1" customHeight="1" ht="14.25">
      <c r="A46" s="1363"/>
      <c r="B46" s="867"/>
      <c r="C46" s="863"/>
      <c r="D46" s="863"/>
      <c r="E46" s="864">
        <v>15</v>
      </c>
      <c r="F46" s="50" cm="1" t="str">
        <f t="array" ref="F46:F46">OFFSET(E46,-1,1)</f>
        <v>1</v>
      </c>
      <c r="G46" s="863" t="s">
        <v>325</v>
      </c>
      <c r="H46" s="863"/>
      <c r="I46" s="863"/>
      <c r="J46" s="863"/>
      <c r="K46" s="90" t="str">
        <f>F46&amp;"4komm"</f>
        <v>14komm</v>
      </c>
      <c r="L46" s="895" cm="1" t="str">
        <f t="array" ref="L46:L46">BC46</f>
        <v>0</v>
      </c>
      <c r="M46" s="863"/>
      <c r="N46" s="863"/>
      <c r="O46" s="863"/>
      <c r="P46" s="863"/>
      <c r="Q46" s="863"/>
      <c r="R46" s="863"/>
      <c r="S46" s="863"/>
      <c r="T46" s="438" cm="1" t="str">
        <f t="array" ref="T46:T46">T45</f>
        <v>true</v>
      </c>
      <c r="U46" s="863"/>
      <c r="V46" s="863"/>
      <c r="W46" s="1363"/>
      <c r="X46" s="1511"/>
      <c r="Y46" s="1363"/>
      <c r="Z46" s="1494"/>
      <c r="AA46" s="1363"/>
      <c r="AB46" s="865">
        <v>4</v>
      </c>
      <c r="AC46" s="424" t="s">
        <v>1154</v>
      </c>
      <c r="AD46" s="266" t="s">
        <v>789</v>
      </c>
      <c r="AE46" s="196"/>
      <c r="AF46" s="196"/>
      <c r="AG46" s="196"/>
      <c r="AH46" s="196"/>
      <c r="AI46" s="196"/>
      <c r="AJ46" s="196"/>
      <c r="AK46" s="196"/>
      <c r="AL46" s="196"/>
      <c r="AM46" s="196"/>
      <c r="AN46" s="196"/>
      <c r="AO46" s="196"/>
      <c r="AP46" s="196"/>
      <c r="AQ46" s="196"/>
      <c r="AR46" s="196"/>
      <c r="AS46" s="196"/>
      <c r="AT46" s="196"/>
      <c r="AU46" s="196"/>
      <c r="AV46" s="196"/>
      <c r="AW46" s="196"/>
      <c r="AX46" s="196"/>
      <c r="AY46" s="196"/>
      <c r="AZ46" s="196"/>
      <c r="BA46" s="196"/>
      <c r="BB46" s="196"/>
      <c r="BC46" s="166"/>
      <c r="BD46" s="1363"/>
      <c r="BE46" s="1363"/>
      <c r="BF46" s="1015" t="s">
        <v>1155</v>
      </c>
      <c r="BG46" s="1374"/>
      <c r="BH46" s="1374"/>
      <c r="BI46" s="1370"/>
      <c r="BJ46" s="1370"/>
    </row>
    <row s="511" customFormat="1" customHeight="1" ht="14.25">
      <c r="A47" s="1363"/>
      <c r="B47" s="814"/>
      <c r="C47" s="398"/>
      <c r="D47" s="398"/>
      <c r="E47" s="594">
        <v>15</v>
      </c>
      <c r="F47" s="50" cm="1" t="str">
        <f t="array" ref="F47:F47">OFFSET(E47,-1,1)</f>
        <v>1</v>
      </c>
      <c r="G47" s="398" t="s">
        <v>324</v>
      </c>
      <c r="H47" s="398"/>
      <c r="I47" s="398"/>
      <c r="J47" s="398"/>
      <c r="K47" s="90" t="str">
        <f>F47&amp;"5komm"</f>
        <v>15komm</v>
      </c>
      <c r="L47" s="895" cm="1" t="str">
        <f t="array" ref="L47:L47">BC47</f>
        <v>0</v>
      </c>
      <c r="M47" s="398"/>
      <c r="N47" s="398"/>
      <c r="O47" s="398"/>
      <c r="P47" s="398"/>
      <c r="Q47" s="398"/>
      <c r="R47" s="398"/>
      <c r="S47" s="398"/>
      <c r="T47" s="438" cm="1" t="str">
        <f t="array" ref="T47:T47">T46</f>
        <v>true</v>
      </c>
      <c r="U47" s="398"/>
      <c r="V47" s="398"/>
      <c r="W47" s="1363"/>
      <c r="X47" s="1511"/>
      <c r="Y47" s="1363"/>
      <c r="Z47" s="1494"/>
      <c r="AA47" s="1363"/>
      <c r="AB47" s="265" t="s">
        <v>485</v>
      </c>
      <c r="AC47" s="424" t="s">
        <v>1156</v>
      </c>
      <c r="AD47" s="266" t="s">
        <v>789</v>
      </c>
      <c r="AE47" s="194"/>
      <c r="AF47" s="194"/>
      <c r="AG47" s="194"/>
      <c r="AH47" s="194"/>
      <c r="AI47" s="194"/>
      <c r="AJ47" s="194"/>
      <c r="AK47" s="194"/>
      <c r="AL47" s="194"/>
      <c r="AM47" s="194"/>
      <c r="AN47" s="194"/>
      <c r="AO47" s="194"/>
      <c r="AP47" s="194"/>
      <c r="AQ47" s="194"/>
      <c r="AR47" s="194"/>
      <c r="AS47" s="194"/>
      <c r="AT47" s="194"/>
      <c r="AU47" s="194"/>
      <c r="AV47" s="194"/>
      <c r="AW47" s="194"/>
      <c r="AX47" s="194"/>
      <c r="AY47" s="194"/>
      <c r="AZ47" s="194"/>
      <c r="BA47" s="194"/>
      <c r="BB47" s="194"/>
      <c r="BC47" s="166"/>
      <c r="BD47" s="1363"/>
      <c r="BE47" s="1363"/>
      <c r="BF47" s="974" t="s">
        <v>1157</v>
      </c>
      <c r="BG47" s="974"/>
      <c r="BH47" s="974"/>
      <c r="BI47" s="593"/>
      <c r="BJ47" s="593"/>
    </row>
    <row s="511" customFormat="1" customHeight="1" ht="14.25">
      <c r="A48" s="1363"/>
      <c r="B48" s="814"/>
      <c r="C48" s="398"/>
      <c r="D48" s="398"/>
      <c r="E48" s="594">
        <v>15</v>
      </c>
      <c r="F48" s="50" cm="1" t="str">
        <f t="array" ref="F48:F48">OFFSET(E48,-1,1)</f>
        <v>1</v>
      </c>
      <c r="G48" s="398" t="s">
        <v>484</v>
      </c>
      <c r="H48" s="398"/>
      <c r="I48" s="398"/>
      <c r="J48" s="398"/>
      <c r="K48" s="90" t="str">
        <f>F48&amp;"6komm"</f>
        <v>16komm</v>
      </c>
      <c r="L48" s="895" cm="1" t="str">
        <f t="array" ref="L48:L48">BC48</f>
        <v>0</v>
      </c>
      <c r="M48" s="398"/>
      <c r="N48" s="398"/>
      <c r="O48" s="398"/>
      <c r="P48" s="398"/>
      <c r="Q48" s="398"/>
      <c r="R48" s="398"/>
      <c r="S48" s="398"/>
      <c r="T48" s="438" cm="1" t="str">
        <f t="array" ref="T48:T48">T47</f>
        <v>true</v>
      </c>
      <c r="U48" s="398"/>
      <c r="V48" s="398"/>
      <c r="W48" s="1363"/>
      <c r="X48" s="1511"/>
      <c r="Y48" s="1363"/>
      <c r="Z48" s="1494"/>
      <c r="AA48" s="1363"/>
      <c r="AB48" s="265" t="s">
        <v>489</v>
      </c>
      <c r="AC48" s="424" t="s">
        <v>1158</v>
      </c>
      <c r="AD48" s="266" t="s">
        <v>789</v>
      </c>
      <c r="AE48" s="194"/>
      <c r="AF48" s="194"/>
      <c r="AG48" s="194"/>
      <c r="AH48" s="194"/>
      <c r="AI48" s="194"/>
      <c r="AJ48" s="194"/>
      <c r="AK48" s="194"/>
      <c r="AL48" s="194"/>
      <c r="AM48" s="194"/>
      <c r="AN48" s="194"/>
      <c r="AO48" s="194"/>
      <c r="AP48" s="194"/>
      <c r="AQ48" s="194"/>
      <c r="AR48" s="194"/>
      <c r="AS48" s="194"/>
      <c r="AT48" s="194"/>
      <c r="AU48" s="194"/>
      <c r="AV48" s="194"/>
      <c r="AW48" s="194"/>
      <c r="AX48" s="194"/>
      <c r="AY48" s="194"/>
      <c r="AZ48" s="194"/>
      <c r="BA48" s="194"/>
      <c r="BB48" s="194"/>
      <c r="BC48" s="166"/>
      <c r="BD48" s="1363"/>
      <c r="BE48" s="1363"/>
      <c r="BF48" s="974" t="s">
        <v>1159</v>
      </c>
      <c r="BG48" s="974"/>
      <c r="BH48" s="974"/>
      <c r="BI48" s="593"/>
      <c r="BJ48" s="593"/>
    </row>
    <row s="511" customFormat="1" customHeight="1" ht="14.25">
      <c r="A49" s="1363"/>
      <c r="B49" s="814"/>
      <c r="C49" s="398"/>
      <c r="D49" s="398"/>
      <c r="E49" s="594">
        <v>15</v>
      </c>
      <c r="F49" s="50" cm="1" t="str">
        <f t="array" ref="F49:F49">OFFSET(E49,-1,1)</f>
        <v>1</v>
      </c>
      <c r="G49" s="398" t="s">
        <v>488</v>
      </c>
      <c r="H49" s="398" t="s">
        <v>1160</v>
      </c>
      <c r="I49" s="398"/>
      <c r="J49" s="398"/>
      <c r="K49" s="90" t="str">
        <f>F49&amp;"7komm"</f>
        <v>17komm</v>
      </c>
      <c r="L49" s="895" cm="1" t="str">
        <f t="array" ref="L49:L49">BC49</f>
        <v>0</v>
      </c>
      <c r="M49" s="398"/>
      <c r="N49" s="398"/>
      <c r="O49" s="398"/>
      <c r="P49" s="398"/>
      <c r="Q49" s="398"/>
      <c r="R49" s="398"/>
      <c r="S49" s="398"/>
      <c r="T49" s="438" cm="1" t="str">
        <f t="array" ref="T49:T49">T48</f>
        <v>true</v>
      </c>
      <c r="U49" s="398"/>
      <c r="V49" s="398"/>
      <c r="W49" s="1363"/>
      <c r="X49" s="1511"/>
      <c r="Y49" s="1363"/>
      <c r="Z49" s="1494"/>
      <c r="AA49" s="1363"/>
      <c r="AB49" s="265" t="s">
        <v>551</v>
      </c>
      <c r="AC49" s="424" t="s">
        <v>1161</v>
      </c>
      <c r="AD49" s="266" t="s">
        <v>789</v>
      </c>
      <c r="AE49" s="194"/>
      <c r="AF49" s="194"/>
      <c r="AG49" s="194"/>
      <c r="AH49" s="194"/>
      <c r="AI49" s="194"/>
      <c r="AJ49" s="194"/>
      <c r="AK49" s="194"/>
      <c r="AL49" s="194"/>
      <c r="AM49" s="194"/>
      <c r="AN49" s="194"/>
      <c r="AO49" s="194"/>
      <c r="AP49" s="194"/>
      <c r="AQ49" s="194"/>
      <c r="AR49" s="194"/>
      <c r="AS49" s="194"/>
      <c r="AT49" s="194"/>
      <c r="AU49" s="194"/>
      <c r="AV49" s="194"/>
      <c r="AW49" s="194"/>
      <c r="AX49" s="194"/>
      <c r="AY49" s="194"/>
      <c r="AZ49" s="194"/>
      <c r="BA49" s="194"/>
      <c r="BB49" s="194"/>
      <c r="BC49" s="166"/>
      <c r="BD49" s="1363"/>
      <c r="BE49" s="1363"/>
      <c r="BF49" s="974" t="s">
        <v>1162</v>
      </c>
      <c r="BG49" s="974"/>
      <c r="BH49" s="974"/>
      <c r="BI49" s="593"/>
      <c r="BJ49" s="593"/>
    </row>
    <row s="511" customFormat="1" customHeight="1" ht="21.75">
      <c r="A50" s="1363"/>
      <c r="B50" s="814"/>
      <c r="C50" s="398"/>
      <c r="D50" s="398"/>
      <c r="E50" s="594">
        <v>22.5</v>
      </c>
      <c r="F50" s="50" cm="1" t="str">
        <f t="array" ref="F50:F50">OFFSET(E50,-1,1)</f>
        <v>1</v>
      </c>
      <c r="G50" s="398" t="s">
        <v>535</v>
      </c>
      <c r="H50" s="398"/>
      <c r="I50" s="398"/>
      <c r="J50" s="398"/>
      <c r="K50" s="90" t="str">
        <f>F50&amp;"8komm"</f>
        <v>18komm</v>
      </c>
      <c r="L50" s="895" cm="1" t="str">
        <f t="array" ref="L50:L50">BC50</f>
        <v>0</v>
      </c>
      <c r="M50" s="398"/>
      <c r="N50" s="398"/>
      <c r="O50" s="398"/>
      <c r="P50" s="398"/>
      <c r="Q50" s="398"/>
      <c r="R50" s="398"/>
      <c r="S50" s="398"/>
      <c r="T50" s="438" cm="1" t="str">
        <f t="array" ref="T50:T50">T49</f>
        <v>true</v>
      </c>
      <c r="U50" s="398"/>
      <c r="V50" s="398"/>
      <c r="W50" s="1363"/>
      <c r="X50" s="1511"/>
      <c r="Y50" s="1363"/>
      <c r="Z50" s="1494"/>
      <c r="AA50" s="1363"/>
      <c r="AB50" s="265" t="s">
        <v>559</v>
      </c>
      <c r="AC50" s="424" t="s">
        <v>1163</v>
      </c>
      <c r="AD50" s="266" t="s">
        <v>789</v>
      </c>
      <c r="AE50" s="194"/>
      <c r="AF50" s="194"/>
      <c r="AG50" s="194"/>
      <c r="AH50" s="194"/>
      <c r="AI50" s="194"/>
      <c r="AJ50" s="194"/>
      <c r="AK50" s="194"/>
      <c r="AL50" s="194"/>
      <c r="AM50" s="194"/>
      <c r="AN50" s="194"/>
      <c r="AO50" s="194"/>
      <c r="AP50" s="194"/>
      <c r="AQ50" s="194"/>
      <c r="AR50" s="194"/>
      <c r="AS50" s="194"/>
      <c r="AT50" s="194"/>
      <c r="AU50" s="194"/>
      <c r="AV50" s="194"/>
      <c r="AW50" s="194"/>
      <c r="AX50" s="194"/>
      <c r="AY50" s="194"/>
      <c r="AZ50" s="194"/>
      <c r="BA50" s="194"/>
      <c r="BB50" s="194"/>
      <c r="BC50" s="166"/>
      <c r="BD50" s="1363"/>
      <c r="BE50" s="1363"/>
      <c r="BF50" s="974" t="s">
        <v>1164</v>
      </c>
      <c r="BG50" s="974"/>
      <c r="BH50" s="974"/>
      <c r="BI50" s="593"/>
      <c r="BJ50" s="593"/>
    </row>
    <row s="998" customFormat="1" customHeight="1" ht="21.75">
      <c r="A51" s="998"/>
      <c r="B51" s="814"/>
      <c r="C51" s="398"/>
      <c r="D51" s="398"/>
      <c r="E51" s="594">
        <v>22.5</v>
      </c>
      <c r="F51" s="50" cm="1" t="str">
        <f t="array" ref="F51:F51">OFFSET(E51,-1,1)</f>
        <v>1</v>
      </c>
      <c r="G51" s="398"/>
      <c r="H51" s="398"/>
      <c r="I51" s="398"/>
      <c r="J51" s="398"/>
      <c r="K51" s="90" t="str">
        <f>F51&amp;"9komm"</f>
        <v>19komm</v>
      </c>
      <c r="L51" s="895" cm="1" t="str">
        <f t="array" ref="L51:L51">BC51</f>
        <v>0</v>
      </c>
      <c r="M51" s="398"/>
      <c r="N51" s="398"/>
      <c r="O51" s="398"/>
      <c r="P51" s="398"/>
      <c r="Q51" s="398"/>
      <c r="R51" s="398"/>
      <c r="S51" s="398"/>
      <c r="T51" s="438" cm="1" t="str">
        <f t="array" ref="T51:T51">T50</f>
        <v>true</v>
      </c>
      <c r="U51" s="398"/>
      <c r="V51" s="398"/>
      <c r="W51" s="998"/>
      <c r="X51" s="1511"/>
      <c r="Y51" s="998"/>
      <c r="Z51" s="1494"/>
      <c r="AA51" s="998"/>
      <c r="AB51" s="265" t="s">
        <v>717</v>
      </c>
      <c r="AC51" s="424" t="s">
        <v>1165</v>
      </c>
      <c r="AD51" s="266" t="s">
        <v>789</v>
      </c>
      <c r="AE51" s="264"/>
      <c r="AF51" s="264"/>
      <c r="AG51" s="264"/>
      <c r="AH51" s="264"/>
      <c r="AI51" s="264"/>
      <c r="AJ51" s="264"/>
      <c r="AK51" s="264"/>
      <c r="AL51" s="264"/>
      <c r="AM51" s="264"/>
      <c r="AN51" s="264"/>
      <c r="AO51" s="264"/>
      <c r="AP51" s="264"/>
      <c r="AQ51" s="264"/>
      <c r="AR51" s="264"/>
      <c r="AS51" s="264"/>
      <c r="AT51" s="264"/>
      <c r="AU51" s="264"/>
      <c r="AV51" s="264"/>
      <c r="AW51" s="264"/>
      <c r="AX51" s="264"/>
      <c r="AY51" s="264"/>
      <c r="AZ51" s="264"/>
      <c r="BA51" s="264"/>
      <c r="BB51" s="264"/>
      <c r="BC51" s="750"/>
      <c r="BD51" s="998"/>
      <c r="BE51" s="998"/>
      <c r="BF51" s="982" t="s">
        <v>1166</v>
      </c>
      <c r="BG51" s="982"/>
      <c r="BH51" s="982"/>
      <c r="BI51" s="668"/>
      <c r="BJ51" s="668"/>
    </row>
    <row s="1624" customFormat="1" customHeight="1" ht="14.25">
      <c r="A52" s="1363"/>
      <c r="B52" s="867"/>
      <c r="C52" s="863"/>
      <c r="D52" s="863"/>
      <c r="E52" s="864">
        <v>15</v>
      </c>
      <c r="F52" s="50" cm="1" t="str">
        <f t="array" ref="F52:F52">OFFSET(E52,-1,1)</f>
        <v>1</v>
      </c>
      <c r="G52" s="863" t="s">
        <v>550</v>
      </c>
      <c r="H52" s="899"/>
      <c r="I52" s="863"/>
      <c r="J52" s="863"/>
      <c r="K52" s="90" t="str">
        <f>F52&amp;"10komm"</f>
        <v>110komm</v>
      </c>
      <c r="L52" s="895" cm="1" t="str">
        <f t="array" ref="L52:L52">BC52</f>
        <v>0</v>
      </c>
      <c r="M52" s="863"/>
      <c r="N52" s="863"/>
      <c r="O52" s="863"/>
      <c r="P52" s="863"/>
      <c r="Q52" s="863"/>
      <c r="R52" s="863"/>
      <c r="S52" s="863"/>
      <c r="T52" s="438" cm="1" t="str">
        <f t="array" ref="T52:T52">T51</f>
        <v>true</v>
      </c>
      <c r="U52" s="863"/>
      <c r="V52" s="863"/>
      <c r="W52" s="1363"/>
      <c r="X52" s="1511"/>
      <c r="Y52" s="1363"/>
      <c r="Z52" s="1494"/>
      <c r="AA52" s="1363"/>
      <c r="AB52" s="865">
        <v>10</v>
      </c>
      <c r="AC52" s="424" t="s">
        <v>1167</v>
      </c>
      <c r="AD52" s="266" t="s">
        <v>789</v>
      </c>
      <c r="AE52" s="201">
        <f>SUM(AE53:AE54)</f>
        <v>0</v>
      </c>
      <c r="AF52" s="201">
        <f>SUM(AF53:AF54)</f>
        <v>0</v>
      </c>
      <c r="AG52" s="201">
        <f>SUM(AG53:AG54)</f>
        <v>0</v>
      </c>
      <c r="AH52" s="201">
        <f>SUM(AH53:AH54)</f>
        <v>0</v>
      </c>
      <c r="AI52" s="201">
        <f>SUM(AI53:AI54)</f>
        <v>0</v>
      </c>
      <c r="AJ52" s="201">
        <f>SUM(AJ53:AJ54)</f>
        <v>0</v>
      </c>
      <c r="AK52" s="201">
        <f>SUM(AK53:AK54)</f>
        <v>0</v>
      </c>
      <c r="AL52" s="201">
        <f>SUM(AL53:AL54)</f>
        <v>0</v>
      </c>
      <c r="AM52" s="201">
        <f>SUM(AM53:AM54)</f>
        <v>0</v>
      </c>
      <c r="AN52" s="201">
        <f>SUM(AN53:AN54)</f>
        <v>0</v>
      </c>
      <c r="AO52" s="201">
        <f>SUM(AO53:AO54)</f>
        <v>0</v>
      </c>
      <c r="AP52" s="201">
        <f>SUM(AP53:AP54)</f>
        <v>0</v>
      </c>
      <c r="AQ52" s="201">
        <f>SUM(AQ53:AQ54)</f>
        <v>0</v>
      </c>
      <c r="AR52" s="201">
        <f>SUM(AR53:AR54)</f>
        <v>0</v>
      </c>
      <c r="AS52" s="201">
        <f>SUM(AS53:AS54)</f>
        <v>0</v>
      </c>
      <c r="AT52" s="201">
        <f>SUM(AT53:AT54)</f>
        <v>0</v>
      </c>
      <c r="AU52" s="201">
        <f>SUM(AU53:AU54)</f>
        <v>0</v>
      </c>
      <c r="AV52" s="201">
        <f>SUM(AV53:AV54)</f>
        <v>0</v>
      </c>
      <c r="AW52" s="201">
        <f>SUM(AW53:AW54)</f>
        <v>0</v>
      </c>
      <c r="AX52" s="201">
        <f>SUM(AX53:AX54)</f>
        <v>0</v>
      </c>
      <c r="AY52" s="201">
        <f>SUM(AY53:AY54)</f>
        <v>0</v>
      </c>
      <c r="AZ52" s="201">
        <f>SUM(AZ53:AZ54)</f>
        <v>0</v>
      </c>
      <c r="BA52" s="201">
        <f>SUM(BA53:BA54)</f>
        <v>0</v>
      </c>
      <c r="BB52" s="201">
        <f>SUM(BB53:BB54)</f>
        <v>0</v>
      </c>
      <c r="BC52" s="166"/>
      <c r="BD52" s="1363"/>
      <c r="BE52" s="1363"/>
      <c r="BF52" s="1015" t="s">
        <v>1168</v>
      </c>
      <c r="BG52" s="1374"/>
      <c r="BH52" s="1374"/>
      <c r="BI52" s="1370"/>
      <c r="BJ52" s="1370"/>
    </row>
    <row s="1624" customFormat="1" customHeight="1" ht="14.25" hidden="1">
      <c r="A53" s="88"/>
      <c r="B53" s="814"/>
      <c r="C53" s="398"/>
      <c r="D53" s="398"/>
      <c r="E53" s="594">
        <v>15</v>
      </c>
      <c r="F53" s="50" cm="1" t="str">
        <f t="array" ref="F53:F53">OFFSET(E53,-1,1)</f>
        <v>1</v>
      </c>
      <c r="G53" s="398" t="s">
        <v>550</v>
      </c>
      <c r="H53" s="899"/>
      <c r="I53" s="1057" cm="1" t="str">
        <f t="array" ref="I53:I53">AC53</f>
        <v>0</v>
      </c>
      <c r="J53" s="398"/>
      <c r="K53" s="398"/>
      <c r="L53" s="398"/>
      <c r="M53" s="398"/>
      <c r="N53" s="398"/>
      <c r="O53" s="398"/>
      <c r="P53" s="398"/>
      <c r="Q53" s="398"/>
      <c r="R53" s="398"/>
      <c r="S53" s="398"/>
      <c r="T53" s="438">
        <f>AND(F53&gt;0,Y53&gt;0)</f>
        <v>0</v>
      </c>
      <c r="U53" s="398"/>
      <c r="V53" s="398"/>
      <c r="W53" s="733" t="s">
        <v>172</v>
      </c>
      <c r="X53" s="1511"/>
      <c r="Y53" s="88">
        <v>0</v>
      </c>
      <c r="Z53" s="1494"/>
      <c r="AA53" s="392" t="s">
        <v>173</v>
      </c>
      <c r="AB53" s="666" t="str">
        <f>"10."&amp;Y53</f>
        <v>10.0</v>
      </c>
      <c r="AC53" s="2773"/>
      <c r="AD53" s="266" t="s">
        <v>789</v>
      </c>
      <c r="AE53" s="2760"/>
      <c r="AF53" s="2760"/>
      <c r="AG53" s="2760"/>
      <c r="AH53" s="2760"/>
      <c r="AI53" s="194"/>
      <c r="AJ53" s="2760"/>
      <c r="AK53" s="2760"/>
      <c r="AL53" s="2760"/>
      <c r="AM53" s="2760"/>
      <c r="AN53" s="2760"/>
      <c r="AO53" s="2760"/>
      <c r="AP53" s="2760"/>
      <c r="AQ53" s="2760"/>
      <c r="AR53" s="2760"/>
      <c r="AS53" s="194"/>
      <c r="AT53" s="2760"/>
      <c r="AU53" s="2760"/>
      <c r="AV53" s="2760"/>
      <c r="AW53" s="2760"/>
      <c r="AX53" s="2760"/>
      <c r="AY53" s="2760"/>
      <c r="AZ53" s="2760"/>
      <c r="BA53" s="2760"/>
      <c r="BB53" s="2760"/>
      <c r="BC53" s="1880"/>
      <c r="BD53" s="88"/>
      <c r="BE53" s="1363"/>
      <c r="BF53" s="1015" t="s">
        <v>1168</v>
      </c>
      <c r="BG53" s="1015" t="s">
        <v>1169</v>
      </c>
      <c r="BH53" s="1027" cm="1" t="str">
        <f t="array" ref="BH53:BH53">AC53</f>
        <v>0</v>
      </c>
      <c r="BI53" s="1370"/>
      <c r="BJ53" s="652" t="b">
        <v>1</v>
      </c>
    </row>
    <row s="511" customFormat="1" customHeight="1" ht="14.25">
      <c r="A54" s="1363"/>
      <c r="B54" s="814"/>
      <c r="C54" s="398"/>
      <c r="D54" s="398"/>
      <c r="E54" s="594">
        <v>15</v>
      </c>
      <c r="F54" s="50" cm="1" t="str">
        <f t="array" ref="F54:F54">OFFSET(E54,-1,1)</f>
        <v>1</v>
      </c>
      <c r="G54" s="398"/>
      <c r="H54" s="1363"/>
      <c r="I54" s="398" t="str">
        <f>"!=='не определено'"</f>
        <v>!=='не определено'</v>
      </c>
      <c r="J54" s="398"/>
      <c r="K54" s="398"/>
      <c r="L54" s="398"/>
      <c r="M54" s="398"/>
      <c r="N54" s="398"/>
      <c r="O54" s="398"/>
      <c r="P54" s="398"/>
      <c r="Q54" s="398"/>
      <c r="R54" s="398"/>
      <c r="S54" s="398"/>
      <c r="T54" s="438">
        <f>F54&gt;0</f>
        <v>1</v>
      </c>
      <c r="U54" s="398"/>
      <c r="V54" s="398"/>
      <c r="W54" s="733" t="s">
        <v>388</v>
      </c>
      <c r="X54" s="1511"/>
      <c r="Y54" s="1363"/>
      <c r="Z54" s="1494"/>
      <c r="AA54" s="1363"/>
      <c r="AB54" s="751"/>
      <c r="AC54" s="226" t="s">
        <v>176</v>
      </c>
      <c r="AD54" s="752"/>
      <c r="AE54" s="198"/>
      <c r="AF54" s="198"/>
      <c r="AG54" s="198"/>
      <c r="AH54" s="198"/>
      <c r="AI54" s="198"/>
      <c r="AJ54" s="198"/>
      <c r="AK54" s="198"/>
      <c r="AL54" s="198"/>
      <c r="AM54" s="198"/>
      <c r="AN54" s="198"/>
      <c r="AO54" s="198"/>
      <c r="AP54" s="198"/>
      <c r="AQ54" s="198"/>
      <c r="AR54" s="198"/>
      <c r="AS54" s="198"/>
      <c r="AT54" s="198"/>
      <c r="AU54" s="198"/>
      <c r="AV54" s="198"/>
      <c r="AW54" s="198"/>
      <c r="AX54" s="198"/>
      <c r="AY54" s="198"/>
      <c r="AZ54" s="198"/>
      <c r="BA54" s="198"/>
      <c r="BB54" s="198"/>
      <c r="BC54" s="199"/>
      <c r="BD54" s="1363"/>
      <c r="BE54" s="1363"/>
      <c r="BF54" s="974"/>
      <c r="BG54" s="974"/>
      <c r="BH54" s="974"/>
      <c r="BI54" s="593" t="s">
        <v>1169</v>
      </c>
      <c r="BJ54" s="593"/>
    </row>
    <row s="1624" customFormat="1" customHeight="1" ht="10.96875">
      <c r="B55" s="803"/>
      <c r="C55" s="0"/>
      <c r="D55" s="0"/>
      <c r="E55" s="647">
        <v>11.25</v>
      </c>
      <c r="F55" s="51"/>
      <c r="G55" s="0"/>
      <c r="H55" s="0"/>
      <c r="I55" s="0"/>
      <c r="J55" s="0"/>
      <c r="K55" s="0"/>
      <c r="L55" s="0"/>
      <c r="M55" s="0"/>
      <c r="N55" s="0"/>
      <c r="O55" s="0"/>
      <c r="P55" s="0"/>
      <c r="Q55" s="0"/>
      <c r="R55" s="0"/>
      <c r="S55" s="0"/>
      <c r="T55" s="0"/>
      <c r="U55" s="0" t="s">
        <v>176</v>
      </c>
      <c r="V55" s="825" t="s">
        <v>1170</v>
      </c>
      <c r="AC55" s="66"/>
      <c r="AD55" s="66"/>
      <c r="AE55" s="66"/>
      <c r="AF55" s="66"/>
      <c r="AI55" s="1624"/>
      <c r="AJ55" s="1624"/>
      <c r="AK55" s="1624"/>
      <c r="AL55" s="1624"/>
      <c r="AM55" s="1624"/>
      <c r="AN55" s="1624"/>
      <c r="AO55" s="1624"/>
      <c r="AP55" s="1624"/>
      <c r="AQ55" s="67"/>
      <c r="AR55" s="1624"/>
      <c r="AS55" s="1624"/>
      <c r="AT55" s="1624"/>
      <c r="AU55" s="1624"/>
      <c r="AV55" s="1624"/>
      <c r="AW55" s="1624"/>
      <c r="AX55" s="1624"/>
      <c r="AY55" s="1624"/>
      <c r="AZ55" s="1624"/>
      <c r="BA55" s="1624"/>
      <c r="BB55" s="1624"/>
      <c r="BF55" s="981"/>
      <c r="BG55" s="981"/>
      <c r="BH55" s="981"/>
      <c r="BI55" s="599"/>
      <c r="BJ55" s="599"/>
    </row>
    <row s="1624" customFormat="1" customHeight="1" ht="14.625">
      <c r="A56" s="64"/>
      <c r="B56" s="815"/>
      <c r="C56" s="466"/>
      <c r="D56" s="466"/>
      <c r="E56" s="816">
        <v>15</v>
      </c>
      <c r="F56" s="466"/>
      <c r="G56" s="466"/>
      <c r="H56" s="466"/>
      <c r="I56" s="466"/>
      <c r="J56" s="466"/>
      <c r="K56" s="466"/>
      <c r="L56" s="466"/>
      <c r="M56" s="466"/>
      <c r="N56" s="466"/>
      <c r="O56" s="466"/>
      <c r="P56" s="466"/>
      <c r="Q56" s="466"/>
      <c r="R56" s="466"/>
      <c r="S56" s="466"/>
      <c r="T56" s="466"/>
      <c r="U56" s="466"/>
      <c r="V56" s="466"/>
      <c r="W56" s="64"/>
      <c r="X56" s="64"/>
      <c r="Y56" s="64"/>
      <c r="Z56" s="64"/>
      <c r="AA56" s="64"/>
      <c r="AB56" s="1522" t="s">
        <v>392</v>
      </c>
      <c r="AC56" s="1522"/>
      <c r="AD56" s="1522"/>
      <c r="AE56" s="1522"/>
      <c r="AF56" s="1522"/>
      <c r="AG56" s="1522"/>
      <c r="AH56" s="1522"/>
      <c r="AI56" s="1543"/>
      <c r="AJ56" s="1543"/>
      <c r="AK56" s="1543"/>
      <c r="AL56" s="1543"/>
      <c r="AM56" s="1543"/>
      <c r="AN56" s="1543"/>
      <c r="AO56" s="1543"/>
      <c r="AP56" s="1543"/>
      <c r="AQ56" s="1543"/>
      <c r="AR56" s="1543"/>
      <c r="AS56" s="1543"/>
      <c r="AT56" s="1543"/>
      <c r="AU56" s="1543"/>
      <c r="AV56" s="1543"/>
      <c r="AW56" s="1543"/>
      <c r="AX56" s="1543"/>
      <c r="AY56" s="1543"/>
      <c r="AZ56" s="1543"/>
      <c r="BA56" s="1543"/>
      <c r="BB56" s="1543"/>
      <c r="BC56" s="1543"/>
      <c r="BD56" s="64"/>
      <c r="BF56" s="981"/>
      <c r="BG56" s="981"/>
      <c r="BH56" s="981"/>
      <c r="BI56" s="599"/>
      <c r="BJ56" s="599"/>
    </row>
    <row s="1624" customFormat="1" customHeight="1" ht="14.625">
      <c r="A57" s="64"/>
      <c r="B57" s="815"/>
      <c r="C57" s="466"/>
      <c r="D57" s="466"/>
      <c r="E57" s="816">
        <v>15</v>
      </c>
      <c r="F57" s="466"/>
      <c r="G57" s="466"/>
      <c r="H57" s="466"/>
      <c r="I57" s="466"/>
      <c r="J57" s="466"/>
      <c r="K57" s="466"/>
      <c r="L57" s="466"/>
      <c r="M57" s="466"/>
      <c r="N57" s="466"/>
      <c r="O57" s="466"/>
      <c r="P57" s="466"/>
      <c r="Q57" s="466"/>
      <c r="R57" s="466"/>
      <c r="S57" s="466"/>
      <c r="T57" s="466"/>
      <c r="U57" s="466"/>
      <c r="V57" s="466"/>
      <c r="W57" s="64"/>
      <c r="X57" s="64"/>
      <c r="Y57" s="64"/>
      <c r="Z57" s="64"/>
      <c r="AA57" s="139"/>
      <c r="AB57" s="1544"/>
      <c r="AC57" s="1544"/>
      <c r="AD57" s="1544"/>
      <c r="AE57" s="1544"/>
      <c r="AF57" s="1544"/>
      <c r="AG57" s="1544"/>
      <c r="AH57" s="1544"/>
      <c r="AI57" s="1545"/>
      <c r="AJ57" s="2394"/>
      <c r="AK57" s="2394"/>
      <c r="AL57" s="2394"/>
      <c r="AM57" s="2394"/>
      <c r="AN57" s="2394"/>
      <c r="AO57" s="2394"/>
      <c r="AP57" s="2394"/>
      <c r="AQ57" s="2394"/>
      <c r="AR57" s="2394"/>
      <c r="AS57" s="1545"/>
      <c r="AT57" s="2394"/>
      <c r="AU57" s="2394"/>
      <c r="AV57" s="2394"/>
      <c r="AW57" s="2394"/>
      <c r="AX57" s="2394"/>
      <c r="AY57" s="2394"/>
      <c r="AZ57" s="2394"/>
      <c r="BA57" s="2394"/>
      <c r="BB57" s="2394"/>
      <c r="BC57" s="1545"/>
      <c r="BD57" s="64"/>
      <c r="BF57" s="981"/>
      <c r="BG57" s="981"/>
      <c r="BH57" s="981"/>
      <c r="BI57" s="599"/>
      <c r="BJ57" s="599"/>
    </row>
    <row s="1624" customFormat="1" customHeight="1" ht="14.625" hidden="1">
      <c r="A58" s="64"/>
      <c r="B58" s="399"/>
      <c r="C58" s="64"/>
      <c r="D58" s="64"/>
      <c r="E58" s="607">
        <v>15</v>
      </c>
      <c r="F58" s="64"/>
      <c r="G58" s="64"/>
      <c r="H58" s="64"/>
      <c r="I58" s="64"/>
      <c r="J58" s="64"/>
      <c r="K58" s="64"/>
      <c r="L58" s="64"/>
      <c r="M58" s="64"/>
      <c r="N58" s="64"/>
      <c r="O58" s="64"/>
      <c r="P58" s="64"/>
      <c r="Q58" s="64"/>
      <c r="R58" s="64"/>
      <c r="S58" s="64"/>
      <c r="T58" s="438">
        <f>ROW(W58)&gt;ROW(W$58)</f>
        <v>0</v>
      </c>
      <c r="U58" s="64"/>
      <c r="V58" s="64"/>
      <c r="W58" s="733" t="s">
        <v>172</v>
      </c>
      <c r="X58" s="64"/>
      <c r="Y58" s="64"/>
      <c r="Z58" s="64"/>
      <c r="AA58" s="392" t="s">
        <v>173</v>
      </c>
      <c r="AB58" s="2395" t="s">
        <v>228</v>
      </c>
      <c r="AC58" s="2395"/>
      <c r="AD58" s="2395"/>
      <c r="AE58" s="2395"/>
      <c r="AF58" s="2395"/>
      <c r="AG58" s="2395"/>
      <c r="AH58" s="2395"/>
      <c r="AI58" s="1545"/>
      <c r="AJ58" s="2394"/>
      <c r="AK58" s="2394"/>
      <c r="AL58" s="2394"/>
      <c r="AM58" s="2394"/>
      <c r="AN58" s="2394"/>
      <c r="AO58" s="2394"/>
      <c r="AP58" s="2394"/>
      <c r="AQ58" s="2394"/>
      <c r="AR58" s="2394"/>
      <c r="AS58" s="1545"/>
      <c r="AT58" s="2394"/>
      <c r="AU58" s="2394"/>
      <c r="AV58" s="2394"/>
      <c r="AW58" s="2394"/>
      <c r="AX58" s="2394"/>
      <c r="AY58" s="2394"/>
      <c r="AZ58" s="2394"/>
      <c r="BA58" s="2394"/>
      <c r="BB58" s="2394"/>
      <c r="BC58" s="2394"/>
      <c r="BD58" s="64"/>
      <c r="BE58" s="1624"/>
      <c r="BF58" s="981"/>
      <c r="BG58" s="981"/>
      <c r="BH58" s="981"/>
      <c r="BI58" s="599"/>
      <c r="BJ58" s="599"/>
    </row>
    <row s="1624" customFormat="1" customHeight="1" ht="14.625">
      <c r="A59" s="64"/>
      <c r="B59" s="399"/>
      <c r="C59" s="64"/>
      <c r="D59" s="64"/>
      <c r="E59" s="607">
        <v>15</v>
      </c>
      <c r="F59" s="64"/>
      <c r="G59" s="64"/>
      <c r="H59" s="64"/>
      <c r="I59" s="64"/>
      <c r="J59" s="64"/>
      <c r="K59" s="64"/>
      <c r="L59" s="64"/>
      <c r="M59" s="64"/>
      <c r="N59" s="64"/>
      <c r="O59" s="64"/>
      <c r="P59" s="64"/>
      <c r="Q59" s="64"/>
      <c r="R59" s="64"/>
      <c r="S59" s="64"/>
      <c r="T59" s="64"/>
      <c r="U59" s="64"/>
      <c r="V59" s="64"/>
      <c r="W59" s="733" t="s">
        <v>396</v>
      </c>
      <c r="X59" s="64"/>
      <c r="Y59" s="64"/>
      <c r="Z59" s="64"/>
      <c r="AA59" s="64"/>
      <c r="AB59" s="623"/>
      <c r="AC59" s="487" t="s">
        <v>1126</v>
      </c>
      <c r="AD59" s="276"/>
      <c r="AE59" s="276"/>
      <c r="AF59" s="277"/>
      <c r="AG59" s="277"/>
      <c r="AH59" s="277"/>
      <c r="AI59" s="277"/>
      <c r="AJ59" s="277"/>
      <c r="AK59" s="277"/>
      <c r="AL59" s="277"/>
      <c r="AM59" s="277"/>
      <c r="AN59" s="277"/>
      <c r="AO59" s="277"/>
      <c r="AP59" s="277"/>
      <c r="AQ59" s="277"/>
      <c r="AR59" s="277"/>
      <c r="AS59" s="277"/>
      <c r="AT59" s="277"/>
      <c r="AU59" s="277"/>
      <c r="AV59" s="277"/>
      <c r="AW59" s="277"/>
      <c r="AX59" s="277"/>
      <c r="AY59" s="277"/>
      <c r="AZ59" s="277"/>
      <c r="BA59" s="277"/>
      <c r="BB59" s="277"/>
      <c r="BC59" s="278"/>
      <c r="BD59" s="64"/>
      <c r="BF59" s="981"/>
      <c r="BG59" s="981"/>
      <c r="BH59" s="981"/>
      <c r="BI59" s="599"/>
      <c r="BJ59" s="599"/>
    </row>
    <row s="1624" customFormat="1" customHeight="1" ht="10.96875">
      <c r="A60" s="115"/>
      <c r="B60" s="414"/>
      <c r="C60" s="115"/>
      <c r="D60" s="115"/>
      <c r="E60" s="652">
        <v>11.25</v>
      </c>
      <c r="F60" s="115"/>
      <c r="G60" s="115"/>
      <c r="H60" s="115"/>
      <c r="I60" s="115"/>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115"/>
      <c r="AL60" s="115"/>
      <c r="AM60" s="115"/>
      <c r="AN60" s="115"/>
      <c r="AO60" s="115"/>
      <c r="AP60" s="115"/>
      <c r="AQ60" s="115"/>
      <c r="AR60" s="115"/>
      <c r="AS60" s="115"/>
      <c r="AT60" s="115"/>
      <c r="AU60" s="115"/>
      <c r="AV60" s="115"/>
      <c r="AW60" s="115"/>
      <c r="AX60" s="115"/>
      <c r="AY60" s="115"/>
      <c r="AZ60" s="115"/>
      <c r="BA60" s="115"/>
      <c r="BB60" s="115"/>
      <c r="BC60" s="115"/>
      <c r="BD60" s="398"/>
      <c r="BF60" s="981"/>
      <c r="BG60" s="981"/>
      <c r="BH60" s="981"/>
      <c r="BI60" s="599"/>
      <c r="BJ60" s="599"/>
    </row>
  </sheetData>
  <sheetProtection formatColumns="0" formatRows="0" insertRows="0" deleteColumns="0" deleteRows="0" sort="0" autoFilter="0" insertColumns="1"/>
  <mergeCells count="11">
    <mergeCell ref="AB24:AB25"/>
    <mergeCell ref="AC24:AC25"/>
    <mergeCell ref="AD24:AD25"/>
    <mergeCell ref="BC24:BC25"/>
    <mergeCell ref="AB58:BC58"/>
    <mergeCell ref="X27:X40"/>
    <mergeCell ref="Z27:Z40"/>
    <mergeCell ref="AB56:BC56"/>
    <mergeCell ref="AB57:BC57"/>
    <mergeCell ref="X41:X54"/>
    <mergeCell ref="Z41:Z54"/>
  </mergeCells>
  <dataValidations count="2">
    <dataValidation type="decimal" allowBlank="1" showErrorMessage="1" errorTitle="Ошибка" error="Допускается ввод только неотрицательных чисел!" sqref="AE29:BB37 AE39:AW39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3 AF53 AG53 AH53 AI53 AJ53 AK53 AL53 AM53 AN53 AO53 AP53 AQ53 AR53 AS53 AT53 AU53 AV53 AW53">
      <formula1>0</formula1>
      <formula2>9.99999999999999E+23</formula2>
    </dataValidation>
    <dataValidation allowBlank="1" showInputMessage="1" showErrorMessage="1" sqref="AI56:BC65511"/>
  </dataValidations>
  <pageMargins left="0.35" right="0.35" top="0.40" bottom="0.40" header="0.31" footer="0.31"/>
  <pageSetup paperSize="9" scale="30" fitToHeight="0" pageOrder="downThenOver" orientation="landscape"/>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1B2F0D-18D8-0468-9F08-DEF1089220E8}" mc:Ignorable="x14ac xr xr2 xr3">
  <sheetPr>
    <tabColor rgb="FF002060"/>
    <outlinePr summaryRight="0" summaryBelow="0"/>
    <pageSetUpPr fitToPage="1"/>
  </sheetPr>
  <dimension ref="A1:BH92"/>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8.8515625" customHeight="1" defaultRowHeight="11.25"/>
  <cols>
    <col min="1" max="1" style="1363" width="3.57421875" hidden="1" customWidth="1"/>
    <col min="2" max="2" style="1369" width="8.57421875" hidden="1" customWidth="1"/>
    <col min="3" max="4" style="1363" width="3.57421875" hidden="1" customWidth="1"/>
    <col min="5" max="5" style="1370" width="3.57421875" hidden="1" customWidth="1"/>
    <col min="6" max="6" style="1363" width="3.57421875" hidden="1" customWidth="1"/>
    <col min="7" max="7" style="1363" width="7.7109375" hidden="1" customWidth="1"/>
    <col min="8" max="10" style="1363" width="3.57421875" hidden="1" customWidth="1"/>
    <col min="11" max="11" style="1363" width="7.140625" hidden="1" customWidth="1"/>
    <col min="12" max="18" style="1363" width="3.57421875" hidden="1" customWidth="1"/>
    <col min="19" max="19" style="1363" width="9.28125" hidden="1" customWidth="1"/>
    <col min="20" max="20" style="1363" width="12.140625" hidden="1" customWidth="1"/>
    <col min="21" max="21" style="1363" width="5.8515625" hidden="1" customWidth="1"/>
    <col min="22" max="23" style="1363" width="6.140625" hidden="1" customWidth="1"/>
    <col min="24" max="25" style="1363" width="5.57421875" hidden="1" customWidth="1"/>
    <col min="26" max="26" style="1363" width="5.28125" hidden="1" customWidth="1"/>
    <col min="27" max="27" style="1363" width="3.00390625" customWidth="1"/>
    <col min="28" max="28" style="1363" width="11.00390625" customWidth="1"/>
    <col min="29" max="29" style="1363" width="54.00390625" customWidth="1"/>
    <col min="30" max="30" style="1363" width="11.140625" customWidth="1"/>
    <col min="31" max="31" style="1363" width="14.140625" customWidth="1"/>
    <col min="32" max="32" style="1363" width="12.57421875" customWidth="1"/>
    <col min="33" max="33" style="1363" width="14.29296875" customWidth="1"/>
    <col min="34" max="34" style="1363" width="14.43359375" customWidth="1"/>
    <col min="35" max="35" style="1363" width="14.29296875" customWidth="1"/>
    <col min="36" max="37" style="1363" width="12.57421875" customWidth="1"/>
    <col min="38" max="46" style="1363" width="12.57421875" hidden="1" customWidth="1"/>
    <col min="47" max="47" style="1363" width="12.57421875" customWidth="1"/>
    <col min="48" max="56" style="1363" width="12.57421875" hidden="1" customWidth="1"/>
    <col min="57" max="57" style="1363" width="20.00390625" customWidth="1"/>
    <col min="58" max="58" style="1363" width="3.00390625" customWidth="1"/>
    <col min="59" max="59" style="1363" width="8.8515625" hidden="1"/>
    <col min="60" max="60" style="1374" width="8.8515625" hidden="1"/>
  </cols>
  <sheetData>
    <row customHeight="1" ht="11.25" hidden="1">
      <c r="E1" s="88"/>
      <c r="F1" s="88" t="s">
        <v>309</v>
      </c>
      <c r="H1" s="88" t="s">
        <v>320</v>
      </c>
      <c r="T1" s="438" t="s">
        <v>92</v>
      </c>
      <c r="U1" s="438" t="s">
        <v>97</v>
      </c>
      <c r="V1" s="438" t="s">
        <v>93</v>
      </c>
      <c r="W1" s="438" t="s">
        <v>94</v>
      </c>
      <c r="X1" s="438" t="s">
        <v>95</v>
      </c>
      <c r="Y1" s="440" t="s">
        <v>311</v>
      </c>
      <c r="Z1" s="438" t="s">
        <v>99</v>
      </c>
      <c r="AA1" s="439" t="s">
        <v>96</v>
      </c>
      <c r="AB1" s="439" t="s">
        <v>98</v>
      </c>
      <c r="AC1" s="439" t="s">
        <v>98</v>
      </c>
      <c r="AK1" s="1363"/>
      <c r="AL1" s="1363"/>
      <c r="AM1" s="1363"/>
      <c r="AN1" s="1363"/>
      <c r="AO1" s="1363"/>
      <c r="AP1" s="1363"/>
      <c r="AQ1" s="1363"/>
      <c r="AR1" s="1363"/>
      <c r="AS1" s="1363"/>
      <c r="AT1" s="1363"/>
      <c r="AU1" s="1363"/>
      <c r="AV1" s="1363"/>
      <c r="AW1" s="1363"/>
      <c r="AX1" s="1363"/>
      <c r="AY1" s="1363"/>
      <c r="AZ1" s="1363"/>
      <c r="BA1" s="1363"/>
      <c r="BB1" s="1363"/>
      <c r="BC1" s="1363"/>
      <c r="BD1" s="1363"/>
      <c r="BH1" s="974" t="s">
        <v>312</v>
      </c>
    </row>
    <row s="1369" customFormat="1" customHeight="1" ht="11.25" hidden="1">
      <c r="B2" s="418" t="s">
        <v>18</v>
      </c>
      <c r="AK2" s="418">
        <f>AK6&lt;=last_year_vis</f>
        <v>1</v>
      </c>
      <c r="AL2" s="418">
        <f>AL6&lt;=last_year_vis</f>
        <v>0</v>
      </c>
      <c r="AM2" s="418">
        <f>AM6&lt;=last_year_vis</f>
        <v>0</v>
      </c>
      <c r="AN2" s="418">
        <f>AN6&lt;=last_year_vis</f>
        <v>0</v>
      </c>
      <c r="AO2" s="418">
        <f>AO6&lt;=last_year_vis</f>
        <v>0</v>
      </c>
      <c r="AP2" s="418">
        <f>AP6&lt;=last_year_vis</f>
        <v>0</v>
      </c>
      <c r="AQ2" s="418">
        <f>AQ6&lt;=last_year_vis</f>
        <v>0</v>
      </c>
      <c r="AR2" s="418">
        <f>AR6&lt;=last_year_vis</f>
        <v>0</v>
      </c>
      <c r="AS2" s="418">
        <f>AS6&lt;=last_year_vis</f>
        <v>0</v>
      </c>
      <c r="AT2" s="418">
        <f>AT6&lt;=last_year_vis</f>
        <v>0</v>
      </c>
      <c r="AU2" s="418">
        <f>AU6&lt;=last_year_vis</f>
        <v>1</v>
      </c>
      <c r="AV2" s="418">
        <f>AV6&lt;=last_year_vis</f>
        <v>0</v>
      </c>
      <c r="AW2" s="418">
        <f>AW6&lt;=last_year_vis</f>
        <v>0</v>
      </c>
      <c r="AX2" s="418">
        <f>AX6&lt;=last_year_vis</f>
        <v>0</v>
      </c>
      <c r="AY2" s="418">
        <f>AY6&lt;=last_year_vis</f>
        <v>0</v>
      </c>
      <c r="AZ2" s="418">
        <f>AZ6&lt;=last_year_vis</f>
        <v>0</v>
      </c>
      <c r="BA2" s="418">
        <f>BA6&lt;=last_year_vis</f>
        <v>0</v>
      </c>
      <c r="BB2" s="418">
        <f>BB6&lt;=last_year_vis</f>
        <v>0</v>
      </c>
      <c r="BC2" s="418">
        <f>BC6&lt;=last_year_vis</f>
        <v>0</v>
      </c>
      <c r="BD2" s="418">
        <f>BD6&lt;=last_year_vis</f>
        <v>0</v>
      </c>
      <c r="BH2" s="986"/>
    </row>
    <row customHeight="1" ht="11.25" hidden="1">
      <c r="E3" s="88"/>
      <c r="AK3" s="1363"/>
      <c r="AL3" s="1363"/>
      <c r="AM3" s="1363"/>
      <c r="AN3" s="1363"/>
      <c r="AO3" s="1363"/>
      <c r="AP3" s="1363"/>
      <c r="AQ3" s="1363"/>
      <c r="AR3" s="1363"/>
      <c r="AS3" s="1363"/>
      <c r="AT3" s="1363"/>
      <c r="AU3" s="1363"/>
      <c r="AV3" s="1363"/>
      <c r="AW3" s="1363"/>
      <c r="AX3" s="1363"/>
      <c r="AY3" s="1363"/>
      <c r="AZ3" s="1363"/>
      <c r="BA3" s="1363"/>
      <c r="BB3" s="1363"/>
      <c r="BC3" s="1363"/>
      <c r="BD3" s="1363"/>
    </row>
    <row customHeight="1" ht="11.25" hidden="1">
      <c r="E4" s="88"/>
      <c r="AK4" s="1363"/>
      <c r="AL4" s="1363"/>
      <c r="AM4" s="1363"/>
      <c r="AN4" s="1363"/>
      <c r="AO4" s="1363"/>
      <c r="AP4" s="1363"/>
      <c r="AQ4" s="1363"/>
      <c r="AR4" s="1363"/>
      <c r="AS4" s="1363"/>
      <c r="AT4" s="1363"/>
      <c r="AU4" s="1363"/>
      <c r="AV4" s="1363"/>
      <c r="AW4" s="1363"/>
      <c r="AX4" s="1363"/>
      <c r="AY4" s="1363"/>
      <c r="AZ4" s="1363"/>
      <c r="BA4" s="1363"/>
      <c r="BB4" s="1363"/>
      <c r="BC4" s="1363"/>
      <c r="BD4" s="1363"/>
    </row>
    <row s="1370" customFormat="1" customHeight="1" ht="11.25" hidden="1">
      <c r="A5" s="88"/>
      <c r="B5" s="400"/>
      <c r="C5" s="88"/>
      <c r="D5" s="88"/>
      <c r="E5" s="593" t="s">
        <v>19</v>
      </c>
      <c r="AA5" s="593">
        <v>3</v>
      </c>
      <c r="AB5" s="593">
        <v>11</v>
      </c>
      <c r="AC5" s="593">
        <v>54</v>
      </c>
      <c r="AD5" s="593">
        <v>11.14</v>
      </c>
      <c r="AE5" s="593">
        <v>14.14</v>
      </c>
      <c r="AF5" s="593">
        <v>12.57</v>
      </c>
      <c r="AG5" s="593">
        <v>14.29</v>
      </c>
      <c r="AH5" s="593">
        <v>14.43</v>
      </c>
      <c r="AI5" s="593">
        <v>14.29</v>
      </c>
      <c r="AJ5" s="593">
        <v>12.57</v>
      </c>
      <c r="AK5" s="593">
        <v>12.57</v>
      </c>
      <c r="AL5" s="593">
        <v>12.57</v>
      </c>
      <c r="AM5" s="593">
        <v>12.57</v>
      </c>
      <c r="AN5" s="593">
        <v>12.57</v>
      </c>
      <c r="AO5" s="593">
        <v>12.57</v>
      </c>
      <c r="AP5" s="593">
        <v>12.57</v>
      </c>
      <c r="AQ5" s="593">
        <v>12.57</v>
      </c>
      <c r="AR5" s="593">
        <v>12.57</v>
      </c>
      <c r="AS5" s="593">
        <v>12.57</v>
      </c>
      <c r="AT5" s="593">
        <v>12.57</v>
      </c>
      <c r="AU5" s="593">
        <v>12.57</v>
      </c>
      <c r="AV5" s="593">
        <v>12.57</v>
      </c>
      <c r="AW5" s="593">
        <v>12.57</v>
      </c>
      <c r="AX5" s="593">
        <v>12.57</v>
      </c>
      <c r="AY5" s="593">
        <v>12.57</v>
      </c>
      <c r="AZ5" s="593">
        <v>12.57</v>
      </c>
      <c r="BA5" s="593">
        <v>12.57</v>
      </c>
      <c r="BB5" s="593">
        <v>12.57</v>
      </c>
      <c r="BC5" s="593">
        <v>12.57</v>
      </c>
      <c r="BD5" s="593">
        <v>12.57</v>
      </c>
      <c r="BE5" s="593">
        <v>20</v>
      </c>
      <c r="BF5" s="593">
        <v>3</v>
      </c>
      <c r="BH5" s="974"/>
    </row>
    <row customHeight="1" ht="11.25" hidden="1">
      <c r="A6" s="88" t="s">
        <v>349</v>
      </c>
      <c r="AE6" s="88">
        <f>god-2</f>
        <v>2024</v>
      </c>
      <c r="AF6" s="88">
        <f>god-2</f>
        <v>2024</v>
      </c>
      <c r="AG6" s="88">
        <f>god-2</f>
        <v>2024</v>
      </c>
      <c r="AH6" s="88">
        <f>god-2</f>
        <v>2024</v>
      </c>
      <c r="AI6" s="88">
        <f>god-1</f>
        <v>2025</v>
      </c>
      <c r="AJ6" s="88">
        <f>god-1</f>
        <v>2025</v>
      </c>
      <c r="AK6" s="64" cm="1" t="str">
        <f t="array" ref="AK6:AK6">god</f>
        <v>2026</v>
      </c>
      <c r="AL6" s="64">
        <f>god+1</f>
        <v>2027</v>
      </c>
      <c r="AM6" s="64">
        <f>god+2</f>
        <v>2028</v>
      </c>
      <c r="AN6" s="64">
        <f>god+3</f>
        <v>2029</v>
      </c>
      <c r="AO6" s="64">
        <f>god+4</f>
        <v>2030</v>
      </c>
      <c r="AP6" s="64">
        <f>god+5</f>
        <v>2031</v>
      </c>
      <c r="AQ6" s="64">
        <f>god+6</f>
        <v>2032</v>
      </c>
      <c r="AR6" s="64">
        <f>god+7</f>
        <v>2033</v>
      </c>
      <c r="AS6" s="64">
        <f>god+8</f>
        <v>2034</v>
      </c>
      <c r="AT6" s="64">
        <f>god+9</f>
        <v>2035</v>
      </c>
      <c r="AU6" s="64" cm="1" t="str">
        <f t="array" ref="AU6:AU6">god</f>
        <v>2026</v>
      </c>
      <c r="AV6" s="64">
        <f>god+1</f>
        <v>2027</v>
      </c>
      <c r="AW6" s="64">
        <f>god+2</f>
        <v>2028</v>
      </c>
      <c r="AX6" s="64">
        <f>god+3</f>
        <v>2029</v>
      </c>
      <c r="AY6" s="64">
        <f>god+4</f>
        <v>2030</v>
      </c>
      <c r="AZ6" s="64">
        <f>god+5</f>
        <v>2031</v>
      </c>
      <c r="BA6" s="64">
        <f>god+6</f>
        <v>2032</v>
      </c>
      <c r="BB6" s="64">
        <f>god+7</f>
        <v>2033</v>
      </c>
      <c r="BC6" s="64">
        <f>god+8</f>
        <v>2034</v>
      </c>
      <c r="BD6" s="64">
        <f>god+9</f>
        <v>2035</v>
      </c>
    </row>
    <row customHeight="1" ht="11.25" hidden="1">
      <c r="A7" s="88" t="s">
        <v>350</v>
      </c>
      <c r="AE7" s="88" cm="1" t="str">
        <f t="array" ref="AE7:AE7">AE27</f>
        <v>Плановый размер финансирования утвержденной инвестиционной программы</v>
      </c>
      <c r="AF7" s="88" cm="1" t="str">
        <f t="array" ref="AF7:AF7">AF27</f>
        <v>Принято органом регулирования</v>
      </c>
      <c r="AG7" s="88" cm="1" t="str">
        <f t="array" ref="AG7:AG7">AG27</f>
        <v>Объем фактического ввода объектов системы водоснабжения и водоотведения в эксплуатацию по данным организации</v>
      </c>
      <c r="AH7" s="88" cm="1" t="str">
        <f t="array" ref="AH7:AH7">AH27</f>
        <v>Объем фактического ввода объектов системы водоснабжения и водоотведения в эксплуатацию, принятый органом регулирования</v>
      </c>
      <c r="AI7" s="88" cm="1" t="str">
        <f t="array" ref="AI7:AI7">AI27</f>
        <v>Плановый размер финансирования утвержденной инвестиционной программы</v>
      </c>
      <c r="AJ7" s="88" cm="1" t="str">
        <f t="array" ref="AJ7:AJ7">AJ27</f>
        <v>Принято органом регулирования</v>
      </c>
      <c r="AK7" s="88" cm="1" t="str">
        <f t="array" ref="AK7:AK7">AK27</f>
        <v>Предложение организации</v>
      </c>
      <c r="AL7" s="88" cm="1" t="str">
        <f t="array" ref="AL7:AL7">AL27</f>
        <v>Предложение организации</v>
      </c>
      <c r="AM7" s="88" cm="1" t="str">
        <f t="array" ref="AM7:AM7">AM27</f>
        <v>Предложение организации</v>
      </c>
      <c r="AN7" s="88" cm="1" t="str">
        <f t="array" ref="AN7:AN7">AN27</f>
        <v>Предложение организации</v>
      </c>
      <c r="AO7" s="88" cm="1" t="str">
        <f t="array" ref="AO7:AO7">AO27</f>
        <v>Предложение организации</v>
      </c>
      <c r="AP7" s="88" cm="1" t="str">
        <f t="array" ref="AP7:AP7">AP27</f>
        <v>Предложение организации</v>
      </c>
      <c r="AQ7" s="88" cm="1" t="str">
        <f t="array" ref="AQ7:AQ7">AQ27</f>
        <v>Предложение организации</v>
      </c>
      <c r="AR7" s="88" cm="1" t="str">
        <f t="array" ref="AR7:AR7">AR27</f>
        <v>Предложение организации</v>
      </c>
      <c r="AS7" s="88" cm="1" t="str">
        <f t="array" ref="AS7:AS7">AS27</f>
        <v>Предложение организации</v>
      </c>
      <c r="AT7" s="88" cm="1" t="str">
        <f t="array" ref="AT7:AT7">AT27</f>
        <v>Предложение организации</v>
      </c>
      <c r="AU7" s="88" cm="1" t="str">
        <f t="array" ref="AU7:AU7">AU27</f>
        <v>Принято органом регулирования</v>
      </c>
      <c r="AV7" s="88" cm="1" t="str">
        <f t="array" ref="AV7:AV7">AV27</f>
        <v>Принято органом регулирования</v>
      </c>
      <c r="AW7" s="88" cm="1" t="str">
        <f t="array" ref="AW7:AW7">AW27</f>
        <v>Принято органом регулирования</v>
      </c>
      <c r="AX7" s="88" cm="1" t="str">
        <f t="array" ref="AX7:AX7">AX27</f>
        <v>Принято органом регулирования</v>
      </c>
      <c r="AY7" s="88" cm="1" t="str">
        <f t="array" ref="AY7:AY7">AY27</f>
        <v>Принято органом регулирования</v>
      </c>
      <c r="AZ7" s="88" cm="1" t="str">
        <f t="array" ref="AZ7:AZ7">AZ27</f>
        <v>Принято органом регулирования</v>
      </c>
      <c r="BA7" s="88" cm="1" t="str">
        <f t="array" ref="BA7:BA7">BA27</f>
        <v>Принято органом регулирования</v>
      </c>
      <c r="BB7" s="88" cm="1" t="str">
        <f t="array" ref="BB7:BB7">BB27</f>
        <v>Принято органом регулирования</v>
      </c>
      <c r="BC7" s="88" cm="1" t="str">
        <f t="array" ref="BC7:BC7">BC27</f>
        <v>Принято органом регулирования</v>
      </c>
      <c r="BD7" s="88" cm="1" t="str">
        <f t="array" ref="BD7:BD7">BD27</f>
        <v>Принято органом регулирования</v>
      </c>
    </row>
    <row customHeight="1" ht="11.25" hidden="1">
      <c r="AK8" s="1363"/>
      <c r="AL8" s="1363"/>
      <c r="AM8" s="1363"/>
      <c r="AN8" s="1363"/>
      <c r="AO8" s="1363"/>
      <c r="AP8" s="1363"/>
      <c r="AQ8" s="1363"/>
      <c r="AR8" s="1363"/>
      <c r="AS8" s="1363"/>
      <c r="AT8" s="1363"/>
      <c r="AU8" s="1363"/>
      <c r="AV8" s="1363"/>
      <c r="AW8" s="1363"/>
      <c r="AX8" s="1363"/>
      <c r="AY8" s="1363"/>
      <c r="AZ8" s="1363"/>
      <c r="BA8" s="1363"/>
      <c r="BB8" s="1363"/>
      <c r="BC8" s="1363"/>
      <c r="BD8" s="1363"/>
    </row>
    <row s="1374" customFormat="1" customHeight="1" ht="11.25" hidden="1">
      <c r="A9" s="1015" t="s">
        <v>354</v>
      </c>
      <c r="B9" s="1014"/>
      <c r="AE9" s="1015" cm="1" t="str">
        <f t="array" ref="AE9:AE9">AE6</f>
        <v>2024</v>
      </c>
      <c r="AF9" s="1015" cm="1" t="str">
        <f t="array" ref="AF9:AF9">AF6</f>
        <v>2024</v>
      </c>
      <c r="AG9" s="1015" cm="1" t="str">
        <f t="array" ref="AG9:AG9">AG6</f>
        <v>2024</v>
      </c>
      <c r="AH9" s="1015" cm="1" t="str">
        <f t="array" ref="AH9:AH9">AH6</f>
        <v>2024</v>
      </c>
      <c r="AI9" s="1015" cm="1" t="str">
        <f t="array" ref="AI9:AI9">AI6</f>
        <v>2025</v>
      </c>
      <c r="AJ9" s="1015" cm="1" t="str">
        <f t="array" ref="AJ9:AJ9">AJ6</f>
        <v>2025</v>
      </c>
      <c r="AK9" s="1015" cm="1" t="str">
        <f t="array" ref="AK9:AK9">AK6</f>
        <v>2026</v>
      </c>
      <c r="AL9" s="1015" cm="1" t="str">
        <f t="array" ref="AL9:AL9">AL6</f>
        <v>2027</v>
      </c>
      <c r="AM9" s="1015" cm="1" t="str">
        <f t="array" ref="AM9:AM9">AM6</f>
        <v>2028</v>
      </c>
      <c r="AN9" s="1015" cm="1" t="str">
        <f t="array" ref="AN9:AN9">AN6</f>
        <v>2029</v>
      </c>
      <c r="AO9" s="1015" cm="1" t="str">
        <f t="array" ref="AO9:AO9">AO6</f>
        <v>2030</v>
      </c>
      <c r="AP9" s="1015" cm="1" t="str">
        <f t="array" ref="AP9:AP9">AP6</f>
        <v>2031</v>
      </c>
      <c r="AQ9" s="1015" cm="1" t="str">
        <f t="array" ref="AQ9:AQ9">AQ6</f>
        <v>2032</v>
      </c>
      <c r="AR9" s="1015" cm="1" t="str">
        <f t="array" ref="AR9:AR9">AR6</f>
        <v>2033</v>
      </c>
      <c r="AS9" s="1015" cm="1" t="str">
        <f t="array" ref="AS9:AS9">AS6</f>
        <v>2034</v>
      </c>
      <c r="AT9" s="1015" cm="1" t="str">
        <f t="array" ref="AT9:AT9">AT6</f>
        <v>2035</v>
      </c>
      <c r="AU9" s="1015" cm="1" t="str">
        <f t="array" ref="AU9:AU9">AU6</f>
        <v>2026</v>
      </c>
      <c r="AV9" s="1015" cm="1" t="str">
        <f t="array" ref="AV9:AV9">AV6</f>
        <v>2027</v>
      </c>
      <c r="AW9" s="1015" cm="1" t="str">
        <f t="array" ref="AW9:AW9">AW6</f>
        <v>2028</v>
      </c>
      <c r="AX9" s="1015" cm="1" t="str">
        <f t="array" ref="AX9:AX9">AX6</f>
        <v>2029</v>
      </c>
      <c r="AY9" s="1015" cm="1" t="str">
        <f t="array" ref="AY9:AY9">AY6</f>
        <v>2030</v>
      </c>
      <c r="AZ9" s="1015" cm="1" t="str">
        <f t="array" ref="AZ9:AZ9">AZ6</f>
        <v>2031</v>
      </c>
      <c r="BA9" s="1015" cm="1" t="str">
        <f t="array" ref="BA9:BA9">BA6</f>
        <v>2032</v>
      </c>
      <c r="BB9" s="1015" cm="1" t="str">
        <f t="array" ref="BB9:BB9">BB6</f>
        <v>2033</v>
      </c>
      <c r="BC9" s="1015" cm="1" t="str">
        <f t="array" ref="BC9:BC9">BC6</f>
        <v>2034</v>
      </c>
      <c r="BD9" s="1015" cm="1" t="str">
        <f t="array" ref="BD9:BD9">BD6</f>
        <v>2035</v>
      </c>
    </row>
    <row s="1374" customFormat="1" customHeight="1" ht="11.25" hidden="1">
      <c r="A10" s="1015" t="s">
        <v>355</v>
      </c>
      <c r="B10" s="1014"/>
      <c r="AE10" s="1015" cm="1" t="str">
        <f t="array" ref="AE10:AE10">AE27</f>
        <v>Плановый размер финансирования утвержденной инвестиционной программы</v>
      </c>
      <c r="AF10" s="1015" cm="1" t="str">
        <f t="array" ref="AF10:AF10">AF27</f>
        <v>Принято органом регулирования</v>
      </c>
      <c r="AG10" s="1015" cm="1" t="str">
        <f t="array" ref="AG10:AG10">AG27</f>
        <v>Объем фактического ввода объектов системы водоснабжения и водоотведения в эксплуатацию по данным организации</v>
      </c>
      <c r="AH10" s="1015" cm="1" t="str">
        <f t="array" ref="AH10:AH10">AH27</f>
        <v>Объем фактического ввода объектов системы водоснабжения и водоотведения в эксплуатацию, принятый органом регулирования</v>
      </c>
      <c r="AI10" s="1015" cm="1" t="str">
        <f t="array" ref="AI10:AI10">AI27</f>
        <v>Плановый размер финансирования утвержденной инвестиционной программы</v>
      </c>
      <c r="AJ10" s="1015" cm="1" t="str">
        <f t="array" ref="AJ10:AJ10">AJ27</f>
        <v>Принято органом регулирования</v>
      </c>
      <c r="AK10" s="1015" cm="1" t="str">
        <f t="array" ref="AK10:AK10">AK27</f>
        <v>Предложение организации</v>
      </c>
      <c r="AL10" s="1015" cm="1" t="str">
        <f t="array" ref="AL10:AL10">AL27</f>
        <v>Предложение организации</v>
      </c>
      <c r="AM10" s="1015" cm="1" t="str">
        <f t="array" ref="AM10:AM10">AM27</f>
        <v>Предложение организации</v>
      </c>
      <c r="AN10" s="1015" cm="1" t="str">
        <f t="array" ref="AN10:AN10">AN27</f>
        <v>Предложение организации</v>
      </c>
      <c r="AO10" s="1015" cm="1" t="str">
        <f t="array" ref="AO10:AO10">AO27</f>
        <v>Предложение организации</v>
      </c>
      <c r="AP10" s="1015" cm="1" t="str">
        <f t="array" ref="AP10:AP10">AP27</f>
        <v>Предложение организации</v>
      </c>
      <c r="AQ10" s="1015" cm="1" t="str">
        <f t="array" ref="AQ10:AQ10">AQ27</f>
        <v>Предложение организации</v>
      </c>
      <c r="AR10" s="1015" cm="1" t="str">
        <f t="array" ref="AR10:AR10">AR27</f>
        <v>Предложение организации</v>
      </c>
      <c r="AS10" s="1015" cm="1" t="str">
        <f t="array" ref="AS10:AS10">AS27</f>
        <v>Предложение организации</v>
      </c>
      <c r="AT10" s="1015" cm="1" t="str">
        <f t="array" ref="AT10:AT10">AT27</f>
        <v>Предложение организации</v>
      </c>
      <c r="AU10" s="1015" cm="1" t="str">
        <f t="array" ref="AU10:AU10">AU27</f>
        <v>Принято органом регулирования</v>
      </c>
      <c r="AV10" s="1015" cm="1" t="str">
        <f t="array" ref="AV10:AV10">AV27</f>
        <v>Принято органом регулирования</v>
      </c>
      <c r="AW10" s="1015" cm="1" t="str">
        <f t="array" ref="AW10:AW10">AW27</f>
        <v>Принято органом регулирования</v>
      </c>
      <c r="AX10" s="1015" cm="1" t="str">
        <f t="array" ref="AX10:AX10">AX27</f>
        <v>Принято органом регулирования</v>
      </c>
      <c r="AY10" s="1015" cm="1" t="str">
        <f t="array" ref="AY10:AY10">AY27</f>
        <v>Принято органом регулирования</v>
      </c>
      <c r="AZ10" s="1015" cm="1" t="str">
        <f t="array" ref="AZ10:AZ10">AZ27</f>
        <v>Принято органом регулирования</v>
      </c>
      <c r="BA10" s="1015" cm="1" t="str">
        <f t="array" ref="BA10:BA10">BA27</f>
        <v>Принято органом регулирования</v>
      </c>
      <c r="BB10" s="1015" cm="1" t="str">
        <f t="array" ref="BB10:BB10">BB27</f>
        <v>Принято органом регулирования</v>
      </c>
      <c r="BC10" s="1015" cm="1" t="str">
        <f t="array" ref="BC10:BC10">BC27</f>
        <v>Принято органом регулирования</v>
      </c>
      <c r="BD10" s="1015" cm="1" t="str">
        <f t="array" ref="BD10:BD10">BD27</f>
        <v>Принято органом регулирования</v>
      </c>
    </row>
    <row s="1374" customFormat="1" customHeight="1" ht="11.25" hidden="1">
      <c r="A11" s="1015" t="s">
        <v>356</v>
      </c>
      <c r="B11" s="1014"/>
      <c r="AK11" s="1374"/>
      <c r="AL11" s="1374"/>
      <c r="AM11" s="1374"/>
      <c r="AN11" s="1374"/>
      <c r="AO11" s="1374"/>
      <c r="AP11" s="1374"/>
      <c r="AQ11" s="1374"/>
      <c r="AR11" s="1374"/>
      <c r="AS11" s="1374"/>
      <c r="AT11" s="1374"/>
      <c r="AU11" s="1374"/>
      <c r="AV11" s="1374"/>
      <c r="AW11" s="1374"/>
      <c r="AX11" s="1374"/>
      <c r="AY11" s="1374"/>
      <c r="AZ11" s="1374"/>
      <c r="BA11" s="1374"/>
      <c r="BB11" s="1374"/>
      <c r="BC11" s="1374"/>
      <c r="BD11" s="1374"/>
      <c r="BE11" s="974" cm="1" t="str">
        <f t="array" ref="BE11:BE11">BE26</f>
        <v>Ссылка на правовую норму (основание для принятия показателя в расчет тарифа)</v>
      </c>
    </row>
    <row customHeight="1" ht="11.25" hidden="1">
      <c r="AK12" s="1363"/>
      <c r="AL12" s="1363"/>
      <c r="AM12" s="1363"/>
      <c r="AN12" s="1363"/>
      <c r="AO12" s="1363"/>
      <c r="AP12" s="1363"/>
      <c r="AQ12" s="1363"/>
      <c r="AR12" s="1363"/>
      <c r="AS12" s="1363"/>
      <c r="AT12" s="1363"/>
      <c r="AU12" s="1363"/>
      <c r="AV12" s="1363"/>
      <c r="AW12" s="1363"/>
      <c r="AX12" s="1363"/>
      <c r="AY12" s="1363"/>
      <c r="AZ12" s="1363"/>
      <c r="BA12" s="1363"/>
      <c r="BB12" s="1363"/>
      <c r="BC12" s="1363"/>
      <c r="BD12" s="1363"/>
    </row>
    <row customHeight="1" ht="11.25" hidden="1">
      <c r="AK13" s="64"/>
      <c r="AL13" s="64"/>
      <c r="AM13" s="64"/>
      <c r="AN13" s="64"/>
      <c r="AO13" s="64"/>
      <c r="AP13" s="64"/>
      <c r="AQ13" s="64"/>
      <c r="AR13" s="64"/>
      <c r="AS13" s="64"/>
      <c r="AT13" s="64"/>
      <c r="AU13" s="64"/>
      <c r="AV13" s="64"/>
      <c r="AW13" s="64"/>
      <c r="AX13" s="64"/>
      <c r="AY13" s="64"/>
      <c r="AZ13" s="64"/>
      <c r="BA13" s="64"/>
      <c r="BB13" s="64"/>
      <c r="BC13" s="64"/>
      <c r="BD13" s="64"/>
    </row>
    <row customHeight="1" ht="11.25" hidden="1">
      <c r="AK14" s="64"/>
      <c r="AL14" s="64"/>
      <c r="AM14" s="64"/>
      <c r="AN14" s="64"/>
      <c r="AO14" s="64"/>
      <c r="AP14" s="64"/>
      <c r="AQ14" s="64"/>
      <c r="AR14" s="64"/>
      <c r="AS14" s="64"/>
      <c r="AT14" s="64"/>
      <c r="AU14" s="64"/>
      <c r="AV14" s="64"/>
      <c r="AW14" s="64"/>
      <c r="AX14" s="64"/>
      <c r="AY14" s="64"/>
      <c r="AZ14" s="64"/>
      <c r="BA14" s="64"/>
      <c r="BB14" s="64"/>
      <c r="BC14" s="64"/>
      <c r="BD14" s="64"/>
    </row>
    <row customHeight="1" ht="11.25" hidden="1">
      <c r="AK15" s="64"/>
      <c r="AL15" s="64"/>
      <c r="AM15" s="64"/>
      <c r="AN15" s="64"/>
      <c r="AO15" s="64"/>
      <c r="AP15" s="64"/>
      <c r="AQ15" s="64"/>
      <c r="AR15" s="64"/>
      <c r="AS15" s="64"/>
      <c r="AT15" s="64"/>
      <c r="AU15" s="64"/>
      <c r="AV15" s="64"/>
      <c r="AW15" s="64"/>
      <c r="AX15" s="64"/>
      <c r="AY15" s="64"/>
      <c r="AZ15" s="64"/>
      <c r="BA15" s="64"/>
      <c r="BB15" s="64"/>
      <c r="BC15" s="64"/>
      <c r="BD15" s="64"/>
    </row>
    <row customHeight="1" ht="11.25" hidden="1">
      <c r="AK16" s="64"/>
      <c r="AL16" s="64"/>
      <c r="AM16" s="64"/>
      <c r="AN16" s="64"/>
      <c r="AO16" s="64"/>
      <c r="AP16" s="64"/>
      <c r="AQ16" s="64"/>
      <c r="AR16" s="64"/>
      <c r="AS16" s="64"/>
      <c r="AT16" s="64"/>
      <c r="AU16" s="64"/>
      <c r="AV16" s="64"/>
      <c r="AW16" s="64"/>
      <c r="AX16" s="64"/>
      <c r="AY16" s="64"/>
      <c r="AZ16" s="64"/>
      <c r="BA16" s="64"/>
      <c r="BB16" s="64"/>
      <c r="BC16" s="64"/>
      <c r="BD16" s="64"/>
    </row>
    <row customHeight="1" ht="11.25" hidden="1">
      <c r="AK17" s="1363"/>
      <c r="AL17" s="1363"/>
      <c r="AM17" s="1363"/>
      <c r="AN17" s="1363"/>
      <c r="AO17" s="1363"/>
      <c r="AP17" s="1363"/>
      <c r="AQ17" s="1363"/>
      <c r="AR17" s="1363"/>
      <c r="AS17" s="1363"/>
      <c r="AT17" s="1363"/>
      <c r="AU17" s="1363"/>
      <c r="AV17" s="1363"/>
      <c r="AW17" s="1363"/>
      <c r="AX17" s="1363"/>
      <c r="AY17" s="1363"/>
      <c r="AZ17" s="1363"/>
      <c r="BA17" s="1363"/>
      <c r="BB17" s="1363"/>
      <c r="BC17" s="1363"/>
      <c r="BD17" s="1363"/>
    </row>
    <row customHeight="1" ht="11.25" hidden="1">
      <c r="AK18" s="1363"/>
      <c r="AL18" s="1363"/>
      <c r="AM18" s="1363"/>
      <c r="AN18" s="1363"/>
      <c r="AO18" s="1363"/>
      <c r="AP18" s="1363"/>
      <c r="AQ18" s="1363"/>
      <c r="AR18" s="1363"/>
      <c r="AS18" s="1363"/>
      <c r="AT18" s="1363"/>
      <c r="AU18" s="1363"/>
      <c r="AV18" s="1363"/>
      <c r="AW18" s="1363"/>
      <c r="AX18" s="1363"/>
      <c r="AY18" s="1363"/>
      <c r="AZ18" s="1363"/>
      <c r="BA18" s="1363"/>
      <c r="BB18" s="1363"/>
      <c r="BC18" s="1363"/>
      <c r="BD18" s="1363"/>
    </row>
    <row customHeight="1" ht="11.25" hidden="1">
      <c r="AK19" s="1363"/>
      <c r="AL19" s="1363"/>
      <c r="AM19" s="1363"/>
      <c r="AN19" s="1363"/>
      <c r="AO19" s="1363"/>
      <c r="AP19" s="1363"/>
      <c r="AQ19" s="1363"/>
      <c r="AR19" s="1363"/>
      <c r="AS19" s="1363"/>
      <c r="AT19" s="1363"/>
      <c r="AU19" s="1363"/>
      <c r="AV19" s="1363"/>
      <c r="AW19" s="1363"/>
      <c r="AX19" s="1363"/>
      <c r="AY19" s="1363"/>
      <c r="AZ19" s="1363"/>
      <c r="BA19" s="1363"/>
      <c r="BB19" s="1363"/>
      <c r="BC19" s="1363"/>
      <c r="BD19" s="1363"/>
    </row>
    <row customHeight="1" ht="11.25" hidden="1">
      <c r="AK20" s="1363"/>
      <c r="AL20" s="1363"/>
      <c r="AM20" s="1363"/>
      <c r="AN20" s="1363"/>
      <c r="AO20" s="1363"/>
      <c r="AP20" s="1363"/>
      <c r="AQ20" s="1363"/>
      <c r="AR20" s="1363"/>
      <c r="AS20" s="1363"/>
      <c r="AT20" s="1363"/>
      <c r="AU20" s="1363"/>
      <c r="AV20" s="1363"/>
      <c r="AW20" s="1363"/>
      <c r="AX20" s="1363"/>
      <c r="AY20" s="1363"/>
      <c r="AZ20" s="1363"/>
      <c r="BA20" s="1363"/>
      <c r="BB20" s="1363"/>
      <c r="BC20" s="1363"/>
      <c r="BD20" s="1363"/>
    </row>
    <row customHeight="1" ht="14.625">
      <c r="E21" s="593">
        <v>15</v>
      </c>
      <c r="AA21" s="397"/>
      <c r="AC21" s="50" cm="1" t="str">
        <f t="array" ref="AC21:AC21">tpl_title</f>
        <v>Кемеровская область / 2026 / ОАО «СКЭК» (ИНН:4205153492, КПП:420501001) / ДПР: 2026-2026</v>
      </c>
      <c r="AK21" s="1363"/>
      <c r="AL21" s="1363"/>
      <c r="AM21" s="1363"/>
      <c r="AN21" s="1363"/>
      <c r="AO21" s="1363"/>
      <c r="AP21" s="1363"/>
      <c r="AQ21" s="1363"/>
      <c r="AR21" s="1363"/>
      <c r="AS21" s="1363"/>
      <c r="AT21" s="1363"/>
      <c r="AU21" s="1363"/>
      <c r="AV21" s="1363"/>
      <c r="AW21" s="1363"/>
      <c r="AX21" s="1363"/>
      <c r="AY21" s="1363"/>
      <c r="AZ21" s="1363"/>
      <c r="BA21" s="1363"/>
      <c r="BB21" s="1363"/>
      <c r="BC21" s="1363"/>
      <c r="BD21" s="1363"/>
    </row>
    <row customHeight="1" ht="19.5">
      <c r="E22" s="593">
        <v>20</v>
      </c>
      <c r="AB22" s="286" t="s">
        <v>69</v>
      </c>
      <c r="AC22" s="202"/>
      <c r="AD22" s="202"/>
      <c r="AE22" s="202"/>
      <c r="AF22" s="202"/>
      <c r="AG22" s="202"/>
      <c r="AH22" s="202"/>
      <c r="AI22" s="202"/>
      <c r="AJ22" s="202"/>
      <c r="AK22" s="202"/>
      <c r="AL22" s="202"/>
      <c r="AM22" s="202"/>
      <c r="AN22" s="202"/>
      <c r="AO22" s="202"/>
      <c r="AP22" s="202"/>
      <c r="AQ22" s="202"/>
      <c r="AR22" s="202"/>
      <c r="AS22" s="202"/>
      <c r="AT22" s="202"/>
      <c r="AU22" s="202"/>
      <c r="AV22" s="203"/>
      <c r="AW22" s="203"/>
      <c r="AX22" s="203"/>
      <c r="AY22" s="203"/>
      <c r="AZ22" s="203"/>
      <c r="BA22" s="203"/>
      <c r="BB22" s="203"/>
      <c r="BC22" s="203"/>
      <c r="BD22" s="203"/>
      <c r="BE22" s="203"/>
    </row>
    <row customHeight="1" ht="10.96875">
      <c r="E23" s="593">
        <v>11.25</v>
      </c>
      <c r="AK23" s="1363"/>
      <c r="AL23" s="1363"/>
      <c r="AM23" s="1363"/>
      <c r="AN23" s="1363"/>
      <c r="AO23" s="1363"/>
      <c r="AP23" s="1363"/>
      <c r="AQ23" s="1363"/>
      <c r="AR23" s="1363"/>
      <c r="AS23" s="1363"/>
      <c r="AT23" s="1363"/>
      <c r="AU23" s="1363"/>
      <c r="AV23" s="1363"/>
      <c r="AW23" s="1363"/>
      <c r="AX23" s="1363"/>
      <c r="AY23" s="1363"/>
      <c r="AZ23" s="1363"/>
      <c r="BA23" s="1363"/>
      <c r="BB23" s="1363"/>
      <c r="BC23" s="1363"/>
      <c r="BD23" s="1363"/>
    </row>
    <row customHeight="1" ht="21.9375">
      <c r="E24" s="593">
        <v>22.5</v>
      </c>
      <c r="AB24" s="1571" t="s">
        <v>1171</v>
      </c>
      <c r="AC24" s="1571"/>
      <c r="AD24" s="314" t="str">
        <f>"нет"</f>
        <v>нет</v>
      </c>
      <c r="AK24" s="1363"/>
      <c r="AL24" s="1363"/>
      <c r="AM24" s="1363"/>
      <c r="AN24" s="1363"/>
      <c r="AO24" s="1363"/>
      <c r="AP24" s="1363"/>
      <c r="AQ24" s="1363"/>
      <c r="AR24" s="1363"/>
      <c r="AS24" s="1363"/>
      <c r="AT24" s="1363"/>
      <c r="AU24" s="1363"/>
      <c r="AV24" s="1363"/>
      <c r="AW24" s="1363"/>
      <c r="AX24" s="1363"/>
      <c r="AY24" s="1363"/>
      <c r="AZ24" s="1363"/>
      <c r="BA24" s="1363"/>
      <c r="BB24" s="1363"/>
      <c r="BC24" s="1363"/>
      <c r="BD24" s="1363"/>
    </row>
    <row customHeight="1" ht="10.96875">
      <c r="E25" s="593">
        <v>11.25</v>
      </c>
      <c r="AK25" s="1363"/>
      <c r="AL25" s="1363"/>
      <c r="AM25" s="1363"/>
      <c r="AN25" s="1363"/>
      <c r="AO25" s="1363"/>
      <c r="AP25" s="1363"/>
      <c r="AQ25" s="1363"/>
      <c r="AR25" s="1363"/>
      <c r="AS25" s="1363"/>
      <c r="AT25" s="1363"/>
      <c r="AU25" s="1363"/>
      <c r="AV25" s="1363"/>
      <c r="AW25" s="1363"/>
      <c r="AX25" s="1363"/>
      <c r="AY25" s="1363"/>
      <c r="AZ25" s="1363"/>
      <c r="BA25" s="1363"/>
      <c r="BB25" s="1363"/>
      <c r="BC25" s="1363"/>
      <c r="BD25" s="1363"/>
    </row>
    <row customHeight="1" ht="14.625">
      <c r="E26" s="593">
        <v>15</v>
      </c>
      <c r="AB26" s="1512" t="s">
        <v>21</v>
      </c>
      <c r="AC26" s="1522" t="s">
        <v>1172</v>
      </c>
      <c r="AD26" s="1522" t="s">
        <v>359</v>
      </c>
      <c r="AE26" s="742" t="str">
        <f>god-2&amp;" год"</f>
        <v>2024 год</v>
      </c>
      <c r="AF26" s="742" t="str">
        <f>god-2&amp;" год"</f>
        <v>2024 год</v>
      </c>
      <c r="AG26" s="1101" t="str">
        <f>god-2&amp;" год"</f>
        <v>2024 год</v>
      </c>
      <c r="AH26" s="742" t="str">
        <f>god-2&amp;" год"</f>
        <v>2024 год</v>
      </c>
      <c r="AI26" s="908" t="str">
        <f>god-1&amp;" год"</f>
        <v>2025 год</v>
      </c>
      <c r="AJ26" s="908" t="str">
        <f>god-1&amp;" год"</f>
        <v>2025 год</v>
      </c>
      <c r="AK26" s="1102" t="str">
        <f>god&amp;" год"</f>
        <v>2026 год</v>
      </c>
      <c r="AL26" s="1102" t="str">
        <f>god+1&amp;" год"</f>
        <v>2027 год</v>
      </c>
      <c r="AM26" s="1102" t="str">
        <f>god+2&amp;" год"</f>
        <v>2028 год</v>
      </c>
      <c r="AN26" s="1102" t="str">
        <f>god+3&amp;" год"</f>
        <v>2029 год</v>
      </c>
      <c r="AO26" s="1102" t="str">
        <f>god+4&amp;" год"</f>
        <v>2030 год</v>
      </c>
      <c r="AP26" s="1102" t="str">
        <f>god+5&amp;" год"</f>
        <v>2031 год</v>
      </c>
      <c r="AQ26" s="1102" t="str">
        <f>god+6&amp;" год"</f>
        <v>2032 год</v>
      </c>
      <c r="AR26" s="1102" t="str">
        <f>god+7&amp;" год"</f>
        <v>2033 год</v>
      </c>
      <c r="AS26" s="1102" t="str">
        <f>god+8&amp;" год"</f>
        <v>2034 год</v>
      </c>
      <c r="AT26" s="1102" t="str">
        <f>god+9&amp;" год"</f>
        <v>2035 год</v>
      </c>
      <c r="AU26" s="840" t="str">
        <f>god&amp;" год"</f>
        <v>2026 год</v>
      </c>
      <c r="AV26" s="840" t="str">
        <f>god+1&amp;" год"</f>
        <v>2027 год</v>
      </c>
      <c r="AW26" s="840" t="str">
        <f>god+2&amp;" год"</f>
        <v>2028 год</v>
      </c>
      <c r="AX26" s="840" t="str">
        <f>god+3&amp;" год"</f>
        <v>2029 год</v>
      </c>
      <c r="AY26" s="840" t="str">
        <f>god+4&amp;" год"</f>
        <v>2030 год</v>
      </c>
      <c r="AZ26" s="840" t="str">
        <f>god+5&amp;" год"</f>
        <v>2031 год</v>
      </c>
      <c r="BA26" s="840" t="str">
        <f>god+6&amp;" год"</f>
        <v>2032 год</v>
      </c>
      <c r="BB26" s="840" t="str">
        <f>god+7&amp;" год"</f>
        <v>2033 год</v>
      </c>
      <c r="BC26" s="840" t="str">
        <f>god+8&amp;" год"</f>
        <v>2034 год</v>
      </c>
      <c r="BD26" s="840" t="str">
        <f>god+9&amp;" год"</f>
        <v>2035 год</v>
      </c>
      <c r="BE26" s="1522" t="s">
        <v>500</v>
      </c>
    </row>
    <row s="1513" customFormat="1" customHeight="1" ht="122.85000000000001">
      <c r="B27" s="401"/>
      <c r="E27" s="233">
        <v>126</v>
      </c>
      <c r="AB27" s="1512"/>
      <c r="AC27" s="1522"/>
      <c r="AD27" s="1522"/>
      <c r="AE27" s="742" t="s">
        <v>1173</v>
      </c>
      <c r="AF27" s="742" t="s">
        <v>351</v>
      </c>
      <c r="AG27" s="1101" t="s">
        <v>1174</v>
      </c>
      <c r="AH27" s="742" t="s">
        <v>1175</v>
      </c>
      <c r="AI27" s="742" t="s">
        <v>1173</v>
      </c>
      <c r="AJ27" s="909" t="s">
        <v>351</v>
      </c>
      <c r="AK27" s="1103" t="s">
        <v>352</v>
      </c>
      <c r="AL27" s="1103" t="s">
        <v>352</v>
      </c>
      <c r="AM27" s="1103" t="s">
        <v>352</v>
      </c>
      <c r="AN27" s="1103" t="s">
        <v>352</v>
      </c>
      <c r="AO27" s="1103" t="s">
        <v>352</v>
      </c>
      <c r="AP27" s="1103" t="s">
        <v>352</v>
      </c>
      <c r="AQ27" s="1103" t="s">
        <v>352</v>
      </c>
      <c r="AR27" s="1103" t="s">
        <v>352</v>
      </c>
      <c r="AS27" s="1103" t="s">
        <v>352</v>
      </c>
      <c r="AT27" s="1103" t="s">
        <v>352</v>
      </c>
      <c r="AU27" s="841" t="s">
        <v>351</v>
      </c>
      <c r="AV27" s="841" t="s">
        <v>351</v>
      </c>
      <c r="AW27" s="841" t="s">
        <v>351</v>
      </c>
      <c r="AX27" s="841" t="s">
        <v>351</v>
      </c>
      <c r="AY27" s="841" t="s">
        <v>351</v>
      </c>
      <c r="AZ27" s="841" t="s">
        <v>351</v>
      </c>
      <c r="BA27" s="841" t="s">
        <v>351</v>
      </c>
      <c r="BB27" s="841" t="s">
        <v>351</v>
      </c>
      <c r="BC27" s="841" t="s">
        <v>351</v>
      </c>
      <c r="BD27" s="841" t="s">
        <v>351</v>
      </c>
      <c r="BE27" s="1522"/>
      <c r="BH27" s="1007"/>
    </row>
    <row s="1624" customFormat="1" customHeight="1" ht="11.25" hidden="1">
      <c r="A28" s="472"/>
      <c r="B28" s="634"/>
      <c r="C28" s="472"/>
      <c r="D28" s="472"/>
      <c r="E28" s="635">
        <v>0</v>
      </c>
      <c r="F28" s="387"/>
      <c r="G28" s="472"/>
      <c r="H28" s="472"/>
      <c r="I28" s="472"/>
      <c r="J28" s="472"/>
      <c r="K28" s="472"/>
      <c r="L28" s="472"/>
      <c r="M28" s="472"/>
      <c r="N28" s="472"/>
      <c r="O28" s="472"/>
      <c r="P28" s="472"/>
      <c r="Q28" s="472"/>
      <c r="R28" s="472"/>
      <c r="S28" s="472"/>
      <c r="T28" s="472"/>
      <c r="U28" s="472"/>
      <c r="V28" s="472"/>
      <c r="W28" s="472"/>
      <c r="X28" s="472"/>
      <c r="Y28" s="472"/>
      <c r="Z28" s="472"/>
      <c r="AB28" s="0"/>
      <c r="AC28" s="455"/>
      <c r="AD28" s="455"/>
      <c r="AE28" s="455"/>
      <c r="AF28" s="455"/>
      <c r="AG28" s="0"/>
      <c r="AH28" s="0"/>
      <c r="AI28" s="0"/>
      <c r="AJ28" s="0"/>
      <c r="AK28" s="0"/>
      <c r="AL28" s="0"/>
      <c r="AM28" s="0"/>
      <c r="AN28" s="0"/>
      <c r="AO28" s="0"/>
      <c r="AP28" s="0"/>
      <c r="AQ28" s="0"/>
      <c r="AR28" s="0"/>
      <c r="AS28" s="0"/>
      <c r="AT28" s="0"/>
      <c r="AU28" s="0"/>
      <c r="AV28" s="0"/>
      <c r="AW28" s="0"/>
      <c r="AX28" s="0"/>
      <c r="AY28" s="0"/>
      <c r="AZ28" s="0"/>
      <c r="BA28" s="0"/>
      <c r="BB28" s="0"/>
      <c r="BC28" s="0"/>
      <c r="BD28" s="0"/>
      <c r="BE28" s="0"/>
      <c r="BH28" s="981"/>
    </row>
    <row customHeight="1" ht="14.625" hidden="1">
      <c r="A29" s="1363"/>
      <c r="B29" s="88"/>
      <c r="C29" s="1363"/>
      <c r="D29" s="1363"/>
      <c r="E29" s="593">
        <v>15</v>
      </c>
      <c r="F29" s="64" cm="1" t="str">
        <f t="array" ref="F29:F29">X29</f>
        <v>0</v>
      </c>
      <c r="G29" s="1363"/>
      <c r="H29" s="1363"/>
      <c r="I29" s="1363"/>
      <c r="J29" s="1363"/>
      <c r="K29" s="1363"/>
      <c r="L29" s="1363"/>
      <c r="M29" s="1363"/>
      <c r="N29" s="1363"/>
      <c r="O29" s="1363"/>
      <c r="P29" s="1363"/>
      <c r="Q29" s="1363"/>
      <c r="R29" s="1363"/>
      <c r="S29" s="1363"/>
      <c r="T29" s="438">
        <f>X29&gt;0</f>
        <v>0</v>
      </c>
      <c r="U29" s="1363"/>
      <c r="V29" s="88" t="s">
        <v>267</v>
      </c>
      <c r="W29" s="1363"/>
      <c r="X29" s="1511">
        <v>0</v>
      </c>
      <c r="Y29" s="1363"/>
      <c r="Z29" s="1494"/>
      <c r="AA29" s="1363"/>
      <c r="AB29" s="208" cm="1" t="str">
        <f t="array" ref="AB29:AB29">INDEX('Общие сведения'!$AG$179:$AG$208,MATCH($X29,'Общие сведения'!$Z$179:$Z$208,0))</f>
        <v>Тариф 0 () - тариф на транспортировку сточных вод</v>
      </c>
      <c r="AC29" s="808"/>
      <c r="AD29" s="808"/>
      <c r="AE29" s="808"/>
      <c r="AF29" s="808"/>
      <c r="AG29" s="808"/>
      <c r="AH29" s="808"/>
      <c r="AI29" s="808"/>
      <c r="AJ29" s="808"/>
      <c r="AK29" s="808"/>
      <c r="AL29" s="808"/>
      <c r="AM29" s="808"/>
      <c r="AN29" s="808"/>
      <c r="AO29" s="808"/>
      <c r="AP29" s="808"/>
      <c r="AQ29" s="808"/>
      <c r="AR29" s="808"/>
      <c r="AS29" s="808"/>
      <c r="AT29" s="808"/>
      <c r="AU29" s="808"/>
      <c r="AV29" s="808"/>
      <c r="AW29" s="808"/>
      <c r="AX29" s="808"/>
      <c r="AY29" s="808"/>
      <c r="AZ29" s="808"/>
      <c r="BA29" s="808"/>
      <c r="BB29" s="808"/>
      <c r="BC29" s="808"/>
      <c r="BD29" s="808"/>
      <c r="BE29" s="808"/>
      <c r="BF29" s="1363"/>
      <c r="BG29" s="1363"/>
      <c r="BH29" s="1374"/>
    </row>
    <row s="674" customFormat="1" customHeight="1" ht="21.9375" hidden="1">
      <c r="A30" s="674"/>
      <c r="B30" s="88"/>
      <c r="C30" s="674"/>
      <c r="D30" s="674"/>
      <c r="E30" s="667">
        <v>22.5</v>
      </c>
      <c r="F30" s="50" cm="1" t="str">
        <f t="array" ref="F30:F30">OFFSET(E30,-1,1)</f>
        <v>0</v>
      </c>
      <c r="G30" s="88"/>
      <c r="H30" s="88" t="s">
        <v>321</v>
      </c>
      <c r="I30" s="674"/>
      <c r="J30" s="674"/>
      <c r="K30" s="674"/>
      <c r="L30" s="674"/>
      <c r="M30" s="674"/>
      <c r="N30" s="674"/>
      <c r="O30" s="674"/>
      <c r="P30" s="674"/>
      <c r="Q30" s="674"/>
      <c r="R30" s="674"/>
      <c r="S30" s="674"/>
      <c r="T30" s="438" cm="1" t="str">
        <f t="array" ref="T30:T30">T29</f>
        <v>false</v>
      </c>
      <c r="U30" s="674"/>
      <c r="V30" s="674"/>
      <c r="W30" s="674"/>
      <c r="X30" s="1511"/>
      <c r="Y30" s="674"/>
      <c r="Z30" s="1494"/>
      <c r="AA30" s="674"/>
      <c r="AB30" s="184">
        <v>1</v>
      </c>
      <c r="AC30" s="178" t="s">
        <v>1176</v>
      </c>
      <c r="AD30" s="177" t="s">
        <v>789</v>
      </c>
      <c r="AE30" s="179">
        <f>AE31+AE41+AE45+AE49</f>
        <v>0</v>
      </c>
      <c r="AF30" s="179">
        <f>AF31+AF41+AF45+AF49</f>
        <v>0</v>
      </c>
      <c r="AG30" s="179">
        <f>AG31+AG41+AG45+AG49</f>
        <v>0</v>
      </c>
      <c r="AH30" s="179">
        <f>AH31+AH41+AH45+AH49</f>
        <v>0</v>
      </c>
      <c r="AI30" s="179">
        <f>AI31+AI41+AI45+AI49</f>
        <v>0</v>
      </c>
      <c r="AJ30" s="179">
        <f>AJ31+AJ41+AJ45+AJ49</f>
        <v>0</v>
      </c>
      <c r="AK30" s="179">
        <f>AK31+AK41+AK45+AK49</f>
        <v>0</v>
      </c>
      <c r="AL30" s="179">
        <f>AL31+AL41+AL45+AL49</f>
        <v>0</v>
      </c>
      <c r="AM30" s="179">
        <f>AM31+AM41+AM45+AM49</f>
        <v>0</v>
      </c>
      <c r="AN30" s="179">
        <f>AN31+AN41+AN45+AN49</f>
        <v>0</v>
      </c>
      <c r="AO30" s="179">
        <f>AO31+AO41+AO45+AO49</f>
        <v>0</v>
      </c>
      <c r="AP30" s="179">
        <f>AP31+AP41+AP45+AP49</f>
        <v>0</v>
      </c>
      <c r="AQ30" s="179">
        <f>AQ31+AQ41+AQ45+AQ49</f>
        <v>0</v>
      </c>
      <c r="AR30" s="179">
        <f>AR31+AR41+AR45+AR49</f>
        <v>0</v>
      </c>
      <c r="AS30" s="179">
        <f>AS31+AS41+AS45+AS49</f>
        <v>0</v>
      </c>
      <c r="AT30" s="179">
        <f>AT31+AT41+AT45+AT49</f>
        <v>0</v>
      </c>
      <c r="AU30" s="179">
        <f>AU31+AU41+AU45+AU49</f>
        <v>0</v>
      </c>
      <c r="AV30" s="179">
        <f>AV31+AV41+AV45+AV49</f>
        <v>0</v>
      </c>
      <c r="AW30" s="179">
        <f>AW31+AW41+AW45+AW49</f>
        <v>0</v>
      </c>
      <c r="AX30" s="179">
        <f>AX31+AX41+AX45+AX49</f>
        <v>0</v>
      </c>
      <c r="AY30" s="179">
        <f>AY31+AY41+AY45+AY49</f>
        <v>0</v>
      </c>
      <c r="AZ30" s="179">
        <f>AZ31+AZ41+AZ45+AZ49</f>
        <v>0</v>
      </c>
      <c r="BA30" s="179">
        <f>BA31+BA41+BA45+BA49</f>
        <v>0</v>
      </c>
      <c r="BB30" s="179">
        <f>BB31+BB41+BB45+BB49</f>
        <v>0</v>
      </c>
      <c r="BC30" s="179">
        <f>BC31+BC41+BC45+BC49</f>
        <v>0</v>
      </c>
      <c r="BD30" s="179">
        <f>BD31+BD41+BD45+BD49</f>
        <v>0</v>
      </c>
      <c r="BE30" s="2770"/>
      <c r="BF30" s="674"/>
      <c r="BG30" s="674"/>
      <c r="BH30" s="1028" t="s">
        <v>1177</v>
      </c>
    </row>
    <row customHeight="1" ht="14.625" hidden="1">
      <c r="A31" s="1363"/>
      <c r="B31" s="88"/>
      <c r="C31" s="1363"/>
      <c r="D31" s="1363"/>
      <c r="E31" s="593">
        <v>15</v>
      </c>
      <c r="F31" s="50" cm="1" t="str">
        <f t="array" ref="F31:F31">OFFSET(E31,-1,1)</f>
        <v>0</v>
      </c>
      <c r="G31" s="1363"/>
      <c r="H31" s="88" t="s">
        <v>434</v>
      </c>
      <c r="I31" s="1363"/>
      <c r="J31" s="1363"/>
      <c r="K31" s="1363"/>
      <c r="L31" s="1363"/>
      <c r="M31" s="1363"/>
      <c r="N31" s="1363"/>
      <c r="O31" s="1363"/>
      <c r="P31" s="1363"/>
      <c r="Q31" s="1363"/>
      <c r="R31" s="1363"/>
      <c r="S31" s="1363"/>
      <c r="T31" s="438" cm="1" t="str">
        <f t="array" ref="T31:T31">T30</f>
        <v>false</v>
      </c>
      <c r="U31" s="1363"/>
      <c r="V31" s="1363"/>
      <c r="W31" s="1363"/>
      <c r="X31" s="1511"/>
      <c r="Y31" s="1363"/>
      <c r="Z31" s="1494"/>
      <c r="AA31" s="1363"/>
      <c r="AB31" s="265" t="s">
        <v>844</v>
      </c>
      <c r="AC31" s="738" t="s">
        <v>1178</v>
      </c>
      <c r="AD31" s="266" t="s">
        <v>789</v>
      </c>
      <c r="AE31" s="759">
        <f>AE32+AE33+AE34+AE35+AE36</f>
        <v>0</v>
      </c>
      <c r="AF31" s="759">
        <f>AF32+AF33+AF34+AF35+AF36</f>
        <v>0</v>
      </c>
      <c r="AG31" s="759">
        <f>AG32+AG33+AG34+AG35+AG36</f>
        <v>0</v>
      </c>
      <c r="AH31" s="759">
        <f>AH32+AH33+AH34+AH35+AH36</f>
        <v>0</v>
      </c>
      <c r="AI31" s="759">
        <f>AI32+AI33+AI34+AI35+AI36</f>
        <v>0</v>
      </c>
      <c r="AJ31" s="759">
        <f>AJ32+AJ33+AJ34+AJ35+AJ36</f>
        <v>0</v>
      </c>
      <c r="AK31" s="759">
        <f>AK32+AK33+AK34+AK35+AK36</f>
        <v>0</v>
      </c>
      <c r="AL31" s="759">
        <f>AL32+AL33+AL34+AL35+AL36</f>
        <v>0</v>
      </c>
      <c r="AM31" s="759">
        <f>AM32+AM33+AM34+AM35+AM36</f>
        <v>0</v>
      </c>
      <c r="AN31" s="759">
        <f>AN32+AN33+AN34+AN35+AN36</f>
        <v>0</v>
      </c>
      <c r="AO31" s="759">
        <f>AO32+AO33+AO34+AO35+AO36</f>
        <v>0</v>
      </c>
      <c r="AP31" s="759">
        <f>AP32+AP33+AP34+AP35+AP36</f>
        <v>0</v>
      </c>
      <c r="AQ31" s="759">
        <f>AQ32+AQ33+AQ34+AQ35+AQ36</f>
        <v>0</v>
      </c>
      <c r="AR31" s="759">
        <f>AR32+AR33+AR34+AR35+AR36</f>
        <v>0</v>
      </c>
      <c r="AS31" s="759">
        <f>AS32+AS33+AS34+AS35+AS36</f>
        <v>0</v>
      </c>
      <c r="AT31" s="759">
        <f>AT32+AT33+AT34+AT35+AT36</f>
        <v>0</v>
      </c>
      <c r="AU31" s="759">
        <f>AU32+AU33+AU34+AU35+AU36</f>
        <v>0</v>
      </c>
      <c r="AV31" s="759">
        <f>AV32+AV33+AV34+AV35+AV36</f>
        <v>0</v>
      </c>
      <c r="AW31" s="759">
        <f>AW32+AW33+AW34+AW35+AW36</f>
        <v>0</v>
      </c>
      <c r="AX31" s="759">
        <f>AX32+AX33+AX34+AX35+AX36</f>
        <v>0</v>
      </c>
      <c r="AY31" s="759">
        <f>AY32+AY33+AY34+AY35+AY36</f>
        <v>0</v>
      </c>
      <c r="AZ31" s="759">
        <f>AZ32+AZ33+AZ34+AZ35+AZ36</f>
        <v>0</v>
      </c>
      <c r="BA31" s="759">
        <f>BA32+BA33+BA34+BA35+BA36</f>
        <v>0</v>
      </c>
      <c r="BB31" s="759">
        <f>BB32+BB33+BB34+BB35+BB36</f>
        <v>0</v>
      </c>
      <c r="BC31" s="759">
        <f>BC32+BC33+BC34+BC35+BC36</f>
        <v>0</v>
      </c>
      <c r="BD31" s="759">
        <f>BD32+BD33+BD34+BD35+BD36</f>
        <v>0</v>
      </c>
      <c r="BE31" s="2770"/>
      <c r="BF31" s="1363"/>
      <c r="BG31" s="1363"/>
      <c r="BH31" s="974" t="s">
        <v>1179</v>
      </c>
    </row>
    <row customHeight="1" ht="14.625" hidden="1">
      <c r="A32" s="1363"/>
      <c r="B32" s="88"/>
      <c r="C32" s="1363"/>
      <c r="D32" s="1363"/>
      <c r="E32" s="593">
        <v>15</v>
      </c>
      <c r="F32" s="50" cm="1" t="str">
        <f t="array" ref="F32:F32">OFFSET(E32,-1,1)</f>
        <v>0</v>
      </c>
      <c r="G32" s="1363"/>
      <c r="H32" s="88" t="s">
        <v>947</v>
      </c>
      <c r="I32" s="1363"/>
      <c r="J32" s="1363"/>
      <c r="K32" s="1363"/>
      <c r="L32" s="1363"/>
      <c r="M32" s="1363"/>
      <c r="N32" s="1363"/>
      <c r="O32" s="1363"/>
      <c r="P32" s="1363"/>
      <c r="Q32" s="1363"/>
      <c r="R32" s="1363"/>
      <c r="S32" s="1363"/>
      <c r="T32" s="438" cm="1" t="str">
        <f t="array" ref="T32:T32">T31</f>
        <v>false</v>
      </c>
      <c r="U32" s="1363"/>
      <c r="V32" s="1363"/>
      <c r="W32" s="1363"/>
      <c r="X32" s="1511"/>
      <c r="Y32" s="1363"/>
      <c r="Z32" s="1494"/>
      <c r="AA32" s="1363"/>
      <c r="AB32" s="265" t="s">
        <v>948</v>
      </c>
      <c r="AC32" s="741" t="s">
        <v>1180</v>
      </c>
      <c r="AD32" s="266" t="s">
        <v>789</v>
      </c>
      <c r="AE32" s="2409"/>
      <c r="AF32" s="2409"/>
      <c r="AG32" s="2409"/>
      <c r="AH32" s="2409"/>
      <c r="AI32" s="2409"/>
      <c r="AJ32" s="2409"/>
      <c r="AK32" s="748"/>
      <c r="AL32" s="2409"/>
      <c r="AM32" s="2409"/>
      <c r="AN32" s="2409"/>
      <c r="AO32" s="2409"/>
      <c r="AP32" s="2409"/>
      <c r="AQ32" s="2409"/>
      <c r="AR32" s="2409"/>
      <c r="AS32" s="2409"/>
      <c r="AT32" s="2409"/>
      <c r="AU32" s="748"/>
      <c r="AV32" s="2409"/>
      <c r="AW32" s="2409"/>
      <c r="AX32" s="2409"/>
      <c r="AY32" s="2409"/>
      <c r="AZ32" s="2409"/>
      <c r="BA32" s="2409"/>
      <c r="BB32" s="2409"/>
      <c r="BC32" s="2409"/>
      <c r="BD32" s="2409"/>
      <c r="BE32" s="2770"/>
      <c r="BF32" s="1363"/>
      <c r="BG32" s="1363"/>
      <c r="BH32" s="974" t="s">
        <v>1118</v>
      </c>
    </row>
    <row customHeight="1" ht="14.625" hidden="1">
      <c r="A33" s="1363"/>
      <c r="B33" s="88"/>
      <c r="C33" s="1363"/>
      <c r="D33" s="1363"/>
      <c r="E33" s="593">
        <v>15</v>
      </c>
      <c r="F33" s="50" cm="1" t="str">
        <f t="array" ref="F33:F33">OFFSET(E33,-1,1)</f>
        <v>0</v>
      </c>
      <c r="G33" s="1363"/>
      <c r="H33" s="88" t="s">
        <v>951</v>
      </c>
      <c r="I33" s="1363"/>
      <c r="J33" s="1363"/>
      <c r="K33" s="90" t="str">
        <f>F33&amp;"1komm"</f>
        <v>01komm</v>
      </c>
      <c r="L33" s="895" cm="1" t="str">
        <f t="array" ref="L33:L33">BE33</f>
        <v>0</v>
      </c>
      <c r="M33" s="1363"/>
      <c r="N33" s="1363"/>
      <c r="O33" s="1363"/>
      <c r="P33" s="1363"/>
      <c r="Q33" s="1363"/>
      <c r="R33" s="1363"/>
      <c r="S33" s="1363"/>
      <c r="T33" s="438" cm="1" t="str">
        <f t="array" ref="T33:T33">T32</f>
        <v>false</v>
      </c>
      <c r="U33" s="1363"/>
      <c r="V33" s="1363"/>
      <c r="W33" s="1363"/>
      <c r="X33" s="1511"/>
      <c r="Y33" s="1363"/>
      <c r="Z33" s="1494"/>
      <c r="AA33" s="1363"/>
      <c r="AB33" s="265" t="s">
        <v>952</v>
      </c>
      <c r="AC33" s="741" t="s">
        <v>1181</v>
      </c>
      <c r="AD33" s="266" t="s">
        <v>789</v>
      </c>
      <c r="AE33" s="2409"/>
      <c r="AF33" s="2409"/>
      <c r="AG33" s="2409"/>
      <c r="AH33" s="2409"/>
      <c r="AI33" s="2409"/>
      <c r="AJ33" s="2409"/>
      <c r="AK33" s="748"/>
      <c r="AL33" s="2409"/>
      <c r="AM33" s="2409"/>
      <c r="AN33" s="2409"/>
      <c r="AO33" s="2409"/>
      <c r="AP33" s="2409"/>
      <c r="AQ33" s="2409"/>
      <c r="AR33" s="2409"/>
      <c r="AS33" s="2409"/>
      <c r="AT33" s="2409"/>
      <c r="AU33" s="748"/>
      <c r="AV33" s="2409"/>
      <c r="AW33" s="2409"/>
      <c r="AX33" s="2409"/>
      <c r="AY33" s="2409"/>
      <c r="AZ33" s="2409"/>
      <c r="BA33" s="2409"/>
      <c r="BB33" s="2409"/>
      <c r="BC33" s="2409"/>
      <c r="BD33" s="2409"/>
      <c r="BE33" s="2770"/>
      <c r="BF33" s="1363"/>
      <c r="BG33" s="1363"/>
      <c r="BH33" s="974" t="s">
        <v>1182</v>
      </c>
    </row>
    <row customHeight="1" ht="14.625" hidden="1">
      <c r="A34" s="1363"/>
      <c r="B34" s="88"/>
      <c r="C34" s="1363"/>
      <c r="D34" s="1363"/>
      <c r="E34" s="593">
        <v>15</v>
      </c>
      <c r="F34" s="50" cm="1" t="str">
        <f t="array" ref="F34:F34">OFFSET(E34,-1,1)</f>
        <v>0</v>
      </c>
      <c r="G34" s="1363"/>
      <c r="H34" s="88" t="s">
        <v>1183</v>
      </c>
      <c r="I34" s="1363"/>
      <c r="J34" s="1363"/>
      <c r="K34" s="1363"/>
      <c r="L34" s="1363"/>
      <c r="M34" s="1363"/>
      <c r="N34" s="1363"/>
      <c r="O34" s="1363"/>
      <c r="P34" s="1363"/>
      <c r="Q34" s="1363"/>
      <c r="R34" s="1363"/>
      <c r="S34" s="1363"/>
      <c r="T34" s="438" cm="1" t="str">
        <f t="array" ref="T34:T34">T33</f>
        <v>false</v>
      </c>
      <c r="U34" s="1363"/>
      <c r="V34" s="1363"/>
      <c r="W34" s="1363"/>
      <c r="X34" s="1511"/>
      <c r="Y34" s="1363"/>
      <c r="Z34" s="1494"/>
      <c r="AA34" s="1363"/>
      <c r="AB34" s="265" t="s">
        <v>1184</v>
      </c>
      <c r="AC34" s="741" t="s">
        <v>1185</v>
      </c>
      <c r="AD34" s="266" t="s">
        <v>789</v>
      </c>
      <c r="AE34" s="2409"/>
      <c r="AF34" s="2409"/>
      <c r="AG34" s="2409"/>
      <c r="AH34" s="2409"/>
      <c r="AI34" s="2409"/>
      <c r="AJ34" s="2409"/>
      <c r="AK34" s="748"/>
      <c r="AL34" s="2409"/>
      <c r="AM34" s="2409"/>
      <c r="AN34" s="2409"/>
      <c r="AO34" s="2409"/>
      <c r="AP34" s="2409"/>
      <c r="AQ34" s="2409"/>
      <c r="AR34" s="2409"/>
      <c r="AS34" s="2409"/>
      <c r="AT34" s="2409"/>
      <c r="AU34" s="748"/>
      <c r="AV34" s="2409"/>
      <c r="AW34" s="2409"/>
      <c r="AX34" s="2409"/>
      <c r="AY34" s="2409"/>
      <c r="AZ34" s="2409"/>
      <c r="BA34" s="2409"/>
      <c r="BB34" s="2409"/>
      <c r="BC34" s="2409"/>
      <c r="BD34" s="2409"/>
      <c r="BE34" s="2770"/>
      <c r="BF34" s="1363"/>
      <c r="BG34" s="1363"/>
      <c r="BH34" s="974" t="s">
        <v>1186</v>
      </c>
    </row>
    <row customHeight="1" ht="14.625" hidden="1">
      <c r="A35" s="1363"/>
      <c r="B35" s="88"/>
      <c r="C35" s="1363"/>
      <c r="D35" s="1363"/>
      <c r="E35" s="593">
        <v>15</v>
      </c>
      <c r="F35" s="50" cm="1" t="str">
        <f t="array" ref="F35:F35">OFFSET(E35,-1,1)</f>
        <v>0</v>
      </c>
      <c r="G35" s="1363"/>
      <c r="H35" s="88" t="s">
        <v>1187</v>
      </c>
      <c r="I35" s="1363"/>
      <c r="J35" s="1363"/>
      <c r="K35" s="1363"/>
      <c r="L35" s="1363"/>
      <c r="M35" s="1363"/>
      <c r="N35" s="1363"/>
      <c r="O35" s="1363"/>
      <c r="P35" s="1363"/>
      <c r="Q35" s="1363"/>
      <c r="R35" s="1363"/>
      <c r="S35" s="1363"/>
      <c r="T35" s="438" cm="1" t="str">
        <f t="array" ref="T35:T35">T34</f>
        <v>false</v>
      </c>
      <c r="U35" s="1363"/>
      <c r="V35" s="1363"/>
      <c r="W35" s="1363"/>
      <c r="X35" s="1511"/>
      <c r="Y35" s="1363"/>
      <c r="Z35" s="1494"/>
      <c r="AA35" s="1363"/>
      <c r="AB35" s="265" t="s">
        <v>1188</v>
      </c>
      <c r="AC35" s="741" t="s">
        <v>1189</v>
      </c>
      <c r="AD35" s="266" t="s">
        <v>789</v>
      </c>
      <c r="AE35" s="2409"/>
      <c r="AF35" s="2409"/>
      <c r="AG35" s="2409"/>
      <c r="AH35" s="2409"/>
      <c r="AI35" s="2409"/>
      <c r="AJ35" s="2409"/>
      <c r="AK35" s="748"/>
      <c r="AL35" s="2409"/>
      <c r="AM35" s="2409"/>
      <c r="AN35" s="2409"/>
      <c r="AO35" s="2409"/>
      <c r="AP35" s="2409"/>
      <c r="AQ35" s="2409"/>
      <c r="AR35" s="2409"/>
      <c r="AS35" s="2409"/>
      <c r="AT35" s="2409"/>
      <c r="AU35" s="748"/>
      <c r="AV35" s="2409"/>
      <c r="AW35" s="2409"/>
      <c r="AX35" s="2409"/>
      <c r="AY35" s="2409"/>
      <c r="AZ35" s="2409"/>
      <c r="BA35" s="2409"/>
      <c r="BB35" s="2409"/>
      <c r="BC35" s="2409"/>
      <c r="BD35" s="2409"/>
      <c r="BE35" s="2770"/>
      <c r="BF35" s="1363"/>
      <c r="BG35" s="1363"/>
      <c r="BH35" s="974" t="s">
        <v>1190</v>
      </c>
    </row>
    <row customHeight="1" ht="21.9375" hidden="1">
      <c r="A36" s="1363"/>
      <c r="B36" s="88"/>
      <c r="C36" s="1363"/>
      <c r="D36" s="1363"/>
      <c r="E36" s="593">
        <v>22.5</v>
      </c>
      <c r="F36" s="50" cm="1" t="str">
        <f t="array" ref="F36:F36">OFFSET(E36,-1,1)</f>
        <v>0</v>
      </c>
      <c r="G36" s="1363"/>
      <c r="H36" s="1363"/>
      <c r="I36" s="1363"/>
      <c r="J36" s="1363"/>
      <c r="K36" s="1363"/>
      <c r="L36" s="1363"/>
      <c r="M36" s="1363"/>
      <c r="N36" s="1363"/>
      <c r="O36" s="1363"/>
      <c r="P36" s="1363"/>
      <c r="Q36" s="1363"/>
      <c r="R36" s="1363"/>
      <c r="S36" s="1363"/>
      <c r="T36" s="438" cm="1" t="str">
        <f t="array" ref="T36:T36">T35</f>
        <v>false</v>
      </c>
      <c r="U36" s="1363"/>
      <c r="V36" s="1363"/>
      <c r="W36" s="1363"/>
      <c r="X36" s="1511"/>
      <c r="Y36" s="1363"/>
      <c r="Z36" s="1494"/>
      <c r="AA36" s="1363"/>
      <c r="AB36" s="265" t="s">
        <v>1191</v>
      </c>
      <c r="AC36" s="741" t="s">
        <v>1192</v>
      </c>
      <c r="AD36" s="266" t="s">
        <v>789</v>
      </c>
      <c r="AE36" s="2409">
        <f>AE37+AE38+AE39+AE40</f>
        <v>0</v>
      </c>
      <c r="AF36" s="2409">
        <f>AF37+AF38+AF39+AF40</f>
        <v>0</v>
      </c>
      <c r="AG36" s="2409">
        <f>AG37+AG38+AG39+AG40</f>
        <v>0</v>
      </c>
      <c r="AH36" s="2409">
        <f>AH37+AH38+AH39+AH40</f>
        <v>0</v>
      </c>
      <c r="AI36" s="2409">
        <f>AI37+AI38+AI39+AI40</f>
        <v>0</v>
      </c>
      <c r="AJ36" s="2409">
        <f>AJ37+AJ38+AJ39+AJ40</f>
        <v>0</v>
      </c>
      <c r="AK36" s="748">
        <f>AK37+AK38+AK39+AK40</f>
        <v>0</v>
      </c>
      <c r="AL36" s="2409">
        <f>AL37+AL38+AL39+AL40</f>
        <v>0</v>
      </c>
      <c r="AM36" s="2409">
        <f>AM37+AM38+AM39+AM40</f>
        <v>0</v>
      </c>
      <c r="AN36" s="2409">
        <f>AN37+AN38+AN39+AN40</f>
        <v>0</v>
      </c>
      <c r="AO36" s="2409">
        <f>AO37+AO38+AO39+AO40</f>
        <v>0</v>
      </c>
      <c r="AP36" s="2409">
        <f>AP37+AP38+AP39+AP40</f>
        <v>0</v>
      </c>
      <c r="AQ36" s="2409">
        <f>AQ37+AQ38+AQ39+AQ40</f>
        <v>0</v>
      </c>
      <c r="AR36" s="2409">
        <f>AR37+AR38+AR39+AR40</f>
        <v>0</v>
      </c>
      <c r="AS36" s="2409">
        <f>AS37+AS38+AS39+AS40</f>
        <v>0</v>
      </c>
      <c r="AT36" s="2409">
        <f>AT37+AT38+AT39+AT40</f>
        <v>0</v>
      </c>
      <c r="AU36" s="748">
        <f>AU37+AU38+AU39+AU40</f>
        <v>0</v>
      </c>
      <c r="AV36" s="2409">
        <f>AV37+AV38+AV39+AV40</f>
        <v>0</v>
      </c>
      <c r="AW36" s="2409">
        <f>AW37+AW38+AW39+AW40</f>
        <v>0</v>
      </c>
      <c r="AX36" s="2409">
        <f>AX37+AX38+AX39+AX40</f>
        <v>0</v>
      </c>
      <c r="AY36" s="2409">
        <f>AY37+AY38+AY39+AY40</f>
        <v>0</v>
      </c>
      <c r="AZ36" s="2409">
        <f>AZ37+AZ38+AZ39+AZ40</f>
        <v>0</v>
      </c>
      <c r="BA36" s="2409">
        <f>BA37+BA38+BA39+BA40</f>
        <v>0</v>
      </c>
      <c r="BB36" s="2409">
        <f>BB37+BB38+BB39+BB40</f>
        <v>0</v>
      </c>
      <c r="BC36" s="2409">
        <f>BC37+BC38+BC39+BC40</f>
        <v>0</v>
      </c>
      <c r="BD36" s="2409">
        <f>BD37+BD38+BD39+BD40</f>
        <v>0</v>
      </c>
      <c r="BE36" s="2770"/>
      <c r="BF36" s="1363"/>
      <c r="BG36" s="1363"/>
      <c r="BH36" s="974" t="s">
        <v>1193</v>
      </c>
    </row>
    <row customHeight="1" ht="44.606249999999996" hidden="1">
      <c r="A37" s="1363"/>
      <c r="B37" s="88"/>
      <c r="C37" s="1363"/>
      <c r="D37" s="1363"/>
      <c r="E37" s="593">
        <v>45.75</v>
      </c>
      <c r="F37" s="50" cm="1" t="str">
        <f t="array" ref="F37:F37">OFFSET(E37,-1,1)</f>
        <v>0</v>
      </c>
      <c r="G37" s="1363"/>
      <c r="H37" s="1363"/>
      <c r="I37" s="1363"/>
      <c r="J37" s="1363"/>
      <c r="K37" s="1363"/>
      <c r="L37" s="1363"/>
      <c r="M37" s="1363"/>
      <c r="N37" s="1363"/>
      <c r="O37" s="1363"/>
      <c r="P37" s="1363"/>
      <c r="Q37" s="1363"/>
      <c r="R37" s="1363"/>
      <c r="S37" s="1363"/>
      <c r="T37" s="438" cm="1" t="str">
        <f t="array" ref="T37:T37">T36</f>
        <v>false</v>
      </c>
      <c r="U37" s="1363"/>
      <c r="V37" s="1363"/>
      <c r="W37" s="1363"/>
      <c r="X37" s="1511"/>
      <c r="Y37" s="1363"/>
      <c r="Z37" s="1494"/>
      <c r="AA37" s="1363"/>
      <c r="AB37" s="265" t="s">
        <v>1194</v>
      </c>
      <c r="AC37" s="744" t="s">
        <v>1195</v>
      </c>
      <c r="AD37" s="266" t="s">
        <v>789</v>
      </c>
      <c r="AE37" s="2409"/>
      <c r="AF37" s="2409"/>
      <c r="AG37" s="2409"/>
      <c r="AH37" s="2409"/>
      <c r="AI37" s="2409"/>
      <c r="AJ37" s="2409"/>
      <c r="AK37" s="748"/>
      <c r="AL37" s="2409"/>
      <c r="AM37" s="2409"/>
      <c r="AN37" s="2409"/>
      <c r="AO37" s="2409"/>
      <c r="AP37" s="2409"/>
      <c r="AQ37" s="2409"/>
      <c r="AR37" s="2409"/>
      <c r="AS37" s="2409"/>
      <c r="AT37" s="2409"/>
      <c r="AU37" s="748"/>
      <c r="AV37" s="2409"/>
      <c r="AW37" s="2409"/>
      <c r="AX37" s="2409"/>
      <c r="AY37" s="2409"/>
      <c r="AZ37" s="2409"/>
      <c r="BA37" s="2409"/>
      <c r="BB37" s="2409"/>
      <c r="BC37" s="2409"/>
      <c r="BD37" s="2409"/>
      <c r="BE37" s="2770"/>
      <c r="BF37" s="1363"/>
      <c r="BG37" s="1363"/>
      <c r="BH37" s="974" t="s">
        <v>1196</v>
      </c>
    </row>
    <row customHeight="1" ht="44.606249999999996" hidden="1">
      <c r="A38" s="1363"/>
      <c r="B38" s="88"/>
      <c r="C38" s="1363"/>
      <c r="D38" s="1363"/>
      <c r="E38" s="593">
        <v>45.75</v>
      </c>
      <c r="F38" s="50" cm="1" t="str">
        <f t="array" ref="F38:F38">OFFSET(E38,-1,1)</f>
        <v>0</v>
      </c>
      <c r="G38" s="1363"/>
      <c r="H38" s="1363"/>
      <c r="I38" s="1363"/>
      <c r="J38" s="1363"/>
      <c r="K38" s="1363"/>
      <c r="L38" s="1363"/>
      <c r="M38" s="1363"/>
      <c r="N38" s="1363"/>
      <c r="O38" s="1363"/>
      <c r="P38" s="1363"/>
      <c r="Q38" s="1363"/>
      <c r="R38" s="1363"/>
      <c r="S38" s="1363"/>
      <c r="T38" s="438" cm="1" t="str">
        <f t="array" ref="T38:T38">T37</f>
        <v>false</v>
      </c>
      <c r="U38" s="1363"/>
      <c r="V38" s="1363"/>
      <c r="W38" s="1363"/>
      <c r="X38" s="1511"/>
      <c r="Y38" s="1363"/>
      <c r="Z38" s="1494"/>
      <c r="AA38" s="1363"/>
      <c r="AB38" s="265" t="s">
        <v>1197</v>
      </c>
      <c r="AC38" s="744" t="s">
        <v>1198</v>
      </c>
      <c r="AD38" s="266" t="s">
        <v>789</v>
      </c>
      <c r="AE38" s="2409"/>
      <c r="AF38" s="2409"/>
      <c r="AG38" s="2409"/>
      <c r="AH38" s="2409"/>
      <c r="AI38" s="2409"/>
      <c r="AJ38" s="2409"/>
      <c r="AK38" s="748"/>
      <c r="AL38" s="2409"/>
      <c r="AM38" s="2409"/>
      <c r="AN38" s="2409"/>
      <c r="AO38" s="2409"/>
      <c r="AP38" s="2409"/>
      <c r="AQ38" s="2409"/>
      <c r="AR38" s="2409"/>
      <c r="AS38" s="2409"/>
      <c r="AT38" s="2409"/>
      <c r="AU38" s="748"/>
      <c r="AV38" s="2409"/>
      <c r="AW38" s="2409"/>
      <c r="AX38" s="2409"/>
      <c r="AY38" s="2409"/>
      <c r="AZ38" s="2409"/>
      <c r="BA38" s="2409"/>
      <c r="BB38" s="2409"/>
      <c r="BC38" s="2409"/>
      <c r="BD38" s="2409"/>
      <c r="BE38" s="2770"/>
      <c r="BF38" s="1363"/>
      <c r="BG38" s="1363"/>
      <c r="BH38" s="974" t="s">
        <v>1199</v>
      </c>
    </row>
    <row customHeight="1" ht="44.606249999999996" hidden="1">
      <c r="A39" s="1363"/>
      <c r="B39" s="88"/>
      <c r="C39" s="1363"/>
      <c r="D39" s="1363"/>
      <c r="E39" s="593">
        <v>45.75</v>
      </c>
      <c r="F39" s="50" cm="1" t="str">
        <f t="array" ref="F39:F39">OFFSET(E39,-1,1)</f>
        <v>0</v>
      </c>
      <c r="G39" s="1363"/>
      <c r="H39" s="1363"/>
      <c r="I39" s="1363"/>
      <c r="J39" s="1363"/>
      <c r="K39" s="1363"/>
      <c r="L39" s="1363"/>
      <c r="M39" s="1363"/>
      <c r="N39" s="1363"/>
      <c r="O39" s="1363"/>
      <c r="P39" s="1363"/>
      <c r="Q39" s="1363"/>
      <c r="R39" s="1363"/>
      <c r="S39" s="1363"/>
      <c r="T39" s="438" cm="1" t="str">
        <f t="array" ref="T39:T39">T38</f>
        <v>false</v>
      </c>
      <c r="U39" s="1363"/>
      <c r="V39" s="1363"/>
      <c r="W39" s="1363"/>
      <c r="X39" s="1511"/>
      <c r="Y39" s="1363"/>
      <c r="Z39" s="1494"/>
      <c r="AA39" s="1363"/>
      <c r="AB39" s="265" t="s">
        <v>1200</v>
      </c>
      <c r="AC39" s="744" t="s">
        <v>1201</v>
      </c>
      <c r="AD39" s="266" t="s">
        <v>789</v>
      </c>
      <c r="AE39" s="2409"/>
      <c r="AF39" s="2409"/>
      <c r="AG39" s="2409"/>
      <c r="AH39" s="2409"/>
      <c r="AI39" s="2409"/>
      <c r="AJ39" s="2409"/>
      <c r="AK39" s="748"/>
      <c r="AL39" s="2409"/>
      <c r="AM39" s="2409"/>
      <c r="AN39" s="2409"/>
      <c r="AO39" s="2409"/>
      <c r="AP39" s="2409"/>
      <c r="AQ39" s="2409"/>
      <c r="AR39" s="2409"/>
      <c r="AS39" s="2409"/>
      <c r="AT39" s="2409"/>
      <c r="AU39" s="748"/>
      <c r="AV39" s="2409"/>
      <c r="AW39" s="2409"/>
      <c r="AX39" s="2409"/>
      <c r="AY39" s="2409"/>
      <c r="AZ39" s="2409"/>
      <c r="BA39" s="2409"/>
      <c r="BB39" s="2409"/>
      <c r="BC39" s="2409"/>
      <c r="BD39" s="2409"/>
      <c r="BE39" s="2770"/>
      <c r="BF39" s="1363"/>
      <c r="BG39" s="1363"/>
      <c r="BH39" s="974" t="s">
        <v>1202</v>
      </c>
    </row>
    <row customHeight="1" ht="21.9375" hidden="1">
      <c r="A40" s="1363"/>
      <c r="B40" s="88"/>
      <c r="C40" s="1363"/>
      <c r="D40" s="1363"/>
      <c r="E40" s="593">
        <v>22.5</v>
      </c>
      <c r="F40" s="50" cm="1" t="str">
        <f t="array" ref="F40:F40">OFFSET(E40,-1,1)</f>
        <v>0</v>
      </c>
      <c r="G40" s="1363"/>
      <c r="H40" s="1363"/>
      <c r="I40" s="1363"/>
      <c r="J40" s="1363"/>
      <c r="K40" s="1363"/>
      <c r="L40" s="1363"/>
      <c r="M40" s="1363"/>
      <c r="N40" s="1363"/>
      <c r="O40" s="1363"/>
      <c r="P40" s="1363"/>
      <c r="Q40" s="1363"/>
      <c r="R40" s="1363"/>
      <c r="S40" s="1363"/>
      <c r="T40" s="438" cm="1" t="str">
        <f t="array" ref="T40:T40">T39</f>
        <v>false</v>
      </c>
      <c r="U40" s="1363"/>
      <c r="V40" s="1363"/>
      <c r="W40" s="1363"/>
      <c r="X40" s="1511"/>
      <c r="Y40" s="1363"/>
      <c r="Z40" s="1494"/>
      <c r="AA40" s="1363"/>
      <c r="AB40" s="265" t="s">
        <v>1203</v>
      </c>
      <c r="AC40" s="744" t="s">
        <v>1204</v>
      </c>
      <c r="AD40" s="266" t="s">
        <v>789</v>
      </c>
      <c r="AE40" s="2409"/>
      <c r="AF40" s="2409"/>
      <c r="AG40" s="2409"/>
      <c r="AH40" s="2409"/>
      <c r="AI40" s="2409"/>
      <c r="AJ40" s="2409"/>
      <c r="AK40" s="748"/>
      <c r="AL40" s="2409"/>
      <c r="AM40" s="2409"/>
      <c r="AN40" s="2409"/>
      <c r="AO40" s="2409"/>
      <c r="AP40" s="2409"/>
      <c r="AQ40" s="2409"/>
      <c r="AR40" s="2409"/>
      <c r="AS40" s="2409"/>
      <c r="AT40" s="2409"/>
      <c r="AU40" s="748"/>
      <c r="AV40" s="2409"/>
      <c r="AW40" s="2409"/>
      <c r="AX40" s="2409"/>
      <c r="AY40" s="2409"/>
      <c r="AZ40" s="2409"/>
      <c r="BA40" s="2409"/>
      <c r="BB40" s="2409"/>
      <c r="BC40" s="2409"/>
      <c r="BD40" s="2409"/>
      <c r="BE40" s="2770"/>
      <c r="BF40" s="1363"/>
      <c r="BG40" s="1363"/>
      <c r="BH40" s="974" t="s">
        <v>1205</v>
      </c>
    </row>
    <row customHeight="1" ht="14.625" hidden="1">
      <c r="A41" s="1363"/>
      <c r="B41" s="88"/>
      <c r="C41" s="1363"/>
      <c r="D41" s="1363"/>
      <c r="E41" s="593">
        <v>15</v>
      </c>
      <c r="F41" s="50" cm="1" t="str">
        <f t="array" ref="F41:F41">OFFSET(E41,-1,1)</f>
        <v>0</v>
      </c>
      <c r="G41" s="1363"/>
      <c r="H41" s="88" t="s">
        <v>438</v>
      </c>
      <c r="I41" s="1363"/>
      <c r="J41" s="1363"/>
      <c r="K41" s="1363"/>
      <c r="L41" s="1363"/>
      <c r="M41" s="1363"/>
      <c r="N41" s="1363"/>
      <c r="O41" s="1363"/>
      <c r="P41" s="1363"/>
      <c r="Q41" s="1363"/>
      <c r="R41" s="1363"/>
      <c r="S41" s="1363"/>
      <c r="T41" s="438" cm="1" t="str">
        <f t="array" ref="T41:T41">T40</f>
        <v>false</v>
      </c>
      <c r="U41" s="1363"/>
      <c r="V41" s="1363"/>
      <c r="W41" s="1363"/>
      <c r="X41" s="1511"/>
      <c r="Y41" s="1363"/>
      <c r="Z41" s="1494"/>
      <c r="AA41" s="1363"/>
      <c r="AB41" s="265" t="s">
        <v>847</v>
      </c>
      <c r="AC41" s="738" t="s">
        <v>1206</v>
      </c>
      <c r="AD41" s="266" t="s">
        <v>789</v>
      </c>
      <c r="AE41" s="759">
        <f>AE42+AE43+AE44</f>
        <v>0</v>
      </c>
      <c r="AF41" s="759">
        <f>AF42+AF43+AF44</f>
        <v>0</v>
      </c>
      <c r="AG41" s="759">
        <f>AG42+AG43+AG44</f>
        <v>0</v>
      </c>
      <c r="AH41" s="759">
        <f>AH42+AH43+AH44</f>
        <v>0</v>
      </c>
      <c r="AI41" s="759">
        <f>AI42+AI43+AI44</f>
        <v>0</v>
      </c>
      <c r="AJ41" s="759">
        <f>AJ42+AJ43+AJ44</f>
        <v>0</v>
      </c>
      <c r="AK41" s="759">
        <f>AK42+AK43+AK44</f>
        <v>0</v>
      </c>
      <c r="AL41" s="759">
        <f>AL42+AL43+AL44</f>
        <v>0</v>
      </c>
      <c r="AM41" s="759">
        <f>AM42+AM43+AM44</f>
        <v>0</v>
      </c>
      <c r="AN41" s="759">
        <f>AN42+AN43+AN44</f>
        <v>0</v>
      </c>
      <c r="AO41" s="759">
        <f>AO42+AO43+AO44</f>
        <v>0</v>
      </c>
      <c r="AP41" s="759">
        <f>AP42+AP43+AP44</f>
        <v>0</v>
      </c>
      <c r="AQ41" s="759">
        <f>AQ42+AQ43+AQ44</f>
        <v>0</v>
      </c>
      <c r="AR41" s="759">
        <f>AR42+AR43+AR44</f>
        <v>0</v>
      </c>
      <c r="AS41" s="759">
        <f>AS42+AS43+AS44</f>
        <v>0</v>
      </c>
      <c r="AT41" s="759">
        <f>AT42+AT43+AT44</f>
        <v>0</v>
      </c>
      <c r="AU41" s="759">
        <f>AU42+AU43+AU44</f>
        <v>0</v>
      </c>
      <c r="AV41" s="759">
        <f>AV42+AV43+AV44</f>
        <v>0</v>
      </c>
      <c r="AW41" s="759">
        <f>AW42+AW43+AW44</f>
        <v>0</v>
      </c>
      <c r="AX41" s="759">
        <f>AX42+AX43+AX44</f>
        <v>0</v>
      </c>
      <c r="AY41" s="759">
        <f>AY42+AY43+AY44</f>
        <v>0</v>
      </c>
      <c r="AZ41" s="759">
        <f>AZ42+AZ43+AZ44</f>
        <v>0</v>
      </c>
      <c r="BA41" s="759">
        <f>BA42+BA43+BA44</f>
        <v>0</v>
      </c>
      <c r="BB41" s="759">
        <f>BB42+BB43+BB44</f>
        <v>0</v>
      </c>
      <c r="BC41" s="759">
        <f>BC42+BC43+BC44</f>
        <v>0</v>
      </c>
      <c r="BD41" s="759">
        <f>BD42+BD43+BD44</f>
        <v>0</v>
      </c>
      <c r="BE41" s="2770"/>
      <c r="BF41" s="1363"/>
      <c r="BG41" s="1363"/>
      <c r="BH41" s="974" t="s">
        <v>1207</v>
      </c>
    </row>
    <row customHeight="1" ht="14.625" hidden="1">
      <c r="A42" s="1363"/>
      <c r="B42" s="88"/>
      <c r="C42" s="1363"/>
      <c r="D42" s="1363"/>
      <c r="E42" s="593">
        <v>15</v>
      </c>
      <c r="F42" s="50" cm="1" t="str">
        <f t="array" ref="F42:F42">OFFSET(E42,-1,1)</f>
        <v>0</v>
      </c>
      <c r="G42" s="1363"/>
      <c r="H42" s="88" t="s">
        <v>1208</v>
      </c>
      <c r="I42" s="1363"/>
      <c r="J42" s="1363"/>
      <c r="K42" s="1363"/>
      <c r="L42" s="1363"/>
      <c r="M42" s="1363"/>
      <c r="N42" s="1363"/>
      <c r="O42" s="1363"/>
      <c r="P42" s="1363"/>
      <c r="Q42" s="1363"/>
      <c r="R42" s="1363"/>
      <c r="S42" s="1363"/>
      <c r="T42" s="438" cm="1" t="str">
        <f t="array" ref="T42:T42">T41</f>
        <v>false</v>
      </c>
      <c r="U42" s="1363"/>
      <c r="V42" s="1363"/>
      <c r="W42" s="1363"/>
      <c r="X42" s="1511"/>
      <c r="Y42" s="1363"/>
      <c r="Z42" s="1494"/>
      <c r="AA42" s="1363"/>
      <c r="AB42" s="265" t="s">
        <v>1209</v>
      </c>
      <c r="AC42" s="741" t="s">
        <v>1210</v>
      </c>
      <c r="AD42" s="266" t="s">
        <v>789</v>
      </c>
      <c r="AE42" s="2409"/>
      <c r="AF42" s="2409"/>
      <c r="AG42" s="2409"/>
      <c r="AH42" s="2409"/>
      <c r="AI42" s="2409"/>
      <c r="AJ42" s="2409"/>
      <c r="AK42" s="748"/>
      <c r="AL42" s="2409"/>
      <c r="AM42" s="2409"/>
      <c r="AN42" s="2409"/>
      <c r="AO42" s="2409"/>
      <c r="AP42" s="2409"/>
      <c r="AQ42" s="2409"/>
      <c r="AR42" s="2409"/>
      <c r="AS42" s="2409"/>
      <c r="AT42" s="2409"/>
      <c r="AU42" s="748"/>
      <c r="AV42" s="2409"/>
      <c r="AW42" s="2409"/>
      <c r="AX42" s="2409"/>
      <c r="AY42" s="2409"/>
      <c r="AZ42" s="2409"/>
      <c r="BA42" s="2409"/>
      <c r="BB42" s="2409"/>
      <c r="BC42" s="2409"/>
      <c r="BD42" s="2409"/>
      <c r="BE42" s="2770"/>
      <c r="BF42" s="1363"/>
      <c r="BG42" s="1363"/>
      <c r="BH42" s="974" t="s">
        <v>1139</v>
      </c>
    </row>
    <row customHeight="1" ht="14.625" hidden="1">
      <c r="A43" s="1363"/>
      <c r="B43" s="88"/>
      <c r="C43" s="1363"/>
      <c r="D43" s="1363"/>
      <c r="E43" s="593">
        <v>15</v>
      </c>
      <c r="F43" s="50" cm="1" t="str">
        <f t="array" ref="F43:F43">OFFSET(E43,-1,1)</f>
        <v>0</v>
      </c>
      <c r="G43" s="1363"/>
      <c r="H43" s="88" t="s">
        <v>1211</v>
      </c>
      <c r="I43" s="1363"/>
      <c r="J43" s="1363"/>
      <c r="K43" s="1363"/>
      <c r="L43" s="1363"/>
      <c r="M43" s="1363"/>
      <c r="N43" s="1363"/>
      <c r="O43" s="1363"/>
      <c r="P43" s="1363"/>
      <c r="Q43" s="1363"/>
      <c r="R43" s="1363"/>
      <c r="S43" s="1363"/>
      <c r="T43" s="438" cm="1" t="str">
        <f t="array" ref="T43:T43">T42</f>
        <v>false</v>
      </c>
      <c r="U43" s="1363"/>
      <c r="V43" s="1363"/>
      <c r="W43" s="1363"/>
      <c r="X43" s="1511"/>
      <c r="Y43" s="1363"/>
      <c r="Z43" s="1494"/>
      <c r="AA43" s="1363"/>
      <c r="AB43" s="265" t="s">
        <v>1212</v>
      </c>
      <c r="AC43" s="741" t="s">
        <v>1213</v>
      </c>
      <c r="AD43" s="266" t="s">
        <v>789</v>
      </c>
      <c r="AE43" s="2409"/>
      <c r="AF43" s="2409"/>
      <c r="AG43" s="2409"/>
      <c r="AH43" s="2409"/>
      <c r="AI43" s="2409"/>
      <c r="AJ43" s="2409"/>
      <c r="AK43" s="748"/>
      <c r="AL43" s="2409"/>
      <c r="AM43" s="2409"/>
      <c r="AN43" s="2409"/>
      <c r="AO43" s="2409"/>
      <c r="AP43" s="2409"/>
      <c r="AQ43" s="2409"/>
      <c r="AR43" s="2409"/>
      <c r="AS43" s="2409"/>
      <c r="AT43" s="2409"/>
      <c r="AU43" s="748"/>
      <c r="AV43" s="2409"/>
      <c r="AW43" s="2409"/>
      <c r="AX43" s="2409"/>
      <c r="AY43" s="2409"/>
      <c r="AZ43" s="2409"/>
      <c r="BA43" s="2409"/>
      <c r="BB43" s="2409"/>
      <c r="BC43" s="2409"/>
      <c r="BD43" s="2409"/>
      <c r="BE43" s="2770"/>
      <c r="BF43" s="1363"/>
      <c r="BG43" s="1363"/>
      <c r="BH43" s="974" t="s">
        <v>1214</v>
      </c>
    </row>
    <row customHeight="1" ht="14.625" hidden="1">
      <c r="A44" s="1363"/>
      <c r="B44" s="88"/>
      <c r="C44" s="1363"/>
      <c r="D44" s="1363"/>
      <c r="E44" s="593">
        <v>15</v>
      </c>
      <c r="F44" s="50" cm="1" t="str">
        <f t="array" ref="F44:F44">OFFSET(E44,-1,1)</f>
        <v>0</v>
      </c>
      <c r="G44" s="1363"/>
      <c r="H44" s="88" t="s">
        <v>1215</v>
      </c>
      <c r="I44" s="1363"/>
      <c r="J44" s="1363"/>
      <c r="K44" s="1363"/>
      <c r="L44" s="1363"/>
      <c r="M44" s="1363"/>
      <c r="N44" s="1363"/>
      <c r="O44" s="1363"/>
      <c r="P44" s="1363"/>
      <c r="Q44" s="1363"/>
      <c r="R44" s="1363"/>
      <c r="S44" s="1363"/>
      <c r="T44" s="438" cm="1" t="str">
        <f t="array" ref="T44:T44">T43</f>
        <v>false</v>
      </c>
      <c r="U44" s="1363"/>
      <c r="V44" s="1363"/>
      <c r="W44" s="1363"/>
      <c r="X44" s="1511"/>
      <c r="Y44" s="1363"/>
      <c r="Z44" s="1494"/>
      <c r="AA44" s="1363"/>
      <c r="AB44" s="265" t="s">
        <v>1216</v>
      </c>
      <c r="AC44" s="741" t="s">
        <v>1217</v>
      </c>
      <c r="AD44" s="266" t="s">
        <v>789</v>
      </c>
      <c r="AE44" s="2409"/>
      <c r="AF44" s="2409"/>
      <c r="AG44" s="2409"/>
      <c r="AH44" s="2409"/>
      <c r="AI44" s="2409"/>
      <c r="AJ44" s="2409"/>
      <c r="AK44" s="748"/>
      <c r="AL44" s="2409"/>
      <c r="AM44" s="2409"/>
      <c r="AN44" s="2409"/>
      <c r="AO44" s="2409"/>
      <c r="AP44" s="2409"/>
      <c r="AQ44" s="2409"/>
      <c r="AR44" s="2409"/>
      <c r="AS44" s="2409"/>
      <c r="AT44" s="2409"/>
      <c r="AU44" s="748"/>
      <c r="AV44" s="2409"/>
      <c r="AW44" s="2409"/>
      <c r="AX44" s="2409"/>
      <c r="AY44" s="2409"/>
      <c r="AZ44" s="2409"/>
      <c r="BA44" s="2409"/>
      <c r="BB44" s="2409"/>
      <c r="BC44" s="2409"/>
      <c r="BD44" s="2409"/>
      <c r="BE44" s="2770"/>
      <c r="BF44" s="1363"/>
      <c r="BG44" s="1363"/>
      <c r="BH44" s="974" t="s">
        <v>1218</v>
      </c>
    </row>
    <row customHeight="1" ht="14.625" hidden="1">
      <c r="A45" s="1363"/>
      <c r="B45" s="88"/>
      <c r="C45" s="1363"/>
      <c r="D45" s="1363"/>
      <c r="E45" s="593">
        <v>15</v>
      </c>
      <c r="F45" s="50" cm="1" t="str">
        <f t="array" ref="F45:F45">OFFSET(E45,-1,1)</f>
        <v>0</v>
      </c>
      <c r="G45" s="1363"/>
      <c r="H45" s="88" t="s">
        <v>441</v>
      </c>
      <c r="I45" s="1363"/>
      <c r="J45" s="1363"/>
      <c r="K45" s="1363"/>
      <c r="L45" s="1363"/>
      <c r="M45" s="1363"/>
      <c r="N45" s="1363"/>
      <c r="O45" s="1363"/>
      <c r="P45" s="1363"/>
      <c r="Q45" s="1363"/>
      <c r="R45" s="1363"/>
      <c r="S45" s="1363"/>
      <c r="T45" s="438" cm="1" t="str">
        <f t="array" ref="T45:T45">T44</f>
        <v>false</v>
      </c>
      <c r="U45" s="1363"/>
      <c r="V45" s="1363"/>
      <c r="W45" s="1363"/>
      <c r="X45" s="1511"/>
      <c r="Y45" s="1363"/>
      <c r="Z45" s="1494"/>
      <c r="AA45" s="1363"/>
      <c r="AB45" s="265" t="s">
        <v>850</v>
      </c>
      <c r="AC45" s="738" t="s">
        <v>1219</v>
      </c>
      <c r="AD45" s="266" t="s">
        <v>789</v>
      </c>
      <c r="AE45" s="759">
        <f>AE46+AE47+AE48</f>
        <v>0</v>
      </c>
      <c r="AF45" s="759">
        <f>AF46+AF47+AF48</f>
        <v>0</v>
      </c>
      <c r="AG45" s="759">
        <f>AG46+AG47+AG48</f>
        <v>0</v>
      </c>
      <c r="AH45" s="759">
        <f>AH46+AH47+AH48</f>
        <v>0</v>
      </c>
      <c r="AI45" s="759">
        <f>AI46+AI47+AI48</f>
        <v>0</v>
      </c>
      <c r="AJ45" s="759">
        <f>AJ46+AJ47+AJ48</f>
        <v>0</v>
      </c>
      <c r="AK45" s="759">
        <f>AK46+AK47+AK48</f>
        <v>0</v>
      </c>
      <c r="AL45" s="759">
        <f>AL46+AL47+AL48</f>
        <v>0</v>
      </c>
      <c r="AM45" s="759">
        <f>AM46+AM47+AM48</f>
        <v>0</v>
      </c>
      <c r="AN45" s="759">
        <f>AN46+AN47+AN48</f>
        <v>0</v>
      </c>
      <c r="AO45" s="759">
        <f>AO46+AO47+AO48</f>
        <v>0</v>
      </c>
      <c r="AP45" s="759">
        <f>AP46+AP47+AP48</f>
        <v>0</v>
      </c>
      <c r="AQ45" s="759">
        <f>AQ46+AQ47+AQ48</f>
        <v>0</v>
      </c>
      <c r="AR45" s="759">
        <f>AR46+AR47+AR48</f>
        <v>0</v>
      </c>
      <c r="AS45" s="759">
        <f>AS46+AS47+AS48</f>
        <v>0</v>
      </c>
      <c r="AT45" s="759">
        <f>AT46+AT47+AT48</f>
        <v>0</v>
      </c>
      <c r="AU45" s="759">
        <f>AU46+AU47+AU48</f>
        <v>0</v>
      </c>
      <c r="AV45" s="759">
        <f>AV46+AV47+AV48</f>
        <v>0</v>
      </c>
      <c r="AW45" s="759">
        <f>AW46+AW47+AW48</f>
        <v>0</v>
      </c>
      <c r="AX45" s="759">
        <f>AX46+AX47+AX48</f>
        <v>0</v>
      </c>
      <c r="AY45" s="759">
        <f>AY46+AY47+AY48</f>
        <v>0</v>
      </c>
      <c r="AZ45" s="759">
        <f>AZ46+AZ47+AZ48</f>
        <v>0</v>
      </c>
      <c r="BA45" s="759">
        <f>BA46+BA47+BA48</f>
        <v>0</v>
      </c>
      <c r="BB45" s="759">
        <f>BB46+BB47+BB48</f>
        <v>0</v>
      </c>
      <c r="BC45" s="759">
        <f>BC46+BC47+BC48</f>
        <v>0</v>
      </c>
      <c r="BD45" s="759">
        <f>BD46+BD47+BD48</f>
        <v>0</v>
      </c>
      <c r="BE45" s="2770"/>
      <c r="BF45" s="1363"/>
      <c r="BG45" s="1363"/>
      <c r="BH45" s="974" t="s">
        <v>1220</v>
      </c>
    </row>
    <row customHeight="1" ht="14.625" hidden="1">
      <c r="A46" s="1363"/>
      <c r="B46" s="88"/>
      <c r="C46" s="1363"/>
      <c r="D46" s="1363"/>
      <c r="E46" s="593">
        <v>15</v>
      </c>
      <c r="F46" s="50" cm="1" t="str">
        <f t="array" ref="F46:F46">OFFSET(E46,-1,1)</f>
        <v>0</v>
      </c>
      <c r="G46" s="1363"/>
      <c r="H46" s="88" t="s">
        <v>1221</v>
      </c>
      <c r="I46" s="1363"/>
      <c r="J46" s="1363"/>
      <c r="K46" s="1363"/>
      <c r="L46" s="1363"/>
      <c r="M46" s="1363"/>
      <c r="N46" s="1363"/>
      <c r="O46" s="1363"/>
      <c r="P46" s="1363"/>
      <c r="Q46" s="1363"/>
      <c r="R46" s="1363"/>
      <c r="S46" s="1363"/>
      <c r="T46" s="438" cm="1" t="str">
        <f t="array" ref="T46:T46">T45</f>
        <v>false</v>
      </c>
      <c r="U46" s="1363"/>
      <c r="V46" s="1363"/>
      <c r="W46" s="1363"/>
      <c r="X46" s="1511"/>
      <c r="Y46" s="1363"/>
      <c r="Z46" s="1494"/>
      <c r="AA46" s="1363"/>
      <c r="AB46" s="265" t="s">
        <v>1222</v>
      </c>
      <c r="AC46" s="741" t="s">
        <v>1223</v>
      </c>
      <c r="AD46" s="266" t="s">
        <v>789</v>
      </c>
      <c r="AE46" s="2409"/>
      <c r="AF46" s="2409"/>
      <c r="AG46" s="2409"/>
      <c r="AH46" s="2409"/>
      <c r="AI46" s="2409"/>
      <c r="AJ46" s="2409"/>
      <c r="AK46" s="748"/>
      <c r="AL46" s="2409"/>
      <c r="AM46" s="2409"/>
      <c r="AN46" s="2409"/>
      <c r="AO46" s="2409"/>
      <c r="AP46" s="2409"/>
      <c r="AQ46" s="2409"/>
      <c r="AR46" s="2409"/>
      <c r="AS46" s="2409"/>
      <c r="AT46" s="2409"/>
      <c r="AU46" s="748"/>
      <c r="AV46" s="2409"/>
      <c r="AW46" s="2409"/>
      <c r="AX46" s="2409"/>
      <c r="AY46" s="2409"/>
      <c r="AZ46" s="2409"/>
      <c r="BA46" s="2409"/>
      <c r="BB46" s="2409"/>
      <c r="BC46" s="2409"/>
      <c r="BD46" s="2409"/>
      <c r="BE46" s="2770"/>
      <c r="BF46" s="1363"/>
      <c r="BG46" s="1363"/>
      <c r="BH46" s="974" t="s">
        <v>1224</v>
      </c>
    </row>
    <row customHeight="1" ht="14.625" hidden="1">
      <c r="A47" s="1363"/>
      <c r="B47" s="88"/>
      <c r="C47" s="1363"/>
      <c r="D47" s="1363"/>
      <c r="E47" s="593">
        <v>15</v>
      </c>
      <c r="F47" s="50" cm="1" t="str">
        <f t="array" ref="F47:F47">OFFSET(E47,-1,1)</f>
        <v>0</v>
      </c>
      <c r="G47" s="1363"/>
      <c r="H47" s="88" t="s">
        <v>1225</v>
      </c>
      <c r="I47" s="1363"/>
      <c r="J47" s="1363"/>
      <c r="K47" s="1363"/>
      <c r="L47" s="1363"/>
      <c r="M47" s="1363"/>
      <c r="N47" s="1363"/>
      <c r="O47" s="1363"/>
      <c r="P47" s="1363"/>
      <c r="Q47" s="1363"/>
      <c r="R47" s="1363"/>
      <c r="S47" s="1363"/>
      <c r="T47" s="438" cm="1" t="str">
        <f t="array" ref="T47:T47">T46</f>
        <v>false</v>
      </c>
      <c r="U47" s="1363"/>
      <c r="V47" s="1363"/>
      <c r="W47" s="1363"/>
      <c r="X47" s="1511"/>
      <c r="Y47" s="1363"/>
      <c r="Z47" s="1494"/>
      <c r="AA47" s="1363"/>
      <c r="AB47" s="265" t="s">
        <v>1226</v>
      </c>
      <c r="AC47" s="741" t="s">
        <v>1227</v>
      </c>
      <c r="AD47" s="266" t="s">
        <v>789</v>
      </c>
      <c r="AE47" s="2409"/>
      <c r="AF47" s="2409"/>
      <c r="AG47" s="2409"/>
      <c r="AH47" s="2409"/>
      <c r="AI47" s="2409"/>
      <c r="AJ47" s="2409"/>
      <c r="AK47" s="748"/>
      <c r="AL47" s="2409"/>
      <c r="AM47" s="2409"/>
      <c r="AN47" s="2409"/>
      <c r="AO47" s="2409"/>
      <c r="AP47" s="2409"/>
      <c r="AQ47" s="2409"/>
      <c r="AR47" s="2409"/>
      <c r="AS47" s="2409"/>
      <c r="AT47" s="2409"/>
      <c r="AU47" s="748"/>
      <c r="AV47" s="2409"/>
      <c r="AW47" s="2409"/>
      <c r="AX47" s="2409"/>
      <c r="AY47" s="2409"/>
      <c r="AZ47" s="2409"/>
      <c r="BA47" s="2409"/>
      <c r="BB47" s="2409"/>
      <c r="BC47" s="2409"/>
      <c r="BD47" s="2409"/>
      <c r="BE47" s="2770"/>
      <c r="BF47" s="1363"/>
      <c r="BG47" s="1363"/>
      <c r="BH47" s="974" t="s">
        <v>1228</v>
      </c>
    </row>
    <row customHeight="1" ht="14.625" hidden="1">
      <c r="A48" s="1363"/>
      <c r="B48" s="88"/>
      <c r="C48" s="1363"/>
      <c r="D48" s="1363"/>
      <c r="E48" s="593">
        <v>15</v>
      </c>
      <c r="F48" s="50" cm="1" t="str">
        <f t="array" ref="F48:F48">OFFSET(E48,-1,1)</f>
        <v>0</v>
      </c>
      <c r="G48" s="1363"/>
      <c r="H48" s="88" t="s">
        <v>1229</v>
      </c>
      <c r="I48" s="1363"/>
      <c r="J48" s="1363"/>
      <c r="K48" s="1363"/>
      <c r="L48" s="1363"/>
      <c r="M48" s="1363"/>
      <c r="N48" s="1363"/>
      <c r="O48" s="1363"/>
      <c r="P48" s="1363"/>
      <c r="Q48" s="1363"/>
      <c r="R48" s="1363"/>
      <c r="S48" s="1363"/>
      <c r="T48" s="438" cm="1" t="str">
        <f t="array" ref="T48:T48">T47</f>
        <v>false</v>
      </c>
      <c r="U48" s="1363"/>
      <c r="V48" s="1363"/>
      <c r="W48" s="1363"/>
      <c r="X48" s="1511"/>
      <c r="Y48" s="1363"/>
      <c r="Z48" s="1494"/>
      <c r="AA48" s="1363"/>
      <c r="AB48" s="265" t="s">
        <v>1230</v>
      </c>
      <c r="AC48" s="741" t="s">
        <v>1231</v>
      </c>
      <c r="AD48" s="266" t="s">
        <v>789</v>
      </c>
      <c r="AE48" s="2409"/>
      <c r="AF48" s="2409"/>
      <c r="AG48" s="2409"/>
      <c r="AH48" s="2409"/>
      <c r="AI48" s="2409"/>
      <c r="AJ48" s="2409"/>
      <c r="AK48" s="748"/>
      <c r="AL48" s="2409"/>
      <c r="AM48" s="2409"/>
      <c r="AN48" s="2409"/>
      <c r="AO48" s="2409"/>
      <c r="AP48" s="2409"/>
      <c r="AQ48" s="2409"/>
      <c r="AR48" s="2409"/>
      <c r="AS48" s="2409"/>
      <c r="AT48" s="2409"/>
      <c r="AU48" s="748"/>
      <c r="AV48" s="2409"/>
      <c r="AW48" s="2409"/>
      <c r="AX48" s="2409"/>
      <c r="AY48" s="2409"/>
      <c r="AZ48" s="2409"/>
      <c r="BA48" s="2409"/>
      <c r="BB48" s="2409"/>
      <c r="BC48" s="2409"/>
      <c r="BD48" s="2409"/>
      <c r="BE48" s="2770"/>
      <c r="BF48" s="1363"/>
      <c r="BG48" s="1363"/>
      <c r="BH48" s="974" t="s">
        <v>1232</v>
      </c>
    </row>
    <row customHeight="1" ht="14.625" hidden="1">
      <c r="A49" s="1363"/>
      <c r="B49" s="88"/>
      <c r="C49" s="1363"/>
      <c r="D49" s="1363"/>
      <c r="E49" s="593">
        <v>15</v>
      </c>
      <c r="F49" s="50" cm="1" t="str">
        <f t="array" ref="F49:F49">OFFSET(E49,-1,1)</f>
        <v>0</v>
      </c>
      <c r="G49" s="1363"/>
      <c r="H49" s="88" t="s">
        <v>445</v>
      </c>
      <c r="I49" s="1363"/>
      <c r="J49" s="1363"/>
      <c r="K49" s="1363"/>
      <c r="L49" s="1363"/>
      <c r="M49" s="1363"/>
      <c r="N49" s="1363"/>
      <c r="O49" s="1363"/>
      <c r="P49" s="1363"/>
      <c r="Q49" s="1363"/>
      <c r="R49" s="1363"/>
      <c r="S49" s="1363"/>
      <c r="T49" s="438" cm="1" t="str">
        <f t="array" ref="T49:T49">T48</f>
        <v>false</v>
      </c>
      <c r="U49" s="1363"/>
      <c r="V49" s="1363"/>
      <c r="W49" s="1363"/>
      <c r="X49" s="1511"/>
      <c r="Y49" s="1363"/>
      <c r="Z49" s="1494"/>
      <c r="AA49" s="1363"/>
      <c r="AB49" s="265" t="s">
        <v>853</v>
      </c>
      <c r="AC49" s="738" t="s">
        <v>1233</v>
      </c>
      <c r="AD49" s="266" t="s">
        <v>789</v>
      </c>
      <c r="AE49" s="759">
        <f>AE50+AE51+AE52+AE53</f>
        <v>0</v>
      </c>
      <c r="AF49" s="759">
        <f>AF50+AF51+AF52+AF53</f>
        <v>0</v>
      </c>
      <c r="AG49" s="759">
        <f>AG50+AG51+AG52+AG53</f>
        <v>0</v>
      </c>
      <c r="AH49" s="759">
        <f>AH50+AH51+AH52+AH53</f>
        <v>0</v>
      </c>
      <c r="AI49" s="759">
        <f>AI50+AI51+AI52+AI53</f>
        <v>0</v>
      </c>
      <c r="AJ49" s="759">
        <f>AJ50+AJ51+AJ52+AJ53</f>
        <v>0</v>
      </c>
      <c r="AK49" s="759">
        <f>AK50+AK51+AK52+AK53</f>
        <v>0</v>
      </c>
      <c r="AL49" s="759">
        <f>AL50+AL51+AL52+AL53</f>
        <v>0</v>
      </c>
      <c r="AM49" s="759">
        <f>AM50+AM51+AM52+AM53</f>
        <v>0</v>
      </c>
      <c r="AN49" s="759">
        <f>AN50+AN51+AN52+AN53</f>
        <v>0</v>
      </c>
      <c r="AO49" s="759">
        <f>AO50+AO51+AO52+AO53</f>
        <v>0</v>
      </c>
      <c r="AP49" s="759">
        <f>AP50+AP51+AP52+AP53</f>
        <v>0</v>
      </c>
      <c r="AQ49" s="759">
        <f>AQ50+AQ51+AQ52+AQ53</f>
        <v>0</v>
      </c>
      <c r="AR49" s="759">
        <f>AR50+AR51+AR52+AR53</f>
        <v>0</v>
      </c>
      <c r="AS49" s="759">
        <f>AS50+AS51+AS52+AS53</f>
        <v>0</v>
      </c>
      <c r="AT49" s="759">
        <f>AT50+AT51+AT52+AT53</f>
        <v>0</v>
      </c>
      <c r="AU49" s="759">
        <f>AU50+AU51+AU52+AU53</f>
        <v>0</v>
      </c>
      <c r="AV49" s="759">
        <f>AV50+AV51+AV52+AV53</f>
        <v>0</v>
      </c>
      <c r="AW49" s="759">
        <f>AW50+AW51+AW52+AW53</f>
        <v>0</v>
      </c>
      <c r="AX49" s="759">
        <f>AX50+AX51+AX52+AX53</f>
        <v>0</v>
      </c>
      <c r="AY49" s="759">
        <f>AY50+AY51+AY52+AY53</f>
        <v>0</v>
      </c>
      <c r="AZ49" s="759">
        <f>AZ50+AZ51+AZ52+AZ53</f>
        <v>0</v>
      </c>
      <c r="BA49" s="759">
        <f>BA50+BA51+BA52+BA53</f>
        <v>0</v>
      </c>
      <c r="BB49" s="759">
        <f>BB50+BB51+BB52+BB53</f>
        <v>0</v>
      </c>
      <c r="BC49" s="759">
        <f>BC50+BC51+BC52+BC53</f>
        <v>0</v>
      </c>
      <c r="BD49" s="759">
        <f>BD50+BD51+BD52+BD53</f>
        <v>0</v>
      </c>
      <c r="BE49" s="2770"/>
      <c r="BF49" s="1363"/>
      <c r="BG49" s="1363"/>
      <c r="BH49" s="974" t="s">
        <v>1234</v>
      </c>
    </row>
    <row customHeight="1" ht="14.625" hidden="1">
      <c r="A50" s="1363"/>
      <c r="B50" s="88"/>
      <c r="C50" s="1363"/>
      <c r="D50" s="1363"/>
      <c r="E50" s="593">
        <v>15</v>
      </c>
      <c r="F50" s="50" cm="1" t="str">
        <f t="array" ref="F50:F50">OFFSET(E50,-1,1)</f>
        <v>0</v>
      </c>
      <c r="G50" s="1363"/>
      <c r="H50" s="88" t="s">
        <v>1235</v>
      </c>
      <c r="I50" s="1363"/>
      <c r="J50" s="1363"/>
      <c r="K50" s="1363"/>
      <c r="L50" s="1363"/>
      <c r="M50" s="1363"/>
      <c r="N50" s="1363"/>
      <c r="O50" s="1363"/>
      <c r="P50" s="1363"/>
      <c r="Q50" s="1363"/>
      <c r="R50" s="1363"/>
      <c r="S50" s="1363"/>
      <c r="T50" s="438" cm="1" t="str">
        <f t="array" ref="T50:T50">T49</f>
        <v>false</v>
      </c>
      <c r="U50" s="1363"/>
      <c r="V50" s="1363"/>
      <c r="W50" s="1363"/>
      <c r="X50" s="1511"/>
      <c r="Y50" s="1363"/>
      <c r="Z50" s="1494"/>
      <c r="AA50" s="1363"/>
      <c r="AB50" s="265" t="s">
        <v>964</v>
      </c>
      <c r="AC50" s="741" t="s">
        <v>958</v>
      </c>
      <c r="AD50" s="266" t="s">
        <v>789</v>
      </c>
      <c r="AE50" s="2409"/>
      <c r="AF50" s="2409"/>
      <c r="AG50" s="2409"/>
      <c r="AH50" s="2409"/>
      <c r="AI50" s="2409"/>
      <c r="AJ50" s="2409"/>
      <c r="AK50" s="748"/>
      <c r="AL50" s="2409"/>
      <c r="AM50" s="2409"/>
      <c r="AN50" s="2409"/>
      <c r="AO50" s="2409"/>
      <c r="AP50" s="2409"/>
      <c r="AQ50" s="2409"/>
      <c r="AR50" s="2409"/>
      <c r="AS50" s="2409"/>
      <c r="AT50" s="2409"/>
      <c r="AU50" s="748"/>
      <c r="AV50" s="2409"/>
      <c r="AW50" s="2409"/>
      <c r="AX50" s="2409"/>
      <c r="AY50" s="2409"/>
      <c r="AZ50" s="2409"/>
      <c r="BA50" s="2409"/>
      <c r="BB50" s="2409"/>
      <c r="BC50" s="2409"/>
      <c r="BD50" s="2409"/>
      <c r="BE50" s="2770"/>
      <c r="BF50" s="1363"/>
      <c r="BG50" s="1363"/>
      <c r="BH50" s="974" t="s">
        <v>960</v>
      </c>
    </row>
    <row customHeight="1" ht="21.9375" hidden="1">
      <c r="A51" s="1363"/>
      <c r="B51" s="88"/>
      <c r="C51" s="1363"/>
      <c r="D51" s="1363"/>
      <c r="E51" s="593">
        <v>22.5</v>
      </c>
      <c r="F51" s="50" cm="1" t="str">
        <f t="array" ref="F51:F51">OFFSET(E51,-1,1)</f>
        <v>0</v>
      </c>
      <c r="G51" s="1363"/>
      <c r="H51" s="88" t="s">
        <v>1236</v>
      </c>
      <c r="I51" s="1363"/>
      <c r="J51" s="1363"/>
      <c r="K51" s="1363"/>
      <c r="L51" s="1363"/>
      <c r="M51" s="1363"/>
      <c r="N51" s="1363"/>
      <c r="O51" s="1363"/>
      <c r="P51" s="1363"/>
      <c r="Q51" s="1363"/>
      <c r="R51" s="1363"/>
      <c r="S51" s="1363"/>
      <c r="T51" s="438" cm="1" t="str">
        <f t="array" ref="T51:T51">T50</f>
        <v>false</v>
      </c>
      <c r="U51" s="1363"/>
      <c r="V51" s="1363"/>
      <c r="W51" s="1363"/>
      <c r="X51" s="1511"/>
      <c r="Y51" s="1363"/>
      <c r="Z51" s="1494"/>
      <c r="AA51" s="1363"/>
      <c r="AB51" s="265" t="s">
        <v>967</v>
      </c>
      <c r="AC51" s="741" t="s">
        <v>1237</v>
      </c>
      <c r="AD51" s="266" t="s">
        <v>789</v>
      </c>
      <c r="AE51" s="2409"/>
      <c r="AF51" s="2409"/>
      <c r="AG51" s="2409"/>
      <c r="AH51" s="2409"/>
      <c r="AI51" s="2409"/>
      <c r="AJ51" s="2409"/>
      <c r="AK51" s="748"/>
      <c r="AL51" s="2409"/>
      <c r="AM51" s="2409"/>
      <c r="AN51" s="2409"/>
      <c r="AO51" s="2409"/>
      <c r="AP51" s="2409"/>
      <c r="AQ51" s="2409"/>
      <c r="AR51" s="2409"/>
      <c r="AS51" s="2409"/>
      <c r="AT51" s="2409"/>
      <c r="AU51" s="748"/>
      <c r="AV51" s="2409"/>
      <c r="AW51" s="2409"/>
      <c r="AX51" s="2409"/>
      <c r="AY51" s="2409"/>
      <c r="AZ51" s="2409"/>
      <c r="BA51" s="2409"/>
      <c r="BB51" s="2409"/>
      <c r="BC51" s="2409"/>
      <c r="BD51" s="2409"/>
      <c r="BE51" s="2770"/>
      <c r="BF51" s="1363"/>
      <c r="BG51" s="1363"/>
      <c r="BH51" s="974" t="s">
        <v>1238</v>
      </c>
    </row>
    <row customHeight="1" ht="21.9375" hidden="1">
      <c r="A52" s="1363"/>
      <c r="B52" s="88"/>
      <c r="C52" s="1363"/>
      <c r="D52" s="1363"/>
      <c r="E52" s="593">
        <v>22.5</v>
      </c>
      <c r="F52" s="50" cm="1" t="str">
        <f t="array" ref="F52:F52">OFFSET(E52,-1,1)</f>
        <v>0</v>
      </c>
      <c r="G52" s="1363"/>
      <c r="H52" s="88" t="s">
        <v>1239</v>
      </c>
      <c r="I52" s="1363"/>
      <c r="J52" s="1363"/>
      <c r="K52" s="1363"/>
      <c r="L52" s="1363"/>
      <c r="M52" s="1363"/>
      <c r="N52" s="1363"/>
      <c r="O52" s="1363"/>
      <c r="P52" s="1363"/>
      <c r="Q52" s="1363"/>
      <c r="R52" s="1363"/>
      <c r="S52" s="1363"/>
      <c r="T52" s="438" cm="1" t="str">
        <f t="array" ref="T52:T52">T51</f>
        <v>false</v>
      </c>
      <c r="U52" s="1363"/>
      <c r="V52" s="1363"/>
      <c r="W52" s="1363"/>
      <c r="X52" s="1511"/>
      <c r="Y52" s="1363"/>
      <c r="Z52" s="1494"/>
      <c r="AA52" s="1363"/>
      <c r="AB52" s="265" t="s">
        <v>1240</v>
      </c>
      <c r="AC52" s="741" t="s">
        <v>1241</v>
      </c>
      <c r="AD52" s="266" t="s">
        <v>789</v>
      </c>
      <c r="AE52" s="2409"/>
      <c r="AF52" s="2409"/>
      <c r="AG52" s="2409"/>
      <c r="AH52" s="2409"/>
      <c r="AI52" s="2409"/>
      <c r="AJ52" s="2409"/>
      <c r="AK52" s="748"/>
      <c r="AL52" s="2409"/>
      <c r="AM52" s="2409"/>
      <c r="AN52" s="2409"/>
      <c r="AO52" s="2409"/>
      <c r="AP52" s="2409"/>
      <c r="AQ52" s="2409"/>
      <c r="AR52" s="2409"/>
      <c r="AS52" s="2409"/>
      <c r="AT52" s="2409"/>
      <c r="AU52" s="748"/>
      <c r="AV52" s="2409"/>
      <c r="AW52" s="2409"/>
      <c r="AX52" s="2409"/>
      <c r="AY52" s="2409"/>
      <c r="AZ52" s="2409"/>
      <c r="BA52" s="2409"/>
      <c r="BB52" s="2409"/>
      <c r="BC52" s="2409"/>
      <c r="BD52" s="2409"/>
      <c r="BE52" s="2770"/>
      <c r="BF52" s="1363"/>
      <c r="BG52" s="1363"/>
      <c r="BH52" s="974" t="s">
        <v>1242</v>
      </c>
    </row>
    <row customHeight="1" ht="14.625" hidden="1">
      <c r="A53" s="1363"/>
      <c r="B53" s="88"/>
      <c r="C53" s="1363"/>
      <c r="D53" s="1363"/>
      <c r="E53" s="593">
        <v>15</v>
      </c>
      <c r="F53" s="50" cm="1" t="str">
        <f t="array" ref="F53:F53">OFFSET(E53,-1,1)</f>
        <v>0</v>
      </c>
      <c r="G53" s="1363"/>
      <c r="H53" s="88" t="s">
        <v>1243</v>
      </c>
      <c r="I53" s="1363"/>
      <c r="J53" s="1363"/>
      <c r="K53" s="1363"/>
      <c r="L53" s="1363"/>
      <c r="M53" s="1363"/>
      <c r="N53" s="1363"/>
      <c r="O53" s="1363"/>
      <c r="P53" s="1363"/>
      <c r="Q53" s="1363"/>
      <c r="R53" s="1363"/>
      <c r="S53" s="1363"/>
      <c r="T53" s="438" cm="1" t="str">
        <f t="array" ref="T53:T53">T52</f>
        <v>false</v>
      </c>
      <c r="U53" s="1363"/>
      <c r="V53" s="1363"/>
      <c r="W53" s="1363"/>
      <c r="X53" s="1511"/>
      <c r="Y53" s="1363"/>
      <c r="Z53" s="1494"/>
      <c r="AA53" s="1363"/>
      <c r="AB53" s="265" t="s">
        <v>1244</v>
      </c>
      <c r="AC53" s="741" t="s">
        <v>1245</v>
      </c>
      <c r="AD53" s="266" t="s">
        <v>789</v>
      </c>
      <c r="AE53" s="2409"/>
      <c r="AF53" s="2409"/>
      <c r="AG53" s="2409"/>
      <c r="AH53" s="2409"/>
      <c r="AI53" s="2409"/>
      <c r="AJ53" s="2409"/>
      <c r="AK53" s="748"/>
      <c r="AL53" s="2409"/>
      <c r="AM53" s="2409"/>
      <c r="AN53" s="2409"/>
      <c r="AO53" s="2409"/>
      <c r="AP53" s="2409"/>
      <c r="AQ53" s="2409"/>
      <c r="AR53" s="2409"/>
      <c r="AS53" s="2409"/>
      <c r="AT53" s="2409"/>
      <c r="AU53" s="748"/>
      <c r="AV53" s="2409"/>
      <c r="AW53" s="2409"/>
      <c r="AX53" s="2409"/>
      <c r="AY53" s="2409"/>
      <c r="AZ53" s="2409"/>
      <c r="BA53" s="2409"/>
      <c r="BB53" s="2409"/>
      <c r="BC53" s="2409"/>
      <c r="BD53" s="2409"/>
      <c r="BE53" s="2770"/>
      <c r="BF53" s="1363"/>
      <c r="BG53" s="1363"/>
      <c r="BH53" s="974" t="s">
        <v>1246</v>
      </c>
    </row>
    <row s="674" customFormat="1" customHeight="1" ht="21.9375" hidden="1">
      <c r="A54" s="674"/>
      <c r="B54" s="88"/>
      <c r="C54" s="674"/>
      <c r="D54" s="674"/>
      <c r="E54" s="667">
        <v>22.5</v>
      </c>
      <c r="F54" s="50" cm="1" t="str">
        <f t="array" ref="F54:F54">OFFSET(E54,-1,1)</f>
        <v>0</v>
      </c>
      <c r="G54" s="88"/>
      <c r="H54" s="88" t="s">
        <v>322</v>
      </c>
      <c r="I54" s="674"/>
      <c r="J54" s="674"/>
      <c r="K54" s="674"/>
      <c r="L54" s="674"/>
      <c r="M54" s="674"/>
      <c r="N54" s="674"/>
      <c r="O54" s="674"/>
      <c r="P54" s="674"/>
      <c r="Q54" s="674"/>
      <c r="R54" s="674"/>
      <c r="S54" s="674"/>
      <c r="T54" s="438" cm="1" t="str">
        <f t="array" ref="T54:T54">T53</f>
        <v>false</v>
      </c>
      <c r="U54" s="674"/>
      <c r="V54" s="674"/>
      <c r="W54" s="674"/>
      <c r="X54" s="1511"/>
      <c r="Y54" s="674"/>
      <c r="Z54" s="1494"/>
      <c r="AA54" s="674"/>
      <c r="AB54" s="184" t="s">
        <v>504</v>
      </c>
      <c r="AC54" s="185" t="s">
        <v>1247</v>
      </c>
      <c r="AD54" s="177" t="s">
        <v>789</v>
      </c>
      <c r="AE54" s="179">
        <f>AE55+AE56+AE57</f>
        <v>0</v>
      </c>
      <c r="AF54" s="179">
        <f>AF55+AF56+AF57</f>
        <v>0</v>
      </c>
      <c r="AG54" s="179">
        <f>AG55+AG56+AG57</f>
        <v>0</v>
      </c>
      <c r="AH54" s="179">
        <f>AH55+AH56+AH57</f>
        <v>0</v>
      </c>
      <c r="AI54" s="179">
        <f>AI55+AI56+AI57</f>
        <v>0</v>
      </c>
      <c r="AJ54" s="179">
        <f>AJ55+AJ56+AJ57</f>
        <v>0</v>
      </c>
      <c r="AK54" s="179">
        <f>AK55+AK56+AK57</f>
        <v>0</v>
      </c>
      <c r="AL54" s="179">
        <f>AL55+AL56+AL57</f>
        <v>0</v>
      </c>
      <c r="AM54" s="179">
        <f>AM55+AM56+AM57</f>
        <v>0</v>
      </c>
      <c r="AN54" s="179">
        <f>AN55+AN56+AN57</f>
        <v>0</v>
      </c>
      <c r="AO54" s="179">
        <f>AO55+AO56+AO57</f>
        <v>0</v>
      </c>
      <c r="AP54" s="179">
        <f>AP55+AP56+AP57</f>
        <v>0</v>
      </c>
      <c r="AQ54" s="179">
        <f>AQ55+AQ56+AQ57</f>
        <v>0</v>
      </c>
      <c r="AR54" s="179">
        <f>AR55+AR56+AR57</f>
        <v>0</v>
      </c>
      <c r="AS54" s="179">
        <f>AS55+AS56+AS57</f>
        <v>0</v>
      </c>
      <c r="AT54" s="179">
        <f>AT55+AT56+AT57</f>
        <v>0</v>
      </c>
      <c r="AU54" s="179">
        <f>AU55+AU56+AU57</f>
        <v>0</v>
      </c>
      <c r="AV54" s="179">
        <f>AV55+AV56+AV57</f>
        <v>0</v>
      </c>
      <c r="AW54" s="179">
        <f>AW55+AW56+AW57</f>
        <v>0</v>
      </c>
      <c r="AX54" s="179">
        <f>AX55+AX56+AX57</f>
        <v>0</v>
      </c>
      <c r="AY54" s="179">
        <f>AY55+AY56+AY57</f>
        <v>0</v>
      </c>
      <c r="AZ54" s="179">
        <f>AZ55+AZ56+AZ57</f>
        <v>0</v>
      </c>
      <c r="BA54" s="179">
        <f>BA55+BA56+BA57</f>
        <v>0</v>
      </c>
      <c r="BB54" s="179">
        <f>BB55+BB56+BB57</f>
        <v>0</v>
      </c>
      <c r="BC54" s="179">
        <f>BC55+BC56+BC57</f>
        <v>0</v>
      </c>
      <c r="BD54" s="179">
        <f>BD55+BD56+BD57</f>
        <v>0</v>
      </c>
      <c r="BE54" s="2770"/>
      <c r="BF54" s="674"/>
      <c r="BG54" s="674"/>
      <c r="BH54" s="1028" t="s">
        <v>1248</v>
      </c>
    </row>
    <row customHeight="1" ht="14.625" hidden="1">
      <c r="A55" s="1363"/>
      <c r="B55" s="88"/>
      <c r="C55" s="1363"/>
      <c r="D55" s="1363"/>
      <c r="E55" s="593">
        <v>15</v>
      </c>
      <c r="F55" s="50" cm="1" t="str">
        <f t="array" ref="F55:F55">OFFSET(E55,-1,1)</f>
        <v>0</v>
      </c>
      <c r="G55" s="1363"/>
      <c r="H55" s="88" t="s">
        <v>452</v>
      </c>
      <c r="I55" s="1363"/>
      <c r="J55" s="1363"/>
      <c r="K55" s="90" t="str">
        <f>F55&amp;"2komm"</f>
        <v>02komm</v>
      </c>
      <c r="L55" s="90" cm="1" t="str">
        <f t="array" ref="L55:L55">BE55</f>
        <v>0</v>
      </c>
      <c r="M55" s="1363"/>
      <c r="N55" s="1363"/>
      <c r="O55" s="1363"/>
      <c r="P55" s="1363"/>
      <c r="Q55" s="1363"/>
      <c r="R55" s="1363"/>
      <c r="S55" s="1363"/>
      <c r="T55" s="438" cm="1" t="str">
        <f t="array" ref="T55:T55">T54</f>
        <v>false</v>
      </c>
      <c r="U55" s="1363"/>
      <c r="V55" s="1363"/>
      <c r="W55" s="1363"/>
      <c r="X55" s="1511"/>
      <c r="Y55" s="1363"/>
      <c r="Z55" s="1494"/>
      <c r="AA55" s="1363"/>
      <c r="AB55" s="265" t="s">
        <v>509</v>
      </c>
      <c r="AC55" s="738" t="s">
        <v>1249</v>
      </c>
      <c r="AD55" s="266" t="s">
        <v>789</v>
      </c>
      <c r="AE55" s="2409"/>
      <c r="AF55" s="2409"/>
      <c r="AG55" s="2409"/>
      <c r="AH55" s="2409"/>
      <c r="AI55" s="2409"/>
      <c r="AJ55" s="2409"/>
      <c r="AK55" s="748"/>
      <c r="AL55" s="2409"/>
      <c r="AM55" s="2409"/>
      <c r="AN55" s="2409"/>
      <c r="AO55" s="2409"/>
      <c r="AP55" s="2409"/>
      <c r="AQ55" s="2409"/>
      <c r="AR55" s="2409"/>
      <c r="AS55" s="2409"/>
      <c r="AT55" s="2409"/>
      <c r="AU55" s="748"/>
      <c r="AV55" s="2409"/>
      <c r="AW55" s="2409"/>
      <c r="AX55" s="2409"/>
      <c r="AY55" s="2409"/>
      <c r="AZ55" s="2409"/>
      <c r="BA55" s="2409"/>
      <c r="BB55" s="2409"/>
      <c r="BC55" s="2409"/>
      <c r="BD55" s="2409"/>
      <c r="BE55" s="2770"/>
      <c r="BF55" s="1363"/>
      <c r="BG55" s="1363"/>
      <c r="BH55" s="974" t="s">
        <v>1250</v>
      </c>
    </row>
    <row customHeight="1" ht="14.625" hidden="1">
      <c r="A56" s="1363"/>
      <c r="B56" s="88"/>
      <c r="C56" s="1363"/>
      <c r="D56" s="1363"/>
      <c r="E56" s="593">
        <v>15</v>
      </c>
      <c r="F56" s="50" cm="1" t="str">
        <f t="array" ref="F56:F56">OFFSET(E56,-1,1)</f>
        <v>0</v>
      </c>
      <c r="G56" s="1363"/>
      <c r="H56" s="88" t="s">
        <v>455</v>
      </c>
      <c r="I56" s="1363"/>
      <c r="J56" s="1363"/>
      <c r="K56" s="90" t="str">
        <f>F56&amp;"3komm"</f>
        <v>03komm</v>
      </c>
      <c r="L56" s="90" cm="1" t="str">
        <f t="array" ref="L56:L56">BE56</f>
        <v>0</v>
      </c>
      <c r="M56" s="1363"/>
      <c r="N56" s="1363"/>
      <c r="O56" s="1363"/>
      <c r="P56" s="1363"/>
      <c r="Q56" s="1363"/>
      <c r="R56" s="1363"/>
      <c r="S56" s="1363"/>
      <c r="T56" s="438" cm="1" t="str">
        <f t="array" ref="T56:T56">T55</f>
        <v>false</v>
      </c>
      <c r="U56" s="1363"/>
      <c r="V56" s="1363"/>
      <c r="W56" s="1363"/>
      <c r="X56" s="1511"/>
      <c r="Y56" s="1363"/>
      <c r="Z56" s="1494"/>
      <c r="AA56" s="1363"/>
      <c r="AB56" s="265" t="s">
        <v>513</v>
      </c>
      <c r="AC56" s="738" t="s">
        <v>1251</v>
      </c>
      <c r="AD56" s="266" t="s">
        <v>789</v>
      </c>
      <c r="AE56" s="2409"/>
      <c r="AF56" s="2409"/>
      <c r="AG56" s="2409"/>
      <c r="AH56" s="2409"/>
      <c r="AI56" s="2409"/>
      <c r="AJ56" s="2409"/>
      <c r="AK56" s="748"/>
      <c r="AL56" s="2409"/>
      <c r="AM56" s="2409"/>
      <c r="AN56" s="2409"/>
      <c r="AO56" s="2409"/>
      <c r="AP56" s="2409"/>
      <c r="AQ56" s="2409"/>
      <c r="AR56" s="2409"/>
      <c r="AS56" s="2409"/>
      <c r="AT56" s="2409"/>
      <c r="AU56" s="748"/>
      <c r="AV56" s="2409"/>
      <c r="AW56" s="2409"/>
      <c r="AX56" s="2409"/>
      <c r="AY56" s="2409"/>
      <c r="AZ56" s="2409"/>
      <c r="BA56" s="2409"/>
      <c r="BB56" s="2409"/>
      <c r="BC56" s="2409"/>
      <c r="BD56" s="2409"/>
      <c r="BE56" s="2770"/>
      <c r="BF56" s="1363"/>
      <c r="BG56" s="1363"/>
      <c r="BH56" s="974" t="s">
        <v>1252</v>
      </c>
    </row>
    <row customHeight="1" ht="14.625" hidden="1">
      <c r="A57" s="1363"/>
      <c r="B57" s="88"/>
      <c r="C57" s="1363"/>
      <c r="D57" s="1363"/>
      <c r="E57" s="593">
        <v>15</v>
      </c>
      <c r="F57" s="50" cm="1" t="str">
        <f t="array" ref="F57:F57">OFFSET(E57,-1,1)</f>
        <v>0</v>
      </c>
      <c r="G57" s="1363"/>
      <c r="H57" s="88" t="s">
        <v>864</v>
      </c>
      <c r="I57" s="1363"/>
      <c r="J57" s="1363"/>
      <c r="K57" s="1363"/>
      <c r="L57" s="1363"/>
      <c r="M57" s="1363"/>
      <c r="N57" s="1363"/>
      <c r="O57" s="1363"/>
      <c r="P57" s="1363"/>
      <c r="Q57" s="1363"/>
      <c r="R57" s="1363"/>
      <c r="S57" s="1363"/>
      <c r="T57" s="438" cm="1" t="str">
        <f t="array" ref="T57:T57">T56</f>
        <v>false</v>
      </c>
      <c r="U57" s="1363"/>
      <c r="V57" s="1363"/>
      <c r="W57" s="1363"/>
      <c r="X57" s="1511"/>
      <c r="Y57" s="1363"/>
      <c r="Z57" s="1494"/>
      <c r="AA57" s="1363"/>
      <c r="AB57" s="265" t="s">
        <v>517</v>
      </c>
      <c r="AC57" s="738" t="s">
        <v>1253</v>
      </c>
      <c r="AD57" s="266" t="s">
        <v>789</v>
      </c>
      <c r="AE57" s="2409"/>
      <c r="AF57" s="2409"/>
      <c r="AG57" s="2409"/>
      <c r="AH57" s="2409"/>
      <c r="AI57" s="2409"/>
      <c r="AJ57" s="2409"/>
      <c r="AK57" s="748"/>
      <c r="AL57" s="2409"/>
      <c r="AM57" s="2409"/>
      <c r="AN57" s="2409"/>
      <c r="AO57" s="2409"/>
      <c r="AP57" s="2409"/>
      <c r="AQ57" s="2409"/>
      <c r="AR57" s="2409"/>
      <c r="AS57" s="2409"/>
      <c r="AT57" s="2409"/>
      <c r="AU57" s="748"/>
      <c r="AV57" s="2409"/>
      <c r="AW57" s="2409"/>
      <c r="AX57" s="2409"/>
      <c r="AY57" s="2409"/>
      <c r="AZ57" s="2409"/>
      <c r="BA57" s="2409"/>
      <c r="BB57" s="2409"/>
      <c r="BC57" s="2409"/>
      <c r="BD57" s="2409"/>
      <c r="BE57" s="2770"/>
      <c r="BF57" s="1363"/>
      <c r="BG57" s="1363"/>
      <c r="BH57" s="974" t="s">
        <v>1254</v>
      </c>
    </row>
    <row s="1624" customFormat="1" customHeight="1" ht="14.25">
      <c r="A58" s="1363"/>
      <c r="B58" s="88"/>
      <c r="C58" s="1363"/>
      <c r="D58" s="1363"/>
      <c r="E58" s="593">
        <v>15</v>
      </c>
      <c r="F58" s="64" cm="1" t="str">
        <f t="array" ref="F58:F58">X58</f>
        <v>1</v>
      </c>
      <c r="G58" s="1363"/>
      <c r="H58" s="1363"/>
      <c r="I58" s="1363"/>
      <c r="J58" s="1363"/>
      <c r="K58" s="1363"/>
      <c r="L58" s="1363"/>
      <c r="M58" s="1363"/>
      <c r="N58" s="1363"/>
      <c r="O58" s="1363"/>
      <c r="P58" s="1363"/>
      <c r="Q58" s="1363"/>
      <c r="R58" s="1363"/>
      <c r="S58" s="1363"/>
      <c r="T58" s="438">
        <f>X58&gt;0</f>
        <v>1</v>
      </c>
      <c r="U58" s="1363"/>
      <c r="V58" s="88" cm="1" t="str">
        <f t="array" ref="V58:V58">Налоги!$AB$41</f>
        <v>Тариф 1 (Водоотведение) - тариф на транспортировку сточных вод</v>
      </c>
      <c r="W58" s="1363"/>
      <c r="X58" s="1511" t="s">
        <v>281</v>
      </c>
      <c r="Y58" s="1363"/>
      <c r="Z58" s="1494"/>
      <c r="AA58" s="1363"/>
      <c r="AB58" s="208" cm="1" t="str">
        <f t="array" ref="AB58:AB58">Налоги!$AB$41</f>
        <v>Тариф 1 (Водоотведение) - тариф на транспортировку сточных вод</v>
      </c>
      <c r="AC58" s="808"/>
      <c r="AD58" s="808"/>
      <c r="AE58" s="808"/>
      <c r="AF58" s="808"/>
      <c r="AG58" s="808"/>
      <c r="AH58" s="808"/>
      <c r="AI58" s="808"/>
      <c r="AJ58" s="808"/>
      <c r="AK58" s="808"/>
      <c r="AL58" s="808"/>
      <c r="AM58" s="808"/>
      <c r="AN58" s="808"/>
      <c r="AO58" s="808"/>
      <c r="AP58" s="808"/>
      <c r="AQ58" s="808"/>
      <c r="AR58" s="808"/>
      <c r="AS58" s="808"/>
      <c r="AT58" s="808"/>
      <c r="AU58" s="808"/>
      <c r="AV58" s="808"/>
      <c r="AW58" s="808"/>
      <c r="AX58" s="808"/>
      <c r="AY58" s="808"/>
      <c r="AZ58" s="808"/>
      <c r="BA58" s="808"/>
      <c r="BB58" s="808"/>
      <c r="BC58" s="808"/>
      <c r="BD58" s="808"/>
      <c r="BE58" s="808"/>
      <c r="BF58" s="1363"/>
      <c r="BG58" s="1363"/>
      <c r="BH58" s="1374"/>
    </row>
    <row s="2814" customFormat="1" customHeight="1" ht="21.75">
      <c r="A59" s="674"/>
      <c r="B59" s="88"/>
      <c r="C59" s="674"/>
      <c r="D59" s="674"/>
      <c r="E59" s="667">
        <v>22.5</v>
      </c>
      <c r="F59" s="50" cm="1" t="str">
        <f t="array" ref="F59:F59">OFFSET(E59,-1,1)</f>
        <v>1</v>
      </c>
      <c r="G59" s="88"/>
      <c r="H59" s="88" t="s">
        <v>321</v>
      </c>
      <c r="I59" s="674"/>
      <c r="J59" s="674"/>
      <c r="K59" s="674"/>
      <c r="L59" s="674"/>
      <c r="M59" s="674"/>
      <c r="N59" s="674"/>
      <c r="O59" s="674"/>
      <c r="P59" s="674"/>
      <c r="Q59" s="674"/>
      <c r="R59" s="674"/>
      <c r="S59" s="674"/>
      <c r="T59" s="438" cm="1" t="str">
        <f t="array" ref="T59:T59">T58</f>
        <v>true</v>
      </c>
      <c r="U59" s="674"/>
      <c r="V59" s="674"/>
      <c r="W59" s="674"/>
      <c r="X59" s="1511"/>
      <c r="Y59" s="674"/>
      <c r="Z59" s="1494"/>
      <c r="AA59" s="674"/>
      <c r="AB59" s="184">
        <v>1</v>
      </c>
      <c r="AC59" s="178" t="s">
        <v>1176</v>
      </c>
      <c r="AD59" s="177" t="s">
        <v>789</v>
      </c>
      <c r="AE59" s="179">
        <f>AE60+AE70+AE74+AE78</f>
        <v>0</v>
      </c>
      <c r="AF59" s="179">
        <f>AF60+AF70+AF74+AF78</f>
        <v>0</v>
      </c>
      <c r="AG59" s="179">
        <f>AG60+AG70+AG74+AG78</f>
        <v>0</v>
      </c>
      <c r="AH59" s="179">
        <f>AH60+AH70+AH74+AH78</f>
        <v>0</v>
      </c>
      <c r="AI59" s="179">
        <f>AI60+AI70+AI74+AI78</f>
        <v>0</v>
      </c>
      <c r="AJ59" s="179">
        <f>AJ60+AJ70+AJ74+AJ78</f>
        <v>0</v>
      </c>
      <c r="AK59" s="179">
        <f>AK60+AK70+AK74+AK78</f>
        <v>0</v>
      </c>
      <c r="AL59" s="179">
        <f>AL60+AL70+AL74+AL78</f>
        <v>0</v>
      </c>
      <c r="AM59" s="179">
        <f>AM60+AM70+AM74+AM78</f>
        <v>0</v>
      </c>
      <c r="AN59" s="179">
        <f>AN60+AN70+AN74+AN78</f>
        <v>0</v>
      </c>
      <c r="AO59" s="179">
        <f>AO60+AO70+AO74+AO78</f>
        <v>0</v>
      </c>
      <c r="AP59" s="179">
        <f>AP60+AP70+AP74+AP78</f>
        <v>0</v>
      </c>
      <c r="AQ59" s="179">
        <f>AQ60+AQ70+AQ74+AQ78</f>
        <v>0</v>
      </c>
      <c r="AR59" s="179">
        <f>AR60+AR70+AR74+AR78</f>
        <v>0</v>
      </c>
      <c r="AS59" s="179">
        <f>AS60+AS70+AS74+AS78</f>
        <v>0</v>
      </c>
      <c r="AT59" s="179">
        <f>AT60+AT70+AT74+AT78</f>
        <v>0</v>
      </c>
      <c r="AU59" s="179">
        <f>AU60+AU70+AU74+AU78</f>
        <v>0</v>
      </c>
      <c r="AV59" s="179">
        <f>AV60+AV70+AV74+AV78</f>
        <v>0</v>
      </c>
      <c r="AW59" s="179">
        <f>AW60+AW70+AW74+AW78</f>
        <v>0</v>
      </c>
      <c r="AX59" s="179">
        <f>AX60+AX70+AX74+AX78</f>
        <v>0</v>
      </c>
      <c r="AY59" s="179">
        <f>AY60+AY70+AY74+AY78</f>
        <v>0</v>
      </c>
      <c r="AZ59" s="179">
        <f>AZ60+AZ70+AZ74+AZ78</f>
        <v>0</v>
      </c>
      <c r="BA59" s="179">
        <f>BA60+BA70+BA74+BA78</f>
        <v>0</v>
      </c>
      <c r="BB59" s="179">
        <f>BB60+BB70+BB74+BB78</f>
        <v>0</v>
      </c>
      <c r="BC59" s="179">
        <f>BC60+BC70+BC74+BC78</f>
        <v>0</v>
      </c>
      <c r="BD59" s="179">
        <f>BD60+BD70+BD74+BD78</f>
        <v>0</v>
      </c>
      <c r="BE59" s="750"/>
      <c r="BF59" s="674"/>
      <c r="BG59" s="674"/>
      <c r="BH59" s="1028" t="s">
        <v>1177</v>
      </c>
    </row>
    <row s="1624" customFormat="1" customHeight="1" ht="14.25">
      <c r="A60" s="1363"/>
      <c r="B60" s="88"/>
      <c r="C60" s="1363"/>
      <c r="D60" s="1363"/>
      <c r="E60" s="593">
        <v>15</v>
      </c>
      <c r="F60" s="50" cm="1" t="str">
        <f t="array" ref="F60:F60">OFFSET(E60,-1,1)</f>
        <v>1</v>
      </c>
      <c r="G60" s="1363"/>
      <c r="H60" s="88" t="s">
        <v>434</v>
      </c>
      <c r="I60" s="1363"/>
      <c r="J60" s="1363"/>
      <c r="K60" s="1363"/>
      <c r="L60" s="1363"/>
      <c r="M60" s="1363"/>
      <c r="N60" s="1363"/>
      <c r="O60" s="1363"/>
      <c r="P60" s="1363"/>
      <c r="Q60" s="1363"/>
      <c r="R60" s="1363"/>
      <c r="S60" s="1363"/>
      <c r="T60" s="438" cm="1" t="str">
        <f t="array" ref="T60:T60">T59</f>
        <v>true</v>
      </c>
      <c r="U60" s="1363"/>
      <c r="V60" s="1363"/>
      <c r="W60" s="1363"/>
      <c r="X60" s="1511"/>
      <c r="Y60" s="1363"/>
      <c r="Z60" s="1494"/>
      <c r="AA60" s="1363"/>
      <c r="AB60" s="265" t="s">
        <v>844</v>
      </c>
      <c r="AC60" s="738" t="s">
        <v>1178</v>
      </c>
      <c r="AD60" s="266" t="s">
        <v>789</v>
      </c>
      <c r="AE60" s="759">
        <f>AE61+AE62+AE63+AE64+AE65</f>
        <v>0</v>
      </c>
      <c r="AF60" s="759">
        <f>AF61+AF62+AF63+AF64+AF65</f>
        <v>0</v>
      </c>
      <c r="AG60" s="759">
        <f>AG61+AG62+AG63+AG64+AG65</f>
        <v>0</v>
      </c>
      <c r="AH60" s="759">
        <f>AH61+AH62+AH63+AH64+AH65</f>
        <v>0</v>
      </c>
      <c r="AI60" s="759">
        <f>AI61+AI62+AI63+AI64+AI65</f>
        <v>0</v>
      </c>
      <c r="AJ60" s="759">
        <f>AJ61+AJ62+AJ63+AJ64+AJ65</f>
        <v>0</v>
      </c>
      <c r="AK60" s="759">
        <f>AK61+AK62+AK63+AK64+AK65</f>
        <v>0</v>
      </c>
      <c r="AL60" s="759">
        <f>AL61+AL62+AL63+AL64+AL65</f>
        <v>0</v>
      </c>
      <c r="AM60" s="759">
        <f>AM61+AM62+AM63+AM64+AM65</f>
        <v>0</v>
      </c>
      <c r="AN60" s="759">
        <f>AN61+AN62+AN63+AN64+AN65</f>
        <v>0</v>
      </c>
      <c r="AO60" s="759">
        <f>AO61+AO62+AO63+AO64+AO65</f>
        <v>0</v>
      </c>
      <c r="AP60" s="759">
        <f>AP61+AP62+AP63+AP64+AP65</f>
        <v>0</v>
      </c>
      <c r="AQ60" s="759">
        <f>AQ61+AQ62+AQ63+AQ64+AQ65</f>
        <v>0</v>
      </c>
      <c r="AR60" s="759">
        <f>AR61+AR62+AR63+AR64+AR65</f>
        <v>0</v>
      </c>
      <c r="AS60" s="759">
        <f>AS61+AS62+AS63+AS64+AS65</f>
        <v>0</v>
      </c>
      <c r="AT60" s="759">
        <f>AT61+AT62+AT63+AT64+AT65</f>
        <v>0</v>
      </c>
      <c r="AU60" s="759">
        <f>AU61+AU62+AU63+AU64+AU65</f>
        <v>0</v>
      </c>
      <c r="AV60" s="759">
        <f>AV61+AV62+AV63+AV64+AV65</f>
        <v>0</v>
      </c>
      <c r="AW60" s="759">
        <f>AW61+AW62+AW63+AW64+AW65</f>
        <v>0</v>
      </c>
      <c r="AX60" s="759">
        <f>AX61+AX62+AX63+AX64+AX65</f>
        <v>0</v>
      </c>
      <c r="AY60" s="759">
        <f>AY61+AY62+AY63+AY64+AY65</f>
        <v>0</v>
      </c>
      <c r="AZ60" s="759">
        <f>AZ61+AZ62+AZ63+AZ64+AZ65</f>
        <v>0</v>
      </c>
      <c r="BA60" s="759">
        <f>BA61+BA62+BA63+BA64+BA65</f>
        <v>0</v>
      </c>
      <c r="BB60" s="759">
        <f>BB61+BB62+BB63+BB64+BB65</f>
        <v>0</v>
      </c>
      <c r="BC60" s="759">
        <f>BC61+BC62+BC63+BC64+BC65</f>
        <v>0</v>
      </c>
      <c r="BD60" s="759">
        <f>BD61+BD62+BD63+BD64+BD65</f>
        <v>0</v>
      </c>
      <c r="BE60" s="750"/>
      <c r="BF60" s="1363"/>
      <c r="BG60" s="1363"/>
      <c r="BH60" s="974" t="s">
        <v>1179</v>
      </c>
    </row>
    <row s="1624" customFormat="1" customHeight="1" ht="14.25">
      <c r="A61" s="1363"/>
      <c r="B61" s="88"/>
      <c r="C61" s="1363"/>
      <c r="D61" s="1363"/>
      <c r="E61" s="593">
        <v>15</v>
      </c>
      <c r="F61" s="50" cm="1" t="str">
        <f t="array" ref="F61:F61">OFFSET(E61,-1,1)</f>
        <v>1</v>
      </c>
      <c r="G61" s="1363"/>
      <c r="H61" s="88" t="s">
        <v>947</v>
      </c>
      <c r="I61" s="1363"/>
      <c r="J61" s="1363"/>
      <c r="K61" s="1363"/>
      <c r="L61" s="1363"/>
      <c r="M61" s="1363"/>
      <c r="N61" s="1363"/>
      <c r="O61" s="1363"/>
      <c r="P61" s="1363"/>
      <c r="Q61" s="1363"/>
      <c r="R61" s="1363"/>
      <c r="S61" s="1363"/>
      <c r="T61" s="438" cm="1" t="str">
        <f t="array" ref="T61:T61">T60</f>
        <v>true</v>
      </c>
      <c r="U61" s="1363"/>
      <c r="V61" s="1363"/>
      <c r="W61" s="1363"/>
      <c r="X61" s="1511"/>
      <c r="Y61" s="1363"/>
      <c r="Z61" s="1494"/>
      <c r="AA61" s="1363"/>
      <c r="AB61" s="265" t="s">
        <v>948</v>
      </c>
      <c r="AC61" s="741" t="s">
        <v>1180</v>
      </c>
      <c r="AD61" s="266" t="s">
        <v>789</v>
      </c>
      <c r="AE61" s="748"/>
      <c r="AF61" s="748"/>
      <c r="AG61" s="748"/>
      <c r="AH61" s="748"/>
      <c r="AI61" s="748"/>
      <c r="AJ61" s="748"/>
      <c r="AK61" s="748"/>
      <c r="AL61" s="748"/>
      <c r="AM61" s="748"/>
      <c r="AN61" s="748"/>
      <c r="AO61" s="748"/>
      <c r="AP61" s="748"/>
      <c r="AQ61" s="748"/>
      <c r="AR61" s="748"/>
      <c r="AS61" s="748"/>
      <c r="AT61" s="748"/>
      <c r="AU61" s="748"/>
      <c r="AV61" s="748"/>
      <c r="AW61" s="748"/>
      <c r="AX61" s="748"/>
      <c r="AY61" s="748"/>
      <c r="AZ61" s="748"/>
      <c r="BA61" s="748"/>
      <c r="BB61" s="748"/>
      <c r="BC61" s="748"/>
      <c r="BD61" s="748"/>
      <c r="BE61" s="750"/>
      <c r="BF61" s="1363"/>
      <c r="BG61" s="1363"/>
      <c r="BH61" s="974" t="s">
        <v>1118</v>
      </c>
    </row>
    <row s="1624" customFormat="1" customHeight="1" ht="14.25">
      <c r="A62" s="1363"/>
      <c r="B62" s="88"/>
      <c r="C62" s="1363"/>
      <c r="D62" s="1363"/>
      <c r="E62" s="593">
        <v>15</v>
      </c>
      <c r="F62" s="50" cm="1" t="str">
        <f t="array" ref="F62:F62">OFFSET(E62,-1,1)</f>
        <v>1</v>
      </c>
      <c r="G62" s="1363"/>
      <c r="H62" s="88" t="s">
        <v>951</v>
      </c>
      <c r="I62" s="1363"/>
      <c r="J62" s="1363"/>
      <c r="K62" s="90" t="str">
        <f>F62&amp;"1komm"</f>
        <v>11komm</v>
      </c>
      <c r="L62" s="895" cm="1" t="str">
        <f t="array" ref="L62:L62">BE62</f>
        <v>0</v>
      </c>
      <c r="M62" s="1363"/>
      <c r="N62" s="1363"/>
      <c r="O62" s="1363"/>
      <c r="P62" s="1363"/>
      <c r="Q62" s="1363"/>
      <c r="R62" s="1363"/>
      <c r="S62" s="1363"/>
      <c r="T62" s="438" cm="1" t="str">
        <f t="array" ref="T62:T62">T61</f>
        <v>true</v>
      </c>
      <c r="U62" s="1363"/>
      <c r="V62" s="1363"/>
      <c r="W62" s="1363"/>
      <c r="X62" s="1511"/>
      <c r="Y62" s="1363"/>
      <c r="Z62" s="1494"/>
      <c r="AA62" s="1363"/>
      <c r="AB62" s="265" t="s">
        <v>952</v>
      </c>
      <c r="AC62" s="741" t="s">
        <v>1181</v>
      </c>
      <c r="AD62" s="266" t="s">
        <v>789</v>
      </c>
      <c r="AE62" s="748"/>
      <c r="AF62" s="748"/>
      <c r="AG62" s="748"/>
      <c r="AH62" s="748"/>
      <c r="AI62" s="748"/>
      <c r="AJ62" s="748"/>
      <c r="AK62" s="748"/>
      <c r="AL62" s="748"/>
      <c r="AM62" s="748"/>
      <c r="AN62" s="748"/>
      <c r="AO62" s="748"/>
      <c r="AP62" s="748"/>
      <c r="AQ62" s="748"/>
      <c r="AR62" s="748"/>
      <c r="AS62" s="748"/>
      <c r="AT62" s="748"/>
      <c r="AU62" s="748"/>
      <c r="AV62" s="748"/>
      <c r="AW62" s="748"/>
      <c r="AX62" s="748"/>
      <c r="AY62" s="748"/>
      <c r="AZ62" s="748"/>
      <c r="BA62" s="748"/>
      <c r="BB62" s="748"/>
      <c r="BC62" s="748"/>
      <c r="BD62" s="748"/>
      <c r="BE62" s="750"/>
      <c r="BF62" s="1363"/>
      <c r="BG62" s="1363"/>
      <c r="BH62" s="974" t="s">
        <v>1182</v>
      </c>
    </row>
    <row s="1624" customFormat="1" customHeight="1" ht="14.25">
      <c r="A63" s="1363"/>
      <c r="B63" s="88"/>
      <c r="C63" s="1363"/>
      <c r="D63" s="1363"/>
      <c r="E63" s="593">
        <v>15</v>
      </c>
      <c r="F63" s="50" cm="1" t="str">
        <f t="array" ref="F63:F63">OFFSET(E63,-1,1)</f>
        <v>1</v>
      </c>
      <c r="G63" s="1363"/>
      <c r="H63" s="88" t="s">
        <v>1183</v>
      </c>
      <c r="I63" s="1363"/>
      <c r="J63" s="1363"/>
      <c r="K63" s="1363"/>
      <c r="L63" s="1363"/>
      <c r="M63" s="1363"/>
      <c r="N63" s="1363"/>
      <c r="O63" s="1363"/>
      <c r="P63" s="1363"/>
      <c r="Q63" s="1363"/>
      <c r="R63" s="1363"/>
      <c r="S63" s="1363"/>
      <c r="T63" s="438" cm="1" t="str">
        <f t="array" ref="T63:T63">T62</f>
        <v>true</v>
      </c>
      <c r="U63" s="1363"/>
      <c r="V63" s="1363"/>
      <c r="W63" s="1363"/>
      <c r="X63" s="1511"/>
      <c r="Y63" s="1363"/>
      <c r="Z63" s="1494"/>
      <c r="AA63" s="1363"/>
      <c r="AB63" s="265" t="s">
        <v>1184</v>
      </c>
      <c r="AC63" s="741" t="s">
        <v>1185</v>
      </c>
      <c r="AD63" s="266" t="s">
        <v>789</v>
      </c>
      <c r="AE63" s="748"/>
      <c r="AF63" s="748"/>
      <c r="AG63" s="748"/>
      <c r="AH63" s="748"/>
      <c r="AI63" s="748"/>
      <c r="AJ63" s="748"/>
      <c r="AK63" s="748"/>
      <c r="AL63" s="748"/>
      <c r="AM63" s="748"/>
      <c r="AN63" s="748"/>
      <c r="AO63" s="748"/>
      <c r="AP63" s="748"/>
      <c r="AQ63" s="748"/>
      <c r="AR63" s="748"/>
      <c r="AS63" s="748"/>
      <c r="AT63" s="748"/>
      <c r="AU63" s="748"/>
      <c r="AV63" s="748"/>
      <c r="AW63" s="748"/>
      <c r="AX63" s="748"/>
      <c r="AY63" s="748"/>
      <c r="AZ63" s="748"/>
      <c r="BA63" s="748"/>
      <c r="BB63" s="748"/>
      <c r="BC63" s="748"/>
      <c r="BD63" s="748"/>
      <c r="BE63" s="750"/>
      <c r="BF63" s="1363"/>
      <c r="BG63" s="1363"/>
      <c r="BH63" s="974" t="s">
        <v>1186</v>
      </c>
    </row>
    <row s="1624" customFormat="1" customHeight="1" ht="14.25">
      <c r="A64" s="1363"/>
      <c r="B64" s="88"/>
      <c r="C64" s="1363"/>
      <c r="D64" s="1363"/>
      <c r="E64" s="593">
        <v>15</v>
      </c>
      <c r="F64" s="50" cm="1" t="str">
        <f t="array" ref="F64:F64">OFFSET(E64,-1,1)</f>
        <v>1</v>
      </c>
      <c r="G64" s="1363"/>
      <c r="H64" s="88" t="s">
        <v>1187</v>
      </c>
      <c r="I64" s="1363"/>
      <c r="J64" s="1363"/>
      <c r="K64" s="1363"/>
      <c r="L64" s="1363"/>
      <c r="M64" s="1363"/>
      <c r="N64" s="1363"/>
      <c r="O64" s="1363"/>
      <c r="P64" s="1363"/>
      <c r="Q64" s="1363"/>
      <c r="R64" s="1363"/>
      <c r="S64" s="1363"/>
      <c r="T64" s="438" cm="1" t="str">
        <f t="array" ref="T64:T64">T63</f>
        <v>true</v>
      </c>
      <c r="U64" s="1363"/>
      <c r="V64" s="1363"/>
      <c r="W64" s="1363"/>
      <c r="X64" s="1511"/>
      <c r="Y64" s="1363"/>
      <c r="Z64" s="1494"/>
      <c r="AA64" s="1363"/>
      <c r="AB64" s="265" t="s">
        <v>1188</v>
      </c>
      <c r="AC64" s="741" t="s">
        <v>1189</v>
      </c>
      <c r="AD64" s="266" t="s">
        <v>789</v>
      </c>
      <c r="AE64" s="748"/>
      <c r="AF64" s="748"/>
      <c r="AG64" s="748"/>
      <c r="AH64" s="748"/>
      <c r="AI64" s="748"/>
      <c r="AJ64" s="748"/>
      <c r="AK64" s="748"/>
      <c r="AL64" s="748"/>
      <c r="AM64" s="748"/>
      <c r="AN64" s="748"/>
      <c r="AO64" s="748"/>
      <c r="AP64" s="748"/>
      <c r="AQ64" s="748"/>
      <c r="AR64" s="748"/>
      <c r="AS64" s="748"/>
      <c r="AT64" s="748"/>
      <c r="AU64" s="748"/>
      <c r="AV64" s="748"/>
      <c r="AW64" s="748"/>
      <c r="AX64" s="748"/>
      <c r="AY64" s="748"/>
      <c r="AZ64" s="748"/>
      <c r="BA64" s="748"/>
      <c r="BB64" s="748"/>
      <c r="BC64" s="748"/>
      <c r="BD64" s="748"/>
      <c r="BE64" s="750"/>
      <c r="BF64" s="1363"/>
      <c r="BG64" s="1363"/>
      <c r="BH64" s="974" t="s">
        <v>1190</v>
      </c>
    </row>
    <row s="1624" customFormat="1" customHeight="1" ht="21.75">
      <c r="A65" s="1363"/>
      <c r="B65" s="88"/>
      <c r="C65" s="1363"/>
      <c r="D65" s="1363"/>
      <c r="E65" s="593">
        <v>22.5</v>
      </c>
      <c r="F65" s="50" cm="1" t="str">
        <f t="array" ref="F65:F65">OFFSET(E65,-1,1)</f>
        <v>1</v>
      </c>
      <c r="G65" s="1363"/>
      <c r="H65" s="1363"/>
      <c r="I65" s="1363"/>
      <c r="J65" s="1363"/>
      <c r="K65" s="1363"/>
      <c r="L65" s="1363"/>
      <c r="M65" s="1363"/>
      <c r="N65" s="1363"/>
      <c r="O65" s="1363"/>
      <c r="P65" s="1363"/>
      <c r="Q65" s="1363"/>
      <c r="R65" s="1363"/>
      <c r="S65" s="1363"/>
      <c r="T65" s="438" cm="1" t="str">
        <f t="array" ref="T65:T65">T64</f>
        <v>true</v>
      </c>
      <c r="U65" s="1363"/>
      <c r="V65" s="1363"/>
      <c r="W65" s="1363"/>
      <c r="X65" s="1511"/>
      <c r="Y65" s="1363"/>
      <c r="Z65" s="1494"/>
      <c r="AA65" s="1363"/>
      <c r="AB65" s="265" t="s">
        <v>1191</v>
      </c>
      <c r="AC65" s="741" t="s">
        <v>1192</v>
      </c>
      <c r="AD65" s="266" t="s">
        <v>789</v>
      </c>
      <c r="AE65" s="748">
        <f>AE66+AE67+AE68+AE69</f>
        <v>0</v>
      </c>
      <c r="AF65" s="748">
        <f>AF66+AF67+AF68+AF69</f>
        <v>0</v>
      </c>
      <c r="AG65" s="748">
        <f>AG66+AG67+AG68+AG69</f>
        <v>0</v>
      </c>
      <c r="AH65" s="748">
        <f>AH66+AH67+AH68+AH69</f>
        <v>0</v>
      </c>
      <c r="AI65" s="748">
        <f>AI66+AI67+AI68+AI69</f>
        <v>0</v>
      </c>
      <c r="AJ65" s="748">
        <f>AJ66+AJ67+AJ68+AJ69</f>
        <v>0</v>
      </c>
      <c r="AK65" s="748">
        <f>AK66+AK67+AK68+AK69</f>
        <v>0</v>
      </c>
      <c r="AL65" s="748">
        <f>AL66+AL67+AL68+AL69</f>
        <v>0</v>
      </c>
      <c r="AM65" s="748">
        <f>AM66+AM67+AM68+AM69</f>
        <v>0</v>
      </c>
      <c r="AN65" s="748">
        <f>AN66+AN67+AN68+AN69</f>
        <v>0</v>
      </c>
      <c r="AO65" s="748">
        <f>AO66+AO67+AO68+AO69</f>
        <v>0</v>
      </c>
      <c r="AP65" s="748">
        <f>AP66+AP67+AP68+AP69</f>
        <v>0</v>
      </c>
      <c r="AQ65" s="748">
        <f>AQ66+AQ67+AQ68+AQ69</f>
        <v>0</v>
      </c>
      <c r="AR65" s="748">
        <f>AR66+AR67+AR68+AR69</f>
        <v>0</v>
      </c>
      <c r="AS65" s="748">
        <f>AS66+AS67+AS68+AS69</f>
        <v>0</v>
      </c>
      <c r="AT65" s="748">
        <f>AT66+AT67+AT68+AT69</f>
        <v>0</v>
      </c>
      <c r="AU65" s="748">
        <f>AU66+AU67+AU68+AU69</f>
        <v>0</v>
      </c>
      <c r="AV65" s="748">
        <f>AV66+AV67+AV68+AV69</f>
        <v>0</v>
      </c>
      <c r="AW65" s="748">
        <f>AW66+AW67+AW68+AW69</f>
        <v>0</v>
      </c>
      <c r="AX65" s="748">
        <f>AX66+AX67+AX68+AX69</f>
        <v>0</v>
      </c>
      <c r="AY65" s="748">
        <f>AY66+AY67+AY68+AY69</f>
        <v>0</v>
      </c>
      <c r="AZ65" s="748">
        <f>AZ66+AZ67+AZ68+AZ69</f>
        <v>0</v>
      </c>
      <c r="BA65" s="748">
        <f>BA66+BA67+BA68+BA69</f>
        <v>0</v>
      </c>
      <c r="BB65" s="748">
        <f>BB66+BB67+BB68+BB69</f>
        <v>0</v>
      </c>
      <c r="BC65" s="748">
        <f>BC66+BC67+BC68+BC69</f>
        <v>0</v>
      </c>
      <c r="BD65" s="748">
        <f>BD66+BD67+BD68+BD69</f>
        <v>0</v>
      </c>
      <c r="BE65" s="750"/>
      <c r="BF65" s="1363"/>
      <c r="BG65" s="1363"/>
      <c r="BH65" s="974" t="s">
        <v>1193</v>
      </c>
    </row>
    <row s="1624" customFormat="1" customHeight="1" ht="44.25">
      <c r="A66" s="1363"/>
      <c r="B66" s="88"/>
      <c r="C66" s="1363"/>
      <c r="D66" s="1363"/>
      <c r="E66" s="593">
        <v>45.75</v>
      </c>
      <c r="F66" s="50" cm="1" t="str">
        <f t="array" ref="F66:F66">OFFSET(E66,-1,1)</f>
        <v>1</v>
      </c>
      <c r="G66" s="1363"/>
      <c r="H66" s="1363"/>
      <c r="I66" s="1363"/>
      <c r="J66" s="1363"/>
      <c r="K66" s="1363"/>
      <c r="L66" s="1363"/>
      <c r="M66" s="1363"/>
      <c r="N66" s="1363"/>
      <c r="O66" s="1363"/>
      <c r="P66" s="1363"/>
      <c r="Q66" s="1363"/>
      <c r="R66" s="1363"/>
      <c r="S66" s="1363"/>
      <c r="T66" s="438" cm="1" t="str">
        <f t="array" ref="T66:T66">T65</f>
        <v>true</v>
      </c>
      <c r="U66" s="1363"/>
      <c r="V66" s="1363"/>
      <c r="W66" s="1363"/>
      <c r="X66" s="1511"/>
      <c r="Y66" s="1363"/>
      <c r="Z66" s="1494"/>
      <c r="AA66" s="1363"/>
      <c r="AB66" s="265" t="s">
        <v>1194</v>
      </c>
      <c r="AC66" s="744" t="s">
        <v>1195</v>
      </c>
      <c r="AD66" s="266" t="s">
        <v>789</v>
      </c>
      <c r="AE66" s="748"/>
      <c r="AF66" s="748"/>
      <c r="AG66" s="748"/>
      <c r="AH66" s="748"/>
      <c r="AI66" s="748"/>
      <c r="AJ66" s="748"/>
      <c r="AK66" s="748"/>
      <c r="AL66" s="748"/>
      <c r="AM66" s="748"/>
      <c r="AN66" s="748"/>
      <c r="AO66" s="748"/>
      <c r="AP66" s="748"/>
      <c r="AQ66" s="748"/>
      <c r="AR66" s="748"/>
      <c r="AS66" s="748"/>
      <c r="AT66" s="748"/>
      <c r="AU66" s="748"/>
      <c r="AV66" s="748"/>
      <c r="AW66" s="748"/>
      <c r="AX66" s="748"/>
      <c r="AY66" s="748"/>
      <c r="AZ66" s="748"/>
      <c r="BA66" s="748"/>
      <c r="BB66" s="748"/>
      <c r="BC66" s="748"/>
      <c r="BD66" s="748"/>
      <c r="BE66" s="750"/>
      <c r="BF66" s="1363"/>
      <c r="BG66" s="1363"/>
      <c r="BH66" s="974" t="s">
        <v>1196</v>
      </c>
    </row>
    <row s="1624" customFormat="1" customHeight="1" ht="44.25">
      <c r="A67" s="1363"/>
      <c r="B67" s="88"/>
      <c r="C67" s="1363"/>
      <c r="D67" s="1363"/>
      <c r="E67" s="593">
        <v>45.75</v>
      </c>
      <c r="F67" s="50" cm="1" t="str">
        <f t="array" ref="F67:F67">OFFSET(E67,-1,1)</f>
        <v>1</v>
      </c>
      <c r="G67" s="1363"/>
      <c r="H67" s="1363"/>
      <c r="I67" s="1363"/>
      <c r="J67" s="1363"/>
      <c r="K67" s="1363"/>
      <c r="L67" s="1363"/>
      <c r="M67" s="1363"/>
      <c r="N67" s="1363"/>
      <c r="O67" s="1363"/>
      <c r="P67" s="1363"/>
      <c r="Q67" s="1363"/>
      <c r="R67" s="1363"/>
      <c r="S67" s="1363"/>
      <c r="T67" s="438" cm="1" t="str">
        <f t="array" ref="T67:T67">T66</f>
        <v>true</v>
      </c>
      <c r="U67" s="1363"/>
      <c r="V67" s="1363"/>
      <c r="W67" s="1363"/>
      <c r="X67" s="1511"/>
      <c r="Y67" s="1363"/>
      <c r="Z67" s="1494"/>
      <c r="AA67" s="1363"/>
      <c r="AB67" s="265" t="s">
        <v>1197</v>
      </c>
      <c r="AC67" s="744" t="s">
        <v>1198</v>
      </c>
      <c r="AD67" s="266" t="s">
        <v>789</v>
      </c>
      <c r="AE67" s="748"/>
      <c r="AF67" s="748"/>
      <c r="AG67" s="748"/>
      <c r="AH67" s="748"/>
      <c r="AI67" s="748"/>
      <c r="AJ67" s="748"/>
      <c r="AK67" s="748"/>
      <c r="AL67" s="748"/>
      <c r="AM67" s="748"/>
      <c r="AN67" s="748"/>
      <c r="AO67" s="748"/>
      <c r="AP67" s="748"/>
      <c r="AQ67" s="748"/>
      <c r="AR67" s="748"/>
      <c r="AS67" s="748"/>
      <c r="AT67" s="748"/>
      <c r="AU67" s="748"/>
      <c r="AV67" s="748"/>
      <c r="AW67" s="748"/>
      <c r="AX67" s="748"/>
      <c r="AY67" s="748"/>
      <c r="AZ67" s="748"/>
      <c r="BA67" s="748"/>
      <c r="BB67" s="748"/>
      <c r="BC67" s="748"/>
      <c r="BD67" s="748"/>
      <c r="BE67" s="750"/>
      <c r="BF67" s="1363"/>
      <c r="BG67" s="1363"/>
      <c r="BH67" s="974" t="s">
        <v>1199</v>
      </c>
    </row>
    <row s="1624" customFormat="1" customHeight="1" ht="44.25">
      <c r="A68" s="1363"/>
      <c r="B68" s="88"/>
      <c r="C68" s="1363"/>
      <c r="D68" s="1363"/>
      <c r="E68" s="593">
        <v>45.75</v>
      </c>
      <c r="F68" s="50" cm="1" t="str">
        <f t="array" ref="F68:F68">OFFSET(E68,-1,1)</f>
        <v>1</v>
      </c>
      <c r="G68" s="1363"/>
      <c r="H68" s="1363"/>
      <c r="I68" s="1363"/>
      <c r="J68" s="1363"/>
      <c r="K68" s="1363"/>
      <c r="L68" s="1363"/>
      <c r="M68" s="1363"/>
      <c r="N68" s="1363"/>
      <c r="O68" s="1363"/>
      <c r="P68" s="1363"/>
      <c r="Q68" s="1363"/>
      <c r="R68" s="1363"/>
      <c r="S68" s="1363"/>
      <c r="T68" s="438" cm="1" t="str">
        <f t="array" ref="T68:T68">T67</f>
        <v>true</v>
      </c>
      <c r="U68" s="1363"/>
      <c r="V68" s="1363"/>
      <c r="W68" s="1363"/>
      <c r="X68" s="1511"/>
      <c r="Y68" s="1363"/>
      <c r="Z68" s="1494"/>
      <c r="AA68" s="1363"/>
      <c r="AB68" s="265" t="s">
        <v>1200</v>
      </c>
      <c r="AC68" s="744" t="s">
        <v>1201</v>
      </c>
      <c r="AD68" s="266" t="s">
        <v>789</v>
      </c>
      <c r="AE68" s="748"/>
      <c r="AF68" s="748"/>
      <c r="AG68" s="748"/>
      <c r="AH68" s="748"/>
      <c r="AI68" s="748"/>
      <c r="AJ68" s="748"/>
      <c r="AK68" s="748"/>
      <c r="AL68" s="748"/>
      <c r="AM68" s="748"/>
      <c r="AN68" s="748"/>
      <c r="AO68" s="748"/>
      <c r="AP68" s="748"/>
      <c r="AQ68" s="748"/>
      <c r="AR68" s="748"/>
      <c r="AS68" s="748"/>
      <c r="AT68" s="748"/>
      <c r="AU68" s="748"/>
      <c r="AV68" s="748"/>
      <c r="AW68" s="748"/>
      <c r="AX68" s="748"/>
      <c r="AY68" s="748"/>
      <c r="AZ68" s="748"/>
      <c r="BA68" s="748"/>
      <c r="BB68" s="748"/>
      <c r="BC68" s="748"/>
      <c r="BD68" s="748"/>
      <c r="BE68" s="750"/>
      <c r="BF68" s="1363"/>
      <c r="BG68" s="1363"/>
      <c r="BH68" s="974" t="s">
        <v>1202</v>
      </c>
    </row>
    <row s="1624" customFormat="1" customHeight="1" ht="21.75">
      <c r="A69" s="1363"/>
      <c r="B69" s="88"/>
      <c r="C69" s="1363"/>
      <c r="D69" s="1363"/>
      <c r="E69" s="593">
        <v>22.5</v>
      </c>
      <c r="F69" s="50" cm="1" t="str">
        <f t="array" ref="F69:F69">OFFSET(E69,-1,1)</f>
        <v>1</v>
      </c>
      <c r="G69" s="1363"/>
      <c r="H69" s="1363"/>
      <c r="I69" s="1363"/>
      <c r="J69" s="1363"/>
      <c r="K69" s="1363"/>
      <c r="L69" s="1363"/>
      <c r="M69" s="1363"/>
      <c r="N69" s="1363"/>
      <c r="O69" s="1363"/>
      <c r="P69" s="1363"/>
      <c r="Q69" s="1363"/>
      <c r="R69" s="1363"/>
      <c r="S69" s="1363"/>
      <c r="T69" s="438" cm="1" t="str">
        <f t="array" ref="T69:T69">T68</f>
        <v>true</v>
      </c>
      <c r="U69" s="1363"/>
      <c r="V69" s="1363"/>
      <c r="W69" s="1363"/>
      <c r="X69" s="1511"/>
      <c r="Y69" s="1363"/>
      <c r="Z69" s="1494"/>
      <c r="AA69" s="1363"/>
      <c r="AB69" s="265" t="s">
        <v>1203</v>
      </c>
      <c r="AC69" s="744" t="s">
        <v>1204</v>
      </c>
      <c r="AD69" s="266" t="s">
        <v>789</v>
      </c>
      <c r="AE69" s="748"/>
      <c r="AF69" s="748"/>
      <c r="AG69" s="748"/>
      <c r="AH69" s="748"/>
      <c r="AI69" s="748"/>
      <c r="AJ69" s="748"/>
      <c r="AK69" s="748"/>
      <c r="AL69" s="748"/>
      <c r="AM69" s="748"/>
      <c r="AN69" s="748"/>
      <c r="AO69" s="748"/>
      <c r="AP69" s="748"/>
      <c r="AQ69" s="748"/>
      <c r="AR69" s="748"/>
      <c r="AS69" s="748"/>
      <c r="AT69" s="748"/>
      <c r="AU69" s="748"/>
      <c r="AV69" s="748"/>
      <c r="AW69" s="748"/>
      <c r="AX69" s="748"/>
      <c r="AY69" s="748"/>
      <c r="AZ69" s="748"/>
      <c r="BA69" s="748"/>
      <c r="BB69" s="748"/>
      <c r="BC69" s="748"/>
      <c r="BD69" s="748"/>
      <c r="BE69" s="750"/>
      <c r="BF69" s="1363"/>
      <c r="BG69" s="1363"/>
      <c r="BH69" s="974" t="s">
        <v>1205</v>
      </c>
    </row>
    <row s="1624" customFormat="1" customHeight="1" ht="14.25">
      <c r="A70" s="1363"/>
      <c r="B70" s="88"/>
      <c r="C70" s="1363"/>
      <c r="D70" s="1363"/>
      <c r="E70" s="593">
        <v>15</v>
      </c>
      <c r="F70" s="50" cm="1" t="str">
        <f t="array" ref="F70:F70">OFFSET(E70,-1,1)</f>
        <v>1</v>
      </c>
      <c r="G70" s="1363"/>
      <c r="H70" s="88" t="s">
        <v>438</v>
      </c>
      <c r="I70" s="1363"/>
      <c r="J70" s="1363"/>
      <c r="K70" s="1363"/>
      <c r="L70" s="1363"/>
      <c r="M70" s="1363"/>
      <c r="N70" s="1363"/>
      <c r="O70" s="1363"/>
      <c r="P70" s="1363"/>
      <c r="Q70" s="1363"/>
      <c r="R70" s="1363"/>
      <c r="S70" s="1363"/>
      <c r="T70" s="438" cm="1" t="str">
        <f t="array" ref="T70:T70">T69</f>
        <v>true</v>
      </c>
      <c r="U70" s="1363"/>
      <c r="V70" s="1363"/>
      <c r="W70" s="1363"/>
      <c r="X70" s="1511"/>
      <c r="Y70" s="1363"/>
      <c r="Z70" s="1494"/>
      <c r="AA70" s="1363"/>
      <c r="AB70" s="265" t="s">
        <v>847</v>
      </c>
      <c r="AC70" s="738" t="s">
        <v>1206</v>
      </c>
      <c r="AD70" s="266" t="s">
        <v>789</v>
      </c>
      <c r="AE70" s="759">
        <f>AE71+AE72+AE73</f>
        <v>0</v>
      </c>
      <c r="AF70" s="759">
        <f>AF71+AF72+AF73</f>
        <v>0</v>
      </c>
      <c r="AG70" s="759">
        <f>AG71+AG72+AG73</f>
        <v>0</v>
      </c>
      <c r="AH70" s="759">
        <f>AH71+AH72+AH73</f>
        <v>0</v>
      </c>
      <c r="AI70" s="759">
        <f>AI71+AI72+AI73</f>
        <v>0</v>
      </c>
      <c r="AJ70" s="759">
        <f>AJ71+AJ72+AJ73</f>
        <v>0</v>
      </c>
      <c r="AK70" s="759">
        <f>AK71+AK72+AK73</f>
        <v>0</v>
      </c>
      <c r="AL70" s="759">
        <f>AL71+AL72+AL73</f>
        <v>0</v>
      </c>
      <c r="AM70" s="759">
        <f>AM71+AM72+AM73</f>
        <v>0</v>
      </c>
      <c r="AN70" s="759">
        <f>AN71+AN72+AN73</f>
        <v>0</v>
      </c>
      <c r="AO70" s="759">
        <f>AO71+AO72+AO73</f>
        <v>0</v>
      </c>
      <c r="AP70" s="759">
        <f>AP71+AP72+AP73</f>
        <v>0</v>
      </c>
      <c r="AQ70" s="759">
        <f>AQ71+AQ72+AQ73</f>
        <v>0</v>
      </c>
      <c r="AR70" s="759">
        <f>AR71+AR72+AR73</f>
        <v>0</v>
      </c>
      <c r="AS70" s="759">
        <f>AS71+AS72+AS73</f>
        <v>0</v>
      </c>
      <c r="AT70" s="759">
        <f>AT71+AT72+AT73</f>
        <v>0</v>
      </c>
      <c r="AU70" s="759">
        <f>AU71+AU72+AU73</f>
        <v>0</v>
      </c>
      <c r="AV70" s="759">
        <f>AV71+AV72+AV73</f>
        <v>0</v>
      </c>
      <c r="AW70" s="759">
        <f>AW71+AW72+AW73</f>
        <v>0</v>
      </c>
      <c r="AX70" s="759">
        <f>AX71+AX72+AX73</f>
        <v>0</v>
      </c>
      <c r="AY70" s="759">
        <f>AY71+AY72+AY73</f>
        <v>0</v>
      </c>
      <c r="AZ70" s="759">
        <f>AZ71+AZ72+AZ73</f>
        <v>0</v>
      </c>
      <c r="BA70" s="759">
        <f>BA71+BA72+BA73</f>
        <v>0</v>
      </c>
      <c r="BB70" s="759">
        <f>BB71+BB72+BB73</f>
        <v>0</v>
      </c>
      <c r="BC70" s="759">
        <f>BC71+BC72+BC73</f>
        <v>0</v>
      </c>
      <c r="BD70" s="759">
        <f>BD71+BD72+BD73</f>
        <v>0</v>
      </c>
      <c r="BE70" s="750"/>
      <c r="BF70" s="1363"/>
      <c r="BG70" s="1363"/>
      <c r="BH70" s="974" t="s">
        <v>1207</v>
      </c>
    </row>
    <row s="1624" customFormat="1" customHeight="1" ht="14.25">
      <c r="A71" s="1363"/>
      <c r="B71" s="88"/>
      <c r="C71" s="1363"/>
      <c r="D71" s="1363"/>
      <c r="E71" s="593">
        <v>15</v>
      </c>
      <c r="F71" s="50" cm="1" t="str">
        <f t="array" ref="F71:F71">OFFSET(E71,-1,1)</f>
        <v>1</v>
      </c>
      <c r="G71" s="1363"/>
      <c r="H71" s="88" t="s">
        <v>1208</v>
      </c>
      <c r="I71" s="1363"/>
      <c r="J71" s="1363"/>
      <c r="K71" s="1363"/>
      <c r="L71" s="1363"/>
      <c r="M71" s="1363"/>
      <c r="N71" s="1363"/>
      <c r="O71" s="1363"/>
      <c r="P71" s="1363"/>
      <c r="Q71" s="1363"/>
      <c r="R71" s="1363"/>
      <c r="S71" s="1363"/>
      <c r="T71" s="438" cm="1" t="str">
        <f t="array" ref="T71:T71">T70</f>
        <v>true</v>
      </c>
      <c r="U71" s="1363"/>
      <c r="V71" s="1363"/>
      <c r="W71" s="1363"/>
      <c r="X71" s="1511"/>
      <c r="Y71" s="1363"/>
      <c r="Z71" s="1494"/>
      <c r="AA71" s="1363"/>
      <c r="AB71" s="265" t="s">
        <v>1209</v>
      </c>
      <c r="AC71" s="741" t="s">
        <v>1210</v>
      </c>
      <c r="AD71" s="266" t="s">
        <v>789</v>
      </c>
      <c r="AE71" s="748"/>
      <c r="AF71" s="748"/>
      <c r="AG71" s="748"/>
      <c r="AH71" s="748"/>
      <c r="AI71" s="748"/>
      <c r="AJ71" s="748"/>
      <c r="AK71" s="748"/>
      <c r="AL71" s="748"/>
      <c r="AM71" s="748"/>
      <c r="AN71" s="748"/>
      <c r="AO71" s="748"/>
      <c r="AP71" s="748"/>
      <c r="AQ71" s="748"/>
      <c r="AR71" s="748"/>
      <c r="AS71" s="748"/>
      <c r="AT71" s="748"/>
      <c r="AU71" s="748"/>
      <c r="AV71" s="748"/>
      <c r="AW71" s="748"/>
      <c r="AX71" s="748"/>
      <c r="AY71" s="748"/>
      <c r="AZ71" s="748"/>
      <c r="BA71" s="748"/>
      <c r="BB71" s="748"/>
      <c r="BC71" s="748"/>
      <c r="BD71" s="748"/>
      <c r="BE71" s="750"/>
      <c r="BF71" s="1363"/>
      <c r="BG71" s="1363"/>
      <c r="BH71" s="974" t="s">
        <v>1139</v>
      </c>
    </row>
    <row s="1624" customFormat="1" customHeight="1" ht="14.25">
      <c r="A72" s="1363"/>
      <c r="B72" s="88"/>
      <c r="C72" s="1363"/>
      <c r="D72" s="1363"/>
      <c r="E72" s="593">
        <v>15</v>
      </c>
      <c r="F72" s="50" cm="1" t="str">
        <f t="array" ref="F72:F72">OFFSET(E72,-1,1)</f>
        <v>1</v>
      </c>
      <c r="G72" s="1363"/>
      <c r="H72" s="88" t="s">
        <v>1211</v>
      </c>
      <c r="I72" s="1363"/>
      <c r="J72" s="1363"/>
      <c r="K72" s="1363"/>
      <c r="L72" s="1363"/>
      <c r="M72" s="1363"/>
      <c r="N72" s="1363"/>
      <c r="O72" s="1363"/>
      <c r="P72" s="1363"/>
      <c r="Q72" s="1363"/>
      <c r="R72" s="1363"/>
      <c r="S72" s="1363"/>
      <c r="T72" s="438" cm="1" t="str">
        <f t="array" ref="T72:T72">T71</f>
        <v>true</v>
      </c>
      <c r="U72" s="1363"/>
      <c r="V72" s="1363"/>
      <c r="W72" s="1363"/>
      <c r="X72" s="1511"/>
      <c r="Y72" s="1363"/>
      <c r="Z72" s="1494"/>
      <c r="AA72" s="1363"/>
      <c r="AB72" s="265" t="s">
        <v>1212</v>
      </c>
      <c r="AC72" s="741" t="s">
        <v>1213</v>
      </c>
      <c r="AD72" s="266" t="s">
        <v>789</v>
      </c>
      <c r="AE72" s="748"/>
      <c r="AF72" s="748"/>
      <c r="AG72" s="748"/>
      <c r="AH72" s="748"/>
      <c r="AI72" s="748"/>
      <c r="AJ72" s="748"/>
      <c r="AK72" s="748"/>
      <c r="AL72" s="748"/>
      <c r="AM72" s="748"/>
      <c r="AN72" s="748"/>
      <c r="AO72" s="748"/>
      <c r="AP72" s="748"/>
      <c r="AQ72" s="748"/>
      <c r="AR72" s="748"/>
      <c r="AS72" s="748"/>
      <c r="AT72" s="748"/>
      <c r="AU72" s="748"/>
      <c r="AV72" s="748"/>
      <c r="AW72" s="748"/>
      <c r="AX72" s="748"/>
      <c r="AY72" s="748"/>
      <c r="AZ72" s="748"/>
      <c r="BA72" s="748"/>
      <c r="BB72" s="748"/>
      <c r="BC72" s="748"/>
      <c r="BD72" s="748"/>
      <c r="BE72" s="750"/>
      <c r="BF72" s="1363"/>
      <c r="BG72" s="1363"/>
      <c r="BH72" s="974" t="s">
        <v>1214</v>
      </c>
    </row>
    <row s="1624" customFormat="1" customHeight="1" ht="14.25">
      <c r="A73" s="1363"/>
      <c r="B73" s="88"/>
      <c r="C73" s="1363"/>
      <c r="D73" s="1363"/>
      <c r="E73" s="593">
        <v>15</v>
      </c>
      <c r="F73" s="50" cm="1" t="str">
        <f t="array" ref="F73:F73">OFFSET(E73,-1,1)</f>
        <v>1</v>
      </c>
      <c r="G73" s="1363"/>
      <c r="H73" s="88" t="s">
        <v>1215</v>
      </c>
      <c r="I73" s="1363"/>
      <c r="J73" s="1363"/>
      <c r="K73" s="1363"/>
      <c r="L73" s="1363"/>
      <c r="M73" s="1363"/>
      <c r="N73" s="1363"/>
      <c r="O73" s="1363"/>
      <c r="P73" s="1363"/>
      <c r="Q73" s="1363"/>
      <c r="R73" s="1363"/>
      <c r="S73" s="1363"/>
      <c r="T73" s="438" cm="1" t="str">
        <f t="array" ref="T73:T73">T72</f>
        <v>true</v>
      </c>
      <c r="U73" s="1363"/>
      <c r="V73" s="1363"/>
      <c r="W73" s="1363"/>
      <c r="X73" s="1511"/>
      <c r="Y73" s="1363"/>
      <c r="Z73" s="1494"/>
      <c r="AA73" s="1363"/>
      <c r="AB73" s="265" t="s">
        <v>1216</v>
      </c>
      <c r="AC73" s="741" t="s">
        <v>1217</v>
      </c>
      <c r="AD73" s="266" t="s">
        <v>789</v>
      </c>
      <c r="AE73" s="748"/>
      <c r="AF73" s="748"/>
      <c r="AG73" s="748"/>
      <c r="AH73" s="748"/>
      <c r="AI73" s="748"/>
      <c r="AJ73" s="748"/>
      <c r="AK73" s="748"/>
      <c r="AL73" s="748"/>
      <c r="AM73" s="748"/>
      <c r="AN73" s="748"/>
      <c r="AO73" s="748"/>
      <c r="AP73" s="748"/>
      <c r="AQ73" s="748"/>
      <c r="AR73" s="748"/>
      <c r="AS73" s="748"/>
      <c r="AT73" s="748"/>
      <c r="AU73" s="748"/>
      <c r="AV73" s="748"/>
      <c r="AW73" s="748"/>
      <c r="AX73" s="748"/>
      <c r="AY73" s="748"/>
      <c r="AZ73" s="748"/>
      <c r="BA73" s="748"/>
      <c r="BB73" s="748"/>
      <c r="BC73" s="748"/>
      <c r="BD73" s="748"/>
      <c r="BE73" s="750"/>
      <c r="BF73" s="1363"/>
      <c r="BG73" s="1363"/>
      <c r="BH73" s="974" t="s">
        <v>1218</v>
      </c>
    </row>
    <row s="1624" customFormat="1" customHeight="1" ht="14.25">
      <c r="A74" s="1363"/>
      <c r="B74" s="88"/>
      <c r="C74" s="1363"/>
      <c r="D74" s="1363"/>
      <c r="E74" s="593">
        <v>15</v>
      </c>
      <c r="F74" s="50" cm="1" t="str">
        <f t="array" ref="F74:F74">OFFSET(E74,-1,1)</f>
        <v>1</v>
      </c>
      <c r="G74" s="1363"/>
      <c r="H74" s="88" t="s">
        <v>441</v>
      </c>
      <c r="I74" s="1363"/>
      <c r="J74" s="1363"/>
      <c r="K74" s="1363"/>
      <c r="L74" s="1363"/>
      <c r="M74" s="1363"/>
      <c r="N74" s="1363"/>
      <c r="O74" s="1363"/>
      <c r="P74" s="1363"/>
      <c r="Q74" s="1363"/>
      <c r="R74" s="1363"/>
      <c r="S74" s="1363"/>
      <c r="T74" s="438" cm="1" t="str">
        <f t="array" ref="T74:T74">T73</f>
        <v>true</v>
      </c>
      <c r="U74" s="1363"/>
      <c r="V74" s="1363"/>
      <c r="W74" s="1363"/>
      <c r="X74" s="1511"/>
      <c r="Y74" s="1363"/>
      <c r="Z74" s="1494"/>
      <c r="AA74" s="1363"/>
      <c r="AB74" s="265" t="s">
        <v>850</v>
      </c>
      <c r="AC74" s="738" t="s">
        <v>1219</v>
      </c>
      <c r="AD74" s="266" t="s">
        <v>789</v>
      </c>
      <c r="AE74" s="759">
        <f>AE75+AE76+AE77</f>
        <v>0</v>
      </c>
      <c r="AF74" s="759">
        <f>AF75+AF76+AF77</f>
        <v>0</v>
      </c>
      <c r="AG74" s="759">
        <f>AG75+AG76+AG77</f>
        <v>0</v>
      </c>
      <c r="AH74" s="759">
        <f>AH75+AH76+AH77</f>
        <v>0</v>
      </c>
      <c r="AI74" s="759">
        <f>AI75+AI76+AI77</f>
        <v>0</v>
      </c>
      <c r="AJ74" s="759">
        <f>AJ75+AJ76+AJ77</f>
        <v>0</v>
      </c>
      <c r="AK74" s="759">
        <f>AK75+AK76+AK77</f>
        <v>0</v>
      </c>
      <c r="AL74" s="759">
        <f>AL75+AL76+AL77</f>
        <v>0</v>
      </c>
      <c r="AM74" s="759">
        <f>AM75+AM76+AM77</f>
        <v>0</v>
      </c>
      <c r="AN74" s="759">
        <f>AN75+AN76+AN77</f>
        <v>0</v>
      </c>
      <c r="AO74" s="759">
        <f>AO75+AO76+AO77</f>
        <v>0</v>
      </c>
      <c r="AP74" s="759">
        <f>AP75+AP76+AP77</f>
        <v>0</v>
      </c>
      <c r="AQ74" s="759">
        <f>AQ75+AQ76+AQ77</f>
        <v>0</v>
      </c>
      <c r="AR74" s="759">
        <f>AR75+AR76+AR77</f>
        <v>0</v>
      </c>
      <c r="AS74" s="759">
        <f>AS75+AS76+AS77</f>
        <v>0</v>
      </c>
      <c r="AT74" s="759">
        <f>AT75+AT76+AT77</f>
        <v>0</v>
      </c>
      <c r="AU74" s="759">
        <f>AU75+AU76+AU77</f>
        <v>0</v>
      </c>
      <c r="AV74" s="759">
        <f>AV75+AV76+AV77</f>
        <v>0</v>
      </c>
      <c r="AW74" s="759">
        <f>AW75+AW76+AW77</f>
        <v>0</v>
      </c>
      <c r="AX74" s="759">
        <f>AX75+AX76+AX77</f>
        <v>0</v>
      </c>
      <c r="AY74" s="759">
        <f>AY75+AY76+AY77</f>
        <v>0</v>
      </c>
      <c r="AZ74" s="759">
        <f>AZ75+AZ76+AZ77</f>
        <v>0</v>
      </c>
      <c r="BA74" s="759">
        <f>BA75+BA76+BA77</f>
        <v>0</v>
      </c>
      <c r="BB74" s="759">
        <f>BB75+BB76+BB77</f>
        <v>0</v>
      </c>
      <c r="BC74" s="759">
        <f>BC75+BC76+BC77</f>
        <v>0</v>
      </c>
      <c r="BD74" s="759">
        <f>BD75+BD76+BD77</f>
        <v>0</v>
      </c>
      <c r="BE74" s="750"/>
      <c r="BF74" s="1363"/>
      <c r="BG74" s="1363"/>
      <c r="BH74" s="974" t="s">
        <v>1220</v>
      </c>
    </row>
    <row s="1624" customFormat="1" customHeight="1" ht="14.25">
      <c r="A75" s="1363"/>
      <c r="B75" s="88"/>
      <c r="C75" s="1363"/>
      <c r="D75" s="1363"/>
      <c r="E75" s="593">
        <v>15</v>
      </c>
      <c r="F75" s="50" cm="1" t="str">
        <f t="array" ref="F75:F75">OFFSET(E75,-1,1)</f>
        <v>1</v>
      </c>
      <c r="G75" s="1363"/>
      <c r="H75" s="88" t="s">
        <v>1221</v>
      </c>
      <c r="I75" s="1363"/>
      <c r="J75" s="1363"/>
      <c r="K75" s="1363"/>
      <c r="L75" s="1363"/>
      <c r="M75" s="1363"/>
      <c r="N75" s="1363"/>
      <c r="O75" s="1363"/>
      <c r="P75" s="1363"/>
      <c r="Q75" s="1363"/>
      <c r="R75" s="1363"/>
      <c r="S75" s="1363"/>
      <c r="T75" s="438" cm="1" t="str">
        <f t="array" ref="T75:T75">T74</f>
        <v>true</v>
      </c>
      <c r="U75" s="1363"/>
      <c r="V75" s="1363"/>
      <c r="W75" s="1363"/>
      <c r="X75" s="1511"/>
      <c r="Y75" s="1363"/>
      <c r="Z75" s="1494"/>
      <c r="AA75" s="1363"/>
      <c r="AB75" s="265" t="s">
        <v>1222</v>
      </c>
      <c r="AC75" s="741" t="s">
        <v>1223</v>
      </c>
      <c r="AD75" s="266" t="s">
        <v>789</v>
      </c>
      <c r="AE75" s="748"/>
      <c r="AF75" s="748"/>
      <c r="AG75" s="748"/>
      <c r="AH75" s="748"/>
      <c r="AI75" s="748"/>
      <c r="AJ75" s="748"/>
      <c r="AK75" s="748"/>
      <c r="AL75" s="748"/>
      <c r="AM75" s="748"/>
      <c r="AN75" s="748"/>
      <c r="AO75" s="748"/>
      <c r="AP75" s="748"/>
      <c r="AQ75" s="748"/>
      <c r="AR75" s="748"/>
      <c r="AS75" s="748"/>
      <c r="AT75" s="748"/>
      <c r="AU75" s="748"/>
      <c r="AV75" s="748"/>
      <c r="AW75" s="748"/>
      <c r="AX75" s="748"/>
      <c r="AY75" s="748"/>
      <c r="AZ75" s="748"/>
      <c r="BA75" s="748"/>
      <c r="BB75" s="748"/>
      <c r="BC75" s="748"/>
      <c r="BD75" s="748"/>
      <c r="BE75" s="750"/>
      <c r="BF75" s="1363"/>
      <c r="BG75" s="1363"/>
      <c r="BH75" s="974" t="s">
        <v>1224</v>
      </c>
    </row>
    <row s="1624" customFormat="1" customHeight="1" ht="14.25">
      <c r="A76" s="1363"/>
      <c r="B76" s="88"/>
      <c r="C76" s="1363"/>
      <c r="D76" s="1363"/>
      <c r="E76" s="593">
        <v>15</v>
      </c>
      <c r="F76" s="50" cm="1" t="str">
        <f t="array" ref="F76:F76">OFFSET(E76,-1,1)</f>
        <v>1</v>
      </c>
      <c r="G76" s="1363"/>
      <c r="H76" s="88" t="s">
        <v>1225</v>
      </c>
      <c r="I76" s="1363"/>
      <c r="J76" s="1363"/>
      <c r="K76" s="1363"/>
      <c r="L76" s="1363"/>
      <c r="M76" s="1363"/>
      <c r="N76" s="1363"/>
      <c r="O76" s="1363"/>
      <c r="P76" s="1363"/>
      <c r="Q76" s="1363"/>
      <c r="R76" s="1363"/>
      <c r="S76" s="1363"/>
      <c r="T76" s="438" cm="1" t="str">
        <f t="array" ref="T76:T76">T75</f>
        <v>true</v>
      </c>
      <c r="U76" s="1363"/>
      <c r="V76" s="1363"/>
      <c r="W76" s="1363"/>
      <c r="X76" s="1511"/>
      <c r="Y76" s="1363"/>
      <c r="Z76" s="1494"/>
      <c r="AA76" s="1363"/>
      <c r="AB76" s="265" t="s">
        <v>1226</v>
      </c>
      <c r="AC76" s="741" t="s">
        <v>1227</v>
      </c>
      <c r="AD76" s="266" t="s">
        <v>789</v>
      </c>
      <c r="AE76" s="748"/>
      <c r="AF76" s="748"/>
      <c r="AG76" s="748"/>
      <c r="AH76" s="748"/>
      <c r="AI76" s="748"/>
      <c r="AJ76" s="748"/>
      <c r="AK76" s="748"/>
      <c r="AL76" s="748"/>
      <c r="AM76" s="748"/>
      <c r="AN76" s="748"/>
      <c r="AO76" s="748"/>
      <c r="AP76" s="748"/>
      <c r="AQ76" s="748"/>
      <c r="AR76" s="748"/>
      <c r="AS76" s="748"/>
      <c r="AT76" s="748"/>
      <c r="AU76" s="748"/>
      <c r="AV76" s="748"/>
      <c r="AW76" s="748"/>
      <c r="AX76" s="748"/>
      <c r="AY76" s="748"/>
      <c r="AZ76" s="748"/>
      <c r="BA76" s="748"/>
      <c r="BB76" s="748"/>
      <c r="BC76" s="748"/>
      <c r="BD76" s="748"/>
      <c r="BE76" s="750"/>
      <c r="BF76" s="1363"/>
      <c r="BG76" s="1363"/>
      <c r="BH76" s="974" t="s">
        <v>1228</v>
      </c>
    </row>
    <row s="1624" customFormat="1" customHeight="1" ht="14.25">
      <c r="A77" s="1363"/>
      <c r="B77" s="88"/>
      <c r="C77" s="1363"/>
      <c r="D77" s="1363"/>
      <c r="E77" s="593">
        <v>15</v>
      </c>
      <c r="F77" s="50" cm="1" t="str">
        <f t="array" ref="F77:F77">OFFSET(E77,-1,1)</f>
        <v>1</v>
      </c>
      <c r="G77" s="1363"/>
      <c r="H77" s="88" t="s">
        <v>1229</v>
      </c>
      <c r="I77" s="1363"/>
      <c r="J77" s="1363"/>
      <c r="K77" s="1363"/>
      <c r="L77" s="1363"/>
      <c r="M77" s="1363"/>
      <c r="N77" s="1363"/>
      <c r="O77" s="1363"/>
      <c r="P77" s="1363"/>
      <c r="Q77" s="1363"/>
      <c r="R77" s="1363"/>
      <c r="S77" s="1363"/>
      <c r="T77" s="438" cm="1" t="str">
        <f t="array" ref="T77:T77">T76</f>
        <v>true</v>
      </c>
      <c r="U77" s="1363"/>
      <c r="V77" s="1363"/>
      <c r="W77" s="1363"/>
      <c r="X77" s="1511"/>
      <c r="Y77" s="1363"/>
      <c r="Z77" s="1494"/>
      <c r="AA77" s="1363"/>
      <c r="AB77" s="265" t="s">
        <v>1230</v>
      </c>
      <c r="AC77" s="741" t="s">
        <v>1231</v>
      </c>
      <c r="AD77" s="266" t="s">
        <v>789</v>
      </c>
      <c r="AE77" s="748"/>
      <c r="AF77" s="748"/>
      <c r="AG77" s="748"/>
      <c r="AH77" s="748"/>
      <c r="AI77" s="748"/>
      <c r="AJ77" s="748"/>
      <c r="AK77" s="748"/>
      <c r="AL77" s="748"/>
      <c r="AM77" s="748"/>
      <c r="AN77" s="748"/>
      <c r="AO77" s="748"/>
      <c r="AP77" s="748"/>
      <c r="AQ77" s="748"/>
      <c r="AR77" s="748"/>
      <c r="AS77" s="748"/>
      <c r="AT77" s="748"/>
      <c r="AU77" s="748"/>
      <c r="AV77" s="748"/>
      <c r="AW77" s="748"/>
      <c r="AX77" s="748"/>
      <c r="AY77" s="748"/>
      <c r="AZ77" s="748"/>
      <c r="BA77" s="748"/>
      <c r="BB77" s="748"/>
      <c r="BC77" s="748"/>
      <c r="BD77" s="748"/>
      <c r="BE77" s="750"/>
      <c r="BF77" s="1363"/>
      <c r="BG77" s="1363"/>
      <c r="BH77" s="974" t="s">
        <v>1232</v>
      </c>
    </row>
    <row s="1624" customFormat="1" customHeight="1" ht="14.25">
      <c r="A78" s="1363"/>
      <c r="B78" s="88"/>
      <c r="C78" s="1363"/>
      <c r="D78" s="1363"/>
      <c r="E78" s="593">
        <v>15</v>
      </c>
      <c r="F78" s="50" cm="1" t="str">
        <f t="array" ref="F78:F78">OFFSET(E78,-1,1)</f>
        <v>1</v>
      </c>
      <c r="G78" s="1363"/>
      <c r="H78" s="88" t="s">
        <v>445</v>
      </c>
      <c r="I78" s="1363"/>
      <c r="J78" s="1363"/>
      <c r="K78" s="1363"/>
      <c r="L78" s="1363"/>
      <c r="M78" s="1363"/>
      <c r="N78" s="1363"/>
      <c r="O78" s="1363"/>
      <c r="P78" s="1363"/>
      <c r="Q78" s="1363"/>
      <c r="R78" s="1363"/>
      <c r="S78" s="1363"/>
      <c r="T78" s="438" cm="1" t="str">
        <f t="array" ref="T78:T78">T77</f>
        <v>true</v>
      </c>
      <c r="U78" s="1363"/>
      <c r="V78" s="1363"/>
      <c r="W78" s="1363"/>
      <c r="X78" s="1511"/>
      <c r="Y78" s="1363"/>
      <c r="Z78" s="1494"/>
      <c r="AA78" s="1363"/>
      <c r="AB78" s="265" t="s">
        <v>853</v>
      </c>
      <c r="AC78" s="738" t="s">
        <v>1233</v>
      </c>
      <c r="AD78" s="266" t="s">
        <v>789</v>
      </c>
      <c r="AE78" s="759">
        <f>AE79+AE80+AE81+AE82</f>
        <v>0</v>
      </c>
      <c r="AF78" s="759">
        <f>AF79+AF80+AF81+AF82</f>
        <v>0</v>
      </c>
      <c r="AG78" s="759">
        <f>AG79+AG80+AG81+AG82</f>
        <v>0</v>
      </c>
      <c r="AH78" s="759">
        <f>AH79+AH80+AH81+AH82</f>
        <v>0</v>
      </c>
      <c r="AI78" s="759">
        <f>AI79+AI80+AI81+AI82</f>
        <v>0</v>
      </c>
      <c r="AJ78" s="759">
        <f>AJ79+AJ80+AJ81+AJ82</f>
        <v>0</v>
      </c>
      <c r="AK78" s="759">
        <f>AK79+AK80+AK81+AK82</f>
        <v>0</v>
      </c>
      <c r="AL78" s="759">
        <f>AL79+AL80+AL81+AL82</f>
        <v>0</v>
      </c>
      <c r="AM78" s="759">
        <f>AM79+AM80+AM81+AM82</f>
        <v>0</v>
      </c>
      <c r="AN78" s="759">
        <f>AN79+AN80+AN81+AN82</f>
        <v>0</v>
      </c>
      <c r="AO78" s="759">
        <f>AO79+AO80+AO81+AO82</f>
        <v>0</v>
      </c>
      <c r="AP78" s="759">
        <f>AP79+AP80+AP81+AP82</f>
        <v>0</v>
      </c>
      <c r="AQ78" s="759">
        <f>AQ79+AQ80+AQ81+AQ82</f>
        <v>0</v>
      </c>
      <c r="AR78" s="759">
        <f>AR79+AR80+AR81+AR82</f>
        <v>0</v>
      </c>
      <c r="AS78" s="759">
        <f>AS79+AS80+AS81+AS82</f>
        <v>0</v>
      </c>
      <c r="AT78" s="759">
        <f>AT79+AT80+AT81+AT82</f>
        <v>0</v>
      </c>
      <c r="AU78" s="759">
        <f>AU79+AU80+AU81+AU82</f>
        <v>0</v>
      </c>
      <c r="AV78" s="759">
        <f>AV79+AV80+AV81+AV82</f>
        <v>0</v>
      </c>
      <c r="AW78" s="759">
        <f>AW79+AW80+AW81+AW82</f>
        <v>0</v>
      </c>
      <c r="AX78" s="759">
        <f>AX79+AX80+AX81+AX82</f>
        <v>0</v>
      </c>
      <c r="AY78" s="759">
        <f>AY79+AY80+AY81+AY82</f>
        <v>0</v>
      </c>
      <c r="AZ78" s="759">
        <f>AZ79+AZ80+AZ81+AZ82</f>
        <v>0</v>
      </c>
      <c r="BA78" s="759">
        <f>BA79+BA80+BA81+BA82</f>
        <v>0</v>
      </c>
      <c r="BB78" s="759">
        <f>BB79+BB80+BB81+BB82</f>
        <v>0</v>
      </c>
      <c r="BC78" s="759">
        <f>BC79+BC80+BC81+BC82</f>
        <v>0</v>
      </c>
      <c r="BD78" s="759">
        <f>BD79+BD80+BD81+BD82</f>
        <v>0</v>
      </c>
      <c r="BE78" s="750"/>
      <c r="BF78" s="1363"/>
      <c r="BG78" s="1363"/>
      <c r="BH78" s="974" t="s">
        <v>1234</v>
      </c>
    </row>
    <row s="1624" customFormat="1" customHeight="1" ht="14.25">
      <c r="A79" s="1363"/>
      <c r="B79" s="88"/>
      <c r="C79" s="1363"/>
      <c r="D79" s="1363"/>
      <c r="E79" s="593">
        <v>15</v>
      </c>
      <c r="F79" s="50" cm="1" t="str">
        <f t="array" ref="F79:F79">OFFSET(E79,-1,1)</f>
        <v>1</v>
      </c>
      <c r="G79" s="1363"/>
      <c r="H79" s="88" t="s">
        <v>1235</v>
      </c>
      <c r="I79" s="1363"/>
      <c r="J79" s="1363"/>
      <c r="K79" s="1363"/>
      <c r="L79" s="1363"/>
      <c r="M79" s="1363"/>
      <c r="N79" s="1363"/>
      <c r="O79" s="1363"/>
      <c r="P79" s="1363"/>
      <c r="Q79" s="1363"/>
      <c r="R79" s="1363"/>
      <c r="S79" s="1363"/>
      <c r="T79" s="438" cm="1" t="str">
        <f t="array" ref="T79:T79">T78</f>
        <v>true</v>
      </c>
      <c r="U79" s="1363"/>
      <c r="V79" s="1363"/>
      <c r="W79" s="1363"/>
      <c r="X79" s="1511"/>
      <c r="Y79" s="1363"/>
      <c r="Z79" s="1494"/>
      <c r="AA79" s="1363"/>
      <c r="AB79" s="265" t="s">
        <v>964</v>
      </c>
      <c r="AC79" s="741" t="s">
        <v>958</v>
      </c>
      <c r="AD79" s="266" t="s">
        <v>789</v>
      </c>
      <c r="AE79" s="748"/>
      <c r="AF79" s="748"/>
      <c r="AG79" s="748"/>
      <c r="AH79" s="748"/>
      <c r="AI79" s="748"/>
      <c r="AJ79" s="748"/>
      <c r="AK79" s="748"/>
      <c r="AL79" s="748"/>
      <c r="AM79" s="748"/>
      <c r="AN79" s="748"/>
      <c r="AO79" s="748"/>
      <c r="AP79" s="748"/>
      <c r="AQ79" s="748"/>
      <c r="AR79" s="748"/>
      <c r="AS79" s="748"/>
      <c r="AT79" s="748"/>
      <c r="AU79" s="748"/>
      <c r="AV79" s="748"/>
      <c r="AW79" s="748"/>
      <c r="AX79" s="748"/>
      <c r="AY79" s="748"/>
      <c r="AZ79" s="748"/>
      <c r="BA79" s="748"/>
      <c r="BB79" s="748"/>
      <c r="BC79" s="748"/>
      <c r="BD79" s="748"/>
      <c r="BE79" s="750"/>
      <c r="BF79" s="1363"/>
      <c r="BG79" s="1363"/>
      <c r="BH79" s="974" t="s">
        <v>960</v>
      </c>
    </row>
    <row s="1624" customFormat="1" customHeight="1" ht="21.75">
      <c r="A80" s="1363"/>
      <c r="B80" s="88"/>
      <c r="C80" s="1363"/>
      <c r="D80" s="1363"/>
      <c r="E80" s="593">
        <v>22.5</v>
      </c>
      <c r="F80" s="50" cm="1" t="str">
        <f t="array" ref="F80:F80">OFFSET(E80,-1,1)</f>
        <v>1</v>
      </c>
      <c r="G80" s="1363"/>
      <c r="H80" s="88" t="s">
        <v>1236</v>
      </c>
      <c r="I80" s="1363"/>
      <c r="J80" s="1363"/>
      <c r="K80" s="1363"/>
      <c r="L80" s="1363"/>
      <c r="M80" s="1363"/>
      <c r="N80" s="1363"/>
      <c r="O80" s="1363"/>
      <c r="P80" s="1363"/>
      <c r="Q80" s="1363"/>
      <c r="R80" s="1363"/>
      <c r="S80" s="1363"/>
      <c r="T80" s="438" cm="1" t="str">
        <f t="array" ref="T80:T80">T79</f>
        <v>true</v>
      </c>
      <c r="U80" s="1363"/>
      <c r="V80" s="1363"/>
      <c r="W80" s="1363"/>
      <c r="X80" s="1511"/>
      <c r="Y80" s="1363"/>
      <c r="Z80" s="1494"/>
      <c r="AA80" s="1363"/>
      <c r="AB80" s="265" t="s">
        <v>967</v>
      </c>
      <c r="AC80" s="741" t="s">
        <v>1237</v>
      </c>
      <c r="AD80" s="266" t="s">
        <v>789</v>
      </c>
      <c r="AE80" s="748"/>
      <c r="AF80" s="748"/>
      <c r="AG80" s="748"/>
      <c r="AH80" s="748"/>
      <c r="AI80" s="748"/>
      <c r="AJ80" s="748"/>
      <c r="AK80" s="748"/>
      <c r="AL80" s="748"/>
      <c r="AM80" s="748"/>
      <c r="AN80" s="748"/>
      <c r="AO80" s="748"/>
      <c r="AP80" s="748"/>
      <c r="AQ80" s="748"/>
      <c r="AR80" s="748"/>
      <c r="AS80" s="748"/>
      <c r="AT80" s="748"/>
      <c r="AU80" s="748"/>
      <c r="AV80" s="748"/>
      <c r="AW80" s="748"/>
      <c r="AX80" s="748"/>
      <c r="AY80" s="748"/>
      <c r="AZ80" s="748"/>
      <c r="BA80" s="748"/>
      <c r="BB80" s="748"/>
      <c r="BC80" s="748"/>
      <c r="BD80" s="748"/>
      <c r="BE80" s="750"/>
      <c r="BF80" s="1363"/>
      <c r="BG80" s="1363"/>
      <c r="BH80" s="974" t="s">
        <v>1238</v>
      </c>
    </row>
    <row s="1624" customFormat="1" customHeight="1" ht="21.75">
      <c r="A81" s="1363"/>
      <c r="B81" s="88"/>
      <c r="C81" s="1363"/>
      <c r="D81" s="1363"/>
      <c r="E81" s="593">
        <v>22.5</v>
      </c>
      <c r="F81" s="50" cm="1" t="str">
        <f t="array" ref="F81:F81">OFFSET(E81,-1,1)</f>
        <v>1</v>
      </c>
      <c r="G81" s="1363"/>
      <c r="H81" s="88" t="s">
        <v>1239</v>
      </c>
      <c r="I81" s="1363"/>
      <c r="J81" s="1363"/>
      <c r="K81" s="1363"/>
      <c r="L81" s="1363"/>
      <c r="M81" s="1363"/>
      <c r="N81" s="1363"/>
      <c r="O81" s="1363"/>
      <c r="P81" s="1363"/>
      <c r="Q81" s="1363"/>
      <c r="R81" s="1363"/>
      <c r="S81" s="1363"/>
      <c r="T81" s="438" cm="1" t="str">
        <f t="array" ref="T81:T81">T80</f>
        <v>true</v>
      </c>
      <c r="U81" s="1363"/>
      <c r="V81" s="1363"/>
      <c r="W81" s="1363"/>
      <c r="X81" s="1511"/>
      <c r="Y81" s="1363"/>
      <c r="Z81" s="1494"/>
      <c r="AA81" s="1363"/>
      <c r="AB81" s="265" t="s">
        <v>1240</v>
      </c>
      <c r="AC81" s="741" t="s">
        <v>1241</v>
      </c>
      <c r="AD81" s="266" t="s">
        <v>789</v>
      </c>
      <c r="AE81" s="748"/>
      <c r="AF81" s="748"/>
      <c r="AG81" s="748"/>
      <c r="AH81" s="748"/>
      <c r="AI81" s="748"/>
      <c r="AJ81" s="748"/>
      <c r="AK81" s="748"/>
      <c r="AL81" s="748"/>
      <c r="AM81" s="748"/>
      <c r="AN81" s="748"/>
      <c r="AO81" s="748"/>
      <c r="AP81" s="748"/>
      <c r="AQ81" s="748"/>
      <c r="AR81" s="748"/>
      <c r="AS81" s="748"/>
      <c r="AT81" s="748"/>
      <c r="AU81" s="748"/>
      <c r="AV81" s="748"/>
      <c r="AW81" s="748"/>
      <c r="AX81" s="748"/>
      <c r="AY81" s="748"/>
      <c r="AZ81" s="748"/>
      <c r="BA81" s="748"/>
      <c r="BB81" s="748"/>
      <c r="BC81" s="748"/>
      <c r="BD81" s="748"/>
      <c r="BE81" s="750"/>
      <c r="BF81" s="1363"/>
      <c r="BG81" s="1363"/>
      <c r="BH81" s="974" t="s">
        <v>1242</v>
      </c>
    </row>
    <row s="1624" customFormat="1" customHeight="1" ht="14.25">
      <c r="A82" s="1363"/>
      <c r="B82" s="88"/>
      <c r="C82" s="1363"/>
      <c r="D82" s="1363"/>
      <c r="E82" s="593">
        <v>15</v>
      </c>
      <c r="F82" s="50" cm="1" t="str">
        <f t="array" ref="F82:F82">OFFSET(E82,-1,1)</f>
        <v>1</v>
      </c>
      <c r="G82" s="1363"/>
      <c r="H82" s="88" t="s">
        <v>1243</v>
      </c>
      <c r="I82" s="1363"/>
      <c r="J82" s="1363"/>
      <c r="K82" s="1363"/>
      <c r="L82" s="1363"/>
      <c r="M82" s="1363"/>
      <c r="N82" s="1363"/>
      <c r="O82" s="1363"/>
      <c r="P82" s="1363"/>
      <c r="Q82" s="1363"/>
      <c r="R82" s="1363"/>
      <c r="S82" s="1363"/>
      <c r="T82" s="438" cm="1" t="str">
        <f t="array" ref="T82:T82">T81</f>
        <v>true</v>
      </c>
      <c r="U82" s="1363"/>
      <c r="V82" s="1363"/>
      <c r="W82" s="1363"/>
      <c r="X82" s="1511"/>
      <c r="Y82" s="1363"/>
      <c r="Z82" s="1494"/>
      <c r="AA82" s="1363"/>
      <c r="AB82" s="265" t="s">
        <v>1244</v>
      </c>
      <c r="AC82" s="741" t="s">
        <v>1245</v>
      </c>
      <c r="AD82" s="266" t="s">
        <v>789</v>
      </c>
      <c r="AE82" s="748"/>
      <c r="AF82" s="748"/>
      <c r="AG82" s="748"/>
      <c r="AH82" s="748"/>
      <c r="AI82" s="748"/>
      <c r="AJ82" s="748"/>
      <c r="AK82" s="748"/>
      <c r="AL82" s="748"/>
      <c r="AM82" s="748"/>
      <c r="AN82" s="748"/>
      <c r="AO82" s="748"/>
      <c r="AP82" s="748"/>
      <c r="AQ82" s="748"/>
      <c r="AR82" s="748"/>
      <c r="AS82" s="748"/>
      <c r="AT82" s="748"/>
      <c r="AU82" s="748"/>
      <c r="AV82" s="748"/>
      <c r="AW82" s="748"/>
      <c r="AX82" s="748"/>
      <c r="AY82" s="748"/>
      <c r="AZ82" s="748"/>
      <c r="BA82" s="748"/>
      <c r="BB82" s="748"/>
      <c r="BC82" s="748"/>
      <c r="BD82" s="748"/>
      <c r="BE82" s="750"/>
      <c r="BF82" s="1363"/>
      <c r="BG82" s="1363"/>
      <c r="BH82" s="974" t="s">
        <v>1246</v>
      </c>
    </row>
    <row s="2815" customFormat="1" customHeight="1" ht="21.75">
      <c r="A83" s="674"/>
      <c r="B83" s="88"/>
      <c r="C83" s="674"/>
      <c r="D83" s="674"/>
      <c r="E83" s="667">
        <v>22.5</v>
      </c>
      <c r="F83" s="50" cm="1" t="str">
        <f t="array" ref="F83:F83">OFFSET(E83,-1,1)</f>
        <v>1</v>
      </c>
      <c r="G83" s="88"/>
      <c r="H83" s="88" t="s">
        <v>322</v>
      </c>
      <c r="I83" s="674"/>
      <c r="J83" s="674"/>
      <c r="K83" s="674"/>
      <c r="L83" s="674"/>
      <c r="M83" s="674"/>
      <c r="N83" s="674"/>
      <c r="O83" s="674"/>
      <c r="P83" s="674"/>
      <c r="Q83" s="674"/>
      <c r="R83" s="674"/>
      <c r="S83" s="674"/>
      <c r="T83" s="438" cm="1" t="str">
        <f t="array" ref="T83:T83">T82</f>
        <v>true</v>
      </c>
      <c r="U83" s="674"/>
      <c r="V83" s="674"/>
      <c r="W83" s="674"/>
      <c r="X83" s="1511"/>
      <c r="Y83" s="674"/>
      <c r="Z83" s="1494"/>
      <c r="AA83" s="674"/>
      <c r="AB83" s="184" t="s">
        <v>504</v>
      </c>
      <c r="AC83" s="185" t="s">
        <v>1247</v>
      </c>
      <c r="AD83" s="177" t="s">
        <v>789</v>
      </c>
      <c r="AE83" s="179">
        <f>AE84+AE85+AE86</f>
        <v>0</v>
      </c>
      <c r="AF83" s="179">
        <f>AF84+AF85+AF86</f>
        <v>0</v>
      </c>
      <c r="AG83" s="179">
        <f>AG84+AG85+AG86</f>
        <v>0</v>
      </c>
      <c r="AH83" s="179">
        <f>AH84+AH85+AH86</f>
        <v>0</v>
      </c>
      <c r="AI83" s="179">
        <f>AI84+AI85+AI86</f>
        <v>0</v>
      </c>
      <c r="AJ83" s="179">
        <f>AJ84+AJ85+AJ86</f>
        <v>0</v>
      </c>
      <c r="AK83" s="179">
        <f>AK84+AK85+AK86</f>
        <v>0</v>
      </c>
      <c r="AL83" s="179">
        <f>AL84+AL85+AL86</f>
        <v>0</v>
      </c>
      <c r="AM83" s="179">
        <f>AM84+AM85+AM86</f>
        <v>0</v>
      </c>
      <c r="AN83" s="179">
        <f>AN84+AN85+AN86</f>
        <v>0</v>
      </c>
      <c r="AO83" s="179">
        <f>AO84+AO85+AO86</f>
        <v>0</v>
      </c>
      <c r="AP83" s="179">
        <f>AP84+AP85+AP86</f>
        <v>0</v>
      </c>
      <c r="AQ83" s="179">
        <f>AQ84+AQ85+AQ86</f>
        <v>0</v>
      </c>
      <c r="AR83" s="179">
        <f>AR84+AR85+AR86</f>
        <v>0</v>
      </c>
      <c r="AS83" s="179">
        <f>AS84+AS85+AS86</f>
        <v>0</v>
      </c>
      <c r="AT83" s="179">
        <f>AT84+AT85+AT86</f>
        <v>0</v>
      </c>
      <c r="AU83" s="179">
        <f>AU84+AU85+AU86</f>
        <v>0</v>
      </c>
      <c r="AV83" s="179">
        <f>AV84+AV85+AV86</f>
        <v>0</v>
      </c>
      <c r="AW83" s="179">
        <f>AW84+AW85+AW86</f>
        <v>0</v>
      </c>
      <c r="AX83" s="179">
        <f>AX84+AX85+AX86</f>
        <v>0</v>
      </c>
      <c r="AY83" s="179">
        <f>AY84+AY85+AY86</f>
        <v>0</v>
      </c>
      <c r="AZ83" s="179">
        <f>AZ84+AZ85+AZ86</f>
        <v>0</v>
      </c>
      <c r="BA83" s="179">
        <f>BA84+BA85+BA86</f>
        <v>0</v>
      </c>
      <c r="BB83" s="179">
        <f>BB84+BB85+BB86</f>
        <v>0</v>
      </c>
      <c r="BC83" s="179">
        <f>BC84+BC85+BC86</f>
        <v>0</v>
      </c>
      <c r="BD83" s="179">
        <f>BD84+BD85+BD86</f>
        <v>0</v>
      </c>
      <c r="BE83" s="750"/>
      <c r="BF83" s="674"/>
      <c r="BG83" s="674"/>
      <c r="BH83" s="1028" t="s">
        <v>1248</v>
      </c>
    </row>
    <row s="1624" customFormat="1" customHeight="1" ht="14.25">
      <c r="A84" s="1363"/>
      <c r="B84" s="88"/>
      <c r="C84" s="1363"/>
      <c r="D84" s="1363"/>
      <c r="E84" s="593">
        <v>15</v>
      </c>
      <c r="F84" s="50" cm="1" t="str">
        <f t="array" ref="F84:F84">OFFSET(E84,-1,1)</f>
        <v>1</v>
      </c>
      <c r="G84" s="1363"/>
      <c r="H84" s="88" t="s">
        <v>452</v>
      </c>
      <c r="I84" s="1363"/>
      <c r="J84" s="1363"/>
      <c r="K84" s="90" t="str">
        <f>F84&amp;"2komm"</f>
        <v>12komm</v>
      </c>
      <c r="L84" s="90" cm="1" t="str">
        <f t="array" ref="L84:L84">BE84</f>
        <v>0</v>
      </c>
      <c r="M84" s="1363"/>
      <c r="N84" s="1363"/>
      <c r="O84" s="1363"/>
      <c r="P84" s="1363"/>
      <c r="Q84" s="1363"/>
      <c r="R84" s="1363"/>
      <c r="S84" s="1363"/>
      <c r="T84" s="438" cm="1" t="str">
        <f t="array" ref="T84:T84">T83</f>
        <v>true</v>
      </c>
      <c r="U84" s="1363"/>
      <c r="V84" s="1363"/>
      <c r="W84" s="1363"/>
      <c r="X84" s="1511"/>
      <c r="Y84" s="1363"/>
      <c r="Z84" s="1494"/>
      <c r="AA84" s="1363"/>
      <c r="AB84" s="265" t="s">
        <v>509</v>
      </c>
      <c r="AC84" s="738" t="s">
        <v>1249</v>
      </c>
      <c r="AD84" s="266" t="s">
        <v>789</v>
      </c>
      <c r="AE84" s="748"/>
      <c r="AF84" s="748"/>
      <c r="AG84" s="748"/>
      <c r="AH84" s="748"/>
      <c r="AI84" s="748"/>
      <c r="AJ84" s="748"/>
      <c r="AK84" s="748"/>
      <c r="AL84" s="748"/>
      <c r="AM84" s="748"/>
      <c r="AN84" s="748"/>
      <c r="AO84" s="748"/>
      <c r="AP84" s="748"/>
      <c r="AQ84" s="748"/>
      <c r="AR84" s="748"/>
      <c r="AS84" s="748"/>
      <c r="AT84" s="748"/>
      <c r="AU84" s="748"/>
      <c r="AV84" s="748"/>
      <c r="AW84" s="748"/>
      <c r="AX84" s="748"/>
      <c r="AY84" s="748"/>
      <c r="AZ84" s="748"/>
      <c r="BA84" s="748"/>
      <c r="BB84" s="748"/>
      <c r="BC84" s="748"/>
      <c r="BD84" s="748"/>
      <c r="BE84" s="750"/>
      <c r="BF84" s="1363"/>
      <c r="BG84" s="1363"/>
      <c r="BH84" s="974" t="s">
        <v>1250</v>
      </c>
    </row>
    <row s="1624" customFormat="1" customHeight="1" ht="14.25">
      <c r="A85" s="1363"/>
      <c r="B85" s="88"/>
      <c r="C85" s="1363"/>
      <c r="D85" s="1363"/>
      <c r="E85" s="593">
        <v>15</v>
      </c>
      <c r="F85" s="50" cm="1" t="str">
        <f t="array" ref="F85:F85">OFFSET(E85,-1,1)</f>
        <v>1</v>
      </c>
      <c r="G85" s="1363"/>
      <c r="H85" s="88" t="s">
        <v>455</v>
      </c>
      <c r="I85" s="1363"/>
      <c r="J85" s="1363"/>
      <c r="K85" s="90" t="str">
        <f>F85&amp;"3komm"</f>
        <v>13komm</v>
      </c>
      <c r="L85" s="90" cm="1" t="str">
        <f t="array" ref="L85:L85">BE85</f>
        <v>0</v>
      </c>
      <c r="M85" s="1363"/>
      <c r="N85" s="1363"/>
      <c r="O85" s="1363"/>
      <c r="P85" s="1363"/>
      <c r="Q85" s="1363"/>
      <c r="R85" s="1363"/>
      <c r="S85" s="1363"/>
      <c r="T85" s="438" cm="1" t="str">
        <f t="array" ref="T85:T85">T84</f>
        <v>true</v>
      </c>
      <c r="U85" s="1363"/>
      <c r="V85" s="1363"/>
      <c r="W85" s="1363"/>
      <c r="X85" s="1511"/>
      <c r="Y85" s="1363"/>
      <c r="Z85" s="1494"/>
      <c r="AA85" s="1363"/>
      <c r="AB85" s="265" t="s">
        <v>513</v>
      </c>
      <c r="AC85" s="738" t="s">
        <v>1251</v>
      </c>
      <c r="AD85" s="266" t="s">
        <v>789</v>
      </c>
      <c r="AE85" s="748"/>
      <c r="AF85" s="748"/>
      <c r="AG85" s="748"/>
      <c r="AH85" s="748"/>
      <c r="AI85" s="748"/>
      <c r="AJ85" s="748"/>
      <c r="AK85" s="748"/>
      <c r="AL85" s="748"/>
      <c r="AM85" s="748"/>
      <c r="AN85" s="748"/>
      <c r="AO85" s="748"/>
      <c r="AP85" s="748"/>
      <c r="AQ85" s="748"/>
      <c r="AR85" s="748"/>
      <c r="AS85" s="748"/>
      <c r="AT85" s="748"/>
      <c r="AU85" s="748"/>
      <c r="AV85" s="748"/>
      <c r="AW85" s="748"/>
      <c r="AX85" s="748"/>
      <c r="AY85" s="748"/>
      <c r="AZ85" s="748"/>
      <c r="BA85" s="748"/>
      <c r="BB85" s="748"/>
      <c r="BC85" s="748"/>
      <c r="BD85" s="748"/>
      <c r="BE85" s="750"/>
      <c r="BF85" s="1363"/>
      <c r="BG85" s="1363"/>
      <c r="BH85" s="974" t="s">
        <v>1252</v>
      </c>
    </row>
    <row s="1624" customFormat="1" customHeight="1" ht="14.25">
      <c r="A86" s="1363"/>
      <c r="B86" s="88"/>
      <c r="C86" s="1363"/>
      <c r="D86" s="1363"/>
      <c r="E86" s="593">
        <v>15</v>
      </c>
      <c r="F86" s="50" cm="1" t="str">
        <f t="array" ref="F86:F86">OFFSET(E86,-1,1)</f>
        <v>1</v>
      </c>
      <c r="G86" s="1363"/>
      <c r="H86" s="88" t="s">
        <v>864</v>
      </c>
      <c r="I86" s="1363"/>
      <c r="J86" s="1363"/>
      <c r="K86" s="1363"/>
      <c r="L86" s="1363"/>
      <c r="M86" s="1363"/>
      <c r="N86" s="1363"/>
      <c r="O86" s="1363"/>
      <c r="P86" s="1363"/>
      <c r="Q86" s="1363"/>
      <c r="R86" s="1363"/>
      <c r="S86" s="1363"/>
      <c r="T86" s="438" cm="1" t="str">
        <f t="array" ref="T86:T86">T85</f>
        <v>true</v>
      </c>
      <c r="U86" s="1363"/>
      <c r="V86" s="1363"/>
      <c r="W86" s="1363"/>
      <c r="X86" s="1511"/>
      <c r="Y86" s="1363"/>
      <c r="Z86" s="1494"/>
      <c r="AA86" s="1363"/>
      <c r="AB86" s="265" t="s">
        <v>517</v>
      </c>
      <c r="AC86" s="738" t="s">
        <v>1253</v>
      </c>
      <c r="AD86" s="266" t="s">
        <v>789</v>
      </c>
      <c r="AE86" s="748"/>
      <c r="AF86" s="748"/>
      <c r="AG86" s="748"/>
      <c r="AH86" s="748"/>
      <c r="AI86" s="748"/>
      <c r="AJ86" s="748"/>
      <c r="AK86" s="748"/>
      <c r="AL86" s="748"/>
      <c r="AM86" s="748"/>
      <c r="AN86" s="748"/>
      <c r="AO86" s="748"/>
      <c r="AP86" s="748"/>
      <c r="AQ86" s="748"/>
      <c r="AR86" s="748"/>
      <c r="AS86" s="748"/>
      <c r="AT86" s="748"/>
      <c r="AU86" s="748"/>
      <c r="AV86" s="748"/>
      <c r="AW86" s="748"/>
      <c r="AX86" s="748"/>
      <c r="AY86" s="748"/>
      <c r="AZ86" s="748"/>
      <c r="BA86" s="748"/>
      <c r="BB86" s="748"/>
      <c r="BC86" s="748"/>
      <c r="BD86" s="748"/>
      <c r="BE86" s="750"/>
      <c r="BF86" s="1363"/>
      <c r="BG86" s="1363"/>
      <c r="BH86" s="974" t="s">
        <v>1254</v>
      </c>
    </row>
    <row s="1624" customFormat="1" customHeight="1" ht="25.350000000000005">
      <c r="A87" s="472"/>
      <c r="B87" s="634"/>
      <c r="C87" s="472"/>
      <c r="D87" s="472"/>
      <c r="E87" s="635">
        <v>26</v>
      </c>
      <c r="F87" s="472"/>
      <c r="G87" s="472"/>
      <c r="H87" s="472"/>
      <c r="I87" s="472"/>
      <c r="J87" s="472"/>
      <c r="K87" s="472"/>
      <c r="L87" s="472"/>
      <c r="M87" s="472"/>
      <c r="N87" s="472"/>
      <c r="O87" s="472"/>
      <c r="P87" s="472"/>
      <c r="Q87" s="315"/>
      <c r="R87" s="472"/>
      <c r="S87" s="472"/>
      <c r="T87" s="472"/>
      <c r="U87" s="455" t="s">
        <v>176</v>
      </c>
      <c r="V87" s="106" t="s">
        <v>1255</v>
      </c>
      <c r="W87" s="472"/>
      <c r="X87" s="472"/>
      <c r="Y87" s="472"/>
      <c r="Z87" s="472"/>
      <c r="AA87" s="88"/>
      <c r="AB87" s="88"/>
      <c r="AC87" s="64" t="s">
        <v>1256</v>
      </c>
      <c r="AD87" s="88"/>
      <c r="AE87" s="88"/>
      <c r="AF87" s="88"/>
      <c r="AG87" s="88"/>
      <c r="AH87" s="88"/>
      <c r="AI87" s="88"/>
      <c r="AJ87" s="88"/>
      <c r="AK87" s="88"/>
      <c r="AL87" s="88"/>
      <c r="AM87" s="88"/>
      <c r="AN87" s="88"/>
      <c r="AO87" s="88"/>
      <c r="AP87" s="88"/>
      <c r="AQ87" s="88"/>
      <c r="AR87" s="88"/>
      <c r="AS87" s="88"/>
      <c r="AT87" s="88"/>
      <c r="AU87" s="88"/>
      <c r="AV87" s="88"/>
      <c r="AW87" s="88"/>
      <c r="AX87" s="88"/>
      <c r="AY87" s="88"/>
      <c r="AZ87" s="88"/>
      <c r="BA87" s="88"/>
      <c r="BB87" s="88"/>
      <c r="BC87" s="88"/>
      <c r="BD87" s="88"/>
      <c r="BE87" s="88"/>
      <c r="BF87" s="88"/>
      <c r="BH87" s="981"/>
    </row>
    <row customHeight="1" ht="14.625">
      <c r="E88" s="593">
        <v>15</v>
      </c>
      <c r="AB88" s="1522" t="s">
        <v>392</v>
      </c>
      <c r="AC88" s="1572"/>
      <c r="AD88" s="1572"/>
      <c r="AE88" s="1572"/>
      <c r="AF88" s="1572"/>
      <c r="AG88" s="1572"/>
      <c r="AH88" s="1572"/>
      <c r="AI88" s="1572"/>
      <c r="AJ88" s="1572"/>
      <c r="AK88" s="1572"/>
      <c r="AL88" s="1572"/>
      <c r="AM88" s="1572"/>
      <c r="AN88" s="1572"/>
      <c r="AO88" s="1572"/>
      <c r="AP88" s="1572"/>
      <c r="AQ88" s="1572"/>
      <c r="AR88" s="1572"/>
      <c r="AS88" s="1572"/>
      <c r="AT88" s="1572"/>
      <c r="AU88" s="1572"/>
      <c r="AV88" s="1572"/>
      <c r="AW88" s="1572"/>
      <c r="AX88" s="1572"/>
      <c r="AY88" s="1572"/>
      <c r="AZ88" s="1572"/>
      <c r="BA88" s="1572"/>
      <c r="BB88" s="1572"/>
      <c r="BC88" s="1572"/>
      <c r="BD88" s="1572"/>
      <c r="BE88" s="1572"/>
    </row>
    <row customHeight="1" ht="14.625">
      <c r="E89" s="593">
        <v>15</v>
      </c>
      <c r="AA89" s="139"/>
      <c r="AB89" s="1573"/>
      <c r="AC89" s="1573"/>
      <c r="AD89" s="1573"/>
      <c r="AE89" s="1573"/>
      <c r="AF89" s="1573"/>
      <c r="AG89" s="1573"/>
      <c r="AH89" s="1573"/>
      <c r="AI89" s="1573"/>
      <c r="AJ89" s="1573"/>
      <c r="AK89" s="1573"/>
      <c r="AL89" s="2818"/>
      <c r="AM89" s="2818"/>
      <c r="AN89" s="2818"/>
      <c r="AO89" s="2818"/>
      <c r="AP89" s="2818"/>
      <c r="AQ89" s="2818"/>
      <c r="AR89" s="2818"/>
      <c r="AS89" s="2818"/>
      <c r="AT89" s="2818"/>
      <c r="AU89" s="1573"/>
      <c r="AV89" s="2818"/>
      <c r="AW89" s="2818"/>
      <c r="AX89" s="2818"/>
      <c r="AY89" s="2818"/>
      <c r="AZ89" s="2818"/>
      <c r="BA89" s="2818"/>
      <c r="BB89" s="2818"/>
      <c r="BC89" s="2818"/>
      <c r="BD89" s="2818"/>
      <c r="BE89" s="1573"/>
    </row>
    <row customHeight="1" ht="14.625" hidden="1">
      <c r="A90" s="1363"/>
      <c r="B90" s="1369"/>
      <c r="C90" s="1363"/>
      <c r="D90" s="1363"/>
      <c r="E90" s="593">
        <v>15</v>
      </c>
      <c r="F90" s="1363"/>
      <c r="G90" s="1363"/>
      <c r="H90" s="1363"/>
      <c r="I90" s="1363"/>
      <c r="J90" s="1363"/>
      <c r="K90" s="1363"/>
      <c r="L90" s="1363"/>
      <c r="M90" s="1363"/>
      <c r="N90" s="1363"/>
      <c r="O90" s="1363"/>
      <c r="P90" s="1363"/>
      <c r="Q90" s="1363"/>
      <c r="R90" s="1363"/>
      <c r="S90" s="1363"/>
      <c r="T90" s="438">
        <f>ROW(W90)&gt;ROW(W$90)</f>
        <v>0</v>
      </c>
      <c r="U90" s="1363"/>
      <c r="V90" s="1363"/>
      <c r="W90" s="733" t="s">
        <v>172</v>
      </c>
      <c r="X90" s="1363"/>
      <c r="Y90" s="1363"/>
      <c r="Z90" s="1363"/>
      <c r="AA90" s="392" t="s">
        <v>173</v>
      </c>
      <c r="AB90" s="2818" t="s">
        <v>228</v>
      </c>
      <c r="AC90" s="2818"/>
      <c r="AD90" s="2818"/>
      <c r="AE90" s="2818"/>
      <c r="AF90" s="2818"/>
      <c r="AG90" s="2818"/>
      <c r="AH90" s="2818"/>
      <c r="AI90" s="2818"/>
      <c r="AJ90" s="2818"/>
      <c r="AK90" s="1573"/>
      <c r="AL90" s="2818"/>
      <c r="AM90" s="2818"/>
      <c r="AN90" s="2818"/>
      <c r="AO90" s="2818"/>
      <c r="AP90" s="2818"/>
      <c r="AQ90" s="2818"/>
      <c r="AR90" s="2818"/>
      <c r="AS90" s="2818"/>
      <c r="AT90" s="2818"/>
      <c r="AU90" s="1573"/>
      <c r="AV90" s="2818"/>
      <c r="AW90" s="2818"/>
      <c r="AX90" s="2818"/>
      <c r="AY90" s="2818"/>
      <c r="AZ90" s="2818"/>
      <c r="BA90" s="2818"/>
      <c r="BB90" s="2818"/>
      <c r="BC90" s="2818"/>
      <c r="BD90" s="2818"/>
      <c r="BE90" s="2818"/>
      <c r="BF90" s="1363"/>
      <c r="BG90" s="1363"/>
      <c r="BH90" s="1374"/>
    </row>
    <row customHeight="1" ht="14.625">
      <c r="E91" s="593">
        <v>15</v>
      </c>
      <c r="W91" s="733" t="s">
        <v>396</v>
      </c>
      <c r="AB91" s="623"/>
      <c r="AC91" s="487" t="s">
        <v>397</v>
      </c>
      <c r="AD91" s="276"/>
      <c r="AE91" s="276"/>
      <c r="AF91" s="276"/>
      <c r="AG91" s="276"/>
      <c r="AH91" s="276"/>
      <c r="AI91" s="276"/>
      <c r="AJ91" s="276"/>
      <c r="AK91" s="276"/>
      <c r="AL91" s="276"/>
      <c r="AM91" s="276"/>
      <c r="AN91" s="276"/>
      <c r="AO91" s="276"/>
      <c r="AP91" s="276"/>
      <c r="AQ91" s="276"/>
      <c r="AR91" s="276"/>
      <c r="AS91" s="276"/>
      <c r="AT91" s="276"/>
      <c r="AU91" s="276"/>
      <c r="AV91" s="276"/>
      <c r="AW91" s="276"/>
      <c r="AX91" s="276"/>
      <c r="AY91" s="276"/>
      <c r="AZ91" s="276"/>
      <c r="BA91" s="276"/>
      <c r="BB91" s="276"/>
      <c r="BC91" s="276"/>
      <c r="BD91" s="276"/>
      <c r="BE91" s="241"/>
    </row>
    <row customHeight="1" ht="10.725000000000001">
      <c r="E92" s="593">
        <v>11</v>
      </c>
      <c r="AK92" s="1363"/>
      <c r="AL92" s="1363"/>
      <c r="AM92" s="1363"/>
      <c r="AN92" s="1363"/>
      <c r="AO92" s="1363"/>
      <c r="AP92" s="1363"/>
      <c r="AQ92" s="1363"/>
      <c r="AR92" s="1363"/>
      <c r="AS92" s="1363"/>
      <c r="AT92" s="1363"/>
      <c r="AU92" s="1363"/>
      <c r="AV92" s="1363"/>
      <c r="AW92" s="1363"/>
      <c r="AX92" s="1363"/>
      <c r="AY92" s="1363"/>
      <c r="AZ92" s="1363"/>
      <c r="BA92" s="1363"/>
      <c r="BB92" s="1363"/>
      <c r="BC92" s="1363"/>
      <c r="BD92" s="1363"/>
      <c r="BF92" s="398"/>
    </row>
  </sheetData>
  <sheetProtection formatColumns="0" formatRows="0" insertRows="0" deleteColumns="0" deleteRows="0" sort="0" autoFilter="0" insertColumns="1"/>
  <mergeCells count="12">
    <mergeCell ref="AB89:BE89"/>
    <mergeCell ref="AB26:AB27"/>
    <mergeCell ref="AC26:AC27"/>
    <mergeCell ref="AD26:AD27"/>
    <mergeCell ref="AB90:BE90"/>
    <mergeCell ref="X29:X57"/>
    <mergeCell ref="Z29:Z57"/>
    <mergeCell ref="AB24:AC24"/>
    <mergeCell ref="BE26:BE27"/>
    <mergeCell ref="AB88:BE88"/>
    <mergeCell ref="X58:X86"/>
    <mergeCell ref="Z58:Z86"/>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35" right="0.35" top="0.40" bottom="0.40" header="0.31" footer="0.31"/>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E22756-9318-4E88-EAA1-F36321501248}" mc:Ignorable="x14ac xr xr2 xr3">
  <sheetPr>
    <tabColor rgb="FF002060"/>
    <outlinePr summaryRight="0" summaryBelow="0"/>
  </sheetPr>
  <dimension ref="A1:BB48"/>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363" width="3.57421875" hidden="1" customWidth="1"/>
    <col min="2" max="2" style="1369" width="8.57421875" hidden="1" customWidth="1"/>
    <col min="3" max="4" style="1363" width="3.57421875" hidden="1" customWidth="1"/>
    <col min="5" max="5" style="1370" width="3.57421875" hidden="1" customWidth="1"/>
    <col min="6" max="19" style="1363" width="3.57421875" hidden="1" customWidth="1"/>
    <col min="20" max="20" style="1363" width="8.421875" hidden="1" customWidth="1"/>
    <col min="21" max="21" style="1363" width="5.8515625" hidden="1" customWidth="1"/>
    <col min="22" max="23" style="1363" width="6.140625" hidden="1" customWidth="1"/>
    <col min="24" max="25" style="1363" width="5.57421875" hidden="1" customWidth="1"/>
    <col min="26" max="26" style="1363" width="5.28125" hidden="1" customWidth="1"/>
    <col min="27" max="27" style="1363" width="3.00390625" customWidth="1"/>
    <col min="28" max="28" style="1363" width="11.00390625" customWidth="1"/>
    <col min="29" max="29" style="1363" width="50.00390625" customWidth="1"/>
    <col min="30" max="30" style="1363" width="10.00390625" customWidth="1"/>
    <col min="31" max="31" style="1363" width="12.57421875" customWidth="1"/>
    <col min="32" max="40" style="1363" width="12.57421875" hidden="1" customWidth="1"/>
    <col min="41" max="41" style="1363" width="12.57421875" customWidth="1"/>
    <col min="42" max="50" style="1363" width="12.57421875" hidden="1" customWidth="1"/>
    <col min="51" max="51" style="1363" width="20.00390625" customWidth="1"/>
    <col min="52" max="52" style="1363" width="3.00390625" customWidth="1"/>
    <col min="53" max="53" style="1363" width="9.140625" hidden="1"/>
    <col min="54" max="54" style="1374" width="9.140625" hidden="1"/>
  </cols>
  <sheetData>
    <row customHeight="1" ht="11.25" hidden="1">
      <c r="E1" s="88"/>
      <c r="F1" s="88" t="s">
        <v>309</v>
      </c>
      <c r="G1" s="88" t="s">
        <v>320</v>
      </c>
      <c r="T1" s="438" t="s">
        <v>92</v>
      </c>
      <c r="U1" s="438" t="s">
        <v>97</v>
      </c>
      <c r="V1" s="438" t="s">
        <v>93</v>
      </c>
      <c r="W1" s="438" t="s">
        <v>94</v>
      </c>
      <c r="X1" s="438" t="s">
        <v>95</v>
      </c>
      <c r="Y1" s="440" t="s">
        <v>311</v>
      </c>
      <c r="Z1" s="438" t="s">
        <v>99</v>
      </c>
      <c r="AA1" s="439" t="s">
        <v>96</v>
      </c>
      <c r="AB1" s="51"/>
      <c r="AC1" s="439" t="s">
        <v>98</v>
      </c>
      <c r="AE1" s="1363"/>
      <c r="AF1" s="1363"/>
      <c r="AG1" s="1363"/>
      <c r="AH1" s="1363"/>
      <c r="AI1" s="1363"/>
      <c r="AJ1" s="1363"/>
      <c r="AK1" s="1363"/>
      <c r="AL1" s="1363"/>
      <c r="AM1" s="1363"/>
      <c r="AN1" s="1363"/>
      <c r="AO1" s="1363"/>
      <c r="AP1" s="1363"/>
      <c r="AQ1" s="1363"/>
      <c r="AR1" s="1363"/>
      <c r="AS1" s="1363"/>
      <c r="AT1" s="1363"/>
      <c r="AU1" s="1363"/>
      <c r="AV1" s="1363"/>
      <c r="AW1" s="1363"/>
      <c r="AX1" s="1363"/>
      <c r="BB1" s="974" t="s">
        <v>312</v>
      </c>
    </row>
    <row s="1369" customFormat="1" customHeight="1" ht="11.25" hidden="1">
      <c r="B2" s="418" t="s">
        <v>18</v>
      </c>
      <c r="AE2" s="418">
        <f>AE6&lt;=last_year_vis</f>
        <v>1</v>
      </c>
      <c r="AF2" s="418">
        <f>AF6&lt;=last_year_vis</f>
        <v>0</v>
      </c>
      <c r="AG2" s="418">
        <f>AG6&lt;=last_year_vis</f>
        <v>0</v>
      </c>
      <c r="AH2" s="418">
        <f>AH6&lt;=last_year_vis</f>
        <v>0</v>
      </c>
      <c r="AI2" s="418">
        <f>AI6&lt;=last_year_vis</f>
        <v>0</v>
      </c>
      <c r="AJ2" s="418">
        <f>AJ6&lt;=last_year_vis</f>
        <v>0</v>
      </c>
      <c r="AK2" s="418">
        <f>AK6&lt;=last_year_vis</f>
        <v>0</v>
      </c>
      <c r="AL2" s="418">
        <f>AL6&lt;=last_year_vis</f>
        <v>0</v>
      </c>
      <c r="AM2" s="418">
        <f>AM6&lt;=last_year_vis</f>
        <v>0</v>
      </c>
      <c r="AN2" s="418">
        <f>AN6&lt;=last_year_vis</f>
        <v>0</v>
      </c>
      <c r="AO2" s="418">
        <f>AO6&lt;=last_year_vis</f>
        <v>1</v>
      </c>
      <c r="AP2" s="418">
        <f>AP6&lt;=last_year_vis</f>
        <v>0</v>
      </c>
      <c r="AQ2" s="418">
        <f>AQ6&lt;=last_year_vis</f>
        <v>0</v>
      </c>
      <c r="AR2" s="418">
        <f>AR6&lt;=last_year_vis</f>
        <v>0</v>
      </c>
      <c r="AS2" s="418">
        <f>AS6&lt;=last_year_vis</f>
        <v>0</v>
      </c>
      <c r="AT2" s="418">
        <f>AT6&lt;=last_year_vis</f>
        <v>0</v>
      </c>
      <c r="AU2" s="418">
        <f>AU6&lt;=last_year_vis</f>
        <v>0</v>
      </c>
      <c r="AV2" s="418">
        <f>AV6&lt;=last_year_vis</f>
        <v>0</v>
      </c>
      <c r="AW2" s="418">
        <f>AW6&lt;=last_year_vis</f>
        <v>0</v>
      </c>
      <c r="AX2" s="418">
        <f>AX6&lt;=last_year_vis</f>
        <v>0</v>
      </c>
      <c r="BB2" s="986"/>
    </row>
    <row customHeight="1" ht="11.25" hidden="1">
      <c r="E3" s="88"/>
      <c r="AE3" s="1363"/>
      <c r="AF3" s="1363"/>
      <c r="AG3" s="1363"/>
      <c r="AH3" s="1363"/>
      <c r="AI3" s="1363"/>
      <c r="AJ3" s="1363"/>
      <c r="AK3" s="1363"/>
      <c r="AL3" s="1363"/>
      <c r="AM3" s="1363"/>
      <c r="AN3" s="1363"/>
      <c r="AO3" s="1363"/>
      <c r="AP3" s="1363"/>
      <c r="AQ3" s="1363"/>
      <c r="AR3" s="1363"/>
      <c r="AS3" s="1363"/>
      <c r="AT3" s="1363"/>
      <c r="AU3" s="1363"/>
      <c r="AV3" s="1363"/>
      <c r="AW3" s="1363"/>
      <c r="AX3" s="1363"/>
    </row>
    <row customHeight="1" ht="11.25" hidden="1">
      <c r="E4" s="88"/>
      <c r="AE4" s="1363"/>
      <c r="AF4" s="1363"/>
      <c r="AG4" s="1363"/>
      <c r="AH4" s="1363"/>
      <c r="AI4" s="1363"/>
      <c r="AJ4" s="1363"/>
      <c r="AK4" s="1363"/>
      <c r="AL4" s="1363"/>
      <c r="AM4" s="1363"/>
      <c r="AN4" s="1363"/>
      <c r="AO4" s="1363"/>
      <c r="AP4" s="1363"/>
      <c r="AQ4" s="1363"/>
      <c r="AR4" s="1363"/>
      <c r="AS4" s="1363"/>
      <c r="AT4" s="1363"/>
      <c r="AU4" s="1363"/>
      <c r="AV4" s="1363"/>
      <c r="AW4" s="1363"/>
      <c r="AX4" s="1363"/>
    </row>
    <row s="1370" customFormat="1" customHeight="1" ht="11.25" hidden="1">
      <c r="A5" s="88"/>
      <c r="B5" s="400"/>
      <c r="C5" s="88"/>
      <c r="D5" s="88"/>
      <c r="E5" s="593" t="s">
        <v>19</v>
      </c>
      <c r="AA5" s="593">
        <v>3</v>
      </c>
      <c r="AB5" s="593">
        <v>11</v>
      </c>
      <c r="AC5" s="593">
        <v>50</v>
      </c>
      <c r="AD5" s="593">
        <v>10</v>
      </c>
      <c r="AE5" s="593">
        <v>12.57</v>
      </c>
      <c r="AF5" s="593">
        <v>12.57</v>
      </c>
      <c r="AG5" s="593">
        <v>12.57</v>
      </c>
      <c r="AH5" s="593">
        <v>12.57</v>
      </c>
      <c r="AI5" s="593">
        <v>12.57</v>
      </c>
      <c r="AJ5" s="593">
        <v>12.57</v>
      </c>
      <c r="AK5" s="593">
        <v>12.57</v>
      </c>
      <c r="AL5" s="593">
        <v>12.57</v>
      </c>
      <c r="AM5" s="593">
        <v>12.57</v>
      </c>
      <c r="AN5" s="593">
        <v>12.57</v>
      </c>
      <c r="AO5" s="593">
        <v>12.57</v>
      </c>
      <c r="AP5" s="593">
        <v>12.57</v>
      </c>
      <c r="AQ5" s="593">
        <v>12.57</v>
      </c>
      <c r="AR5" s="593">
        <v>12.57</v>
      </c>
      <c r="AS5" s="593">
        <v>12.57</v>
      </c>
      <c r="AT5" s="593">
        <v>12.57</v>
      </c>
      <c r="AU5" s="593">
        <v>12.57</v>
      </c>
      <c r="AV5" s="593">
        <v>12.57</v>
      </c>
      <c r="AW5" s="593">
        <v>12.57</v>
      </c>
      <c r="AX5" s="593">
        <v>12.57</v>
      </c>
      <c r="AY5" s="593">
        <v>20</v>
      </c>
      <c r="AZ5" s="593">
        <v>3</v>
      </c>
      <c r="BB5" s="974"/>
    </row>
    <row customHeight="1" ht="11.25" hidden="1">
      <c r="A6" s="88" t="s">
        <v>349</v>
      </c>
      <c r="AE6" s="64" cm="1" t="str">
        <f t="array" ref="AE6:AE6">god</f>
        <v>2026</v>
      </c>
      <c r="AF6" s="64">
        <f>god+1</f>
        <v>2027</v>
      </c>
      <c r="AG6" s="64">
        <f>god+2</f>
        <v>2028</v>
      </c>
      <c r="AH6" s="64">
        <f>god+3</f>
        <v>2029</v>
      </c>
      <c r="AI6" s="64">
        <f>god+4</f>
        <v>2030</v>
      </c>
      <c r="AJ6" s="64">
        <f>god+5</f>
        <v>2031</v>
      </c>
      <c r="AK6" s="64">
        <f>god+6</f>
        <v>2032</v>
      </c>
      <c r="AL6" s="64">
        <f>god+7</f>
        <v>2033</v>
      </c>
      <c r="AM6" s="64">
        <f>god+8</f>
        <v>2034</v>
      </c>
      <c r="AN6" s="64">
        <f>god+9</f>
        <v>2035</v>
      </c>
      <c r="AO6" s="64" cm="1" t="str">
        <f t="array" ref="AO6:AO6">god</f>
        <v>2026</v>
      </c>
      <c r="AP6" s="64">
        <f>god+1</f>
        <v>2027</v>
      </c>
      <c r="AQ6" s="64">
        <f>god+2</f>
        <v>2028</v>
      </c>
      <c r="AR6" s="64">
        <f>god+3</f>
        <v>2029</v>
      </c>
      <c r="AS6" s="64">
        <f>god+4</f>
        <v>2030</v>
      </c>
      <c r="AT6" s="64">
        <f>god+5</f>
        <v>2031</v>
      </c>
      <c r="AU6" s="64">
        <f>god+6</f>
        <v>2032</v>
      </c>
      <c r="AV6" s="64">
        <f>god+7</f>
        <v>2033</v>
      </c>
      <c r="AW6" s="64">
        <f>god+8</f>
        <v>2034</v>
      </c>
      <c r="AX6" s="64">
        <f>god+9</f>
        <v>2035</v>
      </c>
    </row>
    <row customHeight="1" ht="11.25" hidden="1">
      <c r="A7" s="88" t="s">
        <v>350</v>
      </c>
      <c r="AE7" s="64" cm="1" t="str">
        <f t="array" ref="AE7:AE7">AE25</f>
        <v>Предложения организации</v>
      </c>
      <c r="AF7" s="64" cm="1" t="str">
        <f t="array" ref="AF7:AF7">AF25</f>
        <v>Предложения организации</v>
      </c>
      <c r="AG7" s="64" cm="1" t="str">
        <f t="array" ref="AG7:AG7">AG25</f>
        <v>Предложения организации</v>
      </c>
      <c r="AH7" s="64" cm="1" t="str">
        <f t="array" ref="AH7:AH7">AH25</f>
        <v>Предложения организации</v>
      </c>
      <c r="AI7" s="64" cm="1" t="str">
        <f t="array" ref="AI7:AI7">AI25</f>
        <v>Предложения организации</v>
      </c>
      <c r="AJ7" s="64" cm="1" t="str">
        <f t="array" ref="AJ7:AJ7">AJ25</f>
        <v>Предложения организации</v>
      </c>
      <c r="AK7" s="64" cm="1" t="str">
        <f t="array" ref="AK7:AK7">AK25</f>
        <v>Предложения организации</v>
      </c>
      <c r="AL7" s="64" cm="1" t="str">
        <f t="array" ref="AL7:AL7">AL25</f>
        <v>Предложения организации</v>
      </c>
      <c r="AM7" s="64" cm="1" t="str">
        <f t="array" ref="AM7:AM7">AM25</f>
        <v>Предложения организации</v>
      </c>
      <c r="AN7" s="64" cm="1" t="str">
        <f t="array" ref="AN7:AN7">AN25</f>
        <v>Предложения организации</v>
      </c>
      <c r="AO7" s="64" cm="1" t="str">
        <f t="array" ref="AO7:AO7">AO25</f>
        <v>Принято органом регулирования</v>
      </c>
      <c r="AP7" s="64" cm="1" t="str">
        <f t="array" ref="AP7:AP7">AP25</f>
        <v>Принято органом регулирования</v>
      </c>
      <c r="AQ7" s="64" cm="1" t="str">
        <f t="array" ref="AQ7:AQ7">AQ25</f>
        <v>Принято органом регулирования</v>
      </c>
      <c r="AR7" s="64" cm="1" t="str">
        <f t="array" ref="AR7:AR7">AR25</f>
        <v>Принято органом регулирования</v>
      </c>
      <c r="AS7" s="64" cm="1" t="str">
        <f t="array" ref="AS7:AS7">AS25</f>
        <v>Принято органом регулирования</v>
      </c>
      <c r="AT7" s="64" cm="1" t="str">
        <f t="array" ref="AT7:AT7">AT25</f>
        <v>Принято органом регулирования</v>
      </c>
      <c r="AU7" s="64" cm="1" t="str">
        <f t="array" ref="AU7:AU7">AU25</f>
        <v>Принято органом регулирования</v>
      </c>
      <c r="AV7" s="64" cm="1" t="str">
        <f t="array" ref="AV7:AV7">AV25</f>
        <v>Принято органом регулирования</v>
      </c>
      <c r="AW7" s="64" cm="1" t="str">
        <f t="array" ref="AW7:AW7">AW25</f>
        <v>Принято органом регулирования</v>
      </c>
      <c r="AX7" s="64" cm="1" t="str">
        <f t="array" ref="AX7:AX7">AX25</f>
        <v>Принято органом регулирования</v>
      </c>
    </row>
    <row customHeight="1" ht="11.25" hidden="1">
      <c r="AE8" s="1363"/>
      <c r="AF8" s="1363"/>
      <c r="AG8" s="1363"/>
      <c r="AH8" s="1363"/>
      <c r="AI8" s="1363"/>
      <c r="AJ8" s="1363"/>
      <c r="AK8" s="1363"/>
      <c r="AL8" s="1363"/>
      <c r="AM8" s="1363"/>
      <c r="AN8" s="1363"/>
      <c r="AO8" s="1363"/>
      <c r="AP8" s="1363"/>
      <c r="AQ8" s="1363"/>
      <c r="AR8" s="1363"/>
      <c r="AS8" s="1363"/>
      <c r="AT8" s="1363"/>
      <c r="AU8" s="1363"/>
      <c r="AV8" s="1363"/>
      <c r="AW8" s="1363"/>
      <c r="AX8" s="1363"/>
    </row>
    <row s="1374" customFormat="1" customHeight="1" ht="11.25" hidden="1">
      <c r="A9" s="974" t="s">
        <v>354</v>
      </c>
      <c r="B9" s="986"/>
      <c r="AE9" s="974" cm="1" t="str">
        <f t="array" ref="AE9:AE9">AE6</f>
        <v>2026</v>
      </c>
      <c r="AF9" s="974" cm="1" t="str">
        <f t="array" ref="AF9:AF9">AF6</f>
        <v>2027</v>
      </c>
      <c r="AG9" s="974" cm="1" t="str">
        <f t="array" ref="AG9:AG9">AG6</f>
        <v>2028</v>
      </c>
      <c r="AH9" s="974" cm="1" t="str">
        <f t="array" ref="AH9:AH9">AH6</f>
        <v>2029</v>
      </c>
      <c r="AI9" s="974" cm="1" t="str">
        <f t="array" ref="AI9:AI9">AI6</f>
        <v>2030</v>
      </c>
      <c r="AJ9" s="974" cm="1" t="str">
        <f t="array" ref="AJ9:AJ9">AJ6</f>
        <v>2031</v>
      </c>
      <c r="AK9" s="974" cm="1" t="str">
        <f t="array" ref="AK9:AK9">AK6</f>
        <v>2032</v>
      </c>
      <c r="AL9" s="974" cm="1" t="str">
        <f t="array" ref="AL9:AL9">AL6</f>
        <v>2033</v>
      </c>
      <c r="AM9" s="974" cm="1" t="str">
        <f t="array" ref="AM9:AM9">AM6</f>
        <v>2034</v>
      </c>
      <c r="AN9" s="974" cm="1" t="str">
        <f t="array" ref="AN9:AN9">AN6</f>
        <v>2035</v>
      </c>
      <c r="AO9" s="974" cm="1" t="str">
        <f t="array" ref="AO9:AO9">AO6</f>
        <v>2026</v>
      </c>
      <c r="AP9" s="974" cm="1" t="str">
        <f t="array" ref="AP9:AP9">AP6</f>
        <v>2027</v>
      </c>
      <c r="AQ9" s="974" cm="1" t="str">
        <f t="array" ref="AQ9:AQ9">AQ6</f>
        <v>2028</v>
      </c>
      <c r="AR9" s="974" cm="1" t="str">
        <f t="array" ref="AR9:AR9">AR6</f>
        <v>2029</v>
      </c>
      <c r="AS9" s="974" cm="1" t="str">
        <f t="array" ref="AS9:AS9">AS6</f>
        <v>2030</v>
      </c>
      <c r="AT9" s="974" cm="1" t="str">
        <f t="array" ref="AT9:AT9">AT6</f>
        <v>2031</v>
      </c>
      <c r="AU9" s="974" cm="1" t="str">
        <f t="array" ref="AU9:AU9">AU6</f>
        <v>2032</v>
      </c>
      <c r="AV9" s="974" cm="1" t="str">
        <f t="array" ref="AV9:AV9">AV6</f>
        <v>2033</v>
      </c>
      <c r="AW9" s="974" cm="1" t="str">
        <f t="array" ref="AW9:AW9">AW6</f>
        <v>2034</v>
      </c>
      <c r="AX9" s="974" cm="1" t="str">
        <f t="array" ref="AX9:AX9">AX6</f>
        <v>2035</v>
      </c>
    </row>
    <row s="1374" customFormat="1" customHeight="1" ht="11.25" hidden="1">
      <c r="A10" s="974" t="s">
        <v>355</v>
      </c>
      <c r="B10" s="986"/>
      <c r="AE10" s="974" cm="1" t="str">
        <f t="array" ref="AE10:AE10">AE25</f>
        <v>Предложения организации</v>
      </c>
      <c r="AF10" s="974" cm="1" t="str">
        <f t="array" ref="AF10:AF10">AF25</f>
        <v>Предложения организации</v>
      </c>
      <c r="AG10" s="974" cm="1" t="str">
        <f t="array" ref="AG10:AG10">AG25</f>
        <v>Предложения организации</v>
      </c>
      <c r="AH10" s="974" cm="1" t="str">
        <f t="array" ref="AH10:AH10">AH25</f>
        <v>Предложения организации</v>
      </c>
      <c r="AI10" s="974" cm="1" t="str">
        <f t="array" ref="AI10:AI10">AI25</f>
        <v>Предложения организации</v>
      </c>
      <c r="AJ10" s="974" cm="1" t="str">
        <f t="array" ref="AJ10:AJ10">AJ25</f>
        <v>Предложения организации</v>
      </c>
      <c r="AK10" s="974" cm="1" t="str">
        <f t="array" ref="AK10:AK10">AK25</f>
        <v>Предложения организации</v>
      </c>
      <c r="AL10" s="974" cm="1" t="str">
        <f t="array" ref="AL10:AL10">AL25</f>
        <v>Предложения организации</v>
      </c>
      <c r="AM10" s="974" cm="1" t="str">
        <f t="array" ref="AM10:AM10">AM25</f>
        <v>Предложения организации</v>
      </c>
      <c r="AN10" s="974" cm="1" t="str">
        <f t="array" ref="AN10:AN10">AN25</f>
        <v>Предложения организации</v>
      </c>
      <c r="AO10" s="974" cm="1" t="str">
        <f t="array" ref="AO10:AO10">AO25</f>
        <v>Принято органом регулирования</v>
      </c>
      <c r="AP10" s="974" cm="1" t="str">
        <f t="array" ref="AP10:AP10">AP25</f>
        <v>Принято органом регулирования</v>
      </c>
      <c r="AQ10" s="974" cm="1" t="str">
        <f t="array" ref="AQ10:AQ10">AQ25</f>
        <v>Принято органом регулирования</v>
      </c>
      <c r="AR10" s="974" cm="1" t="str">
        <f t="array" ref="AR10:AR10">AR25</f>
        <v>Принято органом регулирования</v>
      </c>
      <c r="AS10" s="974" cm="1" t="str">
        <f t="array" ref="AS10:AS10">AS25</f>
        <v>Принято органом регулирования</v>
      </c>
      <c r="AT10" s="974" cm="1" t="str">
        <f t="array" ref="AT10:AT10">AT25</f>
        <v>Принято органом регулирования</v>
      </c>
      <c r="AU10" s="974" cm="1" t="str">
        <f t="array" ref="AU10:AU10">AU25</f>
        <v>Принято органом регулирования</v>
      </c>
      <c r="AV10" s="974" cm="1" t="str">
        <f t="array" ref="AV10:AV10">AV25</f>
        <v>Принято органом регулирования</v>
      </c>
      <c r="AW10" s="974" cm="1" t="str">
        <f t="array" ref="AW10:AW10">AW25</f>
        <v>Принято органом регулирования</v>
      </c>
      <c r="AX10" s="974" cm="1" t="str">
        <f t="array" ref="AX10:AX10">AX25</f>
        <v>Принято органом регулирования</v>
      </c>
    </row>
    <row s="1374" customFormat="1" customHeight="1" ht="11.25" hidden="1">
      <c r="A11" s="974" t="s">
        <v>356</v>
      </c>
      <c r="B11" s="986"/>
      <c r="AE11" s="1374"/>
      <c r="AF11" s="1374"/>
      <c r="AG11" s="1374"/>
      <c r="AH11" s="1374"/>
      <c r="AI11" s="1374"/>
      <c r="AJ11" s="1374"/>
      <c r="AK11" s="1374"/>
      <c r="AL11" s="1374"/>
      <c r="AM11" s="1374"/>
      <c r="AN11" s="1374"/>
      <c r="AO11" s="1374"/>
      <c r="AP11" s="1374"/>
      <c r="AQ11" s="1374"/>
      <c r="AR11" s="1374"/>
      <c r="AS11" s="1374"/>
      <c r="AT11" s="1374"/>
      <c r="AU11" s="1374"/>
      <c r="AV11" s="1374"/>
      <c r="AW11" s="1374"/>
      <c r="AX11" s="1374"/>
      <c r="AY11" s="974" cm="1" t="str">
        <f t="array" ref="AY11:AY11">AY24</f>
        <v>Ссылка на правовую норму (основание для принятия показателя в расчет тарифа)</v>
      </c>
    </row>
    <row customHeight="1" ht="11.25" hidden="1">
      <c r="AE12" s="1363"/>
      <c r="AF12" s="1363"/>
      <c r="AG12" s="1363"/>
      <c r="AH12" s="1363"/>
      <c r="AI12" s="1363"/>
      <c r="AJ12" s="1363"/>
      <c r="AK12" s="1363"/>
      <c r="AL12" s="1363"/>
      <c r="AM12" s="1363"/>
      <c r="AN12" s="1363"/>
      <c r="AO12" s="1363"/>
      <c r="AP12" s="1363"/>
      <c r="AQ12" s="1363"/>
      <c r="AR12" s="1363"/>
      <c r="AS12" s="1363"/>
      <c r="AT12" s="1363"/>
      <c r="AU12" s="1363"/>
      <c r="AV12" s="1363"/>
      <c r="AW12" s="1363"/>
      <c r="AX12" s="1363"/>
    </row>
    <row customHeight="1" ht="11.25" hidden="1">
      <c r="AE13" s="64"/>
      <c r="AF13" s="64"/>
      <c r="AG13" s="64"/>
      <c r="AH13" s="64"/>
      <c r="AI13" s="64"/>
      <c r="AJ13" s="64"/>
      <c r="AK13" s="64"/>
      <c r="AL13" s="64"/>
      <c r="AM13" s="64"/>
      <c r="AN13" s="64"/>
      <c r="AO13" s="64"/>
      <c r="AP13" s="64"/>
      <c r="AQ13" s="64"/>
      <c r="AR13" s="64"/>
      <c r="AS13" s="64"/>
      <c r="AT13" s="64"/>
      <c r="AU13" s="64"/>
      <c r="AV13" s="64"/>
      <c r="AW13" s="64"/>
      <c r="AX13" s="64"/>
    </row>
    <row customHeight="1" ht="11.25" hidden="1">
      <c r="AE14" s="64"/>
      <c r="AF14" s="64"/>
      <c r="AG14" s="64"/>
      <c r="AH14" s="64"/>
      <c r="AI14" s="64"/>
      <c r="AJ14" s="64"/>
      <c r="AK14" s="64"/>
      <c r="AL14" s="64"/>
      <c r="AM14" s="64"/>
      <c r="AN14" s="64"/>
      <c r="AO14" s="64"/>
      <c r="AP14" s="64"/>
      <c r="AQ14" s="64"/>
      <c r="AR14" s="64"/>
      <c r="AS14" s="64"/>
      <c r="AT14" s="64"/>
      <c r="AU14" s="64"/>
      <c r="AV14" s="64"/>
      <c r="AW14" s="64"/>
      <c r="AX14" s="64"/>
    </row>
    <row customHeight="1" ht="11.25" hidden="1">
      <c r="AE15" s="64"/>
      <c r="AF15" s="64"/>
      <c r="AG15" s="64"/>
      <c r="AH15" s="64"/>
      <c r="AI15" s="64"/>
      <c r="AJ15" s="64"/>
      <c r="AK15" s="64"/>
      <c r="AL15" s="64"/>
      <c r="AM15" s="64"/>
      <c r="AN15" s="64"/>
      <c r="AO15" s="64"/>
      <c r="AP15" s="64"/>
      <c r="AQ15" s="64"/>
      <c r="AR15" s="64"/>
      <c r="AS15" s="64"/>
      <c r="AT15" s="64"/>
      <c r="AU15" s="64"/>
      <c r="AV15" s="64"/>
      <c r="AW15" s="64"/>
      <c r="AX15" s="64"/>
    </row>
    <row customHeight="1" ht="11.25" hidden="1">
      <c r="AE16" s="64"/>
      <c r="AF16" s="64"/>
      <c r="AG16" s="64"/>
      <c r="AH16" s="64"/>
      <c r="AI16" s="64"/>
      <c r="AJ16" s="64"/>
      <c r="AK16" s="64"/>
      <c r="AL16" s="64"/>
      <c r="AM16" s="64"/>
      <c r="AN16" s="64"/>
      <c r="AO16" s="64"/>
      <c r="AP16" s="64"/>
      <c r="AQ16" s="64"/>
      <c r="AR16" s="64"/>
      <c r="AS16" s="64"/>
      <c r="AT16" s="64"/>
      <c r="AU16" s="64"/>
      <c r="AV16" s="64"/>
      <c r="AW16" s="64"/>
      <c r="AX16" s="64"/>
    </row>
    <row customHeight="1" ht="11.25" hidden="1">
      <c r="AE17" s="1363"/>
      <c r="AF17" s="1363"/>
      <c r="AG17" s="1363"/>
      <c r="AH17" s="1363"/>
      <c r="AI17" s="1363"/>
      <c r="AJ17" s="1363"/>
      <c r="AK17" s="1363"/>
      <c r="AL17" s="1363"/>
      <c r="AM17" s="1363"/>
      <c r="AN17" s="1363"/>
      <c r="AO17" s="1363"/>
      <c r="AP17" s="1363"/>
      <c r="AQ17" s="1363"/>
      <c r="AR17" s="1363"/>
      <c r="AS17" s="1363"/>
      <c r="AT17" s="1363"/>
      <c r="AU17" s="1363"/>
      <c r="AV17" s="1363"/>
      <c r="AW17" s="1363"/>
      <c r="AX17" s="1363"/>
    </row>
    <row customHeight="1" ht="11.25" hidden="1">
      <c r="AE18" s="1363"/>
      <c r="AF18" s="1363"/>
      <c r="AG18" s="1363"/>
      <c r="AH18" s="1363"/>
      <c r="AI18" s="1363"/>
      <c r="AJ18" s="1363"/>
      <c r="AK18" s="1363"/>
      <c r="AL18" s="1363"/>
      <c r="AM18" s="1363"/>
      <c r="AN18" s="1363"/>
      <c r="AO18" s="1363"/>
      <c r="AP18" s="1363"/>
      <c r="AQ18" s="1363"/>
      <c r="AR18" s="1363"/>
      <c r="AS18" s="1363"/>
      <c r="AT18" s="1363"/>
      <c r="AU18" s="1363"/>
      <c r="AV18" s="1363"/>
      <c r="AW18" s="1363"/>
      <c r="AX18" s="1363"/>
    </row>
    <row customHeight="1" ht="11.25" hidden="1">
      <c r="AE19" s="1363"/>
      <c r="AF19" s="1363"/>
      <c r="AG19" s="1363"/>
      <c r="AH19" s="1363"/>
      <c r="AI19" s="1363"/>
      <c r="AJ19" s="1363"/>
      <c r="AK19" s="1363"/>
      <c r="AL19" s="1363"/>
      <c r="AM19" s="1363"/>
      <c r="AN19" s="1363"/>
      <c r="AO19" s="1363"/>
      <c r="AP19" s="1363"/>
      <c r="AQ19" s="1363"/>
      <c r="AR19" s="1363"/>
      <c r="AS19" s="1363"/>
      <c r="AT19" s="1363"/>
      <c r="AU19" s="1363"/>
      <c r="AV19" s="1363"/>
      <c r="AW19" s="1363"/>
      <c r="AX19" s="1363"/>
    </row>
    <row customHeight="1" ht="11.25" hidden="1">
      <c r="AE20" s="1363"/>
      <c r="AF20" s="1363"/>
      <c r="AG20" s="1363"/>
      <c r="AH20" s="1363"/>
      <c r="AI20" s="1363"/>
      <c r="AJ20" s="1363"/>
      <c r="AK20" s="1363"/>
      <c r="AL20" s="1363"/>
      <c r="AM20" s="1363"/>
      <c r="AN20" s="1363"/>
      <c r="AO20" s="1363"/>
      <c r="AP20" s="1363"/>
      <c r="AQ20" s="1363"/>
      <c r="AR20" s="1363"/>
      <c r="AS20" s="1363"/>
      <c r="AT20" s="1363"/>
      <c r="AU20" s="1363"/>
      <c r="AV20" s="1363"/>
      <c r="AW20" s="1363"/>
      <c r="AX20" s="1363"/>
    </row>
    <row customHeight="1" ht="14.625">
      <c r="E21" s="593">
        <v>15</v>
      </c>
      <c r="AA21" s="397"/>
      <c r="AB21" s="122"/>
      <c r="AC21" s="50" cm="1" t="str">
        <f t="array" ref="AC21:AC21">tpl_title</f>
        <v>Кемеровская область / 2026 / ОАО «СКЭК» (ИНН:4205153492, КПП:420501001) / ДПР: 2026-2026</v>
      </c>
      <c r="AD21" s="122"/>
      <c r="AE21" s="122"/>
      <c r="AF21" s="122"/>
      <c r="AG21" s="122"/>
      <c r="AH21" s="122"/>
      <c r="AI21" s="122"/>
      <c r="AJ21" s="122"/>
      <c r="AK21" s="122"/>
      <c r="AL21" s="122"/>
      <c r="AM21" s="122"/>
      <c r="AN21" s="122"/>
      <c r="AO21" s="122"/>
      <c r="AP21" s="122"/>
      <c r="AQ21" s="122"/>
      <c r="AR21" s="122"/>
      <c r="AS21" s="122"/>
      <c r="AT21" s="122"/>
      <c r="AU21" s="122"/>
      <c r="AV21" s="122"/>
      <c r="AW21" s="122"/>
      <c r="AX21" s="122"/>
    </row>
    <row customHeight="1" ht="19.5">
      <c r="E22" s="593">
        <v>20</v>
      </c>
      <c r="AB22" s="286" t="s">
        <v>71</v>
      </c>
      <c r="AC22" s="172"/>
      <c r="AD22" s="172"/>
      <c r="AE22" s="172"/>
      <c r="AF22" s="172"/>
      <c r="AG22" s="172"/>
      <c r="AH22" s="172"/>
      <c r="AI22" s="172"/>
      <c r="AJ22" s="172"/>
      <c r="AK22" s="172"/>
      <c r="AL22" s="172"/>
      <c r="AM22" s="172"/>
      <c r="AN22" s="172"/>
      <c r="AO22" s="172"/>
      <c r="AP22" s="172"/>
      <c r="AQ22" s="172"/>
      <c r="AR22" s="172"/>
      <c r="AS22" s="172"/>
      <c r="AT22" s="172"/>
      <c r="AU22" s="172"/>
      <c r="AV22" s="172"/>
      <c r="AW22" s="172"/>
      <c r="AX22" s="172"/>
      <c r="AY22" s="172"/>
    </row>
    <row customHeight="1" ht="10.96875">
      <c r="E23" s="593">
        <v>11.25</v>
      </c>
      <c r="AB23" s="122"/>
      <c r="AC23" s="122"/>
      <c r="AD23" s="122"/>
      <c r="AE23" s="122"/>
      <c r="AF23" s="122"/>
      <c r="AG23" s="122"/>
      <c r="AH23" s="122"/>
      <c r="AI23" s="122"/>
      <c r="AJ23" s="122"/>
      <c r="AK23" s="122"/>
      <c r="AL23" s="122"/>
      <c r="AM23" s="122"/>
      <c r="AN23" s="122"/>
      <c r="AO23" s="122"/>
      <c r="AP23" s="122"/>
      <c r="AQ23" s="122"/>
      <c r="AR23" s="122"/>
      <c r="AS23" s="122"/>
      <c r="AT23" s="122"/>
      <c r="AU23" s="122"/>
      <c r="AV23" s="122"/>
      <c r="AW23" s="122"/>
      <c r="AX23" s="122"/>
    </row>
    <row customHeight="1" ht="20.9625">
      <c r="E24" s="593">
        <v>21.5</v>
      </c>
      <c r="AB24" s="1512" t="s">
        <v>21</v>
      </c>
      <c r="AC24" s="1576" t="s">
        <v>1257</v>
      </c>
      <c r="AD24" s="1576" t="s">
        <v>359</v>
      </c>
      <c r="AE24" s="1096" t="str">
        <f>god&amp;" год"</f>
        <v>2026 год</v>
      </c>
      <c r="AF24" s="1096" t="str">
        <f>god+1&amp;" год"</f>
        <v>2027 год</v>
      </c>
      <c r="AG24" s="1096" t="str">
        <f>god+2&amp;" год"</f>
        <v>2028 год</v>
      </c>
      <c r="AH24" s="1096" t="str">
        <f>god+3&amp;" год"</f>
        <v>2029 год</v>
      </c>
      <c r="AI24" s="1096" t="str">
        <f>god+4&amp;" год"</f>
        <v>2030 год</v>
      </c>
      <c r="AJ24" s="1096" t="str">
        <f>god+5&amp;" год"</f>
        <v>2031 год</v>
      </c>
      <c r="AK24" s="1096" t="str">
        <f>god+6&amp;" год"</f>
        <v>2032 год</v>
      </c>
      <c r="AL24" s="1096" t="str">
        <f>god+7&amp;" год"</f>
        <v>2033 год</v>
      </c>
      <c r="AM24" s="1096" t="str">
        <f>god+8&amp;" год"</f>
        <v>2034 год</v>
      </c>
      <c r="AN24" s="1096" t="str">
        <f>god+9&amp;" год"</f>
        <v>2035 год</v>
      </c>
      <c r="AO24" s="58" t="str">
        <f>god&amp;" год"</f>
        <v>2026 год</v>
      </c>
      <c r="AP24" s="58" t="str">
        <f>god+1&amp;" год"</f>
        <v>2027 год</v>
      </c>
      <c r="AQ24" s="58" t="str">
        <f>god+2&amp;" год"</f>
        <v>2028 год</v>
      </c>
      <c r="AR24" s="58" t="str">
        <f>god+3&amp;" год"</f>
        <v>2029 год</v>
      </c>
      <c r="AS24" s="58" t="str">
        <f>god+4&amp;" год"</f>
        <v>2030 год</v>
      </c>
      <c r="AT24" s="58" t="str">
        <f>god+5&amp;" год"</f>
        <v>2031 год</v>
      </c>
      <c r="AU24" s="58" t="str">
        <f>god+6&amp;" год"</f>
        <v>2032 год</v>
      </c>
      <c r="AV24" s="58" t="str">
        <f>god+7&amp;" год"</f>
        <v>2033 год</v>
      </c>
      <c r="AW24" s="58" t="str">
        <f>god+8&amp;" год"</f>
        <v>2034 год</v>
      </c>
      <c r="AX24" s="58" t="str">
        <f>god+9&amp;" год"</f>
        <v>2035 год</v>
      </c>
      <c r="AY24" s="1570" t="s">
        <v>500</v>
      </c>
    </row>
    <row customHeight="1" ht="56.306250000000006">
      <c r="E25" s="593">
        <v>57.75</v>
      </c>
      <c r="F25" s="398"/>
      <c r="G25" s="398"/>
      <c r="H25" s="398"/>
      <c r="I25" s="398"/>
      <c r="J25" s="398"/>
      <c r="AB25" s="1512"/>
      <c r="AC25" s="1576"/>
      <c r="AD25" s="1576"/>
      <c r="AE25" s="1098" t="s">
        <v>1258</v>
      </c>
      <c r="AF25" s="1098" t="s">
        <v>1258</v>
      </c>
      <c r="AG25" s="1098" t="s">
        <v>1258</v>
      </c>
      <c r="AH25" s="1098" t="s">
        <v>1258</v>
      </c>
      <c r="AI25" s="1098" t="s">
        <v>1258</v>
      </c>
      <c r="AJ25" s="1098" t="s">
        <v>1258</v>
      </c>
      <c r="AK25" s="1098" t="s">
        <v>1258</v>
      </c>
      <c r="AL25" s="1098" t="s">
        <v>1258</v>
      </c>
      <c r="AM25" s="1098" t="s">
        <v>1258</v>
      </c>
      <c r="AN25" s="1098" t="s">
        <v>1258</v>
      </c>
      <c r="AO25" s="57" t="s">
        <v>351</v>
      </c>
      <c r="AP25" s="57" t="s">
        <v>351</v>
      </c>
      <c r="AQ25" s="57" t="s">
        <v>351</v>
      </c>
      <c r="AR25" s="57" t="s">
        <v>351</v>
      </c>
      <c r="AS25" s="57" t="s">
        <v>351</v>
      </c>
      <c r="AT25" s="57" t="s">
        <v>351</v>
      </c>
      <c r="AU25" s="57" t="s">
        <v>351</v>
      </c>
      <c r="AV25" s="57" t="s">
        <v>351</v>
      </c>
      <c r="AW25" s="57" t="s">
        <v>351</v>
      </c>
      <c r="AX25" s="57" t="s">
        <v>351</v>
      </c>
      <c r="AY25" s="1570"/>
    </row>
    <row customHeight="1" ht="11.25" hidden="1">
      <c r="A26" s="0"/>
      <c r="B26" s="402"/>
      <c r="C26" s="0"/>
      <c r="D26" s="0"/>
      <c r="E26" s="593">
        <v>0</v>
      </c>
      <c r="F26" s="51"/>
      <c r="G26" s="0"/>
      <c r="H26" s="0"/>
      <c r="I26" s="0"/>
      <c r="J26" s="0"/>
      <c r="K26" s="0"/>
      <c r="L26" s="0"/>
      <c r="M26" s="0"/>
      <c r="N26" s="0"/>
      <c r="O26" s="0"/>
      <c r="P26" s="0"/>
      <c r="Q26" s="0"/>
      <c r="R26" s="0"/>
      <c r="S26" s="0"/>
      <c r="T26" s="0"/>
      <c r="U26" s="0"/>
      <c r="V26" s="0"/>
      <c r="W26" s="0"/>
      <c r="X26" s="0"/>
      <c r="Y26" s="0"/>
      <c r="Z26" s="0"/>
      <c r="AA26" s="0"/>
      <c r="AB26" s="0"/>
      <c r="AC26" s="66"/>
      <c r="AD26" s="66"/>
      <c r="AE26" s="66"/>
      <c r="AF26" s="66"/>
      <c r="AG26" s="0"/>
      <c r="AH26" s="0"/>
      <c r="AI26" s="0"/>
      <c r="AJ26" s="0"/>
      <c r="AK26" s="0"/>
      <c r="AL26" s="0"/>
      <c r="AM26" s="0"/>
      <c r="AN26" s="0"/>
      <c r="AO26" s="0"/>
      <c r="AP26" s="0"/>
      <c r="AQ26" s="67"/>
      <c r="AR26" s="0"/>
      <c r="AS26" s="0"/>
      <c r="AT26" s="0"/>
      <c r="AU26" s="0"/>
      <c r="AV26" s="0"/>
      <c r="AW26" s="0"/>
      <c r="AX26" s="0"/>
      <c r="AY26" s="0"/>
      <c r="AZ26" s="0"/>
    </row>
    <row customHeight="1" ht="14.625" hidden="1">
      <c r="A27" s="1363"/>
      <c r="B27" s="1369"/>
      <c r="C27" s="1363"/>
      <c r="D27" s="1363"/>
      <c r="E27" s="593">
        <v>15</v>
      </c>
      <c r="F27" s="466" cm="1" t="str">
        <f t="array" ref="F27:F27">X27</f>
        <v>0</v>
      </c>
      <c r="G27" s="398"/>
      <c r="H27" s="398"/>
      <c r="I27" s="398"/>
      <c r="J27" s="398"/>
      <c r="K27" s="1363"/>
      <c r="L27" s="1363"/>
      <c r="M27" s="1363"/>
      <c r="N27" s="1363"/>
      <c r="O27" s="1363"/>
      <c r="P27" s="1363"/>
      <c r="Q27" s="1363"/>
      <c r="R27" s="1363"/>
      <c r="S27" s="1363"/>
      <c r="T27" s="438">
        <f>X27&gt;0</f>
        <v>0</v>
      </c>
      <c r="U27" s="1363"/>
      <c r="V27" s="88" t="s">
        <v>267</v>
      </c>
      <c r="W27" s="1363"/>
      <c r="X27" s="1511">
        <v>0</v>
      </c>
      <c r="Y27" s="398"/>
      <c r="Z27" s="1542"/>
      <c r="AA27" s="398"/>
      <c r="AB27" s="208" cm="1" t="str">
        <f t="array" ref="AB27:AB27">INDEX('Общие сведения'!$AG$179:$AG$208,MATCH($X27,'Общие сведения'!$Z$179:$Z$208,0))</f>
        <v>Тариф 0 () - тариф на транспортировку сточных вод</v>
      </c>
      <c r="AC27" s="808"/>
      <c r="AD27" s="808"/>
      <c r="AE27" s="808"/>
      <c r="AF27" s="808"/>
      <c r="AG27" s="808"/>
      <c r="AH27" s="808"/>
      <c r="AI27" s="808"/>
      <c r="AJ27" s="808"/>
      <c r="AK27" s="808"/>
      <c r="AL27" s="808"/>
      <c r="AM27" s="808"/>
      <c r="AN27" s="808"/>
      <c r="AO27" s="808"/>
      <c r="AP27" s="808"/>
      <c r="AQ27" s="808"/>
      <c r="AR27" s="808"/>
      <c r="AS27" s="808"/>
      <c r="AT27" s="808"/>
      <c r="AU27" s="808"/>
      <c r="AV27" s="808"/>
      <c r="AW27" s="808"/>
      <c r="AX27" s="808"/>
      <c r="AY27" s="808"/>
      <c r="AZ27" s="398"/>
      <c r="BA27" s="1363"/>
      <c r="BB27" s="1374"/>
    </row>
    <row customHeight="1" ht="14.625" hidden="1">
      <c r="A28" s="207"/>
      <c r="B28" s="403"/>
      <c r="C28" s="207"/>
      <c r="D28" s="207"/>
      <c r="E28" s="667">
        <v>15</v>
      </c>
      <c r="F28" s="50" cm="1" t="str">
        <f t="array" ref="F28:F28">OFFSET(E28,-1,1)</f>
        <v>0</v>
      </c>
      <c r="G28" s="398" t="s">
        <v>321</v>
      </c>
      <c r="H28" s="113"/>
      <c r="I28" s="113"/>
      <c r="J28" s="113"/>
      <c r="K28" s="207"/>
      <c r="L28" s="207"/>
      <c r="M28" s="207"/>
      <c r="N28" s="207"/>
      <c r="O28" s="207"/>
      <c r="P28" s="207"/>
      <c r="Q28" s="207"/>
      <c r="R28" s="207"/>
      <c r="S28" s="207"/>
      <c r="T28" s="438" cm="1" t="str">
        <f t="array" ref="T28:T28">T27</f>
        <v>false</v>
      </c>
      <c r="U28" s="207"/>
      <c r="V28" s="207"/>
      <c r="W28" s="207"/>
      <c r="X28" s="1511"/>
      <c r="Y28" s="113"/>
      <c r="Z28" s="1542"/>
      <c r="AA28" s="113"/>
      <c r="AB28" s="213" t="s">
        <v>281</v>
      </c>
      <c r="AC28" s="212" t="s">
        <v>1259</v>
      </c>
      <c r="AD28" s="213" t="s">
        <v>789</v>
      </c>
      <c r="AE28" s="820">
        <f>AE29+AE30+AE31</f>
        <v>0</v>
      </c>
      <c r="AF28" s="820">
        <f>AF29+AF30+AF31</f>
        <v>0</v>
      </c>
      <c r="AG28" s="820">
        <f>AG29+AG30+AG31</f>
        <v>0</v>
      </c>
      <c r="AH28" s="820">
        <f>AH29+AH30+AH31</f>
        <v>0</v>
      </c>
      <c r="AI28" s="820">
        <f>AI29+AI30+AI31</f>
        <v>0</v>
      </c>
      <c r="AJ28" s="820">
        <f>AJ29+AJ30+AJ31</f>
        <v>0</v>
      </c>
      <c r="AK28" s="820">
        <f>AK29+AK30+AK31</f>
        <v>0</v>
      </c>
      <c r="AL28" s="820">
        <f>AL29+AL30+AL31</f>
        <v>0</v>
      </c>
      <c r="AM28" s="820">
        <f>AM29+AM30+AM31</f>
        <v>0</v>
      </c>
      <c r="AN28" s="820">
        <f>AN29+AN30+AN31</f>
        <v>0</v>
      </c>
      <c r="AO28" s="820">
        <f>AO29+AO30+AO31</f>
        <v>0</v>
      </c>
      <c r="AP28" s="820">
        <f>AP29+AP30+AP31</f>
        <v>0</v>
      </c>
      <c r="AQ28" s="820">
        <f>AQ29+AQ30+AQ31</f>
        <v>0</v>
      </c>
      <c r="AR28" s="820">
        <f>AR29+AR30+AR31</f>
        <v>0</v>
      </c>
      <c r="AS28" s="820">
        <f>AS29+AS30+AS31</f>
        <v>0</v>
      </c>
      <c r="AT28" s="820">
        <f>AT29+AT30+AT31</f>
        <v>0</v>
      </c>
      <c r="AU28" s="820">
        <f>AU29+AU30+AU31</f>
        <v>0</v>
      </c>
      <c r="AV28" s="820">
        <f>AV29+AV30+AV31</f>
        <v>0</v>
      </c>
      <c r="AW28" s="820">
        <f>AW29+AW30+AW31</f>
        <v>0</v>
      </c>
      <c r="AX28" s="820">
        <f>AX29+AX30+AX31</f>
        <v>0</v>
      </c>
      <c r="AY28" s="2770"/>
      <c r="AZ28" s="113"/>
      <c r="BA28" s="1363"/>
      <c r="BB28" s="974" t="s">
        <v>1193</v>
      </c>
    </row>
    <row customHeight="1" ht="14.625" hidden="1">
      <c r="A29" s="1363"/>
      <c r="B29" s="1369"/>
      <c r="C29" s="1363"/>
      <c r="D29" s="1363"/>
      <c r="E29" s="593">
        <v>15</v>
      </c>
      <c r="F29" s="50" cm="1" t="str">
        <f t="array" ref="F29:F29">OFFSET(E29,-1,1)</f>
        <v>0</v>
      </c>
      <c r="G29" s="398" t="s">
        <v>434</v>
      </c>
      <c r="H29" s="398"/>
      <c r="I29" s="398"/>
      <c r="J29" s="398"/>
      <c r="K29" s="1363"/>
      <c r="L29" s="1363"/>
      <c r="M29" s="1363"/>
      <c r="N29" s="1363"/>
      <c r="O29" s="1363"/>
      <c r="P29" s="1363"/>
      <c r="Q29" s="1363"/>
      <c r="R29" s="1363"/>
      <c r="S29" s="1363"/>
      <c r="T29" s="438" cm="1" t="str">
        <f t="array" ref="T29:T29">T28</f>
        <v>false</v>
      </c>
      <c r="U29" s="1363"/>
      <c r="V29" s="1363"/>
      <c r="W29" s="1363"/>
      <c r="X29" s="1511"/>
      <c r="Y29" s="398"/>
      <c r="Z29" s="1542"/>
      <c r="AA29" s="398"/>
      <c r="AB29" s="826" t="s">
        <v>844</v>
      </c>
      <c r="AC29" s="827" t="s">
        <v>1260</v>
      </c>
      <c r="AD29" s="826" t="s">
        <v>789</v>
      </c>
      <c r="AE29" s="264"/>
      <c r="AF29" s="2655"/>
      <c r="AG29" s="2655"/>
      <c r="AH29" s="2655"/>
      <c r="AI29" s="2655"/>
      <c r="AJ29" s="2655"/>
      <c r="AK29" s="2655"/>
      <c r="AL29" s="2655"/>
      <c r="AM29" s="2655"/>
      <c r="AN29" s="2655"/>
      <c r="AO29" s="264"/>
      <c r="AP29" s="2655"/>
      <c r="AQ29" s="2655"/>
      <c r="AR29" s="2655"/>
      <c r="AS29" s="2655"/>
      <c r="AT29" s="2655"/>
      <c r="AU29" s="2655"/>
      <c r="AV29" s="2655"/>
      <c r="AW29" s="2655"/>
      <c r="AX29" s="2655"/>
      <c r="AY29" s="2770"/>
      <c r="AZ29" s="398"/>
      <c r="BA29" s="1363"/>
      <c r="BB29" s="974" t="s">
        <v>1261</v>
      </c>
    </row>
    <row customHeight="1" ht="23.400000000000002" hidden="1">
      <c r="A30" s="1363"/>
      <c r="B30" s="1369"/>
      <c r="C30" s="1363"/>
      <c r="D30" s="1363"/>
      <c r="E30" s="593">
        <v>24</v>
      </c>
      <c r="F30" s="50" cm="1" t="str">
        <f t="array" ref="F30:F30">OFFSET(E30,-1,1)</f>
        <v>0</v>
      </c>
      <c r="G30" s="398" t="s">
        <v>438</v>
      </c>
      <c r="H30" s="398"/>
      <c r="I30" s="398"/>
      <c r="J30" s="398"/>
      <c r="K30" s="1363"/>
      <c r="L30" s="1363"/>
      <c r="M30" s="1363"/>
      <c r="N30" s="1363"/>
      <c r="O30" s="1363"/>
      <c r="P30" s="1363"/>
      <c r="Q30" s="1363"/>
      <c r="R30" s="1363"/>
      <c r="S30" s="1363"/>
      <c r="T30" s="438" cm="1" t="str">
        <f t="array" ref="T30:T30">T29</f>
        <v>false</v>
      </c>
      <c r="U30" s="1363"/>
      <c r="V30" s="1363"/>
      <c r="W30" s="1363"/>
      <c r="X30" s="1511"/>
      <c r="Y30" s="398"/>
      <c r="Z30" s="1542"/>
      <c r="AA30" s="398"/>
      <c r="AB30" s="826" t="s">
        <v>847</v>
      </c>
      <c r="AC30" s="827" t="s">
        <v>1262</v>
      </c>
      <c r="AD30" s="826" t="s">
        <v>789</v>
      </c>
      <c r="AE30" s="264"/>
      <c r="AF30" s="2655"/>
      <c r="AG30" s="2655"/>
      <c r="AH30" s="2655"/>
      <c r="AI30" s="2655"/>
      <c r="AJ30" s="2655"/>
      <c r="AK30" s="2655"/>
      <c r="AL30" s="2655"/>
      <c r="AM30" s="2655"/>
      <c r="AN30" s="2655"/>
      <c r="AO30" s="264"/>
      <c r="AP30" s="2655"/>
      <c r="AQ30" s="2655"/>
      <c r="AR30" s="2655"/>
      <c r="AS30" s="2655"/>
      <c r="AT30" s="2655"/>
      <c r="AU30" s="2655"/>
      <c r="AV30" s="2655"/>
      <c r="AW30" s="2655"/>
      <c r="AX30" s="2655"/>
      <c r="AY30" s="2770"/>
      <c r="AZ30" s="398"/>
      <c r="BA30" s="1363"/>
      <c r="BB30" s="974" t="s">
        <v>1263</v>
      </c>
    </row>
    <row s="1624" customFormat="1" customHeight="1" ht="33.345000000000006" hidden="1">
      <c r="A31" s="88"/>
      <c r="B31" s="400"/>
      <c r="C31" s="88"/>
      <c r="D31" s="88"/>
      <c r="E31" s="593">
        <v>34.2</v>
      </c>
      <c r="F31" s="1153" cm="1" t="str">
        <f t="array" ref="F31:F31">OFFSET(E31,-1,1)</f>
        <v>0</v>
      </c>
      <c r="G31" s="398" t="s">
        <v>441</v>
      </c>
      <c r="H31" s="398"/>
      <c r="I31" s="398"/>
      <c r="J31" s="398"/>
      <c r="K31" s="88"/>
      <c r="L31" s="88"/>
      <c r="M31" s="88"/>
      <c r="N31" s="88"/>
      <c r="O31" s="88"/>
      <c r="P31" s="88"/>
      <c r="Q31" s="88"/>
      <c r="R31" s="88"/>
      <c r="S31" s="88"/>
      <c r="T31" s="438" cm="1" t="str">
        <f t="array" ref="T31:T31">T30</f>
        <v>false</v>
      </c>
      <c r="U31" s="88"/>
      <c r="V31" s="88"/>
      <c r="W31" s="88"/>
      <c r="X31" s="1511"/>
      <c r="Y31" s="398"/>
      <c r="Z31" s="1542"/>
      <c r="AA31" s="398"/>
      <c r="AB31" s="826" t="s">
        <v>850</v>
      </c>
      <c r="AC31" s="827" t="s">
        <v>1264</v>
      </c>
      <c r="AD31" s="826" t="s">
        <v>789</v>
      </c>
      <c r="AE31" s="264"/>
      <c r="AF31" s="2655"/>
      <c r="AG31" s="2655"/>
      <c r="AH31" s="2655"/>
      <c r="AI31" s="2655"/>
      <c r="AJ31" s="2655"/>
      <c r="AK31" s="2655"/>
      <c r="AL31" s="2655"/>
      <c r="AM31" s="2655"/>
      <c r="AN31" s="2655"/>
      <c r="AO31" s="264"/>
      <c r="AP31" s="2655"/>
      <c r="AQ31" s="2655"/>
      <c r="AR31" s="2655"/>
      <c r="AS31" s="2655"/>
      <c r="AT31" s="2655"/>
      <c r="AU31" s="2655"/>
      <c r="AV31" s="2655"/>
      <c r="AW31" s="2655"/>
      <c r="AX31" s="2655"/>
      <c r="AY31" s="2770"/>
      <c r="AZ31" s="398"/>
      <c r="BA31" s="1624"/>
      <c r="BB31" s="1025" t="s">
        <v>1265</v>
      </c>
    </row>
    <row customHeight="1" ht="14.625" hidden="1">
      <c r="A32" s="1363"/>
      <c r="B32" s="1369"/>
      <c r="C32" s="1363"/>
      <c r="D32" s="1363"/>
      <c r="E32" s="593">
        <v>15</v>
      </c>
      <c r="F32" s="50" cm="1" t="str">
        <f t="array" ref="F32:F32">OFFSET(E32,-1,1)</f>
        <v>0</v>
      </c>
      <c r="G32" s="398" t="s">
        <v>322</v>
      </c>
      <c r="H32" s="398"/>
      <c r="I32" s="398"/>
      <c r="J32" s="398"/>
      <c r="K32" s="1363"/>
      <c r="L32" s="1363"/>
      <c r="M32" s="1363"/>
      <c r="N32" s="1363"/>
      <c r="O32" s="1363"/>
      <c r="P32" s="1363"/>
      <c r="Q32" s="1363"/>
      <c r="R32" s="1363"/>
      <c r="S32" s="1363"/>
      <c r="T32" s="438" cm="1" t="str">
        <f t="array" ref="T32:T32">T31</f>
        <v>false</v>
      </c>
      <c r="U32" s="1363"/>
      <c r="V32" s="1363"/>
      <c r="W32" s="1363"/>
      <c r="X32" s="1511"/>
      <c r="Y32" s="398"/>
      <c r="Z32" s="1542"/>
      <c r="AA32" s="398"/>
      <c r="AB32" s="826" t="s">
        <v>504</v>
      </c>
      <c r="AC32" s="828" t="s">
        <v>1266</v>
      </c>
      <c r="AD32" s="826" t="s">
        <v>430</v>
      </c>
      <c r="AE32" s="829">
        <f>_xlfn.SUMIFS(Сценарии!AJ$25:AJ$82,Сценарии!$F$25:$F$82,$F32,Сценарии!$AC$25:$AC$82,"Индекс потребительских цен")</f>
        <v>0</v>
      </c>
      <c r="AF32" s="829">
        <f>_xlfn.SUMIFS(Сценарии!AO$25:AO$82,Сценарии!$F$25:$F$82,$F32,Сценарии!$AC$25:$AC$82,"Индекс потребительских цен")</f>
        <v>0</v>
      </c>
      <c r="AG32" s="829">
        <f>_xlfn.SUMIFS(Сценарии!AP$25:AP$82,Сценарии!$F$25:$F$82,$F32,Сценарии!$AC$25:$AC$82,"Индекс потребительских цен")</f>
        <v>0</v>
      </c>
      <c r="AH32" s="829">
        <f>_xlfn.SUMIFS(Сценарии!AQ$25:AQ$82,Сценарии!$F$25:$F$82,$F32,Сценарии!$AC$25:$AC$82,"Индекс потребительских цен")</f>
        <v>0</v>
      </c>
      <c r="AI32" s="829">
        <f>_xlfn.SUMIFS(Сценарии!AR$25:AR$82,Сценарии!$F$25:$F$82,$F32,Сценарии!$AC$25:$AC$82,"Индекс потребительских цен")</f>
        <v>0</v>
      </c>
      <c r="AJ32" s="829">
        <f>_xlfn.SUMIFS(Сценарии!AS$25:AS$82,Сценарии!$F$25:$F$82,$F32,Сценарии!$AC$25:$AC$82,"Индекс потребительских цен")</f>
        <v>0</v>
      </c>
      <c r="AK32" s="829">
        <f>_xlfn.SUMIFS(Сценарии!AT$25:AT$82,Сценарии!$F$25:$F$82,$F32,Сценарии!$AC$25:$AC$82,"Индекс потребительских цен")</f>
        <v>0</v>
      </c>
      <c r="AL32" s="829">
        <f>_xlfn.SUMIFS(Сценарии!AU$25:AU$82,Сценарии!$F$25:$F$82,$F32,Сценарии!$AC$25:$AC$82,"Индекс потребительских цен")</f>
        <v>0</v>
      </c>
      <c r="AM32" s="829">
        <f>_xlfn.SUMIFS(Сценарии!AV$25:AV$82,Сценарии!$F$25:$F$82,$F32,Сценарии!$AC$25:$AC$82,"Индекс потребительских цен")</f>
        <v>0</v>
      </c>
      <c r="AN32" s="829">
        <f>_xlfn.SUMIFS(Сценарии!AW$25:AW$82,Сценарии!$F$25:$F$82,$F32,Сценарии!$AC$25:$AC$82,"Индекс потребительских цен")</f>
        <v>0</v>
      </c>
      <c r="AO32" s="829">
        <f>_xlfn.SUMIFS(Сценарии!AK$25:AK$82,Сценарии!$F$25:$F$82,$F32,Сценарии!$AC$25:$AC$82,"Индекс потребительских цен")</f>
        <v>0</v>
      </c>
      <c r="AP32" s="829">
        <f>_xlfn.SUMIFS(Сценарии!AX$25:AX$82,Сценарии!$F$25:$F$82,$F32,Сценарии!$AC$25:$AC$82,"Индекс потребительских цен")</f>
        <v>0</v>
      </c>
      <c r="AQ32" s="829">
        <f>_xlfn.SUMIFS(Сценарии!AY$25:AY$82,Сценарии!$F$25:$F$82,$F32,Сценарии!$AC$25:$AC$82,"Индекс потребительских цен")</f>
        <v>0</v>
      </c>
      <c r="AR32" s="829">
        <f>_xlfn.SUMIFS(Сценарии!AZ$25:AZ$82,Сценарии!$F$25:$F$82,$F32,Сценарии!$AC$25:$AC$82,"Индекс потребительских цен")</f>
        <v>0</v>
      </c>
      <c r="AS32" s="829">
        <f>_xlfn.SUMIFS(Сценарии!BA$25:BA$82,Сценарии!$F$25:$F$82,$F32,Сценарии!$AC$25:$AC$82,"Индекс потребительских цен")</f>
        <v>0</v>
      </c>
      <c r="AT32" s="829">
        <f>_xlfn.SUMIFS(Сценарии!BB$25:BB$82,Сценарии!$F$25:$F$82,$F32,Сценарии!$AC$25:$AC$82,"Индекс потребительских цен")</f>
        <v>0</v>
      </c>
      <c r="AU32" s="829">
        <f>_xlfn.SUMIFS(Сценарии!BC$25:BC$82,Сценарии!$F$25:$F$82,$F32,Сценарии!$AC$25:$AC$82,"Индекс потребительских цен")</f>
        <v>0</v>
      </c>
      <c r="AV32" s="829">
        <f>_xlfn.SUMIFS(Сценарии!BD$25:BD$82,Сценарии!$F$25:$F$82,$F32,Сценарии!$AC$25:$AC$82,"Индекс потребительских цен")</f>
        <v>0</v>
      </c>
      <c r="AW32" s="829">
        <f>_xlfn.SUMIFS(Сценарии!BE$25:BE$82,Сценарии!$F$25:$F$82,$F32,Сценарии!$AC$25:$AC$82,"Индекс потребительских цен")</f>
        <v>0</v>
      </c>
      <c r="AX32" s="829">
        <f>_xlfn.SUMIFS(Сценарии!BF$25:BF$82,Сценарии!$F$25:$F$82,$F32,Сценарии!$AC$25:$AC$82,"Индекс потребительских цен")</f>
        <v>0</v>
      </c>
      <c r="AY32" s="2770"/>
      <c r="AZ32" s="398"/>
      <c r="BA32" s="1363"/>
      <c r="BB32" s="974" t="s">
        <v>1267</v>
      </c>
    </row>
    <row s="674" customFormat="1" customHeight="1" ht="14.625" hidden="1">
      <c r="A33" s="88"/>
      <c r="B33" s="400"/>
      <c r="C33" s="88"/>
      <c r="D33" s="88"/>
      <c r="E33" s="593">
        <v>15</v>
      </c>
      <c r="F33" s="50" cm="1" t="str">
        <f t="array" ref="F33:F33">OFFSET(E33,-1,1)</f>
        <v>0</v>
      </c>
      <c r="G33" s="398" t="s">
        <v>323</v>
      </c>
      <c r="H33" s="398"/>
      <c r="I33" s="398"/>
      <c r="J33" s="398"/>
      <c r="K33" s="88"/>
      <c r="L33" s="88"/>
      <c r="M33" s="88"/>
      <c r="N33" s="88"/>
      <c r="O33" s="88"/>
      <c r="P33" s="88"/>
      <c r="Q33" s="88"/>
      <c r="R33" s="88"/>
      <c r="S33" s="88"/>
      <c r="T33" s="438" cm="1" t="str">
        <f t="array" ref="T33:T33">T32</f>
        <v>false</v>
      </c>
      <c r="U33" s="88"/>
      <c r="V33" s="88"/>
      <c r="W33" s="88"/>
      <c r="X33" s="1511"/>
      <c r="Y33" s="398"/>
      <c r="Z33" s="1542"/>
      <c r="AA33" s="398"/>
      <c r="AB33" s="742">
        <v>3</v>
      </c>
      <c r="AC33" s="828" t="s">
        <v>1268</v>
      </c>
      <c r="AD33" s="826" t="s">
        <v>430</v>
      </c>
      <c r="AE33" s="830" cm="1" t="str">
        <f t="array" ref="AE33:AE33">AE32</f>
        <v>0</v>
      </c>
      <c r="AF33" s="2832">
        <f>AE33*AF32/100</f>
        <v>0</v>
      </c>
      <c r="AG33" s="2832">
        <f>AF33*AG32/100</f>
        <v>0</v>
      </c>
      <c r="AH33" s="2832">
        <f>AG33*AH32/100</f>
        <v>0</v>
      </c>
      <c r="AI33" s="2832">
        <f>AH33*AI32/100</f>
        <v>0</v>
      </c>
      <c r="AJ33" s="2832">
        <f>AI33*AJ32/100</f>
        <v>0</v>
      </c>
      <c r="AK33" s="2832">
        <f>AJ33*AK32/100</f>
        <v>0</v>
      </c>
      <c r="AL33" s="2832">
        <f>AK33*AL32/100</f>
        <v>0</v>
      </c>
      <c r="AM33" s="2832">
        <f>AL33*AM32/100</f>
        <v>0</v>
      </c>
      <c r="AN33" s="2832">
        <f>AM33*AN32/100</f>
        <v>0</v>
      </c>
      <c r="AO33" s="830">
        <f>AN33*AO32/100</f>
        <v>0</v>
      </c>
      <c r="AP33" s="2832">
        <f>AO33*AP32/100</f>
        <v>0</v>
      </c>
      <c r="AQ33" s="2832">
        <f>AP33*AQ32/100</f>
        <v>0</v>
      </c>
      <c r="AR33" s="2832">
        <f>AQ33*AR32/100</f>
        <v>0</v>
      </c>
      <c r="AS33" s="2832">
        <f>AR33*AS32/100</f>
        <v>0</v>
      </c>
      <c r="AT33" s="2832">
        <f>AS33*AT32/100</f>
        <v>0</v>
      </c>
      <c r="AU33" s="2832">
        <f>AT33*AU32/100</f>
        <v>0</v>
      </c>
      <c r="AV33" s="2832">
        <f>AU33*AV32/100</f>
        <v>0</v>
      </c>
      <c r="AW33" s="2832">
        <f>AV33*AW32/100</f>
        <v>0</v>
      </c>
      <c r="AX33" s="2832">
        <f>AW33*AX32/100</f>
        <v>0</v>
      </c>
      <c r="AY33" s="2770"/>
      <c r="AZ33" s="398"/>
      <c r="BA33" s="674"/>
      <c r="BB33" s="1028" t="s">
        <v>1269</v>
      </c>
    </row>
    <row customHeight="1" ht="14.625" hidden="1">
      <c r="A34" s="207"/>
      <c r="B34" s="403"/>
      <c r="C34" s="207"/>
      <c r="D34" s="207"/>
      <c r="E34" s="667">
        <v>15</v>
      </c>
      <c r="F34" s="50" cm="1" t="str">
        <f t="array" ref="F34:F34">OFFSET(E34,-1,1)</f>
        <v>0</v>
      </c>
      <c r="G34" s="398" t="s">
        <v>325</v>
      </c>
      <c r="H34" s="398" t="s">
        <v>1270</v>
      </c>
      <c r="I34" s="113"/>
      <c r="J34" s="113"/>
      <c r="K34" s="207"/>
      <c r="L34" s="207"/>
      <c r="M34" s="207"/>
      <c r="N34" s="207"/>
      <c r="O34" s="207"/>
      <c r="P34" s="207"/>
      <c r="Q34" s="207"/>
      <c r="R34" s="207"/>
      <c r="S34" s="207"/>
      <c r="T34" s="438" cm="1" t="str">
        <f t="array" ref="T34:T34">T33</f>
        <v>false</v>
      </c>
      <c r="U34" s="207"/>
      <c r="V34" s="207"/>
      <c r="W34" s="207"/>
      <c r="X34" s="1511"/>
      <c r="Y34" s="113"/>
      <c r="Z34" s="1542"/>
      <c r="AA34" s="113"/>
      <c r="AB34" s="213" t="s">
        <v>530</v>
      </c>
      <c r="AC34" s="212" t="s">
        <v>1271</v>
      </c>
      <c r="AD34" s="213" t="s">
        <v>789</v>
      </c>
      <c r="AE34" s="820">
        <f>AE28*AE33/100</f>
        <v>0</v>
      </c>
      <c r="AF34" s="820">
        <f>AF28*AF33/100</f>
        <v>0</v>
      </c>
      <c r="AG34" s="820">
        <f>AG28*AG33/100</f>
        <v>0</v>
      </c>
      <c r="AH34" s="820">
        <f>AH28*AH33/100</f>
        <v>0</v>
      </c>
      <c r="AI34" s="820">
        <f>AI28*AI33/100</f>
        <v>0</v>
      </c>
      <c r="AJ34" s="820">
        <f>AJ28*AJ33/100</f>
        <v>0</v>
      </c>
      <c r="AK34" s="820">
        <f>AK28*AK33/100</f>
        <v>0</v>
      </c>
      <c r="AL34" s="820">
        <f>AL28*AL33/100</f>
        <v>0</v>
      </c>
      <c r="AM34" s="820">
        <f>AM28*AM33/100</f>
        <v>0</v>
      </c>
      <c r="AN34" s="820">
        <f>AN28*AN33/100</f>
        <v>0</v>
      </c>
      <c r="AO34" s="820">
        <f>AO28*AO33/100</f>
        <v>0</v>
      </c>
      <c r="AP34" s="820">
        <f>AP28*AP33/100</f>
        <v>0</v>
      </c>
      <c r="AQ34" s="820">
        <f>AQ28*AQ33/100</f>
        <v>0</v>
      </c>
      <c r="AR34" s="820">
        <f>AR28*AR33/100</f>
        <v>0</v>
      </c>
      <c r="AS34" s="820">
        <f>AS28*AS33/100</f>
        <v>0</v>
      </c>
      <c r="AT34" s="820">
        <f>AT28*AT33/100</f>
        <v>0</v>
      </c>
      <c r="AU34" s="820">
        <f>AU28*AU33/100</f>
        <v>0</v>
      </c>
      <c r="AV34" s="820">
        <f>AV28*AV33/100</f>
        <v>0</v>
      </c>
      <c r="AW34" s="820">
        <f>AW28*AW33/100</f>
        <v>0</v>
      </c>
      <c r="AX34" s="820">
        <f>AX28*AX33/100</f>
        <v>0</v>
      </c>
      <c r="AY34" s="2770"/>
      <c r="AZ34" s="113"/>
      <c r="BA34" s="1363"/>
      <c r="BB34" s="974" t="s">
        <v>1272</v>
      </c>
    </row>
    <row s="1624" customFormat="1" customHeight="1" ht="14.25">
      <c r="A35" s="1363"/>
      <c r="B35" s="1369"/>
      <c r="C35" s="1363"/>
      <c r="D35" s="1363"/>
      <c r="E35" s="593">
        <v>15</v>
      </c>
      <c r="F35" s="466" cm="1" t="str">
        <f t="array" ref="F35:F35">X35</f>
        <v>1</v>
      </c>
      <c r="G35" s="398"/>
      <c r="H35" s="398"/>
      <c r="I35" s="398"/>
      <c r="J35" s="398"/>
      <c r="K35" s="1363"/>
      <c r="L35" s="1363"/>
      <c r="M35" s="1363"/>
      <c r="N35" s="1363"/>
      <c r="O35" s="1363"/>
      <c r="P35" s="1363"/>
      <c r="Q35" s="1363"/>
      <c r="R35" s="1363"/>
      <c r="S35" s="1363"/>
      <c r="T35" s="438">
        <f>X35&gt;0</f>
        <v>1</v>
      </c>
      <c r="U35" s="1363"/>
      <c r="V35" s="88" cm="1" t="str">
        <f t="array" ref="V35:V35">'ИП + источники'!$AB$58</f>
        <v>Тариф 1 (Водоотведение) - тариф на транспортировку сточных вод</v>
      </c>
      <c r="W35" s="1363"/>
      <c r="X35" s="1511" t="s">
        <v>281</v>
      </c>
      <c r="Y35" s="398"/>
      <c r="Z35" s="1542"/>
      <c r="AA35" s="398"/>
      <c r="AB35" s="208" cm="1" t="str">
        <f t="array" ref="AB35:AB35">'ИП + источники'!$AB$58</f>
        <v>Тариф 1 (Водоотведение) - тариф на транспортировку сточных вод</v>
      </c>
      <c r="AC35" s="808"/>
      <c r="AD35" s="808"/>
      <c r="AE35" s="808"/>
      <c r="AF35" s="808"/>
      <c r="AG35" s="808"/>
      <c r="AH35" s="808"/>
      <c r="AI35" s="808"/>
      <c r="AJ35" s="808"/>
      <c r="AK35" s="808"/>
      <c r="AL35" s="808"/>
      <c r="AM35" s="808"/>
      <c r="AN35" s="808"/>
      <c r="AO35" s="808"/>
      <c r="AP35" s="808"/>
      <c r="AQ35" s="808"/>
      <c r="AR35" s="808"/>
      <c r="AS35" s="808"/>
      <c r="AT35" s="808"/>
      <c r="AU35" s="808"/>
      <c r="AV35" s="808"/>
      <c r="AW35" s="808"/>
      <c r="AX35" s="808"/>
      <c r="AY35" s="808"/>
      <c r="AZ35" s="398"/>
      <c r="BA35" s="1363"/>
      <c r="BB35" s="1374"/>
    </row>
    <row s="1624" customFormat="1" customHeight="1" ht="14.25">
      <c r="A36" s="207"/>
      <c r="B36" s="403"/>
      <c r="C36" s="207"/>
      <c r="D36" s="207"/>
      <c r="E36" s="667">
        <v>15</v>
      </c>
      <c r="F36" s="50" cm="1" t="str">
        <f t="array" ref="F36:F36">OFFSET(E36,-1,1)</f>
        <v>1</v>
      </c>
      <c r="G36" s="398" t="s">
        <v>321</v>
      </c>
      <c r="H36" s="113"/>
      <c r="I36" s="113"/>
      <c r="J36" s="113"/>
      <c r="K36" s="207"/>
      <c r="L36" s="207"/>
      <c r="M36" s="207"/>
      <c r="N36" s="207"/>
      <c r="O36" s="207"/>
      <c r="P36" s="207"/>
      <c r="Q36" s="207"/>
      <c r="R36" s="207"/>
      <c r="S36" s="207"/>
      <c r="T36" s="438" cm="1" t="str">
        <f t="array" ref="T36:T36">T35</f>
        <v>true</v>
      </c>
      <c r="U36" s="207"/>
      <c r="V36" s="207"/>
      <c r="W36" s="207"/>
      <c r="X36" s="1511"/>
      <c r="Y36" s="113"/>
      <c r="Z36" s="1542"/>
      <c r="AA36" s="113"/>
      <c r="AB36" s="213" t="s">
        <v>281</v>
      </c>
      <c r="AC36" s="212" t="s">
        <v>1259</v>
      </c>
      <c r="AD36" s="213" t="s">
        <v>789</v>
      </c>
      <c r="AE36" s="820">
        <f>AE37+AE38+AE39</f>
        <v>0</v>
      </c>
      <c r="AF36" s="820">
        <f>AF37+AF38+AF39</f>
        <v>0</v>
      </c>
      <c r="AG36" s="820">
        <f>AG37+AG38+AG39</f>
        <v>0</v>
      </c>
      <c r="AH36" s="820">
        <f>AH37+AH38+AH39</f>
        <v>0</v>
      </c>
      <c r="AI36" s="820">
        <f>AI37+AI38+AI39</f>
        <v>0</v>
      </c>
      <c r="AJ36" s="820">
        <f>AJ37+AJ38+AJ39</f>
        <v>0</v>
      </c>
      <c r="AK36" s="820">
        <f>AK37+AK38+AK39</f>
        <v>0</v>
      </c>
      <c r="AL36" s="820">
        <f>AL37+AL38+AL39</f>
        <v>0</v>
      </c>
      <c r="AM36" s="820">
        <f>AM37+AM38+AM39</f>
        <v>0</v>
      </c>
      <c r="AN36" s="820">
        <f>AN37+AN38+AN39</f>
        <v>0</v>
      </c>
      <c r="AO36" s="820">
        <f>AO37+AO38+AO39</f>
        <v>0</v>
      </c>
      <c r="AP36" s="820">
        <f>AP37+AP38+AP39</f>
        <v>0</v>
      </c>
      <c r="AQ36" s="820">
        <f>AQ37+AQ38+AQ39</f>
        <v>0</v>
      </c>
      <c r="AR36" s="820">
        <f>AR37+AR38+AR39</f>
        <v>0</v>
      </c>
      <c r="AS36" s="820">
        <f>AS37+AS38+AS39</f>
        <v>0</v>
      </c>
      <c r="AT36" s="820">
        <f>AT37+AT38+AT39</f>
        <v>0</v>
      </c>
      <c r="AU36" s="820">
        <f>AU37+AU38+AU39</f>
        <v>0</v>
      </c>
      <c r="AV36" s="820">
        <f>AV37+AV38+AV39</f>
        <v>0</v>
      </c>
      <c r="AW36" s="820">
        <f>AW37+AW38+AW39</f>
        <v>0</v>
      </c>
      <c r="AX36" s="820">
        <f>AX37+AX38+AX39</f>
        <v>0</v>
      </c>
      <c r="AY36" s="750"/>
      <c r="AZ36" s="113"/>
      <c r="BA36" s="1363"/>
      <c r="BB36" s="974" t="s">
        <v>1193</v>
      </c>
    </row>
    <row s="1624" customFormat="1" customHeight="1" ht="14.25">
      <c r="A37" s="1363"/>
      <c r="B37" s="1369"/>
      <c r="C37" s="1363"/>
      <c r="D37" s="1363"/>
      <c r="E37" s="593">
        <v>15</v>
      </c>
      <c r="F37" s="50" cm="1" t="str">
        <f t="array" ref="F37:F37">OFFSET(E37,-1,1)</f>
        <v>1</v>
      </c>
      <c r="G37" s="398" t="s">
        <v>434</v>
      </c>
      <c r="H37" s="398"/>
      <c r="I37" s="398"/>
      <c r="J37" s="398"/>
      <c r="K37" s="1363"/>
      <c r="L37" s="1363"/>
      <c r="M37" s="1363"/>
      <c r="N37" s="1363"/>
      <c r="O37" s="1363"/>
      <c r="P37" s="1363"/>
      <c r="Q37" s="1363"/>
      <c r="R37" s="1363"/>
      <c r="S37" s="1363"/>
      <c r="T37" s="438" cm="1" t="str">
        <f t="array" ref="T37:T37">T36</f>
        <v>true</v>
      </c>
      <c r="U37" s="1363"/>
      <c r="V37" s="1363"/>
      <c r="W37" s="1363"/>
      <c r="X37" s="1511"/>
      <c r="Y37" s="398"/>
      <c r="Z37" s="1542"/>
      <c r="AA37" s="398"/>
      <c r="AB37" s="826" t="s">
        <v>844</v>
      </c>
      <c r="AC37" s="827" t="s">
        <v>1260</v>
      </c>
      <c r="AD37" s="826" t="s">
        <v>789</v>
      </c>
      <c r="AE37" s="264"/>
      <c r="AF37" s="264"/>
      <c r="AG37" s="264"/>
      <c r="AH37" s="264"/>
      <c r="AI37" s="264"/>
      <c r="AJ37" s="264"/>
      <c r="AK37" s="264"/>
      <c r="AL37" s="264"/>
      <c r="AM37" s="264"/>
      <c r="AN37" s="264"/>
      <c r="AO37" s="264"/>
      <c r="AP37" s="264"/>
      <c r="AQ37" s="264"/>
      <c r="AR37" s="264"/>
      <c r="AS37" s="264"/>
      <c r="AT37" s="264"/>
      <c r="AU37" s="264"/>
      <c r="AV37" s="264"/>
      <c r="AW37" s="264"/>
      <c r="AX37" s="264"/>
      <c r="AY37" s="750"/>
      <c r="AZ37" s="398"/>
      <c r="BA37" s="1363"/>
      <c r="BB37" s="974" t="s">
        <v>1261</v>
      </c>
    </row>
    <row s="1624" customFormat="1" customHeight="1" ht="23.25">
      <c r="A38" s="1363"/>
      <c r="B38" s="1369"/>
      <c r="C38" s="1363"/>
      <c r="D38" s="1363"/>
      <c r="E38" s="593">
        <v>24</v>
      </c>
      <c r="F38" s="50" cm="1" t="str">
        <f t="array" ref="F38:F38">OFFSET(E38,-1,1)</f>
        <v>1</v>
      </c>
      <c r="G38" s="398" t="s">
        <v>438</v>
      </c>
      <c r="H38" s="398"/>
      <c r="I38" s="398"/>
      <c r="J38" s="398"/>
      <c r="K38" s="1363"/>
      <c r="L38" s="1363"/>
      <c r="M38" s="1363"/>
      <c r="N38" s="1363"/>
      <c r="O38" s="1363"/>
      <c r="P38" s="1363"/>
      <c r="Q38" s="1363"/>
      <c r="R38" s="1363"/>
      <c r="S38" s="1363"/>
      <c r="T38" s="438" cm="1" t="str">
        <f t="array" ref="T38:T38">T37</f>
        <v>true</v>
      </c>
      <c r="U38" s="1363"/>
      <c r="V38" s="1363"/>
      <c r="W38" s="1363"/>
      <c r="X38" s="1511"/>
      <c r="Y38" s="398"/>
      <c r="Z38" s="1542"/>
      <c r="AA38" s="398"/>
      <c r="AB38" s="826" t="s">
        <v>847</v>
      </c>
      <c r="AC38" s="827" t="s">
        <v>1262</v>
      </c>
      <c r="AD38" s="826" t="s">
        <v>789</v>
      </c>
      <c r="AE38" s="264"/>
      <c r="AF38" s="264"/>
      <c r="AG38" s="264"/>
      <c r="AH38" s="264"/>
      <c r="AI38" s="264"/>
      <c r="AJ38" s="264"/>
      <c r="AK38" s="264"/>
      <c r="AL38" s="264"/>
      <c r="AM38" s="264"/>
      <c r="AN38" s="264"/>
      <c r="AO38" s="264"/>
      <c r="AP38" s="264"/>
      <c r="AQ38" s="264"/>
      <c r="AR38" s="264"/>
      <c r="AS38" s="264"/>
      <c r="AT38" s="264"/>
      <c r="AU38" s="264"/>
      <c r="AV38" s="264"/>
      <c r="AW38" s="264"/>
      <c r="AX38" s="264"/>
      <c r="AY38" s="750"/>
      <c r="AZ38" s="398"/>
      <c r="BA38" s="1363"/>
      <c r="BB38" s="974" t="s">
        <v>1263</v>
      </c>
    </row>
    <row s="1624" customFormat="1" customHeight="1" ht="33">
      <c r="A39" s="88"/>
      <c r="B39" s="400"/>
      <c r="C39" s="88"/>
      <c r="D39" s="88"/>
      <c r="E39" s="593">
        <v>34.2</v>
      </c>
      <c r="F39" s="1153" cm="1" t="str">
        <f t="array" ref="F39:F39">OFFSET(E39,-1,1)</f>
        <v>1</v>
      </c>
      <c r="G39" s="398" t="s">
        <v>441</v>
      </c>
      <c r="H39" s="398"/>
      <c r="I39" s="398"/>
      <c r="J39" s="398"/>
      <c r="K39" s="88"/>
      <c r="L39" s="88"/>
      <c r="M39" s="88"/>
      <c r="N39" s="88"/>
      <c r="O39" s="88"/>
      <c r="P39" s="88"/>
      <c r="Q39" s="88"/>
      <c r="R39" s="88"/>
      <c r="S39" s="88"/>
      <c r="T39" s="438" cm="1" t="str">
        <f t="array" ref="T39:T39">T38</f>
        <v>true</v>
      </c>
      <c r="U39" s="88"/>
      <c r="V39" s="88"/>
      <c r="W39" s="88"/>
      <c r="X39" s="1511"/>
      <c r="Y39" s="398"/>
      <c r="Z39" s="1542"/>
      <c r="AA39" s="398"/>
      <c r="AB39" s="826" t="s">
        <v>850</v>
      </c>
      <c r="AC39" s="827" t="s">
        <v>1264</v>
      </c>
      <c r="AD39" s="826" t="s">
        <v>789</v>
      </c>
      <c r="AE39" s="264"/>
      <c r="AF39" s="264"/>
      <c r="AG39" s="264"/>
      <c r="AH39" s="264"/>
      <c r="AI39" s="264"/>
      <c r="AJ39" s="264"/>
      <c r="AK39" s="264"/>
      <c r="AL39" s="264"/>
      <c r="AM39" s="264"/>
      <c r="AN39" s="264"/>
      <c r="AO39" s="264"/>
      <c r="AP39" s="264"/>
      <c r="AQ39" s="264"/>
      <c r="AR39" s="264"/>
      <c r="AS39" s="264"/>
      <c r="AT39" s="264"/>
      <c r="AU39" s="264"/>
      <c r="AV39" s="264"/>
      <c r="AW39" s="264"/>
      <c r="AX39" s="264"/>
      <c r="AY39" s="750"/>
      <c r="AZ39" s="398"/>
      <c r="BA39" s="1624"/>
      <c r="BB39" s="1025" t="s">
        <v>1265</v>
      </c>
    </row>
    <row s="1624" customFormat="1" customHeight="1" ht="14.25">
      <c r="A40" s="1363"/>
      <c r="B40" s="1369"/>
      <c r="C40" s="1363"/>
      <c r="D40" s="1363"/>
      <c r="E40" s="593">
        <v>15</v>
      </c>
      <c r="F40" s="50" cm="1" t="str">
        <f t="array" ref="F40:F40">OFFSET(E40,-1,1)</f>
        <v>1</v>
      </c>
      <c r="G40" s="398" t="s">
        <v>322</v>
      </c>
      <c r="H40" s="398"/>
      <c r="I40" s="398"/>
      <c r="J40" s="398"/>
      <c r="K40" s="1363"/>
      <c r="L40" s="1363"/>
      <c r="M40" s="1363"/>
      <c r="N40" s="1363"/>
      <c r="O40" s="1363"/>
      <c r="P40" s="1363"/>
      <c r="Q40" s="1363"/>
      <c r="R40" s="1363"/>
      <c r="S40" s="1363"/>
      <c r="T40" s="438" cm="1" t="str">
        <f t="array" ref="T40:T40">T39</f>
        <v>true</v>
      </c>
      <c r="U40" s="1363"/>
      <c r="V40" s="1363"/>
      <c r="W40" s="1363"/>
      <c r="X40" s="1511"/>
      <c r="Y40" s="398"/>
      <c r="Z40" s="1542"/>
      <c r="AA40" s="398"/>
      <c r="AB40" s="826" t="s">
        <v>504</v>
      </c>
      <c r="AC40" s="828" t="s">
        <v>1266</v>
      </c>
      <c r="AD40" s="826" t="s">
        <v>430</v>
      </c>
      <c r="AE40" s="829">
        <f>_xlfn.SUMIFS(Сценарии!AJ$25:AJ$82,Сценарии!$F$25:$F$82,$F40,Сценарии!$AC$25:$AC$82,"Индекс потребительских цен")</f>
        <v>0</v>
      </c>
      <c r="AF40" s="829">
        <f>_xlfn.SUMIFS(Сценарии!AO$25:AO$82,Сценарии!$F$25:$F$82,$F40,Сценарии!$AC$25:$AC$82,"Индекс потребительских цен")</f>
        <v>0</v>
      </c>
      <c r="AG40" s="829">
        <f>_xlfn.SUMIFS(Сценарии!AP$25:AP$82,Сценарии!$F$25:$F$82,$F40,Сценарии!$AC$25:$AC$82,"Индекс потребительских цен")</f>
        <v>0</v>
      </c>
      <c r="AH40" s="829">
        <f>_xlfn.SUMIFS(Сценарии!AQ$25:AQ$82,Сценарии!$F$25:$F$82,$F40,Сценарии!$AC$25:$AC$82,"Индекс потребительских цен")</f>
        <v>0</v>
      </c>
      <c r="AI40" s="829">
        <f>_xlfn.SUMIFS(Сценарии!AR$25:AR$82,Сценарии!$F$25:$F$82,$F40,Сценарии!$AC$25:$AC$82,"Индекс потребительских цен")</f>
        <v>0</v>
      </c>
      <c r="AJ40" s="829">
        <f>_xlfn.SUMIFS(Сценарии!AS$25:AS$82,Сценарии!$F$25:$F$82,$F40,Сценарии!$AC$25:$AC$82,"Индекс потребительских цен")</f>
        <v>0</v>
      </c>
      <c r="AK40" s="829">
        <f>_xlfn.SUMIFS(Сценарии!AT$25:AT$82,Сценарии!$F$25:$F$82,$F40,Сценарии!$AC$25:$AC$82,"Индекс потребительских цен")</f>
        <v>0</v>
      </c>
      <c r="AL40" s="829">
        <f>_xlfn.SUMIFS(Сценарии!AU$25:AU$82,Сценарии!$F$25:$F$82,$F40,Сценарии!$AC$25:$AC$82,"Индекс потребительских цен")</f>
        <v>0</v>
      </c>
      <c r="AM40" s="829">
        <f>_xlfn.SUMIFS(Сценарии!AV$25:AV$82,Сценарии!$F$25:$F$82,$F40,Сценарии!$AC$25:$AC$82,"Индекс потребительских цен")</f>
        <v>0</v>
      </c>
      <c r="AN40" s="829">
        <f>_xlfn.SUMIFS(Сценарии!AW$25:AW$82,Сценарии!$F$25:$F$82,$F40,Сценарии!$AC$25:$AC$82,"Индекс потребительских цен")</f>
        <v>0</v>
      </c>
      <c r="AO40" s="829">
        <f>_xlfn.SUMIFS(Сценарии!AK$25:AK$82,Сценарии!$F$25:$F$82,$F40,Сценарии!$AC$25:$AC$82,"Индекс потребительских цен")</f>
        <v>0</v>
      </c>
      <c r="AP40" s="829">
        <f>_xlfn.SUMIFS(Сценарии!AX$25:AX$82,Сценарии!$F$25:$F$82,$F40,Сценарии!$AC$25:$AC$82,"Индекс потребительских цен")</f>
        <v>0</v>
      </c>
      <c r="AQ40" s="829">
        <f>_xlfn.SUMIFS(Сценарии!AY$25:AY$82,Сценарии!$F$25:$F$82,$F40,Сценарии!$AC$25:$AC$82,"Индекс потребительских цен")</f>
        <v>0</v>
      </c>
      <c r="AR40" s="829">
        <f>_xlfn.SUMIFS(Сценарии!AZ$25:AZ$82,Сценарии!$F$25:$F$82,$F40,Сценарии!$AC$25:$AC$82,"Индекс потребительских цен")</f>
        <v>0</v>
      </c>
      <c r="AS40" s="829">
        <f>_xlfn.SUMIFS(Сценарии!BA$25:BA$82,Сценарии!$F$25:$F$82,$F40,Сценарии!$AC$25:$AC$82,"Индекс потребительских цен")</f>
        <v>0</v>
      </c>
      <c r="AT40" s="829">
        <f>_xlfn.SUMIFS(Сценарии!BB$25:BB$82,Сценарии!$F$25:$F$82,$F40,Сценарии!$AC$25:$AC$82,"Индекс потребительских цен")</f>
        <v>0</v>
      </c>
      <c r="AU40" s="829">
        <f>_xlfn.SUMIFS(Сценарии!BC$25:BC$82,Сценарии!$F$25:$F$82,$F40,Сценарии!$AC$25:$AC$82,"Индекс потребительских цен")</f>
        <v>0</v>
      </c>
      <c r="AV40" s="829">
        <f>_xlfn.SUMIFS(Сценарии!BD$25:BD$82,Сценарии!$F$25:$F$82,$F40,Сценарии!$AC$25:$AC$82,"Индекс потребительских цен")</f>
        <v>0</v>
      </c>
      <c r="AW40" s="829">
        <f>_xlfn.SUMIFS(Сценарии!BE$25:BE$82,Сценарии!$F$25:$F$82,$F40,Сценарии!$AC$25:$AC$82,"Индекс потребительских цен")</f>
        <v>0</v>
      </c>
      <c r="AX40" s="829">
        <f>_xlfn.SUMIFS(Сценарии!BF$25:BF$82,Сценарии!$F$25:$F$82,$F40,Сценарии!$AC$25:$AC$82,"Индекс потребительских цен")</f>
        <v>0</v>
      </c>
      <c r="AY40" s="750"/>
      <c r="AZ40" s="398"/>
      <c r="BA40" s="1363"/>
      <c r="BB40" s="974" t="s">
        <v>1267</v>
      </c>
    </row>
    <row s="2833" customFormat="1" customHeight="1" ht="14.25">
      <c r="A41" s="88"/>
      <c r="B41" s="400"/>
      <c r="C41" s="88"/>
      <c r="D41" s="88"/>
      <c r="E41" s="593">
        <v>15</v>
      </c>
      <c r="F41" s="50" cm="1" t="str">
        <f t="array" ref="F41:F41">OFFSET(E41,-1,1)</f>
        <v>1</v>
      </c>
      <c r="G41" s="398" t="s">
        <v>323</v>
      </c>
      <c r="H41" s="398"/>
      <c r="I41" s="398"/>
      <c r="J41" s="398"/>
      <c r="K41" s="88"/>
      <c r="L41" s="88"/>
      <c r="M41" s="88"/>
      <c r="N41" s="88"/>
      <c r="O41" s="88"/>
      <c r="P41" s="88"/>
      <c r="Q41" s="88"/>
      <c r="R41" s="88"/>
      <c r="S41" s="88"/>
      <c r="T41" s="438" cm="1" t="str">
        <f t="array" ref="T41:T41">T40</f>
        <v>true</v>
      </c>
      <c r="U41" s="88"/>
      <c r="V41" s="88"/>
      <c r="W41" s="88"/>
      <c r="X41" s="1511"/>
      <c r="Y41" s="398"/>
      <c r="Z41" s="1542"/>
      <c r="AA41" s="398"/>
      <c r="AB41" s="742">
        <v>3</v>
      </c>
      <c r="AC41" s="828" t="s">
        <v>1268</v>
      </c>
      <c r="AD41" s="826" t="s">
        <v>430</v>
      </c>
      <c r="AE41" s="830" cm="1" t="str">
        <f t="array" ref="AE41:AE41">AE40</f>
        <v>0</v>
      </c>
      <c r="AF41" s="830">
        <f>AE41*AF40/100</f>
        <v>0</v>
      </c>
      <c r="AG41" s="830">
        <f>AF41*AG40/100</f>
        <v>0</v>
      </c>
      <c r="AH41" s="830">
        <f>AG41*AH40/100</f>
        <v>0</v>
      </c>
      <c r="AI41" s="830">
        <f>AH41*AI40/100</f>
        <v>0</v>
      </c>
      <c r="AJ41" s="830">
        <f>AI41*AJ40/100</f>
        <v>0</v>
      </c>
      <c r="AK41" s="830">
        <f>AJ41*AK40/100</f>
        <v>0</v>
      </c>
      <c r="AL41" s="830">
        <f>AK41*AL40/100</f>
        <v>0</v>
      </c>
      <c r="AM41" s="830">
        <f>AL41*AM40/100</f>
        <v>0</v>
      </c>
      <c r="AN41" s="830">
        <f>AM41*AN40/100</f>
        <v>0</v>
      </c>
      <c r="AO41" s="830">
        <f>AN41*AO40/100</f>
        <v>0</v>
      </c>
      <c r="AP41" s="830">
        <f>AO41*AP40/100</f>
        <v>0</v>
      </c>
      <c r="AQ41" s="830">
        <f>AP41*AQ40/100</f>
        <v>0</v>
      </c>
      <c r="AR41" s="830">
        <f>AQ41*AR40/100</f>
        <v>0</v>
      </c>
      <c r="AS41" s="830">
        <f>AR41*AS40/100</f>
        <v>0</v>
      </c>
      <c r="AT41" s="830">
        <f>AS41*AT40/100</f>
        <v>0</v>
      </c>
      <c r="AU41" s="830">
        <f>AT41*AU40/100</f>
        <v>0</v>
      </c>
      <c r="AV41" s="830">
        <f>AU41*AV40/100</f>
        <v>0</v>
      </c>
      <c r="AW41" s="830">
        <f>AV41*AW40/100</f>
        <v>0</v>
      </c>
      <c r="AX41" s="830">
        <f>AW41*AX40/100</f>
        <v>0</v>
      </c>
      <c r="AY41" s="750"/>
      <c r="AZ41" s="398"/>
      <c r="BA41" s="674"/>
      <c r="BB41" s="1028" t="s">
        <v>1269</v>
      </c>
    </row>
    <row s="1624" customFormat="1" customHeight="1" ht="14.25">
      <c r="A42" s="207"/>
      <c r="B42" s="403"/>
      <c r="C42" s="207"/>
      <c r="D42" s="207"/>
      <c r="E42" s="667">
        <v>15</v>
      </c>
      <c r="F42" s="50" cm="1" t="str">
        <f t="array" ref="F42:F42">OFFSET(E42,-1,1)</f>
        <v>1</v>
      </c>
      <c r="G42" s="398" t="s">
        <v>325</v>
      </c>
      <c r="H42" s="398" t="s">
        <v>1270</v>
      </c>
      <c r="I42" s="113"/>
      <c r="J42" s="113"/>
      <c r="K42" s="207"/>
      <c r="L42" s="207"/>
      <c r="M42" s="207"/>
      <c r="N42" s="207"/>
      <c r="O42" s="207"/>
      <c r="P42" s="207"/>
      <c r="Q42" s="207"/>
      <c r="R42" s="207"/>
      <c r="S42" s="207"/>
      <c r="T42" s="438" cm="1" t="str">
        <f t="array" ref="T42:T42">T41</f>
        <v>true</v>
      </c>
      <c r="U42" s="207"/>
      <c r="V42" s="207"/>
      <c r="W42" s="207"/>
      <c r="X42" s="1511"/>
      <c r="Y42" s="113"/>
      <c r="Z42" s="1542"/>
      <c r="AA42" s="113"/>
      <c r="AB42" s="213" t="s">
        <v>530</v>
      </c>
      <c r="AC42" s="212" t="s">
        <v>1271</v>
      </c>
      <c r="AD42" s="213" t="s">
        <v>789</v>
      </c>
      <c r="AE42" s="820">
        <f>AE36*AE41/100</f>
        <v>0</v>
      </c>
      <c r="AF42" s="820">
        <f>AF36*AF41/100</f>
        <v>0</v>
      </c>
      <c r="AG42" s="820">
        <f>AG36*AG41/100</f>
        <v>0</v>
      </c>
      <c r="AH42" s="820">
        <f>AH36*AH41/100</f>
        <v>0</v>
      </c>
      <c r="AI42" s="820">
        <f>AI36*AI41/100</f>
        <v>0</v>
      </c>
      <c r="AJ42" s="820">
        <f>AJ36*AJ41/100</f>
        <v>0</v>
      </c>
      <c r="AK42" s="820">
        <f>AK36*AK41/100</f>
        <v>0</v>
      </c>
      <c r="AL42" s="820">
        <f>AL36*AL41/100</f>
        <v>0</v>
      </c>
      <c r="AM42" s="820">
        <f>AM36*AM41/100</f>
        <v>0</v>
      </c>
      <c r="AN42" s="820">
        <f>AN36*AN41/100</f>
        <v>0</v>
      </c>
      <c r="AO42" s="820">
        <f>AO36*AO41/100</f>
        <v>0</v>
      </c>
      <c r="AP42" s="820">
        <f>AP36*AP41/100</f>
        <v>0</v>
      </c>
      <c r="AQ42" s="820">
        <f>AQ36*AQ41/100</f>
        <v>0</v>
      </c>
      <c r="AR42" s="820">
        <f>AR36*AR41/100</f>
        <v>0</v>
      </c>
      <c r="AS42" s="820">
        <f>AS36*AS41/100</f>
        <v>0</v>
      </c>
      <c r="AT42" s="820">
        <f>AT36*AT41/100</f>
        <v>0</v>
      </c>
      <c r="AU42" s="820">
        <f>AU36*AU41/100</f>
        <v>0</v>
      </c>
      <c r="AV42" s="820">
        <f>AV36*AV41/100</f>
        <v>0</v>
      </c>
      <c r="AW42" s="820">
        <f>AW36*AW41/100</f>
        <v>0</v>
      </c>
      <c r="AX42" s="820">
        <f>AX36*AX41/100</f>
        <v>0</v>
      </c>
      <c r="AY42" s="750"/>
      <c r="AZ42" s="113"/>
      <c r="BA42" s="1363"/>
      <c r="BB42" s="974" t="s">
        <v>1272</v>
      </c>
    </row>
    <row customHeight="1" ht="10.96875">
      <c r="A43" s="0"/>
      <c r="B43" s="402"/>
      <c r="C43" s="0"/>
      <c r="D43" s="0"/>
      <c r="E43" s="599">
        <v>11.25</v>
      </c>
      <c r="F43" s="0"/>
      <c r="G43" s="0"/>
      <c r="H43" s="0"/>
      <c r="I43" s="0"/>
      <c r="J43" s="0"/>
      <c r="K43" s="0"/>
      <c r="L43" s="0"/>
      <c r="M43" s="0"/>
      <c r="N43" s="0"/>
      <c r="O43" s="0"/>
      <c r="P43" s="0"/>
      <c r="Q43" s="0"/>
      <c r="R43" s="0"/>
      <c r="S43" s="0"/>
      <c r="T43" s="0"/>
      <c r="U43" s="455" t="s">
        <v>176</v>
      </c>
      <c r="V43" s="106" t="s">
        <v>1273</v>
      </c>
      <c r="W43" s="0"/>
      <c r="X43" s="0"/>
      <c r="Y43" s="0"/>
      <c r="Z43" s="0"/>
      <c r="AA43" s="0"/>
      <c r="AB43" s="0"/>
      <c r="AC43" s="66"/>
      <c r="AD43" s="66"/>
      <c r="AE43" s="66"/>
      <c r="AF43" s="66"/>
      <c r="AG43" s="0"/>
      <c r="AH43" s="0"/>
      <c r="AI43" s="0"/>
      <c r="AJ43" s="0"/>
      <c r="AK43" s="0"/>
      <c r="AL43" s="0"/>
      <c r="AM43" s="0"/>
      <c r="AN43" s="0"/>
      <c r="AO43" s="0"/>
      <c r="AP43" s="0"/>
      <c r="AQ43" s="67"/>
      <c r="AR43" s="0"/>
      <c r="AS43" s="0"/>
      <c r="AT43" s="0"/>
      <c r="AU43" s="0"/>
      <c r="AV43" s="0"/>
      <c r="AW43" s="0"/>
      <c r="AX43" s="0"/>
      <c r="AY43" s="0"/>
      <c r="AZ43" s="0"/>
    </row>
    <row customHeight="1" ht="14.625">
      <c r="E44" s="593">
        <v>15</v>
      </c>
      <c r="F44" s="398"/>
      <c r="G44" s="398"/>
      <c r="H44" s="398"/>
      <c r="I44" s="398"/>
      <c r="J44" s="398"/>
      <c r="AB44" s="1522" t="s">
        <v>392</v>
      </c>
      <c r="AC44" s="1522"/>
      <c r="AD44" s="1522"/>
      <c r="AE44" s="1522"/>
      <c r="AF44" s="1522"/>
      <c r="AG44" s="1522"/>
      <c r="AH44" s="1522"/>
      <c r="AI44" s="1522"/>
      <c r="AJ44" s="1522"/>
      <c r="AK44" s="1522"/>
      <c r="AL44" s="1522"/>
      <c r="AM44" s="1522"/>
      <c r="AN44" s="1522"/>
      <c r="AO44" s="1522"/>
      <c r="AP44" s="1522"/>
      <c r="AQ44" s="1522"/>
      <c r="AR44" s="1522"/>
      <c r="AS44" s="1522"/>
      <c r="AT44" s="1522"/>
      <c r="AU44" s="1522"/>
      <c r="AV44" s="1522"/>
      <c r="AW44" s="1522"/>
      <c r="AX44" s="1543"/>
      <c r="AY44" s="1543"/>
    </row>
    <row customHeight="1" ht="14.625">
      <c r="E45" s="593">
        <v>15</v>
      </c>
      <c r="F45" s="398"/>
      <c r="G45" s="398"/>
      <c r="H45" s="398"/>
      <c r="I45" s="398"/>
      <c r="J45" s="398"/>
      <c r="AA45" s="139"/>
      <c r="AB45" s="1573"/>
      <c r="AC45" s="1574"/>
      <c r="AD45" s="1574"/>
      <c r="AE45" s="1574"/>
      <c r="AF45" s="1574"/>
      <c r="AG45" s="1574"/>
      <c r="AH45" s="1574"/>
      <c r="AI45" s="1574"/>
      <c r="AJ45" s="1574"/>
      <c r="AK45" s="1574"/>
      <c r="AL45" s="1574"/>
      <c r="AM45" s="1574"/>
      <c r="AN45" s="1574"/>
      <c r="AO45" s="1574"/>
      <c r="AP45" s="1574"/>
      <c r="AQ45" s="1574"/>
      <c r="AR45" s="1574"/>
      <c r="AS45" s="1574"/>
      <c r="AT45" s="1574"/>
      <c r="AU45" s="1574"/>
      <c r="AV45" s="1574"/>
      <c r="AW45" s="1574"/>
      <c r="AX45" s="1575"/>
      <c r="AY45" s="1575"/>
    </row>
    <row customHeight="1" ht="14.625" hidden="1">
      <c r="A46" s="1363"/>
      <c r="B46" s="1369"/>
      <c r="C46" s="1363"/>
      <c r="D46" s="1363"/>
      <c r="E46" s="593">
        <v>15</v>
      </c>
      <c r="F46" s="1363"/>
      <c r="G46" s="1363"/>
      <c r="H46" s="1363"/>
      <c r="I46" s="1363"/>
      <c r="J46" s="1363"/>
      <c r="K46" s="1363"/>
      <c r="L46" s="1363"/>
      <c r="M46" s="1363"/>
      <c r="N46" s="1363"/>
      <c r="O46" s="1363"/>
      <c r="P46" s="1363"/>
      <c r="Q46" s="1363"/>
      <c r="R46" s="1363"/>
      <c r="S46" s="1363"/>
      <c r="T46" s="438">
        <f>ROW(W46)&gt;ROW(W$46)</f>
        <v>0</v>
      </c>
      <c r="U46" s="1363"/>
      <c r="V46" s="1363"/>
      <c r="W46" s="733" t="s">
        <v>172</v>
      </c>
      <c r="X46" s="1363"/>
      <c r="Y46" s="1363"/>
      <c r="Z46" s="1363"/>
      <c r="AA46" s="392" t="s">
        <v>173</v>
      </c>
      <c r="AB46" s="2818" t="s">
        <v>228</v>
      </c>
      <c r="AC46" s="1574"/>
      <c r="AD46" s="1574"/>
      <c r="AE46" s="1574"/>
      <c r="AF46" s="1574"/>
      <c r="AG46" s="1574"/>
      <c r="AH46" s="1574"/>
      <c r="AI46" s="1574"/>
      <c r="AJ46" s="1574"/>
      <c r="AK46" s="1574"/>
      <c r="AL46" s="1574"/>
      <c r="AM46" s="1574"/>
      <c r="AN46" s="1574"/>
      <c r="AO46" s="1574"/>
      <c r="AP46" s="1574"/>
      <c r="AQ46" s="1574"/>
      <c r="AR46" s="1574"/>
      <c r="AS46" s="1574"/>
      <c r="AT46" s="1574"/>
      <c r="AU46" s="1574"/>
      <c r="AV46" s="1574"/>
      <c r="AW46" s="1574"/>
      <c r="AX46" s="1575"/>
      <c r="AY46" s="1575"/>
      <c r="AZ46" s="1363"/>
      <c r="BA46" s="1363"/>
      <c r="BB46" s="1374"/>
    </row>
    <row s="674" customFormat="1" customHeight="1" ht="14.625">
      <c r="A47" s="88"/>
      <c r="B47" s="400"/>
      <c r="C47" s="88"/>
      <c r="D47" s="88"/>
      <c r="E47" s="593">
        <v>15</v>
      </c>
      <c r="F47" s="88"/>
      <c r="G47" s="88"/>
      <c r="H47" s="88"/>
      <c r="I47" s="88"/>
      <c r="J47" s="88"/>
      <c r="K47" s="88"/>
      <c r="L47" s="88"/>
      <c r="M47" s="88"/>
      <c r="N47" s="88"/>
      <c r="O47" s="88"/>
      <c r="P47" s="88"/>
      <c r="Q47" s="88"/>
      <c r="R47" s="88"/>
      <c r="S47" s="88"/>
      <c r="T47" s="88"/>
      <c r="U47" s="88"/>
      <c r="V47" s="88"/>
      <c r="W47" s="733" t="s">
        <v>396</v>
      </c>
      <c r="X47" s="88"/>
      <c r="Y47" s="88"/>
      <c r="Z47" s="88"/>
      <c r="AA47" s="88"/>
      <c r="AB47" s="623"/>
      <c r="AC47" s="487" t="s">
        <v>397</v>
      </c>
      <c r="AD47" s="276"/>
      <c r="AE47" s="276"/>
      <c r="AF47" s="276"/>
      <c r="AG47" s="276"/>
      <c r="AH47" s="276"/>
      <c r="AI47" s="276"/>
      <c r="AJ47" s="276"/>
      <c r="AK47" s="276"/>
      <c r="AL47" s="276"/>
      <c r="AM47" s="276"/>
      <c r="AN47" s="276"/>
      <c r="AO47" s="276"/>
      <c r="AP47" s="276"/>
      <c r="AQ47" s="276"/>
      <c r="AR47" s="276"/>
      <c r="AS47" s="276"/>
      <c r="AT47" s="276"/>
      <c r="AU47" s="276"/>
      <c r="AV47" s="276"/>
      <c r="AW47" s="276"/>
      <c r="AX47" s="276"/>
      <c r="AY47" s="241"/>
      <c r="AZ47" s="88"/>
      <c r="BB47" s="1028"/>
    </row>
    <row s="1624" customFormat="1" customHeight="1" ht="10.725000000000001">
      <c r="A48" s="88"/>
      <c r="B48" s="400"/>
      <c r="C48" s="88"/>
      <c r="D48" s="88"/>
      <c r="E48" s="593">
        <v>11</v>
      </c>
      <c r="F48" s="88"/>
      <c r="G48" s="88"/>
      <c r="H48" s="88"/>
      <c r="I48" s="88"/>
      <c r="J48" s="88"/>
      <c r="K48" s="88"/>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c r="AR48" s="88"/>
      <c r="AS48" s="88"/>
      <c r="AT48" s="88"/>
      <c r="AU48" s="88"/>
      <c r="AV48" s="88"/>
      <c r="AW48" s="88"/>
      <c r="AX48" s="88"/>
      <c r="AY48" s="88"/>
      <c r="AZ48" s="398"/>
      <c r="BB48" s="981"/>
    </row>
  </sheetData>
  <sheetProtection formatColumns="0" formatRows="0" insertRows="0" deleteColumns="0" deleteRows="0" sort="0" autoFilter="0" insertColumns="1"/>
  <mergeCells count="11">
    <mergeCell ref="AB24:AB25"/>
    <mergeCell ref="AC24:AC25"/>
    <mergeCell ref="AD24:AD25"/>
    <mergeCell ref="AY24:AY25"/>
    <mergeCell ref="AB46:AY46"/>
    <mergeCell ref="X27:X34"/>
    <mergeCell ref="Z27:Z34"/>
    <mergeCell ref="AB44:AY44"/>
    <mergeCell ref="AB45:AY45"/>
    <mergeCell ref="X35:X42"/>
    <mergeCell ref="Z35:Z42"/>
  </mergeCells>
  <dataValidations count="1">
    <dataValidation allowBlank="1" showInputMessage="1" showErrorMessage="1" sqref="AY44:AY46"/>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8E52F8-3635-4779-E632-8CE28F42A9D8}" mc:Ignorable="x14ac xr xr2 xr3">
  <sheetPr>
    <tabColor rgb="FF002060"/>
  </sheetPr>
  <dimension ref="A1:AQ37"/>
  <sheetViews>
    <sheetView showGridLines="0" workbookViewId="0">
      <pane xSplit="30" ySplit="24" topLeftCell="AE25" activePane="bottomRight" state="frozen"/>
      <selection pane="bottomLeft" activeCell="A25" sqref="A25"/>
      <selection pane="topRight" activeCell="AE1" sqref="AE1"/>
      <selection pane="bottomRight" activeCell="AA21" sqref="AA21"/>
    </sheetView>
  </sheetViews>
  <sheetFormatPr defaultColWidth="9.140625" customHeight="1" defaultRowHeight="11.25"/>
  <cols>
    <col min="1" max="1" style="1363" width="3.57421875" hidden="1" customWidth="1"/>
    <col min="2" max="2" style="1369" width="8.57421875" hidden="1" customWidth="1"/>
    <col min="3" max="4" style="1363" width="3.57421875" hidden="1" customWidth="1"/>
    <col min="5" max="5" style="1370" width="3.57421875" hidden="1" customWidth="1"/>
    <col min="6" max="6" style="1364" width="3.57421875" hidden="1" customWidth="1"/>
    <col min="7" max="19" style="1363" width="3.57421875" hidden="1" customWidth="1"/>
    <col min="20" max="20" style="1363" width="10.421875" hidden="1" customWidth="1"/>
    <col min="21" max="21" style="1363" width="5.8515625" hidden="1" customWidth="1"/>
    <col min="22" max="23" style="1363" width="6.140625" hidden="1" customWidth="1"/>
    <col min="24" max="25" style="1363" width="5.57421875" hidden="1" customWidth="1"/>
    <col min="26" max="26" style="1363" width="5.28125" hidden="1" customWidth="1"/>
    <col min="27" max="27" style="1363" width="3.00390625" customWidth="1"/>
    <col min="28" max="28" style="1363" width="11.00390625" customWidth="1"/>
    <col min="29" max="29" style="1363" width="50.00390625" customWidth="1"/>
    <col min="30" max="30" style="1363" width="10.00390625" customWidth="1"/>
    <col min="31" max="31" style="1363" width="15.00390625" customWidth="1"/>
    <col min="32" max="32" style="1363" width="16.57421875" customWidth="1"/>
    <col min="33" max="33" style="1363" width="18.7109375" customWidth="1"/>
    <col min="34" max="34" style="1363" width="25.86328125" customWidth="1"/>
    <col min="35" max="35" style="1363" width="18.43359375" customWidth="1"/>
    <col min="36" max="36" style="1363" width="29.140625" customWidth="1"/>
    <col min="37" max="37" style="1363" width="18.43359375" customWidth="1"/>
    <col min="38" max="38" style="1363" width="15.00390625" customWidth="1"/>
    <col min="39" max="39" style="1363" width="3.00390625" customWidth="1"/>
    <col min="40" max="40" style="1363" width="9.140625" hidden="1"/>
    <col min="41" max="41" style="1374" width="9.140625" hidden="1"/>
    <col min="42" max="43" style="1363" width="9.140625" hidden="1"/>
  </cols>
  <sheetData>
    <row customHeight="1" ht="11.25" hidden="1">
      <c r="E1" s="88"/>
      <c r="F1" s="725" t="s">
        <v>309</v>
      </c>
      <c r="G1" s="88" t="s">
        <v>320</v>
      </c>
      <c r="T1" s="438" t="s">
        <v>92</v>
      </c>
      <c r="U1" s="438" t="s">
        <v>97</v>
      </c>
      <c r="V1" s="438" t="s">
        <v>93</v>
      </c>
      <c r="W1" s="438" t="s">
        <v>94</v>
      </c>
      <c r="X1" s="438" t="s">
        <v>95</v>
      </c>
      <c r="Y1" s="440" t="s">
        <v>311</v>
      </c>
      <c r="Z1" s="438" t="s">
        <v>99</v>
      </c>
      <c r="AA1" s="439" t="s">
        <v>96</v>
      </c>
      <c r="AB1" s="51"/>
      <c r="AC1" s="439" t="s">
        <v>98</v>
      </c>
      <c r="AO1" s="974" t="s">
        <v>312</v>
      </c>
    </row>
    <row s="1369" customFormat="1" customHeight="1" ht="11.25" hidden="1">
      <c r="B2" s="418" t="s">
        <v>18</v>
      </c>
      <c r="F2" s="726"/>
      <c r="AO2" s="986"/>
    </row>
    <row customHeight="1" ht="11.25" hidden="1">
      <c r="E3" s="88"/>
    </row>
    <row customHeight="1" ht="11.25" hidden="1">
      <c r="E4" s="88"/>
    </row>
    <row s="1370" customFormat="1" customHeight="1" ht="11.25" hidden="1">
      <c r="A5" s="88"/>
      <c r="B5" s="400"/>
      <c r="C5" s="88"/>
      <c r="D5" s="88"/>
      <c r="E5" s="593" t="s">
        <v>19</v>
      </c>
      <c r="F5" s="727"/>
      <c r="AA5" s="593">
        <v>3</v>
      </c>
      <c r="AB5" s="593">
        <v>11</v>
      </c>
      <c r="AC5" s="593">
        <v>50</v>
      </c>
      <c r="AD5" s="593">
        <v>10</v>
      </c>
      <c r="AE5" s="593">
        <v>15</v>
      </c>
      <c r="AF5" s="593">
        <v>16.57</v>
      </c>
      <c r="AG5" s="593">
        <v>18.71</v>
      </c>
      <c r="AH5" s="593">
        <v>25.86</v>
      </c>
      <c r="AI5" s="593">
        <v>18.43</v>
      </c>
      <c r="AJ5" s="593">
        <v>29.14</v>
      </c>
      <c r="AK5" s="593">
        <v>18.43</v>
      </c>
      <c r="AL5" s="593">
        <v>15</v>
      </c>
      <c r="AM5" s="593">
        <v>3</v>
      </c>
      <c r="AO5" s="974"/>
    </row>
    <row customHeight="1" ht="11.25" hidden="1">
      <c r="A6" s="88" t="s">
        <v>346</v>
      </c>
      <c r="AE6" s="88" cm="1" t="str">
        <f t="array" ref="AE6:AE6">AE24</f>
        <v>Начислено в соответствии с пунктом 26(1) Основ ценообразования в сфере водоснабжения и водоотведения</v>
      </c>
      <c r="AF6" s="88" cm="1" t="str">
        <f t="array" ref="AF6:AF6">AF24</f>
        <v>Направлено на внесение платы за негативное воздействие на окружающую среду</v>
      </c>
      <c r="AG6" s="88" cm="1" t="str">
        <f t="array" ref="AG6:AG6">AG24</f>
        <v>Направлено на компенсацию вреда, причиненного водному объекту</v>
      </c>
      <c r="AH6" s="88" cm="1" t="str">
        <f t="array" ref="AH6:AH6">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6" s="88" cm="1" t="str">
        <f t="array" ref="AI6:AI6">AI24</f>
        <v>Предусмотрено на финансирование мероприятий производственной программы регулируемой организации</v>
      </c>
      <c r="AJ6" s="88" cm="1" t="str">
        <f t="array" ref="AJ6:AJ6">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6" s="88" cm="1" t="str">
        <f t="array" ref="AK6:AK6">AK24</f>
        <v>Налог на прибыль</v>
      </c>
      <c r="AL6" s="88" cm="1" t="str">
        <f t="array" ref="AL6:AL6">AL24</f>
        <v>Подлежит к исключению</v>
      </c>
    </row>
    <row customHeight="1" ht="11.25" hidden="1"/>
    <row customHeight="1" ht="11.25" hidden="1"/>
    <row s="1374" customFormat="1" customHeight="1" ht="11.25" hidden="1">
      <c r="A9" s="974" t="s">
        <v>356</v>
      </c>
      <c r="B9" s="986"/>
      <c r="F9" s="987"/>
      <c r="AE9" s="974" cm="1" t="str">
        <f t="array" ref="AE9:AE9">AE24</f>
        <v>Начислено в соответствии с пунктом 26(1) Основ ценообразования в сфере водоснабжения и водоотведения</v>
      </c>
      <c r="AF9" s="974" cm="1" t="str">
        <f t="array" ref="AF9:AF9">AF24</f>
        <v>Направлено на внесение платы за негативное воздействие на окружающую среду</v>
      </c>
      <c r="AG9" s="974" cm="1" t="str">
        <f t="array" ref="AG9:AG9">AG24</f>
        <v>Направлено на компенсацию вреда, причиненного водному объекту</v>
      </c>
      <c r="AH9" s="974" cm="1" t="str">
        <f t="array" ref="AH9:AH9">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9" s="974" cm="1" t="str">
        <f t="array" ref="AI9:AI9">AI24</f>
        <v>Предусмотрено на финансирование мероприятий производственной программы регулируемой организации</v>
      </c>
      <c r="AJ9" s="974" cm="1" t="str">
        <f t="array" ref="AJ9:AJ9">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9" s="974" cm="1" t="str">
        <f t="array" ref="AK9:AK9">AK24</f>
        <v>Налог на прибыль</v>
      </c>
      <c r="AL9" s="974" cm="1" t="str">
        <f t="array" ref="AL9:AL9">AL24</f>
        <v>Подлежит к исключению</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0.96875">
      <c r="E21" s="593">
        <v>11.25</v>
      </c>
      <c r="AA21" s="397"/>
      <c r="AB21" s="122"/>
      <c r="AC21" s="122"/>
      <c r="AD21" s="122"/>
      <c r="AE21" s="122"/>
      <c r="AF21" s="122"/>
      <c r="AG21" s="122"/>
      <c r="AH21" s="122"/>
      <c r="AI21" s="122"/>
      <c r="AJ21" s="122"/>
      <c r="AK21" s="122"/>
      <c r="AL21" s="122"/>
    </row>
    <row customHeight="1" ht="19.5">
      <c r="E22" s="593">
        <v>20</v>
      </c>
      <c r="AB22" s="286" t="s">
        <v>1274</v>
      </c>
      <c r="AC22" s="202"/>
      <c r="AD22" s="202"/>
      <c r="AE22" s="202"/>
      <c r="AF22" s="202"/>
      <c r="AG22" s="215"/>
      <c r="AH22" s="215"/>
      <c r="AI22" s="215"/>
      <c r="AJ22" s="215"/>
      <c r="AK22" s="215"/>
      <c r="AL22" s="215"/>
    </row>
    <row customHeight="1" ht="10.96875">
      <c r="E23" s="593">
        <v>11.25</v>
      </c>
      <c r="AB23" s="122"/>
      <c r="AC23" s="122"/>
      <c r="AD23" s="122"/>
      <c r="AE23" s="122"/>
      <c r="AF23" s="122"/>
      <c r="AG23" s="122"/>
      <c r="AH23" s="122"/>
      <c r="AI23" s="122"/>
      <c r="AJ23" s="122"/>
      <c r="AK23" s="122"/>
      <c r="AL23" s="122"/>
    </row>
    <row customHeight="1" ht="108.95625000000001">
      <c r="E24" s="593">
        <v>111.75</v>
      </c>
      <c r="AB24" s="211" t="s">
        <v>1275</v>
      </c>
      <c r="AC24" s="52" t="s">
        <v>1257</v>
      </c>
      <c r="AD24" s="52" t="s">
        <v>359</v>
      </c>
      <c r="AE24" s="57" t="s">
        <v>1276</v>
      </c>
      <c r="AF24" s="57" t="s">
        <v>1277</v>
      </c>
      <c r="AG24" s="57" t="s">
        <v>1278</v>
      </c>
      <c r="AH24" s="57" t="s">
        <v>1279</v>
      </c>
      <c r="AI24" s="57" t="s">
        <v>1280</v>
      </c>
      <c r="AJ24" s="57" t="s">
        <v>1281</v>
      </c>
      <c r="AK24" s="57" t="s">
        <v>1161</v>
      </c>
      <c r="AL24" s="57" t="s">
        <v>1282</v>
      </c>
    </row>
    <row s="1624" customFormat="1" customHeight="1" ht="11.25">
      <c r="B25" s="402"/>
      <c r="E25" s="647" t="s">
        <v>362</v>
      </c>
      <c r="F25" s="1060"/>
      <c r="AC25" s="66"/>
      <c r="AD25" s="66"/>
      <c r="AE25" s="66"/>
      <c r="AF25" s="66"/>
      <c r="AO25" s="981"/>
      <c r="AQ25" s="67"/>
    </row>
    <row customHeight="1" ht="14.625" hidden="1">
      <c r="A26" s="1363"/>
      <c r="B26" s="1369"/>
      <c r="C26" s="1363"/>
      <c r="D26" s="1363"/>
      <c r="E26" s="593">
        <v>15</v>
      </c>
      <c r="F26" s="315" cm="1" t="str">
        <f t="array" ref="F26:F26">X26</f>
        <v>0</v>
      </c>
      <c r="G26" s="1363"/>
      <c r="H26" s="1363"/>
      <c r="I26" s="1363"/>
      <c r="J26" s="1363"/>
      <c r="K26" s="1363"/>
      <c r="L26" s="1363"/>
      <c r="M26" s="1363"/>
      <c r="N26" s="1363"/>
      <c r="O26" s="1363"/>
      <c r="P26" s="1363"/>
      <c r="Q26" s="1363"/>
      <c r="R26" s="1363"/>
      <c r="S26" s="1363"/>
      <c r="T26" s="438">
        <f>X26&gt;0</f>
        <v>0</v>
      </c>
      <c r="U26" s="1363"/>
      <c r="V26" s="88" t="s">
        <v>267</v>
      </c>
      <c r="W26" s="1363"/>
      <c r="X26" s="1511">
        <v>0</v>
      </c>
      <c r="Y26" s="1363"/>
      <c r="Z26" s="1494"/>
      <c r="AA26" s="1363"/>
      <c r="AB26" s="208" cm="1" t="str">
        <f t="array" ref="AB26:AB26">INDEX('Общие сведения'!$AG$179:$AG$208,MATCH($X26,'Общие сведения'!$Z$179:$Z$208,0))</f>
        <v>Тариф 0 () - тариф на транспортировку сточных вод</v>
      </c>
      <c r="AC26" s="209"/>
      <c r="AD26" s="209"/>
      <c r="AE26" s="239">
        <f>AE27+AE28</f>
        <v>0</v>
      </c>
      <c r="AF26" s="239">
        <f>AF27+AF28</f>
        <v>0</v>
      </c>
      <c r="AG26" s="239">
        <f>AG27+AG28</f>
        <v>0</v>
      </c>
      <c r="AH26" s="239">
        <f>AH27+AH28</f>
        <v>0</v>
      </c>
      <c r="AI26" s="239">
        <f>AI27+AI28</f>
        <v>0</v>
      </c>
      <c r="AJ26" s="239">
        <f>AJ27+AJ28</f>
        <v>0</v>
      </c>
      <c r="AK26" s="239">
        <f>AK27+AK28</f>
        <v>0</v>
      </c>
      <c r="AL26" s="239">
        <f>AL27+AL28</f>
        <v>0</v>
      </c>
      <c r="AM26" s="1363"/>
      <c r="AN26" s="1363"/>
      <c r="AO26" s="1374"/>
      <c r="AP26" s="1363"/>
      <c r="AQ26" s="1363"/>
    </row>
    <row customHeight="1" ht="33.39375" hidden="1">
      <c r="A27" s="1363"/>
      <c r="B27" s="418">
        <f>_xlfn.IFERROR(IF(SEARCH("Водоотведение",AB26),TRUE,FALSE),FALSE)</f>
        <v>0</v>
      </c>
      <c r="C27" s="1363"/>
      <c r="D27" s="1363"/>
      <c r="E27" s="593">
        <v>34.25</v>
      </c>
      <c r="F27" s="50" cm="1" t="str">
        <f t="array" ref="F27:F27">OFFSET(E27,-1,1)</f>
        <v>0</v>
      </c>
      <c r="G27" s="90">
        <v>1</v>
      </c>
      <c r="H27" s="1363"/>
      <c r="I27" s="1363"/>
      <c r="J27" s="1363"/>
      <c r="K27" s="1363"/>
      <c r="L27" s="1363"/>
      <c r="M27" s="1363"/>
      <c r="N27" s="1363"/>
      <c r="O27" s="1363"/>
      <c r="P27" s="1363"/>
      <c r="Q27" s="1363"/>
      <c r="R27" s="1363"/>
      <c r="S27" s="1363"/>
      <c r="T27" s="438" cm="1" t="str">
        <f t="array" ref="T27:T27">T26</f>
        <v>false</v>
      </c>
      <c r="U27" s="1363"/>
      <c r="V27" s="1363"/>
      <c r="W27" s="1363"/>
      <c r="X27" s="1511"/>
      <c r="Y27" s="1363"/>
      <c r="Z27" s="1494"/>
      <c r="AA27" s="1363"/>
      <c r="AB27" s="52" t="s">
        <v>281</v>
      </c>
      <c r="AC27" s="210" t="s">
        <v>1283</v>
      </c>
      <c r="AD27" s="52" t="s">
        <v>789</v>
      </c>
      <c r="AE27" s="2730"/>
      <c r="AF27" s="2841"/>
      <c r="AG27" s="2841"/>
      <c r="AH27" s="2841"/>
      <c r="AI27" s="2841"/>
      <c r="AJ27" s="2841"/>
      <c r="AK27" s="2841"/>
      <c r="AL27" s="2841">
        <f>IF(AE27-AF27-AG27-AH27-AI27-AJ27-AK27&lt;0,0,AE27-AF27-AG27-AH27-AI27-AJ27-AK27)</f>
        <v>0</v>
      </c>
      <c r="AM27" s="1363"/>
      <c r="AN27" s="1363"/>
      <c r="AO27" s="974" t="s">
        <v>1238</v>
      </c>
      <c r="AP27" s="1363"/>
      <c r="AQ27" s="1363"/>
    </row>
    <row customHeight="1" ht="33.39375" hidden="1">
      <c r="A28" s="1363"/>
      <c r="B28" s="418" cm="1" t="str">
        <f t="array" ref="B28:B28">B27</f>
        <v>false</v>
      </c>
      <c r="C28" s="1363"/>
      <c r="D28" s="1363"/>
      <c r="E28" s="593">
        <v>34.25</v>
      </c>
      <c r="F28" s="50" cm="1" t="str">
        <f t="array" ref="F28:F28">OFFSET(E28,-1,1)</f>
        <v>0</v>
      </c>
      <c r="G28" s="90">
        <v>2</v>
      </c>
      <c r="H28" s="1363"/>
      <c r="I28" s="1363"/>
      <c r="J28" s="1363"/>
      <c r="K28" s="1363"/>
      <c r="L28" s="1363"/>
      <c r="M28" s="1363"/>
      <c r="N28" s="1363"/>
      <c r="O28" s="1363"/>
      <c r="P28" s="1363"/>
      <c r="Q28" s="1363"/>
      <c r="R28" s="1363"/>
      <c r="S28" s="1363"/>
      <c r="T28" s="438" cm="1" t="str">
        <f t="array" ref="T28:T28">T27</f>
        <v>false</v>
      </c>
      <c r="U28" s="1363"/>
      <c r="V28" s="1363"/>
      <c r="W28" s="1363"/>
      <c r="X28" s="1511"/>
      <c r="Y28" s="1363"/>
      <c r="Z28" s="1494"/>
      <c r="AA28" s="1363"/>
      <c r="AB28" s="52" t="s">
        <v>504</v>
      </c>
      <c r="AC28" s="210" t="s">
        <v>1284</v>
      </c>
      <c r="AD28" s="52" t="s">
        <v>789</v>
      </c>
      <c r="AE28" s="2730"/>
      <c r="AF28" s="2841"/>
      <c r="AG28" s="2841"/>
      <c r="AH28" s="2841"/>
      <c r="AI28" s="2841"/>
      <c r="AJ28" s="2841"/>
      <c r="AK28" s="2841"/>
      <c r="AL28" s="2841">
        <f>IF(AE28-AF28-AG28-AH28-AI28-AJ28-AK28&lt;0,0,AE28-AF28-AG28-AH28-AI28-AJ28-AK28)</f>
        <v>0</v>
      </c>
      <c r="AM28" s="1363"/>
      <c r="AN28" s="1363"/>
      <c r="AO28" s="974" t="s">
        <v>1242</v>
      </c>
      <c r="AP28" s="1363"/>
      <c r="AQ28" s="1363"/>
    </row>
    <row s="1624" customFormat="1" customHeight="1" ht="14.25">
      <c r="A29" s="1363"/>
      <c r="B29" s="1369"/>
      <c r="C29" s="1363"/>
      <c r="D29" s="1363"/>
      <c r="E29" s="593">
        <v>15</v>
      </c>
      <c r="F29" s="315" cm="1" t="str">
        <f t="array" ref="F29:F29">X29</f>
        <v>1</v>
      </c>
      <c r="G29" s="1363"/>
      <c r="H29" s="1363"/>
      <c r="I29" s="1363"/>
      <c r="J29" s="1363"/>
      <c r="K29" s="1363"/>
      <c r="L29" s="1363"/>
      <c r="M29" s="1363"/>
      <c r="N29" s="1363"/>
      <c r="O29" s="1363"/>
      <c r="P29" s="1363"/>
      <c r="Q29" s="1363"/>
      <c r="R29" s="1363"/>
      <c r="S29" s="1363"/>
      <c r="T29" s="438">
        <f>X29&gt;0</f>
        <v>1</v>
      </c>
      <c r="U29" s="1363"/>
      <c r="V29" s="88" cm="1" t="str">
        <f t="array" ref="V29:V29">Экономия_корр!$AB$35</f>
        <v>Тариф 1 (Водоотведение) - тариф на транспортировку сточных вод</v>
      </c>
      <c r="W29" s="1363"/>
      <c r="X29" s="1511" t="s">
        <v>281</v>
      </c>
      <c r="Y29" s="1363"/>
      <c r="Z29" s="1494"/>
      <c r="AA29" s="1363"/>
      <c r="AB29" s="208" cm="1" t="str">
        <f t="array" ref="AB29:AB29">Экономия_корр!$AB$35</f>
        <v>Тариф 1 (Водоотведение) - тариф на транспортировку сточных вод</v>
      </c>
      <c r="AC29" s="209"/>
      <c r="AD29" s="209"/>
      <c r="AE29" s="239">
        <f>AE30+AE31</f>
        <v>0</v>
      </c>
      <c r="AF29" s="239">
        <f>AF30+AF31</f>
        <v>0</v>
      </c>
      <c r="AG29" s="239">
        <f>AG30+AG31</f>
        <v>0</v>
      </c>
      <c r="AH29" s="239">
        <f>AH30+AH31</f>
        <v>0</v>
      </c>
      <c r="AI29" s="239">
        <f>AI30+AI31</f>
        <v>0</v>
      </c>
      <c r="AJ29" s="239">
        <f>AJ30+AJ31</f>
        <v>0</v>
      </c>
      <c r="AK29" s="239">
        <f>AK30+AK31</f>
        <v>0</v>
      </c>
      <c r="AL29" s="239">
        <f>AL30+AL31</f>
        <v>0</v>
      </c>
      <c r="AM29" s="1363"/>
      <c r="AN29" s="1363"/>
      <c r="AO29" s="1374"/>
      <c r="AP29" s="1363"/>
      <c r="AQ29" s="1363"/>
    </row>
    <row s="1624" customFormat="1" customHeight="1" ht="33">
      <c r="A30" s="1363"/>
      <c r="B30" s="418">
        <f>_xlfn.IFERROR(IF(SEARCH("Водоотведение",AB29),TRUE,FALSE),FALSE)</f>
        <v>1</v>
      </c>
      <c r="C30" s="1363"/>
      <c r="D30" s="1363"/>
      <c r="E30" s="593">
        <v>34.25</v>
      </c>
      <c r="F30" s="50" cm="1" t="str">
        <f t="array" ref="F30:F30">OFFSET(E30,-1,1)</f>
        <v>1</v>
      </c>
      <c r="G30" s="90">
        <v>1</v>
      </c>
      <c r="H30" s="1363"/>
      <c r="I30" s="1363"/>
      <c r="J30" s="1363"/>
      <c r="K30" s="1363"/>
      <c r="L30" s="1363"/>
      <c r="M30" s="1363"/>
      <c r="N30" s="1363"/>
      <c r="O30" s="1363"/>
      <c r="P30" s="1363"/>
      <c r="Q30" s="1363"/>
      <c r="R30" s="1363"/>
      <c r="S30" s="1363"/>
      <c r="T30" s="438" cm="1" t="str">
        <f t="array" ref="T30:T30">T29</f>
        <v>true</v>
      </c>
      <c r="U30" s="1363"/>
      <c r="V30" s="1363"/>
      <c r="W30" s="1363"/>
      <c r="X30" s="1511"/>
      <c r="Y30" s="1363"/>
      <c r="Z30" s="1494"/>
      <c r="AA30" s="1363"/>
      <c r="AB30" s="52" t="s">
        <v>281</v>
      </c>
      <c r="AC30" s="210" t="s">
        <v>1283</v>
      </c>
      <c r="AD30" s="52" t="s">
        <v>789</v>
      </c>
      <c r="AE30" s="195"/>
      <c r="AF30" s="214"/>
      <c r="AG30" s="214"/>
      <c r="AH30" s="214"/>
      <c r="AI30" s="214"/>
      <c r="AJ30" s="214"/>
      <c r="AK30" s="214"/>
      <c r="AL30" s="214">
        <f>IF(AE30-AF30-AG30-AH30-AI30-AJ30-AK30&lt;0,0,AE30-AF30-AG30-AH30-AI30-AJ30-AK30)</f>
        <v>0</v>
      </c>
      <c r="AM30" s="1363"/>
      <c r="AN30" s="1363"/>
      <c r="AO30" s="974" t="s">
        <v>1238</v>
      </c>
      <c r="AP30" s="1363"/>
      <c r="AQ30" s="1363"/>
    </row>
    <row s="1624" customFormat="1" customHeight="1" ht="33">
      <c r="A31" s="1363"/>
      <c r="B31" s="418" cm="1" t="str">
        <f t="array" ref="B31:B31">B30</f>
        <v>true</v>
      </c>
      <c r="C31" s="1363"/>
      <c r="D31" s="1363"/>
      <c r="E31" s="593">
        <v>34.25</v>
      </c>
      <c r="F31" s="50" cm="1" t="str">
        <f t="array" ref="F31:F31">OFFSET(E31,-1,1)</f>
        <v>1</v>
      </c>
      <c r="G31" s="90">
        <v>2</v>
      </c>
      <c r="H31" s="1363"/>
      <c r="I31" s="1363"/>
      <c r="J31" s="1363"/>
      <c r="K31" s="1363"/>
      <c r="L31" s="1363"/>
      <c r="M31" s="1363"/>
      <c r="N31" s="1363"/>
      <c r="O31" s="1363"/>
      <c r="P31" s="1363"/>
      <c r="Q31" s="1363"/>
      <c r="R31" s="1363"/>
      <c r="S31" s="1363"/>
      <c r="T31" s="438" cm="1" t="str">
        <f t="array" ref="T31:T31">T30</f>
        <v>true</v>
      </c>
      <c r="U31" s="1363"/>
      <c r="V31" s="1363"/>
      <c r="W31" s="1363"/>
      <c r="X31" s="1511"/>
      <c r="Y31" s="1363"/>
      <c r="Z31" s="1494"/>
      <c r="AA31" s="1363"/>
      <c r="AB31" s="52" t="s">
        <v>504</v>
      </c>
      <c r="AC31" s="210" t="s">
        <v>1284</v>
      </c>
      <c r="AD31" s="52" t="s">
        <v>789</v>
      </c>
      <c r="AE31" s="195"/>
      <c r="AF31" s="214"/>
      <c r="AG31" s="214"/>
      <c r="AH31" s="214"/>
      <c r="AI31" s="214"/>
      <c r="AJ31" s="214"/>
      <c r="AK31" s="214"/>
      <c r="AL31" s="214">
        <f>IF(AE31-AF31-AG31-AH31-AI31-AJ31-AK31&lt;0,0,AE31-AF31-AG31-AH31-AI31-AJ31-AK31)</f>
        <v>0</v>
      </c>
      <c r="AM31" s="1363"/>
      <c r="AN31" s="1363"/>
      <c r="AO31" s="974" t="s">
        <v>1242</v>
      </c>
      <c r="AP31" s="1363"/>
      <c r="AQ31" s="1363"/>
    </row>
    <row s="1624" customFormat="1" customHeight="1" ht="10.96875">
      <c r="B32" s="402"/>
      <c r="E32" s="599">
        <v>11.25</v>
      </c>
      <c r="F32" s="1061"/>
      <c r="U32" s="455" t="s">
        <v>176</v>
      </c>
      <c r="V32" s="106" t="s">
        <v>1285</v>
      </c>
      <c r="AC32" s="66"/>
      <c r="AD32" s="66"/>
      <c r="AE32" s="66"/>
      <c r="AF32" s="66"/>
      <c r="AO32" s="981"/>
      <c r="AQ32" s="67"/>
    </row>
    <row customHeight="1" ht="14.625">
      <c r="E33" s="593">
        <v>15</v>
      </c>
      <c r="AB33" s="1522" t="s">
        <v>392</v>
      </c>
      <c r="AC33" s="1522"/>
      <c r="AD33" s="1522"/>
      <c r="AE33" s="1522"/>
      <c r="AF33" s="1522"/>
      <c r="AG33" s="1522"/>
      <c r="AH33" s="1522"/>
      <c r="AI33" s="1522"/>
      <c r="AJ33" s="1522"/>
      <c r="AK33" s="1522"/>
      <c r="AL33" s="1543"/>
    </row>
    <row customHeight="1" ht="14.625">
      <c r="E34" s="593">
        <v>15</v>
      </c>
      <c r="AA34" s="139"/>
      <c r="AB34" s="1573"/>
      <c r="AC34" s="1573"/>
      <c r="AD34" s="1573"/>
      <c r="AE34" s="1573"/>
      <c r="AF34" s="1573"/>
      <c r="AG34" s="1573"/>
      <c r="AH34" s="1573"/>
      <c r="AI34" s="1573"/>
      <c r="AJ34" s="1573"/>
      <c r="AK34" s="1573"/>
      <c r="AL34" s="1577"/>
    </row>
    <row customHeight="1" ht="14.625" hidden="1">
      <c r="A35" s="1363"/>
      <c r="B35" s="1369"/>
      <c r="C35" s="1363"/>
      <c r="D35" s="1363"/>
      <c r="E35" s="593">
        <v>15</v>
      </c>
      <c r="F35" s="1364"/>
      <c r="G35" s="1363"/>
      <c r="H35" s="1363"/>
      <c r="I35" s="1363"/>
      <c r="J35" s="1363"/>
      <c r="K35" s="1363"/>
      <c r="L35" s="1363"/>
      <c r="M35" s="1363"/>
      <c r="N35" s="1363"/>
      <c r="O35" s="1363"/>
      <c r="P35" s="1363"/>
      <c r="Q35" s="1363"/>
      <c r="R35" s="1363"/>
      <c r="S35" s="1363"/>
      <c r="T35" s="438">
        <f>ROW(W35)&gt;ROW(W$35)</f>
        <v>0</v>
      </c>
      <c r="U35" s="1363"/>
      <c r="V35" s="1363"/>
      <c r="W35" s="733" t="s">
        <v>172</v>
      </c>
      <c r="X35" s="1363"/>
      <c r="Y35" s="1363"/>
      <c r="Z35" s="1363"/>
      <c r="AA35" s="392" t="s">
        <v>173</v>
      </c>
      <c r="AB35" s="2818" t="s">
        <v>228</v>
      </c>
      <c r="AC35" s="2818"/>
      <c r="AD35" s="2818"/>
      <c r="AE35" s="2818"/>
      <c r="AF35" s="2818"/>
      <c r="AG35" s="2818"/>
      <c r="AH35" s="2818"/>
      <c r="AI35" s="2818"/>
      <c r="AJ35" s="2818"/>
      <c r="AK35" s="2818"/>
      <c r="AL35" s="2843"/>
      <c r="AM35" s="1363"/>
      <c r="AN35" s="1363"/>
      <c r="AO35" s="1374"/>
      <c r="AP35" s="1363"/>
      <c r="AQ35" s="1363"/>
    </row>
    <row customHeight="1" ht="14.625">
      <c r="E36" s="593">
        <v>15</v>
      </c>
      <c r="W36" s="733" t="s">
        <v>396</v>
      </c>
      <c r="AB36" s="623"/>
      <c r="AC36" s="487" t="s">
        <v>397</v>
      </c>
      <c r="AD36" s="276"/>
      <c r="AE36" s="276"/>
      <c r="AF36" s="276"/>
      <c r="AG36" s="276"/>
      <c r="AH36" s="276"/>
      <c r="AI36" s="276"/>
      <c r="AJ36" s="276"/>
      <c r="AK36" s="276"/>
      <c r="AL36" s="241"/>
    </row>
    <row customHeight="1" ht="10.96875">
      <c r="E37" s="593">
        <v>11.25</v>
      </c>
      <c r="AM37" s="398"/>
    </row>
  </sheetData>
  <sheetProtection formatColumns="0" formatRows="0" insertRows="0" deleteColumns="0" deleteRows="0" sort="0" autoFilter="0" insertColumns="1"/>
  <mergeCells count="7">
    <mergeCell ref="AB33:AL33"/>
    <mergeCell ref="AB34:AL34"/>
    <mergeCell ref="AB35:AL35"/>
    <mergeCell ref="X26:X28"/>
    <mergeCell ref="Z26:Z28"/>
    <mergeCell ref="X29:X31"/>
    <mergeCell ref="Z29:Z31"/>
  </mergeCells>
  <dataValidations count="1">
    <dataValidation type="decimal" allowBlank="1" showErrorMessage="1" errorTitle="Ошибка" error="Допускается ввод только неотрицательных чисел!" sqref="AL28 AL30:AL31 AK28 AK31 AJ28 AJ31 AI28 AI31 AH28 AH30:AH31 AF27:AH27 AL27 AF30 AG30">
      <formula1>0</formula1>
      <formula2>9.99999999999999E+23</formula2>
    </dataValidation>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3F7822-B32F-D3B1-2F37-0440FEE628F8}" mc:Ignorable="x14ac xr xr2 xr3">
  <sheetPr>
    <tabColor rgb="FF002060"/>
    <outlinePr summaryRight="0" summaryBelow="0"/>
    <pageSetUpPr fitToPage="1"/>
  </sheetPr>
  <dimension ref="A1:AQ135"/>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363" width="3.57421875" hidden="1" customWidth="1"/>
    <col min="2" max="2" style="1369" width="8.57421875" hidden="1" customWidth="1"/>
    <col min="3" max="4" style="1363" width="3.57421875" hidden="1" customWidth="1"/>
    <col min="5" max="5" style="1370" width="3.57421875" hidden="1" customWidth="1"/>
    <col min="6" max="6" style="1363" width="3.57421875" hidden="1" customWidth="1"/>
    <col min="7" max="7" style="998" width="12.421875" hidden="1" customWidth="1"/>
    <col min="8" max="8" style="1363" width="15.140625" hidden="1" customWidth="1"/>
    <col min="9" max="18" style="1363" width="3.57421875" hidden="1" customWidth="1"/>
    <col min="19" max="19" style="1353" width="6.421875" hidden="1" customWidth="1"/>
    <col min="20" max="20" style="1363" width="8.421875" hidden="1" customWidth="1"/>
    <col min="21" max="26" style="1363" width="4.421875" hidden="1" customWidth="1"/>
    <col min="27" max="27" style="1363" width="3.00390625" customWidth="1"/>
    <col min="28" max="28" style="1282" width="11.00390625" customWidth="1"/>
    <col min="29" max="29" style="1363" width="72.29296875" customWidth="1"/>
    <col min="30" max="31" style="1363" width="12.00390625" customWidth="1"/>
    <col min="32" max="33" style="1363" width="15.00390625" customWidth="1"/>
    <col min="34" max="34" style="1363" width="20.00390625" customWidth="1"/>
    <col min="35" max="35" style="1363" width="3.00390625" customWidth="1"/>
    <col min="36" max="37" style="1363" width="9.140625" hidden="1"/>
    <col min="38" max="38" style="1374" width="9.140625" hidden="1"/>
    <col min="39" max="43" style="1363" width="9.140625" hidden="1"/>
  </cols>
  <sheetData>
    <row customHeight="1" ht="11.25" hidden="1">
      <c r="E1" s="88"/>
      <c r="F1" s="88" t="s">
        <v>309</v>
      </c>
      <c r="I1" s="88" t="s">
        <v>320</v>
      </c>
      <c r="T1" s="438" t="s">
        <v>92</v>
      </c>
      <c r="U1" s="438" t="s">
        <v>97</v>
      </c>
      <c r="V1" s="438" t="s">
        <v>93</v>
      </c>
      <c r="W1" s="438" t="s">
        <v>94</v>
      </c>
      <c r="X1" s="438" t="s">
        <v>95</v>
      </c>
      <c r="Y1" s="440" t="s">
        <v>311</v>
      </c>
      <c r="Z1" s="438" t="s">
        <v>99</v>
      </c>
      <c r="AA1" s="439" t="s">
        <v>96</v>
      </c>
      <c r="AC1" s="439" t="s">
        <v>98</v>
      </c>
      <c r="AL1" s="974" t="s">
        <v>312</v>
      </c>
    </row>
    <row s="1369" customFormat="1" customHeight="1" ht="11.25" hidden="1">
      <c r="B2" s="418" t="s">
        <v>18</v>
      </c>
      <c r="G2" s="469"/>
      <c r="S2" s="1201"/>
      <c r="AB2" s="399"/>
      <c r="AL2" s="986"/>
    </row>
    <row customHeight="1" ht="11.25" hidden="1">
      <c r="E3" s="88"/>
    </row>
    <row customHeight="1" ht="11.25" hidden="1">
      <c r="E4" s="88"/>
    </row>
    <row s="1370" customFormat="1" customHeight="1" ht="11.25" hidden="1">
      <c r="A5" s="88"/>
      <c r="B5" s="400"/>
      <c r="C5" s="88"/>
      <c r="D5" s="88"/>
      <c r="E5" s="593" t="s">
        <v>19</v>
      </c>
      <c r="G5" s="668"/>
      <c r="S5" s="1202"/>
      <c r="AA5" s="593">
        <v>3</v>
      </c>
      <c r="AB5" s="607">
        <v>11</v>
      </c>
      <c r="AC5" s="593">
        <v>72.29</v>
      </c>
      <c r="AD5" s="593">
        <v>12</v>
      </c>
      <c r="AE5" s="593">
        <v>12</v>
      </c>
      <c r="AF5" s="593">
        <v>15</v>
      </c>
      <c r="AG5" s="593">
        <v>15</v>
      </c>
      <c r="AH5" s="593">
        <v>20</v>
      </c>
      <c r="AI5" s="593">
        <v>3</v>
      </c>
      <c r="AL5" s="974"/>
    </row>
    <row customHeight="1" ht="11.25" hidden="1">
      <c r="AF6" s="88">
        <f>god-2</f>
        <v>2024</v>
      </c>
      <c r="AG6" s="88">
        <f>god-2</f>
        <v>2024</v>
      </c>
    </row>
    <row customHeight="1" ht="11.25" hidden="1">
      <c r="A7" s="88" t="s">
        <v>350</v>
      </c>
      <c r="AF7" s="88" cm="1" t="str">
        <f t="array" ref="AF7:AF7">AF25</f>
        <v>Факт по данным организации</v>
      </c>
      <c r="AG7" s="88" cm="1" t="str">
        <f t="array" ref="AG7:AG7">AG25</f>
        <v>Принято органом регулирования</v>
      </c>
    </row>
    <row customHeight="1" ht="11.25" hidden="1"/>
    <row s="1374" customFormat="1" customHeight="1" ht="11.25" hidden="1">
      <c r="A9" s="974" t="s">
        <v>354</v>
      </c>
      <c r="B9" s="986"/>
      <c r="AF9" s="974" cm="1" t="str">
        <f t="array" ref="AF9:AF9">AF6</f>
        <v>2024</v>
      </c>
      <c r="AG9" s="974" cm="1" t="str">
        <f t="array" ref="AG9:AG9">AG6</f>
        <v>2024</v>
      </c>
    </row>
    <row s="1374" customFormat="1" customHeight="1" ht="11.25" hidden="1">
      <c r="A10" s="974" t="s">
        <v>355</v>
      </c>
      <c r="B10" s="986"/>
      <c r="AF10" s="974" cm="1" t="str">
        <f t="array" ref="AF10:AF10">AF25</f>
        <v>Факт по данным организации</v>
      </c>
      <c r="AG10" s="974" cm="1" t="str">
        <f t="array" ref="AG10:AG10">AG25</f>
        <v>Принято органом регулирования</v>
      </c>
    </row>
    <row s="1374" customFormat="1" customHeight="1" ht="11.25" hidden="1">
      <c r="A11" s="974" t="s">
        <v>356</v>
      </c>
      <c r="B11" s="986"/>
      <c r="AH11" s="974" cm="1" t="str">
        <f t="array" ref="AH11:AH11">AH24</f>
        <v>Комментарии</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4.625">
      <c r="E21" s="593">
        <v>15</v>
      </c>
      <c r="AA21" s="397"/>
      <c r="AB21" s="216"/>
      <c r="AC21" s="50" cm="1" t="str">
        <f t="array" ref="AC21:AC21">tpl_title</f>
        <v>Кемеровская область / 2026 / ОАО «СКЭК» (ИНН:4205153492, КПП:420501001) / ДПР: 2026-2026</v>
      </c>
      <c r="AD21" s="122"/>
      <c r="AE21" s="122"/>
      <c r="AF21" s="122"/>
      <c r="AG21" s="122"/>
    </row>
    <row customHeight="1" ht="21.9375">
      <c r="E22" s="593">
        <v>22.5</v>
      </c>
      <c r="AB22" s="286" t="s">
        <v>75</v>
      </c>
      <c r="AC22" s="192"/>
      <c r="AD22" s="192"/>
      <c r="AE22" s="192"/>
      <c r="AF22" s="192"/>
      <c r="AG22" s="203"/>
      <c r="AH22" s="203"/>
    </row>
    <row customHeight="1" ht="10.96875">
      <c r="E23" s="593">
        <v>11.25</v>
      </c>
      <c r="AB23" s="216"/>
      <c r="AC23" s="122"/>
      <c r="AD23" s="122"/>
      <c r="AE23" s="122"/>
      <c r="AF23" s="122"/>
      <c r="AG23" s="122"/>
    </row>
    <row customHeight="1" ht="19.25625">
      <c r="E24" s="593">
        <v>19.75</v>
      </c>
      <c r="AB24" s="1522" t="s">
        <v>21</v>
      </c>
      <c r="AC24" s="1535" t="s">
        <v>358</v>
      </c>
      <c r="AD24" s="1522" t="s">
        <v>1286</v>
      </c>
      <c r="AE24" s="1535" t="s">
        <v>940</v>
      </c>
      <c r="AF24" s="1104" t="str">
        <f>god-2&amp;" год"</f>
        <v>2024 год</v>
      </c>
      <c r="AG24" s="56" t="str">
        <f>god-2&amp;" год"</f>
        <v>2024 год</v>
      </c>
      <c r="AH24" s="1535" t="s">
        <v>360</v>
      </c>
    </row>
    <row customHeight="1" ht="31.443750000000005">
      <c r="E25" s="593">
        <v>32.25</v>
      </c>
      <c r="AB25" s="1522"/>
      <c r="AC25" s="1535"/>
      <c r="AD25" s="1522"/>
      <c r="AE25" s="1535"/>
      <c r="AF25" s="1104" t="s">
        <v>424</v>
      </c>
      <c r="AG25" s="56" t="s">
        <v>351</v>
      </c>
      <c r="AH25" s="1535"/>
      <c r="AK25" s="88" t="s">
        <v>1275</v>
      </c>
    </row>
    <row s="1624" customFormat="1" customHeight="1" ht="11.25">
      <c r="B26" s="402"/>
      <c r="E26" s="647" t="s">
        <v>362</v>
      </c>
      <c r="F26" s="138" t="s">
        <v>1287</v>
      </c>
      <c r="G26" s="460"/>
      <c r="S26" s="0" t="s">
        <v>1288</v>
      </c>
      <c r="T26" s="0"/>
      <c r="AC26" s="66"/>
      <c r="AD26" s="66"/>
      <c r="AE26" s="66"/>
      <c r="AF26" s="66"/>
      <c r="AL26" s="981"/>
      <c r="AQ26" s="67"/>
    </row>
    <row customHeight="1" ht="14.625" hidden="1">
      <c r="A27" s="1363"/>
      <c r="B27" s="1369"/>
      <c r="C27" s="1363"/>
      <c r="D27" s="1363"/>
      <c r="E27" s="593">
        <v>15</v>
      </c>
      <c r="F27" s="64" cm="1" t="str">
        <f t="array" ref="F27:F27">X27</f>
        <v>0</v>
      </c>
      <c r="G27" s="466"/>
      <c r="H27" s="51"/>
      <c r="I27" s="1363"/>
      <c r="J27" s="1363"/>
      <c r="K27" s="1363"/>
      <c r="L27" s="1363"/>
      <c r="M27" s="1363"/>
      <c r="N27" s="1363"/>
      <c r="O27" s="1363"/>
      <c r="P27" s="1363"/>
      <c r="Q27" s="1363"/>
      <c r="R27" s="1363"/>
      <c r="S27" s="1150" cm="1" t="str">
        <f t="array" ref="S27:S27">INDEX('Общие сведения'!$AE$179:$AE$208,MATCH($X27,'Общие сведения'!$Z$179:$Z$208,0))</f>
        <v>0</v>
      </c>
      <c r="T27" s="438">
        <f>X27&gt;0</f>
        <v>0</v>
      </c>
      <c r="U27" s="1363"/>
      <c r="V27" s="88" t="s">
        <v>267</v>
      </c>
      <c r="W27" s="1363"/>
      <c r="X27" s="1511">
        <v>0</v>
      </c>
      <c r="Y27" s="1363"/>
      <c r="Z27" s="1494"/>
      <c r="AA27" s="1363"/>
      <c r="AB27" s="347" cm="1" t="str">
        <f t="array" ref="AB27:AB27">INDEX('Общие сведения'!$AG$179:$AG$208,MATCH($X27,'Общие сведения'!$Z$179:$Z$208,0))</f>
        <v>Тариф 0 () - тариф на транспортировку сточных вод</v>
      </c>
      <c r="AC27" s="347"/>
      <c r="AD27" s="347"/>
      <c r="AE27" s="347"/>
      <c r="AF27" s="347"/>
      <c r="AG27" s="347"/>
      <c r="AH27" s="347"/>
      <c r="AI27" s="1363"/>
      <c r="AJ27" s="1363"/>
      <c r="AK27" s="1363"/>
      <c r="AL27" s="1374"/>
      <c r="AM27" s="1363"/>
      <c r="AN27" s="1363"/>
      <c r="AO27" s="1363"/>
      <c r="AP27" s="1363"/>
      <c r="AQ27" s="1363"/>
    </row>
    <row s="674" customFormat="1" customHeight="1" ht="43.875" hidden="1">
      <c r="A28" s="674"/>
      <c r="B28" s="403"/>
      <c r="C28" s="674"/>
      <c r="D28" s="674"/>
      <c r="E28" s="667">
        <v>45</v>
      </c>
      <c r="F28" s="50" cm="1" t="str">
        <f t="array" ref="F28:F28">OFFSET(E28,-1,1)</f>
        <v>0</v>
      </c>
      <c r="G28" s="470"/>
      <c r="H28" s="674"/>
      <c r="I28" s="88" t="s">
        <v>321</v>
      </c>
      <c r="J28" s="674"/>
      <c r="K28" s="90"/>
      <c r="L28" s="900"/>
      <c r="M28" s="470"/>
      <c r="N28" s="674"/>
      <c r="O28" s="674"/>
      <c r="P28" s="674"/>
      <c r="Q28" s="674"/>
      <c r="R28" s="674"/>
      <c r="S28" s="674"/>
      <c r="T28" s="438" cm="1" t="str">
        <f t="array" ref="T28:T28">T27</f>
        <v>false</v>
      </c>
      <c r="U28" s="674"/>
      <c r="V28" s="674"/>
      <c r="W28" s="674"/>
      <c r="X28" s="1511"/>
      <c r="Y28" s="674"/>
      <c r="Z28" s="1494"/>
      <c r="AA28" s="674"/>
      <c r="AB28" s="817" t="s">
        <v>1289</v>
      </c>
      <c r="AC28" s="818" t="s">
        <v>1290</v>
      </c>
      <c r="AD28" s="817" t="s">
        <v>1291</v>
      </c>
      <c r="AE28" s="819" t="s">
        <v>789</v>
      </c>
      <c r="AF28" s="820">
        <f>AF30-AF29</f>
        <v>0</v>
      </c>
      <c r="AG28" s="820">
        <f>AG30-AG29</f>
        <v>0</v>
      </c>
      <c r="AH28" s="2851"/>
      <c r="AI28" s="674"/>
      <c r="AJ28" s="674"/>
      <c r="AK28" s="674"/>
      <c r="AL28" s="1028" t="s">
        <v>1292</v>
      </c>
      <c r="AM28" s="674"/>
      <c r="AN28" s="674"/>
      <c r="AO28" s="674"/>
      <c r="AP28" s="674"/>
      <c r="AQ28" s="674"/>
    </row>
    <row s="674" customFormat="1" customHeight="1" ht="14.625" hidden="1">
      <c r="A29" s="674"/>
      <c r="B29" s="403"/>
      <c r="C29" s="674"/>
      <c r="D29" s="674"/>
      <c r="E29" s="667">
        <v>15</v>
      </c>
      <c r="F29" s="50" cm="1" t="str">
        <f t="array" ref="F29:F29">OFFSET(E29,-1,1)</f>
        <v>0</v>
      </c>
      <c r="G29" s="470"/>
      <c r="H29" s="674"/>
      <c r="I29" s="88" t="s">
        <v>434</v>
      </c>
      <c r="J29" s="674"/>
      <c r="K29" s="470"/>
      <c r="L29" s="470"/>
      <c r="M29" s="470"/>
      <c r="N29" s="674"/>
      <c r="O29" s="674"/>
      <c r="P29" s="674"/>
      <c r="Q29" s="674"/>
      <c r="R29" s="674"/>
      <c r="S29" s="674"/>
      <c r="T29" s="438" cm="1" t="str">
        <f t="array" ref="T29:T29">T28</f>
        <v>false</v>
      </c>
      <c r="U29" s="674"/>
      <c r="V29" s="674"/>
      <c r="W29" s="674"/>
      <c r="X29" s="1511"/>
      <c r="Y29" s="674"/>
      <c r="Z29" s="1494"/>
      <c r="AA29" s="674"/>
      <c r="AB29" s="184" t="s">
        <v>281</v>
      </c>
      <c r="AC29" s="185" t="s">
        <v>1293</v>
      </c>
      <c r="AD29" s="177" t="s">
        <v>1294</v>
      </c>
      <c r="AE29" s="200" t="s">
        <v>789</v>
      </c>
      <c r="AF29" s="2852"/>
      <c r="AG29" s="2852"/>
      <c r="AH29" s="2851"/>
      <c r="AI29" s="674"/>
      <c r="AJ29" s="674"/>
      <c r="AK29" s="674"/>
      <c r="AL29" s="1028" t="s">
        <v>1295</v>
      </c>
      <c r="AM29" s="674"/>
      <c r="AN29" s="674"/>
      <c r="AO29" s="674"/>
      <c r="AP29" s="674"/>
      <c r="AQ29" s="674"/>
    </row>
    <row s="674" customFormat="1" customHeight="1" ht="14.625" hidden="1">
      <c r="A30" s="674"/>
      <c r="B30" s="403"/>
      <c r="C30" s="674"/>
      <c r="D30" s="674"/>
      <c r="E30" s="667">
        <v>15</v>
      </c>
      <c r="F30" s="50" cm="1" t="str">
        <f t="array" ref="F30:F30">OFFSET(E30,-1,1)</f>
        <v>0</v>
      </c>
      <c r="G30" s="113"/>
      <c r="H30" s="113"/>
      <c r="I30" s="398" t="s">
        <v>438</v>
      </c>
      <c r="J30" s="674"/>
      <c r="K30" s="470"/>
      <c r="L30" s="470"/>
      <c r="M30" s="470"/>
      <c r="N30" s="674"/>
      <c r="O30" s="674"/>
      <c r="P30" s="674"/>
      <c r="Q30" s="674"/>
      <c r="R30" s="674"/>
      <c r="S30" s="674"/>
      <c r="T30" s="438" cm="1" t="str">
        <f t="array" ref="T30:T30">T29</f>
        <v>false</v>
      </c>
      <c r="U30" s="674"/>
      <c r="V30" s="674"/>
      <c r="W30" s="674"/>
      <c r="X30" s="1511"/>
      <c r="Y30" s="674"/>
      <c r="Z30" s="1494"/>
      <c r="AA30" s="674"/>
      <c r="AB30" s="184" t="s">
        <v>504</v>
      </c>
      <c r="AC30" s="178" t="s">
        <v>1296</v>
      </c>
      <c r="AD30" s="177" t="s">
        <v>1297</v>
      </c>
      <c r="AE30" s="200" t="s">
        <v>789</v>
      </c>
      <c r="AF30" s="820">
        <f>AF31+AF32+AF44+AF48+AF49+AF50+AF51+AF55+AF56+AF57+AF58+AF61+AF62</f>
        <v>0</v>
      </c>
      <c r="AG30" s="820">
        <f>AG31+AG32+AG44+AG48+AG49+AG50+AG51+AG55+AG56+AG57+AG58+AG61+AG62</f>
        <v>0</v>
      </c>
      <c r="AH30" s="2851"/>
      <c r="AI30" s="674"/>
      <c r="AJ30" s="674"/>
      <c r="AK30" s="674"/>
      <c r="AL30" s="1028" t="s">
        <v>1298</v>
      </c>
      <c r="AM30" s="674"/>
      <c r="AN30" s="674"/>
      <c r="AO30" s="674"/>
      <c r="AP30" s="674"/>
      <c r="AQ30" s="674"/>
    </row>
    <row customHeight="1" ht="21.9375" hidden="1">
      <c r="A31" s="1363"/>
      <c r="B31" s="1369"/>
      <c r="C31" s="1363"/>
      <c r="D31" s="1363"/>
      <c r="E31" s="593">
        <v>22.5</v>
      </c>
      <c r="F31" s="50" cm="1" t="str">
        <f t="array" ref="F31:F31">OFFSET(E31,-1,1)</f>
        <v>0</v>
      </c>
      <c r="G31" s="398" t="s">
        <v>1299</v>
      </c>
      <c r="H31" s="51"/>
      <c r="I31" s="398" t="s">
        <v>1208</v>
      </c>
      <c r="J31" s="1363"/>
      <c r="K31" s="90"/>
      <c r="L31" s="90"/>
      <c r="M31" s="90"/>
      <c r="N31" s="1363"/>
      <c r="O31" s="1363"/>
      <c r="P31" s="1363"/>
      <c r="Q31" s="1363"/>
      <c r="R31" s="1363"/>
      <c r="S31" s="1353"/>
      <c r="T31" s="438" cm="1" t="str">
        <f t="array" ref="T31:T31">T30</f>
        <v>false</v>
      </c>
      <c r="U31" s="1363"/>
      <c r="V31" s="1363"/>
      <c r="W31" s="1363"/>
      <c r="X31" s="1511"/>
      <c r="Y31" s="1363"/>
      <c r="Z31" s="1494"/>
      <c r="AA31" s="1363"/>
      <c r="AB31" s="265" t="s">
        <v>509</v>
      </c>
      <c r="AC31" s="738" t="s">
        <v>1300</v>
      </c>
      <c r="AD31" s="266" t="s">
        <v>1301</v>
      </c>
      <c r="AE31" s="742" t="s">
        <v>789</v>
      </c>
      <c r="AF31" s="2655"/>
      <c r="AG31" s="2655"/>
      <c r="AH31" s="1798"/>
      <c r="AI31" s="1363"/>
      <c r="AJ31" s="1363"/>
      <c r="AK31" s="1363"/>
      <c r="AL31" s="974" t="s">
        <v>1302</v>
      </c>
      <c r="AM31" s="1363"/>
      <c r="AN31" s="1363"/>
      <c r="AO31" s="1363"/>
      <c r="AP31" s="1363"/>
      <c r="AQ31" s="1363"/>
    </row>
    <row customHeight="1" ht="21.9375" hidden="1">
      <c r="A32" s="1363"/>
      <c r="B32" s="1369"/>
      <c r="C32" s="1363"/>
      <c r="D32" s="1363"/>
      <c r="E32" s="593">
        <v>22.5</v>
      </c>
      <c r="F32" s="50" cm="1" t="str">
        <f t="array" ref="F32:F32">OFFSET(E32,-1,1)</f>
        <v>0</v>
      </c>
      <c r="G32" s="398"/>
      <c r="H32" s="51"/>
      <c r="I32" s="398" t="s">
        <v>1211</v>
      </c>
      <c r="J32" s="1363"/>
      <c r="K32" s="90"/>
      <c r="L32" s="90"/>
      <c r="M32" s="90"/>
      <c r="N32" s="1363"/>
      <c r="O32" s="1363"/>
      <c r="P32" s="1363"/>
      <c r="Q32" s="1363"/>
      <c r="R32" s="1363"/>
      <c r="S32" s="1353"/>
      <c r="T32" s="438" cm="1" t="str">
        <f t="array" ref="T32:T32">T31</f>
        <v>false</v>
      </c>
      <c r="U32" s="1363"/>
      <c r="V32" s="1363"/>
      <c r="W32" s="1363"/>
      <c r="X32" s="1511"/>
      <c r="Y32" s="1363"/>
      <c r="Z32" s="1494"/>
      <c r="AA32" s="1363"/>
      <c r="AB32" s="265" t="s">
        <v>513</v>
      </c>
      <c r="AC32" s="738" t="s">
        <v>1303</v>
      </c>
      <c r="AD32" s="266" t="s">
        <v>1304</v>
      </c>
      <c r="AE32" s="742" t="s">
        <v>789</v>
      </c>
      <c r="AF32" s="910">
        <f>SUM(AF33:AF43)</f>
        <v>0</v>
      </c>
      <c r="AG32" s="910">
        <f>SUM(AG33:AG43)</f>
        <v>0</v>
      </c>
      <c r="AH32" s="1798"/>
      <c r="AI32" s="1363"/>
      <c r="AJ32" s="1363"/>
      <c r="AK32" s="1363"/>
      <c r="AL32" s="974" t="s">
        <v>1305</v>
      </c>
      <c r="AM32" s="1363"/>
      <c r="AN32" s="1363"/>
      <c r="AO32" s="1363"/>
      <c r="AP32" s="1363"/>
      <c r="AQ32" s="1363"/>
    </row>
    <row customHeight="1" ht="21.9375" hidden="1">
      <c r="A33" s="1363"/>
      <c r="B33" s="1369"/>
      <c r="C33" s="1363"/>
      <c r="D33" s="1363"/>
      <c r="E33" s="593">
        <v>22.5</v>
      </c>
      <c r="F33" s="50" cm="1" t="str">
        <f t="array" ref="F33:F33">OFFSET(E33,-1,1)</f>
        <v>0</v>
      </c>
      <c r="G33" s="398"/>
      <c r="H33" s="51"/>
      <c r="I33" s="398" t="s">
        <v>1306</v>
      </c>
      <c r="J33" s="1363"/>
      <c r="K33" s="90"/>
      <c r="L33" s="90"/>
      <c r="M33" s="90"/>
      <c r="N33" s="1363"/>
      <c r="O33" s="1363"/>
      <c r="P33" s="1363"/>
      <c r="Q33" s="1363"/>
      <c r="R33" s="1363"/>
      <c r="S33" s="1353"/>
      <c r="T33" s="438" cm="1" t="str">
        <f t="array" ref="T33:T33">T32</f>
        <v>false</v>
      </c>
      <c r="U33" s="1363"/>
      <c r="V33" s="1363"/>
      <c r="W33" s="1363"/>
      <c r="X33" s="1511"/>
      <c r="Y33" s="1363"/>
      <c r="Z33" s="1494"/>
      <c r="AA33" s="1363"/>
      <c r="AB33" s="760" t="s">
        <v>466</v>
      </c>
      <c r="AC33" s="757" t="s">
        <v>1307</v>
      </c>
      <c r="AD33" s="742"/>
      <c r="AE33" s="742" t="s">
        <v>789</v>
      </c>
      <c r="AF33" s="2655">
        <f>_xlfn.SUMIFS(Покупка!$AF$25:$AF$87,Покупка!$F$25:$F$87,$F33,Покупка!$G$25:$G$87,"Итого")</f>
        <v>0</v>
      </c>
      <c r="AG33" s="2655">
        <f>_xlfn.SUMIFS(Покупка!$AG$25:$AG$87,Покупка!$F$25:$F$87,$F33,Покупка!$G$25:$G$87,"Итого")</f>
        <v>0</v>
      </c>
      <c r="AH33" s="1798"/>
      <c r="AI33" s="1363"/>
      <c r="AJ33" s="1363"/>
      <c r="AK33" s="1363"/>
      <c r="AL33" s="974" t="s">
        <v>1308</v>
      </c>
      <c r="AM33" s="1363"/>
      <c r="AN33" s="1363"/>
      <c r="AO33" s="1363"/>
      <c r="AP33" s="1363"/>
      <c r="AQ33" s="1363"/>
    </row>
    <row customHeight="1" ht="14.625" hidden="1">
      <c r="A34" s="1363"/>
      <c r="B34" s="1369"/>
      <c r="C34" s="1363"/>
      <c r="D34" s="1363"/>
      <c r="E34" s="593">
        <v>15</v>
      </c>
      <c r="F34" s="50" cm="1" t="str">
        <f t="array" ref="F34:F34">OFFSET(E34,-1,1)</f>
        <v>0</v>
      </c>
      <c r="G34" s="398"/>
      <c r="H34" s="51"/>
      <c r="I34" s="398" t="s">
        <v>1309</v>
      </c>
      <c r="J34" s="1363"/>
      <c r="K34" s="90"/>
      <c r="L34" s="90"/>
      <c r="M34" s="90"/>
      <c r="N34" s="1363"/>
      <c r="O34" s="1363"/>
      <c r="P34" s="1363"/>
      <c r="Q34" s="1363"/>
      <c r="R34" s="1363"/>
      <c r="S34" s="1353"/>
      <c r="T34" s="438" cm="1" t="str">
        <f t="array" ref="T34:T34">T33</f>
        <v>false</v>
      </c>
      <c r="U34" s="1363"/>
      <c r="V34" s="1363"/>
      <c r="W34" s="1363"/>
      <c r="X34" s="1511"/>
      <c r="Y34" s="1363"/>
      <c r="Z34" s="1494"/>
      <c r="AA34" s="1363"/>
      <c r="AB34" s="760" t="s">
        <v>1310</v>
      </c>
      <c r="AC34" s="757" t="s">
        <v>1311</v>
      </c>
      <c r="AD34" s="742"/>
      <c r="AE34" s="742" t="s">
        <v>789</v>
      </c>
      <c r="AF34" s="2655"/>
      <c r="AG34" s="2655">
        <f>_xlfn.SUMIFS('Сырье и материалы'!AG$25:AG$36,'Сырье и материалы'!$F$25:$F$36,$F34,'Сырье и материалы'!$AC$25:$AC$36,"Всего по тарифу")</f>
        <v>0</v>
      </c>
      <c r="AH34" s="1798"/>
      <c r="AI34" s="1363"/>
      <c r="AJ34" s="1363"/>
      <c r="AK34" s="1363"/>
      <c r="AL34" s="974" t="s">
        <v>1312</v>
      </c>
      <c r="AM34" s="1363"/>
      <c r="AN34" s="1363"/>
      <c r="AO34" s="1363"/>
      <c r="AP34" s="1363"/>
      <c r="AQ34" s="1363"/>
    </row>
    <row customHeight="1" ht="14.625" hidden="1">
      <c r="A35" s="1363"/>
      <c r="B35" s="1369"/>
      <c r="C35" s="1363"/>
      <c r="D35" s="1363"/>
      <c r="E35" s="593">
        <v>15</v>
      </c>
      <c r="F35" s="50" cm="1" t="str">
        <f t="array" ref="F35:F35">OFFSET(E35,-1,1)</f>
        <v>0</v>
      </c>
      <c r="G35" s="398"/>
      <c r="H35" s="51"/>
      <c r="I35" s="398" t="s">
        <v>1313</v>
      </c>
      <c r="J35" s="1363"/>
      <c r="K35" s="90"/>
      <c r="L35" s="90"/>
      <c r="M35" s="90"/>
      <c r="N35" s="1363"/>
      <c r="O35" s="1363"/>
      <c r="P35" s="1363"/>
      <c r="Q35" s="1363"/>
      <c r="R35" s="1363"/>
      <c r="S35" s="1353"/>
      <c r="T35" s="438" cm="1" t="str">
        <f t="array" ref="T35:T35">T34</f>
        <v>false</v>
      </c>
      <c r="U35" s="1363"/>
      <c r="V35" s="1363"/>
      <c r="W35" s="1363"/>
      <c r="X35" s="1511"/>
      <c r="Y35" s="1363"/>
      <c r="Z35" s="1494"/>
      <c r="AA35" s="1363"/>
      <c r="AB35" s="760" t="s">
        <v>1314</v>
      </c>
      <c r="AC35" s="757" t="s">
        <v>1315</v>
      </c>
      <c r="AD35" s="742"/>
      <c r="AE35" s="742" t="s">
        <v>789</v>
      </c>
      <c r="AF35" s="2655">
        <f>_xlfn.SUMIFS(Налоги!AF$25:AF$55,Налоги!$F$25:$F$55,$F35,Налоги!$AB$25:$AB$55,"0")</f>
        <v>0</v>
      </c>
      <c r="AG35" s="2655">
        <f>_xlfn.SUMIFS(Налоги!AG$25:AG$55,Налоги!$F$25:$F$55,$F35,Налоги!$AB$25:$AB$55,"0")</f>
        <v>0</v>
      </c>
      <c r="AH35" s="1798"/>
      <c r="AI35" s="1363"/>
      <c r="AJ35" s="1363"/>
      <c r="AK35" s="1363"/>
      <c r="AL35" s="974" t="s">
        <v>1316</v>
      </c>
      <c r="AM35" s="1363"/>
      <c r="AN35" s="1363"/>
      <c r="AO35" s="1363"/>
      <c r="AP35" s="1363"/>
      <c r="AQ35" s="1363"/>
    </row>
    <row customHeight="1" ht="65.8125" hidden="1">
      <c r="A36" s="1363"/>
      <c r="B36" s="1369"/>
      <c r="C36" s="1363"/>
      <c r="D36" s="1363"/>
      <c r="E36" s="593">
        <v>67.5</v>
      </c>
      <c r="F36" s="50" cm="1" t="str">
        <f t="array" ref="F36:F36">OFFSET(E36,-1,1)</f>
        <v>0</v>
      </c>
      <c r="G36" s="73" t="s">
        <v>1317</v>
      </c>
      <c r="H36" s="51"/>
      <c r="I36" s="466" t="s">
        <v>1318</v>
      </c>
      <c r="J36" s="1363"/>
      <c r="K36" s="90"/>
      <c r="L36" s="90"/>
      <c r="M36" s="90"/>
      <c r="N36" s="1363"/>
      <c r="O36" s="1363"/>
      <c r="P36" s="1363"/>
      <c r="Q36" s="1363"/>
      <c r="R36" s="1363"/>
      <c r="S36" s="1353"/>
      <c r="T36" s="438" cm="1" t="str">
        <f t="array" ref="T36:T36">T35</f>
        <v>false</v>
      </c>
      <c r="U36" s="1363"/>
      <c r="V36" s="1363"/>
      <c r="W36" s="1363"/>
      <c r="X36" s="1511"/>
      <c r="Y36" s="1363"/>
      <c r="Z36" s="1494"/>
      <c r="AA36" s="1363"/>
      <c r="AB36" s="760" t="s">
        <v>1319</v>
      </c>
      <c r="AC36" s="757" t="s">
        <v>1320</v>
      </c>
      <c r="AD36" s="742"/>
      <c r="AE36" s="742" t="s">
        <v>789</v>
      </c>
      <c r="AF36" s="2655"/>
      <c r="AG36" s="2655">
        <f>IF(AND(method_reg="Метод индексации",first_year=god),_xlfn.SUMIFS('Калькуляция (МИ)'!$AG$25:$AG$315,'Калькуляция (МИ)'!$F$25:$F$315,$F36,'Калькуляция (МИ)'!$G$25:$G$315,$G36),_xlfn.SUMIFS('Калькуляция (МИ корр)'!$AG$25:$AG$315,'Калькуляция (МИ корр)'!$F$25:$F$315,$F36,'Калькуляция (МИ корр)'!$G$25:$G$315,$G36))</f>
        <v>0</v>
      </c>
      <c r="AH36" s="1798"/>
      <c r="AI36" s="1363"/>
      <c r="AJ36" s="1363"/>
      <c r="AK36" s="1363"/>
      <c r="AL36" s="974" t="s">
        <v>1321</v>
      </c>
      <c r="AM36" s="1363"/>
      <c r="AN36" s="1363"/>
      <c r="AO36" s="1363"/>
      <c r="AP36" s="1363"/>
      <c r="AQ36" s="1363"/>
    </row>
    <row customHeight="1" ht="14.625" hidden="1">
      <c r="A37" s="1363"/>
      <c r="B37" s="1369"/>
      <c r="C37" s="1363"/>
      <c r="D37" s="1363"/>
      <c r="E37" s="593">
        <v>15</v>
      </c>
      <c r="F37" s="50" cm="1" t="str">
        <f t="array" ref="F37:F37">OFFSET(E37,-1,1)</f>
        <v>0</v>
      </c>
      <c r="G37" s="73" t="s">
        <v>942</v>
      </c>
      <c r="H37" s="51"/>
      <c r="I37" s="466" t="s">
        <v>1322</v>
      </c>
      <c r="J37" s="1363"/>
      <c r="K37" s="90"/>
      <c r="L37" s="90"/>
      <c r="M37" s="90"/>
      <c r="N37" s="1363"/>
      <c r="O37" s="1363"/>
      <c r="P37" s="1363"/>
      <c r="Q37" s="1363"/>
      <c r="R37" s="1363"/>
      <c r="S37" s="1353"/>
      <c r="T37" s="438" cm="1" t="str">
        <f t="array" ref="T37:T37">T36</f>
        <v>false</v>
      </c>
      <c r="U37" s="1363"/>
      <c r="V37" s="1363"/>
      <c r="W37" s="1363"/>
      <c r="X37" s="1511"/>
      <c r="Y37" s="1363"/>
      <c r="Z37" s="1494"/>
      <c r="AA37" s="1363"/>
      <c r="AB37" s="760" t="s">
        <v>1323</v>
      </c>
      <c r="AC37" s="757" t="s">
        <v>1324</v>
      </c>
      <c r="AD37" s="742"/>
      <c r="AE37" s="742" t="s">
        <v>789</v>
      </c>
      <c r="AF37" s="2655"/>
      <c r="AG37" s="2655">
        <f>IF(AND(method_reg="Метод индексации",first_year=god),_xlfn.SUMIFS('Калькуляция (МИ)'!$AG$25:$AG$315,'Калькуляция (МИ)'!$F$25:$F$315,$F37,'Калькуляция (МИ)'!$G$25:$G$315,$G37),_xlfn.SUMIFS('Калькуляция (МИ корр)'!$AG$25:$AG$315,'Калькуляция (МИ корр)'!$F$25:$F$315,$F37,'Калькуляция (МИ корр)'!$G$25:$G$315,$G37))</f>
        <v>0</v>
      </c>
      <c r="AH37" s="1798"/>
      <c r="AI37" s="1363"/>
      <c r="AJ37" s="1363"/>
      <c r="AK37" s="1363"/>
      <c r="AL37" s="974" t="s">
        <v>1325</v>
      </c>
      <c r="AM37" s="1363"/>
      <c r="AN37" s="1363"/>
      <c r="AO37" s="1363"/>
      <c r="AP37" s="1363"/>
      <c r="AQ37" s="1363"/>
    </row>
    <row customHeight="1" ht="14.625" hidden="1">
      <c r="A38" s="1363"/>
      <c r="B38" s="1369"/>
      <c r="C38" s="1363"/>
      <c r="D38" s="1363"/>
      <c r="E38" s="593">
        <v>15</v>
      </c>
      <c r="F38" s="50" cm="1" t="str">
        <f t="array" ref="F38:F38">OFFSET(E38,-1,1)</f>
        <v>0</v>
      </c>
      <c r="G38" s="73" t="s">
        <v>1326</v>
      </c>
      <c r="H38" s="51"/>
      <c r="I38" s="466" t="s">
        <v>1327</v>
      </c>
      <c r="J38" s="1363"/>
      <c r="K38" s="90"/>
      <c r="L38" s="90"/>
      <c r="M38" s="90"/>
      <c r="N38" s="1363"/>
      <c r="O38" s="1363"/>
      <c r="P38" s="1363"/>
      <c r="Q38" s="1363"/>
      <c r="R38" s="1363"/>
      <c r="S38" s="1353"/>
      <c r="T38" s="438" cm="1" t="str">
        <f t="array" ref="T38:T38">T37</f>
        <v>false</v>
      </c>
      <c r="U38" s="1363"/>
      <c r="V38" s="1363"/>
      <c r="W38" s="1363"/>
      <c r="X38" s="1511"/>
      <c r="Y38" s="1363"/>
      <c r="Z38" s="1494"/>
      <c r="AA38" s="1363"/>
      <c r="AB38" s="760" t="s">
        <v>1328</v>
      </c>
      <c r="AC38" s="757" t="s">
        <v>1329</v>
      </c>
      <c r="AD38" s="742"/>
      <c r="AE38" s="742" t="s">
        <v>789</v>
      </c>
      <c r="AF38" s="2655"/>
      <c r="AG38" s="2655">
        <f>IF(AND(method_reg="Метод индексации",first_year=god),_xlfn.SUMIFS('Калькуляция (МИ)'!$AG$25:$AG$315,'Калькуляция (МИ)'!$F$25:$F$315,$F38,'Калькуляция (МИ)'!$G$25:$G$315,$G38),_xlfn.SUMIFS('Калькуляция (МИ корр)'!$AG$25:$AG$315,'Калькуляция (МИ корр)'!$F$25:$F$315,$F38,'Калькуляция (МИ корр)'!$G$25:$G$315,$G38))</f>
        <v>0</v>
      </c>
      <c r="AH38" s="1798"/>
      <c r="AI38" s="1363"/>
      <c r="AJ38" s="1363"/>
      <c r="AK38" s="1363"/>
      <c r="AL38" s="974" t="s">
        <v>1330</v>
      </c>
      <c r="AM38" s="1363"/>
      <c r="AN38" s="1363"/>
      <c r="AO38" s="1363"/>
      <c r="AP38" s="1363"/>
      <c r="AQ38" s="1363"/>
    </row>
    <row customHeight="1" ht="21.9375" hidden="1">
      <c r="A39" s="1363"/>
      <c r="B39" s="1369"/>
      <c r="C39" s="1363"/>
      <c r="D39" s="1363"/>
      <c r="E39" s="593">
        <v>22.5</v>
      </c>
      <c r="F39" s="50" cm="1" t="str">
        <f t="array" ref="F39:F39">OFFSET(E39,-1,1)</f>
        <v>0</v>
      </c>
      <c r="G39" s="73" t="s">
        <v>1331</v>
      </c>
      <c r="H39" s="51"/>
      <c r="I39" s="466" t="s">
        <v>1332</v>
      </c>
      <c r="J39" s="1363"/>
      <c r="K39" s="90"/>
      <c r="L39" s="90"/>
      <c r="M39" s="90"/>
      <c r="N39" s="1363"/>
      <c r="O39" s="1363"/>
      <c r="P39" s="1363"/>
      <c r="Q39" s="1363"/>
      <c r="R39" s="1363"/>
      <c r="S39" s="1353"/>
      <c r="T39" s="438" cm="1" t="str">
        <f t="array" ref="T39:T39">T38</f>
        <v>false</v>
      </c>
      <c r="U39" s="1363"/>
      <c r="V39" s="1363"/>
      <c r="W39" s="1363"/>
      <c r="X39" s="1511"/>
      <c r="Y39" s="1363"/>
      <c r="Z39" s="1494"/>
      <c r="AA39" s="1363"/>
      <c r="AB39" s="760" t="s">
        <v>1333</v>
      </c>
      <c r="AC39" s="757" t="s">
        <v>1334</v>
      </c>
      <c r="AD39" s="742"/>
      <c r="AE39" s="742" t="s">
        <v>789</v>
      </c>
      <c r="AF39" s="2655"/>
      <c r="AG39" s="2655">
        <f>IF(AND(method_reg="Метод индексации",first_year=god),_xlfn.SUMIFS('Калькуляция (МИ)'!$AG$25:$AG$315,'Калькуляция (МИ)'!$F$25:$F$315,$F39,'Калькуляция (МИ)'!$G$25:$G$315,$G39),_xlfn.SUMIFS('Калькуляция (МИ корр)'!$AG$25:$AG$315,'Калькуляция (МИ корр)'!$F$25:$F$315,$F39,'Калькуляция (МИ корр)'!$G$25:$G$315,$G39))</f>
        <v>0</v>
      </c>
      <c r="AH39" s="1798"/>
      <c r="AI39" s="1363"/>
      <c r="AJ39" s="1363"/>
      <c r="AK39" s="1363"/>
      <c r="AL39" s="974" t="s">
        <v>1335</v>
      </c>
      <c r="AM39" s="1363"/>
      <c r="AN39" s="1363"/>
      <c r="AO39" s="1363"/>
      <c r="AP39" s="1363"/>
      <c r="AQ39" s="1363"/>
    </row>
    <row customHeight="1" ht="21.9375" hidden="1">
      <c r="A40" s="1363"/>
      <c r="B40" s="1369"/>
      <c r="C40" s="1363"/>
      <c r="D40" s="1363"/>
      <c r="E40" s="593">
        <v>22.5</v>
      </c>
      <c r="F40" s="50" cm="1" t="str">
        <f t="array" ref="F40:F40">OFFSET(E40,-1,1)</f>
        <v>0</v>
      </c>
      <c r="G40" s="73" t="s">
        <v>1336</v>
      </c>
      <c r="H40" s="51"/>
      <c r="I40" s="466" t="s">
        <v>1337</v>
      </c>
      <c r="J40" s="1363"/>
      <c r="K40" s="90"/>
      <c r="L40" s="90"/>
      <c r="M40" s="90"/>
      <c r="N40" s="1363"/>
      <c r="O40" s="1363"/>
      <c r="P40" s="1363"/>
      <c r="Q40" s="1363"/>
      <c r="R40" s="1363"/>
      <c r="S40" s="1353"/>
      <c r="T40" s="438" cm="1" t="str">
        <f t="array" ref="T40:T40">T39</f>
        <v>false</v>
      </c>
      <c r="U40" s="1363"/>
      <c r="V40" s="1363"/>
      <c r="W40" s="1363"/>
      <c r="X40" s="1511"/>
      <c r="Y40" s="1363"/>
      <c r="Z40" s="1494"/>
      <c r="AA40" s="1363"/>
      <c r="AB40" s="760" t="s">
        <v>1338</v>
      </c>
      <c r="AC40" s="757" t="s">
        <v>1339</v>
      </c>
      <c r="AD40" s="911"/>
      <c r="AE40" s="742" t="s">
        <v>789</v>
      </c>
      <c r="AF40" s="2655"/>
      <c r="AG40" s="2655">
        <f>IF(AND(method_reg="Метод индексации",first_year=god),_xlfn.SUMIFS('Калькуляция (МИ)'!$AG$25:$AG$315,'Калькуляция (МИ)'!$F$25:$F$315,$F40,'Калькуляция (МИ)'!$G$25:$G$315,$G40),_xlfn.SUMIFS('Калькуляция (МИ корр)'!$AG$25:$AG$315,'Калькуляция (МИ корр)'!$F$25:$F$315,$F40,'Калькуляция (МИ корр)'!$G$25:$G$315,$G40))</f>
        <v>0</v>
      </c>
      <c r="AH40" s="1798"/>
      <c r="AI40" s="1363"/>
      <c r="AJ40" s="1363"/>
      <c r="AK40" s="1363"/>
      <c r="AL40" s="974" t="s">
        <v>1340</v>
      </c>
      <c r="AM40" s="1363"/>
      <c r="AN40" s="1363"/>
      <c r="AO40" s="1363"/>
      <c r="AP40" s="1363"/>
      <c r="AQ40" s="1363"/>
    </row>
    <row customHeight="1" ht="21.9375" hidden="1">
      <c r="A41" s="1363"/>
      <c r="B41" s="1369"/>
      <c r="C41" s="1363"/>
      <c r="D41" s="1363"/>
      <c r="E41" s="593">
        <v>22.5</v>
      </c>
      <c r="F41" s="50" cm="1" t="str">
        <f t="array" ref="F41:F41">OFFSET(E41,-1,1)</f>
        <v>0</v>
      </c>
      <c r="G41" s="73" t="s">
        <v>1341</v>
      </c>
      <c r="H41" s="51"/>
      <c r="I41" s="466" t="s">
        <v>1342</v>
      </c>
      <c r="J41" s="1363"/>
      <c r="K41" s="90"/>
      <c r="L41" s="90"/>
      <c r="M41" s="90"/>
      <c r="N41" s="1363"/>
      <c r="O41" s="1363"/>
      <c r="P41" s="1363"/>
      <c r="Q41" s="1363"/>
      <c r="R41" s="1363"/>
      <c r="S41" s="1353"/>
      <c r="T41" s="438" cm="1" t="str">
        <f t="array" ref="T41:T41">T40</f>
        <v>false</v>
      </c>
      <c r="U41" s="1363"/>
      <c r="V41" s="1363"/>
      <c r="W41" s="1363"/>
      <c r="X41" s="1511"/>
      <c r="Y41" s="1363"/>
      <c r="Z41" s="1494"/>
      <c r="AA41" s="1363"/>
      <c r="AB41" s="760" t="s">
        <v>1343</v>
      </c>
      <c r="AC41" s="757" t="s">
        <v>1344</v>
      </c>
      <c r="AD41" s="911"/>
      <c r="AE41" s="742" t="s">
        <v>789</v>
      </c>
      <c r="AF41" s="2655"/>
      <c r="AG41" s="2655">
        <f>IF(AND(method_reg="Метод индексации",first_year=god),_xlfn.SUMIFS('Калькуляция (МИ)'!$AG$25:$AG$315,'Калькуляция (МИ)'!$F$25:$F$315,$F41,'Калькуляция (МИ)'!$G$25:$G$315,$G41),_xlfn.SUMIFS('Калькуляция (МИ корр)'!$AG$25:$AG$315,'Калькуляция (МИ корр)'!$F$25:$F$315,$F41,'Калькуляция (МИ корр)'!$G$25:$G$315,$G41))</f>
        <v>0</v>
      </c>
      <c r="AH41" s="1798"/>
      <c r="AI41" s="1363"/>
      <c r="AJ41" s="1363"/>
      <c r="AK41" s="1363"/>
      <c r="AL41" s="974" t="s">
        <v>1345</v>
      </c>
      <c r="AM41" s="1363"/>
      <c r="AN41" s="1363"/>
      <c r="AO41" s="1363"/>
      <c r="AP41" s="1363"/>
      <c r="AQ41" s="1363"/>
    </row>
    <row customHeight="1" ht="14.625" hidden="1">
      <c r="A42" s="1363"/>
      <c r="B42" s="1369"/>
      <c r="C42" s="1363"/>
      <c r="D42" s="1363"/>
      <c r="E42" s="593">
        <v>15</v>
      </c>
      <c r="F42" s="50" cm="1" t="str">
        <f t="array" ref="F42:F42">OFFSET(E42,-1,1)</f>
        <v>0</v>
      </c>
      <c r="G42" s="73" t="s">
        <v>1346</v>
      </c>
      <c r="H42" s="51"/>
      <c r="I42" s="466" t="s">
        <v>1347</v>
      </c>
      <c r="J42" s="1363"/>
      <c r="K42" s="90"/>
      <c r="L42" s="90"/>
      <c r="M42" s="90"/>
      <c r="N42" s="1363"/>
      <c r="O42" s="1363"/>
      <c r="P42" s="1363"/>
      <c r="Q42" s="1363"/>
      <c r="R42" s="1363"/>
      <c r="S42" s="1353"/>
      <c r="T42" s="438" cm="1" t="str">
        <f t="array" ref="T42:T42">T41</f>
        <v>false</v>
      </c>
      <c r="U42" s="1363"/>
      <c r="V42" s="1363"/>
      <c r="W42" s="1363"/>
      <c r="X42" s="1511"/>
      <c r="Y42" s="1363"/>
      <c r="Z42" s="1494"/>
      <c r="AA42" s="1363"/>
      <c r="AB42" s="760" t="s">
        <v>1348</v>
      </c>
      <c r="AC42" s="757" t="s">
        <v>1349</v>
      </c>
      <c r="AD42" s="911"/>
      <c r="AE42" s="742" t="s">
        <v>789</v>
      </c>
      <c r="AF42" s="2655"/>
      <c r="AG42" s="2655">
        <f>IF(AND(method_reg="Метод индексации",first_year=god),_xlfn.SUMIFS('Калькуляция (МИ)'!$AG$25:$AG$315,'Калькуляция (МИ)'!$F$25:$F$315,$F42,'Калькуляция (МИ)'!$G$25:$G$315,$G42),_xlfn.SUMIFS('Калькуляция (МИ корр)'!$AG$25:$AG$315,'Калькуляция (МИ корр)'!$F$25:$F$315,$F42,'Калькуляция (МИ корр)'!$G$25:$G$315,$G42))</f>
        <v>0</v>
      </c>
      <c r="AH42" s="1798"/>
      <c r="AI42" s="1363"/>
      <c r="AJ42" s="1363"/>
      <c r="AK42" s="1363"/>
      <c r="AL42" s="974" t="s">
        <v>1350</v>
      </c>
      <c r="AM42" s="1363"/>
      <c r="AN42" s="1363"/>
      <c r="AO42" s="1363"/>
      <c r="AP42" s="1363"/>
      <c r="AQ42" s="1363"/>
    </row>
    <row customHeight="1" ht="21.9375" hidden="1">
      <c r="A43" s="1363"/>
      <c r="B43" s="1369"/>
      <c r="C43" s="1363"/>
      <c r="D43" s="1363"/>
      <c r="E43" s="593">
        <v>22.5</v>
      </c>
      <c r="F43" s="50" cm="1" t="str">
        <f t="array" ref="F43:F43">OFFSET(E43,-1,1)</f>
        <v>0</v>
      </c>
      <c r="G43" s="73" t="s">
        <v>1351</v>
      </c>
      <c r="H43" s="51"/>
      <c r="I43" s="466" t="s">
        <v>1352</v>
      </c>
      <c r="J43" s="1363"/>
      <c r="K43" s="90"/>
      <c r="L43" s="90"/>
      <c r="M43" s="90"/>
      <c r="N43" s="1363"/>
      <c r="O43" s="1363"/>
      <c r="P43" s="1363"/>
      <c r="Q43" s="1363"/>
      <c r="R43" s="1363"/>
      <c r="S43" s="1353"/>
      <c r="T43" s="438" cm="1" t="str">
        <f t="array" ref="T43:T43">T42</f>
        <v>false</v>
      </c>
      <c r="U43" s="1363"/>
      <c r="V43" s="1363"/>
      <c r="W43" s="1363"/>
      <c r="X43" s="1511"/>
      <c r="Y43" s="1363"/>
      <c r="Z43" s="1494"/>
      <c r="AA43" s="1363"/>
      <c r="AB43" s="760" t="s">
        <v>1353</v>
      </c>
      <c r="AC43" s="757" t="s">
        <v>1354</v>
      </c>
      <c r="AD43" s="911"/>
      <c r="AE43" s="742" t="s">
        <v>789</v>
      </c>
      <c r="AF43" s="2655"/>
      <c r="AG43" s="2655">
        <f>IF(AND(method_reg="Метод индексации",first_year=god),_xlfn.SUMIFS('Калькуляция (МИ)'!$AG$25:$AG$315,'Калькуляция (МИ)'!$F$25:$F$315,$F43,'Калькуляция (МИ)'!$G$25:$G$315,$G43),_xlfn.SUMIFS('Калькуляция (МИ корр)'!$AG$25:$AG$315,'Калькуляция (МИ корр)'!$F$25:$F$315,$F43,'Калькуляция (МИ корр)'!$G$25:$G$315,$G43))</f>
        <v>0</v>
      </c>
      <c r="AH43" s="1798"/>
      <c r="AI43" s="1363"/>
      <c r="AJ43" s="1363"/>
      <c r="AK43" s="1363"/>
      <c r="AL43" s="974" t="s">
        <v>1355</v>
      </c>
      <c r="AM43" s="1363"/>
      <c r="AN43" s="1363"/>
      <c r="AO43" s="1363"/>
      <c r="AP43" s="1363"/>
      <c r="AQ43" s="1363"/>
    </row>
    <row customHeight="1" ht="14.625" hidden="1">
      <c r="A44" s="1363"/>
      <c r="B44" s="1369"/>
      <c r="C44" s="1363"/>
      <c r="D44" s="1363"/>
      <c r="E44" s="593">
        <v>15</v>
      </c>
      <c r="F44" s="50" cm="1" t="str">
        <f t="array" ref="F44:F44">OFFSET(E44,-1,1)</f>
        <v>0</v>
      </c>
      <c r="G44" s="398"/>
      <c r="H44" s="51"/>
      <c r="I44" s="398" t="s">
        <v>1215</v>
      </c>
      <c r="J44" s="1363"/>
      <c r="K44" s="90"/>
      <c r="L44" s="90"/>
      <c r="M44" s="90"/>
      <c r="N44" s="1363"/>
      <c r="O44" s="1363"/>
      <c r="P44" s="1363"/>
      <c r="Q44" s="1363"/>
      <c r="R44" s="1363"/>
      <c r="S44" s="1353"/>
      <c r="T44" s="438" cm="1" t="str">
        <f t="array" ref="T44:T44">T43</f>
        <v>false</v>
      </c>
      <c r="U44" s="1363"/>
      <c r="V44" s="1363"/>
      <c r="W44" s="1363"/>
      <c r="X44" s="1511"/>
      <c r="Y44" s="1363"/>
      <c r="Z44" s="1494"/>
      <c r="AA44" s="1363"/>
      <c r="AB44" s="265" t="s">
        <v>517</v>
      </c>
      <c r="AC44" s="738" t="s">
        <v>1356</v>
      </c>
      <c r="AD44" s="266" t="s">
        <v>1357</v>
      </c>
      <c r="AE44" s="742" t="s">
        <v>789</v>
      </c>
      <c r="AF44" s="2655">
        <f>AF45*AF46*AF47</f>
        <v>0</v>
      </c>
      <c r="AG44" s="2655">
        <f>AG45*AG46*AG47</f>
        <v>0</v>
      </c>
      <c r="AH44" s="1798"/>
      <c r="AI44" s="1363"/>
      <c r="AJ44" s="1363"/>
      <c r="AK44" s="1363"/>
      <c r="AL44" s="974" t="s">
        <v>1358</v>
      </c>
      <c r="AM44" s="1363"/>
      <c r="AN44" s="1363"/>
      <c r="AO44" s="1363"/>
      <c r="AP44" s="1363"/>
      <c r="AQ44" s="1363"/>
    </row>
    <row customHeight="1" ht="21.9375" hidden="1">
      <c r="A45" s="1363"/>
      <c r="B45" s="1369"/>
      <c r="C45" s="1363"/>
      <c r="D45" s="1363"/>
      <c r="E45" s="593">
        <v>22.5</v>
      </c>
      <c r="F45" s="50" cm="1" t="str">
        <f t="array" ref="F45:F45">OFFSET(E45,-1,1)</f>
        <v>0</v>
      </c>
      <c r="G45" s="398"/>
      <c r="H45" s="51"/>
      <c r="I45" s="398" t="s">
        <v>1359</v>
      </c>
      <c r="J45" s="1363"/>
      <c r="K45" s="90"/>
      <c r="L45" s="90"/>
      <c r="M45" s="90"/>
      <c r="N45" s="1363"/>
      <c r="O45" s="1363"/>
      <c r="P45" s="1363"/>
      <c r="Q45" s="1363"/>
      <c r="R45" s="1363"/>
      <c r="S45" s="1353"/>
      <c r="T45" s="438" cm="1" t="str">
        <f t="array" ref="T45:T45">T44</f>
        <v>false</v>
      </c>
      <c r="U45" s="1363"/>
      <c r="V45" s="1363"/>
      <c r="W45" s="1363"/>
      <c r="X45" s="1511"/>
      <c r="Y45" s="1363"/>
      <c r="Z45" s="1494"/>
      <c r="AA45" s="1363"/>
      <c r="AB45" s="265" t="s">
        <v>471</v>
      </c>
      <c r="AC45" s="741" t="s">
        <v>1360</v>
      </c>
      <c r="AD45" s="266" t="s">
        <v>1361</v>
      </c>
      <c r="AE45" s="742" t="s">
        <v>806</v>
      </c>
      <c r="AF45" s="2655"/>
      <c r="AG45" s="2655">
        <f>_xlfn.SUMIFS(ЭЭ!AG$25:AG$67,ЭЭ!$F$25:$F$67,$F45,ЭЭ!$AC$25:$AC$67,"Удельный расход электроэнергии")</f>
        <v>0</v>
      </c>
      <c r="AH45" s="1798"/>
      <c r="AI45" s="1363"/>
      <c r="AJ45" s="1363"/>
      <c r="AK45" s="1363"/>
      <c r="AL45" s="974" t="s">
        <v>1362</v>
      </c>
      <c r="AM45" s="1363"/>
      <c r="AN45" s="1363"/>
      <c r="AO45" s="1363"/>
      <c r="AP45" s="1363"/>
      <c r="AQ45" s="1363"/>
    </row>
    <row customHeight="1" ht="14.625" hidden="1">
      <c r="A46" s="1363"/>
      <c r="B46" s="1369"/>
      <c r="C46" s="1363"/>
      <c r="D46" s="1363"/>
      <c r="E46" s="593">
        <v>15</v>
      </c>
      <c r="F46" s="50" cm="1" t="str">
        <f t="array" ref="F46:F46">OFFSET(E46,-1,1)</f>
        <v>0</v>
      </c>
      <c r="G46" s="398"/>
      <c r="H46" s="51"/>
      <c r="I46" s="398" t="s">
        <v>1363</v>
      </c>
      <c r="J46" s="1363"/>
      <c r="K46" s="90"/>
      <c r="L46" s="90"/>
      <c r="M46" s="90"/>
      <c r="N46" s="1363"/>
      <c r="O46" s="1363"/>
      <c r="P46" s="1363"/>
      <c r="Q46" s="1363"/>
      <c r="R46" s="1363"/>
      <c r="S46" s="1353"/>
      <c r="T46" s="438" cm="1" t="str">
        <f t="array" ref="T46:T46">T45</f>
        <v>false</v>
      </c>
      <c r="U46" s="1363"/>
      <c r="V46" s="1363"/>
      <c r="W46" s="1363"/>
      <c r="X46" s="1511"/>
      <c r="Y46" s="1363"/>
      <c r="Z46" s="1494"/>
      <c r="AA46" s="1363"/>
      <c r="AB46" s="265" t="s">
        <v>1364</v>
      </c>
      <c r="AC46" s="741" t="s">
        <v>1365</v>
      </c>
      <c r="AD46" s="266" t="s">
        <v>1366</v>
      </c>
      <c r="AE46" s="742" t="s">
        <v>800</v>
      </c>
      <c r="AF46" s="2655"/>
      <c r="AG46" s="2655">
        <f>_xlfn.SUMIFS(ЭЭ!AG$25:AG$67,ЭЭ!$F$25:$F$67,$F45,ЭЭ!$AC$25:$AC$67,"Объём воды/сточных вод")</f>
        <v>0</v>
      </c>
      <c r="AH46" s="1798"/>
      <c r="AI46" s="1363"/>
      <c r="AJ46" s="1363"/>
      <c r="AK46" s="1363"/>
      <c r="AL46" s="974" t="s">
        <v>1367</v>
      </c>
      <c r="AM46" s="1363"/>
      <c r="AN46" s="1363"/>
      <c r="AO46" s="1363"/>
      <c r="AP46" s="1363"/>
      <c r="AQ46" s="1363"/>
    </row>
    <row customHeight="1" ht="21.9375" hidden="1">
      <c r="A47" s="1363"/>
      <c r="B47" s="1369"/>
      <c r="C47" s="1363"/>
      <c r="D47" s="1363"/>
      <c r="E47" s="593">
        <v>22.5</v>
      </c>
      <c r="F47" s="50" cm="1" t="str">
        <f t="array" ref="F47:F47">OFFSET(E47,-1,1)</f>
        <v>0</v>
      </c>
      <c r="G47" s="398"/>
      <c r="H47" s="51"/>
      <c r="I47" s="398" t="s">
        <v>1368</v>
      </c>
      <c r="J47" s="1363"/>
      <c r="K47" s="90"/>
      <c r="L47" s="90"/>
      <c r="M47" s="90"/>
      <c r="N47" s="1363"/>
      <c r="O47" s="1363"/>
      <c r="P47" s="1363"/>
      <c r="Q47" s="1363"/>
      <c r="R47" s="1363"/>
      <c r="S47" s="1353"/>
      <c r="T47" s="438" cm="1" t="str">
        <f t="array" ref="T47:T47">T46</f>
        <v>false</v>
      </c>
      <c r="U47" s="1363"/>
      <c r="V47" s="1363"/>
      <c r="W47" s="1363"/>
      <c r="X47" s="1511"/>
      <c r="Y47" s="1363"/>
      <c r="Z47" s="1494"/>
      <c r="AA47" s="1363"/>
      <c r="AB47" s="265" t="s">
        <v>1369</v>
      </c>
      <c r="AC47" s="741" t="s">
        <v>1370</v>
      </c>
      <c r="AD47" s="266" t="s">
        <v>1371</v>
      </c>
      <c r="AE47" s="742" t="s">
        <v>803</v>
      </c>
      <c r="AF47" s="2655"/>
      <c r="AG47" s="2655">
        <f>_xlfn.SUMIFS(ЭЭ!AG$25:AG$67,ЭЭ!$F$25:$F$67,$F45,ЭЭ!$AC$25:$AC$67,"Средний (расчетный) тариф")</f>
        <v>0</v>
      </c>
      <c r="AH47" s="1798"/>
      <c r="AI47" s="1363"/>
      <c r="AJ47" s="1363"/>
      <c r="AK47" s="1363"/>
      <c r="AL47" s="974" t="s">
        <v>1372</v>
      </c>
      <c r="AM47" s="1363"/>
      <c r="AN47" s="1363"/>
      <c r="AO47" s="1363"/>
      <c r="AP47" s="1363"/>
      <c r="AQ47" s="1363"/>
    </row>
    <row customHeight="1" ht="21.9375" hidden="1">
      <c r="A48" s="1363"/>
      <c r="B48" s="1369"/>
      <c r="C48" s="1363"/>
      <c r="D48" s="1363"/>
      <c r="E48" s="593">
        <v>22.5</v>
      </c>
      <c r="F48" s="50" cm="1" t="str">
        <f t="array" ref="F48:F48">OFFSET(E48,-1,1)</f>
        <v>0</v>
      </c>
      <c r="G48" s="398" t="s">
        <v>1373</v>
      </c>
      <c r="H48" s="51"/>
      <c r="I48" s="398" t="s">
        <v>1374</v>
      </c>
      <c r="J48" s="1363"/>
      <c r="K48" s="90"/>
      <c r="L48" s="90"/>
      <c r="M48" s="90"/>
      <c r="N48" s="1363"/>
      <c r="O48" s="1363"/>
      <c r="P48" s="1363"/>
      <c r="Q48" s="1363"/>
      <c r="R48" s="1363"/>
      <c r="S48" s="1353"/>
      <c r="T48" s="438" cm="1" t="str">
        <f t="array" ref="T48:T48">T47</f>
        <v>false</v>
      </c>
      <c r="U48" s="1363"/>
      <c r="V48" s="1363"/>
      <c r="W48" s="1363"/>
      <c r="X48" s="1511"/>
      <c r="Y48" s="1363"/>
      <c r="Z48" s="1494"/>
      <c r="AA48" s="1363"/>
      <c r="AB48" s="265" t="s">
        <v>867</v>
      </c>
      <c r="AC48" s="738" t="s">
        <v>1375</v>
      </c>
      <c r="AD48" s="266" t="s">
        <v>1376</v>
      </c>
      <c r="AE48" s="742" t="s">
        <v>789</v>
      </c>
      <c r="AF48" s="2655"/>
      <c r="AG48" s="2655">
        <f>IF(AND(method_reg="Метод индексации",first_year=god),_xlfn.SUMIFS('Калькуляция (МИ)'!$AG$25:$AG$315,'Калькуляция (МИ)'!$F$25:$F$315,$F48,'Калькуляция (МИ)'!$G$25:$G$315,$G48),_xlfn.SUMIFS('Калькуляция (МИ корр)'!$AG$25:$AG$315,'Калькуляция (МИ корр)'!$F$25:$F$315,$F48,'Калькуляция (МИ корр)'!$G$25:$G$315,$G48))</f>
        <v>0</v>
      </c>
      <c r="AH48" s="1798"/>
      <c r="AI48" s="1363"/>
      <c r="AJ48" s="1363"/>
      <c r="AK48" s="1363"/>
      <c r="AL48" s="974" t="s">
        <v>1118</v>
      </c>
      <c r="AM48" s="1363"/>
      <c r="AN48" s="1363"/>
      <c r="AO48" s="1363"/>
      <c r="AP48" s="1363"/>
      <c r="AQ48" s="1363"/>
    </row>
    <row customHeight="1" ht="14.625" hidden="1">
      <c r="A49" s="1363"/>
      <c r="B49" s="1369"/>
      <c r="C49" s="1363"/>
      <c r="D49" s="1363"/>
      <c r="E49" s="593">
        <v>15</v>
      </c>
      <c r="F49" s="50" cm="1" t="str">
        <f t="array" ref="F49:F49">OFFSET(E49,-1,1)</f>
        <v>0</v>
      </c>
      <c r="G49" s="398" t="s">
        <v>1377</v>
      </c>
      <c r="H49" s="51"/>
      <c r="I49" s="398" t="s">
        <v>1378</v>
      </c>
      <c r="J49" s="1363"/>
      <c r="K49" s="90"/>
      <c r="L49" s="90"/>
      <c r="M49" s="90"/>
      <c r="N49" s="1363"/>
      <c r="O49" s="1363"/>
      <c r="P49" s="1363"/>
      <c r="Q49" s="1363"/>
      <c r="R49" s="1363"/>
      <c r="S49" s="1353"/>
      <c r="T49" s="438" cm="1" t="str">
        <f t="array" ref="T49:T49">T48</f>
        <v>false</v>
      </c>
      <c r="U49" s="1363"/>
      <c r="V49" s="1363"/>
      <c r="W49" s="1363"/>
      <c r="X49" s="1511"/>
      <c r="Y49" s="1363"/>
      <c r="Z49" s="1494"/>
      <c r="AA49" s="1363"/>
      <c r="AB49" s="265" t="s">
        <v>870</v>
      </c>
      <c r="AC49" s="912" t="s">
        <v>1379</v>
      </c>
      <c r="AD49" s="266" t="s">
        <v>1380</v>
      </c>
      <c r="AE49" s="742" t="s">
        <v>789</v>
      </c>
      <c r="AF49" s="2655"/>
      <c r="AG49" s="2655">
        <f>IF(AND(method_reg="Метод индексации",first_year=god),_xlfn.SUMIFS('Калькуляция (МИ)'!$AE$25:$AE$315,'Калькуляция (МИ)'!$F$25:$F$315,$F49,'Калькуляция (МИ)'!$G$25:$G$315,"Нормативная прибыль")-_xlfn.SUMIFS('Калькуляция (МИ)'!$AE$25:$AE$315,'Калькуляция (МИ)'!$F$25:$F$315,$F49,'Калькуляция (МИ)'!$G$25:$G$315,"иные экономически обоснованные расходы на социальные нужды")+_xlfn.SUMIFS('Калькуляция (МИ)'!$AG$25:$AG$315,'Калькуляция (МИ)'!$F$25:$F$315,$F49,'Калькуляция (МИ)'!$G$25:$G$315,"иные экономически обоснованные расходы на социальные нужды"),_xlfn.SUMIFS('Калькуляция (МИ корр)'!$AE$25:$AE$315,'Калькуляция (МИ корр)'!$F$25:$F$315,$F49,'Калькуляция (МИ корр)'!$G$25:$G$315,"Нормативная прибыль")-_xlfn.SUMIFS('Калькуляция (МИ корр)'!$AE$25:$AE$315,'Калькуляция (МИ корр)'!$F$25:$F$315,$F49,'Калькуляция (МИ корр)'!$G$25:$G$315,"иные экономически обоснованные расходы на социальные нужды")+_xlfn.SUMIFS('Калькуляция (МИ корр)'!$AG$25:$AG$315,'Калькуляция (МИ корр)'!$F$25:$F$315,$F49,'Калькуляция (МИ корр)'!$G$25:$G$315,"иные экономически обоснованные расходы на социальные нужды"))</f>
        <v>0</v>
      </c>
      <c r="AH49" s="1798"/>
      <c r="AI49" s="1363"/>
      <c r="AJ49" s="1363"/>
      <c r="AK49" s="1363"/>
      <c r="AL49" s="974" t="s">
        <v>1381</v>
      </c>
      <c r="AM49" s="1363"/>
      <c r="AN49" s="1363"/>
      <c r="AO49" s="1363"/>
      <c r="AP49" s="1363"/>
      <c r="AQ49" s="1363"/>
    </row>
    <row customHeight="1" ht="14.625" hidden="1">
      <c r="A50" s="1363"/>
      <c r="B50" s="1369"/>
      <c r="C50" s="1363"/>
      <c r="D50" s="1363"/>
      <c r="E50" s="593">
        <v>15</v>
      </c>
      <c r="F50" s="50" cm="1" t="str">
        <f t="array" ref="F50:F50">OFFSET(E50,-1,1)</f>
        <v>0</v>
      </c>
      <c r="G50" s="73" t="s">
        <v>1382</v>
      </c>
      <c r="H50" s="51"/>
      <c r="I50" s="466" t="s">
        <v>1383</v>
      </c>
      <c r="J50" s="1363"/>
      <c r="K50" s="90"/>
      <c r="L50" s="90"/>
      <c r="M50" s="90"/>
      <c r="N50" s="1363"/>
      <c r="O50" s="1363"/>
      <c r="P50" s="1363"/>
      <c r="Q50" s="1363"/>
      <c r="R50" s="1363"/>
      <c r="S50" s="1353"/>
      <c r="T50" s="438" cm="1" t="str">
        <f t="array" ref="T50:T50">T49</f>
        <v>false</v>
      </c>
      <c r="U50" s="1363"/>
      <c r="V50" s="1363"/>
      <c r="W50" s="1363"/>
      <c r="X50" s="1511"/>
      <c r="Y50" s="1363"/>
      <c r="Z50" s="1494"/>
      <c r="AA50" s="1363"/>
      <c r="AB50" s="265" t="s">
        <v>1384</v>
      </c>
      <c r="AC50" s="738" t="s">
        <v>1385</v>
      </c>
      <c r="AD50" s="266" t="s">
        <v>1386</v>
      </c>
      <c r="AE50" s="742" t="s">
        <v>789</v>
      </c>
      <c r="AF50" s="2655"/>
      <c r="AG50" s="2655">
        <f>IF(AND(method_reg="Метод индексации",first_year=god),_xlfn.SUMIFS('Калькуляция (МИ)'!$AG$25:$AG$315,'Калькуляция (МИ)'!$F$25:$F$315,$F50,'Калькуляция (МИ)'!$G$25:$G$315,$G50),_xlfn.SUMIFS('Калькуляция (МИ корр)'!$AG$25:$AG$315,'Калькуляция (МИ корр)'!$F$25:$F$315,$F50,'Калькуляция (МИ корр)'!$G$25:$G$315,$G50))</f>
        <v>0</v>
      </c>
      <c r="AH50" s="1798"/>
      <c r="AI50" s="1363"/>
      <c r="AJ50" s="1363"/>
      <c r="AK50" s="1363"/>
      <c r="AL50" s="974" t="s">
        <v>1387</v>
      </c>
      <c r="AM50" s="1363"/>
      <c r="AN50" s="1363"/>
      <c r="AO50" s="1363"/>
      <c r="AP50" s="1363"/>
      <c r="AQ50" s="1363"/>
    </row>
    <row customHeight="1" ht="21.9375" hidden="1">
      <c r="A51" s="1363"/>
      <c r="B51" s="1369"/>
      <c r="C51" s="1363"/>
      <c r="D51" s="1363"/>
      <c r="E51" s="593">
        <v>22.5</v>
      </c>
      <c r="F51" s="50" cm="1" t="str">
        <f t="array" ref="F51:F51">OFFSET(E51,-1,1)</f>
        <v>0</v>
      </c>
      <c r="G51" s="73"/>
      <c r="H51" s="51"/>
      <c r="I51" s="398" t="s">
        <v>1388</v>
      </c>
      <c r="J51" s="1363"/>
      <c r="K51" s="90"/>
      <c r="L51" s="90"/>
      <c r="M51" s="90"/>
      <c r="N51" s="1363"/>
      <c r="O51" s="1363"/>
      <c r="P51" s="1363"/>
      <c r="Q51" s="1363"/>
      <c r="R51" s="1363"/>
      <c r="S51" s="1353"/>
      <c r="T51" s="438" cm="1" t="str">
        <f t="array" ref="T51:T51">T50</f>
        <v>false</v>
      </c>
      <c r="U51" s="1363"/>
      <c r="V51" s="1363"/>
      <c r="W51" s="1363"/>
      <c r="X51" s="1511"/>
      <c r="Y51" s="1363"/>
      <c r="Z51" s="1494"/>
      <c r="AA51" s="1363"/>
      <c r="AB51" s="265" t="s">
        <v>1389</v>
      </c>
      <c r="AC51" s="738" t="s">
        <v>1390</v>
      </c>
      <c r="AD51" s="266"/>
      <c r="AE51" s="742" t="s">
        <v>789</v>
      </c>
      <c r="AF51" s="2655">
        <f>AF52+AF53+AF54</f>
        <v>0</v>
      </c>
      <c r="AG51" s="2655">
        <f>AG52+AG53+AG54</f>
        <v>0</v>
      </c>
      <c r="AH51" s="1798"/>
      <c r="AI51" s="1363"/>
      <c r="AJ51" s="1363"/>
      <c r="AK51" s="1363"/>
      <c r="AL51" s="974" t="s">
        <v>1391</v>
      </c>
      <c r="AM51" s="1363"/>
      <c r="AN51" s="1363"/>
      <c r="AO51" s="1363"/>
      <c r="AP51" s="1363"/>
      <c r="AQ51" s="1363"/>
    </row>
    <row customHeight="1" ht="21.9375" hidden="1">
      <c r="A52" s="1363"/>
      <c r="B52" s="1369"/>
      <c r="C52" s="1363"/>
      <c r="D52" s="1363"/>
      <c r="E52" s="593">
        <v>22.5</v>
      </c>
      <c r="F52" s="50" cm="1" t="str">
        <f t="array" ref="F52:F52">OFFSET(E52,-1,1)</f>
        <v>0</v>
      </c>
      <c r="G52" s="398"/>
      <c r="H52" s="51"/>
      <c r="I52" s="398" t="s">
        <v>1392</v>
      </c>
      <c r="J52" s="1363"/>
      <c r="K52" s="90"/>
      <c r="L52" s="90"/>
      <c r="M52" s="90"/>
      <c r="N52" s="1363"/>
      <c r="O52" s="1363"/>
      <c r="P52" s="1363"/>
      <c r="Q52" s="1363"/>
      <c r="R52" s="1363"/>
      <c r="S52" s="1353"/>
      <c r="T52" s="438" cm="1" t="str">
        <f t="array" ref="T52:T52">T51</f>
        <v>false</v>
      </c>
      <c r="U52" s="1363"/>
      <c r="V52" s="1363"/>
      <c r="W52" s="1363"/>
      <c r="X52" s="1511"/>
      <c r="Y52" s="1363"/>
      <c r="Z52" s="1494"/>
      <c r="AA52" s="1363"/>
      <c r="AB52" s="265" t="s">
        <v>1393</v>
      </c>
      <c r="AC52" s="741" t="s">
        <v>1394</v>
      </c>
      <c r="AD52" s="266" t="s">
        <v>1395</v>
      </c>
      <c r="AE52" s="742" t="s">
        <v>789</v>
      </c>
      <c r="AF52" s="2655"/>
      <c r="AG52" s="2655"/>
      <c r="AH52" s="1798"/>
      <c r="AI52" s="1363"/>
      <c r="AJ52" s="1363"/>
      <c r="AK52" s="1363"/>
      <c r="AL52" s="974" t="s">
        <v>1396</v>
      </c>
      <c r="AM52" s="1363"/>
      <c r="AN52" s="1363"/>
      <c r="AO52" s="1363"/>
      <c r="AP52" s="1363"/>
      <c r="AQ52" s="1363"/>
    </row>
    <row customHeight="1" ht="14.625" hidden="1">
      <c r="A53" s="1363"/>
      <c r="B53" s="1369"/>
      <c r="C53" s="1363"/>
      <c r="D53" s="1363"/>
      <c r="E53" s="593">
        <v>15</v>
      </c>
      <c r="F53" s="50" cm="1" t="str">
        <f t="array" ref="F53:F53">OFFSET(E53,-1,1)</f>
        <v>0</v>
      </c>
      <c r="G53" s="398"/>
      <c r="H53" s="51"/>
      <c r="I53" s="398" t="s">
        <v>1397</v>
      </c>
      <c r="J53" s="1363"/>
      <c r="K53" s="90"/>
      <c r="L53" s="90"/>
      <c r="M53" s="90"/>
      <c r="N53" s="1363"/>
      <c r="O53" s="1363"/>
      <c r="P53" s="1363"/>
      <c r="Q53" s="1363"/>
      <c r="R53" s="1363"/>
      <c r="S53" s="1353"/>
      <c r="T53" s="438" cm="1" t="str">
        <f t="array" ref="T53:T53">T52</f>
        <v>false</v>
      </c>
      <c r="U53" s="1363"/>
      <c r="V53" s="1363"/>
      <c r="W53" s="1363"/>
      <c r="X53" s="1511"/>
      <c r="Y53" s="1363"/>
      <c r="Z53" s="1494"/>
      <c r="AA53" s="1363"/>
      <c r="AB53" s="265" t="s">
        <v>1398</v>
      </c>
      <c r="AC53" s="741" t="s">
        <v>1399</v>
      </c>
      <c r="AD53" s="266" t="s">
        <v>1400</v>
      </c>
      <c r="AE53" s="742" t="s">
        <v>789</v>
      </c>
      <c r="AF53" s="2655"/>
      <c r="AG53" s="2655"/>
      <c r="AH53" s="1798"/>
      <c r="AI53" s="1363"/>
      <c r="AJ53" s="1363"/>
      <c r="AK53" s="1363"/>
      <c r="AL53" s="974" t="s">
        <v>1401</v>
      </c>
      <c r="AM53" s="1363"/>
      <c r="AN53" s="1363"/>
      <c r="AO53" s="1363"/>
      <c r="AP53" s="1363"/>
      <c r="AQ53" s="1363"/>
    </row>
    <row customHeight="1" ht="43.875" hidden="1">
      <c r="A54" s="1363"/>
      <c r="B54" s="1369"/>
      <c r="C54" s="1363"/>
      <c r="D54" s="1363"/>
      <c r="E54" s="593">
        <v>45</v>
      </c>
      <c r="F54" s="50" cm="1" t="str">
        <f t="array" ref="F54:F54">OFFSET(E54,-1,1)</f>
        <v>0</v>
      </c>
      <c r="G54" s="398"/>
      <c r="H54" s="51"/>
      <c r="I54" s="398" t="s">
        <v>1402</v>
      </c>
      <c r="J54" s="1363"/>
      <c r="K54" s="90"/>
      <c r="L54" s="90"/>
      <c r="M54" s="90"/>
      <c r="N54" s="1363"/>
      <c r="O54" s="1363"/>
      <c r="P54" s="1363"/>
      <c r="Q54" s="1363"/>
      <c r="R54" s="1363"/>
      <c r="S54" s="1353"/>
      <c r="T54" s="438" cm="1" t="str">
        <f t="array" ref="T54:T54">T53</f>
        <v>false</v>
      </c>
      <c r="U54" s="1363"/>
      <c r="V54" s="1363"/>
      <c r="W54" s="1363"/>
      <c r="X54" s="1511"/>
      <c r="Y54" s="1363"/>
      <c r="Z54" s="1494"/>
      <c r="AA54" s="1363"/>
      <c r="AB54" s="265" t="s">
        <v>1403</v>
      </c>
      <c r="AC54" s="741" t="s">
        <v>1404</v>
      </c>
      <c r="AD54" s="742" t="s">
        <v>1405</v>
      </c>
      <c r="AE54" s="742" t="s">
        <v>789</v>
      </c>
      <c r="AF54" s="2655"/>
      <c r="AG54" s="2655"/>
      <c r="AH54" s="1798"/>
      <c r="AI54" s="1363"/>
      <c r="AJ54" s="1363"/>
      <c r="AK54" s="1363"/>
      <c r="AL54" s="974" t="s">
        <v>1406</v>
      </c>
      <c r="AM54" s="1363"/>
      <c r="AN54" s="1363"/>
      <c r="AO54" s="1363"/>
      <c r="AP54" s="1363"/>
      <c r="AQ54" s="1363"/>
    </row>
    <row customHeight="1" ht="21.9375" hidden="1">
      <c r="A55" s="1363"/>
      <c r="B55" s="1369"/>
      <c r="C55" s="1363"/>
      <c r="D55" s="1363"/>
      <c r="E55" s="593">
        <v>22.5</v>
      </c>
      <c r="F55" s="50" cm="1" t="str">
        <f t="array" ref="F55:F55">OFFSET(E55,-1,1)</f>
        <v>0</v>
      </c>
      <c r="G55" s="398"/>
      <c r="H55" s="51"/>
      <c r="I55" s="398" t="s">
        <v>1407</v>
      </c>
      <c r="J55" s="1363"/>
      <c r="K55" s="90"/>
      <c r="L55" s="90"/>
      <c r="M55" s="90"/>
      <c r="N55" s="1363"/>
      <c r="O55" s="1363"/>
      <c r="P55" s="1363"/>
      <c r="Q55" s="1363"/>
      <c r="R55" s="1363"/>
      <c r="S55" s="1353"/>
      <c r="T55" s="438" cm="1" t="str">
        <f t="array" ref="T55:T55">T54</f>
        <v>false</v>
      </c>
      <c r="U55" s="1363"/>
      <c r="V55" s="1363"/>
      <c r="W55" s="1363"/>
      <c r="X55" s="1511"/>
      <c r="Y55" s="1363"/>
      <c r="Z55" s="1494"/>
      <c r="AA55" s="1363"/>
      <c r="AB55" s="265" t="s">
        <v>1408</v>
      </c>
      <c r="AC55" s="738" t="s">
        <v>1409</v>
      </c>
      <c r="AD55" s="742" t="s">
        <v>1410</v>
      </c>
      <c r="AE55" s="742" t="s">
        <v>789</v>
      </c>
      <c r="AF55" s="2655"/>
      <c r="AG55" s="2655"/>
      <c r="AH55" s="1798"/>
      <c r="AI55" s="1363"/>
      <c r="AJ55" s="1363"/>
      <c r="AK55" s="1363"/>
      <c r="AL55" s="974" t="s">
        <v>1411</v>
      </c>
      <c r="AM55" s="1363"/>
      <c r="AN55" s="1363"/>
      <c r="AO55" s="1363"/>
      <c r="AP55" s="1363"/>
      <c r="AQ55" s="1363"/>
    </row>
    <row customHeight="1" ht="76.78125" hidden="1">
      <c r="A56" s="1363"/>
      <c r="B56" s="400">
        <f>S27="Водоотведение"</f>
        <v>0</v>
      </c>
      <c r="C56" s="1363"/>
      <c r="D56" s="1363"/>
      <c r="E56" s="593">
        <v>78.75</v>
      </c>
      <c r="F56" s="50" cm="1" t="str">
        <f t="array" ref="F56:F56">OFFSET(E56,-1,1)</f>
        <v>0</v>
      </c>
      <c r="G56" s="398"/>
      <c r="H56" s="51"/>
      <c r="I56" s="398"/>
      <c r="J56" s="1363"/>
      <c r="K56" s="90"/>
      <c r="L56" s="90"/>
      <c r="M56" s="90"/>
      <c r="N56" s="1363"/>
      <c r="O56" s="1363"/>
      <c r="P56" s="1363"/>
      <c r="Q56" s="1363"/>
      <c r="R56" s="1363"/>
      <c r="S56" s="1353"/>
      <c r="T56" s="438" cm="1" t="str">
        <f t="array" ref="T56:T56">T55</f>
        <v>false</v>
      </c>
      <c r="U56" s="1363"/>
      <c r="V56" s="1363"/>
      <c r="W56" s="1363"/>
      <c r="X56" s="1511"/>
      <c r="Y56" s="1363"/>
      <c r="Z56" s="1494"/>
      <c r="AA56" s="1363"/>
      <c r="AB56" s="265" t="s">
        <v>1412</v>
      </c>
      <c r="AC56" s="738" t="s">
        <v>1413</v>
      </c>
      <c r="AD56" s="742"/>
      <c r="AE56" s="742" t="s">
        <v>789</v>
      </c>
      <c r="AF56" s="2655"/>
      <c r="AG56" s="2655"/>
      <c r="AH56" s="1798"/>
      <c r="AI56" s="1363"/>
      <c r="AJ56" s="1363"/>
      <c r="AK56" s="1363"/>
      <c r="AL56" s="974" t="s">
        <v>1414</v>
      </c>
      <c r="AM56" s="1363"/>
      <c r="AN56" s="1363"/>
      <c r="AO56" s="1363"/>
      <c r="AP56" s="1363"/>
      <c r="AQ56" s="1363"/>
    </row>
    <row customHeight="1" ht="54.84375" hidden="1">
      <c r="A57" s="1363"/>
      <c r="B57" s="400" cm="1" t="str">
        <f t="array" ref="B57:B57">B56</f>
        <v>false</v>
      </c>
      <c r="C57" s="1363"/>
      <c r="D57" s="1363"/>
      <c r="E57" s="593">
        <v>56.25</v>
      </c>
      <c r="F57" s="50" cm="1" t="str">
        <f t="array" ref="F57:F57">OFFSET(E57,-1,1)</f>
        <v>0</v>
      </c>
      <c r="G57" s="398"/>
      <c r="H57" s="51"/>
      <c r="I57" s="398"/>
      <c r="J57" s="1363"/>
      <c r="K57" s="90"/>
      <c r="L57" s="90"/>
      <c r="M57" s="90"/>
      <c r="N57" s="1363"/>
      <c r="O57" s="1363"/>
      <c r="P57" s="1363"/>
      <c r="Q57" s="1363"/>
      <c r="R57" s="1363"/>
      <c r="S57" s="1353"/>
      <c r="T57" s="438" cm="1" t="str">
        <f t="array" ref="T57:T57">T56</f>
        <v>false</v>
      </c>
      <c r="U57" s="1363"/>
      <c r="V57" s="1363"/>
      <c r="W57" s="1363"/>
      <c r="X57" s="1511"/>
      <c r="Y57" s="1363"/>
      <c r="Z57" s="1494"/>
      <c r="AA57" s="1363"/>
      <c r="AB57" s="265" t="s">
        <v>1415</v>
      </c>
      <c r="AC57" s="738" t="s">
        <v>1416</v>
      </c>
      <c r="AD57" s="742"/>
      <c r="AE57" s="742" t="s">
        <v>789</v>
      </c>
      <c r="AF57" s="2655"/>
      <c r="AG57" s="2655"/>
      <c r="AH57" s="1798"/>
      <c r="AI57" s="1363"/>
      <c r="AJ57" s="1363"/>
      <c r="AK57" s="1363"/>
      <c r="AL57" s="974" t="s">
        <v>1242</v>
      </c>
      <c r="AM57" s="1363"/>
      <c r="AN57" s="1363"/>
      <c r="AO57" s="1363"/>
      <c r="AP57" s="1363"/>
      <c r="AQ57" s="1363"/>
    </row>
    <row customHeight="1" ht="14.625" hidden="1">
      <c r="A58" s="1363"/>
      <c r="B58" s="1369"/>
      <c r="C58" s="1363"/>
      <c r="D58" s="1363"/>
      <c r="E58" s="593">
        <v>15</v>
      </c>
      <c r="F58" s="50" cm="1" t="str">
        <f t="array" ref="F58:F58">OFFSET(E58,-1,1)</f>
        <v>0</v>
      </c>
      <c r="G58" s="398"/>
      <c r="H58" s="51"/>
      <c r="I58" s="398"/>
      <c r="J58" s="1363"/>
      <c r="K58" s="90"/>
      <c r="L58" s="90"/>
      <c r="M58" s="90"/>
      <c r="N58" s="1363"/>
      <c r="O58" s="1363"/>
      <c r="P58" s="1363"/>
      <c r="Q58" s="1363"/>
      <c r="R58" s="1363"/>
      <c r="S58" s="1353"/>
      <c r="T58" s="438" cm="1" t="str">
        <f t="array" ref="T58:T58">T57</f>
        <v>false</v>
      </c>
      <c r="U58" s="1363"/>
      <c r="V58" s="1363"/>
      <c r="W58" s="1363"/>
      <c r="X58" s="1511"/>
      <c r="Y58" s="1363"/>
      <c r="Z58" s="1494"/>
      <c r="AA58" s="1363"/>
      <c r="AB58" s="266" t="str">
        <f>IF(B57,"2.12","2.10")</f>
        <v>2.10</v>
      </c>
      <c r="AC58" s="738" t="s">
        <v>1417</v>
      </c>
      <c r="AD58" s="742" t="s">
        <v>1418</v>
      </c>
      <c r="AE58" s="742" t="s">
        <v>789</v>
      </c>
      <c r="AF58" s="2655">
        <f>AF59+AF60</f>
        <v>0</v>
      </c>
      <c r="AG58" s="2655">
        <f>AG59+AG60</f>
        <v>0</v>
      </c>
      <c r="AH58" s="1798"/>
      <c r="AI58" s="1363"/>
      <c r="AJ58" s="1363"/>
      <c r="AK58" s="1363"/>
      <c r="AL58" s="974" t="s">
        <v>1419</v>
      </c>
      <c r="AM58" s="1363"/>
      <c r="AN58" s="1363"/>
      <c r="AO58" s="1363"/>
      <c r="AP58" s="1363"/>
      <c r="AQ58" s="1363"/>
    </row>
    <row customHeight="1" ht="21.9375" hidden="1">
      <c r="A59" s="1363"/>
      <c r="B59" s="1369"/>
      <c r="C59" s="1363"/>
      <c r="D59" s="1363"/>
      <c r="E59" s="593">
        <v>22.5</v>
      </c>
      <c r="F59" s="50" cm="1" t="str">
        <f t="array" ref="F59:F59">OFFSET(E59,-1,1)</f>
        <v>0</v>
      </c>
      <c r="G59" s="398"/>
      <c r="H59" s="51"/>
      <c r="I59" s="398"/>
      <c r="J59" s="1363"/>
      <c r="K59" s="90"/>
      <c r="L59" s="90"/>
      <c r="M59" s="90"/>
      <c r="N59" s="1363"/>
      <c r="O59" s="1363"/>
      <c r="P59" s="1363"/>
      <c r="Q59" s="1363"/>
      <c r="R59" s="1363"/>
      <c r="S59" s="1353"/>
      <c r="T59" s="438" cm="1" t="str">
        <f t="array" ref="T59:T59">T58</f>
        <v>false</v>
      </c>
      <c r="U59" s="1363"/>
      <c r="V59" s="1363"/>
      <c r="W59" s="1363"/>
      <c r="X59" s="1511"/>
      <c r="Y59" s="1363"/>
      <c r="Z59" s="1494"/>
      <c r="AA59" s="1363"/>
      <c r="AB59" s="266" t="str">
        <f>AB58&amp;".1"</f>
        <v>2.10.1</v>
      </c>
      <c r="AC59" s="738" t="s">
        <v>1420</v>
      </c>
      <c r="AD59" s="742" t="s">
        <v>1418</v>
      </c>
      <c r="AE59" s="742" t="s">
        <v>789</v>
      </c>
      <c r="AF59" s="2655"/>
      <c r="AG59" s="2655"/>
      <c r="AH59" s="1798"/>
      <c r="AI59" s="1363"/>
      <c r="AJ59" s="1363"/>
      <c r="AK59" s="1363"/>
      <c r="AL59" s="974" t="s">
        <v>1421</v>
      </c>
      <c r="AM59" s="1363"/>
      <c r="AN59" s="1363"/>
      <c r="AO59" s="1363"/>
      <c r="AP59" s="1363"/>
      <c r="AQ59" s="1363"/>
    </row>
    <row customHeight="1" ht="21.9375" hidden="1">
      <c r="A60" s="1363"/>
      <c r="B60" s="1369"/>
      <c r="C60" s="1363"/>
      <c r="D60" s="1363"/>
      <c r="E60" s="593">
        <v>22.5</v>
      </c>
      <c r="F60" s="50" cm="1" t="str">
        <f t="array" ref="F60:F60">OFFSET(E60,-1,1)</f>
        <v>0</v>
      </c>
      <c r="G60" s="398"/>
      <c r="H60" s="51"/>
      <c r="I60" s="398"/>
      <c r="J60" s="1363"/>
      <c r="K60" s="90"/>
      <c r="L60" s="90"/>
      <c r="M60" s="90"/>
      <c r="N60" s="1363"/>
      <c r="O60" s="1363"/>
      <c r="P60" s="1363"/>
      <c r="Q60" s="1363"/>
      <c r="R60" s="1363"/>
      <c r="S60" s="1353"/>
      <c r="T60" s="438" cm="1" t="str">
        <f t="array" ref="T60:T60">T59</f>
        <v>false</v>
      </c>
      <c r="U60" s="1363"/>
      <c r="V60" s="1363"/>
      <c r="W60" s="1363"/>
      <c r="X60" s="1511"/>
      <c r="Y60" s="1363"/>
      <c r="Z60" s="1494"/>
      <c r="AA60" s="1363"/>
      <c r="AB60" s="266" t="str">
        <f>AB58&amp;".2"</f>
        <v>2.10.2</v>
      </c>
      <c r="AC60" s="738" t="s">
        <v>1422</v>
      </c>
      <c r="AD60" s="742" t="s">
        <v>1418</v>
      </c>
      <c r="AE60" s="742" t="s">
        <v>789</v>
      </c>
      <c r="AF60" s="2655"/>
      <c r="AG60" s="2655"/>
      <c r="AH60" s="1798"/>
      <c r="AI60" s="1363"/>
      <c r="AJ60" s="1363"/>
      <c r="AK60" s="1363"/>
      <c r="AL60" s="974" t="s">
        <v>1423</v>
      </c>
      <c r="AM60" s="1363"/>
      <c r="AN60" s="1363"/>
      <c r="AO60" s="1363"/>
      <c r="AP60" s="1363"/>
      <c r="AQ60" s="1363"/>
    </row>
    <row customHeight="1" ht="14.625" hidden="1">
      <c r="A61" s="1363"/>
      <c r="B61" s="1369"/>
      <c r="C61" s="1363"/>
      <c r="D61" s="1363"/>
      <c r="E61" s="593">
        <v>15</v>
      </c>
      <c r="F61" s="50" cm="1" t="str">
        <f t="array" ref="F61:F61">OFFSET(E61,-1,1)</f>
        <v>0</v>
      </c>
      <c r="G61" s="398"/>
      <c r="H61" s="51"/>
      <c r="I61" s="398"/>
      <c r="J61" s="1363"/>
      <c r="K61" s="90"/>
      <c r="L61" s="90"/>
      <c r="M61" s="90"/>
      <c r="N61" s="1363"/>
      <c r="O61" s="1363"/>
      <c r="P61" s="1363"/>
      <c r="Q61" s="1363"/>
      <c r="R61" s="1363"/>
      <c r="S61" s="1353"/>
      <c r="T61" s="438" cm="1" t="str">
        <f t="array" ref="T61:T61">T60</f>
        <v>false</v>
      </c>
      <c r="U61" s="1363"/>
      <c r="V61" s="1363"/>
      <c r="W61" s="1363"/>
      <c r="X61" s="1511"/>
      <c r="Y61" s="1363"/>
      <c r="Z61" s="1494"/>
      <c r="AA61" s="1363"/>
      <c r="AB61" s="266" t="str">
        <f>IF(B57,"2.13","2.11")</f>
        <v>2.11</v>
      </c>
      <c r="AC61" s="738" t="s">
        <v>1424</v>
      </c>
      <c r="AD61" s="742" t="s">
        <v>1418</v>
      </c>
      <c r="AE61" s="742" t="s">
        <v>789</v>
      </c>
      <c r="AF61" s="2655"/>
      <c r="AG61" s="2655"/>
      <c r="AH61" s="1798"/>
      <c r="AI61" s="1363"/>
      <c r="AJ61" s="1363"/>
      <c r="AK61" s="1363"/>
      <c r="AL61" s="974" t="s">
        <v>1425</v>
      </c>
      <c r="AM61" s="1363"/>
      <c r="AN61" s="1363"/>
      <c r="AO61" s="1363"/>
      <c r="AP61" s="1363"/>
      <c r="AQ61" s="1363"/>
    </row>
    <row customHeight="1" ht="14.625" hidden="1">
      <c r="A62" s="1363"/>
      <c r="B62" s="1369"/>
      <c r="C62" s="1363"/>
      <c r="D62" s="1363"/>
      <c r="E62" s="593">
        <v>15</v>
      </c>
      <c r="F62" s="50" cm="1" t="str">
        <f t="array" ref="F62:F62">OFFSET(E62,-1,1)</f>
        <v>0</v>
      </c>
      <c r="G62" s="398"/>
      <c r="H62" s="51"/>
      <c r="I62" s="398"/>
      <c r="J62" s="1363"/>
      <c r="K62" s="90"/>
      <c r="L62" s="90"/>
      <c r="M62" s="90"/>
      <c r="N62" s="1363"/>
      <c r="O62" s="1363"/>
      <c r="P62" s="1363"/>
      <c r="Q62" s="1363"/>
      <c r="R62" s="1363"/>
      <c r="S62" s="1353"/>
      <c r="T62" s="438" cm="1" t="str">
        <f t="array" ref="T62:T62">T61</f>
        <v>false</v>
      </c>
      <c r="U62" s="1363"/>
      <c r="V62" s="1363"/>
      <c r="W62" s="1363"/>
      <c r="X62" s="1511"/>
      <c r="Y62" s="1363"/>
      <c r="Z62" s="1494"/>
      <c r="AA62" s="1363"/>
      <c r="AB62" s="266" t="str">
        <f>IF(B57,"2.14","2.12")</f>
        <v>2.12</v>
      </c>
      <c r="AC62" s="738" t="s">
        <v>1426</v>
      </c>
      <c r="AD62" s="742" t="s">
        <v>1418</v>
      </c>
      <c r="AE62" s="742" t="s">
        <v>789</v>
      </c>
      <c r="AF62" s="2655"/>
      <c r="AG62" s="2655"/>
      <c r="AH62" s="1798"/>
      <c r="AI62" s="1363"/>
      <c r="AJ62" s="1363"/>
      <c r="AK62" s="1363"/>
      <c r="AL62" s="974" t="s">
        <v>1427</v>
      </c>
      <c r="AM62" s="1363"/>
      <c r="AN62" s="1363"/>
      <c r="AO62" s="1363"/>
      <c r="AP62" s="1363"/>
      <c r="AQ62" s="1363"/>
    </row>
    <row s="674" customFormat="1" customHeight="1" ht="21.9375" hidden="1">
      <c r="A63" s="674"/>
      <c r="B63" s="403"/>
      <c r="C63" s="674"/>
      <c r="D63" s="674"/>
      <c r="E63" s="667">
        <v>22.5</v>
      </c>
      <c r="F63" s="50" cm="1" t="str">
        <f t="array" ref="F63:F63">OFFSET(E63,-1,1)</f>
        <v>0</v>
      </c>
      <c r="G63" s="113"/>
      <c r="H63" s="113"/>
      <c r="I63" s="398" t="s">
        <v>322</v>
      </c>
      <c r="J63" s="674"/>
      <c r="K63" s="470"/>
      <c r="L63" s="470"/>
      <c r="M63" s="470"/>
      <c r="N63" s="674"/>
      <c r="O63" s="674"/>
      <c r="P63" s="674"/>
      <c r="Q63" s="674"/>
      <c r="R63" s="674"/>
      <c r="S63" s="674"/>
      <c r="T63" s="438" cm="1" t="str">
        <f t="array" ref="T63:T63">T62</f>
        <v>false</v>
      </c>
      <c r="U63" s="674"/>
      <c r="V63" s="674"/>
      <c r="W63" s="674"/>
      <c r="X63" s="1511"/>
      <c r="Y63" s="674"/>
      <c r="Z63" s="1494"/>
      <c r="AA63" s="674"/>
      <c r="AB63" s="177" t="s">
        <v>1428</v>
      </c>
      <c r="AC63" s="178" t="s">
        <v>1429</v>
      </c>
      <c r="AD63" s="177" t="s">
        <v>1291</v>
      </c>
      <c r="AE63" s="200" t="s">
        <v>789</v>
      </c>
      <c r="AF63" s="820" cm="1" t="str">
        <f t="array" ref="AF63:AF63">AF64</f>
        <v>0</v>
      </c>
      <c r="AG63" s="820" cm="1" t="str">
        <f t="array" ref="AG63:AG63">AG64</f>
        <v>0</v>
      </c>
      <c r="AH63" s="2851"/>
      <c r="AI63" s="674"/>
      <c r="AJ63" s="674"/>
      <c r="AK63" s="674"/>
      <c r="AL63" s="1028" t="s">
        <v>1430</v>
      </c>
      <c r="AM63" s="674"/>
      <c r="AN63" s="674"/>
      <c r="AO63" s="674"/>
      <c r="AP63" s="674"/>
      <c r="AQ63" s="674"/>
    </row>
    <row customHeight="1" ht="32.90625" hidden="1">
      <c r="A64" s="1363"/>
      <c r="B64" s="1369"/>
      <c r="C64" s="1363"/>
      <c r="D64" s="1363"/>
      <c r="E64" s="593">
        <v>33.75</v>
      </c>
      <c r="F64" s="50" cm="1" t="str">
        <f t="array" ref="F64:F64">OFFSET(E64,-1,1)</f>
        <v>0</v>
      </c>
      <c r="G64" s="398"/>
      <c r="H64" s="51"/>
      <c r="I64" s="398" t="s">
        <v>452</v>
      </c>
      <c r="J64" s="1363"/>
      <c r="K64" s="90"/>
      <c r="L64" s="90"/>
      <c r="M64" s="90"/>
      <c r="N64" s="1363"/>
      <c r="O64" s="1363"/>
      <c r="P64" s="1363"/>
      <c r="Q64" s="1363"/>
      <c r="R64" s="1363"/>
      <c r="S64" s="1353"/>
      <c r="T64" s="438" cm="1" t="str">
        <f t="array" ref="T64:T64">T63</f>
        <v>false</v>
      </c>
      <c r="U64" s="1363"/>
      <c r="V64" s="1363"/>
      <c r="W64" s="1363"/>
      <c r="X64" s="1511"/>
      <c r="Y64" s="1363"/>
      <c r="Z64" s="1494"/>
      <c r="AA64" s="1363"/>
      <c r="AB64" s="265" t="s">
        <v>281</v>
      </c>
      <c r="AC64" s="424" t="s">
        <v>1431</v>
      </c>
      <c r="AD64" s="266" t="s">
        <v>1432</v>
      </c>
      <c r="AE64" s="742" t="s">
        <v>789</v>
      </c>
      <c r="AF64" s="910">
        <f>AF65+AF66</f>
        <v>0</v>
      </c>
      <c r="AG64" s="910">
        <f>AG65+AG66</f>
        <v>0</v>
      </c>
      <c r="AH64" s="1798"/>
      <c r="AI64" s="1363"/>
      <c r="AJ64" s="1363"/>
      <c r="AK64" s="1363"/>
      <c r="AL64" s="974" t="s">
        <v>1433</v>
      </c>
      <c r="AM64" s="1363"/>
      <c r="AN64" s="1363"/>
      <c r="AO64" s="1363"/>
      <c r="AP64" s="1363"/>
      <c r="AQ64" s="1363"/>
    </row>
    <row customHeight="1" ht="43.875" hidden="1">
      <c r="A65" s="1363"/>
      <c r="B65" s="1369"/>
      <c r="C65" s="1363"/>
      <c r="D65" s="1363"/>
      <c r="E65" s="593">
        <v>45</v>
      </c>
      <c r="F65" s="50" cm="1" t="str">
        <f t="array" ref="F65:F65">OFFSET(E65,-1,1)</f>
        <v>0</v>
      </c>
      <c r="G65" s="398"/>
      <c r="H65" s="51"/>
      <c r="I65" s="398" t="s">
        <v>1434</v>
      </c>
      <c r="J65" s="1363"/>
      <c r="K65" s="90"/>
      <c r="L65" s="90"/>
      <c r="M65" s="90"/>
      <c r="N65" s="1363"/>
      <c r="O65" s="1363"/>
      <c r="P65" s="1363"/>
      <c r="Q65" s="1363"/>
      <c r="R65" s="1363"/>
      <c r="S65" s="1353"/>
      <c r="T65" s="438" cm="1" t="str">
        <f t="array" ref="T65:T65">T64</f>
        <v>false</v>
      </c>
      <c r="U65" s="1363"/>
      <c r="V65" s="1363"/>
      <c r="W65" s="1363"/>
      <c r="X65" s="1511"/>
      <c r="Y65" s="1363"/>
      <c r="Z65" s="1494"/>
      <c r="AA65" s="1363"/>
      <c r="AB65" s="265" t="s">
        <v>844</v>
      </c>
      <c r="AC65" s="738" t="s">
        <v>1435</v>
      </c>
      <c r="AD65" s="266" t="s">
        <v>1436</v>
      </c>
      <c r="AE65" s="742" t="s">
        <v>789</v>
      </c>
      <c r="AF65" s="2655"/>
      <c r="AG65" s="2655"/>
      <c r="AH65" s="1798"/>
      <c r="AI65" s="1363"/>
      <c r="AJ65" s="1363"/>
      <c r="AK65" s="1363"/>
      <c r="AL65" s="974" t="s">
        <v>1437</v>
      </c>
      <c r="AM65" s="1363"/>
      <c r="AN65" s="1363"/>
      <c r="AO65" s="1363"/>
      <c r="AP65" s="1363"/>
      <c r="AQ65" s="1363"/>
    </row>
    <row customHeight="1" ht="32.90625" hidden="1">
      <c r="A66" s="1363"/>
      <c r="B66" s="1369"/>
      <c r="C66" s="1363"/>
      <c r="D66" s="1363"/>
      <c r="E66" s="593">
        <v>33.75</v>
      </c>
      <c r="F66" s="50" cm="1" t="str">
        <f t="array" ref="F66:F66">OFFSET(E66,-1,1)</f>
        <v>0</v>
      </c>
      <c r="G66" s="398"/>
      <c r="H66" s="51"/>
      <c r="I66" s="398" t="s">
        <v>1438</v>
      </c>
      <c r="J66" s="1363"/>
      <c r="K66" s="90"/>
      <c r="L66" s="90"/>
      <c r="M66" s="90"/>
      <c r="N66" s="1363"/>
      <c r="O66" s="1363"/>
      <c r="P66" s="1363"/>
      <c r="Q66" s="1363"/>
      <c r="R66" s="1363"/>
      <c r="S66" s="1353"/>
      <c r="T66" s="438" cm="1" t="str">
        <f t="array" ref="T66:T66">T65</f>
        <v>false</v>
      </c>
      <c r="U66" s="1363"/>
      <c r="V66" s="1363"/>
      <c r="W66" s="1363"/>
      <c r="X66" s="1511"/>
      <c r="Y66" s="1363"/>
      <c r="Z66" s="1494"/>
      <c r="AA66" s="1363"/>
      <c r="AB66" s="265" t="s">
        <v>847</v>
      </c>
      <c r="AC66" s="738" t="s">
        <v>1439</v>
      </c>
      <c r="AD66" s="266" t="s">
        <v>1440</v>
      </c>
      <c r="AE66" s="742" t="s">
        <v>789</v>
      </c>
      <c r="AF66" s="2655"/>
      <c r="AG66" s="2655"/>
      <c r="AH66" s="1798"/>
      <c r="AI66" s="1363"/>
      <c r="AJ66" s="1363"/>
      <c r="AK66" s="1363"/>
      <c r="AL66" s="974" t="s">
        <v>1441</v>
      </c>
      <c r="AM66" s="1363"/>
      <c r="AN66" s="1363"/>
      <c r="AO66" s="1363"/>
      <c r="AP66" s="1363"/>
      <c r="AQ66" s="1363"/>
    </row>
    <row customHeight="1" ht="34.125" hidden="1">
      <c r="A67" s="1363"/>
      <c r="B67" s="1369"/>
      <c r="C67" s="1363"/>
      <c r="D67" s="1363"/>
      <c r="E67" s="593">
        <v>35</v>
      </c>
      <c r="F67" s="50" cm="1" t="str">
        <f t="array" ref="F67:F67">OFFSET(E67,-1,1)</f>
        <v>0</v>
      </c>
      <c r="G67" s="398"/>
      <c r="H67" s="51"/>
      <c r="I67" s="398" t="s">
        <v>323</v>
      </c>
      <c r="J67" s="1363"/>
      <c r="K67" s="90" t="str">
        <f>F67&amp;"1komm"</f>
        <v>01komm</v>
      </c>
      <c r="L67" s="895" cm="1" t="str">
        <f t="array" ref="L67:L67">AH67</f>
        <v>0</v>
      </c>
      <c r="M67" s="90"/>
      <c r="N67" s="1363"/>
      <c r="O67" s="1363"/>
      <c r="P67" s="1363"/>
      <c r="Q67" s="1363"/>
      <c r="R67" s="1363"/>
      <c r="S67" s="1353"/>
      <c r="T67" s="438" cm="1" t="str">
        <f t="array" ref="T67:T67">T66</f>
        <v>false</v>
      </c>
      <c r="U67" s="1363"/>
      <c r="V67" s="1363"/>
      <c r="W67" s="1363"/>
      <c r="X67" s="1511"/>
      <c r="Y67" s="1363"/>
      <c r="Z67" s="1494"/>
      <c r="AA67" s="1363"/>
      <c r="AB67" s="200" t="s">
        <v>1442</v>
      </c>
      <c r="AC67" s="178" t="s">
        <v>1443</v>
      </c>
      <c r="AD67" s="177" t="s">
        <v>1444</v>
      </c>
      <c r="AE67" s="200" t="s">
        <v>789</v>
      </c>
      <c r="AF67" s="2852"/>
      <c r="AG67" s="2852"/>
      <c r="AH67" s="1798"/>
      <c r="AI67" s="1363"/>
      <c r="AJ67" s="1363"/>
      <c r="AK67" s="1363"/>
      <c r="AL67" s="974" t="s">
        <v>1445</v>
      </c>
      <c r="AM67" s="1363"/>
      <c r="AN67" s="1363"/>
      <c r="AO67" s="1363"/>
      <c r="AP67" s="1363"/>
      <c r="AQ67" s="1363"/>
    </row>
    <row customHeight="1" ht="107.25" hidden="1">
      <c r="A68" s="1363"/>
      <c r="B68" s="1369"/>
      <c r="C68" s="1363"/>
      <c r="D68" s="1363"/>
      <c r="E68" s="593">
        <v>110</v>
      </c>
      <c r="F68" s="50" cm="1" t="str">
        <f t="array" ref="F68:F68">OFFSET(E68,-1,1)</f>
        <v>0</v>
      </c>
      <c r="G68" s="398"/>
      <c r="H68" s="51"/>
      <c r="I68" s="398" t="s">
        <v>325</v>
      </c>
      <c r="J68" s="1363"/>
      <c r="K68" s="90" t="str">
        <f>F68&amp;"2komm"</f>
        <v>02komm</v>
      </c>
      <c r="L68" s="895" cm="1" t="str">
        <f t="array" ref="L68:L68">AH68</f>
        <v>0</v>
      </c>
      <c r="M68" s="90"/>
      <c r="N68" s="1363"/>
      <c r="O68" s="1363"/>
      <c r="P68" s="1363"/>
      <c r="Q68" s="1363"/>
      <c r="R68" s="1363"/>
      <c r="S68" s="1353"/>
      <c r="T68" s="438" cm="1" t="str">
        <f t="array" ref="T68:T68">T67</f>
        <v>false</v>
      </c>
      <c r="U68" s="1363"/>
      <c r="V68" s="1363"/>
      <c r="W68" s="1363"/>
      <c r="X68" s="1511"/>
      <c r="Y68" s="1363"/>
      <c r="Z68" s="1494"/>
      <c r="AA68" s="1363"/>
      <c r="AB68" s="200" t="s">
        <v>1446</v>
      </c>
      <c r="AC68" s="178" t="s">
        <v>1447</v>
      </c>
      <c r="AD68" s="177" t="s">
        <v>1448</v>
      </c>
      <c r="AE68" s="200" t="s">
        <v>789</v>
      </c>
      <c r="AF68" s="2852"/>
      <c r="AG68" s="2852"/>
      <c r="AH68" s="1798"/>
      <c r="AI68" s="1363"/>
      <c r="AJ68" s="1363"/>
      <c r="AK68" s="1363"/>
      <c r="AL68" s="974" t="s">
        <v>957</v>
      </c>
      <c r="AM68" s="1363"/>
      <c r="AN68" s="1363"/>
      <c r="AO68" s="1363"/>
      <c r="AP68" s="1363"/>
      <c r="AQ68" s="1363"/>
    </row>
    <row customHeight="1" ht="76.78125" hidden="1">
      <c r="A69" s="1363"/>
      <c r="B69" s="400">
        <f>S27="Водоотведение"</f>
        <v>0</v>
      </c>
      <c r="C69" s="1363"/>
      <c r="D69" s="1363"/>
      <c r="E69" s="593">
        <v>78.75</v>
      </c>
      <c r="F69" s="50" cm="1" t="str">
        <f t="array" ref="F69:F69">OFFSET(E69,-1,1)</f>
        <v>0</v>
      </c>
      <c r="G69" s="998"/>
      <c r="H69" s="49"/>
      <c r="I69" s="88" t="s">
        <v>324</v>
      </c>
      <c r="J69" s="1363"/>
      <c r="K69" s="90" t="str">
        <f>F69&amp;"3komm"</f>
        <v>03komm</v>
      </c>
      <c r="L69" s="895" cm="1" t="str">
        <f t="array" ref="L69:L69">AH69</f>
        <v>0</v>
      </c>
      <c r="M69" s="90"/>
      <c r="N69" s="1363"/>
      <c r="O69" s="1363"/>
      <c r="P69" s="1363"/>
      <c r="Q69" s="1363"/>
      <c r="R69" s="1363"/>
      <c r="S69" s="1353"/>
      <c r="T69" s="438" cm="1" t="str">
        <f t="array" ref="T69:T69">T68</f>
        <v>false</v>
      </c>
      <c r="U69" s="1363"/>
      <c r="V69" s="1363"/>
      <c r="W69" s="1363"/>
      <c r="X69" s="1511"/>
      <c r="Y69" s="1363"/>
      <c r="Z69" s="1494"/>
      <c r="AA69" s="1363"/>
      <c r="AB69" s="200" t="s">
        <v>1449</v>
      </c>
      <c r="AC69" s="178" t="s">
        <v>1450</v>
      </c>
      <c r="AD69" s="177"/>
      <c r="AE69" s="200" t="s">
        <v>789</v>
      </c>
      <c r="AF69" s="2852"/>
      <c r="AG69" s="2494">
        <f>_xlfn.IFERROR(_xlfn.SUMIFS('Плата за негативное возд'!$AL$24:$AL$32,'Плата за негативное возд'!$F$24:$F$32,F69,'Плата за негативное возд'!$AB$24:$AB$32,"1"),0)</f>
        <v>0</v>
      </c>
      <c r="AH69" s="1798"/>
      <c r="AI69" s="1363"/>
      <c r="AJ69" s="1363"/>
      <c r="AK69" s="1363"/>
      <c r="AL69" s="974" t="s">
        <v>1451</v>
      </c>
      <c r="AM69" s="1363"/>
      <c r="AN69" s="1363"/>
      <c r="AO69" s="1363"/>
      <c r="AP69" s="1363"/>
      <c r="AQ69" s="1363"/>
    </row>
    <row customHeight="1" ht="54.84375" hidden="1">
      <c r="A70" s="1363"/>
      <c r="B70" s="400" cm="1" t="str">
        <f t="array" ref="B70:B70">B69</f>
        <v>false</v>
      </c>
      <c r="C70" s="1363"/>
      <c r="D70" s="1363"/>
      <c r="E70" s="593">
        <v>56.25</v>
      </c>
      <c r="F70" s="50" cm="1" t="str">
        <f t="array" ref="F70:F70">OFFSET(E70,-1,1)</f>
        <v>0</v>
      </c>
      <c r="G70" s="998"/>
      <c r="H70" s="49"/>
      <c r="I70" s="88" t="s">
        <v>484</v>
      </c>
      <c r="J70" s="1363"/>
      <c r="K70" s="90" t="str">
        <f>F70&amp;"4komm"</f>
        <v>04komm</v>
      </c>
      <c r="L70" s="895" cm="1" t="str">
        <f t="array" ref="L70:L70">AH70</f>
        <v>0</v>
      </c>
      <c r="M70" s="90"/>
      <c r="N70" s="1363"/>
      <c r="O70" s="1363"/>
      <c r="P70" s="1363"/>
      <c r="Q70" s="1363"/>
      <c r="R70" s="1363"/>
      <c r="S70" s="1353"/>
      <c r="T70" s="438" cm="1" t="str">
        <f t="array" ref="T70:T70">T69</f>
        <v>false</v>
      </c>
      <c r="U70" s="1363"/>
      <c r="V70" s="1363"/>
      <c r="W70" s="1363"/>
      <c r="X70" s="1511"/>
      <c r="Y70" s="1363"/>
      <c r="Z70" s="1494"/>
      <c r="AA70" s="1363"/>
      <c r="AB70" s="200" t="s">
        <v>1452</v>
      </c>
      <c r="AC70" s="178" t="s">
        <v>1453</v>
      </c>
      <c r="AD70" s="177"/>
      <c r="AE70" s="200" t="s">
        <v>789</v>
      </c>
      <c r="AF70" s="2852"/>
      <c r="AG70" s="2494">
        <f>_xlfn.IFERROR(_xlfn.SUMIFS('Плата за негативное возд'!$AL$24:$AL$32,'Плата за негативное возд'!$F$24:$F$32,F70,'Плата за негативное возд'!$AB$24:$AB$32,"2"),0)</f>
        <v>0</v>
      </c>
      <c r="AH70" s="1798"/>
      <c r="AI70" s="1363"/>
      <c r="AJ70" s="1363"/>
      <c r="AK70" s="1363"/>
      <c r="AL70" s="974" t="s">
        <v>1454</v>
      </c>
      <c r="AM70" s="1363"/>
      <c r="AN70" s="1363"/>
      <c r="AO70" s="1363"/>
      <c r="AP70" s="1363"/>
      <c r="AQ70" s="1363"/>
    </row>
    <row customHeight="1" ht="14.625" hidden="1">
      <c r="A71" s="1363"/>
      <c r="B71" s="1369"/>
      <c r="C71" s="1363"/>
      <c r="D71" s="1363"/>
      <c r="E71" s="593">
        <v>15</v>
      </c>
      <c r="F71" s="50" cm="1" t="str">
        <f t="array" ref="F71:F71">OFFSET(E71,-1,1)</f>
        <v>0</v>
      </c>
      <c r="G71" s="998"/>
      <c r="H71" s="51"/>
      <c r="I71" s="88" t="s">
        <v>488</v>
      </c>
      <c r="J71" s="1363"/>
      <c r="K71" s="90" t="str">
        <f>F71&amp;"5komm"</f>
        <v>05komm</v>
      </c>
      <c r="L71" s="895" cm="1" t="str">
        <f t="array" ref="L71:L71">AH71</f>
        <v>0</v>
      </c>
      <c r="M71" s="90"/>
      <c r="N71" s="1363"/>
      <c r="O71" s="1363"/>
      <c r="P71" s="1363"/>
      <c r="Q71" s="1363"/>
      <c r="R71" s="1363"/>
      <c r="S71" s="1353"/>
      <c r="T71" s="438" cm="1" t="str">
        <f t="array" ref="T71:T71">T70</f>
        <v>false</v>
      </c>
      <c r="U71" s="1363"/>
      <c r="V71" s="1363"/>
      <c r="W71" s="1363"/>
      <c r="X71" s="1511"/>
      <c r="Y71" s="1363"/>
      <c r="Z71" s="1494"/>
      <c r="AA71" s="1363"/>
      <c r="AB71" s="200" t="str">
        <f>IF(B70,"VII","V")</f>
        <v>V</v>
      </c>
      <c r="AC71" s="178" t="s">
        <v>1455</v>
      </c>
      <c r="AD71" s="177"/>
      <c r="AE71" s="200" t="s">
        <v>789</v>
      </c>
      <c r="AF71" s="2852"/>
      <c r="AG71" s="2852"/>
      <c r="AH71" s="1798"/>
      <c r="AI71" s="1363"/>
      <c r="AJ71" s="1363"/>
      <c r="AK71" s="1363"/>
      <c r="AL71" s="974" t="s">
        <v>1456</v>
      </c>
      <c r="AM71" s="1363"/>
      <c r="AN71" s="1363"/>
      <c r="AO71" s="1363"/>
      <c r="AP71" s="1363"/>
      <c r="AQ71" s="1363"/>
    </row>
    <row s="674" customFormat="1" customHeight="1" ht="14.625" hidden="1">
      <c r="A72" s="674"/>
      <c r="B72" s="403"/>
      <c r="C72" s="674"/>
      <c r="D72" s="674"/>
      <c r="E72" s="667">
        <v>15</v>
      </c>
      <c r="F72" s="50" cm="1" t="str">
        <f t="array" ref="F72:F72">OFFSET(E72,-1,1)</f>
        <v>0</v>
      </c>
      <c r="G72" s="470"/>
      <c r="H72" s="674"/>
      <c r="I72" s="207" t="s">
        <v>535</v>
      </c>
      <c r="J72" s="674"/>
      <c r="K72" s="90" t="str">
        <f>F72&amp;"6komm"</f>
        <v>06komm</v>
      </c>
      <c r="L72" s="895" cm="1" t="str">
        <f t="array" ref="L72:L72">AH72</f>
        <v>0</v>
      </c>
      <c r="M72" s="470"/>
      <c r="N72" s="674"/>
      <c r="O72" s="674"/>
      <c r="P72" s="674"/>
      <c r="Q72" s="674"/>
      <c r="R72" s="674"/>
      <c r="S72" s="674"/>
      <c r="T72" s="438" cm="1" t="str">
        <f t="array" ref="T72:T72">T71</f>
        <v>false</v>
      </c>
      <c r="U72" s="674"/>
      <c r="V72" s="674"/>
      <c r="W72" s="674"/>
      <c r="X72" s="1511"/>
      <c r="Y72" s="674"/>
      <c r="Z72" s="1494"/>
      <c r="AA72" s="674"/>
      <c r="AB72" s="200" t="str">
        <f>IF(B70,"VIII","VI")</f>
        <v>VI</v>
      </c>
      <c r="AC72" s="178" t="s">
        <v>1417</v>
      </c>
      <c r="AD72" s="177"/>
      <c r="AE72" s="200" t="s">
        <v>789</v>
      </c>
      <c r="AF72" s="2852">
        <f>AF73+AF74</f>
        <v>0</v>
      </c>
      <c r="AG72" s="2852">
        <f>AG73+AG74</f>
        <v>0</v>
      </c>
      <c r="AH72" s="1798"/>
      <c r="AI72" s="674"/>
      <c r="AJ72" s="674"/>
      <c r="AK72" s="674"/>
      <c r="AL72" s="1028" t="s">
        <v>1457</v>
      </c>
      <c r="AM72" s="674"/>
      <c r="AN72" s="674"/>
      <c r="AO72" s="674"/>
      <c r="AP72" s="674"/>
      <c r="AQ72" s="674"/>
    </row>
    <row customHeight="1" ht="21.9375" hidden="1">
      <c r="A73" s="1363"/>
      <c r="B73" s="1369"/>
      <c r="C73" s="1363"/>
      <c r="D73" s="1363"/>
      <c r="E73" s="593">
        <v>22.5</v>
      </c>
      <c r="F73" s="50" cm="1" t="str">
        <f t="array" ref="F73:F73">OFFSET(E73,-1,1)</f>
        <v>0</v>
      </c>
      <c r="G73" s="998"/>
      <c r="H73" s="51"/>
      <c r="I73" s="88" t="s">
        <v>538</v>
      </c>
      <c r="J73" s="1363"/>
      <c r="K73" s="90" t="str">
        <f>F73&amp;"7komm"</f>
        <v>07komm</v>
      </c>
      <c r="L73" s="895" cm="1" t="str">
        <f t="array" ref="L73:L73">AH73</f>
        <v>0</v>
      </c>
      <c r="M73" s="90"/>
      <c r="N73" s="1363"/>
      <c r="O73" s="1363"/>
      <c r="P73" s="1363"/>
      <c r="Q73" s="1363"/>
      <c r="R73" s="1363"/>
      <c r="S73" s="1353"/>
      <c r="T73" s="438" cm="1" t="str">
        <f t="array" ref="T73:T73">T72</f>
        <v>false</v>
      </c>
      <c r="U73" s="1363"/>
      <c r="V73" s="1363"/>
      <c r="W73" s="1363"/>
      <c r="X73" s="1511"/>
      <c r="Y73" s="1363"/>
      <c r="Z73" s="1494"/>
      <c r="AA73" s="1363"/>
      <c r="AB73" s="742">
        <v>1</v>
      </c>
      <c r="AC73" s="738" t="s">
        <v>1420</v>
      </c>
      <c r="AD73" s="266"/>
      <c r="AE73" s="742" t="s">
        <v>789</v>
      </c>
      <c r="AF73" s="2655"/>
      <c r="AG73" s="2655"/>
      <c r="AH73" s="1798"/>
      <c r="AI73" s="1363"/>
      <c r="AJ73" s="1363"/>
      <c r="AK73" s="1363"/>
      <c r="AL73" s="974" t="s">
        <v>1458</v>
      </c>
      <c r="AM73" s="1363"/>
      <c r="AN73" s="1363"/>
      <c r="AO73" s="1363"/>
      <c r="AP73" s="1363"/>
      <c r="AQ73" s="1363"/>
    </row>
    <row customHeight="1" ht="21.9375" hidden="1">
      <c r="A74" s="1363"/>
      <c r="B74" s="1369"/>
      <c r="C74" s="1363"/>
      <c r="D74" s="1363"/>
      <c r="E74" s="593">
        <v>22.5</v>
      </c>
      <c r="F74" s="50" cm="1" t="str">
        <f t="array" ref="F74:F74">OFFSET(E74,-1,1)</f>
        <v>0</v>
      </c>
      <c r="G74" s="998"/>
      <c r="H74" s="51"/>
      <c r="I74" s="88" t="s">
        <v>542</v>
      </c>
      <c r="J74" s="1363"/>
      <c r="K74" s="90" t="str">
        <f>F74&amp;"8komm"</f>
        <v>08komm</v>
      </c>
      <c r="L74" s="895" cm="1" t="str">
        <f t="array" ref="L74:L74">AH74</f>
        <v>0</v>
      </c>
      <c r="M74" s="90"/>
      <c r="N74" s="1363"/>
      <c r="O74" s="1363"/>
      <c r="P74" s="1363"/>
      <c r="Q74" s="1363"/>
      <c r="R74" s="1363"/>
      <c r="S74" s="1353"/>
      <c r="T74" s="438" cm="1" t="str">
        <f t="array" ref="T74:T74">T73</f>
        <v>false</v>
      </c>
      <c r="U74" s="1363"/>
      <c r="V74" s="1363"/>
      <c r="W74" s="1363"/>
      <c r="X74" s="1511"/>
      <c r="Y74" s="1363"/>
      <c r="Z74" s="1494"/>
      <c r="AA74" s="1363"/>
      <c r="AB74" s="742">
        <v>2</v>
      </c>
      <c r="AC74" s="738" t="s">
        <v>1422</v>
      </c>
      <c r="AD74" s="266"/>
      <c r="AE74" s="742" t="s">
        <v>789</v>
      </c>
      <c r="AF74" s="2655"/>
      <c r="AG74" s="2655"/>
      <c r="AH74" s="1798"/>
      <c r="AI74" s="1363"/>
      <c r="AJ74" s="1363"/>
      <c r="AK74" s="1363"/>
      <c r="AL74" s="974" t="s">
        <v>1459</v>
      </c>
      <c r="AM74" s="1363"/>
      <c r="AN74" s="1363"/>
      <c r="AO74" s="1363"/>
      <c r="AP74" s="1363"/>
      <c r="AQ74" s="1363"/>
    </row>
    <row customHeight="1" ht="14.625" hidden="1">
      <c r="A75" s="1363"/>
      <c r="B75" s="1369"/>
      <c r="C75" s="1363"/>
      <c r="D75" s="1363"/>
      <c r="E75" s="593">
        <v>15</v>
      </c>
      <c r="F75" s="50" cm="1" t="str">
        <f t="array" ref="F75:F75">OFFSET(E75,-1,1)</f>
        <v>0</v>
      </c>
      <c r="G75" s="998"/>
      <c r="H75" s="51"/>
      <c r="I75" s="88" t="s">
        <v>550</v>
      </c>
      <c r="J75" s="1363"/>
      <c r="K75" s="90" t="str">
        <f>F75&amp;"9komm"</f>
        <v>09komm</v>
      </c>
      <c r="L75" s="895" cm="1" t="str">
        <f t="array" ref="L75:L75">AH75</f>
        <v>0</v>
      </c>
      <c r="M75" s="90"/>
      <c r="N75" s="1363"/>
      <c r="O75" s="1363"/>
      <c r="P75" s="1363"/>
      <c r="Q75" s="1363"/>
      <c r="R75" s="1363"/>
      <c r="S75" s="1353"/>
      <c r="T75" s="438" cm="1" t="str">
        <f t="array" ref="T75:T75">T74</f>
        <v>false</v>
      </c>
      <c r="U75" s="1363"/>
      <c r="V75" s="1363"/>
      <c r="W75" s="1363"/>
      <c r="X75" s="1511"/>
      <c r="Y75" s="1363"/>
      <c r="Z75" s="1494"/>
      <c r="AA75" s="1363"/>
      <c r="AB75" s="200" t="str">
        <f>IF(B70,"IX","VIII")</f>
        <v>VIII</v>
      </c>
      <c r="AC75" s="178" t="s">
        <v>1424</v>
      </c>
      <c r="AD75" s="177"/>
      <c r="AE75" s="200" t="s">
        <v>789</v>
      </c>
      <c r="AF75" s="2852"/>
      <c r="AG75" s="2852"/>
      <c r="AH75" s="1798"/>
      <c r="AI75" s="1363"/>
      <c r="AJ75" s="1363"/>
      <c r="AK75" s="1363"/>
      <c r="AL75" s="974" t="s">
        <v>1460</v>
      </c>
      <c r="AM75" s="1363"/>
      <c r="AN75" s="1363"/>
      <c r="AO75" s="1363"/>
      <c r="AP75" s="1363"/>
      <c r="AQ75" s="1363"/>
    </row>
    <row customHeight="1" ht="14.625" hidden="1">
      <c r="A76" s="1363"/>
      <c r="B76" s="1369"/>
      <c r="C76" s="1363"/>
      <c r="D76" s="1363"/>
      <c r="E76" s="593">
        <v>15</v>
      </c>
      <c r="F76" s="50" cm="1" t="str">
        <f t="array" ref="F76:F76">OFFSET(E76,-1,1)</f>
        <v>0</v>
      </c>
      <c r="G76" s="998"/>
      <c r="H76" s="51"/>
      <c r="I76" s="88" t="s">
        <v>558</v>
      </c>
      <c r="J76" s="1363"/>
      <c r="K76" s="90" t="str">
        <f>F76&amp;"10komm"</f>
        <v>010komm</v>
      </c>
      <c r="L76" s="895" cm="1" t="str">
        <f t="array" ref="L76:L76">AH76</f>
        <v>0</v>
      </c>
      <c r="M76" s="90"/>
      <c r="N76" s="1363"/>
      <c r="O76" s="1363"/>
      <c r="P76" s="1363"/>
      <c r="Q76" s="1363"/>
      <c r="R76" s="1363"/>
      <c r="S76" s="1353"/>
      <c r="T76" s="438" cm="1" t="str">
        <f t="array" ref="T76:T76">T75</f>
        <v>false</v>
      </c>
      <c r="U76" s="1363"/>
      <c r="V76" s="1363"/>
      <c r="W76" s="1363"/>
      <c r="X76" s="1511"/>
      <c r="Y76" s="1363"/>
      <c r="Z76" s="1494"/>
      <c r="AA76" s="1363"/>
      <c r="AB76" s="200" t="str">
        <f>IF(B70,"X","IX")</f>
        <v>IX</v>
      </c>
      <c r="AC76" s="178" t="s">
        <v>1426</v>
      </c>
      <c r="AD76" s="177"/>
      <c r="AE76" s="200" t="s">
        <v>789</v>
      </c>
      <c r="AF76" s="2852"/>
      <c r="AG76" s="2852"/>
      <c r="AH76" s="1798"/>
      <c r="AI76" s="1363"/>
      <c r="AJ76" s="1363"/>
      <c r="AK76" s="1363"/>
      <c r="AL76" s="974" t="s">
        <v>1461</v>
      </c>
      <c r="AM76" s="1363"/>
      <c r="AN76" s="1363"/>
      <c r="AO76" s="1363"/>
      <c r="AP76" s="1363"/>
      <c r="AQ76" s="1363"/>
    </row>
    <row s="674" customFormat="1" customHeight="1" ht="14.625" hidden="1">
      <c r="A77" s="674"/>
      <c r="B77" s="403"/>
      <c r="C77" s="674"/>
      <c r="D77" s="674"/>
      <c r="E77" s="667">
        <v>15</v>
      </c>
      <c r="F77" s="50" cm="1" t="str">
        <f t="array" ref="F77:F77">OFFSET(E77,-1,1)</f>
        <v>0</v>
      </c>
      <c r="G77" s="470"/>
      <c r="H77" s="674"/>
      <c r="I77" s="207" t="s">
        <v>716</v>
      </c>
      <c r="J77" s="674"/>
      <c r="K77" s="90" t="str">
        <f>F77&amp;"11komm"</f>
        <v>011komm</v>
      </c>
      <c r="L77" s="895" cm="1" t="str">
        <f t="array" ref="L77:L77">AH77</f>
        <v>0</v>
      </c>
      <c r="M77" s="470"/>
      <c r="N77" s="674"/>
      <c r="O77" s="674"/>
      <c r="P77" s="674"/>
      <c r="Q77" s="674"/>
      <c r="R77" s="674"/>
      <c r="S77" s="674"/>
      <c r="T77" s="438" cm="1" t="str">
        <f t="array" ref="T77:T77">T76</f>
        <v>false</v>
      </c>
      <c r="U77" s="674"/>
      <c r="V77" s="674"/>
      <c r="W77" s="674"/>
      <c r="X77" s="1511"/>
      <c r="Y77" s="674"/>
      <c r="Z77" s="1494"/>
      <c r="AA77" s="674"/>
      <c r="AB77" s="200" t="str">
        <f>IF(B70,"XI","X")</f>
        <v>X</v>
      </c>
      <c r="AC77" s="185" t="s">
        <v>1462</v>
      </c>
      <c r="AD77" s="177"/>
      <c r="AE77" s="200" t="s">
        <v>789</v>
      </c>
      <c r="AF77" s="913">
        <f>AF28+AF63+AF67+AF68+AF69+AF70+AF71+AF72+AF75+AF76</f>
        <v>0</v>
      </c>
      <c r="AG77" s="913">
        <f>AG28+AG63+AG67+AG68+AG69+AG70+AG71+AG72+AG75+AG76</f>
        <v>0</v>
      </c>
      <c r="AH77" s="1798"/>
      <c r="AI77" s="674"/>
      <c r="AJ77" s="674"/>
      <c r="AK77" s="674"/>
      <c r="AL77" s="1028" t="s">
        <v>1463</v>
      </c>
      <c r="AM77" s="674"/>
      <c r="AN77" s="674"/>
      <c r="AO77" s="674"/>
      <c r="AP77" s="674"/>
      <c r="AQ77" s="674"/>
    </row>
    <row s="1624" customFormat="1" customHeight="1" ht="14.25">
      <c r="A78" s="1363"/>
      <c r="B78" s="1369"/>
      <c r="C78" s="1363"/>
      <c r="D78" s="1363"/>
      <c r="E78" s="593">
        <v>15</v>
      </c>
      <c r="F78" s="64" cm="1" t="str">
        <f t="array" ref="F78:F78">X78</f>
        <v>1</v>
      </c>
      <c r="G78" s="466"/>
      <c r="H78" s="51"/>
      <c r="I78" s="1363"/>
      <c r="J78" s="1363"/>
      <c r="K78" s="1363"/>
      <c r="L78" s="1363"/>
      <c r="M78" s="1363"/>
      <c r="N78" s="1363"/>
      <c r="O78" s="1363"/>
      <c r="P78" s="1363"/>
      <c r="Q78" s="1363"/>
      <c r="R78" s="1363"/>
      <c r="S78" s="1150" cm="1" t="str">
        <f t="array" ref="S78:S78">INDEX('Общие сведения'!$AE$179:$AE$208,MATCH($X78,'Общие сведения'!$Z$179:$Z$208,0))</f>
        <v>Водоотведение</v>
      </c>
      <c r="T78" s="438">
        <f>X78&gt;0</f>
        <v>1</v>
      </c>
      <c r="U78" s="1363"/>
      <c r="V78" s="88" cm="1" t="str">
        <f t="array" ref="V78:V78">'Плата за негативное возд'!$AB$29</f>
        <v>Тариф 1 (Водоотведение) - тариф на транспортировку сточных вод</v>
      </c>
      <c r="W78" s="1363"/>
      <c r="X78" s="1511" t="s">
        <v>281</v>
      </c>
      <c r="Y78" s="1363"/>
      <c r="Z78" s="1494"/>
      <c r="AA78" s="1363"/>
      <c r="AB78" s="347" cm="1" t="str">
        <f t="array" ref="AB78:AB78">'Плата за негативное возд'!$AB$29</f>
        <v>Тариф 1 (Водоотведение) - тариф на транспортировку сточных вод</v>
      </c>
      <c r="AC78" s="347"/>
      <c r="AD78" s="347"/>
      <c r="AE78" s="347"/>
      <c r="AF78" s="347"/>
      <c r="AG78" s="347"/>
      <c r="AH78" s="347"/>
      <c r="AI78" s="1363"/>
      <c r="AJ78" s="1363"/>
      <c r="AK78" s="1363"/>
      <c r="AL78" s="1374"/>
      <c r="AM78" s="1363"/>
      <c r="AN78" s="1363"/>
      <c r="AO78" s="1363"/>
      <c r="AP78" s="1363"/>
      <c r="AQ78" s="1363"/>
    </row>
    <row s="2860" customFormat="1" customHeight="1" ht="43.5">
      <c r="A79" s="674"/>
      <c r="B79" s="403"/>
      <c r="C79" s="674"/>
      <c r="D79" s="674"/>
      <c r="E79" s="667">
        <v>45</v>
      </c>
      <c r="F79" s="50" cm="1" t="str">
        <f t="array" ref="F79:F79">OFFSET(E79,-1,1)</f>
        <v>1</v>
      </c>
      <c r="G79" s="470"/>
      <c r="H79" s="674"/>
      <c r="I79" s="88" t="s">
        <v>321</v>
      </c>
      <c r="J79" s="674"/>
      <c r="K79" s="90"/>
      <c r="L79" s="900"/>
      <c r="M79" s="470"/>
      <c r="N79" s="674"/>
      <c r="O79" s="674"/>
      <c r="P79" s="674"/>
      <c r="Q79" s="674"/>
      <c r="R79" s="674"/>
      <c r="S79" s="674"/>
      <c r="T79" s="438" cm="1" t="str">
        <f t="array" ref="T79:T79">T78</f>
        <v>true</v>
      </c>
      <c r="U79" s="674"/>
      <c r="V79" s="674"/>
      <c r="W79" s="674"/>
      <c r="X79" s="1511"/>
      <c r="Y79" s="674"/>
      <c r="Z79" s="1494"/>
      <c r="AA79" s="674"/>
      <c r="AB79" s="817" t="s">
        <v>1289</v>
      </c>
      <c r="AC79" s="818" t="s">
        <v>1290</v>
      </c>
      <c r="AD79" s="817" t="s">
        <v>1291</v>
      </c>
      <c r="AE79" s="819" t="s">
        <v>789</v>
      </c>
      <c r="AF79" s="820">
        <f>AF81-AF80</f>
        <v>0</v>
      </c>
      <c r="AG79" s="820">
        <f>AG81-AG80</f>
        <v>0</v>
      </c>
      <c r="AH79" s="821"/>
      <c r="AI79" s="674"/>
      <c r="AJ79" s="674"/>
      <c r="AK79" s="674"/>
      <c r="AL79" s="1028" t="s">
        <v>1292</v>
      </c>
      <c r="AM79" s="674"/>
      <c r="AN79" s="674"/>
      <c r="AO79" s="674"/>
      <c r="AP79" s="674"/>
      <c r="AQ79" s="674"/>
    </row>
    <row s="2862" customFormat="1" customHeight="1" ht="14.25">
      <c r="A80" s="674"/>
      <c r="B80" s="403"/>
      <c r="C80" s="674"/>
      <c r="D80" s="674"/>
      <c r="E80" s="667">
        <v>15</v>
      </c>
      <c r="F80" s="50" cm="1" t="str">
        <f t="array" ref="F80:F80">OFFSET(E80,-1,1)</f>
        <v>1</v>
      </c>
      <c r="G80" s="470"/>
      <c r="H80" s="674"/>
      <c r="I80" s="88" t="s">
        <v>434</v>
      </c>
      <c r="J80" s="674"/>
      <c r="K80" s="470"/>
      <c r="L80" s="470"/>
      <c r="M80" s="470"/>
      <c r="N80" s="674"/>
      <c r="O80" s="674"/>
      <c r="P80" s="674"/>
      <c r="Q80" s="674"/>
      <c r="R80" s="674"/>
      <c r="S80" s="674"/>
      <c r="T80" s="438" cm="1" t="str">
        <f t="array" ref="T80:T80">T79</f>
        <v>true</v>
      </c>
      <c r="U80" s="674"/>
      <c r="V80" s="674"/>
      <c r="W80" s="674"/>
      <c r="X80" s="1511"/>
      <c r="Y80" s="674"/>
      <c r="Z80" s="1494"/>
      <c r="AA80" s="674"/>
      <c r="AB80" s="184" t="s">
        <v>281</v>
      </c>
      <c r="AC80" s="185" t="s">
        <v>1293</v>
      </c>
      <c r="AD80" s="177" t="s">
        <v>1294</v>
      </c>
      <c r="AE80" s="200" t="s">
        <v>789</v>
      </c>
      <c r="AF80" s="348"/>
      <c r="AG80" s="348"/>
      <c r="AH80" s="821"/>
      <c r="AI80" s="674"/>
      <c r="AJ80" s="674"/>
      <c r="AK80" s="674"/>
      <c r="AL80" s="1028" t="s">
        <v>1295</v>
      </c>
      <c r="AM80" s="674"/>
      <c r="AN80" s="674"/>
      <c r="AO80" s="674"/>
      <c r="AP80" s="674"/>
      <c r="AQ80" s="674"/>
    </row>
    <row s="2864" customFormat="1" customHeight="1" ht="14.25">
      <c r="A81" s="674"/>
      <c r="B81" s="403"/>
      <c r="C81" s="674"/>
      <c r="D81" s="674"/>
      <c r="E81" s="667">
        <v>15</v>
      </c>
      <c r="F81" s="50" cm="1" t="str">
        <f t="array" ref="F81:F81">OFFSET(E81,-1,1)</f>
        <v>1</v>
      </c>
      <c r="G81" s="113"/>
      <c r="H81" s="113"/>
      <c r="I81" s="398" t="s">
        <v>438</v>
      </c>
      <c r="J81" s="674"/>
      <c r="K81" s="470"/>
      <c r="L81" s="470"/>
      <c r="M81" s="470"/>
      <c r="N81" s="674"/>
      <c r="O81" s="674"/>
      <c r="P81" s="674"/>
      <c r="Q81" s="674"/>
      <c r="R81" s="674"/>
      <c r="S81" s="674"/>
      <c r="T81" s="438" cm="1" t="str">
        <f t="array" ref="T81:T81">T80</f>
        <v>true</v>
      </c>
      <c r="U81" s="674"/>
      <c r="V81" s="674"/>
      <c r="W81" s="674"/>
      <c r="X81" s="1511"/>
      <c r="Y81" s="674"/>
      <c r="Z81" s="1494"/>
      <c r="AA81" s="674"/>
      <c r="AB81" s="184" t="s">
        <v>504</v>
      </c>
      <c r="AC81" s="178" t="s">
        <v>1296</v>
      </c>
      <c r="AD81" s="177" t="s">
        <v>1297</v>
      </c>
      <c r="AE81" s="200" t="s">
        <v>789</v>
      </c>
      <c r="AF81" s="820">
        <f>AF82+AF83+AF95+AF99+AF100+AF101+AF102+AF106+AF107+AF108+AF109+AF112+AF113</f>
        <v>0</v>
      </c>
      <c r="AG81" s="820">
        <f>AG82+AG83+AG95+AG99+AG100+AG101+AG102+AG106+AG107+AG108+AG109+AG112+AG113</f>
        <v>0</v>
      </c>
      <c r="AH81" s="821"/>
      <c r="AI81" s="674"/>
      <c r="AJ81" s="674"/>
      <c r="AK81" s="674"/>
      <c r="AL81" s="1028" t="s">
        <v>1298</v>
      </c>
      <c r="AM81" s="674"/>
      <c r="AN81" s="674"/>
      <c r="AO81" s="674"/>
      <c r="AP81" s="674"/>
      <c r="AQ81" s="674"/>
    </row>
    <row s="1624" customFormat="1" customHeight="1" ht="21.75">
      <c r="A82" s="1363"/>
      <c r="B82" s="1369"/>
      <c r="C82" s="1363"/>
      <c r="D82" s="1363"/>
      <c r="E82" s="593">
        <v>22.5</v>
      </c>
      <c r="F82" s="50" cm="1" t="str">
        <f t="array" ref="F82:F82">OFFSET(E82,-1,1)</f>
        <v>1</v>
      </c>
      <c r="G82" s="398" t="s">
        <v>1299</v>
      </c>
      <c r="H82" s="51"/>
      <c r="I82" s="398" t="s">
        <v>1208</v>
      </c>
      <c r="J82" s="1363"/>
      <c r="K82" s="90"/>
      <c r="L82" s="90"/>
      <c r="M82" s="90"/>
      <c r="N82" s="1363"/>
      <c r="O82" s="1363"/>
      <c r="P82" s="1363"/>
      <c r="Q82" s="1363"/>
      <c r="R82" s="1363"/>
      <c r="S82" s="1353"/>
      <c r="T82" s="438" cm="1" t="str">
        <f t="array" ref="T82:T82">T81</f>
        <v>true</v>
      </c>
      <c r="U82" s="1363"/>
      <c r="V82" s="1363"/>
      <c r="W82" s="1363"/>
      <c r="X82" s="1511"/>
      <c r="Y82" s="1363"/>
      <c r="Z82" s="1494"/>
      <c r="AA82" s="1363"/>
      <c r="AB82" s="265" t="s">
        <v>509</v>
      </c>
      <c r="AC82" s="738" t="s">
        <v>1300</v>
      </c>
      <c r="AD82" s="266" t="s">
        <v>1301</v>
      </c>
      <c r="AE82" s="742" t="s">
        <v>789</v>
      </c>
      <c r="AF82" s="264"/>
      <c r="AG82" s="264"/>
      <c r="AH82" s="822"/>
      <c r="AI82" s="1363"/>
      <c r="AJ82" s="1363"/>
      <c r="AK82" s="1363"/>
      <c r="AL82" s="974" t="s">
        <v>1302</v>
      </c>
      <c r="AM82" s="1363"/>
      <c r="AN82" s="1363"/>
      <c r="AO82" s="1363"/>
      <c r="AP82" s="1363"/>
      <c r="AQ82" s="1363"/>
    </row>
    <row s="1624" customFormat="1" customHeight="1" ht="21.75">
      <c r="A83" s="1363"/>
      <c r="B83" s="1369"/>
      <c r="C83" s="1363"/>
      <c r="D83" s="1363"/>
      <c r="E83" s="593">
        <v>22.5</v>
      </c>
      <c r="F83" s="50" cm="1" t="str">
        <f t="array" ref="F83:F83">OFFSET(E83,-1,1)</f>
        <v>1</v>
      </c>
      <c r="G83" s="398"/>
      <c r="H83" s="51"/>
      <c r="I83" s="398" t="s">
        <v>1211</v>
      </c>
      <c r="J83" s="1363"/>
      <c r="K83" s="90"/>
      <c r="L83" s="90"/>
      <c r="M83" s="90"/>
      <c r="N83" s="1363"/>
      <c r="O83" s="1363"/>
      <c r="P83" s="1363"/>
      <c r="Q83" s="1363"/>
      <c r="R83" s="1363"/>
      <c r="S83" s="1353"/>
      <c r="T83" s="438" cm="1" t="str">
        <f t="array" ref="T83:T83">T82</f>
        <v>true</v>
      </c>
      <c r="U83" s="1363"/>
      <c r="V83" s="1363"/>
      <c r="W83" s="1363"/>
      <c r="X83" s="1511"/>
      <c r="Y83" s="1363"/>
      <c r="Z83" s="1494"/>
      <c r="AA83" s="1363"/>
      <c r="AB83" s="265" t="s">
        <v>513</v>
      </c>
      <c r="AC83" s="738" t="s">
        <v>1303</v>
      </c>
      <c r="AD83" s="266" t="s">
        <v>1304</v>
      </c>
      <c r="AE83" s="742" t="s">
        <v>789</v>
      </c>
      <c r="AF83" s="910">
        <f>SUM(AF84:AF94)</f>
        <v>0</v>
      </c>
      <c r="AG83" s="910">
        <f>SUM(AG84:AG94)</f>
        <v>0</v>
      </c>
      <c r="AH83" s="822"/>
      <c r="AI83" s="1363"/>
      <c r="AJ83" s="1363"/>
      <c r="AK83" s="1363"/>
      <c r="AL83" s="974" t="s">
        <v>1305</v>
      </c>
      <c r="AM83" s="1363"/>
      <c r="AN83" s="1363"/>
      <c r="AO83" s="1363"/>
      <c r="AP83" s="1363"/>
      <c r="AQ83" s="1363"/>
    </row>
    <row s="1624" customFormat="1" customHeight="1" ht="21.75">
      <c r="A84" s="1363"/>
      <c r="B84" s="1369"/>
      <c r="C84" s="1363"/>
      <c r="D84" s="1363"/>
      <c r="E84" s="593">
        <v>22.5</v>
      </c>
      <c r="F84" s="50" cm="1" t="str">
        <f t="array" ref="F84:F84">OFFSET(E84,-1,1)</f>
        <v>1</v>
      </c>
      <c r="G84" s="398"/>
      <c r="H84" s="51"/>
      <c r="I84" s="398" t="s">
        <v>1306</v>
      </c>
      <c r="J84" s="1363"/>
      <c r="K84" s="90"/>
      <c r="L84" s="90"/>
      <c r="M84" s="90"/>
      <c r="N84" s="1363"/>
      <c r="O84" s="1363"/>
      <c r="P84" s="1363"/>
      <c r="Q84" s="1363"/>
      <c r="R84" s="1363"/>
      <c r="S84" s="1353"/>
      <c r="T84" s="438" cm="1" t="str">
        <f t="array" ref="T84:T84">T83</f>
        <v>true</v>
      </c>
      <c r="U84" s="1363"/>
      <c r="V84" s="1363"/>
      <c r="W84" s="1363"/>
      <c r="X84" s="1511"/>
      <c r="Y84" s="1363"/>
      <c r="Z84" s="1494"/>
      <c r="AA84" s="1363"/>
      <c r="AB84" s="760" t="s">
        <v>466</v>
      </c>
      <c r="AC84" s="757" t="s">
        <v>1307</v>
      </c>
      <c r="AD84" s="742"/>
      <c r="AE84" s="742" t="s">
        <v>789</v>
      </c>
      <c r="AF84" s="264">
        <f>_xlfn.SUMIFS(Покупка!$AF$25:$AF$87,Покупка!$F$25:$F$87,$F84,Покупка!$G$25:$G$87,"Итого")</f>
        <v>0</v>
      </c>
      <c r="AG84" s="264">
        <f>_xlfn.SUMIFS(Покупка!$AG$25:$AG$87,Покупка!$F$25:$F$87,$F84,Покупка!$G$25:$G$87,"Итого")</f>
        <v>0</v>
      </c>
      <c r="AH84" s="822"/>
      <c r="AI84" s="1363"/>
      <c r="AJ84" s="1363"/>
      <c r="AK84" s="1363"/>
      <c r="AL84" s="974" t="s">
        <v>1308</v>
      </c>
      <c r="AM84" s="1363"/>
      <c r="AN84" s="1363"/>
      <c r="AO84" s="1363"/>
      <c r="AP84" s="1363"/>
      <c r="AQ84" s="1363"/>
    </row>
    <row s="1624" customFormat="1" customHeight="1" ht="14.25">
      <c r="A85" s="1363"/>
      <c r="B85" s="1369"/>
      <c r="C85" s="1363"/>
      <c r="D85" s="1363"/>
      <c r="E85" s="593">
        <v>15</v>
      </c>
      <c r="F85" s="50" cm="1" t="str">
        <f t="array" ref="F85:F85">OFFSET(E85,-1,1)</f>
        <v>1</v>
      </c>
      <c r="G85" s="398"/>
      <c r="H85" s="51"/>
      <c r="I85" s="398" t="s">
        <v>1309</v>
      </c>
      <c r="J85" s="1363"/>
      <c r="K85" s="90"/>
      <c r="L85" s="90"/>
      <c r="M85" s="90"/>
      <c r="N85" s="1363"/>
      <c r="O85" s="1363"/>
      <c r="P85" s="1363"/>
      <c r="Q85" s="1363"/>
      <c r="R85" s="1363"/>
      <c r="S85" s="1353"/>
      <c r="T85" s="438" cm="1" t="str">
        <f t="array" ref="T85:T85">T84</f>
        <v>true</v>
      </c>
      <c r="U85" s="1363"/>
      <c r="V85" s="1363"/>
      <c r="W85" s="1363"/>
      <c r="X85" s="1511"/>
      <c r="Y85" s="1363"/>
      <c r="Z85" s="1494"/>
      <c r="AA85" s="1363"/>
      <c r="AB85" s="760" t="s">
        <v>1310</v>
      </c>
      <c r="AC85" s="757" t="s">
        <v>1311</v>
      </c>
      <c r="AD85" s="742"/>
      <c r="AE85" s="742" t="s">
        <v>789</v>
      </c>
      <c r="AF85" s="264"/>
      <c r="AG85" s="264">
        <f>_xlfn.SUMIFS('Сырье и материалы'!AG$25:AG$36,'Сырье и материалы'!$F$25:$F$36,$F85,'Сырье и материалы'!$AC$25:$AC$36,"Всего по тарифу")</f>
        <v>0</v>
      </c>
      <c r="AH85" s="822"/>
      <c r="AI85" s="1363"/>
      <c r="AJ85" s="1363"/>
      <c r="AK85" s="1363"/>
      <c r="AL85" s="974" t="s">
        <v>1312</v>
      </c>
      <c r="AM85" s="1363"/>
      <c r="AN85" s="1363"/>
      <c r="AO85" s="1363"/>
      <c r="AP85" s="1363"/>
      <c r="AQ85" s="1363"/>
    </row>
    <row s="1624" customFormat="1" customHeight="1" ht="14.25">
      <c r="A86" s="1363"/>
      <c r="B86" s="1369"/>
      <c r="C86" s="1363"/>
      <c r="D86" s="1363"/>
      <c r="E86" s="593">
        <v>15</v>
      </c>
      <c r="F86" s="50" cm="1" t="str">
        <f t="array" ref="F86:F86">OFFSET(E86,-1,1)</f>
        <v>1</v>
      </c>
      <c r="G86" s="398"/>
      <c r="H86" s="51"/>
      <c r="I86" s="398" t="s">
        <v>1313</v>
      </c>
      <c r="J86" s="1363"/>
      <c r="K86" s="90"/>
      <c r="L86" s="90"/>
      <c r="M86" s="90"/>
      <c r="N86" s="1363"/>
      <c r="O86" s="1363"/>
      <c r="P86" s="1363"/>
      <c r="Q86" s="1363"/>
      <c r="R86" s="1363"/>
      <c r="S86" s="1353"/>
      <c r="T86" s="438" cm="1" t="str">
        <f t="array" ref="T86:T86">T85</f>
        <v>true</v>
      </c>
      <c r="U86" s="1363"/>
      <c r="V86" s="1363"/>
      <c r="W86" s="1363"/>
      <c r="X86" s="1511"/>
      <c r="Y86" s="1363"/>
      <c r="Z86" s="1494"/>
      <c r="AA86" s="1363"/>
      <c r="AB86" s="760" t="s">
        <v>1314</v>
      </c>
      <c r="AC86" s="757" t="s">
        <v>1315</v>
      </c>
      <c r="AD86" s="742"/>
      <c r="AE86" s="742" t="s">
        <v>789</v>
      </c>
      <c r="AF86" s="264">
        <f>_xlfn.SUMIFS(Налоги!AF$25:AF$55,Налоги!$F$25:$F$55,$F86,Налоги!$AB$25:$AB$55,"0")</f>
        <v>0</v>
      </c>
      <c r="AG86" s="264">
        <f>_xlfn.SUMIFS(Налоги!AG$25:AG$55,Налоги!$F$25:$F$55,$F86,Налоги!$AB$25:$AB$55,"0")</f>
        <v>0</v>
      </c>
      <c r="AH86" s="822"/>
      <c r="AI86" s="1363"/>
      <c r="AJ86" s="1363"/>
      <c r="AK86" s="1363"/>
      <c r="AL86" s="974" t="s">
        <v>1316</v>
      </c>
      <c r="AM86" s="1363"/>
      <c r="AN86" s="1363"/>
      <c r="AO86" s="1363"/>
      <c r="AP86" s="1363"/>
      <c r="AQ86" s="1363"/>
    </row>
    <row s="1624" customFormat="1" customHeight="1" ht="65.25">
      <c r="A87" s="1363"/>
      <c r="B87" s="1369"/>
      <c r="C87" s="1363"/>
      <c r="D87" s="1363"/>
      <c r="E87" s="593">
        <v>67.5</v>
      </c>
      <c r="F87" s="50" cm="1" t="str">
        <f t="array" ref="F87:F87">OFFSET(E87,-1,1)</f>
        <v>1</v>
      </c>
      <c r="G87" s="73" t="s">
        <v>1317</v>
      </c>
      <c r="H87" s="51"/>
      <c r="I87" s="466" t="s">
        <v>1318</v>
      </c>
      <c r="J87" s="1363"/>
      <c r="K87" s="90"/>
      <c r="L87" s="90"/>
      <c r="M87" s="90"/>
      <c r="N87" s="1363"/>
      <c r="O87" s="1363"/>
      <c r="P87" s="1363"/>
      <c r="Q87" s="1363"/>
      <c r="R87" s="1363"/>
      <c r="S87" s="1353"/>
      <c r="T87" s="438" cm="1" t="str">
        <f t="array" ref="T87:T87">T86</f>
        <v>true</v>
      </c>
      <c r="U87" s="1363"/>
      <c r="V87" s="1363"/>
      <c r="W87" s="1363"/>
      <c r="X87" s="1511"/>
      <c r="Y87" s="1363"/>
      <c r="Z87" s="1494"/>
      <c r="AA87" s="1363"/>
      <c r="AB87" s="760" t="s">
        <v>1319</v>
      </c>
      <c r="AC87" s="757" t="s">
        <v>1320</v>
      </c>
      <c r="AD87" s="742"/>
      <c r="AE87" s="742" t="s">
        <v>789</v>
      </c>
      <c r="AF87" s="264"/>
      <c r="AG87" s="264">
        <f>IF(AND(method_reg="Метод индексации",first_year=god),_xlfn.SUMIFS('Калькуляция (МИ)'!$AG$25:$AG$315,'Калькуляция (МИ)'!$F$25:$F$315,$F87,'Калькуляция (МИ)'!$G$25:$G$315,$G87),_xlfn.SUMIFS('Калькуляция (МИ корр)'!$AG$25:$AG$315,'Калькуляция (МИ корр)'!$F$25:$F$315,$F87,'Калькуляция (МИ корр)'!$G$25:$G$315,$G87))</f>
        <v>0</v>
      </c>
      <c r="AH87" s="822"/>
      <c r="AI87" s="1363"/>
      <c r="AJ87" s="1363"/>
      <c r="AK87" s="1363"/>
      <c r="AL87" s="974" t="s">
        <v>1321</v>
      </c>
      <c r="AM87" s="1363"/>
      <c r="AN87" s="1363"/>
      <c r="AO87" s="1363"/>
      <c r="AP87" s="1363"/>
      <c r="AQ87" s="1363"/>
    </row>
    <row s="1624" customFormat="1" customHeight="1" ht="14.25">
      <c r="A88" s="1363"/>
      <c r="B88" s="1369"/>
      <c r="C88" s="1363"/>
      <c r="D88" s="1363"/>
      <c r="E88" s="593">
        <v>15</v>
      </c>
      <c r="F88" s="50" cm="1" t="str">
        <f t="array" ref="F88:F88">OFFSET(E88,-1,1)</f>
        <v>1</v>
      </c>
      <c r="G88" s="73" t="s">
        <v>942</v>
      </c>
      <c r="H88" s="51"/>
      <c r="I88" s="466" t="s">
        <v>1322</v>
      </c>
      <c r="J88" s="1363"/>
      <c r="K88" s="90"/>
      <c r="L88" s="90"/>
      <c r="M88" s="90"/>
      <c r="N88" s="1363"/>
      <c r="O88" s="1363"/>
      <c r="P88" s="1363"/>
      <c r="Q88" s="1363"/>
      <c r="R88" s="1363"/>
      <c r="S88" s="1353"/>
      <c r="T88" s="438" cm="1" t="str">
        <f t="array" ref="T88:T88">T87</f>
        <v>true</v>
      </c>
      <c r="U88" s="1363"/>
      <c r="V88" s="1363"/>
      <c r="W88" s="1363"/>
      <c r="X88" s="1511"/>
      <c r="Y88" s="1363"/>
      <c r="Z88" s="1494"/>
      <c r="AA88" s="1363"/>
      <c r="AB88" s="760" t="s">
        <v>1323</v>
      </c>
      <c r="AC88" s="757" t="s">
        <v>1324</v>
      </c>
      <c r="AD88" s="742"/>
      <c r="AE88" s="742" t="s">
        <v>789</v>
      </c>
      <c r="AF88" s="264"/>
      <c r="AG88" s="264">
        <f>IF(AND(method_reg="Метод индексации",first_year=god),_xlfn.SUMIFS('Калькуляция (МИ)'!$AG$25:$AG$315,'Калькуляция (МИ)'!$F$25:$F$315,$F88,'Калькуляция (МИ)'!$G$25:$G$315,$G88),_xlfn.SUMIFS('Калькуляция (МИ корр)'!$AG$25:$AG$315,'Калькуляция (МИ корр)'!$F$25:$F$315,$F88,'Калькуляция (МИ корр)'!$G$25:$G$315,$G88))</f>
        <v>0</v>
      </c>
      <c r="AH88" s="822"/>
      <c r="AI88" s="1363"/>
      <c r="AJ88" s="1363"/>
      <c r="AK88" s="1363"/>
      <c r="AL88" s="974" t="s">
        <v>1325</v>
      </c>
      <c r="AM88" s="1363"/>
      <c r="AN88" s="1363"/>
      <c r="AO88" s="1363"/>
      <c r="AP88" s="1363"/>
      <c r="AQ88" s="1363"/>
    </row>
    <row s="1624" customFormat="1" customHeight="1" ht="14.25">
      <c r="A89" s="1363"/>
      <c r="B89" s="1369"/>
      <c r="C89" s="1363"/>
      <c r="D89" s="1363"/>
      <c r="E89" s="593">
        <v>15</v>
      </c>
      <c r="F89" s="50" cm="1" t="str">
        <f t="array" ref="F89:F89">OFFSET(E89,-1,1)</f>
        <v>1</v>
      </c>
      <c r="G89" s="73" t="s">
        <v>1326</v>
      </c>
      <c r="H89" s="51"/>
      <c r="I89" s="466" t="s">
        <v>1327</v>
      </c>
      <c r="J89" s="1363"/>
      <c r="K89" s="90"/>
      <c r="L89" s="90"/>
      <c r="M89" s="90"/>
      <c r="N89" s="1363"/>
      <c r="O89" s="1363"/>
      <c r="P89" s="1363"/>
      <c r="Q89" s="1363"/>
      <c r="R89" s="1363"/>
      <c r="S89" s="1353"/>
      <c r="T89" s="438" cm="1" t="str">
        <f t="array" ref="T89:T89">T88</f>
        <v>true</v>
      </c>
      <c r="U89" s="1363"/>
      <c r="V89" s="1363"/>
      <c r="W89" s="1363"/>
      <c r="X89" s="1511"/>
      <c r="Y89" s="1363"/>
      <c r="Z89" s="1494"/>
      <c r="AA89" s="1363"/>
      <c r="AB89" s="760" t="s">
        <v>1328</v>
      </c>
      <c r="AC89" s="757" t="s">
        <v>1329</v>
      </c>
      <c r="AD89" s="742"/>
      <c r="AE89" s="742" t="s">
        <v>789</v>
      </c>
      <c r="AF89" s="264"/>
      <c r="AG89" s="264">
        <f>IF(AND(method_reg="Метод индексации",first_year=god),_xlfn.SUMIFS('Калькуляция (МИ)'!$AG$25:$AG$315,'Калькуляция (МИ)'!$F$25:$F$315,$F89,'Калькуляция (МИ)'!$G$25:$G$315,$G89),_xlfn.SUMIFS('Калькуляция (МИ корр)'!$AG$25:$AG$315,'Калькуляция (МИ корр)'!$F$25:$F$315,$F89,'Калькуляция (МИ корр)'!$G$25:$G$315,$G89))</f>
        <v>0</v>
      </c>
      <c r="AH89" s="822"/>
      <c r="AI89" s="1363"/>
      <c r="AJ89" s="1363"/>
      <c r="AK89" s="1363"/>
      <c r="AL89" s="974" t="s">
        <v>1330</v>
      </c>
      <c r="AM89" s="1363"/>
      <c r="AN89" s="1363"/>
      <c r="AO89" s="1363"/>
      <c r="AP89" s="1363"/>
      <c r="AQ89" s="1363"/>
    </row>
    <row s="1624" customFormat="1" customHeight="1" ht="21.75">
      <c r="A90" s="1363"/>
      <c r="B90" s="1369"/>
      <c r="C90" s="1363"/>
      <c r="D90" s="1363"/>
      <c r="E90" s="593">
        <v>22.5</v>
      </c>
      <c r="F90" s="50" cm="1" t="str">
        <f t="array" ref="F90:F90">OFFSET(E90,-1,1)</f>
        <v>1</v>
      </c>
      <c r="G90" s="73" t="s">
        <v>1331</v>
      </c>
      <c r="H90" s="51"/>
      <c r="I90" s="466" t="s">
        <v>1332</v>
      </c>
      <c r="J90" s="1363"/>
      <c r="K90" s="90"/>
      <c r="L90" s="90"/>
      <c r="M90" s="90"/>
      <c r="N90" s="1363"/>
      <c r="O90" s="1363"/>
      <c r="P90" s="1363"/>
      <c r="Q90" s="1363"/>
      <c r="R90" s="1363"/>
      <c r="S90" s="1353"/>
      <c r="T90" s="438" cm="1" t="str">
        <f t="array" ref="T90:T90">T89</f>
        <v>true</v>
      </c>
      <c r="U90" s="1363"/>
      <c r="V90" s="1363"/>
      <c r="W90" s="1363"/>
      <c r="X90" s="1511"/>
      <c r="Y90" s="1363"/>
      <c r="Z90" s="1494"/>
      <c r="AA90" s="1363"/>
      <c r="AB90" s="760" t="s">
        <v>1333</v>
      </c>
      <c r="AC90" s="757" t="s">
        <v>1334</v>
      </c>
      <c r="AD90" s="742"/>
      <c r="AE90" s="742" t="s">
        <v>789</v>
      </c>
      <c r="AF90" s="264"/>
      <c r="AG90" s="264">
        <f>IF(AND(method_reg="Метод индексации",first_year=god),_xlfn.SUMIFS('Калькуляция (МИ)'!$AG$25:$AG$315,'Калькуляция (МИ)'!$F$25:$F$315,$F90,'Калькуляция (МИ)'!$G$25:$G$315,$G90),_xlfn.SUMIFS('Калькуляция (МИ корр)'!$AG$25:$AG$315,'Калькуляция (МИ корр)'!$F$25:$F$315,$F90,'Калькуляция (МИ корр)'!$G$25:$G$315,$G90))</f>
        <v>0</v>
      </c>
      <c r="AH90" s="822"/>
      <c r="AI90" s="1363"/>
      <c r="AJ90" s="1363"/>
      <c r="AK90" s="1363"/>
      <c r="AL90" s="974" t="s">
        <v>1335</v>
      </c>
      <c r="AM90" s="1363"/>
      <c r="AN90" s="1363"/>
      <c r="AO90" s="1363"/>
      <c r="AP90" s="1363"/>
      <c r="AQ90" s="1363"/>
    </row>
    <row s="1624" customFormat="1" customHeight="1" ht="21.75">
      <c r="A91" s="1363"/>
      <c r="B91" s="1369"/>
      <c r="C91" s="1363"/>
      <c r="D91" s="1363"/>
      <c r="E91" s="593">
        <v>22.5</v>
      </c>
      <c r="F91" s="50" cm="1" t="str">
        <f t="array" ref="F91:F91">OFFSET(E91,-1,1)</f>
        <v>1</v>
      </c>
      <c r="G91" s="73" t="s">
        <v>1336</v>
      </c>
      <c r="H91" s="51"/>
      <c r="I91" s="466" t="s">
        <v>1337</v>
      </c>
      <c r="J91" s="1363"/>
      <c r="K91" s="90"/>
      <c r="L91" s="90"/>
      <c r="M91" s="90"/>
      <c r="N91" s="1363"/>
      <c r="O91" s="1363"/>
      <c r="P91" s="1363"/>
      <c r="Q91" s="1363"/>
      <c r="R91" s="1363"/>
      <c r="S91" s="1353"/>
      <c r="T91" s="438" cm="1" t="str">
        <f t="array" ref="T91:T91">T90</f>
        <v>true</v>
      </c>
      <c r="U91" s="1363"/>
      <c r="V91" s="1363"/>
      <c r="W91" s="1363"/>
      <c r="X91" s="1511"/>
      <c r="Y91" s="1363"/>
      <c r="Z91" s="1494"/>
      <c r="AA91" s="1363"/>
      <c r="AB91" s="760" t="s">
        <v>1338</v>
      </c>
      <c r="AC91" s="757" t="s">
        <v>1339</v>
      </c>
      <c r="AD91" s="911"/>
      <c r="AE91" s="742" t="s">
        <v>789</v>
      </c>
      <c r="AF91" s="264"/>
      <c r="AG91" s="264">
        <f>IF(AND(method_reg="Метод индексации",first_year=god),_xlfn.SUMIFS('Калькуляция (МИ)'!$AG$25:$AG$315,'Калькуляция (МИ)'!$F$25:$F$315,$F91,'Калькуляция (МИ)'!$G$25:$G$315,$G91),_xlfn.SUMIFS('Калькуляция (МИ корр)'!$AG$25:$AG$315,'Калькуляция (МИ корр)'!$F$25:$F$315,$F91,'Калькуляция (МИ корр)'!$G$25:$G$315,$G91))</f>
        <v>0</v>
      </c>
      <c r="AH91" s="822"/>
      <c r="AI91" s="1363"/>
      <c r="AJ91" s="1363"/>
      <c r="AK91" s="1363"/>
      <c r="AL91" s="974" t="s">
        <v>1340</v>
      </c>
      <c r="AM91" s="1363"/>
      <c r="AN91" s="1363"/>
      <c r="AO91" s="1363"/>
      <c r="AP91" s="1363"/>
      <c r="AQ91" s="1363"/>
    </row>
    <row s="1624" customFormat="1" customHeight="1" ht="21.75">
      <c r="A92" s="1363"/>
      <c r="B92" s="1369"/>
      <c r="C92" s="1363"/>
      <c r="D92" s="1363"/>
      <c r="E92" s="593">
        <v>22.5</v>
      </c>
      <c r="F92" s="50" cm="1" t="str">
        <f t="array" ref="F92:F92">OFFSET(E92,-1,1)</f>
        <v>1</v>
      </c>
      <c r="G92" s="73" t="s">
        <v>1341</v>
      </c>
      <c r="H92" s="51"/>
      <c r="I92" s="466" t="s">
        <v>1342</v>
      </c>
      <c r="J92" s="1363"/>
      <c r="K92" s="90"/>
      <c r="L92" s="90"/>
      <c r="M92" s="90"/>
      <c r="N92" s="1363"/>
      <c r="O92" s="1363"/>
      <c r="P92" s="1363"/>
      <c r="Q92" s="1363"/>
      <c r="R92" s="1363"/>
      <c r="S92" s="1353"/>
      <c r="T92" s="438" cm="1" t="str">
        <f t="array" ref="T92:T92">T91</f>
        <v>true</v>
      </c>
      <c r="U92" s="1363"/>
      <c r="V92" s="1363"/>
      <c r="W92" s="1363"/>
      <c r="X92" s="1511"/>
      <c r="Y92" s="1363"/>
      <c r="Z92" s="1494"/>
      <c r="AA92" s="1363"/>
      <c r="AB92" s="760" t="s">
        <v>1343</v>
      </c>
      <c r="AC92" s="757" t="s">
        <v>1344</v>
      </c>
      <c r="AD92" s="911"/>
      <c r="AE92" s="742" t="s">
        <v>789</v>
      </c>
      <c r="AF92" s="264"/>
      <c r="AG92" s="264">
        <f>IF(AND(method_reg="Метод индексации",first_year=god),_xlfn.SUMIFS('Калькуляция (МИ)'!$AG$25:$AG$315,'Калькуляция (МИ)'!$F$25:$F$315,$F92,'Калькуляция (МИ)'!$G$25:$G$315,$G92),_xlfn.SUMIFS('Калькуляция (МИ корр)'!$AG$25:$AG$315,'Калькуляция (МИ корр)'!$F$25:$F$315,$F92,'Калькуляция (МИ корр)'!$G$25:$G$315,$G92))</f>
        <v>0</v>
      </c>
      <c r="AH92" s="822"/>
      <c r="AI92" s="1363"/>
      <c r="AJ92" s="1363"/>
      <c r="AK92" s="1363"/>
      <c r="AL92" s="974" t="s">
        <v>1345</v>
      </c>
      <c r="AM92" s="1363"/>
      <c r="AN92" s="1363"/>
      <c r="AO92" s="1363"/>
      <c r="AP92" s="1363"/>
      <c r="AQ92" s="1363"/>
    </row>
    <row s="1624" customFormat="1" customHeight="1" ht="14.25">
      <c r="A93" s="1363"/>
      <c r="B93" s="1369"/>
      <c r="C93" s="1363"/>
      <c r="D93" s="1363"/>
      <c r="E93" s="593">
        <v>15</v>
      </c>
      <c r="F93" s="50" cm="1" t="str">
        <f t="array" ref="F93:F93">OFFSET(E93,-1,1)</f>
        <v>1</v>
      </c>
      <c r="G93" s="73" t="s">
        <v>1346</v>
      </c>
      <c r="H93" s="51"/>
      <c r="I93" s="466" t="s">
        <v>1347</v>
      </c>
      <c r="J93" s="1363"/>
      <c r="K93" s="90"/>
      <c r="L93" s="90"/>
      <c r="M93" s="90"/>
      <c r="N93" s="1363"/>
      <c r="O93" s="1363"/>
      <c r="P93" s="1363"/>
      <c r="Q93" s="1363"/>
      <c r="R93" s="1363"/>
      <c r="S93" s="1353"/>
      <c r="T93" s="438" cm="1" t="str">
        <f t="array" ref="T93:T93">T92</f>
        <v>true</v>
      </c>
      <c r="U93" s="1363"/>
      <c r="V93" s="1363"/>
      <c r="W93" s="1363"/>
      <c r="X93" s="1511"/>
      <c r="Y93" s="1363"/>
      <c r="Z93" s="1494"/>
      <c r="AA93" s="1363"/>
      <c r="AB93" s="760" t="s">
        <v>1348</v>
      </c>
      <c r="AC93" s="757" t="s">
        <v>1349</v>
      </c>
      <c r="AD93" s="911"/>
      <c r="AE93" s="742" t="s">
        <v>789</v>
      </c>
      <c r="AF93" s="264"/>
      <c r="AG93" s="264">
        <f>IF(AND(method_reg="Метод индексации",first_year=god),_xlfn.SUMIFS('Калькуляция (МИ)'!$AG$25:$AG$315,'Калькуляция (МИ)'!$F$25:$F$315,$F93,'Калькуляция (МИ)'!$G$25:$G$315,$G93),_xlfn.SUMIFS('Калькуляция (МИ корр)'!$AG$25:$AG$315,'Калькуляция (МИ корр)'!$F$25:$F$315,$F93,'Калькуляция (МИ корр)'!$G$25:$G$315,$G93))</f>
        <v>0</v>
      </c>
      <c r="AH93" s="822"/>
      <c r="AI93" s="1363"/>
      <c r="AJ93" s="1363"/>
      <c r="AK93" s="1363"/>
      <c r="AL93" s="974" t="s">
        <v>1350</v>
      </c>
      <c r="AM93" s="1363"/>
      <c r="AN93" s="1363"/>
      <c r="AO93" s="1363"/>
      <c r="AP93" s="1363"/>
      <c r="AQ93" s="1363"/>
    </row>
    <row s="1624" customFormat="1" customHeight="1" ht="21.75">
      <c r="A94" s="1363"/>
      <c r="B94" s="1369"/>
      <c r="C94" s="1363"/>
      <c r="D94" s="1363"/>
      <c r="E94" s="593">
        <v>22.5</v>
      </c>
      <c r="F94" s="50" cm="1" t="str">
        <f t="array" ref="F94:F94">OFFSET(E94,-1,1)</f>
        <v>1</v>
      </c>
      <c r="G94" s="73" t="s">
        <v>1351</v>
      </c>
      <c r="H94" s="51"/>
      <c r="I94" s="466" t="s">
        <v>1352</v>
      </c>
      <c r="J94" s="1363"/>
      <c r="K94" s="90"/>
      <c r="L94" s="90"/>
      <c r="M94" s="90"/>
      <c r="N94" s="1363"/>
      <c r="O94" s="1363"/>
      <c r="P94" s="1363"/>
      <c r="Q94" s="1363"/>
      <c r="R94" s="1363"/>
      <c r="S94" s="1353"/>
      <c r="T94" s="438" cm="1" t="str">
        <f t="array" ref="T94:T94">T93</f>
        <v>true</v>
      </c>
      <c r="U94" s="1363"/>
      <c r="V94" s="1363"/>
      <c r="W94" s="1363"/>
      <c r="X94" s="1511"/>
      <c r="Y94" s="1363"/>
      <c r="Z94" s="1494"/>
      <c r="AA94" s="1363"/>
      <c r="AB94" s="760" t="s">
        <v>1353</v>
      </c>
      <c r="AC94" s="757" t="s">
        <v>1354</v>
      </c>
      <c r="AD94" s="911"/>
      <c r="AE94" s="742" t="s">
        <v>789</v>
      </c>
      <c r="AF94" s="264"/>
      <c r="AG94" s="264">
        <f>IF(AND(method_reg="Метод индексации",first_year=god),_xlfn.SUMIFS('Калькуляция (МИ)'!$AG$25:$AG$315,'Калькуляция (МИ)'!$F$25:$F$315,$F94,'Калькуляция (МИ)'!$G$25:$G$315,$G94),_xlfn.SUMIFS('Калькуляция (МИ корр)'!$AG$25:$AG$315,'Калькуляция (МИ корр)'!$F$25:$F$315,$F94,'Калькуляция (МИ корр)'!$G$25:$G$315,$G94))</f>
        <v>0</v>
      </c>
      <c r="AH94" s="822"/>
      <c r="AI94" s="1363"/>
      <c r="AJ94" s="1363"/>
      <c r="AK94" s="1363"/>
      <c r="AL94" s="974" t="s">
        <v>1355</v>
      </c>
      <c r="AM94" s="1363"/>
      <c r="AN94" s="1363"/>
      <c r="AO94" s="1363"/>
      <c r="AP94" s="1363"/>
      <c r="AQ94" s="1363"/>
    </row>
    <row s="1624" customFormat="1" customHeight="1" ht="14.25">
      <c r="A95" s="1363"/>
      <c r="B95" s="1369"/>
      <c r="C95" s="1363"/>
      <c r="D95" s="1363"/>
      <c r="E95" s="593">
        <v>15</v>
      </c>
      <c r="F95" s="50" cm="1" t="str">
        <f t="array" ref="F95:F95">OFFSET(E95,-1,1)</f>
        <v>1</v>
      </c>
      <c r="G95" s="398"/>
      <c r="H95" s="51"/>
      <c r="I95" s="398" t="s">
        <v>1215</v>
      </c>
      <c r="J95" s="1363"/>
      <c r="K95" s="90"/>
      <c r="L95" s="90"/>
      <c r="M95" s="90"/>
      <c r="N95" s="1363"/>
      <c r="O95" s="1363"/>
      <c r="P95" s="1363"/>
      <c r="Q95" s="1363"/>
      <c r="R95" s="1363"/>
      <c r="S95" s="1353"/>
      <c r="T95" s="438" cm="1" t="str">
        <f t="array" ref="T95:T95">T94</f>
        <v>true</v>
      </c>
      <c r="U95" s="1363"/>
      <c r="V95" s="1363"/>
      <c r="W95" s="1363"/>
      <c r="X95" s="1511"/>
      <c r="Y95" s="1363"/>
      <c r="Z95" s="1494"/>
      <c r="AA95" s="1363"/>
      <c r="AB95" s="265" t="s">
        <v>517</v>
      </c>
      <c r="AC95" s="738" t="s">
        <v>1356</v>
      </c>
      <c r="AD95" s="266" t="s">
        <v>1357</v>
      </c>
      <c r="AE95" s="742" t="s">
        <v>789</v>
      </c>
      <c r="AF95" s="264">
        <f>AF96*AF97*AF98</f>
        <v>0</v>
      </c>
      <c r="AG95" s="264">
        <f>AG96*AG97*AG98</f>
        <v>0</v>
      </c>
      <c r="AH95" s="822"/>
      <c r="AI95" s="1363"/>
      <c r="AJ95" s="1363"/>
      <c r="AK95" s="1363"/>
      <c r="AL95" s="974" t="s">
        <v>1358</v>
      </c>
      <c r="AM95" s="1363"/>
      <c r="AN95" s="1363"/>
      <c r="AO95" s="1363"/>
      <c r="AP95" s="1363"/>
      <c r="AQ95" s="1363"/>
    </row>
    <row s="1624" customFormat="1" customHeight="1" ht="21.75">
      <c r="A96" s="1363"/>
      <c r="B96" s="1369"/>
      <c r="C96" s="1363"/>
      <c r="D96" s="1363"/>
      <c r="E96" s="593">
        <v>22.5</v>
      </c>
      <c r="F96" s="50" cm="1" t="str">
        <f t="array" ref="F96:F96">OFFSET(E96,-1,1)</f>
        <v>1</v>
      </c>
      <c r="G96" s="398"/>
      <c r="H96" s="51"/>
      <c r="I96" s="398" t="s">
        <v>1359</v>
      </c>
      <c r="J96" s="1363"/>
      <c r="K96" s="90"/>
      <c r="L96" s="90"/>
      <c r="M96" s="90"/>
      <c r="N96" s="1363"/>
      <c r="O96" s="1363"/>
      <c r="P96" s="1363"/>
      <c r="Q96" s="1363"/>
      <c r="R96" s="1363"/>
      <c r="S96" s="1353"/>
      <c r="T96" s="438" cm="1" t="str">
        <f t="array" ref="T96:T96">T95</f>
        <v>true</v>
      </c>
      <c r="U96" s="1363"/>
      <c r="V96" s="1363"/>
      <c r="W96" s="1363"/>
      <c r="X96" s="1511"/>
      <c r="Y96" s="1363"/>
      <c r="Z96" s="1494"/>
      <c r="AA96" s="1363"/>
      <c r="AB96" s="265" t="s">
        <v>471</v>
      </c>
      <c r="AC96" s="741" t="s">
        <v>1360</v>
      </c>
      <c r="AD96" s="266" t="s">
        <v>1361</v>
      </c>
      <c r="AE96" s="742" t="s">
        <v>806</v>
      </c>
      <c r="AF96" s="264"/>
      <c r="AG96" s="264">
        <f>_xlfn.SUMIFS(ЭЭ!AG$25:AG$67,ЭЭ!$F$25:$F$67,$F96,ЭЭ!$AC$25:$AC$67,"Удельный расход электроэнергии")</f>
        <v>0</v>
      </c>
      <c r="AH96" s="822"/>
      <c r="AI96" s="1363"/>
      <c r="AJ96" s="1363"/>
      <c r="AK96" s="1363"/>
      <c r="AL96" s="974" t="s">
        <v>1362</v>
      </c>
      <c r="AM96" s="1363"/>
      <c r="AN96" s="1363"/>
      <c r="AO96" s="1363"/>
      <c r="AP96" s="1363"/>
      <c r="AQ96" s="1363"/>
    </row>
    <row s="1624" customFormat="1" customHeight="1" ht="14.25">
      <c r="A97" s="1363"/>
      <c r="B97" s="1369"/>
      <c r="C97" s="1363"/>
      <c r="D97" s="1363"/>
      <c r="E97" s="593">
        <v>15</v>
      </c>
      <c r="F97" s="50" cm="1" t="str">
        <f t="array" ref="F97:F97">OFFSET(E97,-1,1)</f>
        <v>1</v>
      </c>
      <c r="G97" s="398"/>
      <c r="H97" s="51"/>
      <c r="I97" s="398" t="s">
        <v>1363</v>
      </c>
      <c r="J97" s="1363"/>
      <c r="K97" s="90"/>
      <c r="L97" s="90"/>
      <c r="M97" s="90"/>
      <c r="N97" s="1363"/>
      <c r="O97" s="1363"/>
      <c r="P97" s="1363"/>
      <c r="Q97" s="1363"/>
      <c r="R97" s="1363"/>
      <c r="S97" s="1353"/>
      <c r="T97" s="438" cm="1" t="str">
        <f t="array" ref="T97:T97">T96</f>
        <v>true</v>
      </c>
      <c r="U97" s="1363"/>
      <c r="V97" s="1363"/>
      <c r="W97" s="1363"/>
      <c r="X97" s="1511"/>
      <c r="Y97" s="1363"/>
      <c r="Z97" s="1494"/>
      <c r="AA97" s="1363"/>
      <c r="AB97" s="265" t="s">
        <v>1364</v>
      </c>
      <c r="AC97" s="741" t="s">
        <v>1365</v>
      </c>
      <c r="AD97" s="266" t="s">
        <v>1366</v>
      </c>
      <c r="AE97" s="742" t="s">
        <v>800</v>
      </c>
      <c r="AF97" s="264"/>
      <c r="AG97" s="264">
        <f>_xlfn.SUMIFS(ЭЭ!AG$25:AG$67,ЭЭ!$F$25:$F$67,$F96,ЭЭ!$AC$25:$AC$67,"Объём воды/сточных вод")</f>
        <v>0</v>
      </c>
      <c r="AH97" s="822"/>
      <c r="AI97" s="1363"/>
      <c r="AJ97" s="1363"/>
      <c r="AK97" s="1363"/>
      <c r="AL97" s="974" t="s">
        <v>1367</v>
      </c>
      <c r="AM97" s="1363"/>
      <c r="AN97" s="1363"/>
      <c r="AO97" s="1363"/>
      <c r="AP97" s="1363"/>
      <c r="AQ97" s="1363"/>
    </row>
    <row s="1624" customFormat="1" customHeight="1" ht="21.75">
      <c r="A98" s="1363"/>
      <c r="B98" s="1369"/>
      <c r="C98" s="1363"/>
      <c r="D98" s="1363"/>
      <c r="E98" s="593">
        <v>22.5</v>
      </c>
      <c r="F98" s="50" cm="1" t="str">
        <f t="array" ref="F98:F98">OFFSET(E98,-1,1)</f>
        <v>1</v>
      </c>
      <c r="G98" s="398"/>
      <c r="H98" s="51"/>
      <c r="I98" s="398" t="s">
        <v>1368</v>
      </c>
      <c r="J98" s="1363"/>
      <c r="K98" s="90"/>
      <c r="L98" s="90"/>
      <c r="M98" s="90"/>
      <c r="N98" s="1363"/>
      <c r="O98" s="1363"/>
      <c r="P98" s="1363"/>
      <c r="Q98" s="1363"/>
      <c r="R98" s="1363"/>
      <c r="S98" s="1353"/>
      <c r="T98" s="438" cm="1" t="str">
        <f t="array" ref="T98:T98">T97</f>
        <v>true</v>
      </c>
      <c r="U98" s="1363"/>
      <c r="V98" s="1363"/>
      <c r="W98" s="1363"/>
      <c r="X98" s="1511"/>
      <c r="Y98" s="1363"/>
      <c r="Z98" s="1494"/>
      <c r="AA98" s="1363"/>
      <c r="AB98" s="265" t="s">
        <v>1369</v>
      </c>
      <c r="AC98" s="741" t="s">
        <v>1370</v>
      </c>
      <c r="AD98" s="266" t="s">
        <v>1371</v>
      </c>
      <c r="AE98" s="742" t="s">
        <v>803</v>
      </c>
      <c r="AF98" s="264"/>
      <c r="AG98" s="264">
        <f>_xlfn.SUMIFS(ЭЭ!AG$25:AG$67,ЭЭ!$F$25:$F$67,$F96,ЭЭ!$AC$25:$AC$67,"Средний (расчетный) тариф")</f>
        <v>0</v>
      </c>
      <c r="AH98" s="822"/>
      <c r="AI98" s="1363"/>
      <c r="AJ98" s="1363"/>
      <c r="AK98" s="1363"/>
      <c r="AL98" s="974" t="s">
        <v>1372</v>
      </c>
      <c r="AM98" s="1363"/>
      <c r="AN98" s="1363"/>
      <c r="AO98" s="1363"/>
      <c r="AP98" s="1363"/>
      <c r="AQ98" s="1363"/>
    </row>
    <row s="1624" customFormat="1" customHeight="1" ht="21.75">
      <c r="A99" s="1363"/>
      <c r="B99" s="1369"/>
      <c r="C99" s="1363"/>
      <c r="D99" s="1363"/>
      <c r="E99" s="593">
        <v>22.5</v>
      </c>
      <c r="F99" s="50" cm="1" t="str">
        <f t="array" ref="F99:F99">OFFSET(E99,-1,1)</f>
        <v>1</v>
      </c>
      <c r="G99" s="398" t="s">
        <v>1373</v>
      </c>
      <c r="H99" s="51"/>
      <c r="I99" s="398" t="s">
        <v>1374</v>
      </c>
      <c r="J99" s="1363"/>
      <c r="K99" s="90"/>
      <c r="L99" s="90"/>
      <c r="M99" s="90"/>
      <c r="N99" s="1363"/>
      <c r="O99" s="1363"/>
      <c r="P99" s="1363"/>
      <c r="Q99" s="1363"/>
      <c r="R99" s="1363"/>
      <c r="S99" s="1353"/>
      <c r="T99" s="438" cm="1" t="str">
        <f t="array" ref="T99:T99">T98</f>
        <v>true</v>
      </c>
      <c r="U99" s="1363"/>
      <c r="V99" s="1363"/>
      <c r="W99" s="1363"/>
      <c r="X99" s="1511"/>
      <c r="Y99" s="1363"/>
      <c r="Z99" s="1494"/>
      <c r="AA99" s="1363"/>
      <c r="AB99" s="265" t="s">
        <v>867</v>
      </c>
      <c r="AC99" s="738" t="s">
        <v>1375</v>
      </c>
      <c r="AD99" s="266" t="s">
        <v>1376</v>
      </c>
      <c r="AE99" s="742" t="s">
        <v>789</v>
      </c>
      <c r="AF99" s="264"/>
      <c r="AG99" s="264">
        <f>IF(AND(method_reg="Метод индексации",first_year=god),_xlfn.SUMIFS('Калькуляция (МИ)'!$AG$25:$AG$315,'Калькуляция (МИ)'!$F$25:$F$315,$F99,'Калькуляция (МИ)'!$G$25:$G$315,$G99),_xlfn.SUMIFS('Калькуляция (МИ корр)'!$AG$25:$AG$315,'Калькуляция (МИ корр)'!$F$25:$F$315,$F99,'Калькуляция (МИ корр)'!$G$25:$G$315,$G99))</f>
        <v>0</v>
      </c>
      <c r="AH99" s="822"/>
      <c r="AI99" s="1363"/>
      <c r="AJ99" s="1363"/>
      <c r="AK99" s="1363"/>
      <c r="AL99" s="974" t="s">
        <v>1118</v>
      </c>
      <c r="AM99" s="1363"/>
      <c r="AN99" s="1363"/>
      <c r="AO99" s="1363"/>
      <c r="AP99" s="1363"/>
      <c r="AQ99" s="1363"/>
    </row>
    <row s="1624" customFormat="1" customHeight="1" ht="14.25">
      <c r="A100" s="1363"/>
      <c r="B100" s="1369"/>
      <c r="C100" s="1363"/>
      <c r="D100" s="1363"/>
      <c r="E100" s="593">
        <v>15</v>
      </c>
      <c r="F100" s="50" cm="1" t="str">
        <f t="array" ref="F100:F100">OFFSET(E100,-1,1)</f>
        <v>1</v>
      </c>
      <c r="G100" s="398" t="s">
        <v>1377</v>
      </c>
      <c r="H100" s="51"/>
      <c r="I100" s="398" t="s">
        <v>1378</v>
      </c>
      <c r="J100" s="1363"/>
      <c r="K100" s="90"/>
      <c r="L100" s="90"/>
      <c r="M100" s="90"/>
      <c r="N100" s="1363"/>
      <c r="O100" s="1363"/>
      <c r="P100" s="1363"/>
      <c r="Q100" s="1363"/>
      <c r="R100" s="1363"/>
      <c r="S100" s="1353"/>
      <c r="T100" s="438" cm="1" t="str">
        <f t="array" ref="T100:T100">T99</f>
        <v>true</v>
      </c>
      <c r="U100" s="1363"/>
      <c r="V100" s="1363"/>
      <c r="W100" s="1363"/>
      <c r="X100" s="1511"/>
      <c r="Y100" s="1363"/>
      <c r="Z100" s="1494"/>
      <c r="AA100" s="1363"/>
      <c r="AB100" s="265" t="s">
        <v>870</v>
      </c>
      <c r="AC100" s="912" t="s">
        <v>1379</v>
      </c>
      <c r="AD100" s="266" t="s">
        <v>1380</v>
      </c>
      <c r="AE100" s="742" t="s">
        <v>789</v>
      </c>
      <c r="AF100" s="264"/>
      <c r="AG100" s="264">
        <f>IF(AND(method_reg="Метод индексации",first_year=god),_xlfn.SUMIFS('Калькуляция (МИ)'!$AE$25:$AE$315,'Калькуляция (МИ)'!$F$25:$F$315,$F100,'Калькуляция (МИ)'!$G$25:$G$315,"Нормативная прибыль")-_xlfn.SUMIFS('Калькуляция (МИ)'!$AE$25:$AE$315,'Калькуляция (МИ)'!$F$25:$F$315,$F100,'Калькуляция (МИ)'!$G$25:$G$315,"иные экономически обоснованные расходы на социальные нужды")+_xlfn.SUMIFS('Калькуляция (МИ)'!$AG$25:$AG$315,'Калькуляция (МИ)'!$F$25:$F$315,$F100,'Калькуляция (МИ)'!$G$25:$G$315,"иные экономически обоснованные расходы на социальные нужды"),_xlfn.SUMIFS('Калькуляция (МИ корр)'!$AE$25:$AE$315,'Калькуляция (МИ корр)'!$F$25:$F$315,$F100,'Калькуляция (МИ корр)'!$G$25:$G$315,"Нормативная прибыль")-_xlfn.SUMIFS('Калькуляция (МИ корр)'!$AE$25:$AE$315,'Калькуляция (МИ корр)'!$F$25:$F$315,$F100,'Калькуляция (МИ корр)'!$G$25:$G$315,"иные экономически обоснованные расходы на социальные нужды")+_xlfn.SUMIFS('Калькуляция (МИ корр)'!$AG$25:$AG$315,'Калькуляция (МИ корр)'!$F$25:$F$315,$F100,'Калькуляция (МИ корр)'!$G$25:$G$315,"иные экономически обоснованные расходы на социальные нужды"))</f>
        <v>0</v>
      </c>
      <c r="AH100" s="822"/>
      <c r="AI100" s="1363"/>
      <c r="AJ100" s="1363"/>
      <c r="AK100" s="1363"/>
      <c r="AL100" s="974" t="s">
        <v>1381</v>
      </c>
      <c r="AM100" s="1363"/>
      <c r="AN100" s="1363"/>
      <c r="AO100" s="1363"/>
      <c r="AP100" s="1363"/>
      <c r="AQ100" s="1363"/>
    </row>
    <row s="1624" customFormat="1" customHeight="1" ht="14.25">
      <c r="A101" s="1363"/>
      <c r="B101" s="1369"/>
      <c r="C101" s="1363"/>
      <c r="D101" s="1363"/>
      <c r="E101" s="593">
        <v>15</v>
      </c>
      <c r="F101" s="50" cm="1" t="str">
        <f t="array" ref="F101:F101">OFFSET(E101,-1,1)</f>
        <v>1</v>
      </c>
      <c r="G101" s="73" t="s">
        <v>1382</v>
      </c>
      <c r="H101" s="51"/>
      <c r="I101" s="466" t="s">
        <v>1383</v>
      </c>
      <c r="J101" s="1363"/>
      <c r="K101" s="90"/>
      <c r="L101" s="90"/>
      <c r="M101" s="90"/>
      <c r="N101" s="1363"/>
      <c r="O101" s="1363"/>
      <c r="P101" s="1363"/>
      <c r="Q101" s="1363"/>
      <c r="R101" s="1363"/>
      <c r="S101" s="1353"/>
      <c r="T101" s="438" cm="1" t="str">
        <f t="array" ref="T101:T101">T100</f>
        <v>true</v>
      </c>
      <c r="U101" s="1363"/>
      <c r="V101" s="1363"/>
      <c r="W101" s="1363"/>
      <c r="X101" s="1511"/>
      <c r="Y101" s="1363"/>
      <c r="Z101" s="1494"/>
      <c r="AA101" s="1363"/>
      <c r="AB101" s="265" t="s">
        <v>1384</v>
      </c>
      <c r="AC101" s="738" t="s">
        <v>1385</v>
      </c>
      <c r="AD101" s="266" t="s">
        <v>1386</v>
      </c>
      <c r="AE101" s="742" t="s">
        <v>789</v>
      </c>
      <c r="AF101" s="264"/>
      <c r="AG101" s="264">
        <f>IF(AND(method_reg="Метод индексации",first_year=god),_xlfn.SUMIFS('Калькуляция (МИ)'!$AG$25:$AG$315,'Калькуляция (МИ)'!$F$25:$F$315,$F101,'Калькуляция (МИ)'!$G$25:$G$315,$G101),_xlfn.SUMIFS('Калькуляция (МИ корр)'!$AG$25:$AG$315,'Калькуляция (МИ корр)'!$F$25:$F$315,$F101,'Калькуляция (МИ корр)'!$G$25:$G$315,$G101))</f>
        <v>0</v>
      </c>
      <c r="AH101" s="822"/>
      <c r="AI101" s="1363"/>
      <c r="AJ101" s="1363"/>
      <c r="AK101" s="1363"/>
      <c r="AL101" s="974" t="s">
        <v>1387</v>
      </c>
      <c r="AM101" s="1363"/>
      <c r="AN101" s="1363"/>
      <c r="AO101" s="1363"/>
      <c r="AP101" s="1363"/>
      <c r="AQ101" s="1363"/>
    </row>
    <row s="1624" customFormat="1" customHeight="1" ht="21.75">
      <c r="A102" s="1363"/>
      <c r="B102" s="1369"/>
      <c r="C102" s="1363"/>
      <c r="D102" s="1363"/>
      <c r="E102" s="593">
        <v>22.5</v>
      </c>
      <c r="F102" s="50" cm="1" t="str">
        <f t="array" ref="F102:F102">OFFSET(E102,-1,1)</f>
        <v>1</v>
      </c>
      <c r="G102" s="73"/>
      <c r="H102" s="51"/>
      <c r="I102" s="398" t="s">
        <v>1388</v>
      </c>
      <c r="J102" s="1363"/>
      <c r="K102" s="90"/>
      <c r="L102" s="90"/>
      <c r="M102" s="90"/>
      <c r="N102" s="1363"/>
      <c r="O102" s="1363"/>
      <c r="P102" s="1363"/>
      <c r="Q102" s="1363"/>
      <c r="R102" s="1363"/>
      <c r="S102" s="1353"/>
      <c r="T102" s="438" cm="1" t="str">
        <f t="array" ref="T102:T102">T101</f>
        <v>true</v>
      </c>
      <c r="U102" s="1363"/>
      <c r="V102" s="1363"/>
      <c r="W102" s="1363"/>
      <c r="X102" s="1511"/>
      <c r="Y102" s="1363"/>
      <c r="Z102" s="1494"/>
      <c r="AA102" s="1363"/>
      <c r="AB102" s="265" t="s">
        <v>1389</v>
      </c>
      <c r="AC102" s="738" t="s">
        <v>1390</v>
      </c>
      <c r="AD102" s="266"/>
      <c r="AE102" s="742" t="s">
        <v>789</v>
      </c>
      <c r="AF102" s="264">
        <f>AF103+AF104+AF105</f>
        <v>0</v>
      </c>
      <c r="AG102" s="264">
        <f>AG103+AG104+AG105</f>
        <v>0</v>
      </c>
      <c r="AH102" s="822"/>
      <c r="AI102" s="1363"/>
      <c r="AJ102" s="1363"/>
      <c r="AK102" s="1363"/>
      <c r="AL102" s="974" t="s">
        <v>1391</v>
      </c>
      <c r="AM102" s="1363"/>
      <c r="AN102" s="1363"/>
      <c r="AO102" s="1363"/>
      <c r="AP102" s="1363"/>
      <c r="AQ102" s="1363"/>
    </row>
    <row s="1624" customFormat="1" customHeight="1" ht="21.75">
      <c r="A103" s="1363"/>
      <c r="B103" s="1369"/>
      <c r="C103" s="1363"/>
      <c r="D103" s="1363"/>
      <c r="E103" s="593">
        <v>22.5</v>
      </c>
      <c r="F103" s="50" cm="1" t="str">
        <f t="array" ref="F103:F103">OFFSET(E103,-1,1)</f>
        <v>1</v>
      </c>
      <c r="G103" s="398"/>
      <c r="H103" s="51"/>
      <c r="I103" s="398" t="s">
        <v>1392</v>
      </c>
      <c r="J103" s="1363"/>
      <c r="K103" s="90"/>
      <c r="L103" s="90"/>
      <c r="M103" s="90"/>
      <c r="N103" s="1363"/>
      <c r="O103" s="1363"/>
      <c r="P103" s="1363"/>
      <c r="Q103" s="1363"/>
      <c r="R103" s="1363"/>
      <c r="S103" s="1353"/>
      <c r="T103" s="438" cm="1" t="str">
        <f t="array" ref="T103:T103">T102</f>
        <v>true</v>
      </c>
      <c r="U103" s="1363"/>
      <c r="V103" s="1363"/>
      <c r="W103" s="1363"/>
      <c r="X103" s="1511"/>
      <c r="Y103" s="1363"/>
      <c r="Z103" s="1494"/>
      <c r="AA103" s="1363"/>
      <c r="AB103" s="265" t="s">
        <v>1393</v>
      </c>
      <c r="AC103" s="741" t="s">
        <v>1394</v>
      </c>
      <c r="AD103" s="266" t="s">
        <v>1395</v>
      </c>
      <c r="AE103" s="742" t="s">
        <v>789</v>
      </c>
      <c r="AF103" s="264"/>
      <c r="AG103" s="264"/>
      <c r="AH103" s="822"/>
      <c r="AI103" s="1363"/>
      <c r="AJ103" s="1363"/>
      <c r="AK103" s="1363"/>
      <c r="AL103" s="974" t="s">
        <v>1396</v>
      </c>
      <c r="AM103" s="1363"/>
      <c r="AN103" s="1363"/>
      <c r="AO103" s="1363"/>
      <c r="AP103" s="1363"/>
      <c r="AQ103" s="1363"/>
    </row>
    <row s="1624" customFormat="1" customHeight="1" ht="14.25">
      <c r="A104" s="1363"/>
      <c r="B104" s="1369"/>
      <c r="C104" s="1363"/>
      <c r="D104" s="1363"/>
      <c r="E104" s="593">
        <v>15</v>
      </c>
      <c r="F104" s="50" cm="1" t="str">
        <f t="array" ref="F104:F104">OFFSET(E104,-1,1)</f>
        <v>1</v>
      </c>
      <c r="G104" s="398"/>
      <c r="H104" s="51"/>
      <c r="I104" s="398" t="s">
        <v>1397</v>
      </c>
      <c r="J104" s="1363"/>
      <c r="K104" s="90"/>
      <c r="L104" s="90"/>
      <c r="M104" s="90"/>
      <c r="N104" s="1363"/>
      <c r="O104" s="1363"/>
      <c r="P104" s="1363"/>
      <c r="Q104" s="1363"/>
      <c r="R104" s="1363"/>
      <c r="S104" s="1353"/>
      <c r="T104" s="438" cm="1" t="str">
        <f t="array" ref="T104:T104">T103</f>
        <v>true</v>
      </c>
      <c r="U104" s="1363"/>
      <c r="V104" s="1363"/>
      <c r="W104" s="1363"/>
      <c r="X104" s="1511"/>
      <c r="Y104" s="1363"/>
      <c r="Z104" s="1494"/>
      <c r="AA104" s="1363"/>
      <c r="AB104" s="265" t="s">
        <v>1398</v>
      </c>
      <c r="AC104" s="741" t="s">
        <v>1399</v>
      </c>
      <c r="AD104" s="266" t="s">
        <v>1400</v>
      </c>
      <c r="AE104" s="742" t="s">
        <v>789</v>
      </c>
      <c r="AF104" s="264"/>
      <c r="AG104" s="264"/>
      <c r="AH104" s="822"/>
      <c r="AI104" s="1363"/>
      <c r="AJ104" s="1363"/>
      <c r="AK104" s="1363"/>
      <c r="AL104" s="974" t="s">
        <v>1401</v>
      </c>
      <c r="AM104" s="1363"/>
      <c r="AN104" s="1363"/>
      <c r="AO104" s="1363"/>
      <c r="AP104" s="1363"/>
      <c r="AQ104" s="1363"/>
    </row>
    <row s="1624" customFormat="1" customHeight="1" ht="43.5">
      <c r="A105" s="1363"/>
      <c r="B105" s="1369"/>
      <c r="C105" s="1363"/>
      <c r="D105" s="1363"/>
      <c r="E105" s="593">
        <v>45</v>
      </c>
      <c r="F105" s="50" cm="1" t="str">
        <f t="array" ref="F105:F105">OFFSET(E105,-1,1)</f>
        <v>1</v>
      </c>
      <c r="G105" s="398"/>
      <c r="H105" s="51"/>
      <c r="I105" s="398" t="s">
        <v>1402</v>
      </c>
      <c r="J105" s="1363"/>
      <c r="K105" s="90"/>
      <c r="L105" s="90"/>
      <c r="M105" s="90"/>
      <c r="N105" s="1363"/>
      <c r="O105" s="1363"/>
      <c r="P105" s="1363"/>
      <c r="Q105" s="1363"/>
      <c r="R105" s="1363"/>
      <c r="S105" s="1353"/>
      <c r="T105" s="438" cm="1" t="str">
        <f t="array" ref="T105:T105">T104</f>
        <v>true</v>
      </c>
      <c r="U105" s="1363"/>
      <c r="V105" s="1363"/>
      <c r="W105" s="1363"/>
      <c r="X105" s="1511"/>
      <c r="Y105" s="1363"/>
      <c r="Z105" s="1494"/>
      <c r="AA105" s="1363"/>
      <c r="AB105" s="265" t="s">
        <v>1403</v>
      </c>
      <c r="AC105" s="741" t="s">
        <v>1404</v>
      </c>
      <c r="AD105" s="742" t="s">
        <v>1405</v>
      </c>
      <c r="AE105" s="742" t="s">
        <v>789</v>
      </c>
      <c r="AF105" s="264"/>
      <c r="AG105" s="264"/>
      <c r="AH105" s="822"/>
      <c r="AI105" s="1363"/>
      <c r="AJ105" s="1363"/>
      <c r="AK105" s="1363"/>
      <c r="AL105" s="974" t="s">
        <v>1406</v>
      </c>
      <c r="AM105" s="1363"/>
      <c r="AN105" s="1363"/>
      <c r="AO105" s="1363"/>
      <c r="AP105" s="1363"/>
      <c r="AQ105" s="1363"/>
    </row>
    <row s="1624" customFormat="1" customHeight="1" ht="21.75">
      <c r="A106" s="1363"/>
      <c r="B106" s="1369"/>
      <c r="C106" s="1363"/>
      <c r="D106" s="1363"/>
      <c r="E106" s="593">
        <v>22.5</v>
      </c>
      <c r="F106" s="50" cm="1" t="str">
        <f t="array" ref="F106:F106">OFFSET(E106,-1,1)</f>
        <v>1</v>
      </c>
      <c r="G106" s="398"/>
      <c r="H106" s="51"/>
      <c r="I106" s="398" t="s">
        <v>1407</v>
      </c>
      <c r="J106" s="1363"/>
      <c r="K106" s="90"/>
      <c r="L106" s="90"/>
      <c r="M106" s="90"/>
      <c r="N106" s="1363"/>
      <c r="O106" s="1363"/>
      <c r="P106" s="1363"/>
      <c r="Q106" s="1363"/>
      <c r="R106" s="1363"/>
      <c r="S106" s="1353"/>
      <c r="T106" s="438" cm="1" t="str">
        <f t="array" ref="T106:T106">T105</f>
        <v>true</v>
      </c>
      <c r="U106" s="1363"/>
      <c r="V106" s="1363"/>
      <c r="W106" s="1363"/>
      <c r="X106" s="1511"/>
      <c r="Y106" s="1363"/>
      <c r="Z106" s="1494"/>
      <c r="AA106" s="1363"/>
      <c r="AB106" s="265" t="s">
        <v>1408</v>
      </c>
      <c r="AC106" s="738" t="s">
        <v>1409</v>
      </c>
      <c r="AD106" s="742" t="s">
        <v>1410</v>
      </c>
      <c r="AE106" s="742" t="s">
        <v>789</v>
      </c>
      <c r="AF106" s="264"/>
      <c r="AG106" s="264"/>
      <c r="AH106" s="822"/>
      <c r="AI106" s="1363"/>
      <c r="AJ106" s="1363"/>
      <c r="AK106" s="1363"/>
      <c r="AL106" s="974" t="s">
        <v>1411</v>
      </c>
      <c r="AM106" s="1363"/>
      <c r="AN106" s="1363"/>
      <c r="AO106" s="1363"/>
      <c r="AP106" s="1363"/>
      <c r="AQ106" s="1363"/>
    </row>
    <row s="1624" customFormat="1" customHeight="1" ht="76.5">
      <c r="A107" s="1363"/>
      <c r="B107" s="400">
        <f>S78="Водоотведение"</f>
        <v>1</v>
      </c>
      <c r="C107" s="1363"/>
      <c r="D107" s="1363"/>
      <c r="E107" s="593">
        <v>78.75</v>
      </c>
      <c r="F107" s="50" cm="1" t="str">
        <f t="array" ref="F107:F107">OFFSET(E107,-1,1)</f>
        <v>1</v>
      </c>
      <c r="G107" s="398"/>
      <c r="H107" s="51"/>
      <c r="I107" s="398"/>
      <c r="J107" s="1363"/>
      <c r="K107" s="90"/>
      <c r="L107" s="90"/>
      <c r="M107" s="90"/>
      <c r="N107" s="1363"/>
      <c r="O107" s="1363"/>
      <c r="P107" s="1363"/>
      <c r="Q107" s="1363"/>
      <c r="R107" s="1363"/>
      <c r="S107" s="1353"/>
      <c r="T107" s="438" cm="1" t="str">
        <f t="array" ref="T107:T107">T106</f>
        <v>true</v>
      </c>
      <c r="U107" s="1363"/>
      <c r="V107" s="1363"/>
      <c r="W107" s="1363"/>
      <c r="X107" s="1511"/>
      <c r="Y107" s="1363"/>
      <c r="Z107" s="1494"/>
      <c r="AA107" s="1363"/>
      <c r="AB107" s="265" t="s">
        <v>1412</v>
      </c>
      <c r="AC107" s="738" t="s">
        <v>1413</v>
      </c>
      <c r="AD107" s="742"/>
      <c r="AE107" s="742" t="s">
        <v>789</v>
      </c>
      <c r="AF107" s="264"/>
      <c r="AG107" s="264"/>
      <c r="AH107" s="822"/>
      <c r="AI107" s="1363"/>
      <c r="AJ107" s="1363"/>
      <c r="AK107" s="1363"/>
      <c r="AL107" s="974" t="s">
        <v>1414</v>
      </c>
      <c r="AM107" s="1363"/>
      <c r="AN107" s="1363"/>
      <c r="AO107" s="1363"/>
      <c r="AP107" s="1363"/>
      <c r="AQ107" s="1363"/>
    </row>
    <row s="1624" customFormat="1" customHeight="1" ht="54.75">
      <c r="A108" s="1363"/>
      <c r="B108" s="400" cm="1" t="str">
        <f t="array" ref="B108:B108">B107</f>
        <v>true</v>
      </c>
      <c r="C108" s="1363"/>
      <c r="D108" s="1363"/>
      <c r="E108" s="593">
        <v>56.25</v>
      </c>
      <c r="F108" s="50" cm="1" t="str">
        <f t="array" ref="F108:F108">OFFSET(E108,-1,1)</f>
        <v>1</v>
      </c>
      <c r="G108" s="398"/>
      <c r="H108" s="51"/>
      <c r="I108" s="398"/>
      <c r="J108" s="1363"/>
      <c r="K108" s="90"/>
      <c r="L108" s="90"/>
      <c r="M108" s="90"/>
      <c r="N108" s="1363"/>
      <c r="O108" s="1363"/>
      <c r="P108" s="1363"/>
      <c r="Q108" s="1363"/>
      <c r="R108" s="1363"/>
      <c r="S108" s="1353"/>
      <c r="T108" s="438" cm="1" t="str">
        <f t="array" ref="T108:T108">T107</f>
        <v>true</v>
      </c>
      <c r="U108" s="1363"/>
      <c r="V108" s="1363"/>
      <c r="W108" s="1363"/>
      <c r="X108" s="1511"/>
      <c r="Y108" s="1363"/>
      <c r="Z108" s="1494"/>
      <c r="AA108" s="1363"/>
      <c r="AB108" s="265" t="s">
        <v>1415</v>
      </c>
      <c r="AC108" s="738" t="s">
        <v>1416</v>
      </c>
      <c r="AD108" s="742"/>
      <c r="AE108" s="742" t="s">
        <v>789</v>
      </c>
      <c r="AF108" s="264"/>
      <c r="AG108" s="264"/>
      <c r="AH108" s="822"/>
      <c r="AI108" s="1363"/>
      <c r="AJ108" s="1363"/>
      <c r="AK108" s="1363"/>
      <c r="AL108" s="974" t="s">
        <v>1242</v>
      </c>
      <c r="AM108" s="1363"/>
      <c r="AN108" s="1363"/>
      <c r="AO108" s="1363"/>
      <c r="AP108" s="1363"/>
      <c r="AQ108" s="1363"/>
    </row>
    <row s="1624" customFormat="1" customHeight="1" ht="14.25">
      <c r="A109" s="1363"/>
      <c r="B109" s="1369"/>
      <c r="C109" s="1363"/>
      <c r="D109" s="1363"/>
      <c r="E109" s="593">
        <v>15</v>
      </c>
      <c r="F109" s="50" cm="1" t="str">
        <f t="array" ref="F109:F109">OFFSET(E109,-1,1)</f>
        <v>1</v>
      </c>
      <c r="G109" s="398"/>
      <c r="H109" s="51"/>
      <c r="I109" s="398"/>
      <c r="J109" s="1363"/>
      <c r="K109" s="90"/>
      <c r="L109" s="90"/>
      <c r="M109" s="90"/>
      <c r="N109" s="1363"/>
      <c r="O109" s="1363"/>
      <c r="P109" s="1363"/>
      <c r="Q109" s="1363"/>
      <c r="R109" s="1363"/>
      <c r="S109" s="1353"/>
      <c r="T109" s="438" cm="1" t="str">
        <f t="array" ref="T109:T109">T108</f>
        <v>true</v>
      </c>
      <c r="U109" s="1363"/>
      <c r="V109" s="1363"/>
      <c r="W109" s="1363"/>
      <c r="X109" s="1511"/>
      <c r="Y109" s="1363"/>
      <c r="Z109" s="1494"/>
      <c r="AA109" s="1363"/>
      <c r="AB109" s="266" t="str">
        <f>IF(B108,"2.12","2.10")</f>
        <v>2.12</v>
      </c>
      <c r="AC109" s="738" t="s">
        <v>1417</v>
      </c>
      <c r="AD109" s="742" t="s">
        <v>1418</v>
      </c>
      <c r="AE109" s="742" t="s">
        <v>789</v>
      </c>
      <c r="AF109" s="264">
        <f>AF110+AF111</f>
        <v>0</v>
      </c>
      <c r="AG109" s="264">
        <f>AG110+AG111</f>
        <v>0</v>
      </c>
      <c r="AH109" s="822"/>
      <c r="AI109" s="1363"/>
      <c r="AJ109" s="1363"/>
      <c r="AK109" s="1363"/>
      <c r="AL109" s="974" t="s">
        <v>1419</v>
      </c>
      <c r="AM109" s="1363"/>
      <c r="AN109" s="1363"/>
      <c r="AO109" s="1363"/>
      <c r="AP109" s="1363"/>
      <c r="AQ109" s="1363"/>
    </row>
    <row s="1624" customFormat="1" customHeight="1" ht="21.75">
      <c r="A110" s="1363"/>
      <c r="B110" s="1369"/>
      <c r="C110" s="1363"/>
      <c r="D110" s="1363"/>
      <c r="E110" s="593">
        <v>22.5</v>
      </c>
      <c r="F110" s="50" cm="1" t="str">
        <f t="array" ref="F110:F110">OFFSET(E110,-1,1)</f>
        <v>1</v>
      </c>
      <c r="G110" s="398"/>
      <c r="H110" s="51"/>
      <c r="I110" s="398"/>
      <c r="J110" s="1363"/>
      <c r="K110" s="90"/>
      <c r="L110" s="90"/>
      <c r="M110" s="90"/>
      <c r="N110" s="1363"/>
      <c r="O110" s="1363"/>
      <c r="P110" s="1363"/>
      <c r="Q110" s="1363"/>
      <c r="R110" s="1363"/>
      <c r="S110" s="1353"/>
      <c r="T110" s="438" cm="1" t="str">
        <f t="array" ref="T110:T110">T109</f>
        <v>true</v>
      </c>
      <c r="U110" s="1363"/>
      <c r="V110" s="1363"/>
      <c r="W110" s="1363"/>
      <c r="X110" s="1511"/>
      <c r="Y110" s="1363"/>
      <c r="Z110" s="1494"/>
      <c r="AA110" s="1363"/>
      <c r="AB110" s="266" t="str">
        <f>AB109&amp;".1"</f>
        <v>2.12.1</v>
      </c>
      <c r="AC110" s="738" t="s">
        <v>1420</v>
      </c>
      <c r="AD110" s="742" t="s">
        <v>1418</v>
      </c>
      <c r="AE110" s="742" t="s">
        <v>789</v>
      </c>
      <c r="AF110" s="264"/>
      <c r="AG110" s="264"/>
      <c r="AH110" s="822"/>
      <c r="AI110" s="1363"/>
      <c r="AJ110" s="1363"/>
      <c r="AK110" s="1363"/>
      <c r="AL110" s="974" t="s">
        <v>1421</v>
      </c>
      <c r="AM110" s="1363"/>
      <c r="AN110" s="1363"/>
      <c r="AO110" s="1363"/>
      <c r="AP110" s="1363"/>
      <c r="AQ110" s="1363"/>
    </row>
    <row s="1624" customFormat="1" customHeight="1" ht="21.75">
      <c r="A111" s="1363"/>
      <c r="B111" s="1369"/>
      <c r="C111" s="1363"/>
      <c r="D111" s="1363"/>
      <c r="E111" s="593">
        <v>22.5</v>
      </c>
      <c r="F111" s="50" cm="1" t="str">
        <f t="array" ref="F111:F111">OFFSET(E111,-1,1)</f>
        <v>1</v>
      </c>
      <c r="G111" s="398"/>
      <c r="H111" s="51"/>
      <c r="I111" s="398"/>
      <c r="J111" s="1363"/>
      <c r="K111" s="90"/>
      <c r="L111" s="90"/>
      <c r="M111" s="90"/>
      <c r="N111" s="1363"/>
      <c r="O111" s="1363"/>
      <c r="P111" s="1363"/>
      <c r="Q111" s="1363"/>
      <c r="R111" s="1363"/>
      <c r="S111" s="1353"/>
      <c r="T111" s="438" cm="1" t="str">
        <f t="array" ref="T111:T111">T110</f>
        <v>true</v>
      </c>
      <c r="U111" s="1363"/>
      <c r="V111" s="1363"/>
      <c r="W111" s="1363"/>
      <c r="X111" s="1511"/>
      <c r="Y111" s="1363"/>
      <c r="Z111" s="1494"/>
      <c r="AA111" s="1363"/>
      <c r="AB111" s="266" t="str">
        <f>AB109&amp;".2"</f>
        <v>2.12.2</v>
      </c>
      <c r="AC111" s="738" t="s">
        <v>1422</v>
      </c>
      <c r="AD111" s="742" t="s">
        <v>1418</v>
      </c>
      <c r="AE111" s="742" t="s">
        <v>789</v>
      </c>
      <c r="AF111" s="264"/>
      <c r="AG111" s="264"/>
      <c r="AH111" s="822"/>
      <c r="AI111" s="1363"/>
      <c r="AJ111" s="1363"/>
      <c r="AK111" s="1363"/>
      <c r="AL111" s="974" t="s">
        <v>1423</v>
      </c>
      <c r="AM111" s="1363"/>
      <c r="AN111" s="1363"/>
      <c r="AO111" s="1363"/>
      <c r="AP111" s="1363"/>
      <c r="AQ111" s="1363"/>
    </row>
    <row s="1624" customFormat="1" customHeight="1" ht="14.25">
      <c r="A112" s="1363"/>
      <c r="B112" s="1369"/>
      <c r="C112" s="1363"/>
      <c r="D112" s="1363"/>
      <c r="E112" s="593">
        <v>15</v>
      </c>
      <c r="F112" s="50" cm="1" t="str">
        <f t="array" ref="F112:F112">OFFSET(E112,-1,1)</f>
        <v>1</v>
      </c>
      <c r="G112" s="398"/>
      <c r="H112" s="51"/>
      <c r="I112" s="398"/>
      <c r="J112" s="1363"/>
      <c r="K112" s="90"/>
      <c r="L112" s="90"/>
      <c r="M112" s="90"/>
      <c r="N112" s="1363"/>
      <c r="O112" s="1363"/>
      <c r="P112" s="1363"/>
      <c r="Q112" s="1363"/>
      <c r="R112" s="1363"/>
      <c r="S112" s="1353"/>
      <c r="T112" s="438" cm="1" t="str">
        <f t="array" ref="T112:T112">T111</f>
        <v>true</v>
      </c>
      <c r="U112" s="1363"/>
      <c r="V112" s="1363"/>
      <c r="W112" s="1363"/>
      <c r="X112" s="1511"/>
      <c r="Y112" s="1363"/>
      <c r="Z112" s="1494"/>
      <c r="AA112" s="1363"/>
      <c r="AB112" s="266" t="str">
        <f>IF(B108,"2.13","2.11")</f>
        <v>2.13</v>
      </c>
      <c r="AC112" s="738" t="s">
        <v>1424</v>
      </c>
      <c r="AD112" s="742" t="s">
        <v>1418</v>
      </c>
      <c r="AE112" s="742" t="s">
        <v>789</v>
      </c>
      <c r="AF112" s="264"/>
      <c r="AG112" s="264"/>
      <c r="AH112" s="822"/>
      <c r="AI112" s="1363"/>
      <c r="AJ112" s="1363"/>
      <c r="AK112" s="1363"/>
      <c r="AL112" s="974" t="s">
        <v>1425</v>
      </c>
      <c r="AM112" s="1363"/>
      <c r="AN112" s="1363"/>
      <c r="AO112" s="1363"/>
      <c r="AP112" s="1363"/>
      <c r="AQ112" s="1363"/>
    </row>
    <row s="1624" customFormat="1" customHeight="1" ht="14.25">
      <c r="A113" s="1363"/>
      <c r="B113" s="1369"/>
      <c r="C113" s="1363"/>
      <c r="D113" s="1363"/>
      <c r="E113" s="593">
        <v>15</v>
      </c>
      <c r="F113" s="50" cm="1" t="str">
        <f t="array" ref="F113:F113">OFFSET(E113,-1,1)</f>
        <v>1</v>
      </c>
      <c r="G113" s="398"/>
      <c r="H113" s="51"/>
      <c r="I113" s="398"/>
      <c r="J113" s="1363"/>
      <c r="K113" s="90"/>
      <c r="L113" s="90"/>
      <c r="M113" s="90"/>
      <c r="N113" s="1363"/>
      <c r="O113" s="1363"/>
      <c r="P113" s="1363"/>
      <c r="Q113" s="1363"/>
      <c r="R113" s="1363"/>
      <c r="S113" s="1353"/>
      <c r="T113" s="438" cm="1" t="str">
        <f t="array" ref="T113:T113">T112</f>
        <v>true</v>
      </c>
      <c r="U113" s="1363"/>
      <c r="V113" s="1363"/>
      <c r="W113" s="1363"/>
      <c r="X113" s="1511"/>
      <c r="Y113" s="1363"/>
      <c r="Z113" s="1494"/>
      <c r="AA113" s="1363"/>
      <c r="AB113" s="266" t="str">
        <f>IF(B108,"2.14","2.12")</f>
        <v>2.14</v>
      </c>
      <c r="AC113" s="738" t="s">
        <v>1426</v>
      </c>
      <c r="AD113" s="742" t="s">
        <v>1418</v>
      </c>
      <c r="AE113" s="742" t="s">
        <v>789</v>
      </c>
      <c r="AF113" s="264"/>
      <c r="AG113" s="264"/>
      <c r="AH113" s="822"/>
      <c r="AI113" s="1363"/>
      <c r="AJ113" s="1363"/>
      <c r="AK113" s="1363"/>
      <c r="AL113" s="974" t="s">
        <v>1427</v>
      </c>
      <c r="AM113" s="1363"/>
      <c r="AN113" s="1363"/>
      <c r="AO113" s="1363"/>
      <c r="AP113" s="1363"/>
      <c r="AQ113" s="1363"/>
    </row>
    <row s="2865" customFormat="1" customHeight="1" ht="21.75">
      <c r="A114" s="674"/>
      <c r="B114" s="403"/>
      <c r="C114" s="674"/>
      <c r="D114" s="674"/>
      <c r="E114" s="667">
        <v>22.5</v>
      </c>
      <c r="F114" s="50" cm="1" t="str">
        <f t="array" ref="F114:F114">OFFSET(E114,-1,1)</f>
        <v>1</v>
      </c>
      <c r="G114" s="113"/>
      <c r="H114" s="113"/>
      <c r="I114" s="398" t="s">
        <v>322</v>
      </c>
      <c r="J114" s="674"/>
      <c r="K114" s="470"/>
      <c r="L114" s="470"/>
      <c r="M114" s="470"/>
      <c r="N114" s="674"/>
      <c r="O114" s="674"/>
      <c r="P114" s="674"/>
      <c r="Q114" s="674"/>
      <c r="R114" s="674"/>
      <c r="S114" s="674"/>
      <c r="T114" s="438" cm="1" t="str">
        <f t="array" ref="T114:T114">T113</f>
        <v>true</v>
      </c>
      <c r="U114" s="674"/>
      <c r="V114" s="674"/>
      <c r="W114" s="674"/>
      <c r="X114" s="1511"/>
      <c r="Y114" s="674"/>
      <c r="Z114" s="1494"/>
      <c r="AA114" s="674"/>
      <c r="AB114" s="177" t="s">
        <v>1428</v>
      </c>
      <c r="AC114" s="178" t="s">
        <v>1429</v>
      </c>
      <c r="AD114" s="177" t="s">
        <v>1291</v>
      </c>
      <c r="AE114" s="200" t="s">
        <v>789</v>
      </c>
      <c r="AF114" s="820" cm="1" t="str">
        <f t="array" ref="AF114:AF114">AF115</f>
        <v>0</v>
      </c>
      <c r="AG114" s="820" cm="1" t="str">
        <f t="array" ref="AG114:AG114">AG115</f>
        <v>0</v>
      </c>
      <c r="AH114" s="821"/>
      <c r="AI114" s="674"/>
      <c r="AJ114" s="674"/>
      <c r="AK114" s="674"/>
      <c r="AL114" s="1028" t="s">
        <v>1430</v>
      </c>
      <c r="AM114" s="674"/>
      <c r="AN114" s="674"/>
      <c r="AO114" s="674"/>
      <c r="AP114" s="674"/>
      <c r="AQ114" s="674"/>
    </row>
    <row s="1624" customFormat="1" customHeight="1" ht="32.25">
      <c r="A115" s="1363"/>
      <c r="B115" s="1369"/>
      <c r="C115" s="1363"/>
      <c r="D115" s="1363"/>
      <c r="E115" s="593">
        <v>33.75</v>
      </c>
      <c r="F115" s="50" cm="1" t="str">
        <f t="array" ref="F115:F115">OFFSET(E115,-1,1)</f>
        <v>1</v>
      </c>
      <c r="G115" s="398"/>
      <c r="H115" s="51"/>
      <c r="I115" s="398" t="s">
        <v>452</v>
      </c>
      <c r="J115" s="1363"/>
      <c r="K115" s="90"/>
      <c r="L115" s="90"/>
      <c r="M115" s="90"/>
      <c r="N115" s="1363"/>
      <c r="O115" s="1363"/>
      <c r="P115" s="1363"/>
      <c r="Q115" s="1363"/>
      <c r="R115" s="1363"/>
      <c r="S115" s="1353"/>
      <c r="T115" s="438" cm="1" t="str">
        <f t="array" ref="T115:T115">T114</f>
        <v>true</v>
      </c>
      <c r="U115" s="1363"/>
      <c r="V115" s="1363"/>
      <c r="W115" s="1363"/>
      <c r="X115" s="1511"/>
      <c r="Y115" s="1363"/>
      <c r="Z115" s="1494"/>
      <c r="AA115" s="1363"/>
      <c r="AB115" s="265" t="s">
        <v>281</v>
      </c>
      <c r="AC115" s="424" t="s">
        <v>1431</v>
      </c>
      <c r="AD115" s="266" t="s">
        <v>1432</v>
      </c>
      <c r="AE115" s="742" t="s">
        <v>789</v>
      </c>
      <c r="AF115" s="910">
        <f>AF116+AF117</f>
        <v>0</v>
      </c>
      <c r="AG115" s="910">
        <f>AG116+AG117</f>
        <v>0</v>
      </c>
      <c r="AH115" s="822"/>
      <c r="AI115" s="1363"/>
      <c r="AJ115" s="1363"/>
      <c r="AK115" s="1363"/>
      <c r="AL115" s="974" t="s">
        <v>1433</v>
      </c>
      <c r="AM115" s="1363"/>
      <c r="AN115" s="1363"/>
      <c r="AO115" s="1363"/>
      <c r="AP115" s="1363"/>
      <c r="AQ115" s="1363"/>
    </row>
    <row s="1624" customFormat="1" customHeight="1" ht="43.5">
      <c r="A116" s="1363"/>
      <c r="B116" s="1369"/>
      <c r="C116" s="1363"/>
      <c r="D116" s="1363"/>
      <c r="E116" s="593">
        <v>45</v>
      </c>
      <c r="F116" s="50" cm="1" t="str">
        <f t="array" ref="F116:F116">OFFSET(E116,-1,1)</f>
        <v>1</v>
      </c>
      <c r="G116" s="398"/>
      <c r="H116" s="51"/>
      <c r="I116" s="398" t="s">
        <v>1434</v>
      </c>
      <c r="J116" s="1363"/>
      <c r="K116" s="90"/>
      <c r="L116" s="90"/>
      <c r="M116" s="90"/>
      <c r="N116" s="1363"/>
      <c r="O116" s="1363"/>
      <c r="P116" s="1363"/>
      <c r="Q116" s="1363"/>
      <c r="R116" s="1363"/>
      <c r="S116" s="1353"/>
      <c r="T116" s="438" cm="1" t="str">
        <f t="array" ref="T116:T116">T115</f>
        <v>true</v>
      </c>
      <c r="U116" s="1363"/>
      <c r="V116" s="1363"/>
      <c r="W116" s="1363"/>
      <c r="X116" s="1511"/>
      <c r="Y116" s="1363"/>
      <c r="Z116" s="1494"/>
      <c r="AA116" s="1363"/>
      <c r="AB116" s="265" t="s">
        <v>844</v>
      </c>
      <c r="AC116" s="738" t="s">
        <v>1435</v>
      </c>
      <c r="AD116" s="266" t="s">
        <v>1436</v>
      </c>
      <c r="AE116" s="742" t="s">
        <v>789</v>
      </c>
      <c r="AF116" s="264"/>
      <c r="AG116" s="264"/>
      <c r="AH116" s="822"/>
      <c r="AI116" s="1363"/>
      <c r="AJ116" s="1363"/>
      <c r="AK116" s="1363"/>
      <c r="AL116" s="974" t="s">
        <v>1437</v>
      </c>
      <c r="AM116" s="1363"/>
      <c r="AN116" s="1363"/>
      <c r="AO116" s="1363"/>
      <c r="AP116" s="1363"/>
      <c r="AQ116" s="1363"/>
    </row>
    <row s="1624" customFormat="1" customHeight="1" ht="32.25">
      <c r="A117" s="1363"/>
      <c r="B117" s="1369"/>
      <c r="C117" s="1363"/>
      <c r="D117" s="1363"/>
      <c r="E117" s="593">
        <v>33.75</v>
      </c>
      <c r="F117" s="50" cm="1" t="str">
        <f t="array" ref="F117:F117">OFFSET(E117,-1,1)</f>
        <v>1</v>
      </c>
      <c r="G117" s="398"/>
      <c r="H117" s="51"/>
      <c r="I117" s="398" t="s">
        <v>1438</v>
      </c>
      <c r="J117" s="1363"/>
      <c r="K117" s="90"/>
      <c r="L117" s="90"/>
      <c r="M117" s="90"/>
      <c r="N117" s="1363"/>
      <c r="O117" s="1363"/>
      <c r="P117" s="1363"/>
      <c r="Q117" s="1363"/>
      <c r="R117" s="1363"/>
      <c r="S117" s="1353"/>
      <c r="T117" s="438" cm="1" t="str">
        <f t="array" ref="T117:T117">T116</f>
        <v>true</v>
      </c>
      <c r="U117" s="1363"/>
      <c r="V117" s="1363"/>
      <c r="W117" s="1363"/>
      <c r="X117" s="1511"/>
      <c r="Y117" s="1363"/>
      <c r="Z117" s="1494"/>
      <c r="AA117" s="1363"/>
      <c r="AB117" s="265" t="s">
        <v>847</v>
      </c>
      <c r="AC117" s="738" t="s">
        <v>1439</v>
      </c>
      <c r="AD117" s="266" t="s">
        <v>1440</v>
      </c>
      <c r="AE117" s="742" t="s">
        <v>789</v>
      </c>
      <c r="AF117" s="264"/>
      <c r="AG117" s="264"/>
      <c r="AH117" s="822"/>
      <c r="AI117" s="1363"/>
      <c r="AJ117" s="1363"/>
      <c r="AK117" s="1363"/>
      <c r="AL117" s="974" t="s">
        <v>1441</v>
      </c>
      <c r="AM117" s="1363"/>
      <c r="AN117" s="1363"/>
      <c r="AO117" s="1363"/>
      <c r="AP117" s="1363"/>
      <c r="AQ117" s="1363"/>
    </row>
    <row s="1624" customFormat="1" customHeight="1" ht="33.75">
      <c r="A118" s="1363"/>
      <c r="B118" s="1369"/>
      <c r="C118" s="1363"/>
      <c r="D118" s="1363"/>
      <c r="E118" s="593">
        <v>35</v>
      </c>
      <c r="F118" s="50" cm="1" t="str">
        <f t="array" ref="F118:F118">OFFSET(E118,-1,1)</f>
        <v>1</v>
      </c>
      <c r="G118" s="398"/>
      <c r="H118" s="51"/>
      <c r="I118" s="398" t="s">
        <v>323</v>
      </c>
      <c r="J118" s="1363"/>
      <c r="K118" s="90" t="str">
        <f>F118&amp;"1komm"</f>
        <v>11komm</v>
      </c>
      <c r="L118" s="895" cm="1" t="str">
        <f t="array" ref="L118:L118">AH118</f>
        <v>0</v>
      </c>
      <c r="M118" s="90"/>
      <c r="N118" s="1363"/>
      <c r="O118" s="1363"/>
      <c r="P118" s="1363"/>
      <c r="Q118" s="1363"/>
      <c r="R118" s="1363"/>
      <c r="S118" s="1353"/>
      <c r="T118" s="438" cm="1" t="str">
        <f t="array" ref="T118:T118">T117</f>
        <v>true</v>
      </c>
      <c r="U118" s="1363"/>
      <c r="V118" s="1363"/>
      <c r="W118" s="1363"/>
      <c r="X118" s="1511"/>
      <c r="Y118" s="1363"/>
      <c r="Z118" s="1494"/>
      <c r="AA118" s="1363"/>
      <c r="AB118" s="200" t="s">
        <v>1442</v>
      </c>
      <c r="AC118" s="178" t="s">
        <v>1443</v>
      </c>
      <c r="AD118" s="177" t="s">
        <v>1444</v>
      </c>
      <c r="AE118" s="200" t="s">
        <v>789</v>
      </c>
      <c r="AF118" s="348"/>
      <c r="AG118" s="348"/>
      <c r="AH118" s="822"/>
      <c r="AI118" s="1363"/>
      <c r="AJ118" s="1363"/>
      <c r="AK118" s="1363"/>
      <c r="AL118" s="974" t="s">
        <v>1445</v>
      </c>
      <c r="AM118" s="1363"/>
      <c r="AN118" s="1363"/>
      <c r="AO118" s="1363"/>
      <c r="AP118" s="1363"/>
      <c r="AQ118" s="1363"/>
    </row>
    <row s="1624" customFormat="1" customHeight="1" ht="107.25">
      <c r="A119" s="1363"/>
      <c r="B119" s="1369"/>
      <c r="C119" s="1363"/>
      <c r="D119" s="1363"/>
      <c r="E119" s="593">
        <v>110</v>
      </c>
      <c r="F119" s="50" cm="1" t="str">
        <f t="array" ref="F119:F119">OFFSET(E119,-1,1)</f>
        <v>1</v>
      </c>
      <c r="G119" s="398"/>
      <c r="H119" s="51"/>
      <c r="I119" s="398" t="s">
        <v>325</v>
      </c>
      <c r="J119" s="1363"/>
      <c r="K119" s="90" t="str">
        <f>F119&amp;"2komm"</f>
        <v>12komm</v>
      </c>
      <c r="L119" s="895" cm="1" t="str">
        <f t="array" ref="L119:L119">AH119</f>
        <v>0</v>
      </c>
      <c r="M119" s="90"/>
      <c r="N119" s="1363"/>
      <c r="O119" s="1363"/>
      <c r="P119" s="1363"/>
      <c r="Q119" s="1363"/>
      <c r="R119" s="1363"/>
      <c r="S119" s="1353"/>
      <c r="T119" s="438" cm="1" t="str">
        <f t="array" ref="T119:T119">T118</f>
        <v>true</v>
      </c>
      <c r="U119" s="1363"/>
      <c r="V119" s="1363"/>
      <c r="W119" s="1363"/>
      <c r="X119" s="1511"/>
      <c r="Y119" s="1363"/>
      <c r="Z119" s="1494"/>
      <c r="AA119" s="1363"/>
      <c r="AB119" s="200" t="s">
        <v>1446</v>
      </c>
      <c r="AC119" s="178" t="s">
        <v>1447</v>
      </c>
      <c r="AD119" s="177" t="s">
        <v>1448</v>
      </c>
      <c r="AE119" s="200" t="s">
        <v>789</v>
      </c>
      <c r="AF119" s="348"/>
      <c r="AG119" s="348"/>
      <c r="AH119" s="822"/>
      <c r="AI119" s="1363"/>
      <c r="AJ119" s="1363"/>
      <c r="AK119" s="1363"/>
      <c r="AL119" s="974" t="s">
        <v>957</v>
      </c>
      <c r="AM119" s="1363"/>
      <c r="AN119" s="1363"/>
      <c r="AO119" s="1363"/>
      <c r="AP119" s="1363"/>
      <c r="AQ119" s="1363"/>
    </row>
    <row s="1624" customFormat="1" customHeight="1" ht="76.5">
      <c r="A120" s="1363"/>
      <c r="B120" s="400">
        <f>S78="Водоотведение"</f>
        <v>1</v>
      </c>
      <c r="C120" s="1363"/>
      <c r="D120" s="1363"/>
      <c r="E120" s="593">
        <v>78.75</v>
      </c>
      <c r="F120" s="50" cm="1" t="str">
        <f t="array" ref="F120:F120">OFFSET(E120,-1,1)</f>
        <v>1</v>
      </c>
      <c r="G120" s="998"/>
      <c r="H120" s="49"/>
      <c r="I120" s="88" t="s">
        <v>324</v>
      </c>
      <c r="J120" s="1363"/>
      <c r="K120" s="90" t="str">
        <f>F120&amp;"3komm"</f>
        <v>13komm</v>
      </c>
      <c r="L120" s="895" cm="1" t="str">
        <f t="array" ref="L120:L120">AH120</f>
        <v>0</v>
      </c>
      <c r="M120" s="90"/>
      <c r="N120" s="1363"/>
      <c r="O120" s="1363"/>
      <c r="P120" s="1363"/>
      <c r="Q120" s="1363"/>
      <c r="R120" s="1363"/>
      <c r="S120" s="1353"/>
      <c r="T120" s="438" cm="1" t="str">
        <f t="array" ref="T120:T120">T119</f>
        <v>true</v>
      </c>
      <c r="U120" s="1363"/>
      <c r="V120" s="1363"/>
      <c r="W120" s="1363"/>
      <c r="X120" s="1511"/>
      <c r="Y120" s="1363"/>
      <c r="Z120" s="1494"/>
      <c r="AA120" s="1363"/>
      <c r="AB120" s="200" t="s">
        <v>1449</v>
      </c>
      <c r="AC120" s="178" t="s">
        <v>1450</v>
      </c>
      <c r="AD120" s="177"/>
      <c r="AE120" s="200" t="s">
        <v>789</v>
      </c>
      <c r="AF120" s="348"/>
      <c r="AG120" s="191">
        <f>_xlfn.IFERROR(_xlfn.SUMIFS('Плата за негативное возд'!$AL$24:$AL$32,'Плата за негативное возд'!$F$24:$F$32,F120,'Плата за негативное возд'!$AB$24:$AB$32,"1"),0)</f>
        <v>0</v>
      </c>
      <c r="AH120" s="822"/>
      <c r="AI120" s="1363"/>
      <c r="AJ120" s="1363"/>
      <c r="AK120" s="1363"/>
      <c r="AL120" s="974" t="s">
        <v>1451</v>
      </c>
      <c r="AM120" s="1363"/>
      <c r="AN120" s="1363"/>
      <c r="AO120" s="1363"/>
      <c r="AP120" s="1363"/>
      <c r="AQ120" s="1363"/>
    </row>
    <row s="1624" customFormat="1" customHeight="1" ht="54.75">
      <c r="A121" s="1363"/>
      <c r="B121" s="400" cm="1" t="str">
        <f t="array" ref="B121:B121">B120</f>
        <v>true</v>
      </c>
      <c r="C121" s="1363"/>
      <c r="D121" s="1363"/>
      <c r="E121" s="593">
        <v>56.25</v>
      </c>
      <c r="F121" s="50" cm="1" t="str">
        <f t="array" ref="F121:F121">OFFSET(E121,-1,1)</f>
        <v>1</v>
      </c>
      <c r="G121" s="998"/>
      <c r="H121" s="49"/>
      <c r="I121" s="88" t="s">
        <v>484</v>
      </c>
      <c r="J121" s="1363"/>
      <c r="K121" s="90" t="str">
        <f>F121&amp;"4komm"</f>
        <v>14komm</v>
      </c>
      <c r="L121" s="895" cm="1" t="str">
        <f t="array" ref="L121:L121">AH121</f>
        <v>0</v>
      </c>
      <c r="M121" s="90"/>
      <c r="N121" s="1363"/>
      <c r="O121" s="1363"/>
      <c r="P121" s="1363"/>
      <c r="Q121" s="1363"/>
      <c r="R121" s="1363"/>
      <c r="S121" s="1353"/>
      <c r="T121" s="438" cm="1" t="str">
        <f t="array" ref="T121:T121">T120</f>
        <v>true</v>
      </c>
      <c r="U121" s="1363"/>
      <c r="V121" s="1363"/>
      <c r="W121" s="1363"/>
      <c r="X121" s="1511"/>
      <c r="Y121" s="1363"/>
      <c r="Z121" s="1494"/>
      <c r="AA121" s="1363"/>
      <c r="AB121" s="200" t="s">
        <v>1452</v>
      </c>
      <c r="AC121" s="178" t="s">
        <v>1453</v>
      </c>
      <c r="AD121" s="177"/>
      <c r="AE121" s="200" t="s">
        <v>789</v>
      </c>
      <c r="AF121" s="348"/>
      <c r="AG121" s="191">
        <f>_xlfn.IFERROR(_xlfn.SUMIFS('Плата за негативное возд'!$AL$24:$AL$32,'Плата за негативное возд'!$F$24:$F$32,F121,'Плата за негативное возд'!$AB$24:$AB$32,"2"),0)</f>
        <v>0</v>
      </c>
      <c r="AH121" s="822"/>
      <c r="AI121" s="1363"/>
      <c r="AJ121" s="1363"/>
      <c r="AK121" s="1363"/>
      <c r="AL121" s="974" t="s">
        <v>1454</v>
      </c>
      <c r="AM121" s="1363"/>
      <c r="AN121" s="1363"/>
      <c r="AO121" s="1363"/>
      <c r="AP121" s="1363"/>
      <c r="AQ121" s="1363"/>
    </row>
    <row s="1624" customFormat="1" customHeight="1" ht="14.25">
      <c r="A122" s="1363"/>
      <c r="B122" s="1369"/>
      <c r="C122" s="1363"/>
      <c r="D122" s="1363"/>
      <c r="E122" s="593">
        <v>15</v>
      </c>
      <c r="F122" s="50" cm="1" t="str">
        <f t="array" ref="F122:F122">OFFSET(E122,-1,1)</f>
        <v>1</v>
      </c>
      <c r="G122" s="998"/>
      <c r="H122" s="51"/>
      <c r="I122" s="88" t="s">
        <v>488</v>
      </c>
      <c r="J122" s="1363"/>
      <c r="K122" s="90" t="str">
        <f>F122&amp;"5komm"</f>
        <v>15komm</v>
      </c>
      <c r="L122" s="895" cm="1" t="str">
        <f t="array" ref="L122:L122">AH122</f>
        <v>0</v>
      </c>
      <c r="M122" s="90"/>
      <c r="N122" s="1363"/>
      <c r="O122" s="1363"/>
      <c r="P122" s="1363"/>
      <c r="Q122" s="1363"/>
      <c r="R122" s="1363"/>
      <c r="S122" s="1353"/>
      <c r="T122" s="438" cm="1" t="str">
        <f t="array" ref="T122:T122">T121</f>
        <v>true</v>
      </c>
      <c r="U122" s="1363"/>
      <c r="V122" s="1363"/>
      <c r="W122" s="1363"/>
      <c r="X122" s="1511"/>
      <c r="Y122" s="1363"/>
      <c r="Z122" s="1494"/>
      <c r="AA122" s="1363"/>
      <c r="AB122" s="200" t="str">
        <f>IF(B121,"VII","V")</f>
        <v>VII</v>
      </c>
      <c r="AC122" s="178" t="s">
        <v>1455</v>
      </c>
      <c r="AD122" s="177"/>
      <c r="AE122" s="200" t="s">
        <v>789</v>
      </c>
      <c r="AF122" s="348"/>
      <c r="AG122" s="348"/>
      <c r="AH122" s="822"/>
      <c r="AI122" s="1363"/>
      <c r="AJ122" s="1363"/>
      <c r="AK122" s="1363"/>
      <c r="AL122" s="974" t="s">
        <v>1456</v>
      </c>
      <c r="AM122" s="1363"/>
      <c r="AN122" s="1363"/>
      <c r="AO122" s="1363"/>
      <c r="AP122" s="1363"/>
      <c r="AQ122" s="1363"/>
    </row>
    <row s="2866" customFormat="1" customHeight="1" ht="14.25">
      <c r="A123" s="674"/>
      <c r="B123" s="403"/>
      <c r="C123" s="674"/>
      <c r="D123" s="674"/>
      <c r="E123" s="667">
        <v>15</v>
      </c>
      <c r="F123" s="50" cm="1" t="str">
        <f t="array" ref="F123:F123">OFFSET(E123,-1,1)</f>
        <v>1</v>
      </c>
      <c r="G123" s="470"/>
      <c r="H123" s="674"/>
      <c r="I123" s="207" t="s">
        <v>535</v>
      </c>
      <c r="J123" s="674"/>
      <c r="K123" s="90" t="str">
        <f>F123&amp;"6komm"</f>
        <v>16komm</v>
      </c>
      <c r="L123" s="895" cm="1" t="str">
        <f t="array" ref="L123:L123">AH123</f>
        <v>0</v>
      </c>
      <c r="M123" s="470"/>
      <c r="N123" s="674"/>
      <c r="O123" s="674"/>
      <c r="P123" s="674"/>
      <c r="Q123" s="674"/>
      <c r="R123" s="674"/>
      <c r="S123" s="674"/>
      <c r="T123" s="438" cm="1" t="str">
        <f t="array" ref="T123:T123">T122</f>
        <v>true</v>
      </c>
      <c r="U123" s="674"/>
      <c r="V123" s="674"/>
      <c r="W123" s="674"/>
      <c r="X123" s="1511"/>
      <c r="Y123" s="674"/>
      <c r="Z123" s="1494"/>
      <c r="AA123" s="674"/>
      <c r="AB123" s="200" t="str">
        <f>IF(B121,"VIII","VI")</f>
        <v>VIII</v>
      </c>
      <c r="AC123" s="178" t="s">
        <v>1417</v>
      </c>
      <c r="AD123" s="177"/>
      <c r="AE123" s="200" t="s">
        <v>789</v>
      </c>
      <c r="AF123" s="348">
        <f>AF124+AF125</f>
        <v>0</v>
      </c>
      <c r="AG123" s="348">
        <f>AG124+AG125</f>
        <v>0</v>
      </c>
      <c r="AH123" s="822"/>
      <c r="AI123" s="674"/>
      <c r="AJ123" s="674"/>
      <c r="AK123" s="674"/>
      <c r="AL123" s="1028" t="s">
        <v>1457</v>
      </c>
      <c r="AM123" s="674"/>
      <c r="AN123" s="674"/>
      <c r="AO123" s="674"/>
      <c r="AP123" s="674"/>
      <c r="AQ123" s="674"/>
    </row>
    <row s="1624" customFormat="1" customHeight="1" ht="21.75">
      <c r="A124" s="1363"/>
      <c r="B124" s="1369"/>
      <c r="C124" s="1363"/>
      <c r="D124" s="1363"/>
      <c r="E124" s="593">
        <v>22.5</v>
      </c>
      <c r="F124" s="50" cm="1" t="str">
        <f t="array" ref="F124:F124">OFFSET(E124,-1,1)</f>
        <v>1</v>
      </c>
      <c r="G124" s="998"/>
      <c r="H124" s="51"/>
      <c r="I124" s="88" t="s">
        <v>538</v>
      </c>
      <c r="J124" s="1363"/>
      <c r="K124" s="90" t="str">
        <f>F124&amp;"7komm"</f>
        <v>17komm</v>
      </c>
      <c r="L124" s="895" cm="1" t="str">
        <f t="array" ref="L124:L124">AH124</f>
        <v>0</v>
      </c>
      <c r="M124" s="90"/>
      <c r="N124" s="1363"/>
      <c r="O124" s="1363"/>
      <c r="P124" s="1363"/>
      <c r="Q124" s="1363"/>
      <c r="R124" s="1363"/>
      <c r="S124" s="1353"/>
      <c r="T124" s="438" cm="1" t="str">
        <f t="array" ref="T124:T124">T123</f>
        <v>true</v>
      </c>
      <c r="U124" s="1363"/>
      <c r="V124" s="1363"/>
      <c r="W124" s="1363"/>
      <c r="X124" s="1511"/>
      <c r="Y124" s="1363"/>
      <c r="Z124" s="1494"/>
      <c r="AA124" s="1363"/>
      <c r="AB124" s="742">
        <v>1</v>
      </c>
      <c r="AC124" s="738" t="s">
        <v>1420</v>
      </c>
      <c r="AD124" s="266"/>
      <c r="AE124" s="742" t="s">
        <v>789</v>
      </c>
      <c r="AF124" s="264"/>
      <c r="AG124" s="264"/>
      <c r="AH124" s="822"/>
      <c r="AI124" s="1363"/>
      <c r="AJ124" s="1363"/>
      <c r="AK124" s="1363"/>
      <c r="AL124" s="974" t="s">
        <v>1458</v>
      </c>
      <c r="AM124" s="1363"/>
      <c r="AN124" s="1363"/>
      <c r="AO124" s="1363"/>
      <c r="AP124" s="1363"/>
      <c r="AQ124" s="1363"/>
    </row>
    <row s="1624" customFormat="1" customHeight="1" ht="21.75">
      <c r="A125" s="1363"/>
      <c r="B125" s="1369"/>
      <c r="C125" s="1363"/>
      <c r="D125" s="1363"/>
      <c r="E125" s="593">
        <v>22.5</v>
      </c>
      <c r="F125" s="50" cm="1" t="str">
        <f t="array" ref="F125:F125">OFFSET(E125,-1,1)</f>
        <v>1</v>
      </c>
      <c r="G125" s="998"/>
      <c r="H125" s="51"/>
      <c r="I125" s="88" t="s">
        <v>542</v>
      </c>
      <c r="J125" s="1363"/>
      <c r="K125" s="90" t="str">
        <f>F125&amp;"8komm"</f>
        <v>18komm</v>
      </c>
      <c r="L125" s="895" cm="1" t="str">
        <f t="array" ref="L125:L125">AH125</f>
        <v>0</v>
      </c>
      <c r="M125" s="90"/>
      <c r="N125" s="1363"/>
      <c r="O125" s="1363"/>
      <c r="P125" s="1363"/>
      <c r="Q125" s="1363"/>
      <c r="R125" s="1363"/>
      <c r="S125" s="1353"/>
      <c r="T125" s="438" cm="1" t="str">
        <f t="array" ref="T125:T125">T124</f>
        <v>true</v>
      </c>
      <c r="U125" s="1363"/>
      <c r="V125" s="1363"/>
      <c r="W125" s="1363"/>
      <c r="X125" s="1511"/>
      <c r="Y125" s="1363"/>
      <c r="Z125" s="1494"/>
      <c r="AA125" s="1363"/>
      <c r="AB125" s="742">
        <v>2</v>
      </c>
      <c r="AC125" s="738" t="s">
        <v>1422</v>
      </c>
      <c r="AD125" s="266"/>
      <c r="AE125" s="742" t="s">
        <v>789</v>
      </c>
      <c r="AF125" s="264"/>
      <c r="AG125" s="264"/>
      <c r="AH125" s="822"/>
      <c r="AI125" s="1363"/>
      <c r="AJ125" s="1363"/>
      <c r="AK125" s="1363"/>
      <c r="AL125" s="974" t="s">
        <v>1459</v>
      </c>
      <c r="AM125" s="1363"/>
      <c r="AN125" s="1363"/>
      <c r="AO125" s="1363"/>
      <c r="AP125" s="1363"/>
      <c r="AQ125" s="1363"/>
    </row>
    <row s="1624" customFormat="1" customHeight="1" ht="14.25">
      <c r="A126" s="1363"/>
      <c r="B126" s="1369"/>
      <c r="C126" s="1363"/>
      <c r="D126" s="1363"/>
      <c r="E126" s="593">
        <v>15</v>
      </c>
      <c r="F126" s="50" cm="1" t="str">
        <f t="array" ref="F126:F126">OFFSET(E126,-1,1)</f>
        <v>1</v>
      </c>
      <c r="G126" s="998"/>
      <c r="H126" s="51"/>
      <c r="I126" s="88" t="s">
        <v>550</v>
      </c>
      <c r="J126" s="1363"/>
      <c r="K126" s="90" t="str">
        <f>F126&amp;"9komm"</f>
        <v>19komm</v>
      </c>
      <c r="L126" s="895" cm="1" t="str">
        <f t="array" ref="L126:L126">AH126</f>
        <v>0</v>
      </c>
      <c r="M126" s="90"/>
      <c r="N126" s="1363"/>
      <c r="O126" s="1363"/>
      <c r="P126" s="1363"/>
      <c r="Q126" s="1363"/>
      <c r="R126" s="1363"/>
      <c r="S126" s="1353"/>
      <c r="T126" s="438" cm="1" t="str">
        <f t="array" ref="T126:T126">T125</f>
        <v>true</v>
      </c>
      <c r="U126" s="1363"/>
      <c r="V126" s="1363"/>
      <c r="W126" s="1363"/>
      <c r="X126" s="1511"/>
      <c r="Y126" s="1363"/>
      <c r="Z126" s="1494"/>
      <c r="AA126" s="1363"/>
      <c r="AB126" s="200" t="str">
        <f>IF(B121,"IX","VIII")</f>
        <v>IX</v>
      </c>
      <c r="AC126" s="178" t="s">
        <v>1424</v>
      </c>
      <c r="AD126" s="177"/>
      <c r="AE126" s="200" t="s">
        <v>789</v>
      </c>
      <c r="AF126" s="348"/>
      <c r="AG126" s="348"/>
      <c r="AH126" s="822"/>
      <c r="AI126" s="1363"/>
      <c r="AJ126" s="1363"/>
      <c r="AK126" s="1363"/>
      <c r="AL126" s="974" t="s">
        <v>1460</v>
      </c>
      <c r="AM126" s="1363"/>
      <c r="AN126" s="1363"/>
      <c r="AO126" s="1363"/>
      <c r="AP126" s="1363"/>
      <c r="AQ126" s="1363"/>
    </row>
    <row s="1624" customFormat="1" customHeight="1" ht="14.25">
      <c r="A127" s="1363"/>
      <c r="B127" s="1369"/>
      <c r="C127" s="1363"/>
      <c r="D127" s="1363"/>
      <c r="E127" s="593">
        <v>15</v>
      </c>
      <c r="F127" s="50" cm="1" t="str">
        <f t="array" ref="F127:F127">OFFSET(E127,-1,1)</f>
        <v>1</v>
      </c>
      <c r="G127" s="998"/>
      <c r="H127" s="51"/>
      <c r="I127" s="88" t="s">
        <v>558</v>
      </c>
      <c r="J127" s="1363"/>
      <c r="K127" s="90" t="str">
        <f>F127&amp;"10komm"</f>
        <v>110komm</v>
      </c>
      <c r="L127" s="895" cm="1" t="str">
        <f t="array" ref="L127:L127">AH127</f>
        <v>0</v>
      </c>
      <c r="M127" s="90"/>
      <c r="N127" s="1363"/>
      <c r="O127" s="1363"/>
      <c r="P127" s="1363"/>
      <c r="Q127" s="1363"/>
      <c r="R127" s="1363"/>
      <c r="S127" s="1353"/>
      <c r="T127" s="438" cm="1" t="str">
        <f t="array" ref="T127:T127">T126</f>
        <v>true</v>
      </c>
      <c r="U127" s="1363"/>
      <c r="V127" s="1363"/>
      <c r="W127" s="1363"/>
      <c r="X127" s="1511"/>
      <c r="Y127" s="1363"/>
      <c r="Z127" s="1494"/>
      <c r="AA127" s="1363"/>
      <c r="AB127" s="200" t="str">
        <f>IF(B121,"X","IX")</f>
        <v>X</v>
      </c>
      <c r="AC127" s="178" t="s">
        <v>1426</v>
      </c>
      <c r="AD127" s="177"/>
      <c r="AE127" s="200" t="s">
        <v>789</v>
      </c>
      <c r="AF127" s="348"/>
      <c r="AG127" s="348"/>
      <c r="AH127" s="822"/>
      <c r="AI127" s="1363"/>
      <c r="AJ127" s="1363"/>
      <c r="AK127" s="1363"/>
      <c r="AL127" s="974" t="s">
        <v>1461</v>
      </c>
      <c r="AM127" s="1363"/>
      <c r="AN127" s="1363"/>
      <c r="AO127" s="1363"/>
      <c r="AP127" s="1363"/>
      <c r="AQ127" s="1363"/>
    </row>
    <row s="2867" customFormat="1" customHeight="1" ht="14.25">
      <c r="A128" s="674"/>
      <c r="B128" s="403"/>
      <c r="C128" s="674"/>
      <c r="D128" s="674"/>
      <c r="E128" s="667">
        <v>15</v>
      </c>
      <c r="F128" s="50" cm="1" t="str">
        <f t="array" ref="F128:F128">OFFSET(E128,-1,1)</f>
        <v>1</v>
      </c>
      <c r="G128" s="470"/>
      <c r="H128" s="674"/>
      <c r="I128" s="207" t="s">
        <v>716</v>
      </c>
      <c r="J128" s="674"/>
      <c r="K128" s="90" t="str">
        <f>F128&amp;"11komm"</f>
        <v>111komm</v>
      </c>
      <c r="L128" s="895" cm="1" t="str">
        <f t="array" ref="L128:L128">AH128</f>
        <v>0</v>
      </c>
      <c r="M128" s="470"/>
      <c r="N128" s="674"/>
      <c r="O128" s="674"/>
      <c r="P128" s="674"/>
      <c r="Q128" s="674"/>
      <c r="R128" s="674"/>
      <c r="S128" s="674"/>
      <c r="T128" s="438" cm="1" t="str">
        <f t="array" ref="T128:T128">T127</f>
        <v>true</v>
      </c>
      <c r="U128" s="674"/>
      <c r="V128" s="674"/>
      <c r="W128" s="674"/>
      <c r="X128" s="1511"/>
      <c r="Y128" s="674"/>
      <c r="Z128" s="1494"/>
      <c r="AA128" s="674"/>
      <c r="AB128" s="200" t="str">
        <f>IF(B121,"XI","X")</f>
        <v>XI</v>
      </c>
      <c r="AC128" s="185" t="s">
        <v>1462</v>
      </c>
      <c r="AD128" s="177"/>
      <c r="AE128" s="200" t="s">
        <v>789</v>
      </c>
      <c r="AF128" s="913">
        <f>AF79+AF114+AF118+AF119+AF120+AF121+AF122+AF123+AF126+AF127</f>
        <v>0</v>
      </c>
      <c r="AG128" s="913">
        <f>AG79+AG114+AG118+AG119+AG120+AG121+AG122+AG123+AG126+AG127</f>
        <v>0</v>
      </c>
      <c r="AH128" s="822"/>
      <c r="AI128" s="674"/>
      <c r="AJ128" s="674"/>
      <c r="AK128" s="674"/>
      <c r="AL128" s="1028" t="s">
        <v>1463</v>
      </c>
      <c r="AM128" s="674"/>
      <c r="AN128" s="674"/>
      <c r="AO128" s="674"/>
      <c r="AP128" s="674"/>
      <c r="AQ128" s="674"/>
    </row>
    <row s="1624" customFormat="1" customHeight="1" ht="10.96875">
      <c r="B129" s="402"/>
      <c r="E129" s="599">
        <v>11.25</v>
      </c>
      <c r="G129" s="460"/>
      <c r="K129" s="90"/>
      <c r="L129" s="895"/>
      <c r="M129" s="460"/>
      <c r="T129" s="0"/>
      <c r="U129" s="455" t="s">
        <v>176</v>
      </c>
      <c r="V129" s="106" t="s">
        <v>1464</v>
      </c>
      <c r="AB129" s="0"/>
      <c r="AC129" s="455"/>
      <c r="AD129" s="455"/>
      <c r="AE129" s="455"/>
      <c r="AF129" s="455"/>
      <c r="AG129" s="0"/>
      <c r="AH129" s="0"/>
      <c r="AL129" s="981"/>
      <c r="AQ129" s="67"/>
    </row>
    <row customHeight="1" ht="14.625">
      <c r="E130" s="593">
        <v>15</v>
      </c>
      <c r="AB130" s="1522" t="s">
        <v>392</v>
      </c>
      <c r="AC130" s="1522"/>
      <c r="AD130" s="1522"/>
      <c r="AE130" s="1522"/>
      <c r="AF130" s="1522"/>
      <c r="AG130" s="1522"/>
      <c r="AH130" s="1522"/>
    </row>
    <row customHeight="1" ht="14.625">
      <c r="E131" s="593">
        <v>15</v>
      </c>
      <c r="AA131" s="139"/>
      <c r="AB131" s="1573"/>
      <c r="AC131" s="1573"/>
      <c r="AD131" s="1573"/>
      <c r="AE131" s="1573"/>
      <c r="AF131" s="1573"/>
      <c r="AG131" s="1573"/>
      <c r="AH131" s="1573"/>
    </row>
    <row customHeight="1" ht="14.625" hidden="1">
      <c r="A132" s="1363"/>
      <c r="B132" s="1369"/>
      <c r="C132" s="1363"/>
      <c r="D132" s="1363"/>
      <c r="E132" s="593">
        <v>15</v>
      </c>
      <c r="F132" s="1363"/>
      <c r="G132" s="998"/>
      <c r="H132" s="1363"/>
      <c r="I132" s="1363"/>
      <c r="J132" s="1363"/>
      <c r="K132" s="1363"/>
      <c r="L132" s="1363"/>
      <c r="M132" s="1363"/>
      <c r="N132" s="1363"/>
      <c r="O132" s="1363"/>
      <c r="P132" s="1363"/>
      <c r="Q132" s="1363"/>
      <c r="R132" s="1363"/>
      <c r="S132" s="1353"/>
      <c r="T132" s="438">
        <f>ROW(W132)&gt;ROW(W$132)</f>
        <v>0</v>
      </c>
      <c r="U132" s="1363"/>
      <c r="V132" s="1363"/>
      <c r="W132" s="733" t="s">
        <v>172</v>
      </c>
      <c r="X132" s="1363"/>
      <c r="Y132" s="1363"/>
      <c r="Z132" s="1363"/>
      <c r="AA132" s="392" t="s">
        <v>173</v>
      </c>
      <c r="AB132" s="2818" t="s">
        <v>228</v>
      </c>
      <c r="AC132" s="2818"/>
      <c r="AD132" s="2818"/>
      <c r="AE132" s="2818"/>
      <c r="AF132" s="2818"/>
      <c r="AG132" s="2818"/>
      <c r="AH132" s="2818"/>
      <c r="AI132" s="1363"/>
      <c r="AJ132" s="1363"/>
      <c r="AK132" s="1363"/>
      <c r="AL132" s="1374"/>
      <c r="AM132" s="1363"/>
      <c r="AN132" s="1363"/>
      <c r="AO132" s="1363"/>
      <c r="AP132" s="1363"/>
      <c r="AQ132" s="1363"/>
    </row>
    <row customHeight="1" ht="14.625">
      <c r="E133" s="593">
        <v>15</v>
      </c>
      <c r="W133" s="733" t="s">
        <v>396</v>
      </c>
      <c r="AB133" s="623"/>
      <c r="AC133" s="487" t="s">
        <v>397</v>
      </c>
      <c r="AD133" s="276"/>
      <c r="AE133" s="276"/>
      <c r="AF133" s="276"/>
      <c r="AG133" s="276"/>
      <c r="AH133" s="349"/>
    </row>
    <row customHeight="1" ht="10.725000000000001">
      <c r="E134" s="593">
        <v>11</v>
      </c>
      <c r="AI134" s="398"/>
    </row>
    <row customHeight="1" ht="10.725000000000001" hidden="1">
      <c r="E135" s="593">
        <v>11</v>
      </c>
      <c r="AB135" s="466" t="s">
        <v>1465</v>
      </c>
    </row>
  </sheetData>
  <sheetProtection formatColumns="0" formatRows="0" insertRows="0" deleteColumns="0" deleteRows="0" sort="0" autoFilter="0" insertColumns="1"/>
  <mergeCells count="12">
    <mergeCell ref="AB130:AH130"/>
    <mergeCell ref="AB131:AH131"/>
    <mergeCell ref="AB132:AH132"/>
    <mergeCell ref="X27:X77"/>
    <mergeCell ref="Z27:Z77"/>
    <mergeCell ref="AH24:AH25"/>
    <mergeCell ref="AB24:AB25"/>
    <mergeCell ref="AC24:AC25"/>
    <mergeCell ref="AD24:AD25"/>
    <mergeCell ref="AE24:AE25"/>
    <mergeCell ref="X78:X128"/>
    <mergeCell ref="Z78:Z128"/>
  </mergeCells>
  <pageMargins left="0.35" right="0.35" top="0.40" bottom="0.40" header="0.31" footer="0.31"/>
  <pageSetup paperSize="9" scale="61" fitToHeight="0"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7E1912-4118-B6DF-5DED-4F3C0D8B2B28}" mc:Ignorable="x14ac xr xr2 xr3">
  <sheetPr>
    <tabColor rgb="FF002060"/>
    <outlinePr summaryRight="0" summaryBelow="0"/>
  </sheetPr>
  <dimension ref="A1:GD146"/>
  <sheetViews>
    <sheetView showGridLines="0" workbookViewId="0">
      <pane xSplit="29" ySplit="26" topLeftCell="AD27" activePane="bottomRight" state="frozen"/>
      <selection pane="bottomLeft" activeCell="A27" sqref="A27"/>
      <selection pane="topRight" activeCell="AD1" sqref="AD1"/>
      <selection pane="bottomRight" activeCell="AA21" sqref="AA21"/>
    </sheetView>
  </sheetViews>
  <sheetFormatPr defaultColWidth="9.140625" customHeight="1" defaultRowHeight="11.25"/>
  <cols>
    <col min="1" max="1" style="1282" width="3.57421875" hidden="1" customWidth="1"/>
    <col min="2" max="2" style="848" width="8.57421875" hidden="1" customWidth="1"/>
    <col min="3" max="4" style="1282" width="3.57421875" hidden="1" customWidth="1"/>
    <col min="5" max="5" style="1283" width="3.57421875" hidden="1" customWidth="1"/>
    <col min="6" max="6" style="1315" width="5.421875" hidden="1" customWidth="1"/>
    <col min="7" max="7" style="1282" width="19.421875" hidden="1" customWidth="1"/>
    <col min="8" max="10" style="1282" width="3.57421875" hidden="1" customWidth="1"/>
    <col min="11" max="11" style="1282" width="6.421875" hidden="1" customWidth="1"/>
    <col min="12" max="12" style="1282" width="8.57421875" hidden="1" customWidth="1"/>
    <col min="13" max="16" style="1282" width="3.57421875" hidden="1" customWidth="1"/>
    <col min="17" max="17" style="1282" width="18.8515625" hidden="1" customWidth="1"/>
    <col min="18" max="18" style="1282" width="17.7109375" hidden="1" customWidth="1"/>
    <col min="19" max="19" style="1282" width="11.8515625" hidden="1" customWidth="1"/>
    <col min="20" max="20" style="1282" width="9.421875" hidden="1" customWidth="1"/>
    <col min="21" max="21" style="1282" width="5.8515625" hidden="1" customWidth="1"/>
    <col min="22" max="23" style="1282" width="6.140625" hidden="1" customWidth="1"/>
    <col min="24" max="25" style="1282" width="5.57421875" hidden="1" customWidth="1"/>
    <col min="26" max="26" style="1282" width="5.28125" hidden="1" customWidth="1"/>
    <col min="27" max="27" style="1282" width="3.00390625" customWidth="1"/>
    <col min="28" max="28" style="173" width="56.00390625" customWidth="1"/>
    <col min="29" max="29" style="1399" width="12.57421875" customWidth="1"/>
    <col min="30" max="32" style="1282" width="14.140625" customWidth="1"/>
    <col min="33" max="179" style="1282" width="14.140625" hidden="1" customWidth="1"/>
    <col min="180" max="180" style="1282" width="3.00390625" customWidth="1"/>
    <col min="181" max="181" style="1282" width="9.140625" hidden="1"/>
    <col min="182" max="182" style="1284" width="31.7109375" hidden="1" customWidth="1"/>
    <col min="183" max="184" style="1284" width="9.140625" hidden="1"/>
    <col min="185" max="186" style="1283" width="9.140625" hidden="1"/>
  </cols>
  <sheetData>
    <row customHeight="1" ht="11.25" hidden="1">
      <c r="E1" s="64"/>
      <c r="F1" s="467" t="s">
        <v>309</v>
      </c>
      <c r="H1" s="64" t="s">
        <v>320</v>
      </c>
      <c r="I1" s="64" t="s">
        <v>346</v>
      </c>
      <c r="T1" s="438" t="s">
        <v>92</v>
      </c>
      <c r="U1" s="438" t="s">
        <v>97</v>
      </c>
      <c r="V1" s="438" t="s">
        <v>93</v>
      </c>
      <c r="W1" s="438" t="s">
        <v>94</v>
      </c>
      <c r="X1" s="438" t="s">
        <v>95</v>
      </c>
      <c r="Y1" s="440" t="s">
        <v>311</v>
      </c>
      <c r="Z1" s="438" t="s">
        <v>99</v>
      </c>
      <c r="AA1" s="440" t="s">
        <v>96</v>
      </c>
      <c r="AB1" s="439" t="s">
        <v>98</v>
      </c>
      <c r="AG1" s="1282"/>
      <c r="AH1" s="1282"/>
      <c r="AI1" s="1282"/>
      <c r="AJ1" s="1282"/>
      <c r="AK1" s="1282"/>
      <c r="AL1" s="1282"/>
      <c r="AM1" s="1282"/>
      <c r="AN1" s="1282"/>
      <c r="AO1" s="1282"/>
      <c r="AP1" s="1282"/>
      <c r="AQ1" s="1282"/>
      <c r="AR1" s="1282"/>
      <c r="AS1" s="1282"/>
      <c r="AT1" s="1282"/>
      <c r="AU1" s="1282"/>
      <c r="AV1" s="1282"/>
      <c r="AW1" s="1282"/>
      <c r="AX1" s="1282"/>
      <c r="AY1" s="1282"/>
      <c r="AZ1" s="1282"/>
      <c r="BA1" s="1282"/>
      <c r="BB1" s="1282"/>
      <c r="BC1" s="1282"/>
      <c r="BD1" s="1282"/>
      <c r="BE1" s="1282"/>
      <c r="BF1" s="1282"/>
      <c r="BG1" s="1282"/>
      <c r="BH1" s="1282"/>
      <c r="BI1" s="1282"/>
      <c r="BJ1" s="1282"/>
      <c r="BK1" s="1282"/>
      <c r="BL1" s="1282"/>
      <c r="BM1" s="1282"/>
      <c r="BN1" s="1282"/>
      <c r="BO1" s="1282"/>
      <c r="BP1" s="1282"/>
      <c r="BQ1" s="1282"/>
      <c r="BR1" s="1282"/>
      <c r="BS1" s="1282"/>
      <c r="BT1" s="1282"/>
      <c r="BU1" s="1282"/>
      <c r="BV1" s="1282"/>
      <c r="BW1" s="1282"/>
      <c r="BX1" s="1282"/>
      <c r="BY1" s="1282"/>
      <c r="BZ1" s="1282"/>
      <c r="CA1" s="1282"/>
      <c r="CB1" s="1282"/>
      <c r="CC1" s="1282"/>
      <c r="CD1" s="1282"/>
      <c r="CE1" s="1282"/>
      <c r="CF1" s="1282"/>
      <c r="CG1" s="1282"/>
      <c r="CH1" s="1282"/>
      <c r="CI1" s="1282"/>
      <c r="CJ1" s="1282"/>
      <c r="CK1" s="1282"/>
      <c r="CL1" s="1282"/>
      <c r="CM1" s="1282"/>
      <c r="CN1" s="1282"/>
      <c r="CO1" s="1282"/>
      <c r="CP1" s="1282"/>
      <c r="CQ1" s="1282"/>
      <c r="CR1" s="1282"/>
      <c r="CS1" s="1282"/>
      <c r="CT1" s="1282"/>
      <c r="CU1" s="1282"/>
      <c r="CV1" s="1282"/>
      <c r="CW1" s="1282"/>
      <c r="CX1" s="1282"/>
      <c r="CY1" s="1282"/>
      <c r="CZ1" s="1282"/>
      <c r="DA1" s="1282"/>
      <c r="DB1" s="1282"/>
      <c r="DC1" s="1282"/>
      <c r="DD1" s="1282"/>
      <c r="DE1" s="1282"/>
      <c r="DF1" s="1282"/>
      <c r="DG1" s="1282"/>
      <c r="DH1" s="1282"/>
      <c r="DI1" s="1282"/>
      <c r="DJ1" s="1282"/>
      <c r="DK1" s="1282"/>
      <c r="DL1" s="1282"/>
      <c r="DM1" s="1282"/>
      <c r="DN1" s="1282"/>
      <c r="DO1" s="1282"/>
      <c r="DP1" s="1282"/>
      <c r="DQ1" s="1282"/>
      <c r="DR1" s="1282"/>
      <c r="DS1" s="1282"/>
      <c r="DT1" s="1282"/>
      <c r="DU1" s="1282"/>
      <c r="DV1" s="1282"/>
      <c r="DW1" s="1282"/>
      <c r="DX1" s="1282"/>
      <c r="DY1" s="1282"/>
      <c r="DZ1" s="1282"/>
      <c r="EA1" s="1282"/>
      <c r="EB1" s="1282"/>
      <c r="EC1" s="1282"/>
      <c r="ED1" s="1282"/>
      <c r="EE1" s="1282"/>
      <c r="EF1" s="1282"/>
      <c r="EG1" s="1282"/>
      <c r="EH1" s="1282"/>
      <c r="EI1" s="1282"/>
      <c r="EJ1" s="1282"/>
      <c r="EK1" s="1282"/>
      <c r="EL1" s="1282"/>
      <c r="EM1" s="1282"/>
      <c r="EN1" s="1282"/>
      <c r="EO1" s="1282"/>
      <c r="EP1" s="1282"/>
      <c r="EQ1" s="1282"/>
      <c r="ER1" s="1282"/>
      <c r="ES1" s="1282"/>
      <c r="ET1" s="1282"/>
      <c r="EU1" s="1282"/>
      <c r="EV1" s="1282"/>
      <c r="EW1" s="1282"/>
      <c r="EX1" s="1282"/>
      <c r="EY1" s="1282"/>
      <c r="EZ1" s="1282"/>
      <c r="FA1" s="1282"/>
      <c r="FB1" s="1282"/>
      <c r="FC1" s="1282"/>
      <c r="FD1" s="1282"/>
      <c r="FE1" s="1282"/>
      <c r="FF1" s="1282"/>
      <c r="FG1" s="1282"/>
      <c r="FH1" s="1282"/>
      <c r="FI1" s="1282"/>
      <c r="FJ1" s="1282"/>
      <c r="FK1" s="1282"/>
      <c r="FL1" s="1282"/>
      <c r="FM1" s="1282"/>
      <c r="FN1" s="1282"/>
      <c r="FO1" s="1282"/>
      <c r="FP1" s="1282"/>
      <c r="FQ1" s="1282"/>
      <c r="FR1" s="1282"/>
      <c r="FS1" s="1282"/>
      <c r="FT1" s="1282"/>
      <c r="FU1" s="1282"/>
      <c r="FV1" s="1282"/>
      <c r="FW1" s="1282"/>
      <c r="FZ1" s="992" t="s">
        <v>312</v>
      </c>
      <c r="GA1" s="992" t="s">
        <v>313</v>
      </c>
      <c r="GB1" s="992" t="s">
        <v>314</v>
      </c>
      <c r="GC1" s="607" t="s">
        <v>317</v>
      </c>
      <c r="GD1" s="607" t="s">
        <v>318</v>
      </c>
    </row>
    <row s="1389" customFormat="1" customHeight="1" ht="11.25" hidden="1">
      <c r="B2" s="901" t="s">
        <v>18</v>
      </c>
      <c r="F2" s="467"/>
      <c r="AB2" s="401"/>
      <c r="AC2" s="401"/>
      <c r="AG2" s="473">
        <f>AG6&lt;=last_year_vis</f>
        <v>0</v>
      </c>
      <c r="AH2" s="473">
        <f>AH6&lt;=last_year_vis</f>
        <v>0</v>
      </c>
      <c r="AI2" s="473">
        <f>AI6&lt;=last_year_vis</f>
        <v>0</v>
      </c>
      <c r="AJ2" s="473">
        <f>AJ6&lt;=last_year_vis</f>
        <v>0</v>
      </c>
      <c r="AK2" s="473">
        <f>AK6&lt;=last_year_vis</f>
        <v>0</v>
      </c>
      <c r="AL2" s="473">
        <f>AL6&lt;=last_year_vis</f>
        <v>0</v>
      </c>
      <c r="AM2" s="473">
        <f>AM6&lt;=last_year_vis</f>
        <v>0</v>
      </c>
      <c r="AN2" s="473">
        <f>AN6&lt;=last_year_vis</f>
        <v>0</v>
      </c>
      <c r="AO2" s="473">
        <f>AO6&lt;=last_year_vis</f>
        <v>0</v>
      </c>
      <c r="AP2" s="473">
        <f>AP6&lt;=last_year_vis</f>
        <v>0</v>
      </c>
      <c r="AQ2" s="473">
        <f>AQ6&lt;=last_year_vis</f>
        <v>0</v>
      </c>
      <c r="AR2" s="473">
        <f>AR6&lt;=last_year_vis</f>
        <v>0</v>
      </c>
      <c r="AS2" s="473">
        <f>AS6&lt;=last_year_vis</f>
        <v>0</v>
      </c>
      <c r="AT2" s="473">
        <f>AT6&lt;=last_year_vis</f>
        <v>0</v>
      </c>
      <c r="AU2" s="473">
        <f>AU6&lt;=last_year_vis</f>
        <v>0</v>
      </c>
      <c r="AV2" s="473">
        <f>AV6&lt;=last_year_vis</f>
        <v>0</v>
      </c>
      <c r="AW2" s="473">
        <f>AW6&lt;=last_year_vis</f>
        <v>0</v>
      </c>
      <c r="AX2" s="473">
        <f>AX6&lt;=last_year_vis</f>
        <v>0</v>
      </c>
      <c r="AY2" s="473">
        <f>AY6&lt;=last_year_vis</f>
        <v>0</v>
      </c>
      <c r="AZ2" s="473">
        <f>AZ6&lt;=last_year_vis</f>
        <v>0</v>
      </c>
      <c r="BA2" s="473">
        <f>BA6&lt;=last_year_vis</f>
        <v>0</v>
      </c>
      <c r="BB2" s="473">
        <f>BB6&lt;=last_year_vis</f>
        <v>0</v>
      </c>
      <c r="BC2" s="473">
        <f>BC6&lt;=last_year_vis</f>
        <v>0</v>
      </c>
      <c r="BD2" s="473">
        <f>BD6&lt;=last_year_vis</f>
        <v>0</v>
      </c>
      <c r="BE2" s="473">
        <f>BE6&lt;=last_year_vis</f>
        <v>0</v>
      </c>
      <c r="BF2" s="473">
        <f>BF6&lt;=last_year_vis</f>
        <v>0</v>
      </c>
      <c r="BG2" s="473">
        <f>BG6&lt;=last_year_vis</f>
        <v>0</v>
      </c>
      <c r="BH2" s="473">
        <f>BH6&lt;=last_year_vis</f>
        <v>0</v>
      </c>
      <c r="BI2" s="473">
        <f>BI6&lt;=last_year_vis</f>
        <v>0</v>
      </c>
      <c r="BJ2" s="473">
        <f>BJ6&lt;=last_year_vis</f>
        <v>0</v>
      </c>
      <c r="BK2" s="473">
        <f>BK6&lt;=last_year_vis</f>
        <v>0</v>
      </c>
      <c r="BL2" s="473">
        <f>BL6&lt;=last_year_vis</f>
        <v>0</v>
      </c>
      <c r="BM2" s="473">
        <f>BM6&lt;=last_year_vis</f>
        <v>0</v>
      </c>
      <c r="BN2" s="473">
        <f>BN6&lt;=last_year_vis</f>
        <v>0</v>
      </c>
      <c r="BO2" s="473">
        <f>BO6&lt;=last_year_vis</f>
        <v>0</v>
      </c>
      <c r="BP2" s="473">
        <f>BP6&lt;=last_year_vis</f>
        <v>0</v>
      </c>
      <c r="BQ2" s="473">
        <f>BQ6&lt;=last_year_vis</f>
        <v>0</v>
      </c>
      <c r="BR2" s="473">
        <f>BR6&lt;=last_year_vis</f>
        <v>0</v>
      </c>
      <c r="BS2" s="473">
        <f>BS6&lt;=last_year_vis</f>
        <v>0</v>
      </c>
      <c r="BT2" s="473">
        <f>BT6&lt;=last_year_vis</f>
        <v>0</v>
      </c>
      <c r="BU2" s="473">
        <f>BU6&lt;=last_year_vis</f>
        <v>0</v>
      </c>
      <c r="BV2" s="473">
        <f>BV6&lt;=last_year_vis</f>
        <v>0</v>
      </c>
      <c r="BW2" s="473">
        <f>BW6&lt;=last_year_vis</f>
        <v>0</v>
      </c>
      <c r="BX2" s="473">
        <f>BX6&lt;=last_year_vis</f>
        <v>0</v>
      </c>
      <c r="BY2" s="473">
        <f>BY6&lt;=last_year_vis</f>
        <v>0</v>
      </c>
      <c r="BZ2" s="473">
        <f>BZ6&lt;=last_year_vis</f>
        <v>0</v>
      </c>
      <c r="CA2" s="473">
        <f>CA6&lt;=last_year_vis</f>
        <v>0</v>
      </c>
      <c r="CB2" s="473">
        <f>CB6&lt;=last_year_vis</f>
        <v>0</v>
      </c>
      <c r="CC2" s="473">
        <f>CC6&lt;=last_year_vis</f>
        <v>0</v>
      </c>
      <c r="CD2" s="473">
        <f>CD6&lt;=last_year_vis</f>
        <v>0</v>
      </c>
      <c r="CE2" s="473">
        <f>CE6&lt;=last_year_vis</f>
        <v>0</v>
      </c>
      <c r="CF2" s="473">
        <f>CF6&lt;=last_year_vis</f>
        <v>0</v>
      </c>
      <c r="CG2" s="473">
        <f>CG6&lt;=last_year_vis</f>
        <v>0</v>
      </c>
      <c r="CH2" s="473">
        <f>CH6&lt;=last_year_vis</f>
        <v>0</v>
      </c>
      <c r="CI2" s="473">
        <f>CI6&lt;=last_year_vis</f>
        <v>0</v>
      </c>
      <c r="CJ2" s="473">
        <f>CJ6&lt;=last_year_vis</f>
        <v>0</v>
      </c>
      <c r="CK2" s="473">
        <f>CK6&lt;=last_year_vis</f>
        <v>0</v>
      </c>
      <c r="CL2" s="473">
        <f>CL6&lt;=last_year_vis</f>
        <v>0</v>
      </c>
      <c r="CM2" s="473">
        <f>CM6&lt;=last_year_vis</f>
        <v>0</v>
      </c>
      <c r="CN2" s="473">
        <f>CN6&lt;=last_year_vis</f>
        <v>0</v>
      </c>
      <c r="CO2" s="473">
        <f>CO6&lt;=last_year_vis</f>
        <v>0</v>
      </c>
      <c r="CP2" s="473">
        <f>CP6&lt;=last_year_vis</f>
        <v>0</v>
      </c>
      <c r="CQ2" s="473">
        <f>CQ6&lt;=last_year_vis</f>
        <v>0</v>
      </c>
      <c r="CR2" s="473">
        <f>CR6&lt;=last_year_vis</f>
        <v>0</v>
      </c>
      <c r="CS2" s="473">
        <f>CS6&lt;=last_year_vis</f>
        <v>0</v>
      </c>
      <c r="CT2" s="473">
        <f>CT6&lt;=last_year_vis</f>
        <v>0</v>
      </c>
      <c r="CU2" s="473">
        <f>CU6&lt;=last_year_vis</f>
        <v>0</v>
      </c>
      <c r="CV2" s="473">
        <f>CV6&lt;=last_year_vis</f>
        <v>0</v>
      </c>
      <c r="CW2" s="473">
        <f>CW6&lt;=last_year_vis</f>
        <v>0</v>
      </c>
      <c r="CX2" s="473">
        <f>CX6&lt;=last_year_vis</f>
        <v>0</v>
      </c>
      <c r="CY2" s="473">
        <f>CY6&lt;=last_year_vis</f>
        <v>0</v>
      </c>
      <c r="CZ2" s="473">
        <f>CZ6&lt;=last_year_vis</f>
        <v>0</v>
      </c>
      <c r="DA2" s="473">
        <f>DA6&lt;=last_year_vis</f>
        <v>0</v>
      </c>
      <c r="DB2" s="473">
        <f>DB6&lt;=last_year_vis</f>
        <v>0</v>
      </c>
      <c r="DC2" s="473">
        <f>DC6&lt;=last_year_vis</f>
        <v>0</v>
      </c>
      <c r="DD2" s="473">
        <f>DD6&lt;=last_year_vis</f>
        <v>0</v>
      </c>
      <c r="DE2" s="473">
        <f>DE6&lt;=last_year_vis</f>
        <v>0</v>
      </c>
      <c r="DF2" s="473">
        <f>DF6&lt;=last_year_vis</f>
        <v>0</v>
      </c>
      <c r="DG2" s="473">
        <f>DG6&lt;=last_year_vis</f>
        <v>0</v>
      </c>
      <c r="DH2" s="473">
        <f>DH6&lt;=last_year_vis</f>
        <v>0</v>
      </c>
      <c r="DI2" s="473">
        <f>DI6&lt;=last_year_vis</f>
        <v>0</v>
      </c>
      <c r="DJ2" s="473">
        <f>DJ6&lt;=last_year_vis</f>
        <v>0</v>
      </c>
      <c r="DK2" s="473">
        <f>DK6&lt;=last_year_vis</f>
        <v>0</v>
      </c>
      <c r="DL2" s="473">
        <f>DL6&lt;=last_year_vis</f>
        <v>0</v>
      </c>
      <c r="DM2" s="473">
        <f>DM6&lt;=last_year_vis</f>
        <v>0</v>
      </c>
      <c r="DN2" s="473">
        <f>DN6&lt;=last_year_vis</f>
        <v>0</v>
      </c>
      <c r="DO2" s="473">
        <f>DO6&lt;=last_year_vis</f>
        <v>0</v>
      </c>
      <c r="DP2" s="473">
        <f>DP6&lt;=last_year_vis</f>
        <v>0</v>
      </c>
      <c r="DQ2" s="473">
        <f>DQ6&lt;=last_year_vis</f>
        <v>0</v>
      </c>
      <c r="DR2" s="473">
        <f>DR6&lt;=last_year_vis</f>
        <v>0</v>
      </c>
      <c r="DS2" s="473">
        <f>DS6&lt;=last_year_vis</f>
        <v>0</v>
      </c>
      <c r="DT2" s="473">
        <f>DT6&lt;=last_year_vis</f>
        <v>0</v>
      </c>
      <c r="DU2" s="473">
        <f>DU6&lt;=last_year_vis</f>
        <v>0</v>
      </c>
      <c r="DV2" s="473">
        <f>DV6&lt;=last_year_vis</f>
        <v>0</v>
      </c>
      <c r="DW2" s="473">
        <f>DW6&lt;=last_year_vis</f>
        <v>0</v>
      </c>
      <c r="DX2" s="473">
        <f>DX6&lt;=last_year_vis</f>
        <v>0</v>
      </c>
      <c r="DY2" s="473">
        <f>DY6&lt;=last_year_vis</f>
        <v>0</v>
      </c>
      <c r="DZ2" s="473">
        <f>DZ6&lt;=last_year_vis</f>
        <v>0</v>
      </c>
      <c r="EA2" s="473">
        <f>EA6&lt;=last_year_vis</f>
        <v>0</v>
      </c>
      <c r="EB2" s="473">
        <f>EB6&lt;=last_year_vis</f>
        <v>0</v>
      </c>
      <c r="EC2" s="473">
        <f>EC6&lt;=last_year_vis</f>
        <v>0</v>
      </c>
      <c r="ED2" s="473">
        <f>ED6&lt;=last_year_vis</f>
        <v>0</v>
      </c>
      <c r="EE2" s="473">
        <f>EE6&lt;=last_year_vis</f>
        <v>0</v>
      </c>
      <c r="EF2" s="473">
        <f>EF6&lt;=last_year_vis</f>
        <v>0</v>
      </c>
      <c r="EG2" s="473">
        <f>EG6&lt;=last_year_vis</f>
        <v>0</v>
      </c>
      <c r="EH2" s="473">
        <f>EH6&lt;=last_year_vis</f>
        <v>0</v>
      </c>
      <c r="EI2" s="473">
        <f>EI6&lt;=last_year_vis</f>
        <v>0</v>
      </c>
      <c r="EJ2" s="473">
        <f>EJ6&lt;=last_year_vis</f>
        <v>0</v>
      </c>
      <c r="EK2" s="473">
        <f>EK6&lt;=last_year_vis</f>
        <v>0</v>
      </c>
      <c r="EL2" s="473">
        <f>EL6&lt;=last_year_vis</f>
        <v>0</v>
      </c>
      <c r="EM2" s="473">
        <f>EM6&lt;=last_year_vis</f>
        <v>0</v>
      </c>
      <c r="EN2" s="473">
        <f>EN6&lt;=last_year_vis</f>
        <v>0</v>
      </c>
      <c r="EO2" s="473">
        <f>EO6&lt;=last_year_vis</f>
        <v>0</v>
      </c>
      <c r="EP2" s="473">
        <f>EP6&lt;=last_year_vis</f>
        <v>0</v>
      </c>
      <c r="EQ2" s="473">
        <f>EQ6&lt;=last_year_vis</f>
        <v>0</v>
      </c>
      <c r="ER2" s="473">
        <f>ER6&lt;=last_year_vis</f>
        <v>0</v>
      </c>
      <c r="ES2" s="473">
        <f>ES6&lt;=last_year_vis</f>
        <v>0</v>
      </c>
      <c r="ET2" s="473">
        <f>ET6&lt;=last_year_vis</f>
        <v>0</v>
      </c>
      <c r="EU2" s="473">
        <f>EU6&lt;=last_year_vis</f>
        <v>0</v>
      </c>
      <c r="EV2" s="473">
        <f>EV6&lt;=last_year_vis</f>
        <v>0</v>
      </c>
      <c r="EW2" s="473">
        <f>EW6&lt;=last_year_vis</f>
        <v>0</v>
      </c>
      <c r="EX2" s="473">
        <f>EX6&lt;=last_year_vis</f>
        <v>0</v>
      </c>
      <c r="EY2" s="473">
        <f>EY6&lt;=last_year_vis</f>
        <v>0</v>
      </c>
      <c r="EZ2" s="473">
        <f>EZ6&lt;=last_year_vis</f>
        <v>0</v>
      </c>
      <c r="FA2" s="473">
        <f>FA6&lt;=last_year_vis</f>
        <v>0</v>
      </c>
      <c r="FB2" s="473">
        <f>FB6&lt;=last_year_vis</f>
        <v>0</v>
      </c>
      <c r="FC2" s="473">
        <f>FC6&lt;=last_year_vis</f>
        <v>0</v>
      </c>
      <c r="FD2" s="473">
        <f>FD6&lt;=last_year_vis</f>
        <v>0</v>
      </c>
      <c r="FE2" s="473">
        <f>FE6&lt;=last_year_vis</f>
        <v>0</v>
      </c>
      <c r="FF2" s="473">
        <f>FF6&lt;=last_year_vis</f>
        <v>0</v>
      </c>
      <c r="FG2" s="473">
        <f>FG6&lt;=last_year_vis</f>
        <v>0</v>
      </c>
      <c r="FH2" s="473">
        <f>FH6&lt;=last_year_vis</f>
        <v>0</v>
      </c>
      <c r="FI2" s="473">
        <f>FI6&lt;=last_year_vis</f>
        <v>0</v>
      </c>
      <c r="FJ2" s="473">
        <f>FJ6&lt;=last_year_vis</f>
        <v>0</v>
      </c>
      <c r="FK2" s="473">
        <f>FK6&lt;=last_year_vis</f>
        <v>0</v>
      </c>
      <c r="FL2" s="473">
        <f>FL6&lt;=last_year_vis</f>
        <v>0</v>
      </c>
      <c r="FM2" s="473">
        <f>FM6&lt;=last_year_vis</f>
        <v>0</v>
      </c>
      <c r="FN2" s="473">
        <f>FN6&lt;=last_year_vis</f>
        <v>0</v>
      </c>
      <c r="FO2" s="473">
        <f>FO6&lt;=last_year_vis</f>
        <v>0</v>
      </c>
      <c r="FP2" s="473">
        <f>FP6&lt;=last_year_vis</f>
        <v>0</v>
      </c>
      <c r="FQ2" s="473">
        <f>FQ6&lt;=last_year_vis</f>
        <v>0</v>
      </c>
      <c r="FR2" s="473">
        <f>FR6&lt;=last_year_vis</f>
        <v>0</v>
      </c>
      <c r="FS2" s="473">
        <f>FS6&lt;=last_year_vis</f>
        <v>0</v>
      </c>
      <c r="FT2" s="473">
        <f>FT6&lt;=last_year_vis</f>
        <v>0</v>
      </c>
      <c r="FU2" s="473">
        <f>FU6&lt;=last_year_vis</f>
        <v>0</v>
      </c>
      <c r="FV2" s="473">
        <f>FV6&lt;=last_year_vis</f>
        <v>0</v>
      </c>
      <c r="FW2" s="473">
        <f>FW6&lt;=last_year_vis</f>
        <v>0</v>
      </c>
      <c r="FZ2" s="993"/>
      <c r="GA2" s="993"/>
      <c r="GB2" s="993"/>
      <c r="GC2" s="1006"/>
      <c r="GD2" s="1006"/>
    </row>
    <row customHeight="1" ht="11.25" hidden="1">
      <c r="E3" s="64"/>
      <c r="AG3" s="1282"/>
      <c r="AH3" s="1282"/>
      <c r="AI3" s="1282"/>
      <c r="AJ3" s="1282"/>
      <c r="AK3" s="1282"/>
      <c r="AL3" s="1282"/>
      <c r="AM3" s="1282"/>
      <c r="AN3" s="1282"/>
      <c r="AO3" s="1282"/>
      <c r="AP3" s="1282"/>
      <c r="AQ3" s="1282"/>
      <c r="AR3" s="1282"/>
      <c r="AS3" s="1282"/>
      <c r="AT3" s="1282"/>
      <c r="AU3" s="1282"/>
      <c r="AV3" s="1282"/>
      <c r="AW3" s="1282"/>
      <c r="AX3" s="1282"/>
      <c r="AY3" s="1282"/>
      <c r="AZ3" s="1282"/>
      <c r="BA3" s="1282"/>
      <c r="BB3" s="1282"/>
      <c r="BC3" s="1282"/>
      <c r="BD3" s="1282"/>
      <c r="BE3" s="1282"/>
      <c r="BF3" s="1282"/>
      <c r="BG3" s="1282"/>
      <c r="BH3" s="1282"/>
      <c r="BI3" s="1282"/>
      <c r="BJ3" s="1282"/>
      <c r="BK3" s="1282"/>
      <c r="BL3" s="1282"/>
      <c r="BM3" s="1282"/>
      <c r="BN3" s="1282"/>
      <c r="BO3" s="1282"/>
      <c r="BP3" s="1282"/>
      <c r="BQ3" s="1282"/>
      <c r="BR3" s="1282"/>
      <c r="BS3" s="1282"/>
      <c r="BT3" s="1282"/>
      <c r="BU3" s="1282"/>
      <c r="BV3" s="1282"/>
      <c r="BW3" s="1282"/>
      <c r="BX3" s="1282"/>
      <c r="BY3" s="1282"/>
      <c r="BZ3" s="1282"/>
      <c r="CA3" s="1282"/>
      <c r="CB3" s="1282"/>
      <c r="CC3" s="1282"/>
      <c r="CD3" s="1282"/>
      <c r="CE3" s="1282"/>
      <c r="CF3" s="1282"/>
      <c r="CG3" s="1282"/>
      <c r="CH3" s="1282"/>
      <c r="CI3" s="1282"/>
      <c r="CJ3" s="1282"/>
      <c r="CK3" s="1282"/>
      <c r="CL3" s="1282"/>
      <c r="CM3" s="1282"/>
      <c r="CN3" s="1282"/>
      <c r="CO3" s="1282"/>
      <c r="CP3" s="1282"/>
      <c r="CQ3" s="1282"/>
      <c r="CR3" s="1282"/>
      <c r="CS3" s="1282"/>
      <c r="CT3" s="1282"/>
      <c r="CU3" s="1282"/>
      <c r="CV3" s="1282"/>
      <c r="CW3" s="1282"/>
      <c r="CX3" s="1282"/>
      <c r="CY3" s="1282"/>
      <c r="CZ3" s="1282"/>
      <c r="DA3" s="1282"/>
      <c r="DB3" s="1282"/>
      <c r="DC3" s="1282"/>
      <c r="DD3" s="1282"/>
      <c r="DE3" s="1282"/>
      <c r="DF3" s="1282"/>
      <c r="DG3" s="1282"/>
      <c r="DH3" s="1282"/>
      <c r="DI3" s="1282"/>
      <c r="DJ3" s="1282"/>
      <c r="DK3" s="1282"/>
      <c r="DL3" s="1282"/>
      <c r="DM3" s="1282"/>
      <c r="DN3" s="1282"/>
      <c r="DO3" s="1282"/>
      <c r="DP3" s="1282"/>
      <c r="DQ3" s="1282"/>
      <c r="DR3" s="1282"/>
      <c r="DS3" s="1282"/>
      <c r="DT3" s="1282"/>
      <c r="DU3" s="1282"/>
      <c r="DV3" s="1282"/>
      <c r="DW3" s="1282"/>
      <c r="DX3" s="1282"/>
      <c r="DY3" s="1282"/>
      <c r="DZ3" s="1282"/>
      <c r="EA3" s="1282"/>
      <c r="EB3" s="1282"/>
      <c r="EC3" s="1282"/>
      <c r="ED3" s="1282"/>
      <c r="EE3" s="1282"/>
      <c r="EF3" s="1282"/>
      <c r="EG3" s="1282"/>
      <c r="EH3" s="1282"/>
      <c r="EI3" s="1282"/>
      <c r="EJ3" s="1282"/>
      <c r="EK3" s="1282"/>
      <c r="EL3" s="1282"/>
      <c r="EM3" s="1282"/>
      <c r="EN3" s="1282"/>
      <c r="EO3" s="1282"/>
      <c r="EP3" s="1282"/>
      <c r="EQ3" s="1282"/>
      <c r="ER3" s="1282"/>
      <c r="ES3" s="1282"/>
      <c r="ET3" s="1282"/>
      <c r="EU3" s="1282"/>
      <c r="EV3" s="1282"/>
      <c r="EW3" s="1282"/>
      <c r="EX3" s="1282"/>
      <c r="EY3" s="1282"/>
      <c r="EZ3" s="1282"/>
      <c r="FA3" s="1282"/>
      <c r="FB3" s="1282"/>
      <c r="FC3" s="1282"/>
      <c r="FD3" s="1282"/>
      <c r="FE3" s="1282"/>
      <c r="FF3" s="1282"/>
      <c r="FG3" s="1282"/>
      <c r="FH3" s="1282"/>
      <c r="FI3" s="1282"/>
      <c r="FJ3" s="1282"/>
      <c r="FK3" s="1282"/>
      <c r="FL3" s="1282"/>
      <c r="FM3" s="1282"/>
      <c r="FN3" s="1282"/>
      <c r="FO3" s="1282"/>
      <c r="FP3" s="1282"/>
      <c r="FQ3" s="1282"/>
      <c r="FR3" s="1282"/>
      <c r="FS3" s="1282"/>
      <c r="FT3" s="1282"/>
      <c r="FU3" s="1282"/>
      <c r="FV3" s="1282"/>
      <c r="FW3" s="1282"/>
    </row>
    <row customHeight="1" ht="11.25" hidden="1">
      <c r="E4" s="64"/>
      <c r="AG4" s="1282"/>
      <c r="AH4" s="1282"/>
      <c r="AI4" s="1282"/>
      <c r="AJ4" s="1282"/>
      <c r="AK4" s="1282"/>
      <c r="AL4" s="1282"/>
      <c r="AM4" s="1282"/>
      <c r="AN4" s="1282"/>
      <c r="AO4" s="1282"/>
      <c r="AP4" s="1282"/>
      <c r="AQ4" s="1282"/>
      <c r="AR4" s="1282"/>
      <c r="AS4" s="1282"/>
      <c r="AT4" s="1282"/>
      <c r="AU4" s="1282"/>
      <c r="AV4" s="1282"/>
      <c r="AW4" s="1282"/>
      <c r="AX4" s="1282"/>
      <c r="AY4" s="1282"/>
      <c r="AZ4" s="1282"/>
      <c r="BA4" s="1282"/>
      <c r="BB4" s="1282"/>
      <c r="BC4" s="1282"/>
      <c r="BD4" s="1282"/>
      <c r="BE4" s="1282"/>
      <c r="BF4" s="1282"/>
      <c r="BG4" s="1282"/>
      <c r="BH4" s="1282"/>
      <c r="BI4" s="1282"/>
      <c r="BJ4" s="1282"/>
      <c r="BK4" s="1282"/>
      <c r="BL4" s="1282"/>
      <c r="BM4" s="1282"/>
      <c r="BN4" s="1282"/>
      <c r="BO4" s="1282"/>
      <c r="BP4" s="1282"/>
      <c r="BQ4" s="1282"/>
      <c r="BR4" s="1282"/>
      <c r="BS4" s="1282"/>
      <c r="BT4" s="1282"/>
      <c r="BU4" s="1282"/>
      <c r="BV4" s="1282"/>
      <c r="BW4" s="1282"/>
      <c r="BX4" s="1282"/>
      <c r="BY4" s="1282"/>
      <c r="BZ4" s="1282"/>
      <c r="CA4" s="1282"/>
      <c r="CB4" s="1282"/>
      <c r="CC4" s="1282"/>
      <c r="CD4" s="1282"/>
      <c r="CE4" s="1282"/>
      <c r="CF4" s="1282"/>
      <c r="CG4" s="1282"/>
      <c r="CH4" s="1282"/>
      <c r="CI4" s="1282"/>
      <c r="CJ4" s="1282"/>
      <c r="CK4" s="1282"/>
      <c r="CL4" s="1282"/>
      <c r="CM4" s="1282"/>
      <c r="CN4" s="1282"/>
      <c r="CO4" s="1282"/>
      <c r="CP4" s="1282"/>
      <c r="CQ4" s="1282"/>
      <c r="CR4" s="1282"/>
      <c r="CS4" s="1282"/>
      <c r="CT4" s="1282"/>
      <c r="CU4" s="1282"/>
      <c r="CV4" s="1282"/>
      <c r="CW4" s="1282"/>
      <c r="CX4" s="1282"/>
      <c r="CY4" s="1282"/>
      <c r="CZ4" s="1282"/>
      <c r="DA4" s="1282"/>
      <c r="DB4" s="1282"/>
      <c r="DC4" s="1282"/>
      <c r="DD4" s="1282"/>
      <c r="DE4" s="1282"/>
      <c r="DF4" s="1282"/>
      <c r="DG4" s="1282"/>
      <c r="DH4" s="1282"/>
      <c r="DI4" s="1282"/>
      <c r="DJ4" s="1282"/>
      <c r="DK4" s="1282"/>
      <c r="DL4" s="1282"/>
      <c r="DM4" s="1282"/>
      <c r="DN4" s="1282"/>
      <c r="DO4" s="1282"/>
      <c r="DP4" s="1282"/>
      <c r="DQ4" s="1282"/>
      <c r="DR4" s="1282"/>
      <c r="DS4" s="1282"/>
      <c r="DT4" s="1282"/>
      <c r="DU4" s="1282"/>
      <c r="DV4" s="1282"/>
      <c r="DW4" s="1282"/>
      <c r="DX4" s="1282"/>
      <c r="DY4" s="1282"/>
      <c r="DZ4" s="1282"/>
      <c r="EA4" s="1282"/>
      <c r="EB4" s="1282"/>
      <c r="EC4" s="1282"/>
      <c r="ED4" s="1282"/>
      <c r="EE4" s="1282"/>
      <c r="EF4" s="1282"/>
      <c r="EG4" s="1282"/>
      <c r="EH4" s="1282"/>
      <c r="EI4" s="1282"/>
      <c r="EJ4" s="1282"/>
      <c r="EK4" s="1282"/>
      <c r="EL4" s="1282"/>
      <c r="EM4" s="1282"/>
      <c r="EN4" s="1282"/>
      <c r="EO4" s="1282"/>
      <c r="EP4" s="1282"/>
      <c r="EQ4" s="1282"/>
      <c r="ER4" s="1282"/>
      <c r="ES4" s="1282"/>
      <c r="ET4" s="1282"/>
      <c r="EU4" s="1282"/>
      <c r="EV4" s="1282"/>
      <c r="EW4" s="1282"/>
      <c r="EX4" s="1282"/>
      <c r="EY4" s="1282"/>
      <c r="EZ4" s="1282"/>
      <c r="FA4" s="1282"/>
      <c r="FB4" s="1282"/>
      <c r="FC4" s="1282"/>
      <c r="FD4" s="1282"/>
      <c r="FE4" s="1282"/>
      <c r="FF4" s="1282"/>
      <c r="FG4" s="1282"/>
      <c r="FH4" s="1282"/>
      <c r="FI4" s="1282"/>
      <c r="FJ4" s="1282"/>
      <c r="FK4" s="1282"/>
      <c r="FL4" s="1282"/>
      <c r="FM4" s="1282"/>
      <c r="FN4" s="1282"/>
      <c r="FO4" s="1282"/>
      <c r="FP4" s="1282"/>
      <c r="FQ4" s="1282"/>
      <c r="FR4" s="1282"/>
      <c r="FS4" s="1282"/>
      <c r="FT4" s="1282"/>
      <c r="FU4" s="1282"/>
      <c r="FV4" s="1282"/>
      <c r="FW4" s="1282"/>
    </row>
    <row s="1283" customFormat="1" customHeight="1" ht="11.25" hidden="1">
      <c r="A5" s="64"/>
      <c r="B5" s="815"/>
      <c r="C5" s="64"/>
      <c r="D5" s="64"/>
      <c r="E5" s="607" t="s">
        <v>19</v>
      </c>
      <c r="F5" s="884"/>
      <c r="AA5" s="607">
        <v>3</v>
      </c>
      <c r="AB5" s="669">
        <v>56</v>
      </c>
      <c r="AC5" s="605">
        <v>12.57</v>
      </c>
      <c r="AD5" s="607">
        <v>14.14</v>
      </c>
      <c r="AE5" s="607">
        <v>14.14</v>
      </c>
      <c r="AF5" s="607">
        <v>14.14</v>
      </c>
      <c r="AG5" s="607">
        <v>14.14</v>
      </c>
      <c r="AH5" s="607">
        <v>14.14</v>
      </c>
      <c r="AI5" s="607">
        <v>14.14</v>
      </c>
      <c r="AJ5" s="607">
        <v>14.14</v>
      </c>
      <c r="AK5" s="607">
        <v>14.14</v>
      </c>
      <c r="AL5" s="607">
        <v>14.14</v>
      </c>
      <c r="AM5" s="607">
        <v>14.14</v>
      </c>
      <c r="AN5" s="607">
        <v>14.14</v>
      </c>
      <c r="AO5" s="607">
        <v>14.14</v>
      </c>
      <c r="AP5" s="607">
        <v>14.14</v>
      </c>
      <c r="AQ5" s="607">
        <v>14.14</v>
      </c>
      <c r="AR5" s="607">
        <v>14.14</v>
      </c>
      <c r="AS5" s="607">
        <v>14.14</v>
      </c>
      <c r="AT5" s="607">
        <v>14.14</v>
      </c>
      <c r="AU5" s="607">
        <v>14.14</v>
      </c>
      <c r="AV5" s="607">
        <v>14.14</v>
      </c>
      <c r="AW5" s="607">
        <v>14.14</v>
      </c>
      <c r="AX5" s="607">
        <v>14.14</v>
      </c>
      <c r="AY5" s="607">
        <v>14.14</v>
      </c>
      <c r="AZ5" s="607">
        <v>14.14</v>
      </c>
      <c r="BA5" s="607">
        <v>14.14</v>
      </c>
      <c r="BB5" s="607">
        <v>14.14</v>
      </c>
      <c r="BC5" s="607">
        <v>14.14</v>
      </c>
      <c r="BD5" s="607">
        <v>14.14</v>
      </c>
      <c r="BE5" s="607">
        <v>14.14</v>
      </c>
      <c r="BF5" s="607">
        <v>14.14</v>
      </c>
      <c r="BG5" s="607">
        <v>14.14</v>
      </c>
      <c r="BH5" s="607">
        <v>14.14</v>
      </c>
      <c r="BI5" s="607">
        <v>14.14</v>
      </c>
      <c r="BJ5" s="607">
        <v>14.14</v>
      </c>
      <c r="BK5" s="607">
        <v>14.14</v>
      </c>
      <c r="BL5" s="607">
        <v>14.14</v>
      </c>
      <c r="BM5" s="607">
        <v>14.14</v>
      </c>
      <c r="BN5" s="607">
        <v>14.14</v>
      </c>
      <c r="BO5" s="607">
        <v>14.14</v>
      </c>
      <c r="BP5" s="607">
        <v>14.14</v>
      </c>
      <c r="BQ5" s="607">
        <v>14.14</v>
      </c>
      <c r="BR5" s="607">
        <v>14.14</v>
      </c>
      <c r="BS5" s="607">
        <v>14.14</v>
      </c>
      <c r="BT5" s="607">
        <v>14.14</v>
      </c>
      <c r="BU5" s="607">
        <v>14.14</v>
      </c>
      <c r="BV5" s="607">
        <v>14.14</v>
      </c>
      <c r="BW5" s="607">
        <v>14.14</v>
      </c>
      <c r="BX5" s="607">
        <v>14.14</v>
      </c>
      <c r="BY5" s="607">
        <v>14.14</v>
      </c>
      <c r="BZ5" s="607">
        <v>14.14</v>
      </c>
      <c r="CA5" s="607">
        <v>14.14</v>
      </c>
      <c r="CB5" s="607">
        <v>14.14</v>
      </c>
      <c r="CC5" s="607">
        <v>14.14</v>
      </c>
      <c r="CD5" s="607">
        <v>14.14</v>
      </c>
      <c r="CE5" s="607">
        <v>14.14</v>
      </c>
      <c r="CF5" s="607">
        <v>14.14</v>
      </c>
      <c r="CG5" s="607">
        <v>14.14</v>
      </c>
      <c r="CH5" s="607">
        <v>14.14</v>
      </c>
      <c r="CI5" s="607">
        <v>14.14</v>
      </c>
      <c r="CJ5" s="607">
        <v>14.14</v>
      </c>
      <c r="CK5" s="607">
        <v>14.14</v>
      </c>
      <c r="CL5" s="607">
        <v>14.14</v>
      </c>
      <c r="CM5" s="607">
        <v>14.14</v>
      </c>
      <c r="CN5" s="607">
        <v>14.14</v>
      </c>
      <c r="CO5" s="607">
        <v>14.14</v>
      </c>
      <c r="CP5" s="607">
        <v>14.14</v>
      </c>
      <c r="CQ5" s="607">
        <v>14.14</v>
      </c>
      <c r="CR5" s="607">
        <v>14.14</v>
      </c>
      <c r="CS5" s="607">
        <v>14.14</v>
      </c>
      <c r="CT5" s="607">
        <v>14.14</v>
      </c>
      <c r="CU5" s="607">
        <v>14.14</v>
      </c>
      <c r="CV5" s="607">
        <v>14.14</v>
      </c>
      <c r="CW5" s="607">
        <v>14.14</v>
      </c>
      <c r="CX5" s="607">
        <v>14.14</v>
      </c>
      <c r="CY5" s="607">
        <v>14.14</v>
      </c>
      <c r="CZ5" s="607">
        <v>14.14</v>
      </c>
      <c r="DA5" s="607">
        <v>14.14</v>
      </c>
      <c r="DB5" s="607">
        <v>14.14</v>
      </c>
      <c r="DC5" s="607">
        <v>14.14</v>
      </c>
      <c r="DD5" s="607">
        <v>14.14</v>
      </c>
      <c r="DE5" s="607">
        <v>14.14</v>
      </c>
      <c r="DF5" s="607">
        <v>14.14</v>
      </c>
      <c r="DG5" s="607">
        <v>14.14</v>
      </c>
      <c r="DH5" s="607">
        <v>14.14</v>
      </c>
      <c r="DI5" s="607">
        <v>14.14</v>
      </c>
      <c r="DJ5" s="607">
        <v>14.14</v>
      </c>
      <c r="DK5" s="607">
        <v>14.14</v>
      </c>
      <c r="DL5" s="607">
        <v>14.14</v>
      </c>
      <c r="DM5" s="607">
        <v>14.14</v>
      </c>
      <c r="DN5" s="607">
        <v>14.14</v>
      </c>
      <c r="DO5" s="607">
        <v>14.14</v>
      </c>
      <c r="DP5" s="607">
        <v>14.14</v>
      </c>
      <c r="DQ5" s="607">
        <v>14.14</v>
      </c>
      <c r="DR5" s="607">
        <v>14.14</v>
      </c>
      <c r="DS5" s="607">
        <v>14.14</v>
      </c>
      <c r="DT5" s="607">
        <v>14.14</v>
      </c>
      <c r="DU5" s="607">
        <v>14.14</v>
      </c>
      <c r="DV5" s="607">
        <v>14.14</v>
      </c>
      <c r="DW5" s="607">
        <v>14.14</v>
      </c>
      <c r="DX5" s="607">
        <v>14.14</v>
      </c>
      <c r="DY5" s="607">
        <v>14.14</v>
      </c>
      <c r="DZ5" s="607">
        <v>14.14</v>
      </c>
      <c r="EA5" s="607">
        <v>14.14</v>
      </c>
      <c r="EB5" s="607">
        <v>14.14</v>
      </c>
      <c r="EC5" s="607">
        <v>14.14</v>
      </c>
      <c r="ED5" s="607">
        <v>14.14</v>
      </c>
      <c r="EE5" s="607">
        <v>14.14</v>
      </c>
      <c r="EF5" s="607">
        <v>14.14</v>
      </c>
      <c r="EG5" s="607">
        <v>14.14</v>
      </c>
      <c r="EH5" s="607">
        <v>14.14</v>
      </c>
      <c r="EI5" s="607">
        <v>14.14</v>
      </c>
      <c r="EJ5" s="607">
        <v>14.14</v>
      </c>
      <c r="EK5" s="607">
        <v>14.14</v>
      </c>
      <c r="EL5" s="607">
        <v>14.14</v>
      </c>
      <c r="EM5" s="607">
        <v>14.14</v>
      </c>
      <c r="EN5" s="607">
        <v>14.14</v>
      </c>
      <c r="EO5" s="607">
        <v>14.14</v>
      </c>
      <c r="EP5" s="607">
        <v>14.14</v>
      </c>
      <c r="EQ5" s="607">
        <v>14.14</v>
      </c>
      <c r="ER5" s="607">
        <v>14.14</v>
      </c>
      <c r="ES5" s="607">
        <v>14.14</v>
      </c>
      <c r="ET5" s="607">
        <v>14.14</v>
      </c>
      <c r="EU5" s="607">
        <v>14.14</v>
      </c>
      <c r="EV5" s="607">
        <v>14.14</v>
      </c>
      <c r="EW5" s="607">
        <v>14.14</v>
      </c>
      <c r="EX5" s="607">
        <v>14.14</v>
      </c>
      <c r="EY5" s="607">
        <v>14.14</v>
      </c>
      <c r="EZ5" s="607">
        <v>14.14</v>
      </c>
      <c r="FA5" s="607">
        <v>14.14</v>
      </c>
      <c r="FB5" s="607">
        <v>14.14</v>
      </c>
      <c r="FC5" s="607">
        <v>14.14</v>
      </c>
      <c r="FD5" s="607">
        <v>14.14</v>
      </c>
      <c r="FE5" s="607">
        <v>14.14</v>
      </c>
      <c r="FF5" s="607">
        <v>14.14</v>
      </c>
      <c r="FG5" s="607">
        <v>14.14</v>
      </c>
      <c r="FH5" s="607">
        <v>14.14</v>
      </c>
      <c r="FI5" s="607">
        <v>14.14</v>
      </c>
      <c r="FJ5" s="607">
        <v>14.14</v>
      </c>
      <c r="FK5" s="607">
        <v>14.14</v>
      </c>
      <c r="FL5" s="607">
        <v>14.14</v>
      </c>
      <c r="FM5" s="607">
        <v>14.14</v>
      </c>
      <c r="FN5" s="607">
        <v>14.14</v>
      </c>
      <c r="FO5" s="607">
        <v>14.14</v>
      </c>
      <c r="FP5" s="607">
        <v>14.14</v>
      </c>
      <c r="FQ5" s="607">
        <v>14.14</v>
      </c>
      <c r="FR5" s="607">
        <v>14.14</v>
      </c>
      <c r="FS5" s="607">
        <v>14.14</v>
      </c>
      <c r="FT5" s="607">
        <v>14.14</v>
      </c>
      <c r="FU5" s="607">
        <v>14.14</v>
      </c>
      <c r="FV5" s="607">
        <v>14.14</v>
      </c>
      <c r="FW5" s="607">
        <v>14.14</v>
      </c>
      <c r="FX5" s="607">
        <v>3</v>
      </c>
      <c r="FZ5" s="992"/>
      <c r="GA5" s="992"/>
      <c r="GB5" s="992"/>
    </row>
    <row customHeight="1" ht="11.25" hidden="1">
      <c r="A6" s="64" t="s">
        <v>349</v>
      </c>
      <c r="AD6" s="64" cm="1" t="str">
        <f t="array" ref="AD6:AD6">god</f>
        <v>2026</v>
      </c>
      <c r="AE6" s="64" cm="1" t="str">
        <f t="array" ref="AE6:AE6">god</f>
        <v>2026</v>
      </c>
      <c r="AF6" s="64" cm="1" t="str">
        <f t="array" ref="AF6:AF6">god</f>
        <v>2026</v>
      </c>
      <c r="AG6" s="64">
        <f>god+1</f>
        <v>2027</v>
      </c>
      <c r="AH6" s="64">
        <f>god+1</f>
        <v>2027</v>
      </c>
      <c r="AI6" s="64">
        <f>god+1</f>
        <v>2027</v>
      </c>
      <c r="AJ6" s="64">
        <f>god+2</f>
        <v>2028</v>
      </c>
      <c r="AK6" s="64">
        <f>god+2</f>
        <v>2028</v>
      </c>
      <c r="AL6" s="64">
        <f>god+2</f>
        <v>2028</v>
      </c>
      <c r="AM6" s="64">
        <f>god+3</f>
        <v>2029</v>
      </c>
      <c r="AN6" s="64">
        <f>god+3</f>
        <v>2029</v>
      </c>
      <c r="AO6" s="64">
        <f>god+3</f>
        <v>2029</v>
      </c>
      <c r="AP6" s="64">
        <f>god+4</f>
        <v>2030</v>
      </c>
      <c r="AQ6" s="64">
        <f>god+4</f>
        <v>2030</v>
      </c>
      <c r="AR6" s="64">
        <f>god+4</f>
        <v>2030</v>
      </c>
      <c r="AS6" s="64">
        <f>god+5</f>
        <v>2031</v>
      </c>
      <c r="AT6" s="64">
        <f>god+5</f>
        <v>2031</v>
      </c>
      <c r="AU6" s="64">
        <f>god+5</f>
        <v>2031</v>
      </c>
      <c r="AV6" s="64">
        <f>god+6</f>
        <v>2032</v>
      </c>
      <c r="AW6" s="64">
        <f>god+6</f>
        <v>2032</v>
      </c>
      <c r="AX6" s="64">
        <f>god+6</f>
        <v>2032</v>
      </c>
      <c r="AY6" s="64">
        <f>god+7</f>
        <v>2033</v>
      </c>
      <c r="AZ6" s="64">
        <f>god+7</f>
        <v>2033</v>
      </c>
      <c r="BA6" s="64">
        <f>god+7</f>
        <v>2033</v>
      </c>
      <c r="BB6" s="64">
        <f>god+8</f>
        <v>2034</v>
      </c>
      <c r="BC6" s="64">
        <f>god+8</f>
        <v>2034</v>
      </c>
      <c r="BD6" s="64">
        <f>god+8</f>
        <v>2034</v>
      </c>
      <c r="BE6" s="64">
        <f>god+9</f>
        <v>2035</v>
      </c>
      <c r="BF6" s="64">
        <f>god+9</f>
        <v>2035</v>
      </c>
      <c r="BG6" s="64">
        <f>god+9</f>
        <v>2035</v>
      </c>
      <c r="BH6" s="64">
        <f>god+10</f>
        <v>2036</v>
      </c>
      <c r="BI6" s="64">
        <f>god+10</f>
        <v>2036</v>
      </c>
      <c r="BJ6" s="64">
        <f>god+10</f>
        <v>2036</v>
      </c>
      <c r="BK6" s="64">
        <f>god+11</f>
        <v>2037</v>
      </c>
      <c r="BL6" s="64">
        <f>god+11</f>
        <v>2037</v>
      </c>
      <c r="BM6" s="64">
        <f>god+11</f>
        <v>2037</v>
      </c>
      <c r="BN6" s="64">
        <f>god+12</f>
        <v>2038</v>
      </c>
      <c r="BO6" s="64">
        <f>god+12</f>
        <v>2038</v>
      </c>
      <c r="BP6" s="64">
        <f>god+12</f>
        <v>2038</v>
      </c>
      <c r="BQ6" s="64">
        <f>god+13</f>
        <v>2039</v>
      </c>
      <c r="BR6" s="64">
        <f>god+13</f>
        <v>2039</v>
      </c>
      <c r="BS6" s="64">
        <f>god+13</f>
        <v>2039</v>
      </c>
      <c r="BT6" s="64">
        <f>god+14</f>
        <v>2040</v>
      </c>
      <c r="BU6" s="64">
        <f>god+14</f>
        <v>2040</v>
      </c>
      <c r="BV6" s="64">
        <f>god+14</f>
        <v>2040</v>
      </c>
      <c r="BW6" s="64">
        <f>god+15</f>
        <v>2041</v>
      </c>
      <c r="BX6" s="64">
        <f>god+15</f>
        <v>2041</v>
      </c>
      <c r="BY6" s="64">
        <f>god+15</f>
        <v>2041</v>
      </c>
      <c r="BZ6" s="64">
        <f>god+16</f>
        <v>2042</v>
      </c>
      <c r="CA6" s="64">
        <f>god+16</f>
        <v>2042</v>
      </c>
      <c r="CB6" s="64">
        <f>god+16</f>
        <v>2042</v>
      </c>
      <c r="CC6" s="64">
        <f>god+17</f>
        <v>2043</v>
      </c>
      <c r="CD6" s="64">
        <f>god+17</f>
        <v>2043</v>
      </c>
      <c r="CE6" s="64">
        <f>god+17</f>
        <v>2043</v>
      </c>
      <c r="CF6" s="64">
        <f>god+18</f>
        <v>2044</v>
      </c>
      <c r="CG6" s="64">
        <f>god+18</f>
        <v>2044</v>
      </c>
      <c r="CH6" s="64">
        <f>god+18</f>
        <v>2044</v>
      </c>
      <c r="CI6" s="64">
        <f>god+19</f>
        <v>2045</v>
      </c>
      <c r="CJ6" s="64">
        <f>god+19</f>
        <v>2045</v>
      </c>
      <c r="CK6" s="64">
        <f>god+19</f>
        <v>2045</v>
      </c>
      <c r="CL6" s="64">
        <f>god+20</f>
        <v>2046</v>
      </c>
      <c r="CM6" s="64">
        <f>god+20</f>
        <v>2046</v>
      </c>
      <c r="CN6" s="64">
        <f>god+20</f>
        <v>2046</v>
      </c>
      <c r="CO6" s="64">
        <f>god+21</f>
        <v>2047</v>
      </c>
      <c r="CP6" s="64">
        <f>god+21</f>
        <v>2047</v>
      </c>
      <c r="CQ6" s="64">
        <f>god+21</f>
        <v>2047</v>
      </c>
      <c r="CR6" s="64">
        <f>god+22</f>
        <v>2048</v>
      </c>
      <c r="CS6" s="64">
        <f>god+22</f>
        <v>2048</v>
      </c>
      <c r="CT6" s="64">
        <f>god+22</f>
        <v>2048</v>
      </c>
      <c r="CU6" s="64">
        <f>god+23</f>
        <v>2049</v>
      </c>
      <c r="CV6" s="64">
        <f>god+23</f>
        <v>2049</v>
      </c>
      <c r="CW6" s="64">
        <f>god+23</f>
        <v>2049</v>
      </c>
      <c r="CX6" s="64">
        <f>god+24</f>
        <v>2050</v>
      </c>
      <c r="CY6" s="64">
        <f>god+24</f>
        <v>2050</v>
      </c>
      <c r="CZ6" s="64">
        <f>god+24</f>
        <v>2050</v>
      </c>
      <c r="DA6" s="64">
        <f>god+25</f>
        <v>2051</v>
      </c>
      <c r="DB6" s="64">
        <f>god+25</f>
        <v>2051</v>
      </c>
      <c r="DC6" s="64">
        <f>god+25</f>
        <v>2051</v>
      </c>
      <c r="DD6" s="64">
        <f>god+26</f>
        <v>2052</v>
      </c>
      <c r="DE6" s="64">
        <f>god+26</f>
        <v>2052</v>
      </c>
      <c r="DF6" s="64">
        <f>god+26</f>
        <v>2052</v>
      </c>
      <c r="DG6" s="64">
        <f>god+27</f>
        <v>2053</v>
      </c>
      <c r="DH6" s="64">
        <f>god+27</f>
        <v>2053</v>
      </c>
      <c r="DI6" s="64">
        <f>god+27</f>
        <v>2053</v>
      </c>
      <c r="DJ6" s="64">
        <f>god+28</f>
        <v>2054</v>
      </c>
      <c r="DK6" s="64">
        <f>god+28</f>
        <v>2054</v>
      </c>
      <c r="DL6" s="64">
        <f>god+28</f>
        <v>2054</v>
      </c>
      <c r="DM6" s="64">
        <f>god+29</f>
        <v>2055</v>
      </c>
      <c r="DN6" s="64">
        <f>god+29</f>
        <v>2055</v>
      </c>
      <c r="DO6" s="64">
        <f>god+29</f>
        <v>2055</v>
      </c>
      <c r="DP6" s="64">
        <f>god+30</f>
        <v>2056</v>
      </c>
      <c r="DQ6" s="64">
        <f>god+30</f>
        <v>2056</v>
      </c>
      <c r="DR6" s="64">
        <f>god+30</f>
        <v>2056</v>
      </c>
      <c r="DS6" s="64">
        <f>god+31</f>
        <v>2057</v>
      </c>
      <c r="DT6" s="64">
        <f>god+31</f>
        <v>2057</v>
      </c>
      <c r="DU6" s="64">
        <f>god+31</f>
        <v>2057</v>
      </c>
      <c r="DV6" s="64">
        <f>god+32</f>
        <v>2058</v>
      </c>
      <c r="DW6" s="64">
        <f>god+32</f>
        <v>2058</v>
      </c>
      <c r="DX6" s="64">
        <f>god+32</f>
        <v>2058</v>
      </c>
      <c r="DY6" s="64">
        <f>god+33</f>
        <v>2059</v>
      </c>
      <c r="DZ6" s="64">
        <f>god+33</f>
        <v>2059</v>
      </c>
      <c r="EA6" s="64">
        <f>god+33</f>
        <v>2059</v>
      </c>
      <c r="EB6" s="64">
        <f>god+34</f>
        <v>2060</v>
      </c>
      <c r="EC6" s="64">
        <f>god+34</f>
        <v>2060</v>
      </c>
      <c r="ED6" s="64">
        <f>god+34</f>
        <v>2060</v>
      </c>
      <c r="EE6" s="64">
        <f>god+35</f>
        <v>2061</v>
      </c>
      <c r="EF6" s="64">
        <f>god+35</f>
        <v>2061</v>
      </c>
      <c r="EG6" s="64">
        <f>god+35</f>
        <v>2061</v>
      </c>
      <c r="EH6" s="64">
        <f>god+36</f>
        <v>2062</v>
      </c>
      <c r="EI6" s="64">
        <f>god+36</f>
        <v>2062</v>
      </c>
      <c r="EJ6" s="64">
        <f>god+36</f>
        <v>2062</v>
      </c>
      <c r="EK6" s="64">
        <f>god+37</f>
        <v>2063</v>
      </c>
      <c r="EL6" s="64">
        <f>god+37</f>
        <v>2063</v>
      </c>
      <c r="EM6" s="64">
        <f>god+37</f>
        <v>2063</v>
      </c>
      <c r="EN6" s="64">
        <f>god+38</f>
        <v>2064</v>
      </c>
      <c r="EO6" s="64">
        <f>god+38</f>
        <v>2064</v>
      </c>
      <c r="EP6" s="64">
        <f>god+38</f>
        <v>2064</v>
      </c>
      <c r="EQ6" s="64">
        <f>god+39</f>
        <v>2065</v>
      </c>
      <c r="ER6" s="64">
        <f>god+39</f>
        <v>2065</v>
      </c>
      <c r="ES6" s="64">
        <f>god+39</f>
        <v>2065</v>
      </c>
      <c r="ET6" s="64">
        <f>god+40</f>
        <v>2066</v>
      </c>
      <c r="EU6" s="64">
        <f>god+40</f>
        <v>2066</v>
      </c>
      <c r="EV6" s="64">
        <f>god+40</f>
        <v>2066</v>
      </c>
      <c r="EW6" s="64">
        <f>god+41</f>
        <v>2067</v>
      </c>
      <c r="EX6" s="64">
        <f>god+41</f>
        <v>2067</v>
      </c>
      <c r="EY6" s="64">
        <f>god+41</f>
        <v>2067</v>
      </c>
      <c r="EZ6" s="64">
        <f>god+42</f>
        <v>2068</v>
      </c>
      <c r="FA6" s="64">
        <f>god+42</f>
        <v>2068</v>
      </c>
      <c r="FB6" s="64">
        <f>god+42</f>
        <v>2068</v>
      </c>
      <c r="FC6" s="64">
        <f>god+43</f>
        <v>2069</v>
      </c>
      <c r="FD6" s="64">
        <f>god+43</f>
        <v>2069</v>
      </c>
      <c r="FE6" s="64">
        <f>god+43</f>
        <v>2069</v>
      </c>
      <c r="FF6" s="64">
        <f>god+44</f>
        <v>2070</v>
      </c>
      <c r="FG6" s="64">
        <f>god+44</f>
        <v>2070</v>
      </c>
      <c r="FH6" s="64">
        <f>god+44</f>
        <v>2070</v>
      </c>
      <c r="FI6" s="64">
        <f>god+45</f>
        <v>2071</v>
      </c>
      <c r="FJ6" s="64">
        <f>god+45</f>
        <v>2071</v>
      </c>
      <c r="FK6" s="64">
        <f>god+45</f>
        <v>2071</v>
      </c>
      <c r="FL6" s="64">
        <f>god+46</f>
        <v>2072</v>
      </c>
      <c r="FM6" s="64">
        <f>god+46</f>
        <v>2072</v>
      </c>
      <c r="FN6" s="64">
        <f>god+46</f>
        <v>2072</v>
      </c>
      <c r="FO6" s="64">
        <f>god+47</f>
        <v>2073</v>
      </c>
      <c r="FP6" s="64">
        <f>god+47</f>
        <v>2073</v>
      </c>
      <c r="FQ6" s="64">
        <f>god+47</f>
        <v>2073</v>
      </c>
      <c r="FR6" s="64">
        <f>god+48</f>
        <v>2074</v>
      </c>
      <c r="FS6" s="64">
        <f>god+48</f>
        <v>2074</v>
      </c>
      <c r="FT6" s="64">
        <f>god+48</f>
        <v>2074</v>
      </c>
      <c r="FU6" s="64">
        <f>god+49</f>
        <v>2075</v>
      </c>
      <c r="FV6" s="64">
        <f>god+49</f>
        <v>2075</v>
      </c>
      <c r="FW6" s="64">
        <f>god+49</f>
        <v>2075</v>
      </c>
    </row>
    <row customHeight="1" ht="11.25" hidden="1">
      <c r="A7" s="64" t="s">
        <v>350</v>
      </c>
      <c r="AD7" s="64" cm="1" t="str">
        <f t="array" ref="AD7:AD7">AD26</f>
        <v>Предложение организации</v>
      </c>
      <c r="AE7" s="64" cm="1" t="str">
        <f t="array" ref="AE7:AE7">AE26</f>
        <v>Принято органом регулирования</v>
      </c>
      <c r="AF7" s="64" cm="1" t="str">
        <f t="array" ref="AF7:AF7">AF26</f>
        <v>Отклонение, %</v>
      </c>
      <c r="AG7" s="64" cm="1" t="str">
        <f t="array" ref="AG7:AG7">AG26</f>
        <v>Предложение организации</v>
      </c>
      <c r="AH7" s="64" cm="1" t="str">
        <f t="array" ref="AH7:AH7">AH26</f>
        <v>Принято органом регулирования</v>
      </c>
      <c r="AI7" s="64" cm="1" t="str">
        <f t="array" ref="AI7:AI7">AI26</f>
        <v>Отклонение, %</v>
      </c>
      <c r="AJ7" s="64" cm="1" t="str">
        <f t="array" ref="AJ7:AJ7">AJ26</f>
        <v>Предложение организации</v>
      </c>
      <c r="AK7" s="64" cm="1" t="str">
        <f t="array" ref="AK7:AK7">AK26</f>
        <v>Принято органом регулирования</v>
      </c>
      <c r="AL7" s="64" cm="1" t="str">
        <f t="array" ref="AL7:AL7">AL26</f>
        <v>Отклонение, %</v>
      </c>
      <c r="AM7" s="64" cm="1" t="str">
        <f t="array" ref="AM7:AM7">AM26</f>
        <v>Предложение организации</v>
      </c>
      <c r="AN7" s="64" cm="1" t="str">
        <f t="array" ref="AN7:AN7">AN26</f>
        <v>Принято органом регулирования</v>
      </c>
      <c r="AO7" s="64" cm="1" t="str">
        <f t="array" ref="AO7:AO7">AO26</f>
        <v>Отклонение, %</v>
      </c>
      <c r="AP7" s="64" cm="1" t="str">
        <f t="array" ref="AP7:AP7">AP26</f>
        <v>Предложение организации</v>
      </c>
      <c r="AQ7" s="64" cm="1" t="str">
        <f t="array" ref="AQ7:AQ7">AQ26</f>
        <v>Принято органом регулирования</v>
      </c>
      <c r="AR7" s="64" cm="1" t="str">
        <f t="array" ref="AR7:AR7">AR26</f>
        <v>Отклонение, %</v>
      </c>
      <c r="AS7" s="64" cm="1" t="str">
        <f t="array" ref="AS7:AS7">AS26</f>
        <v>Предложение организации</v>
      </c>
      <c r="AT7" s="64" cm="1" t="str">
        <f t="array" ref="AT7:AT7">AT26</f>
        <v>Принято органом регулирования</v>
      </c>
      <c r="AU7" s="64" cm="1" t="str">
        <f t="array" ref="AU7:AU7">AU26</f>
        <v>Отклонение, %</v>
      </c>
      <c r="AV7" s="64" cm="1" t="str">
        <f t="array" ref="AV7:AV7">AV26</f>
        <v>Предложение организации</v>
      </c>
      <c r="AW7" s="64" cm="1" t="str">
        <f t="array" ref="AW7:AW7">AW26</f>
        <v>Принято органом регулирования</v>
      </c>
      <c r="AX7" s="64" cm="1" t="str">
        <f t="array" ref="AX7:AX7">AX26</f>
        <v>Отклонение, %</v>
      </c>
      <c r="AY7" s="64" cm="1" t="str">
        <f t="array" ref="AY7:AY7">AY26</f>
        <v>Предложение организации</v>
      </c>
      <c r="AZ7" s="64" cm="1" t="str">
        <f t="array" ref="AZ7:AZ7">AZ26</f>
        <v>Принято органом регулирования</v>
      </c>
      <c r="BA7" s="64" cm="1" t="str">
        <f t="array" ref="BA7:BA7">BA26</f>
        <v>Отклонение, %</v>
      </c>
      <c r="BB7" s="64" cm="1" t="str">
        <f t="array" ref="BB7:BB7">BB26</f>
        <v>Предложение организации</v>
      </c>
      <c r="BC7" s="64" cm="1" t="str">
        <f t="array" ref="BC7:BC7">BC26</f>
        <v>Принято органом регулирования</v>
      </c>
      <c r="BD7" s="64" cm="1" t="str">
        <f t="array" ref="BD7:BD7">BD26</f>
        <v>Отклонение, %</v>
      </c>
      <c r="BE7" s="64" cm="1" t="str">
        <f t="array" ref="BE7:BE7">BE26</f>
        <v>Предложение организации</v>
      </c>
      <c r="BF7" s="64" cm="1" t="str">
        <f t="array" ref="BF7:BF7">BF26</f>
        <v>Принято органом регулирования</v>
      </c>
      <c r="BG7" s="64" cm="1" t="str">
        <f t="array" ref="BG7:BG7">BG26</f>
        <v>Отклонение, %</v>
      </c>
      <c r="BH7" s="64" cm="1" t="str">
        <f t="array" ref="BH7:BH7">BH26</f>
        <v>Предложение организации</v>
      </c>
      <c r="BI7" s="64" cm="1" t="str">
        <f t="array" ref="BI7:BI7">BI26</f>
        <v>Принято органом регулирования</v>
      </c>
      <c r="BJ7" s="64" cm="1" t="str">
        <f t="array" ref="BJ7:BJ7">BJ26</f>
        <v>Отклонение, %</v>
      </c>
      <c r="BK7" s="64" cm="1" t="str">
        <f t="array" ref="BK7:BK7">BK26</f>
        <v>Предложение организации</v>
      </c>
      <c r="BL7" s="64" cm="1" t="str">
        <f t="array" ref="BL7:BL7">BL26</f>
        <v>Принято органом регулирования</v>
      </c>
      <c r="BM7" s="64" cm="1" t="str">
        <f t="array" ref="BM7:BM7">BM26</f>
        <v>Отклонение, %</v>
      </c>
      <c r="BN7" s="64" cm="1" t="str">
        <f t="array" ref="BN7:BN7">BN26</f>
        <v>Предложение организации</v>
      </c>
      <c r="BO7" s="64" cm="1" t="str">
        <f t="array" ref="BO7:BO7">BO26</f>
        <v>Принято органом регулирования</v>
      </c>
      <c r="BP7" s="64" cm="1" t="str">
        <f t="array" ref="BP7:BP7">BP26</f>
        <v>Отклонение, %</v>
      </c>
      <c r="BQ7" s="64" cm="1" t="str">
        <f t="array" ref="BQ7:BQ7">BQ26</f>
        <v>Предложение организации</v>
      </c>
      <c r="BR7" s="64" cm="1" t="str">
        <f t="array" ref="BR7:BR7">BR26</f>
        <v>Принято органом регулирования</v>
      </c>
      <c r="BS7" s="64" cm="1" t="str">
        <f t="array" ref="BS7:BS7">BS26</f>
        <v>Отклонение, %</v>
      </c>
      <c r="BT7" s="64" cm="1" t="str">
        <f t="array" ref="BT7:BT7">BT26</f>
        <v>Предложение организации</v>
      </c>
      <c r="BU7" s="64" cm="1" t="str">
        <f t="array" ref="BU7:BU7">BU26</f>
        <v>Принято органом регулирования</v>
      </c>
      <c r="BV7" s="64" cm="1" t="str">
        <f t="array" ref="BV7:BV7">BV26</f>
        <v>Отклонение, %</v>
      </c>
      <c r="BW7" s="64" cm="1" t="str">
        <f t="array" ref="BW7:BW7">BW26</f>
        <v>Предложение организации</v>
      </c>
      <c r="BX7" s="64" cm="1" t="str">
        <f t="array" ref="BX7:BX7">BX26</f>
        <v>Принято органом регулирования</v>
      </c>
      <c r="BY7" s="64" cm="1" t="str">
        <f t="array" ref="BY7:BY7">BY26</f>
        <v>Отклонение, %</v>
      </c>
      <c r="BZ7" s="64" cm="1" t="str">
        <f t="array" ref="BZ7:BZ7">BZ26</f>
        <v>Предложение организации</v>
      </c>
      <c r="CA7" s="64" cm="1" t="str">
        <f t="array" ref="CA7:CA7">CA26</f>
        <v>Принято органом регулирования</v>
      </c>
      <c r="CB7" s="64" cm="1" t="str">
        <f t="array" ref="CB7:CB7">CB26</f>
        <v>Отклонение, %</v>
      </c>
      <c r="CC7" s="64" cm="1" t="str">
        <f t="array" ref="CC7:CC7">CC26</f>
        <v>Предложение организации</v>
      </c>
      <c r="CD7" s="64" cm="1" t="str">
        <f t="array" ref="CD7:CD7">CD26</f>
        <v>Принято органом регулирования</v>
      </c>
      <c r="CE7" s="64" cm="1" t="str">
        <f t="array" ref="CE7:CE7">CE26</f>
        <v>Отклонение, %</v>
      </c>
      <c r="CF7" s="64" cm="1" t="str">
        <f t="array" ref="CF7:CF7">CF26</f>
        <v>Предложение организации</v>
      </c>
      <c r="CG7" s="64" cm="1" t="str">
        <f t="array" ref="CG7:CG7">CG26</f>
        <v>Принято органом регулирования</v>
      </c>
      <c r="CH7" s="64" cm="1" t="str">
        <f t="array" ref="CH7:CH7">CH26</f>
        <v>Отклонение, %</v>
      </c>
      <c r="CI7" s="64" cm="1" t="str">
        <f t="array" ref="CI7:CI7">CI26</f>
        <v>Предложение организации</v>
      </c>
      <c r="CJ7" s="64" cm="1" t="str">
        <f t="array" ref="CJ7:CJ7">CJ26</f>
        <v>Принято органом регулирования</v>
      </c>
      <c r="CK7" s="64" cm="1" t="str">
        <f t="array" ref="CK7:CK7">CK26</f>
        <v>Отклонение, %</v>
      </c>
      <c r="CL7" s="64" cm="1" t="str">
        <f t="array" ref="CL7:CL7">CL26</f>
        <v>Предложение организации</v>
      </c>
      <c r="CM7" s="64" cm="1" t="str">
        <f t="array" ref="CM7:CM7">CM26</f>
        <v>Принято органом регулирования</v>
      </c>
      <c r="CN7" s="64" cm="1" t="str">
        <f t="array" ref="CN7:CN7">CN26</f>
        <v>Отклонение, %</v>
      </c>
      <c r="CO7" s="64" cm="1" t="str">
        <f t="array" ref="CO7:CO7">CO26</f>
        <v>Предложение организации</v>
      </c>
      <c r="CP7" s="64" cm="1" t="str">
        <f t="array" ref="CP7:CP7">CP26</f>
        <v>Принято органом регулирования</v>
      </c>
      <c r="CQ7" s="64" cm="1" t="str">
        <f t="array" ref="CQ7:CQ7">CQ26</f>
        <v>Отклонение, %</v>
      </c>
      <c r="CR7" s="64" cm="1" t="str">
        <f t="array" ref="CR7:CR7">CR26</f>
        <v>Предложение организации</v>
      </c>
      <c r="CS7" s="64" cm="1" t="str">
        <f t="array" ref="CS7:CS7">CS26</f>
        <v>Принято органом регулирования</v>
      </c>
      <c r="CT7" s="64" cm="1" t="str">
        <f t="array" ref="CT7:CT7">CT26</f>
        <v>Отклонение, %</v>
      </c>
      <c r="CU7" s="64" cm="1" t="str">
        <f t="array" ref="CU7:CU7">CU26</f>
        <v>Предложение организации</v>
      </c>
      <c r="CV7" s="64" cm="1" t="str">
        <f t="array" ref="CV7:CV7">CV26</f>
        <v>Принято органом регулирования</v>
      </c>
      <c r="CW7" s="64" cm="1" t="str">
        <f t="array" ref="CW7:CW7">CW26</f>
        <v>Отклонение, %</v>
      </c>
      <c r="CX7" s="64" cm="1" t="str">
        <f t="array" ref="CX7:CX7">CX26</f>
        <v>Предложение организации</v>
      </c>
      <c r="CY7" s="64" cm="1" t="str">
        <f t="array" ref="CY7:CY7">CY26</f>
        <v>Принято органом регулирования</v>
      </c>
      <c r="CZ7" s="64" cm="1" t="str">
        <f t="array" ref="CZ7:CZ7">CZ26</f>
        <v>Отклонение, %</v>
      </c>
      <c r="DA7" s="64" cm="1" t="str">
        <f t="array" ref="DA7:DA7">DA26</f>
        <v>Предложение организации</v>
      </c>
      <c r="DB7" s="64" cm="1" t="str">
        <f t="array" ref="DB7:DB7">DB26</f>
        <v>Принято органом регулирования</v>
      </c>
      <c r="DC7" s="64" cm="1" t="str">
        <f t="array" ref="DC7:DC7">DC26</f>
        <v>Отклонение, %</v>
      </c>
      <c r="DD7" s="64" cm="1" t="str">
        <f t="array" ref="DD7:DD7">DD26</f>
        <v>Предложение организации</v>
      </c>
      <c r="DE7" s="64" cm="1" t="str">
        <f t="array" ref="DE7:DE7">DE26</f>
        <v>Принято органом регулирования</v>
      </c>
      <c r="DF7" s="64" cm="1" t="str">
        <f t="array" ref="DF7:DF7">DF26</f>
        <v>Отклонение, %</v>
      </c>
      <c r="DG7" s="64" cm="1" t="str">
        <f t="array" ref="DG7:DG7">DG26</f>
        <v>Предложение организации</v>
      </c>
      <c r="DH7" s="64" cm="1" t="str">
        <f t="array" ref="DH7:DH7">DH26</f>
        <v>Принято органом регулирования</v>
      </c>
      <c r="DI7" s="64" cm="1" t="str">
        <f t="array" ref="DI7:DI7">DI26</f>
        <v>Отклонение, %</v>
      </c>
      <c r="DJ7" s="64" cm="1" t="str">
        <f t="array" ref="DJ7:DJ7">DJ26</f>
        <v>Предложение организации</v>
      </c>
      <c r="DK7" s="64" cm="1" t="str">
        <f t="array" ref="DK7:DK7">DK26</f>
        <v>Принято органом регулирования</v>
      </c>
      <c r="DL7" s="64" cm="1" t="str">
        <f t="array" ref="DL7:DL7">DL26</f>
        <v>Отклонение, %</v>
      </c>
      <c r="DM7" s="64" cm="1" t="str">
        <f t="array" ref="DM7:DM7">DM26</f>
        <v>Предложение организации</v>
      </c>
      <c r="DN7" s="64" cm="1" t="str">
        <f t="array" ref="DN7:DN7">DN26</f>
        <v>Принято органом регулирования</v>
      </c>
      <c r="DO7" s="64" cm="1" t="str">
        <f t="array" ref="DO7:DO7">DO26</f>
        <v>Отклонение, %</v>
      </c>
      <c r="DP7" s="64" cm="1" t="str">
        <f t="array" ref="DP7:DP7">DP26</f>
        <v>Предложение организации</v>
      </c>
      <c r="DQ7" s="64" cm="1" t="str">
        <f t="array" ref="DQ7:DQ7">DQ26</f>
        <v>Принято органом регулирования</v>
      </c>
      <c r="DR7" s="64" cm="1" t="str">
        <f t="array" ref="DR7:DR7">DR26</f>
        <v>Отклонение, %</v>
      </c>
      <c r="DS7" s="64" cm="1" t="str">
        <f t="array" ref="DS7:DS7">DS26</f>
        <v>Предложение организации</v>
      </c>
      <c r="DT7" s="64" cm="1" t="str">
        <f t="array" ref="DT7:DT7">DT26</f>
        <v>Принято органом регулирования</v>
      </c>
      <c r="DU7" s="64" cm="1" t="str">
        <f t="array" ref="DU7:DU7">DU26</f>
        <v>Отклонение, %</v>
      </c>
      <c r="DV7" s="64" cm="1" t="str">
        <f t="array" ref="DV7:DV7">DV26</f>
        <v>Предложение организации</v>
      </c>
      <c r="DW7" s="64" cm="1" t="str">
        <f t="array" ref="DW7:DW7">DW26</f>
        <v>Принято органом регулирования</v>
      </c>
      <c r="DX7" s="64" cm="1" t="str">
        <f t="array" ref="DX7:DX7">DX26</f>
        <v>Отклонение, %</v>
      </c>
      <c r="DY7" s="64" cm="1" t="str">
        <f t="array" ref="DY7:DY7">DY26</f>
        <v>Предложение организации</v>
      </c>
      <c r="DZ7" s="64" cm="1" t="str">
        <f t="array" ref="DZ7:DZ7">DZ26</f>
        <v>Принято органом регулирования</v>
      </c>
      <c r="EA7" s="64" cm="1" t="str">
        <f t="array" ref="EA7:EA7">EA26</f>
        <v>Отклонение, %</v>
      </c>
      <c r="EB7" s="64" cm="1" t="str">
        <f t="array" ref="EB7:EB7">EB26</f>
        <v>Предложение организации</v>
      </c>
      <c r="EC7" s="64" cm="1" t="str">
        <f t="array" ref="EC7:EC7">EC26</f>
        <v>Принято органом регулирования</v>
      </c>
      <c r="ED7" s="64" cm="1" t="str">
        <f t="array" ref="ED7:ED7">ED26</f>
        <v>Отклонение, %</v>
      </c>
      <c r="EE7" s="64" cm="1" t="str">
        <f t="array" ref="EE7:EE7">EE26</f>
        <v>Предложение организации</v>
      </c>
      <c r="EF7" s="64" cm="1" t="str">
        <f t="array" ref="EF7:EF7">EF26</f>
        <v>Принято органом регулирования</v>
      </c>
      <c r="EG7" s="64" cm="1" t="str">
        <f t="array" ref="EG7:EG7">EG26</f>
        <v>Отклонение, %</v>
      </c>
      <c r="EH7" s="64" cm="1" t="str">
        <f t="array" ref="EH7:EH7">EH26</f>
        <v>Предложение организации</v>
      </c>
      <c r="EI7" s="64" cm="1" t="str">
        <f t="array" ref="EI7:EI7">EI26</f>
        <v>Принято органом регулирования</v>
      </c>
      <c r="EJ7" s="64" cm="1" t="str">
        <f t="array" ref="EJ7:EJ7">EJ26</f>
        <v>Отклонение, %</v>
      </c>
      <c r="EK7" s="64" cm="1" t="str">
        <f t="array" ref="EK7:EK7">EK26</f>
        <v>Предложение организации</v>
      </c>
      <c r="EL7" s="64" cm="1" t="str">
        <f t="array" ref="EL7:EL7">EL26</f>
        <v>Принято органом регулирования</v>
      </c>
      <c r="EM7" s="64" cm="1" t="str">
        <f t="array" ref="EM7:EM7">EM26</f>
        <v>Отклонение, %</v>
      </c>
      <c r="EN7" s="64" cm="1" t="str">
        <f t="array" ref="EN7:EN7">EN26</f>
        <v>Предложение организации</v>
      </c>
      <c r="EO7" s="64" cm="1" t="str">
        <f t="array" ref="EO7:EO7">EO26</f>
        <v>Принято органом регулирования</v>
      </c>
      <c r="EP7" s="64" cm="1" t="str">
        <f t="array" ref="EP7:EP7">EP26</f>
        <v>Отклонение, %</v>
      </c>
      <c r="EQ7" s="64" cm="1" t="str">
        <f t="array" ref="EQ7:EQ7">EQ26</f>
        <v>Предложение организации</v>
      </c>
      <c r="ER7" s="64" cm="1" t="str">
        <f t="array" ref="ER7:ER7">ER26</f>
        <v>Принято органом регулирования</v>
      </c>
      <c r="ES7" s="64" cm="1" t="str">
        <f t="array" ref="ES7:ES7">ES26</f>
        <v>Отклонение, %</v>
      </c>
      <c r="ET7" s="64" cm="1" t="str">
        <f t="array" ref="ET7:ET7">ET26</f>
        <v>Предложение организации</v>
      </c>
      <c r="EU7" s="64" cm="1" t="str">
        <f t="array" ref="EU7:EU7">EU26</f>
        <v>Принято органом регулирования</v>
      </c>
      <c r="EV7" s="64" cm="1" t="str">
        <f t="array" ref="EV7:EV7">EV26</f>
        <v>Отклонение, %</v>
      </c>
      <c r="EW7" s="64" cm="1" t="str">
        <f t="array" ref="EW7:EW7">EW26</f>
        <v>Предложение организации</v>
      </c>
      <c r="EX7" s="64" cm="1" t="str">
        <f t="array" ref="EX7:EX7">EX26</f>
        <v>Принято органом регулирования</v>
      </c>
      <c r="EY7" s="64" cm="1" t="str">
        <f t="array" ref="EY7:EY7">EY26</f>
        <v>Отклонение, %</v>
      </c>
      <c r="EZ7" s="64" cm="1" t="str">
        <f t="array" ref="EZ7:EZ7">EZ26</f>
        <v>Предложение организации</v>
      </c>
      <c r="FA7" s="64" cm="1" t="str">
        <f t="array" ref="FA7:FA7">FA26</f>
        <v>Принято органом регулирования</v>
      </c>
      <c r="FB7" s="64" cm="1" t="str">
        <f t="array" ref="FB7:FB7">FB26</f>
        <v>Отклонение, %</v>
      </c>
      <c r="FC7" s="64" cm="1" t="str">
        <f t="array" ref="FC7:FC7">FC26</f>
        <v>Предложение организации</v>
      </c>
      <c r="FD7" s="64" cm="1" t="str">
        <f t="array" ref="FD7:FD7">FD26</f>
        <v>Принято органом регулирования</v>
      </c>
      <c r="FE7" s="64" cm="1" t="str">
        <f t="array" ref="FE7:FE7">FE26</f>
        <v>Отклонение, %</v>
      </c>
      <c r="FF7" s="64" cm="1" t="str">
        <f t="array" ref="FF7:FF7">FF26</f>
        <v>Предложение организации</v>
      </c>
      <c r="FG7" s="64" cm="1" t="str">
        <f t="array" ref="FG7:FG7">FG26</f>
        <v>Принято органом регулирования</v>
      </c>
      <c r="FH7" s="64" cm="1" t="str">
        <f t="array" ref="FH7:FH7">FH26</f>
        <v>Отклонение, %</v>
      </c>
      <c r="FI7" s="64" cm="1" t="str">
        <f t="array" ref="FI7:FI7">FI26</f>
        <v>Предложение организации</v>
      </c>
      <c r="FJ7" s="64" cm="1" t="str">
        <f t="array" ref="FJ7:FJ7">FJ26</f>
        <v>Принято органом регулирования</v>
      </c>
      <c r="FK7" s="64" cm="1" t="str">
        <f t="array" ref="FK7:FK7">FK26</f>
        <v>Отклонение, %</v>
      </c>
      <c r="FL7" s="64" cm="1" t="str">
        <f t="array" ref="FL7:FL7">FL26</f>
        <v>Предложение организации</v>
      </c>
      <c r="FM7" s="64" cm="1" t="str">
        <f t="array" ref="FM7:FM7">FM26</f>
        <v>Принято органом регулирования</v>
      </c>
      <c r="FN7" s="64" cm="1" t="str">
        <f t="array" ref="FN7:FN7">FN26</f>
        <v>Отклонение, %</v>
      </c>
      <c r="FO7" s="64" cm="1" t="str">
        <f t="array" ref="FO7:FO7">FO26</f>
        <v>Предложение организации</v>
      </c>
      <c r="FP7" s="64" cm="1" t="str">
        <f t="array" ref="FP7:FP7">FP26</f>
        <v>Принято органом регулирования</v>
      </c>
      <c r="FQ7" s="64" cm="1" t="str">
        <f t="array" ref="FQ7:FQ7">FQ26</f>
        <v>Отклонение, %</v>
      </c>
      <c r="FR7" s="64" cm="1" t="str">
        <f t="array" ref="FR7:FR7">FR26</f>
        <v>Предложение организации</v>
      </c>
      <c r="FS7" s="64" cm="1" t="str">
        <f t="array" ref="FS7:FS7">FS26</f>
        <v>Принято органом регулирования</v>
      </c>
      <c r="FT7" s="64" cm="1" t="str">
        <f t="array" ref="FT7:FT7">FT26</f>
        <v>Отклонение, %</v>
      </c>
      <c r="FU7" s="64" cm="1" t="str">
        <f t="array" ref="FU7:FU7">FU26</f>
        <v>Предложение организации</v>
      </c>
      <c r="FV7" s="64" cm="1" t="str">
        <f t="array" ref="FV7:FV7">FV26</f>
        <v>Принято органом регулирования</v>
      </c>
      <c r="FW7" s="64" cm="1" t="str">
        <f t="array" ref="FW7:FW7">FW26</f>
        <v>Отклонение, %</v>
      </c>
    </row>
    <row customHeight="1" ht="11.25" hidden="1">
      <c r="AD8" s="64" t="str">
        <f>AD6&amp;AD7</f>
        <v>2026Предложение организации</v>
      </c>
      <c r="AE8" s="64" t="str">
        <f>AE6&amp;AE7</f>
        <v>2026Принято органом регулирования</v>
      </c>
      <c r="AF8" s="64" t="str">
        <f>AF6&amp;AF7</f>
        <v>2026Отклонение, %</v>
      </c>
      <c r="AG8" s="64" t="str">
        <f>AG6&amp;AG7</f>
        <v>2027Предложение организации</v>
      </c>
      <c r="AH8" s="64" t="str">
        <f>AH6&amp;AH7</f>
        <v>2027Принято органом регулирования</v>
      </c>
      <c r="AI8" s="64" t="str">
        <f>AI6&amp;AI7</f>
        <v>2027Отклонение, %</v>
      </c>
      <c r="AJ8" s="64" t="str">
        <f>AJ6&amp;AJ7</f>
        <v>2028Предложение организации</v>
      </c>
      <c r="AK8" s="64" t="str">
        <f>AK6&amp;AK7</f>
        <v>2028Принято органом регулирования</v>
      </c>
      <c r="AL8" s="64" t="str">
        <f>AL6&amp;AL7</f>
        <v>2028Отклонение, %</v>
      </c>
      <c r="AM8" s="64" t="str">
        <f>AM6&amp;AM7</f>
        <v>2029Предложение организации</v>
      </c>
      <c r="AN8" s="64" t="str">
        <f>AN6&amp;AN7</f>
        <v>2029Принято органом регулирования</v>
      </c>
      <c r="AO8" s="64" t="str">
        <f>AO6&amp;AO7</f>
        <v>2029Отклонение, %</v>
      </c>
      <c r="AP8" s="64" t="str">
        <f>AP6&amp;AP7</f>
        <v>2030Предложение организации</v>
      </c>
      <c r="AQ8" s="64" t="str">
        <f>AQ6&amp;AQ7</f>
        <v>2030Принято органом регулирования</v>
      </c>
      <c r="AR8" s="64" t="str">
        <f>AR6&amp;AR7</f>
        <v>2030Отклонение, %</v>
      </c>
      <c r="AS8" s="64" t="str">
        <f>AS6&amp;AS7</f>
        <v>2031Предложение организации</v>
      </c>
      <c r="AT8" s="64" t="str">
        <f>AT6&amp;AT7</f>
        <v>2031Принято органом регулирования</v>
      </c>
      <c r="AU8" s="64" t="str">
        <f>AU6&amp;AU7</f>
        <v>2031Отклонение, %</v>
      </c>
      <c r="AV8" s="64" t="str">
        <f>AV6&amp;AV7</f>
        <v>2032Предложение организации</v>
      </c>
      <c r="AW8" s="64" t="str">
        <f>AW6&amp;AW7</f>
        <v>2032Принято органом регулирования</v>
      </c>
      <c r="AX8" s="64" t="str">
        <f>AX6&amp;AX7</f>
        <v>2032Отклонение, %</v>
      </c>
      <c r="AY8" s="64" t="str">
        <f>AY6&amp;AY7</f>
        <v>2033Предложение организации</v>
      </c>
      <c r="AZ8" s="64" t="str">
        <f>AZ6&amp;AZ7</f>
        <v>2033Принято органом регулирования</v>
      </c>
      <c r="BA8" s="64" t="str">
        <f>BA6&amp;BA7</f>
        <v>2033Отклонение, %</v>
      </c>
      <c r="BB8" s="64" t="str">
        <f>BB6&amp;BB7</f>
        <v>2034Предложение организации</v>
      </c>
      <c r="BC8" s="64" t="str">
        <f>BC6&amp;BC7</f>
        <v>2034Принято органом регулирования</v>
      </c>
      <c r="BD8" s="64" t="str">
        <f>BD6&amp;BD7</f>
        <v>2034Отклонение, %</v>
      </c>
      <c r="BE8" s="64" t="str">
        <f>BE6&amp;BE7</f>
        <v>2035Предложение организации</v>
      </c>
      <c r="BF8" s="64" t="str">
        <f>BF6&amp;BF7</f>
        <v>2035Принято органом регулирования</v>
      </c>
      <c r="BG8" s="64" t="str">
        <f>BG6&amp;BG7</f>
        <v>2035Отклонение, %</v>
      </c>
      <c r="BH8" s="64" t="str">
        <f>BH6&amp;BH7</f>
        <v>2036Предложение организации</v>
      </c>
      <c r="BI8" s="64" t="str">
        <f>BI6&amp;BI7</f>
        <v>2036Принято органом регулирования</v>
      </c>
      <c r="BJ8" s="64" t="str">
        <f>BJ6&amp;BJ7</f>
        <v>2036Отклонение, %</v>
      </c>
      <c r="BK8" s="64" t="str">
        <f>BK6&amp;BK7</f>
        <v>2037Предложение организации</v>
      </c>
      <c r="BL8" s="64" t="str">
        <f>BL6&amp;BL7</f>
        <v>2037Принято органом регулирования</v>
      </c>
      <c r="BM8" s="64" t="str">
        <f>BM6&amp;BM7</f>
        <v>2037Отклонение, %</v>
      </c>
      <c r="BN8" s="64" t="str">
        <f>BN6&amp;BN7</f>
        <v>2038Предложение организации</v>
      </c>
      <c r="BO8" s="64" t="str">
        <f>BO6&amp;BO7</f>
        <v>2038Принято органом регулирования</v>
      </c>
      <c r="BP8" s="64" t="str">
        <f>BP6&amp;BP7</f>
        <v>2038Отклонение, %</v>
      </c>
      <c r="BQ8" s="64" t="str">
        <f>BQ6&amp;BQ7</f>
        <v>2039Предложение организации</v>
      </c>
      <c r="BR8" s="64" t="str">
        <f>BR6&amp;BR7</f>
        <v>2039Принято органом регулирования</v>
      </c>
      <c r="BS8" s="64" t="str">
        <f>BS6&amp;BS7</f>
        <v>2039Отклонение, %</v>
      </c>
      <c r="BT8" s="64" t="str">
        <f>BT6&amp;BT7</f>
        <v>2040Предложение организации</v>
      </c>
      <c r="BU8" s="64" t="str">
        <f>BU6&amp;BU7</f>
        <v>2040Принято органом регулирования</v>
      </c>
      <c r="BV8" s="64" t="str">
        <f>BV6&amp;BV7</f>
        <v>2040Отклонение, %</v>
      </c>
      <c r="BW8" s="64" t="str">
        <f>BW6&amp;BW7</f>
        <v>2041Предложение организации</v>
      </c>
      <c r="BX8" s="64" t="str">
        <f>BX6&amp;BX7</f>
        <v>2041Принято органом регулирования</v>
      </c>
      <c r="BY8" s="64" t="str">
        <f>BY6&amp;BY7</f>
        <v>2041Отклонение, %</v>
      </c>
      <c r="BZ8" s="64" t="str">
        <f>BZ6&amp;BZ7</f>
        <v>2042Предложение организации</v>
      </c>
      <c r="CA8" s="64" t="str">
        <f>CA6&amp;CA7</f>
        <v>2042Принято органом регулирования</v>
      </c>
      <c r="CB8" s="64" t="str">
        <f>CB6&amp;CB7</f>
        <v>2042Отклонение, %</v>
      </c>
      <c r="CC8" s="64" t="str">
        <f>CC6&amp;CC7</f>
        <v>2043Предложение организации</v>
      </c>
      <c r="CD8" s="64" t="str">
        <f>CD6&amp;CD7</f>
        <v>2043Принято органом регулирования</v>
      </c>
      <c r="CE8" s="64" t="str">
        <f>CE6&amp;CE7</f>
        <v>2043Отклонение, %</v>
      </c>
      <c r="CF8" s="64" t="str">
        <f>CF6&amp;CF7</f>
        <v>2044Предложение организации</v>
      </c>
      <c r="CG8" s="64" t="str">
        <f>CG6&amp;CG7</f>
        <v>2044Принято органом регулирования</v>
      </c>
      <c r="CH8" s="64" t="str">
        <f>CH6&amp;CH7</f>
        <v>2044Отклонение, %</v>
      </c>
      <c r="CI8" s="64" t="str">
        <f>CI6&amp;CI7</f>
        <v>2045Предложение организации</v>
      </c>
      <c r="CJ8" s="64" t="str">
        <f>CJ6&amp;CJ7</f>
        <v>2045Принято органом регулирования</v>
      </c>
      <c r="CK8" s="64" t="str">
        <f>CK6&amp;CK7</f>
        <v>2045Отклонение, %</v>
      </c>
      <c r="CL8" s="64" t="str">
        <f>CL6&amp;CL7</f>
        <v>2046Предложение организации</v>
      </c>
      <c r="CM8" s="64" t="str">
        <f>CM6&amp;CM7</f>
        <v>2046Принято органом регулирования</v>
      </c>
      <c r="CN8" s="64" t="str">
        <f>CN6&amp;CN7</f>
        <v>2046Отклонение, %</v>
      </c>
      <c r="CO8" s="64" t="str">
        <f>CO6&amp;CO7</f>
        <v>2047Предложение организации</v>
      </c>
      <c r="CP8" s="64" t="str">
        <f>CP6&amp;CP7</f>
        <v>2047Принято органом регулирования</v>
      </c>
      <c r="CQ8" s="64" t="str">
        <f>CQ6&amp;CQ7</f>
        <v>2047Отклонение, %</v>
      </c>
      <c r="CR8" s="64" t="str">
        <f>CR6&amp;CR7</f>
        <v>2048Предложение организации</v>
      </c>
      <c r="CS8" s="64" t="str">
        <f>CS6&amp;CS7</f>
        <v>2048Принято органом регулирования</v>
      </c>
      <c r="CT8" s="64" t="str">
        <f>CT6&amp;CT7</f>
        <v>2048Отклонение, %</v>
      </c>
      <c r="CU8" s="64" t="str">
        <f>CU6&amp;CU7</f>
        <v>2049Предложение организации</v>
      </c>
      <c r="CV8" s="64" t="str">
        <f>CV6&amp;CV7</f>
        <v>2049Принято органом регулирования</v>
      </c>
      <c r="CW8" s="64" t="str">
        <f>CW6&amp;CW7</f>
        <v>2049Отклонение, %</v>
      </c>
      <c r="CX8" s="64" t="str">
        <f>CX6&amp;CX7</f>
        <v>2050Предложение организации</v>
      </c>
      <c r="CY8" s="64" t="str">
        <f>CY6&amp;CY7</f>
        <v>2050Принято органом регулирования</v>
      </c>
      <c r="CZ8" s="64" t="str">
        <f>CZ6&amp;CZ7</f>
        <v>2050Отклонение, %</v>
      </c>
      <c r="DA8" s="64" t="str">
        <f>DA6&amp;DA7</f>
        <v>2051Предложение организации</v>
      </c>
      <c r="DB8" s="64" t="str">
        <f>DB6&amp;DB7</f>
        <v>2051Принято органом регулирования</v>
      </c>
      <c r="DC8" s="64" t="str">
        <f>DC6&amp;DC7</f>
        <v>2051Отклонение, %</v>
      </c>
      <c r="DD8" s="64" t="str">
        <f>DD6&amp;DD7</f>
        <v>2052Предложение организации</v>
      </c>
      <c r="DE8" s="64" t="str">
        <f>DE6&amp;DE7</f>
        <v>2052Принято органом регулирования</v>
      </c>
      <c r="DF8" s="64" t="str">
        <f>DF6&amp;DF7</f>
        <v>2052Отклонение, %</v>
      </c>
      <c r="DG8" s="64" t="str">
        <f>DG6&amp;DG7</f>
        <v>2053Предложение организации</v>
      </c>
      <c r="DH8" s="64" t="str">
        <f>DH6&amp;DH7</f>
        <v>2053Принято органом регулирования</v>
      </c>
      <c r="DI8" s="64" t="str">
        <f>DI6&amp;DI7</f>
        <v>2053Отклонение, %</v>
      </c>
      <c r="DJ8" s="64" t="str">
        <f>DJ6&amp;DJ7</f>
        <v>2054Предложение организации</v>
      </c>
      <c r="DK8" s="64" t="str">
        <f>DK6&amp;DK7</f>
        <v>2054Принято органом регулирования</v>
      </c>
      <c r="DL8" s="64" t="str">
        <f>DL6&amp;DL7</f>
        <v>2054Отклонение, %</v>
      </c>
      <c r="DM8" s="64" t="str">
        <f>DM6&amp;DM7</f>
        <v>2055Предложение организации</v>
      </c>
      <c r="DN8" s="64" t="str">
        <f>DN6&amp;DN7</f>
        <v>2055Принято органом регулирования</v>
      </c>
      <c r="DO8" s="64" t="str">
        <f>DO6&amp;DO7</f>
        <v>2055Отклонение, %</v>
      </c>
      <c r="DP8" s="64" t="str">
        <f>DP6&amp;DP7</f>
        <v>2056Предложение организации</v>
      </c>
      <c r="DQ8" s="64" t="str">
        <f>DQ6&amp;DQ7</f>
        <v>2056Принято органом регулирования</v>
      </c>
      <c r="DR8" s="64" t="str">
        <f>DR6&amp;DR7</f>
        <v>2056Отклонение, %</v>
      </c>
      <c r="DS8" s="64" t="str">
        <f>DS6&amp;DS7</f>
        <v>2057Предложение организации</v>
      </c>
      <c r="DT8" s="64" t="str">
        <f>DT6&amp;DT7</f>
        <v>2057Принято органом регулирования</v>
      </c>
      <c r="DU8" s="64" t="str">
        <f>DU6&amp;DU7</f>
        <v>2057Отклонение, %</v>
      </c>
      <c r="DV8" s="64" t="str">
        <f>DV6&amp;DV7</f>
        <v>2058Предложение организации</v>
      </c>
      <c r="DW8" s="64" t="str">
        <f>DW6&amp;DW7</f>
        <v>2058Принято органом регулирования</v>
      </c>
      <c r="DX8" s="64" t="str">
        <f>DX6&amp;DX7</f>
        <v>2058Отклонение, %</v>
      </c>
      <c r="DY8" s="64" t="str">
        <f>DY6&amp;DY7</f>
        <v>2059Предложение организации</v>
      </c>
      <c r="DZ8" s="64" t="str">
        <f>DZ6&amp;DZ7</f>
        <v>2059Принято органом регулирования</v>
      </c>
      <c r="EA8" s="64" t="str">
        <f>EA6&amp;EA7</f>
        <v>2059Отклонение, %</v>
      </c>
      <c r="EB8" s="64" t="str">
        <f>EB6&amp;EB7</f>
        <v>2060Предложение организации</v>
      </c>
      <c r="EC8" s="64" t="str">
        <f>EC6&amp;EC7</f>
        <v>2060Принято органом регулирования</v>
      </c>
      <c r="ED8" s="64" t="str">
        <f>ED6&amp;ED7</f>
        <v>2060Отклонение, %</v>
      </c>
      <c r="EE8" s="64" t="str">
        <f>EE6&amp;EE7</f>
        <v>2061Предложение организации</v>
      </c>
      <c r="EF8" s="64" t="str">
        <f>EF6&amp;EF7</f>
        <v>2061Принято органом регулирования</v>
      </c>
      <c r="EG8" s="64" t="str">
        <f>EG6&amp;EG7</f>
        <v>2061Отклонение, %</v>
      </c>
      <c r="EH8" s="64" t="str">
        <f>EH6&amp;EH7</f>
        <v>2062Предложение организации</v>
      </c>
      <c r="EI8" s="64" t="str">
        <f>EI6&amp;EI7</f>
        <v>2062Принято органом регулирования</v>
      </c>
      <c r="EJ8" s="64" t="str">
        <f>EJ6&amp;EJ7</f>
        <v>2062Отклонение, %</v>
      </c>
      <c r="EK8" s="64" t="str">
        <f>EK6&amp;EK7</f>
        <v>2063Предложение организации</v>
      </c>
      <c r="EL8" s="64" t="str">
        <f>EL6&amp;EL7</f>
        <v>2063Принято органом регулирования</v>
      </c>
      <c r="EM8" s="64" t="str">
        <f>EM6&amp;EM7</f>
        <v>2063Отклонение, %</v>
      </c>
      <c r="EN8" s="64" t="str">
        <f>EN6&amp;EN7</f>
        <v>2064Предложение организации</v>
      </c>
      <c r="EO8" s="64" t="str">
        <f>EO6&amp;EO7</f>
        <v>2064Принято органом регулирования</v>
      </c>
      <c r="EP8" s="64" t="str">
        <f>EP6&amp;EP7</f>
        <v>2064Отклонение, %</v>
      </c>
      <c r="EQ8" s="64" t="str">
        <f>EQ6&amp;EQ7</f>
        <v>2065Предложение организации</v>
      </c>
      <c r="ER8" s="64" t="str">
        <f>ER6&amp;ER7</f>
        <v>2065Принято органом регулирования</v>
      </c>
      <c r="ES8" s="64" t="str">
        <f>ES6&amp;ES7</f>
        <v>2065Отклонение, %</v>
      </c>
      <c r="ET8" s="64" t="str">
        <f>ET6&amp;ET7</f>
        <v>2066Предложение организации</v>
      </c>
      <c r="EU8" s="64" t="str">
        <f>EU6&amp;EU7</f>
        <v>2066Принято органом регулирования</v>
      </c>
      <c r="EV8" s="64" t="str">
        <f>EV6&amp;EV7</f>
        <v>2066Отклонение, %</v>
      </c>
      <c r="EW8" s="64" t="str">
        <f>EW6&amp;EW7</f>
        <v>2067Предложение организации</v>
      </c>
      <c r="EX8" s="64" t="str">
        <f>EX6&amp;EX7</f>
        <v>2067Принято органом регулирования</v>
      </c>
      <c r="EY8" s="64" t="str">
        <f>EY6&amp;EY7</f>
        <v>2067Отклонение, %</v>
      </c>
      <c r="EZ8" s="64" t="str">
        <f>EZ6&amp;EZ7</f>
        <v>2068Предложение организации</v>
      </c>
      <c r="FA8" s="64" t="str">
        <f>FA6&amp;FA7</f>
        <v>2068Принято органом регулирования</v>
      </c>
      <c r="FB8" s="64" t="str">
        <f>FB6&amp;FB7</f>
        <v>2068Отклонение, %</v>
      </c>
      <c r="FC8" s="64" t="str">
        <f>FC6&amp;FC7</f>
        <v>2069Предложение организации</v>
      </c>
      <c r="FD8" s="64" t="str">
        <f>FD6&amp;FD7</f>
        <v>2069Принято органом регулирования</v>
      </c>
      <c r="FE8" s="64" t="str">
        <f>FE6&amp;FE7</f>
        <v>2069Отклонение, %</v>
      </c>
      <c r="FF8" s="64" t="str">
        <f>FF6&amp;FF7</f>
        <v>2070Предложение организации</v>
      </c>
      <c r="FG8" s="64" t="str">
        <f>FG6&amp;FG7</f>
        <v>2070Принято органом регулирования</v>
      </c>
      <c r="FH8" s="64" t="str">
        <f>FH6&amp;FH7</f>
        <v>2070Отклонение, %</v>
      </c>
      <c r="FI8" s="64" t="str">
        <f>FI6&amp;FI7</f>
        <v>2071Предложение организации</v>
      </c>
      <c r="FJ8" s="64" t="str">
        <f>FJ6&amp;FJ7</f>
        <v>2071Принято органом регулирования</v>
      </c>
      <c r="FK8" s="64" t="str">
        <f>FK6&amp;FK7</f>
        <v>2071Отклонение, %</v>
      </c>
      <c r="FL8" s="64" t="str">
        <f>FL6&amp;FL7</f>
        <v>2072Предложение организации</v>
      </c>
      <c r="FM8" s="64" t="str">
        <f>FM6&amp;FM7</f>
        <v>2072Принято органом регулирования</v>
      </c>
      <c r="FN8" s="64" t="str">
        <f>FN6&amp;FN7</f>
        <v>2072Отклонение, %</v>
      </c>
      <c r="FO8" s="64" t="str">
        <f>FO6&amp;FO7</f>
        <v>2073Предложение организации</v>
      </c>
      <c r="FP8" s="64" t="str">
        <f>FP6&amp;FP7</f>
        <v>2073Принято органом регулирования</v>
      </c>
      <c r="FQ8" s="64" t="str">
        <f>FQ6&amp;FQ7</f>
        <v>2073Отклонение, %</v>
      </c>
      <c r="FR8" s="64" t="str">
        <f>FR6&amp;FR7</f>
        <v>2074Предложение организации</v>
      </c>
      <c r="FS8" s="64" t="str">
        <f>FS6&amp;FS7</f>
        <v>2074Принято органом регулирования</v>
      </c>
      <c r="FT8" s="64" t="str">
        <f>FT6&amp;FT7</f>
        <v>2074Отклонение, %</v>
      </c>
      <c r="FU8" s="64" t="str">
        <f>FU6&amp;FU7</f>
        <v>2075Предложение организации</v>
      </c>
      <c r="FV8" s="64" t="str">
        <f>FV6&amp;FV7</f>
        <v>2075Принято органом регулирования</v>
      </c>
      <c r="FW8" s="64" t="str">
        <f>FW6&amp;FW7</f>
        <v>2075Отклонение, %</v>
      </c>
    </row>
    <row s="1284" customFormat="1" customHeight="1" ht="11.25" hidden="1">
      <c r="A9" s="992" t="s">
        <v>354</v>
      </c>
      <c r="B9" s="1029"/>
      <c r="F9" s="1030"/>
      <c r="AB9" s="1031"/>
      <c r="AC9" s="990"/>
      <c r="AD9" s="992" cm="1" t="str">
        <f t="array" ref="AD9:AD9">AD6</f>
        <v>2026</v>
      </c>
      <c r="AE9" s="992" cm="1" t="str">
        <f t="array" ref="AE9:AE9">AE6</f>
        <v>2026</v>
      </c>
      <c r="AF9" s="992" cm="1" t="str">
        <f t="array" ref="AF9:AF9">AF6</f>
        <v>2026</v>
      </c>
      <c r="AG9" s="992" cm="1" t="str">
        <f t="array" ref="AG9:AG9">AG6</f>
        <v>2027</v>
      </c>
      <c r="AH9" s="992" cm="1" t="str">
        <f t="array" ref="AH9:AH9">AH6</f>
        <v>2027</v>
      </c>
      <c r="AI9" s="992" cm="1" t="str">
        <f t="array" ref="AI9:AI9">AI6</f>
        <v>2027</v>
      </c>
      <c r="AJ9" s="992" cm="1" t="str">
        <f t="array" ref="AJ9:AJ9">AJ6</f>
        <v>2028</v>
      </c>
      <c r="AK9" s="992" cm="1" t="str">
        <f t="array" ref="AK9:AK9">AK6</f>
        <v>2028</v>
      </c>
      <c r="AL9" s="992" cm="1" t="str">
        <f t="array" ref="AL9:AL9">AL6</f>
        <v>2028</v>
      </c>
      <c r="AM9" s="992" cm="1" t="str">
        <f t="array" ref="AM9:AM9">AM6</f>
        <v>2029</v>
      </c>
      <c r="AN9" s="992" cm="1" t="str">
        <f t="array" ref="AN9:AN9">AN6</f>
        <v>2029</v>
      </c>
      <c r="AO9" s="992" cm="1" t="str">
        <f t="array" ref="AO9:AO9">AO6</f>
        <v>2029</v>
      </c>
      <c r="AP9" s="992" cm="1" t="str">
        <f t="array" ref="AP9:AP9">AP6</f>
        <v>2030</v>
      </c>
      <c r="AQ9" s="992" cm="1" t="str">
        <f t="array" ref="AQ9:AQ9">AQ6</f>
        <v>2030</v>
      </c>
      <c r="AR9" s="992" cm="1" t="str">
        <f t="array" ref="AR9:AR9">AR6</f>
        <v>2030</v>
      </c>
      <c r="AS9" s="992" cm="1" t="str">
        <f t="array" ref="AS9:AS9">AS6</f>
        <v>2031</v>
      </c>
      <c r="AT9" s="992" cm="1" t="str">
        <f t="array" ref="AT9:AT9">AT6</f>
        <v>2031</v>
      </c>
      <c r="AU9" s="992" cm="1" t="str">
        <f t="array" ref="AU9:AU9">AU6</f>
        <v>2031</v>
      </c>
      <c r="AV9" s="992" cm="1" t="str">
        <f t="array" ref="AV9:AV9">AV6</f>
        <v>2032</v>
      </c>
      <c r="AW9" s="992" cm="1" t="str">
        <f t="array" ref="AW9:AW9">AW6</f>
        <v>2032</v>
      </c>
      <c r="AX9" s="992" cm="1" t="str">
        <f t="array" ref="AX9:AX9">AX6</f>
        <v>2032</v>
      </c>
      <c r="AY9" s="992" cm="1" t="str">
        <f t="array" ref="AY9:AY9">AY6</f>
        <v>2033</v>
      </c>
      <c r="AZ9" s="992" cm="1" t="str">
        <f t="array" ref="AZ9:AZ9">AZ6</f>
        <v>2033</v>
      </c>
      <c r="BA9" s="992" cm="1" t="str">
        <f t="array" ref="BA9:BA9">BA6</f>
        <v>2033</v>
      </c>
      <c r="BB9" s="992" cm="1" t="str">
        <f t="array" ref="BB9:BB9">BB6</f>
        <v>2034</v>
      </c>
      <c r="BC9" s="992" cm="1" t="str">
        <f t="array" ref="BC9:BC9">BC6</f>
        <v>2034</v>
      </c>
      <c r="BD9" s="992" cm="1" t="str">
        <f t="array" ref="BD9:BD9">BD6</f>
        <v>2034</v>
      </c>
      <c r="BE9" s="992" cm="1" t="str">
        <f t="array" ref="BE9:BE9">BE6</f>
        <v>2035</v>
      </c>
      <c r="BF9" s="992" cm="1" t="str">
        <f t="array" ref="BF9:BF9">BF6</f>
        <v>2035</v>
      </c>
      <c r="BG9" s="992" cm="1" t="str">
        <f t="array" ref="BG9:BG9">BG6</f>
        <v>2035</v>
      </c>
      <c r="BH9" s="992" cm="1" t="str">
        <f t="array" ref="BH9:BH9">BH6</f>
        <v>2036</v>
      </c>
      <c r="BI9" s="992" cm="1" t="str">
        <f t="array" ref="BI9:BI9">BI6</f>
        <v>2036</v>
      </c>
      <c r="BJ9" s="992" cm="1" t="str">
        <f t="array" ref="BJ9:BJ9">BJ6</f>
        <v>2036</v>
      </c>
      <c r="BK9" s="992" cm="1" t="str">
        <f t="array" ref="BK9:BK9">BK6</f>
        <v>2037</v>
      </c>
      <c r="BL9" s="992" cm="1" t="str">
        <f t="array" ref="BL9:BL9">BL6</f>
        <v>2037</v>
      </c>
      <c r="BM9" s="992" cm="1" t="str">
        <f t="array" ref="BM9:BM9">BM6</f>
        <v>2037</v>
      </c>
      <c r="BN9" s="992" cm="1" t="str">
        <f t="array" ref="BN9:BN9">BN6</f>
        <v>2038</v>
      </c>
      <c r="BO9" s="992" cm="1" t="str">
        <f t="array" ref="BO9:BO9">BO6</f>
        <v>2038</v>
      </c>
      <c r="BP9" s="992" cm="1" t="str">
        <f t="array" ref="BP9:BP9">BP6</f>
        <v>2038</v>
      </c>
      <c r="BQ9" s="992" cm="1" t="str">
        <f t="array" ref="BQ9:BQ9">BQ6</f>
        <v>2039</v>
      </c>
      <c r="BR9" s="992" cm="1" t="str">
        <f t="array" ref="BR9:BR9">BR6</f>
        <v>2039</v>
      </c>
      <c r="BS9" s="992" cm="1" t="str">
        <f t="array" ref="BS9:BS9">BS6</f>
        <v>2039</v>
      </c>
      <c r="BT9" s="992" cm="1" t="str">
        <f t="array" ref="BT9:BT9">BT6</f>
        <v>2040</v>
      </c>
      <c r="BU9" s="992" cm="1" t="str">
        <f t="array" ref="BU9:BU9">BU6</f>
        <v>2040</v>
      </c>
      <c r="BV9" s="992" cm="1" t="str">
        <f t="array" ref="BV9:BV9">BV6</f>
        <v>2040</v>
      </c>
      <c r="BW9" s="992" cm="1" t="str">
        <f t="array" ref="BW9:BW9">BW6</f>
        <v>2041</v>
      </c>
      <c r="BX9" s="992" cm="1" t="str">
        <f t="array" ref="BX9:BX9">BX6</f>
        <v>2041</v>
      </c>
      <c r="BY9" s="992" cm="1" t="str">
        <f t="array" ref="BY9:BY9">BY6</f>
        <v>2041</v>
      </c>
      <c r="BZ9" s="992" cm="1" t="str">
        <f t="array" ref="BZ9:BZ9">BZ6</f>
        <v>2042</v>
      </c>
      <c r="CA9" s="992" cm="1" t="str">
        <f t="array" ref="CA9:CA9">CA6</f>
        <v>2042</v>
      </c>
      <c r="CB9" s="992" cm="1" t="str">
        <f t="array" ref="CB9:CB9">CB6</f>
        <v>2042</v>
      </c>
      <c r="CC9" s="992" cm="1" t="str">
        <f t="array" ref="CC9:CC9">CC6</f>
        <v>2043</v>
      </c>
      <c r="CD9" s="992" cm="1" t="str">
        <f t="array" ref="CD9:CD9">CD6</f>
        <v>2043</v>
      </c>
      <c r="CE9" s="992" cm="1" t="str">
        <f t="array" ref="CE9:CE9">CE6</f>
        <v>2043</v>
      </c>
      <c r="CF9" s="992" cm="1" t="str">
        <f t="array" ref="CF9:CF9">CF6</f>
        <v>2044</v>
      </c>
      <c r="CG9" s="992" cm="1" t="str">
        <f t="array" ref="CG9:CG9">CG6</f>
        <v>2044</v>
      </c>
      <c r="CH9" s="992" cm="1" t="str">
        <f t="array" ref="CH9:CH9">CH6</f>
        <v>2044</v>
      </c>
      <c r="CI9" s="992" cm="1" t="str">
        <f t="array" ref="CI9:CI9">CI6</f>
        <v>2045</v>
      </c>
      <c r="CJ9" s="992" cm="1" t="str">
        <f t="array" ref="CJ9:CJ9">CJ6</f>
        <v>2045</v>
      </c>
      <c r="CK9" s="992" cm="1" t="str">
        <f t="array" ref="CK9:CK9">CK6</f>
        <v>2045</v>
      </c>
      <c r="CL9" s="992" cm="1" t="str">
        <f t="array" ref="CL9:CL9">CL6</f>
        <v>2046</v>
      </c>
      <c r="CM9" s="992" cm="1" t="str">
        <f t="array" ref="CM9:CM9">CM6</f>
        <v>2046</v>
      </c>
      <c r="CN9" s="992" cm="1" t="str">
        <f t="array" ref="CN9:CN9">CN6</f>
        <v>2046</v>
      </c>
      <c r="CO9" s="992" cm="1" t="str">
        <f t="array" ref="CO9:CO9">CO6</f>
        <v>2047</v>
      </c>
      <c r="CP9" s="992" cm="1" t="str">
        <f t="array" ref="CP9:CP9">CP6</f>
        <v>2047</v>
      </c>
      <c r="CQ9" s="992" cm="1" t="str">
        <f t="array" ref="CQ9:CQ9">CQ6</f>
        <v>2047</v>
      </c>
      <c r="CR9" s="992" cm="1" t="str">
        <f t="array" ref="CR9:CR9">CR6</f>
        <v>2048</v>
      </c>
      <c r="CS9" s="992" cm="1" t="str">
        <f t="array" ref="CS9:CS9">CS6</f>
        <v>2048</v>
      </c>
      <c r="CT9" s="992" cm="1" t="str">
        <f t="array" ref="CT9:CT9">CT6</f>
        <v>2048</v>
      </c>
      <c r="CU9" s="992" cm="1" t="str">
        <f t="array" ref="CU9:CU9">CU6</f>
        <v>2049</v>
      </c>
      <c r="CV9" s="992" cm="1" t="str">
        <f t="array" ref="CV9:CV9">CV6</f>
        <v>2049</v>
      </c>
      <c r="CW9" s="992" cm="1" t="str">
        <f t="array" ref="CW9:CW9">CW6</f>
        <v>2049</v>
      </c>
      <c r="CX9" s="992" cm="1" t="str">
        <f t="array" ref="CX9:CX9">CX6</f>
        <v>2050</v>
      </c>
      <c r="CY9" s="992" cm="1" t="str">
        <f t="array" ref="CY9:CY9">CY6</f>
        <v>2050</v>
      </c>
      <c r="CZ9" s="992" cm="1" t="str">
        <f t="array" ref="CZ9:CZ9">CZ6</f>
        <v>2050</v>
      </c>
      <c r="DA9" s="992" cm="1" t="str">
        <f t="array" ref="DA9:DA9">DA6</f>
        <v>2051</v>
      </c>
      <c r="DB9" s="992" cm="1" t="str">
        <f t="array" ref="DB9:DB9">DB6</f>
        <v>2051</v>
      </c>
      <c r="DC9" s="992" cm="1" t="str">
        <f t="array" ref="DC9:DC9">DC6</f>
        <v>2051</v>
      </c>
      <c r="DD9" s="992" cm="1" t="str">
        <f t="array" ref="DD9:DD9">DD6</f>
        <v>2052</v>
      </c>
      <c r="DE9" s="992" cm="1" t="str">
        <f t="array" ref="DE9:DE9">DE6</f>
        <v>2052</v>
      </c>
      <c r="DF9" s="992" cm="1" t="str">
        <f t="array" ref="DF9:DF9">DF6</f>
        <v>2052</v>
      </c>
      <c r="DG9" s="992" cm="1" t="str">
        <f t="array" ref="DG9:DG9">DG6</f>
        <v>2053</v>
      </c>
      <c r="DH9" s="992" cm="1" t="str">
        <f t="array" ref="DH9:DH9">DH6</f>
        <v>2053</v>
      </c>
      <c r="DI9" s="992" cm="1" t="str">
        <f t="array" ref="DI9:DI9">DI6</f>
        <v>2053</v>
      </c>
      <c r="DJ9" s="992" cm="1" t="str">
        <f t="array" ref="DJ9:DJ9">DJ6</f>
        <v>2054</v>
      </c>
      <c r="DK9" s="992" cm="1" t="str">
        <f t="array" ref="DK9:DK9">DK6</f>
        <v>2054</v>
      </c>
      <c r="DL9" s="992" cm="1" t="str">
        <f t="array" ref="DL9:DL9">DL6</f>
        <v>2054</v>
      </c>
      <c r="DM9" s="992" cm="1" t="str">
        <f t="array" ref="DM9:DM9">DM6</f>
        <v>2055</v>
      </c>
      <c r="DN9" s="992" cm="1" t="str">
        <f t="array" ref="DN9:DN9">DN6</f>
        <v>2055</v>
      </c>
      <c r="DO9" s="992" cm="1" t="str">
        <f t="array" ref="DO9:DO9">DO6</f>
        <v>2055</v>
      </c>
      <c r="DP9" s="992" cm="1" t="str">
        <f t="array" ref="DP9:DP9">DP6</f>
        <v>2056</v>
      </c>
      <c r="DQ9" s="992" cm="1" t="str">
        <f t="array" ref="DQ9:DQ9">DQ6</f>
        <v>2056</v>
      </c>
      <c r="DR9" s="992" cm="1" t="str">
        <f t="array" ref="DR9:DR9">DR6</f>
        <v>2056</v>
      </c>
      <c r="DS9" s="992" cm="1" t="str">
        <f t="array" ref="DS9:DS9">DS6</f>
        <v>2057</v>
      </c>
      <c r="DT9" s="992" cm="1" t="str">
        <f t="array" ref="DT9:DT9">DT6</f>
        <v>2057</v>
      </c>
      <c r="DU9" s="992" cm="1" t="str">
        <f t="array" ref="DU9:DU9">DU6</f>
        <v>2057</v>
      </c>
      <c r="DV9" s="992" cm="1" t="str">
        <f t="array" ref="DV9:DV9">DV6</f>
        <v>2058</v>
      </c>
      <c r="DW9" s="992" cm="1" t="str">
        <f t="array" ref="DW9:DW9">DW6</f>
        <v>2058</v>
      </c>
      <c r="DX9" s="992" cm="1" t="str">
        <f t="array" ref="DX9:DX9">DX6</f>
        <v>2058</v>
      </c>
      <c r="DY9" s="992" cm="1" t="str">
        <f t="array" ref="DY9:DY9">DY6</f>
        <v>2059</v>
      </c>
      <c r="DZ9" s="992" cm="1" t="str">
        <f t="array" ref="DZ9:DZ9">DZ6</f>
        <v>2059</v>
      </c>
      <c r="EA9" s="992" cm="1" t="str">
        <f t="array" ref="EA9:EA9">EA6</f>
        <v>2059</v>
      </c>
      <c r="EB9" s="992" cm="1" t="str">
        <f t="array" ref="EB9:EB9">EB6</f>
        <v>2060</v>
      </c>
      <c r="EC9" s="992" cm="1" t="str">
        <f t="array" ref="EC9:EC9">EC6</f>
        <v>2060</v>
      </c>
      <c r="ED9" s="992" cm="1" t="str">
        <f t="array" ref="ED9:ED9">ED6</f>
        <v>2060</v>
      </c>
      <c r="EE9" s="992" cm="1" t="str">
        <f t="array" ref="EE9:EE9">EE6</f>
        <v>2061</v>
      </c>
      <c r="EF9" s="992" cm="1" t="str">
        <f t="array" ref="EF9:EF9">EF6</f>
        <v>2061</v>
      </c>
      <c r="EG9" s="992" cm="1" t="str">
        <f t="array" ref="EG9:EG9">EG6</f>
        <v>2061</v>
      </c>
      <c r="EH9" s="992" cm="1" t="str">
        <f t="array" ref="EH9:EH9">EH6</f>
        <v>2062</v>
      </c>
      <c r="EI9" s="992" cm="1" t="str">
        <f t="array" ref="EI9:EI9">EI6</f>
        <v>2062</v>
      </c>
      <c r="EJ9" s="992" cm="1" t="str">
        <f t="array" ref="EJ9:EJ9">EJ6</f>
        <v>2062</v>
      </c>
      <c r="EK9" s="992" cm="1" t="str">
        <f t="array" ref="EK9:EK9">EK6</f>
        <v>2063</v>
      </c>
      <c r="EL9" s="992" cm="1" t="str">
        <f t="array" ref="EL9:EL9">EL6</f>
        <v>2063</v>
      </c>
      <c r="EM9" s="992" cm="1" t="str">
        <f t="array" ref="EM9:EM9">EM6</f>
        <v>2063</v>
      </c>
      <c r="EN9" s="992" cm="1" t="str">
        <f t="array" ref="EN9:EN9">EN6</f>
        <v>2064</v>
      </c>
      <c r="EO9" s="992" cm="1" t="str">
        <f t="array" ref="EO9:EO9">EO6</f>
        <v>2064</v>
      </c>
      <c r="EP9" s="992" cm="1" t="str">
        <f t="array" ref="EP9:EP9">EP6</f>
        <v>2064</v>
      </c>
      <c r="EQ9" s="992" cm="1" t="str">
        <f t="array" ref="EQ9:EQ9">EQ6</f>
        <v>2065</v>
      </c>
      <c r="ER9" s="992" cm="1" t="str">
        <f t="array" ref="ER9:ER9">ER6</f>
        <v>2065</v>
      </c>
      <c r="ES9" s="992" cm="1" t="str">
        <f t="array" ref="ES9:ES9">ES6</f>
        <v>2065</v>
      </c>
      <c r="ET9" s="992" cm="1" t="str">
        <f t="array" ref="ET9:ET9">ET6</f>
        <v>2066</v>
      </c>
      <c r="EU9" s="992" cm="1" t="str">
        <f t="array" ref="EU9:EU9">EU6</f>
        <v>2066</v>
      </c>
      <c r="EV9" s="992" cm="1" t="str">
        <f t="array" ref="EV9:EV9">EV6</f>
        <v>2066</v>
      </c>
      <c r="EW9" s="992" cm="1" t="str">
        <f t="array" ref="EW9:EW9">EW6</f>
        <v>2067</v>
      </c>
      <c r="EX9" s="992" cm="1" t="str">
        <f t="array" ref="EX9:EX9">EX6</f>
        <v>2067</v>
      </c>
      <c r="EY9" s="992" cm="1" t="str">
        <f t="array" ref="EY9:EY9">EY6</f>
        <v>2067</v>
      </c>
      <c r="EZ9" s="992" cm="1" t="str">
        <f t="array" ref="EZ9:EZ9">EZ6</f>
        <v>2068</v>
      </c>
      <c r="FA9" s="992" cm="1" t="str">
        <f t="array" ref="FA9:FA9">FA6</f>
        <v>2068</v>
      </c>
      <c r="FB9" s="992" cm="1" t="str">
        <f t="array" ref="FB9:FB9">FB6</f>
        <v>2068</v>
      </c>
      <c r="FC9" s="992" cm="1" t="str">
        <f t="array" ref="FC9:FC9">FC6</f>
        <v>2069</v>
      </c>
      <c r="FD9" s="992" cm="1" t="str">
        <f t="array" ref="FD9:FD9">FD6</f>
        <v>2069</v>
      </c>
      <c r="FE9" s="992" cm="1" t="str">
        <f t="array" ref="FE9:FE9">FE6</f>
        <v>2069</v>
      </c>
      <c r="FF9" s="992" cm="1" t="str">
        <f t="array" ref="FF9:FF9">FF6</f>
        <v>2070</v>
      </c>
      <c r="FG9" s="992" cm="1" t="str">
        <f t="array" ref="FG9:FG9">FG6</f>
        <v>2070</v>
      </c>
      <c r="FH9" s="992" cm="1" t="str">
        <f t="array" ref="FH9:FH9">FH6</f>
        <v>2070</v>
      </c>
      <c r="FI9" s="992" cm="1" t="str">
        <f t="array" ref="FI9:FI9">FI6</f>
        <v>2071</v>
      </c>
      <c r="FJ9" s="992" cm="1" t="str">
        <f t="array" ref="FJ9:FJ9">FJ6</f>
        <v>2071</v>
      </c>
      <c r="FK9" s="992" cm="1" t="str">
        <f t="array" ref="FK9:FK9">FK6</f>
        <v>2071</v>
      </c>
      <c r="FL9" s="992" cm="1" t="str">
        <f t="array" ref="FL9:FL9">FL6</f>
        <v>2072</v>
      </c>
      <c r="FM9" s="992" cm="1" t="str">
        <f t="array" ref="FM9:FM9">FM6</f>
        <v>2072</v>
      </c>
      <c r="FN9" s="992" cm="1" t="str">
        <f t="array" ref="FN9:FN9">FN6</f>
        <v>2072</v>
      </c>
      <c r="FO9" s="992" cm="1" t="str">
        <f t="array" ref="FO9:FO9">FO6</f>
        <v>2073</v>
      </c>
      <c r="FP9" s="992" cm="1" t="str">
        <f t="array" ref="FP9:FP9">FP6</f>
        <v>2073</v>
      </c>
      <c r="FQ9" s="992" cm="1" t="str">
        <f t="array" ref="FQ9:FQ9">FQ6</f>
        <v>2073</v>
      </c>
      <c r="FR9" s="992" cm="1" t="str">
        <f t="array" ref="FR9:FR9">FR6</f>
        <v>2074</v>
      </c>
      <c r="FS9" s="992" cm="1" t="str">
        <f t="array" ref="FS9:FS9">FS6</f>
        <v>2074</v>
      </c>
      <c r="FT9" s="992" cm="1" t="str">
        <f t="array" ref="FT9:FT9">FT6</f>
        <v>2074</v>
      </c>
      <c r="FU9" s="992" cm="1" t="str">
        <f t="array" ref="FU9:FU9">FU6</f>
        <v>2075</v>
      </c>
      <c r="FV9" s="992" cm="1" t="str">
        <f t="array" ref="FV9:FV9">FV6</f>
        <v>2075</v>
      </c>
      <c r="FW9" s="992" cm="1" t="str">
        <f t="array" ref="FW9:FW9">FW6</f>
        <v>2075</v>
      </c>
      <c r="GC9" s="607"/>
      <c r="GD9" s="607"/>
    </row>
    <row s="1284" customFormat="1" customHeight="1" ht="11.25" hidden="1">
      <c r="A10" s="992" t="s">
        <v>355</v>
      </c>
      <c r="B10" s="1029"/>
      <c r="F10" s="1030"/>
      <c r="AB10" s="1031"/>
      <c r="AC10" s="990"/>
      <c r="AD10" s="992" cm="1" t="str">
        <f t="array" ref="AD10:AD10">AD26</f>
        <v>Предложение организации</v>
      </c>
      <c r="AE10" s="992" cm="1" t="str">
        <f t="array" ref="AE10:AE10">AE26</f>
        <v>Принято органом регулирования</v>
      </c>
      <c r="AF10" s="992" cm="1" t="str">
        <f t="array" ref="AF10:AF10">AF26</f>
        <v>Отклонение, %</v>
      </c>
      <c r="AG10" s="992" cm="1" t="str">
        <f t="array" ref="AG10:AG10">AG26</f>
        <v>Предложение организации</v>
      </c>
      <c r="AH10" s="992" cm="1" t="str">
        <f t="array" ref="AH10:AH10">AH26</f>
        <v>Принято органом регулирования</v>
      </c>
      <c r="AI10" s="992" cm="1" t="str">
        <f t="array" ref="AI10:AI10">AI26</f>
        <v>Отклонение, %</v>
      </c>
      <c r="AJ10" s="992" cm="1" t="str">
        <f t="array" ref="AJ10:AJ10">AJ26</f>
        <v>Предложение организации</v>
      </c>
      <c r="AK10" s="992" cm="1" t="str">
        <f t="array" ref="AK10:AK10">AK26</f>
        <v>Принято органом регулирования</v>
      </c>
      <c r="AL10" s="992" cm="1" t="str">
        <f t="array" ref="AL10:AL10">AL26</f>
        <v>Отклонение, %</v>
      </c>
      <c r="AM10" s="992" cm="1" t="str">
        <f t="array" ref="AM10:AM10">AM26</f>
        <v>Предложение организации</v>
      </c>
      <c r="AN10" s="992" cm="1" t="str">
        <f t="array" ref="AN10:AN10">AN26</f>
        <v>Принято органом регулирования</v>
      </c>
      <c r="AO10" s="992" cm="1" t="str">
        <f t="array" ref="AO10:AO10">AO26</f>
        <v>Отклонение, %</v>
      </c>
      <c r="AP10" s="992" cm="1" t="str">
        <f t="array" ref="AP10:AP10">AP26</f>
        <v>Предложение организации</v>
      </c>
      <c r="AQ10" s="992" cm="1" t="str">
        <f t="array" ref="AQ10:AQ10">AQ26</f>
        <v>Принято органом регулирования</v>
      </c>
      <c r="AR10" s="992" cm="1" t="str">
        <f t="array" ref="AR10:AR10">AR26</f>
        <v>Отклонение, %</v>
      </c>
      <c r="AS10" s="992" cm="1" t="str">
        <f t="array" ref="AS10:AS10">AS26</f>
        <v>Предложение организации</v>
      </c>
      <c r="AT10" s="992" cm="1" t="str">
        <f t="array" ref="AT10:AT10">AT26</f>
        <v>Принято органом регулирования</v>
      </c>
      <c r="AU10" s="992" cm="1" t="str">
        <f t="array" ref="AU10:AU10">AU26</f>
        <v>Отклонение, %</v>
      </c>
      <c r="AV10" s="992" cm="1" t="str">
        <f t="array" ref="AV10:AV10">AV26</f>
        <v>Предложение организации</v>
      </c>
      <c r="AW10" s="992" cm="1" t="str">
        <f t="array" ref="AW10:AW10">AW26</f>
        <v>Принято органом регулирования</v>
      </c>
      <c r="AX10" s="992" cm="1" t="str">
        <f t="array" ref="AX10:AX10">AX26</f>
        <v>Отклонение, %</v>
      </c>
      <c r="AY10" s="992" cm="1" t="str">
        <f t="array" ref="AY10:AY10">AY26</f>
        <v>Предложение организации</v>
      </c>
      <c r="AZ10" s="992" cm="1" t="str">
        <f t="array" ref="AZ10:AZ10">AZ26</f>
        <v>Принято органом регулирования</v>
      </c>
      <c r="BA10" s="992" cm="1" t="str">
        <f t="array" ref="BA10:BA10">BA26</f>
        <v>Отклонение, %</v>
      </c>
      <c r="BB10" s="992" cm="1" t="str">
        <f t="array" ref="BB10:BB10">BB26</f>
        <v>Предложение организации</v>
      </c>
      <c r="BC10" s="992" cm="1" t="str">
        <f t="array" ref="BC10:BC10">BC26</f>
        <v>Принято органом регулирования</v>
      </c>
      <c r="BD10" s="992" cm="1" t="str">
        <f t="array" ref="BD10:BD10">BD26</f>
        <v>Отклонение, %</v>
      </c>
      <c r="BE10" s="992" cm="1" t="str">
        <f t="array" ref="BE10:BE10">BE26</f>
        <v>Предложение организации</v>
      </c>
      <c r="BF10" s="992" cm="1" t="str">
        <f t="array" ref="BF10:BF10">BF26</f>
        <v>Принято органом регулирования</v>
      </c>
      <c r="BG10" s="992" cm="1" t="str">
        <f t="array" ref="BG10:BG10">BG26</f>
        <v>Отклонение, %</v>
      </c>
      <c r="BH10" s="992" cm="1" t="str">
        <f t="array" ref="BH10:BH10">BH26</f>
        <v>Предложение организации</v>
      </c>
      <c r="BI10" s="992" cm="1" t="str">
        <f t="array" ref="BI10:BI10">BI26</f>
        <v>Принято органом регулирования</v>
      </c>
      <c r="BJ10" s="992" cm="1" t="str">
        <f t="array" ref="BJ10:BJ10">BJ26</f>
        <v>Отклонение, %</v>
      </c>
      <c r="BK10" s="992" cm="1" t="str">
        <f t="array" ref="BK10:BK10">BK26</f>
        <v>Предложение организации</v>
      </c>
      <c r="BL10" s="992" cm="1" t="str">
        <f t="array" ref="BL10:BL10">BL26</f>
        <v>Принято органом регулирования</v>
      </c>
      <c r="BM10" s="992" cm="1" t="str">
        <f t="array" ref="BM10:BM10">BM26</f>
        <v>Отклонение, %</v>
      </c>
      <c r="BN10" s="992" cm="1" t="str">
        <f t="array" ref="BN10:BN10">BN26</f>
        <v>Предложение организации</v>
      </c>
      <c r="BO10" s="992" cm="1" t="str">
        <f t="array" ref="BO10:BO10">BO26</f>
        <v>Принято органом регулирования</v>
      </c>
      <c r="BP10" s="992" cm="1" t="str">
        <f t="array" ref="BP10:BP10">BP26</f>
        <v>Отклонение, %</v>
      </c>
      <c r="BQ10" s="992" cm="1" t="str">
        <f t="array" ref="BQ10:BQ10">BQ26</f>
        <v>Предложение организации</v>
      </c>
      <c r="BR10" s="992" cm="1" t="str">
        <f t="array" ref="BR10:BR10">BR26</f>
        <v>Принято органом регулирования</v>
      </c>
      <c r="BS10" s="992" cm="1" t="str">
        <f t="array" ref="BS10:BS10">BS26</f>
        <v>Отклонение, %</v>
      </c>
      <c r="BT10" s="992" cm="1" t="str">
        <f t="array" ref="BT10:BT10">BT26</f>
        <v>Предложение организации</v>
      </c>
      <c r="BU10" s="992" cm="1" t="str">
        <f t="array" ref="BU10:BU10">BU26</f>
        <v>Принято органом регулирования</v>
      </c>
      <c r="BV10" s="992" cm="1" t="str">
        <f t="array" ref="BV10:BV10">BV26</f>
        <v>Отклонение, %</v>
      </c>
      <c r="BW10" s="992" cm="1" t="str">
        <f t="array" ref="BW10:BW10">BW26</f>
        <v>Предложение организации</v>
      </c>
      <c r="BX10" s="992" cm="1" t="str">
        <f t="array" ref="BX10:BX10">BX26</f>
        <v>Принято органом регулирования</v>
      </c>
      <c r="BY10" s="992" cm="1" t="str">
        <f t="array" ref="BY10:BY10">BY26</f>
        <v>Отклонение, %</v>
      </c>
      <c r="BZ10" s="992" cm="1" t="str">
        <f t="array" ref="BZ10:BZ10">BZ26</f>
        <v>Предложение организации</v>
      </c>
      <c r="CA10" s="992" cm="1" t="str">
        <f t="array" ref="CA10:CA10">CA26</f>
        <v>Принято органом регулирования</v>
      </c>
      <c r="CB10" s="992" cm="1" t="str">
        <f t="array" ref="CB10:CB10">CB26</f>
        <v>Отклонение, %</v>
      </c>
      <c r="CC10" s="992" cm="1" t="str">
        <f t="array" ref="CC10:CC10">CC26</f>
        <v>Предложение организации</v>
      </c>
      <c r="CD10" s="992" cm="1" t="str">
        <f t="array" ref="CD10:CD10">CD26</f>
        <v>Принято органом регулирования</v>
      </c>
      <c r="CE10" s="992" cm="1" t="str">
        <f t="array" ref="CE10:CE10">CE26</f>
        <v>Отклонение, %</v>
      </c>
      <c r="CF10" s="992" cm="1" t="str">
        <f t="array" ref="CF10:CF10">CF26</f>
        <v>Предложение организации</v>
      </c>
      <c r="CG10" s="992" cm="1" t="str">
        <f t="array" ref="CG10:CG10">CG26</f>
        <v>Принято органом регулирования</v>
      </c>
      <c r="CH10" s="992" cm="1" t="str">
        <f t="array" ref="CH10:CH10">CH26</f>
        <v>Отклонение, %</v>
      </c>
      <c r="CI10" s="992" cm="1" t="str">
        <f t="array" ref="CI10:CI10">CI26</f>
        <v>Предложение организации</v>
      </c>
      <c r="CJ10" s="992" cm="1" t="str">
        <f t="array" ref="CJ10:CJ10">CJ26</f>
        <v>Принято органом регулирования</v>
      </c>
      <c r="CK10" s="992" cm="1" t="str">
        <f t="array" ref="CK10:CK10">CK26</f>
        <v>Отклонение, %</v>
      </c>
      <c r="CL10" s="992" cm="1" t="str">
        <f t="array" ref="CL10:CL10">CL26</f>
        <v>Предложение организации</v>
      </c>
      <c r="CM10" s="992" cm="1" t="str">
        <f t="array" ref="CM10:CM10">CM26</f>
        <v>Принято органом регулирования</v>
      </c>
      <c r="CN10" s="992" cm="1" t="str">
        <f t="array" ref="CN10:CN10">CN26</f>
        <v>Отклонение, %</v>
      </c>
      <c r="CO10" s="992" cm="1" t="str">
        <f t="array" ref="CO10:CO10">CO26</f>
        <v>Предложение организации</v>
      </c>
      <c r="CP10" s="992" cm="1" t="str">
        <f t="array" ref="CP10:CP10">CP26</f>
        <v>Принято органом регулирования</v>
      </c>
      <c r="CQ10" s="992" cm="1" t="str">
        <f t="array" ref="CQ10:CQ10">CQ26</f>
        <v>Отклонение, %</v>
      </c>
      <c r="CR10" s="992" cm="1" t="str">
        <f t="array" ref="CR10:CR10">CR26</f>
        <v>Предложение организации</v>
      </c>
      <c r="CS10" s="992" cm="1" t="str">
        <f t="array" ref="CS10:CS10">CS26</f>
        <v>Принято органом регулирования</v>
      </c>
      <c r="CT10" s="992" cm="1" t="str">
        <f t="array" ref="CT10:CT10">CT26</f>
        <v>Отклонение, %</v>
      </c>
      <c r="CU10" s="992" cm="1" t="str">
        <f t="array" ref="CU10:CU10">CU26</f>
        <v>Предложение организации</v>
      </c>
      <c r="CV10" s="992" cm="1" t="str">
        <f t="array" ref="CV10:CV10">CV26</f>
        <v>Принято органом регулирования</v>
      </c>
      <c r="CW10" s="992" cm="1" t="str">
        <f t="array" ref="CW10:CW10">CW26</f>
        <v>Отклонение, %</v>
      </c>
      <c r="CX10" s="992" cm="1" t="str">
        <f t="array" ref="CX10:CX10">CX26</f>
        <v>Предложение организации</v>
      </c>
      <c r="CY10" s="992" cm="1" t="str">
        <f t="array" ref="CY10:CY10">CY26</f>
        <v>Принято органом регулирования</v>
      </c>
      <c r="CZ10" s="992" cm="1" t="str">
        <f t="array" ref="CZ10:CZ10">CZ26</f>
        <v>Отклонение, %</v>
      </c>
      <c r="DA10" s="992" cm="1" t="str">
        <f t="array" ref="DA10:DA10">DA26</f>
        <v>Предложение организации</v>
      </c>
      <c r="DB10" s="992" cm="1" t="str">
        <f t="array" ref="DB10:DB10">DB26</f>
        <v>Принято органом регулирования</v>
      </c>
      <c r="DC10" s="992" cm="1" t="str">
        <f t="array" ref="DC10:DC10">DC26</f>
        <v>Отклонение, %</v>
      </c>
      <c r="DD10" s="992" cm="1" t="str">
        <f t="array" ref="DD10:DD10">DD26</f>
        <v>Предложение организации</v>
      </c>
      <c r="DE10" s="992" cm="1" t="str">
        <f t="array" ref="DE10:DE10">DE26</f>
        <v>Принято органом регулирования</v>
      </c>
      <c r="DF10" s="992" cm="1" t="str">
        <f t="array" ref="DF10:DF10">DF26</f>
        <v>Отклонение, %</v>
      </c>
      <c r="DG10" s="992" cm="1" t="str">
        <f t="array" ref="DG10:DG10">DG26</f>
        <v>Предложение организации</v>
      </c>
      <c r="DH10" s="992" cm="1" t="str">
        <f t="array" ref="DH10:DH10">DH26</f>
        <v>Принято органом регулирования</v>
      </c>
      <c r="DI10" s="992" cm="1" t="str">
        <f t="array" ref="DI10:DI10">DI26</f>
        <v>Отклонение, %</v>
      </c>
      <c r="DJ10" s="992" cm="1" t="str">
        <f t="array" ref="DJ10:DJ10">DJ26</f>
        <v>Предложение организации</v>
      </c>
      <c r="DK10" s="992" cm="1" t="str">
        <f t="array" ref="DK10:DK10">DK26</f>
        <v>Принято органом регулирования</v>
      </c>
      <c r="DL10" s="992" cm="1" t="str">
        <f t="array" ref="DL10:DL10">DL26</f>
        <v>Отклонение, %</v>
      </c>
      <c r="DM10" s="992" cm="1" t="str">
        <f t="array" ref="DM10:DM10">DM26</f>
        <v>Предложение организации</v>
      </c>
      <c r="DN10" s="992" cm="1" t="str">
        <f t="array" ref="DN10:DN10">DN26</f>
        <v>Принято органом регулирования</v>
      </c>
      <c r="DO10" s="992" cm="1" t="str">
        <f t="array" ref="DO10:DO10">DO26</f>
        <v>Отклонение, %</v>
      </c>
      <c r="DP10" s="992" cm="1" t="str">
        <f t="array" ref="DP10:DP10">DP26</f>
        <v>Предложение организации</v>
      </c>
      <c r="DQ10" s="992" cm="1" t="str">
        <f t="array" ref="DQ10:DQ10">DQ26</f>
        <v>Принято органом регулирования</v>
      </c>
      <c r="DR10" s="992" cm="1" t="str">
        <f t="array" ref="DR10:DR10">DR26</f>
        <v>Отклонение, %</v>
      </c>
      <c r="DS10" s="992" cm="1" t="str">
        <f t="array" ref="DS10:DS10">DS26</f>
        <v>Предложение организации</v>
      </c>
      <c r="DT10" s="992" cm="1" t="str">
        <f t="array" ref="DT10:DT10">DT26</f>
        <v>Принято органом регулирования</v>
      </c>
      <c r="DU10" s="992" cm="1" t="str">
        <f t="array" ref="DU10:DU10">DU26</f>
        <v>Отклонение, %</v>
      </c>
      <c r="DV10" s="992" cm="1" t="str">
        <f t="array" ref="DV10:DV10">DV26</f>
        <v>Предложение организации</v>
      </c>
      <c r="DW10" s="992" cm="1" t="str">
        <f t="array" ref="DW10:DW10">DW26</f>
        <v>Принято органом регулирования</v>
      </c>
      <c r="DX10" s="992" cm="1" t="str">
        <f t="array" ref="DX10:DX10">DX26</f>
        <v>Отклонение, %</v>
      </c>
      <c r="DY10" s="992" cm="1" t="str">
        <f t="array" ref="DY10:DY10">DY26</f>
        <v>Предложение организации</v>
      </c>
      <c r="DZ10" s="992" cm="1" t="str">
        <f t="array" ref="DZ10:DZ10">DZ26</f>
        <v>Принято органом регулирования</v>
      </c>
      <c r="EA10" s="992" cm="1" t="str">
        <f t="array" ref="EA10:EA10">EA26</f>
        <v>Отклонение, %</v>
      </c>
      <c r="EB10" s="992" cm="1" t="str">
        <f t="array" ref="EB10:EB10">EB26</f>
        <v>Предложение организации</v>
      </c>
      <c r="EC10" s="992" cm="1" t="str">
        <f t="array" ref="EC10:EC10">EC26</f>
        <v>Принято органом регулирования</v>
      </c>
      <c r="ED10" s="992" cm="1" t="str">
        <f t="array" ref="ED10:ED10">ED26</f>
        <v>Отклонение, %</v>
      </c>
      <c r="EE10" s="992" cm="1" t="str">
        <f t="array" ref="EE10:EE10">EE26</f>
        <v>Предложение организации</v>
      </c>
      <c r="EF10" s="992" cm="1" t="str">
        <f t="array" ref="EF10:EF10">EF26</f>
        <v>Принято органом регулирования</v>
      </c>
      <c r="EG10" s="992" cm="1" t="str">
        <f t="array" ref="EG10:EG10">EG26</f>
        <v>Отклонение, %</v>
      </c>
      <c r="EH10" s="992" cm="1" t="str">
        <f t="array" ref="EH10:EH10">EH26</f>
        <v>Предложение организации</v>
      </c>
      <c r="EI10" s="992" cm="1" t="str">
        <f t="array" ref="EI10:EI10">EI26</f>
        <v>Принято органом регулирования</v>
      </c>
      <c r="EJ10" s="992" cm="1" t="str">
        <f t="array" ref="EJ10:EJ10">EJ26</f>
        <v>Отклонение, %</v>
      </c>
      <c r="EK10" s="992" cm="1" t="str">
        <f t="array" ref="EK10:EK10">EK26</f>
        <v>Предложение организации</v>
      </c>
      <c r="EL10" s="992" cm="1" t="str">
        <f t="array" ref="EL10:EL10">EL26</f>
        <v>Принято органом регулирования</v>
      </c>
      <c r="EM10" s="992" cm="1" t="str">
        <f t="array" ref="EM10:EM10">EM26</f>
        <v>Отклонение, %</v>
      </c>
      <c r="EN10" s="992" cm="1" t="str">
        <f t="array" ref="EN10:EN10">EN26</f>
        <v>Предложение организации</v>
      </c>
      <c r="EO10" s="992" cm="1" t="str">
        <f t="array" ref="EO10:EO10">EO26</f>
        <v>Принято органом регулирования</v>
      </c>
      <c r="EP10" s="992" cm="1" t="str">
        <f t="array" ref="EP10:EP10">EP26</f>
        <v>Отклонение, %</v>
      </c>
      <c r="EQ10" s="992" cm="1" t="str">
        <f t="array" ref="EQ10:EQ10">EQ26</f>
        <v>Предложение организации</v>
      </c>
      <c r="ER10" s="992" cm="1" t="str">
        <f t="array" ref="ER10:ER10">ER26</f>
        <v>Принято органом регулирования</v>
      </c>
      <c r="ES10" s="992" cm="1" t="str">
        <f t="array" ref="ES10:ES10">ES26</f>
        <v>Отклонение, %</v>
      </c>
      <c r="ET10" s="992" cm="1" t="str">
        <f t="array" ref="ET10:ET10">ET26</f>
        <v>Предложение организации</v>
      </c>
      <c r="EU10" s="992" cm="1" t="str">
        <f t="array" ref="EU10:EU10">EU26</f>
        <v>Принято органом регулирования</v>
      </c>
      <c r="EV10" s="992" cm="1" t="str">
        <f t="array" ref="EV10:EV10">EV26</f>
        <v>Отклонение, %</v>
      </c>
      <c r="EW10" s="992" cm="1" t="str">
        <f t="array" ref="EW10:EW10">EW26</f>
        <v>Предложение организации</v>
      </c>
      <c r="EX10" s="992" cm="1" t="str">
        <f t="array" ref="EX10:EX10">EX26</f>
        <v>Принято органом регулирования</v>
      </c>
      <c r="EY10" s="992" cm="1" t="str">
        <f t="array" ref="EY10:EY10">EY26</f>
        <v>Отклонение, %</v>
      </c>
      <c r="EZ10" s="992" cm="1" t="str">
        <f t="array" ref="EZ10:EZ10">EZ26</f>
        <v>Предложение организации</v>
      </c>
      <c r="FA10" s="992" cm="1" t="str">
        <f t="array" ref="FA10:FA10">FA26</f>
        <v>Принято органом регулирования</v>
      </c>
      <c r="FB10" s="992" cm="1" t="str">
        <f t="array" ref="FB10:FB10">FB26</f>
        <v>Отклонение, %</v>
      </c>
      <c r="FC10" s="992" cm="1" t="str">
        <f t="array" ref="FC10:FC10">FC26</f>
        <v>Предложение организации</v>
      </c>
      <c r="FD10" s="992" cm="1" t="str">
        <f t="array" ref="FD10:FD10">FD26</f>
        <v>Принято органом регулирования</v>
      </c>
      <c r="FE10" s="992" cm="1" t="str">
        <f t="array" ref="FE10:FE10">FE26</f>
        <v>Отклонение, %</v>
      </c>
      <c r="FF10" s="992" cm="1" t="str">
        <f t="array" ref="FF10:FF10">FF26</f>
        <v>Предложение организации</v>
      </c>
      <c r="FG10" s="992" cm="1" t="str">
        <f t="array" ref="FG10:FG10">FG26</f>
        <v>Принято органом регулирования</v>
      </c>
      <c r="FH10" s="992" cm="1" t="str">
        <f t="array" ref="FH10:FH10">FH26</f>
        <v>Отклонение, %</v>
      </c>
      <c r="FI10" s="992" cm="1" t="str">
        <f t="array" ref="FI10:FI10">FI26</f>
        <v>Предложение организации</v>
      </c>
      <c r="FJ10" s="992" cm="1" t="str">
        <f t="array" ref="FJ10:FJ10">FJ26</f>
        <v>Принято органом регулирования</v>
      </c>
      <c r="FK10" s="992" cm="1" t="str">
        <f t="array" ref="FK10:FK10">FK26</f>
        <v>Отклонение, %</v>
      </c>
      <c r="FL10" s="992" cm="1" t="str">
        <f t="array" ref="FL10:FL10">FL26</f>
        <v>Предложение организации</v>
      </c>
      <c r="FM10" s="992" cm="1" t="str">
        <f t="array" ref="FM10:FM10">FM26</f>
        <v>Принято органом регулирования</v>
      </c>
      <c r="FN10" s="992" cm="1" t="str">
        <f t="array" ref="FN10:FN10">FN26</f>
        <v>Отклонение, %</v>
      </c>
      <c r="FO10" s="992" cm="1" t="str">
        <f t="array" ref="FO10:FO10">FO26</f>
        <v>Предложение организации</v>
      </c>
      <c r="FP10" s="992" cm="1" t="str">
        <f t="array" ref="FP10:FP10">FP26</f>
        <v>Принято органом регулирования</v>
      </c>
      <c r="FQ10" s="992" cm="1" t="str">
        <f t="array" ref="FQ10:FQ10">FQ26</f>
        <v>Отклонение, %</v>
      </c>
      <c r="FR10" s="992" cm="1" t="str">
        <f t="array" ref="FR10:FR10">FR26</f>
        <v>Предложение организации</v>
      </c>
      <c r="FS10" s="992" cm="1" t="str">
        <f t="array" ref="FS10:FS10">FS26</f>
        <v>Принято органом регулирования</v>
      </c>
      <c r="FT10" s="992" cm="1" t="str">
        <f t="array" ref="FT10:FT10">FT26</f>
        <v>Отклонение, %</v>
      </c>
      <c r="FU10" s="992" cm="1" t="str">
        <f t="array" ref="FU10:FU10">FU26</f>
        <v>Предложение организации</v>
      </c>
      <c r="FV10" s="992" cm="1" t="str">
        <f t="array" ref="FV10:FV10">FV26</f>
        <v>Принято органом регулирования</v>
      </c>
      <c r="FW10" s="992" cm="1" t="str">
        <f t="array" ref="FW10:FW10">FW26</f>
        <v>Отклонение, %</v>
      </c>
      <c r="GC10" s="607"/>
      <c r="GD10" s="607"/>
    </row>
    <row s="1284" customFormat="1" customHeight="1" ht="11.25" hidden="1">
      <c r="A11" s="992" t="s">
        <v>327</v>
      </c>
      <c r="B11" s="1029"/>
      <c r="F11" s="1030"/>
      <c r="AB11" s="1031" t="s">
        <v>314</v>
      </c>
      <c r="AC11" s="990"/>
      <c r="AG11" s="1284"/>
      <c r="AH11" s="1284"/>
      <c r="AI11" s="1284"/>
      <c r="AJ11" s="1284"/>
      <c r="AK11" s="1284"/>
      <c r="AL11" s="1284"/>
      <c r="AM11" s="1284"/>
      <c r="AN11" s="1284"/>
      <c r="AO11" s="1284"/>
      <c r="AP11" s="1284"/>
      <c r="AQ11" s="1284"/>
      <c r="AR11" s="1284"/>
      <c r="AS11" s="1284"/>
      <c r="AT11" s="1284"/>
      <c r="AU11" s="1284"/>
      <c r="AV11" s="1284"/>
      <c r="AW11" s="1284"/>
      <c r="AX11" s="1284"/>
      <c r="AY11" s="1284"/>
      <c r="AZ11" s="1284"/>
      <c r="BA11" s="1284"/>
      <c r="BB11" s="1284"/>
      <c r="BC11" s="1284"/>
      <c r="BD11" s="1284"/>
      <c r="BE11" s="1284"/>
      <c r="BF11" s="1284"/>
      <c r="BG11" s="1284"/>
      <c r="BH11" s="1284"/>
      <c r="BI11" s="1284"/>
      <c r="BJ11" s="1284"/>
      <c r="BK11" s="1284"/>
      <c r="BL11" s="1284"/>
      <c r="BM11" s="1284"/>
      <c r="BN11" s="1284"/>
      <c r="BO11" s="1284"/>
      <c r="BP11" s="1284"/>
      <c r="BQ11" s="1284"/>
      <c r="BR11" s="1284"/>
      <c r="BS11" s="1284"/>
      <c r="BT11" s="1284"/>
      <c r="BU11" s="1284"/>
      <c r="BV11" s="1284"/>
      <c r="BW11" s="1284"/>
      <c r="BX11" s="1284"/>
      <c r="BY11" s="1284"/>
      <c r="BZ11" s="1284"/>
      <c r="CA11" s="1284"/>
      <c r="CB11" s="1284"/>
      <c r="CC11" s="1284"/>
      <c r="CD11" s="1284"/>
      <c r="CE11" s="1284"/>
      <c r="CF11" s="1284"/>
      <c r="CG11" s="1284"/>
      <c r="CH11" s="1284"/>
      <c r="CI11" s="1284"/>
      <c r="CJ11" s="1284"/>
      <c r="CK11" s="1284"/>
      <c r="CL11" s="1284"/>
      <c r="CM11" s="1284"/>
      <c r="CN11" s="1284"/>
      <c r="CO11" s="1284"/>
      <c r="CP11" s="1284"/>
      <c r="CQ11" s="1284"/>
      <c r="CR11" s="1284"/>
      <c r="CS11" s="1284"/>
      <c r="CT11" s="1284"/>
      <c r="CU11" s="1284"/>
      <c r="CV11" s="1284"/>
      <c r="CW11" s="1284"/>
      <c r="CX11" s="1284"/>
      <c r="CY11" s="1284"/>
      <c r="CZ11" s="1284"/>
      <c r="DA11" s="1284"/>
      <c r="DB11" s="1284"/>
      <c r="DC11" s="1284"/>
      <c r="DD11" s="1284"/>
      <c r="DE11" s="1284"/>
      <c r="DF11" s="1284"/>
      <c r="DG11" s="1284"/>
      <c r="DH11" s="1284"/>
      <c r="DI11" s="1284"/>
      <c r="DJ11" s="1284"/>
      <c r="DK11" s="1284"/>
      <c r="DL11" s="1284"/>
      <c r="DM11" s="1284"/>
      <c r="DN11" s="1284"/>
      <c r="DO11" s="1284"/>
      <c r="DP11" s="1284"/>
      <c r="DQ11" s="1284"/>
      <c r="DR11" s="1284"/>
      <c r="DS11" s="1284"/>
      <c r="DT11" s="1284"/>
      <c r="DU11" s="1284"/>
      <c r="DV11" s="1284"/>
      <c r="DW11" s="1284"/>
      <c r="DX11" s="1284"/>
      <c r="DY11" s="1284"/>
      <c r="DZ11" s="1284"/>
      <c r="EA11" s="1284"/>
      <c r="EB11" s="1284"/>
      <c r="EC11" s="1284"/>
      <c r="ED11" s="1284"/>
      <c r="EE11" s="1284"/>
      <c r="EF11" s="1284"/>
      <c r="EG11" s="1284"/>
      <c r="EH11" s="1284"/>
      <c r="EI11" s="1284"/>
      <c r="EJ11" s="1284"/>
      <c r="EK11" s="1284"/>
      <c r="EL11" s="1284"/>
      <c r="EM11" s="1284"/>
      <c r="EN11" s="1284"/>
      <c r="EO11" s="1284"/>
      <c r="EP11" s="1284"/>
      <c r="EQ11" s="1284"/>
      <c r="ER11" s="1284"/>
      <c r="ES11" s="1284"/>
      <c r="ET11" s="1284"/>
      <c r="EU11" s="1284"/>
      <c r="EV11" s="1284"/>
      <c r="EW11" s="1284"/>
      <c r="EX11" s="1284"/>
      <c r="EY11" s="1284"/>
      <c r="EZ11" s="1284"/>
      <c r="FA11" s="1284"/>
      <c r="FB11" s="1284"/>
      <c r="FC11" s="1284"/>
      <c r="FD11" s="1284"/>
      <c r="FE11" s="1284"/>
      <c r="FF11" s="1284"/>
      <c r="FG11" s="1284"/>
      <c r="FH11" s="1284"/>
      <c r="FI11" s="1284"/>
      <c r="FJ11" s="1284"/>
      <c r="FK11" s="1284"/>
      <c r="FL11" s="1284"/>
      <c r="FM11" s="1284"/>
      <c r="FN11" s="1284"/>
      <c r="FO11" s="1284"/>
      <c r="FP11" s="1284"/>
      <c r="FQ11" s="1284"/>
      <c r="FR11" s="1284"/>
      <c r="FS11" s="1284"/>
      <c r="FT11" s="1284"/>
      <c r="FU11" s="1284"/>
      <c r="FV11" s="1284"/>
      <c r="FW11" s="1284"/>
      <c r="GC11" s="607"/>
      <c r="GD11" s="607"/>
    </row>
    <row customHeight="1" ht="11.25" hidden="1">
      <c r="AG12" s="1282"/>
      <c r="AH12" s="1282"/>
      <c r="AI12" s="1282"/>
      <c r="AJ12" s="1282"/>
      <c r="AK12" s="1282"/>
      <c r="AL12" s="1282"/>
      <c r="AM12" s="1282"/>
      <c r="AN12" s="1282"/>
      <c r="AO12" s="1282"/>
      <c r="AP12" s="1282"/>
      <c r="AQ12" s="1282"/>
      <c r="AR12" s="1282"/>
      <c r="AS12" s="1282"/>
      <c r="AT12" s="1282"/>
      <c r="AU12" s="1282"/>
      <c r="AV12" s="1282"/>
      <c r="AW12" s="1282"/>
      <c r="AX12" s="1282"/>
      <c r="AY12" s="1282"/>
      <c r="AZ12" s="1282"/>
      <c r="BA12" s="1282"/>
      <c r="BB12" s="1282"/>
      <c r="BC12" s="1282"/>
      <c r="BD12" s="1282"/>
      <c r="BE12" s="1282"/>
      <c r="BF12" s="1282"/>
      <c r="BG12" s="1282"/>
      <c r="BH12" s="1282"/>
      <c r="BI12" s="1282"/>
      <c r="BJ12" s="1282"/>
      <c r="BK12" s="1282"/>
      <c r="BL12" s="1282"/>
      <c r="BM12" s="1282"/>
      <c r="BN12" s="1282"/>
      <c r="BO12" s="1282"/>
      <c r="BP12" s="1282"/>
      <c r="BQ12" s="1282"/>
      <c r="BR12" s="1282"/>
      <c r="BS12" s="1282"/>
      <c r="BT12" s="1282"/>
      <c r="BU12" s="1282"/>
      <c r="BV12" s="1282"/>
      <c r="BW12" s="1282"/>
      <c r="BX12" s="1282"/>
      <c r="BY12" s="1282"/>
      <c r="BZ12" s="1282"/>
      <c r="CA12" s="1282"/>
      <c r="CB12" s="1282"/>
      <c r="CC12" s="1282"/>
      <c r="CD12" s="1282"/>
      <c r="CE12" s="1282"/>
      <c r="CF12" s="1282"/>
      <c r="CG12" s="1282"/>
      <c r="CH12" s="1282"/>
      <c r="CI12" s="1282"/>
      <c r="CJ12" s="1282"/>
      <c r="CK12" s="1282"/>
      <c r="CL12" s="1282"/>
      <c r="CM12" s="1282"/>
      <c r="CN12" s="1282"/>
      <c r="CO12" s="1282"/>
      <c r="CP12" s="1282"/>
      <c r="CQ12" s="1282"/>
      <c r="CR12" s="1282"/>
      <c r="CS12" s="1282"/>
      <c r="CT12" s="1282"/>
      <c r="CU12" s="1282"/>
      <c r="CV12" s="1282"/>
      <c r="CW12" s="1282"/>
      <c r="CX12" s="1282"/>
      <c r="CY12" s="1282"/>
      <c r="CZ12" s="1282"/>
      <c r="DA12" s="1282"/>
      <c r="DB12" s="1282"/>
      <c r="DC12" s="1282"/>
      <c r="DD12" s="1282"/>
      <c r="DE12" s="1282"/>
      <c r="DF12" s="1282"/>
      <c r="DG12" s="1282"/>
      <c r="DH12" s="1282"/>
      <c r="DI12" s="1282"/>
      <c r="DJ12" s="1282"/>
      <c r="DK12" s="1282"/>
      <c r="DL12" s="1282"/>
      <c r="DM12" s="1282"/>
      <c r="DN12" s="1282"/>
      <c r="DO12" s="1282"/>
      <c r="DP12" s="1282"/>
      <c r="DQ12" s="1282"/>
      <c r="DR12" s="1282"/>
      <c r="DS12" s="1282"/>
      <c r="DT12" s="1282"/>
      <c r="DU12" s="1282"/>
      <c r="DV12" s="1282"/>
      <c r="DW12" s="1282"/>
      <c r="DX12" s="1282"/>
      <c r="DY12" s="1282"/>
      <c r="DZ12" s="1282"/>
      <c r="EA12" s="1282"/>
      <c r="EB12" s="1282"/>
      <c r="EC12" s="1282"/>
      <c r="ED12" s="1282"/>
      <c r="EE12" s="1282"/>
      <c r="EF12" s="1282"/>
      <c r="EG12" s="1282"/>
      <c r="EH12" s="1282"/>
      <c r="EI12" s="1282"/>
      <c r="EJ12" s="1282"/>
      <c r="EK12" s="1282"/>
      <c r="EL12" s="1282"/>
      <c r="EM12" s="1282"/>
      <c r="EN12" s="1282"/>
      <c r="EO12" s="1282"/>
      <c r="EP12" s="1282"/>
      <c r="EQ12" s="1282"/>
      <c r="ER12" s="1282"/>
      <c r="ES12" s="1282"/>
      <c r="ET12" s="1282"/>
      <c r="EU12" s="1282"/>
      <c r="EV12" s="1282"/>
      <c r="EW12" s="1282"/>
      <c r="EX12" s="1282"/>
      <c r="EY12" s="1282"/>
      <c r="EZ12" s="1282"/>
      <c r="FA12" s="1282"/>
      <c r="FB12" s="1282"/>
      <c r="FC12" s="1282"/>
      <c r="FD12" s="1282"/>
      <c r="FE12" s="1282"/>
      <c r="FF12" s="1282"/>
      <c r="FG12" s="1282"/>
      <c r="FH12" s="1282"/>
      <c r="FI12" s="1282"/>
      <c r="FJ12" s="1282"/>
      <c r="FK12" s="1282"/>
      <c r="FL12" s="1282"/>
      <c r="FM12" s="1282"/>
      <c r="FN12" s="1282"/>
      <c r="FO12" s="1282"/>
      <c r="FP12" s="1282"/>
      <c r="FQ12" s="1282"/>
      <c r="FR12" s="1282"/>
      <c r="FS12" s="1282"/>
      <c r="FT12" s="1282"/>
      <c r="FU12" s="1282"/>
      <c r="FV12" s="1282"/>
      <c r="FW12" s="1282"/>
    </row>
    <row customHeight="1" ht="11.25" hidden="1">
      <c r="AG13" s="1282"/>
      <c r="AH13" s="1282"/>
      <c r="AI13" s="1282"/>
      <c r="AJ13" s="1282"/>
      <c r="AK13" s="1282"/>
      <c r="AL13" s="1282"/>
      <c r="AM13" s="1282"/>
      <c r="AN13" s="1282"/>
      <c r="AO13" s="1282"/>
      <c r="AP13" s="1282"/>
      <c r="AQ13" s="1282"/>
      <c r="AR13" s="1282"/>
      <c r="AS13" s="1282"/>
      <c r="AT13" s="1282"/>
      <c r="AU13" s="1282"/>
      <c r="AV13" s="1282"/>
      <c r="AW13" s="1282"/>
      <c r="AX13" s="1282"/>
      <c r="AY13" s="1282"/>
      <c r="AZ13" s="1282"/>
      <c r="BA13" s="1282"/>
      <c r="BB13" s="1282"/>
      <c r="BC13" s="1282"/>
      <c r="BD13" s="1282"/>
      <c r="BE13" s="1282"/>
      <c r="BF13" s="1282"/>
      <c r="BG13" s="1282"/>
      <c r="BH13" s="1282"/>
      <c r="BI13" s="1282"/>
      <c r="BJ13" s="1282"/>
      <c r="BK13" s="1282"/>
      <c r="BL13" s="1282"/>
      <c r="BM13" s="1282"/>
      <c r="BN13" s="1282"/>
      <c r="BO13" s="1282"/>
      <c r="BP13" s="1282"/>
      <c r="BQ13" s="1282"/>
      <c r="BR13" s="1282"/>
      <c r="BS13" s="1282"/>
      <c r="BT13" s="1282"/>
      <c r="BU13" s="1282"/>
      <c r="BV13" s="1282"/>
      <c r="BW13" s="1282"/>
      <c r="BX13" s="1282"/>
      <c r="BY13" s="1282"/>
      <c r="BZ13" s="1282"/>
      <c r="CA13" s="1282"/>
      <c r="CB13" s="1282"/>
      <c r="CC13" s="1282"/>
      <c r="CD13" s="1282"/>
      <c r="CE13" s="1282"/>
      <c r="CF13" s="1282"/>
      <c r="CG13" s="1282"/>
      <c r="CH13" s="1282"/>
      <c r="CI13" s="1282"/>
      <c r="CJ13" s="1282"/>
      <c r="CK13" s="1282"/>
      <c r="CL13" s="1282"/>
      <c r="CM13" s="1282"/>
      <c r="CN13" s="1282"/>
      <c r="CO13" s="1282"/>
      <c r="CP13" s="1282"/>
      <c r="CQ13" s="1282"/>
      <c r="CR13" s="1282"/>
      <c r="CS13" s="1282"/>
      <c r="CT13" s="1282"/>
      <c r="CU13" s="1282"/>
      <c r="CV13" s="1282"/>
      <c r="CW13" s="1282"/>
      <c r="CX13" s="1282"/>
      <c r="CY13" s="1282"/>
      <c r="CZ13" s="1282"/>
      <c r="DA13" s="1282"/>
      <c r="DB13" s="1282"/>
      <c r="DC13" s="1282"/>
      <c r="DD13" s="1282"/>
      <c r="DE13" s="1282"/>
      <c r="DF13" s="1282"/>
      <c r="DG13" s="1282"/>
      <c r="DH13" s="1282"/>
      <c r="DI13" s="1282"/>
      <c r="DJ13" s="1282"/>
      <c r="DK13" s="1282"/>
      <c r="DL13" s="1282"/>
      <c r="DM13" s="1282"/>
      <c r="DN13" s="1282"/>
      <c r="DO13" s="1282"/>
      <c r="DP13" s="1282"/>
      <c r="DQ13" s="1282"/>
      <c r="DR13" s="1282"/>
      <c r="DS13" s="1282"/>
      <c r="DT13" s="1282"/>
      <c r="DU13" s="1282"/>
      <c r="DV13" s="1282"/>
      <c r="DW13" s="1282"/>
      <c r="DX13" s="1282"/>
      <c r="DY13" s="1282"/>
      <c r="DZ13" s="1282"/>
      <c r="EA13" s="1282"/>
      <c r="EB13" s="1282"/>
      <c r="EC13" s="1282"/>
      <c r="ED13" s="1282"/>
      <c r="EE13" s="1282"/>
      <c r="EF13" s="1282"/>
      <c r="EG13" s="1282"/>
      <c r="EH13" s="1282"/>
      <c r="EI13" s="1282"/>
      <c r="EJ13" s="1282"/>
      <c r="EK13" s="1282"/>
      <c r="EL13" s="1282"/>
      <c r="EM13" s="1282"/>
      <c r="EN13" s="1282"/>
      <c r="EO13" s="1282"/>
      <c r="EP13" s="1282"/>
      <c r="EQ13" s="1282"/>
      <c r="ER13" s="1282"/>
      <c r="ES13" s="1282"/>
      <c r="ET13" s="1282"/>
      <c r="EU13" s="1282"/>
      <c r="EV13" s="1282"/>
      <c r="EW13" s="1282"/>
      <c r="EX13" s="1282"/>
      <c r="EY13" s="1282"/>
      <c r="EZ13" s="1282"/>
      <c r="FA13" s="1282"/>
      <c r="FB13" s="1282"/>
      <c r="FC13" s="1282"/>
      <c r="FD13" s="1282"/>
      <c r="FE13" s="1282"/>
      <c r="FF13" s="1282"/>
      <c r="FG13" s="1282"/>
      <c r="FH13" s="1282"/>
      <c r="FI13" s="1282"/>
      <c r="FJ13" s="1282"/>
      <c r="FK13" s="1282"/>
      <c r="FL13" s="1282"/>
      <c r="FM13" s="1282"/>
      <c r="FN13" s="1282"/>
      <c r="FO13" s="1282"/>
      <c r="FP13" s="1282"/>
      <c r="FQ13" s="1282"/>
      <c r="FR13" s="1282"/>
      <c r="FS13" s="1282"/>
      <c r="FT13" s="1282"/>
      <c r="FU13" s="1282"/>
      <c r="FV13" s="1282"/>
      <c r="FW13" s="1282"/>
    </row>
    <row customHeight="1" ht="11.25" hidden="1">
      <c r="AG14" s="1282"/>
      <c r="AH14" s="1282"/>
      <c r="AI14" s="1282"/>
      <c r="AJ14" s="1282"/>
      <c r="AK14" s="1282"/>
      <c r="AL14" s="1282"/>
      <c r="AM14" s="1282"/>
      <c r="AN14" s="1282"/>
      <c r="AO14" s="1282"/>
      <c r="AP14" s="1282"/>
      <c r="AQ14" s="1282"/>
      <c r="AR14" s="1282"/>
      <c r="AS14" s="1282"/>
      <c r="AT14" s="1282"/>
      <c r="AU14" s="1282"/>
      <c r="AV14" s="1282"/>
      <c r="AW14" s="1282"/>
      <c r="AX14" s="1282"/>
      <c r="AY14" s="1282"/>
      <c r="AZ14" s="1282"/>
      <c r="BA14" s="1282"/>
      <c r="BB14" s="1282"/>
      <c r="BC14" s="1282"/>
      <c r="BD14" s="1282"/>
      <c r="BE14" s="1282"/>
      <c r="BF14" s="1282"/>
      <c r="BG14" s="1282"/>
      <c r="BH14" s="1282"/>
      <c r="BI14" s="1282"/>
      <c r="BJ14" s="1282"/>
      <c r="BK14" s="1282"/>
      <c r="BL14" s="1282"/>
      <c r="BM14" s="1282"/>
      <c r="BN14" s="1282"/>
      <c r="BO14" s="1282"/>
      <c r="BP14" s="1282"/>
      <c r="BQ14" s="1282"/>
      <c r="BR14" s="1282"/>
      <c r="BS14" s="1282"/>
      <c r="BT14" s="1282"/>
      <c r="BU14" s="1282"/>
      <c r="BV14" s="1282"/>
      <c r="BW14" s="1282"/>
      <c r="BX14" s="1282"/>
      <c r="BY14" s="1282"/>
      <c r="BZ14" s="1282"/>
      <c r="CA14" s="1282"/>
      <c r="CB14" s="1282"/>
      <c r="CC14" s="1282"/>
      <c r="CD14" s="1282"/>
      <c r="CE14" s="1282"/>
      <c r="CF14" s="1282"/>
      <c r="CG14" s="1282"/>
      <c r="CH14" s="1282"/>
      <c r="CI14" s="1282"/>
      <c r="CJ14" s="1282"/>
      <c r="CK14" s="1282"/>
      <c r="CL14" s="1282"/>
      <c r="CM14" s="1282"/>
      <c r="CN14" s="1282"/>
      <c r="CO14" s="1282"/>
      <c r="CP14" s="1282"/>
      <c r="CQ14" s="1282"/>
      <c r="CR14" s="1282"/>
      <c r="CS14" s="1282"/>
      <c r="CT14" s="1282"/>
      <c r="CU14" s="1282"/>
      <c r="CV14" s="1282"/>
      <c r="CW14" s="1282"/>
      <c r="CX14" s="1282"/>
      <c r="CY14" s="1282"/>
      <c r="CZ14" s="1282"/>
      <c r="DA14" s="1282"/>
      <c r="DB14" s="1282"/>
      <c r="DC14" s="1282"/>
      <c r="DD14" s="1282"/>
      <c r="DE14" s="1282"/>
      <c r="DF14" s="1282"/>
      <c r="DG14" s="1282"/>
      <c r="DH14" s="1282"/>
      <c r="DI14" s="1282"/>
      <c r="DJ14" s="1282"/>
      <c r="DK14" s="1282"/>
      <c r="DL14" s="1282"/>
      <c r="DM14" s="1282"/>
      <c r="DN14" s="1282"/>
      <c r="DO14" s="1282"/>
      <c r="DP14" s="1282"/>
      <c r="DQ14" s="1282"/>
      <c r="DR14" s="1282"/>
      <c r="DS14" s="1282"/>
      <c r="DT14" s="1282"/>
      <c r="DU14" s="1282"/>
      <c r="DV14" s="1282"/>
      <c r="DW14" s="1282"/>
      <c r="DX14" s="1282"/>
      <c r="DY14" s="1282"/>
      <c r="DZ14" s="1282"/>
      <c r="EA14" s="1282"/>
      <c r="EB14" s="1282"/>
      <c r="EC14" s="1282"/>
      <c r="ED14" s="1282"/>
      <c r="EE14" s="1282"/>
      <c r="EF14" s="1282"/>
      <c r="EG14" s="1282"/>
      <c r="EH14" s="1282"/>
      <c r="EI14" s="1282"/>
      <c r="EJ14" s="1282"/>
      <c r="EK14" s="1282"/>
      <c r="EL14" s="1282"/>
      <c r="EM14" s="1282"/>
      <c r="EN14" s="1282"/>
      <c r="EO14" s="1282"/>
      <c r="EP14" s="1282"/>
      <c r="EQ14" s="1282"/>
      <c r="ER14" s="1282"/>
      <c r="ES14" s="1282"/>
      <c r="ET14" s="1282"/>
      <c r="EU14" s="1282"/>
      <c r="EV14" s="1282"/>
      <c r="EW14" s="1282"/>
      <c r="EX14" s="1282"/>
      <c r="EY14" s="1282"/>
      <c r="EZ14" s="1282"/>
      <c r="FA14" s="1282"/>
      <c r="FB14" s="1282"/>
      <c r="FC14" s="1282"/>
      <c r="FD14" s="1282"/>
      <c r="FE14" s="1282"/>
      <c r="FF14" s="1282"/>
      <c r="FG14" s="1282"/>
      <c r="FH14" s="1282"/>
      <c r="FI14" s="1282"/>
      <c r="FJ14" s="1282"/>
      <c r="FK14" s="1282"/>
      <c r="FL14" s="1282"/>
      <c r="FM14" s="1282"/>
      <c r="FN14" s="1282"/>
      <c r="FO14" s="1282"/>
      <c r="FP14" s="1282"/>
      <c r="FQ14" s="1282"/>
      <c r="FR14" s="1282"/>
      <c r="FS14" s="1282"/>
      <c r="FT14" s="1282"/>
      <c r="FU14" s="1282"/>
      <c r="FV14" s="1282"/>
      <c r="FW14" s="1282"/>
    </row>
    <row customHeight="1" ht="11.25" hidden="1">
      <c r="AG15" s="1282"/>
      <c r="AH15" s="1282"/>
      <c r="AI15" s="1282"/>
      <c r="AJ15" s="1282"/>
      <c r="AK15" s="1282"/>
      <c r="AL15" s="1282"/>
      <c r="AM15" s="1282"/>
      <c r="AN15" s="1282"/>
      <c r="AO15" s="1282"/>
      <c r="AP15" s="1282"/>
      <c r="AQ15" s="1282"/>
      <c r="AR15" s="1282"/>
      <c r="AS15" s="1282"/>
      <c r="AT15" s="1282"/>
      <c r="AU15" s="1282"/>
      <c r="AV15" s="1282"/>
      <c r="AW15" s="1282"/>
      <c r="AX15" s="1282"/>
      <c r="AY15" s="1282"/>
      <c r="AZ15" s="1282"/>
      <c r="BA15" s="1282"/>
      <c r="BB15" s="1282"/>
      <c r="BC15" s="1282"/>
      <c r="BD15" s="1282"/>
      <c r="BE15" s="1282"/>
      <c r="BF15" s="1282"/>
      <c r="BG15" s="1282"/>
      <c r="BH15" s="1282"/>
      <c r="BI15" s="1282"/>
      <c r="BJ15" s="1282"/>
      <c r="BK15" s="1282"/>
      <c r="BL15" s="1282"/>
      <c r="BM15" s="1282"/>
      <c r="BN15" s="1282"/>
      <c r="BO15" s="1282"/>
      <c r="BP15" s="1282"/>
      <c r="BQ15" s="1282"/>
      <c r="BR15" s="1282"/>
      <c r="BS15" s="1282"/>
      <c r="BT15" s="1282"/>
      <c r="BU15" s="1282"/>
      <c r="BV15" s="1282"/>
      <c r="BW15" s="1282"/>
      <c r="BX15" s="1282"/>
      <c r="BY15" s="1282"/>
      <c r="BZ15" s="1282"/>
      <c r="CA15" s="1282"/>
      <c r="CB15" s="1282"/>
      <c r="CC15" s="1282"/>
      <c r="CD15" s="1282"/>
      <c r="CE15" s="1282"/>
      <c r="CF15" s="1282"/>
      <c r="CG15" s="1282"/>
      <c r="CH15" s="1282"/>
      <c r="CI15" s="1282"/>
      <c r="CJ15" s="1282"/>
      <c r="CK15" s="1282"/>
      <c r="CL15" s="1282"/>
      <c r="CM15" s="1282"/>
      <c r="CN15" s="1282"/>
      <c r="CO15" s="1282"/>
      <c r="CP15" s="1282"/>
      <c r="CQ15" s="1282"/>
      <c r="CR15" s="1282"/>
      <c r="CS15" s="1282"/>
      <c r="CT15" s="1282"/>
      <c r="CU15" s="1282"/>
      <c r="CV15" s="1282"/>
      <c r="CW15" s="1282"/>
      <c r="CX15" s="1282"/>
      <c r="CY15" s="1282"/>
      <c r="CZ15" s="1282"/>
      <c r="DA15" s="1282"/>
      <c r="DB15" s="1282"/>
      <c r="DC15" s="1282"/>
      <c r="DD15" s="1282"/>
      <c r="DE15" s="1282"/>
      <c r="DF15" s="1282"/>
      <c r="DG15" s="1282"/>
      <c r="DH15" s="1282"/>
      <c r="DI15" s="1282"/>
      <c r="DJ15" s="1282"/>
      <c r="DK15" s="1282"/>
      <c r="DL15" s="1282"/>
      <c r="DM15" s="1282"/>
      <c r="DN15" s="1282"/>
      <c r="DO15" s="1282"/>
      <c r="DP15" s="1282"/>
      <c r="DQ15" s="1282"/>
      <c r="DR15" s="1282"/>
      <c r="DS15" s="1282"/>
      <c r="DT15" s="1282"/>
      <c r="DU15" s="1282"/>
      <c r="DV15" s="1282"/>
      <c r="DW15" s="1282"/>
      <c r="DX15" s="1282"/>
      <c r="DY15" s="1282"/>
      <c r="DZ15" s="1282"/>
      <c r="EA15" s="1282"/>
      <c r="EB15" s="1282"/>
      <c r="EC15" s="1282"/>
      <c r="ED15" s="1282"/>
      <c r="EE15" s="1282"/>
      <c r="EF15" s="1282"/>
      <c r="EG15" s="1282"/>
      <c r="EH15" s="1282"/>
      <c r="EI15" s="1282"/>
      <c r="EJ15" s="1282"/>
      <c r="EK15" s="1282"/>
      <c r="EL15" s="1282"/>
      <c r="EM15" s="1282"/>
      <c r="EN15" s="1282"/>
      <c r="EO15" s="1282"/>
      <c r="EP15" s="1282"/>
      <c r="EQ15" s="1282"/>
      <c r="ER15" s="1282"/>
      <c r="ES15" s="1282"/>
      <c r="ET15" s="1282"/>
      <c r="EU15" s="1282"/>
      <c r="EV15" s="1282"/>
      <c r="EW15" s="1282"/>
      <c r="EX15" s="1282"/>
      <c r="EY15" s="1282"/>
      <c r="EZ15" s="1282"/>
      <c r="FA15" s="1282"/>
      <c r="FB15" s="1282"/>
      <c r="FC15" s="1282"/>
      <c r="FD15" s="1282"/>
      <c r="FE15" s="1282"/>
      <c r="FF15" s="1282"/>
      <c r="FG15" s="1282"/>
      <c r="FH15" s="1282"/>
      <c r="FI15" s="1282"/>
      <c r="FJ15" s="1282"/>
      <c r="FK15" s="1282"/>
      <c r="FL15" s="1282"/>
      <c r="FM15" s="1282"/>
      <c r="FN15" s="1282"/>
      <c r="FO15" s="1282"/>
      <c r="FP15" s="1282"/>
      <c r="FQ15" s="1282"/>
      <c r="FR15" s="1282"/>
      <c r="FS15" s="1282"/>
      <c r="FT15" s="1282"/>
      <c r="FU15" s="1282"/>
      <c r="FV15" s="1282"/>
      <c r="FW15" s="1282"/>
    </row>
    <row customHeight="1" ht="11.25" hidden="1">
      <c r="AG16" s="1282"/>
      <c r="AH16" s="1282"/>
      <c r="AI16" s="1282"/>
      <c r="AJ16" s="1282"/>
      <c r="AK16" s="1282"/>
      <c r="AL16" s="1282"/>
      <c r="AM16" s="1282"/>
      <c r="AN16" s="1282"/>
      <c r="AO16" s="1282"/>
      <c r="AP16" s="1282"/>
      <c r="AQ16" s="1282"/>
      <c r="AR16" s="1282"/>
      <c r="AS16" s="1282"/>
      <c r="AT16" s="1282"/>
      <c r="AU16" s="1282"/>
      <c r="AV16" s="1282"/>
      <c r="AW16" s="1282"/>
      <c r="AX16" s="1282"/>
      <c r="AY16" s="1282"/>
      <c r="AZ16" s="1282"/>
      <c r="BA16" s="1282"/>
      <c r="BB16" s="1282"/>
      <c r="BC16" s="1282"/>
      <c r="BD16" s="1282"/>
      <c r="BE16" s="1282"/>
      <c r="BF16" s="1282"/>
      <c r="BG16" s="1282"/>
      <c r="BH16" s="1282"/>
      <c r="BI16" s="1282"/>
      <c r="BJ16" s="1282"/>
      <c r="BK16" s="1282"/>
      <c r="BL16" s="1282"/>
      <c r="BM16" s="1282"/>
      <c r="BN16" s="1282"/>
      <c r="BO16" s="1282"/>
      <c r="BP16" s="1282"/>
      <c r="BQ16" s="1282"/>
      <c r="BR16" s="1282"/>
      <c r="BS16" s="1282"/>
      <c r="BT16" s="1282"/>
      <c r="BU16" s="1282"/>
      <c r="BV16" s="1282"/>
      <c r="BW16" s="1282"/>
      <c r="BX16" s="1282"/>
      <c r="BY16" s="1282"/>
      <c r="BZ16" s="1282"/>
      <c r="CA16" s="1282"/>
      <c r="CB16" s="1282"/>
      <c r="CC16" s="1282"/>
      <c r="CD16" s="1282"/>
      <c r="CE16" s="1282"/>
      <c r="CF16" s="1282"/>
      <c r="CG16" s="1282"/>
      <c r="CH16" s="1282"/>
      <c r="CI16" s="1282"/>
      <c r="CJ16" s="1282"/>
      <c r="CK16" s="1282"/>
      <c r="CL16" s="1282"/>
      <c r="CM16" s="1282"/>
      <c r="CN16" s="1282"/>
      <c r="CO16" s="1282"/>
      <c r="CP16" s="1282"/>
      <c r="CQ16" s="1282"/>
      <c r="CR16" s="1282"/>
      <c r="CS16" s="1282"/>
      <c r="CT16" s="1282"/>
      <c r="CU16" s="1282"/>
      <c r="CV16" s="1282"/>
      <c r="CW16" s="1282"/>
      <c r="CX16" s="1282"/>
      <c r="CY16" s="1282"/>
      <c r="CZ16" s="1282"/>
      <c r="DA16" s="1282"/>
      <c r="DB16" s="1282"/>
      <c r="DC16" s="1282"/>
      <c r="DD16" s="1282"/>
      <c r="DE16" s="1282"/>
      <c r="DF16" s="1282"/>
      <c r="DG16" s="1282"/>
      <c r="DH16" s="1282"/>
      <c r="DI16" s="1282"/>
      <c r="DJ16" s="1282"/>
      <c r="DK16" s="1282"/>
      <c r="DL16" s="1282"/>
      <c r="DM16" s="1282"/>
      <c r="DN16" s="1282"/>
      <c r="DO16" s="1282"/>
      <c r="DP16" s="1282"/>
      <c r="DQ16" s="1282"/>
      <c r="DR16" s="1282"/>
      <c r="DS16" s="1282"/>
      <c r="DT16" s="1282"/>
      <c r="DU16" s="1282"/>
      <c r="DV16" s="1282"/>
      <c r="DW16" s="1282"/>
      <c r="DX16" s="1282"/>
      <c r="DY16" s="1282"/>
      <c r="DZ16" s="1282"/>
      <c r="EA16" s="1282"/>
      <c r="EB16" s="1282"/>
      <c r="EC16" s="1282"/>
      <c r="ED16" s="1282"/>
      <c r="EE16" s="1282"/>
      <c r="EF16" s="1282"/>
      <c r="EG16" s="1282"/>
      <c r="EH16" s="1282"/>
      <c r="EI16" s="1282"/>
      <c r="EJ16" s="1282"/>
      <c r="EK16" s="1282"/>
      <c r="EL16" s="1282"/>
      <c r="EM16" s="1282"/>
      <c r="EN16" s="1282"/>
      <c r="EO16" s="1282"/>
      <c r="EP16" s="1282"/>
      <c r="EQ16" s="1282"/>
      <c r="ER16" s="1282"/>
      <c r="ES16" s="1282"/>
      <c r="ET16" s="1282"/>
      <c r="EU16" s="1282"/>
      <c r="EV16" s="1282"/>
      <c r="EW16" s="1282"/>
      <c r="EX16" s="1282"/>
      <c r="EY16" s="1282"/>
      <c r="EZ16" s="1282"/>
      <c r="FA16" s="1282"/>
      <c r="FB16" s="1282"/>
      <c r="FC16" s="1282"/>
      <c r="FD16" s="1282"/>
      <c r="FE16" s="1282"/>
      <c r="FF16" s="1282"/>
      <c r="FG16" s="1282"/>
      <c r="FH16" s="1282"/>
      <c r="FI16" s="1282"/>
      <c r="FJ16" s="1282"/>
      <c r="FK16" s="1282"/>
      <c r="FL16" s="1282"/>
      <c r="FM16" s="1282"/>
      <c r="FN16" s="1282"/>
      <c r="FO16" s="1282"/>
      <c r="FP16" s="1282"/>
      <c r="FQ16" s="1282"/>
      <c r="FR16" s="1282"/>
      <c r="FS16" s="1282"/>
      <c r="FT16" s="1282"/>
      <c r="FU16" s="1282"/>
      <c r="FV16" s="1282"/>
      <c r="FW16" s="1282"/>
    </row>
    <row customHeight="1" ht="11.25" hidden="1">
      <c r="AG17" s="1282"/>
      <c r="AH17" s="1282"/>
      <c r="AI17" s="1282"/>
      <c r="AJ17" s="1282"/>
      <c r="AK17" s="1282"/>
      <c r="AL17" s="1282"/>
      <c r="AM17" s="1282"/>
      <c r="AN17" s="1282"/>
      <c r="AO17" s="1282"/>
      <c r="AP17" s="1282"/>
      <c r="AQ17" s="1282"/>
      <c r="AR17" s="1282"/>
      <c r="AS17" s="1282"/>
      <c r="AT17" s="1282"/>
      <c r="AU17" s="1282"/>
      <c r="AV17" s="1282"/>
      <c r="AW17" s="1282"/>
      <c r="AX17" s="1282"/>
      <c r="AY17" s="1282"/>
      <c r="AZ17" s="1282"/>
      <c r="BA17" s="1282"/>
      <c r="BB17" s="1282"/>
      <c r="BC17" s="1282"/>
      <c r="BD17" s="1282"/>
      <c r="BE17" s="1282"/>
      <c r="BF17" s="1282"/>
      <c r="BG17" s="1282"/>
      <c r="BH17" s="1282"/>
      <c r="BI17" s="1282"/>
      <c r="BJ17" s="1282"/>
      <c r="BK17" s="1282"/>
      <c r="BL17" s="1282"/>
      <c r="BM17" s="1282"/>
      <c r="BN17" s="1282"/>
      <c r="BO17" s="1282"/>
      <c r="BP17" s="1282"/>
      <c r="BQ17" s="1282"/>
      <c r="BR17" s="1282"/>
      <c r="BS17" s="1282"/>
      <c r="BT17" s="1282"/>
      <c r="BU17" s="1282"/>
      <c r="BV17" s="1282"/>
      <c r="BW17" s="1282"/>
      <c r="BX17" s="1282"/>
      <c r="BY17" s="1282"/>
      <c r="BZ17" s="1282"/>
      <c r="CA17" s="1282"/>
      <c r="CB17" s="1282"/>
      <c r="CC17" s="1282"/>
      <c r="CD17" s="1282"/>
      <c r="CE17" s="1282"/>
      <c r="CF17" s="1282"/>
      <c r="CG17" s="1282"/>
      <c r="CH17" s="1282"/>
      <c r="CI17" s="1282"/>
      <c r="CJ17" s="1282"/>
      <c r="CK17" s="1282"/>
      <c r="CL17" s="1282"/>
      <c r="CM17" s="1282"/>
      <c r="CN17" s="1282"/>
      <c r="CO17" s="1282"/>
      <c r="CP17" s="1282"/>
      <c r="CQ17" s="1282"/>
      <c r="CR17" s="1282"/>
      <c r="CS17" s="1282"/>
      <c r="CT17" s="1282"/>
      <c r="CU17" s="1282"/>
      <c r="CV17" s="1282"/>
      <c r="CW17" s="1282"/>
      <c r="CX17" s="1282"/>
      <c r="CY17" s="1282"/>
      <c r="CZ17" s="1282"/>
      <c r="DA17" s="1282"/>
      <c r="DB17" s="1282"/>
      <c r="DC17" s="1282"/>
      <c r="DD17" s="1282"/>
      <c r="DE17" s="1282"/>
      <c r="DF17" s="1282"/>
      <c r="DG17" s="1282"/>
      <c r="DH17" s="1282"/>
      <c r="DI17" s="1282"/>
      <c r="DJ17" s="1282"/>
      <c r="DK17" s="1282"/>
      <c r="DL17" s="1282"/>
      <c r="DM17" s="1282"/>
      <c r="DN17" s="1282"/>
      <c r="DO17" s="1282"/>
      <c r="DP17" s="1282"/>
      <c r="DQ17" s="1282"/>
      <c r="DR17" s="1282"/>
      <c r="DS17" s="1282"/>
      <c r="DT17" s="1282"/>
      <c r="DU17" s="1282"/>
      <c r="DV17" s="1282"/>
      <c r="DW17" s="1282"/>
      <c r="DX17" s="1282"/>
      <c r="DY17" s="1282"/>
      <c r="DZ17" s="1282"/>
      <c r="EA17" s="1282"/>
      <c r="EB17" s="1282"/>
      <c r="EC17" s="1282"/>
      <c r="ED17" s="1282"/>
      <c r="EE17" s="1282"/>
      <c r="EF17" s="1282"/>
      <c r="EG17" s="1282"/>
      <c r="EH17" s="1282"/>
      <c r="EI17" s="1282"/>
      <c r="EJ17" s="1282"/>
      <c r="EK17" s="1282"/>
      <c r="EL17" s="1282"/>
      <c r="EM17" s="1282"/>
      <c r="EN17" s="1282"/>
      <c r="EO17" s="1282"/>
      <c r="EP17" s="1282"/>
      <c r="EQ17" s="1282"/>
      <c r="ER17" s="1282"/>
      <c r="ES17" s="1282"/>
      <c r="ET17" s="1282"/>
      <c r="EU17" s="1282"/>
      <c r="EV17" s="1282"/>
      <c r="EW17" s="1282"/>
      <c r="EX17" s="1282"/>
      <c r="EY17" s="1282"/>
      <c r="EZ17" s="1282"/>
      <c r="FA17" s="1282"/>
      <c r="FB17" s="1282"/>
      <c r="FC17" s="1282"/>
      <c r="FD17" s="1282"/>
      <c r="FE17" s="1282"/>
      <c r="FF17" s="1282"/>
      <c r="FG17" s="1282"/>
      <c r="FH17" s="1282"/>
      <c r="FI17" s="1282"/>
      <c r="FJ17" s="1282"/>
      <c r="FK17" s="1282"/>
      <c r="FL17" s="1282"/>
      <c r="FM17" s="1282"/>
      <c r="FN17" s="1282"/>
      <c r="FO17" s="1282"/>
      <c r="FP17" s="1282"/>
      <c r="FQ17" s="1282"/>
      <c r="FR17" s="1282"/>
      <c r="FS17" s="1282"/>
      <c r="FT17" s="1282"/>
      <c r="FU17" s="1282"/>
      <c r="FV17" s="1282"/>
      <c r="FW17" s="1282"/>
    </row>
    <row customHeight="1" ht="11.25" hidden="1">
      <c r="A18" s="64" t="s">
        <v>357</v>
      </c>
      <c r="AB18" s="173" t="s">
        <v>358</v>
      </c>
      <c r="AG18" s="1282"/>
      <c r="AH18" s="1282"/>
      <c r="AI18" s="1282"/>
      <c r="AJ18" s="1282"/>
      <c r="AK18" s="1282"/>
      <c r="AL18" s="1282"/>
      <c r="AM18" s="1282"/>
      <c r="AN18" s="1282"/>
      <c r="AO18" s="1282"/>
      <c r="AP18" s="1282"/>
      <c r="AQ18" s="1282"/>
      <c r="AR18" s="1282"/>
      <c r="AS18" s="1282"/>
      <c r="AT18" s="1282"/>
      <c r="AU18" s="1282"/>
      <c r="AV18" s="1282"/>
      <c r="AW18" s="1282"/>
      <c r="AX18" s="1282"/>
      <c r="AY18" s="1282"/>
      <c r="AZ18" s="1282"/>
      <c r="BA18" s="1282"/>
      <c r="BB18" s="1282"/>
      <c r="BC18" s="1282"/>
      <c r="BD18" s="1282"/>
      <c r="BE18" s="1282"/>
      <c r="BF18" s="1282"/>
      <c r="BG18" s="1282"/>
      <c r="BH18" s="1282"/>
      <c r="BI18" s="1282"/>
      <c r="BJ18" s="1282"/>
      <c r="BK18" s="1282"/>
      <c r="BL18" s="1282"/>
      <c r="BM18" s="1282"/>
      <c r="BN18" s="1282"/>
      <c r="BO18" s="1282"/>
      <c r="BP18" s="1282"/>
      <c r="BQ18" s="1282"/>
      <c r="BR18" s="1282"/>
      <c r="BS18" s="1282"/>
      <c r="BT18" s="1282"/>
      <c r="BU18" s="1282"/>
      <c r="BV18" s="1282"/>
      <c r="BW18" s="1282"/>
      <c r="BX18" s="1282"/>
      <c r="BY18" s="1282"/>
      <c r="BZ18" s="1282"/>
      <c r="CA18" s="1282"/>
      <c r="CB18" s="1282"/>
      <c r="CC18" s="1282"/>
      <c r="CD18" s="1282"/>
      <c r="CE18" s="1282"/>
      <c r="CF18" s="1282"/>
      <c r="CG18" s="1282"/>
      <c r="CH18" s="1282"/>
      <c r="CI18" s="1282"/>
      <c r="CJ18" s="1282"/>
      <c r="CK18" s="1282"/>
      <c r="CL18" s="1282"/>
      <c r="CM18" s="1282"/>
      <c r="CN18" s="1282"/>
      <c r="CO18" s="1282"/>
      <c r="CP18" s="1282"/>
      <c r="CQ18" s="1282"/>
      <c r="CR18" s="1282"/>
      <c r="CS18" s="1282"/>
      <c r="CT18" s="1282"/>
      <c r="CU18" s="1282"/>
      <c r="CV18" s="1282"/>
      <c r="CW18" s="1282"/>
      <c r="CX18" s="1282"/>
      <c r="CY18" s="1282"/>
      <c r="CZ18" s="1282"/>
      <c r="DA18" s="1282"/>
      <c r="DB18" s="1282"/>
      <c r="DC18" s="1282"/>
      <c r="DD18" s="1282"/>
      <c r="DE18" s="1282"/>
      <c r="DF18" s="1282"/>
      <c r="DG18" s="1282"/>
      <c r="DH18" s="1282"/>
      <c r="DI18" s="1282"/>
      <c r="DJ18" s="1282"/>
      <c r="DK18" s="1282"/>
      <c r="DL18" s="1282"/>
      <c r="DM18" s="1282"/>
      <c r="DN18" s="1282"/>
      <c r="DO18" s="1282"/>
      <c r="DP18" s="1282"/>
      <c r="DQ18" s="1282"/>
      <c r="DR18" s="1282"/>
      <c r="DS18" s="1282"/>
      <c r="DT18" s="1282"/>
      <c r="DU18" s="1282"/>
      <c r="DV18" s="1282"/>
      <c r="DW18" s="1282"/>
      <c r="DX18" s="1282"/>
      <c r="DY18" s="1282"/>
      <c r="DZ18" s="1282"/>
      <c r="EA18" s="1282"/>
      <c r="EB18" s="1282"/>
      <c r="EC18" s="1282"/>
      <c r="ED18" s="1282"/>
      <c r="EE18" s="1282"/>
      <c r="EF18" s="1282"/>
      <c r="EG18" s="1282"/>
      <c r="EH18" s="1282"/>
      <c r="EI18" s="1282"/>
      <c r="EJ18" s="1282"/>
      <c r="EK18" s="1282"/>
      <c r="EL18" s="1282"/>
      <c r="EM18" s="1282"/>
      <c r="EN18" s="1282"/>
      <c r="EO18" s="1282"/>
      <c r="EP18" s="1282"/>
      <c r="EQ18" s="1282"/>
      <c r="ER18" s="1282"/>
      <c r="ES18" s="1282"/>
      <c r="ET18" s="1282"/>
      <c r="EU18" s="1282"/>
      <c r="EV18" s="1282"/>
      <c r="EW18" s="1282"/>
      <c r="EX18" s="1282"/>
      <c r="EY18" s="1282"/>
      <c r="EZ18" s="1282"/>
      <c r="FA18" s="1282"/>
      <c r="FB18" s="1282"/>
      <c r="FC18" s="1282"/>
      <c r="FD18" s="1282"/>
      <c r="FE18" s="1282"/>
      <c r="FF18" s="1282"/>
      <c r="FG18" s="1282"/>
      <c r="FH18" s="1282"/>
      <c r="FI18" s="1282"/>
      <c r="FJ18" s="1282"/>
      <c r="FK18" s="1282"/>
      <c r="FL18" s="1282"/>
      <c r="FM18" s="1282"/>
      <c r="FN18" s="1282"/>
      <c r="FO18" s="1282"/>
      <c r="FP18" s="1282"/>
      <c r="FQ18" s="1282"/>
      <c r="FR18" s="1282"/>
      <c r="FS18" s="1282"/>
      <c r="FT18" s="1282"/>
      <c r="FU18" s="1282"/>
      <c r="FV18" s="1282"/>
      <c r="FW18" s="1282"/>
    </row>
    <row customHeight="1" ht="11.25" hidden="1">
      <c r="AG19" s="1282"/>
      <c r="AH19" s="1282"/>
      <c r="AI19" s="1282"/>
      <c r="AJ19" s="1282"/>
      <c r="AK19" s="1282"/>
      <c r="AL19" s="1282"/>
      <c r="AM19" s="1282"/>
      <c r="AN19" s="1282"/>
      <c r="AO19" s="1282"/>
      <c r="AP19" s="1282"/>
      <c r="AQ19" s="1282"/>
      <c r="AR19" s="1282"/>
      <c r="AS19" s="1282"/>
      <c r="AT19" s="1282"/>
      <c r="AU19" s="1282"/>
      <c r="AV19" s="1282"/>
      <c r="AW19" s="1282"/>
      <c r="AX19" s="1282"/>
      <c r="AY19" s="1282"/>
      <c r="AZ19" s="1282"/>
      <c r="BA19" s="1282"/>
      <c r="BB19" s="1282"/>
      <c r="BC19" s="1282"/>
      <c r="BD19" s="1282"/>
      <c r="BE19" s="1282"/>
      <c r="BF19" s="1282"/>
      <c r="BG19" s="1282"/>
      <c r="BH19" s="1282"/>
      <c r="BI19" s="1282"/>
      <c r="BJ19" s="1282"/>
      <c r="BK19" s="1282"/>
      <c r="BL19" s="1282"/>
      <c r="BM19" s="1282"/>
      <c r="BN19" s="1282"/>
      <c r="BO19" s="1282"/>
      <c r="BP19" s="1282"/>
      <c r="BQ19" s="1282"/>
      <c r="BR19" s="1282"/>
      <c r="BS19" s="1282"/>
      <c r="BT19" s="1282"/>
      <c r="BU19" s="1282"/>
      <c r="BV19" s="1282"/>
      <c r="BW19" s="1282"/>
      <c r="BX19" s="1282"/>
      <c r="BY19" s="1282"/>
      <c r="BZ19" s="1282"/>
      <c r="CA19" s="1282"/>
      <c r="CB19" s="1282"/>
      <c r="CC19" s="1282"/>
      <c r="CD19" s="1282"/>
      <c r="CE19" s="1282"/>
      <c r="CF19" s="1282"/>
      <c r="CG19" s="1282"/>
      <c r="CH19" s="1282"/>
      <c r="CI19" s="1282"/>
      <c r="CJ19" s="1282"/>
      <c r="CK19" s="1282"/>
      <c r="CL19" s="1282"/>
      <c r="CM19" s="1282"/>
      <c r="CN19" s="1282"/>
      <c r="CO19" s="1282"/>
      <c r="CP19" s="1282"/>
      <c r="CQ19" s="1282"/>
      <c r="CR19" s="1282"/>
      <c r="CS19" s="1282"/>
      <c r="CT19" s="1282"/>
      <c r="CU19" s="1282"/>
      <c r="CV19" s="1282"/>
      <c r="CW19" s="1282"/>
      <c r="CX19" s="1282"/>
      <c r="CY19" s="1282"/>
      <c r="CZ19" s="1282"/>
      <c r="DA19" s="1282"/>
      <c r="DB19" s="1282"/>
      <c r="DC19" s="1282"/>
      <c r="DD19" s="1282"/>
      <c r="DE19" s="1282"/>
      <c r="DF19" s="1282"/>
      <c r="DG19" s="1282"/>
      <c r="DH19" s="1282"/>
      <c r="DI19" s="1282"/>
      <c r="DJ19" s="1282"/>
      <c r="DK19" s="1282"/>
      <c r="DL19" s="1282"/>
      <c r="DM19" s="1282"/>
      <c r="DN19" s="1282"/>
      <c r="DO19" s="1282"/>
      <c r="DP19" s="1282"/>
      <c r="DQ19" s="1282"/>
      <c r="DR19" s="1282"/>
      <c r="DS19" s="1282"/>
      <c r="DT19" s="1282"/>
      <c r="DU19" s="1282"/>
      <c r="DV19" s="1282"/>
      <c r="DW19" s="1282"/>
      <c r="DX19" s="1282"/>
      <c r="DY19" s="1282"/>
      <c r="DZ19" s="1282"/>
      <c r="EA19" s="1282"/>
      <c r="EB19" s="1282"/>
      <c r="EC19" s="1282"/>
      <c r="ED19" s="1282"/>
      <c r="EE19" s="1282"/>
      <c r="EF19" s="1282"/>
      <c r="EG19" s="1282"/>
      <c r="EH19" s="1282"/>
      <c r="EI19" s="1282"/>
      <c r="EJ19" s="1282"/>
      <c r="EK19" s="1282"/>
      <c r="EL19" s="1282"/>
      <c r="EM19" s="1282"/>
      <c r="EN19" s="1282"/>
      <c r="EO19" s="1282"/>
      <c r="EP19" s="1282"/>
      <c r="EQ19" s="1282"/>
      <c r="ER19" s="1282"/>
      <c r="ES19" s="1282"/>
      <c r="ET19" s="1282"/>
      <c r="EU19" s="1282"/>
      <c r="EV19" s="1282"/>
      <c r="EW19" s="1282"/>
      <c r="EX19" s="1282"/>
      <c r="EY19" s="1282"/>
      <c r="EZ19" s="1282"/>
      <c r="FA19" s="1282"/>
      <c r="FB19" s="1282"/>
      <c r="FC19" s="1282"/>
      <c r="FD19" s="1282"/>
      <c r="FE19" s="1282"/>
      <c r="FF19" s="1282"/>
      <c r="FG19" s="1282"/>
      <c r="FH19" s="1282"/>
      <c r="FI19" s="1282"/>
      <c r="FJ19" s="1282"/>
      <c r="FK19" s="1282"/>
      <c r="FL19" s="1282"/>
      <c r="FM19" s="1282"/>
      <c r="FN19" s="1282"/>
      <c r="FO19" s="1282"/>
      <c r="FP19" s="1282"/>
      <c r="FQ19" s="1282"/>
      <c r="FR19" s="1282"/>
      <c r="FS19" s="1282"/>
      <c r="FT19" s="1282"/>
      <c r="FU19" s="1282"/>
      <c r="FV19" s="1282"/>
      <c r="FW19" s="1282"/>
    </row>
    <row customHeight="1" ht="11.25" hidden="1">
      <c r="AG20" s="1282"/>
      <c r="AH20" s="1282"/>
      <c r="AI20" s="1282"/>
      <c r="AJ20" s="1282"/>
      <c r="AK20" s="1282"/>
      <c r="AL20" s="1282"/>
      <c r="AM20" s="1282"/>
      <c r="AN20" s="1282"/>
      <c r="AO20" s="1282"/>
      <c r="AP20" s="1282"/>
      <c r="AQ20" s="1282"/>
      <c r="AR20" s="1282"/>
      <c r="AS20" s="1282"/>
      <c r="AT20" s="1282"/>
      <c r="AU20" s="1282"/>
      <c r="AV20" s="1282"/>
      <c r="AW20" s="1282"/>
      <c r="AX20" s="1282"/>
      <c r="AY20" s="1282"/>
      <c r="AZ20" s="1282"/>
      <c r="BA20" s="1282"/>
      <c r="BB20" s="1282"/>
      <c r="BC20" s="1282"/>
      <c r="BD20" s="1282"/>
      <c r="BE20" s="1282"/>
      <c r="BF20" s="1282"/>
      <c r="BG20" s="1282"/>
      <c r="BH20" s="1282"/>
      <c r="BI20" s="1282"/>
      <c r="BJ20" s="1282"/>
      <c r="BK20" s="1282"/>
      <c r="BL20" s="1282"/>
      <c r="BM20" s="1282"/>
      <c r="BN20" s="1282"/>
      <c r="BO20" s="1282"/>
      <c r="BP20" s="1282"/>
      <c r="BQ20" s="1282"/>
      <c r="BR20" s="1282"/>
      <c r="BS20" s="1282"/>
      <c r="BT20" s="1282"/>
      <c r="BU20" s="1282"/>
      <c r="BV20" s="1282"/>
      <c r="BW20" s="1282"/>
      <c r="BX20" s="1282"/>
      <c r="BY20" s="1282"/>
      <c r="BZ20" s="1282"/>
      <c r="CA20" s="1282"/>
      <c r="CB20" s="1282"/>
      <c r="CC20" s="1282"/>
      <c r="CD20" s="1282"/>
      <c r="CE20" s="1282"/>
      <c r="CF20" s="1282"/>
      <c r="CG20" s="1282"/>
      <c r="CH20" s="1282"/>
      <c r="CI20" s="1282"/>
      <c r="CJ20" s="1282"/>
      <c r="CK20" s="1282"/>
      <c r="CL20" s="1282"/>
      <c r="CM20" s="1282"/>
      <c r="CN20" s="1282"/>
      <c r="CO20" s="1282"/>
      <c r="CP20" s="1282"/>
      <c r="CQ20" s="1282"/>
      <c r="CR20" s="1282"/>
      <c r="CS20" s="1282"/>
      <c r="CT20" s="1282"/>
      <c r="CU20" s="1282"/>
      <c r="CV20" s="1282"/>
      <c r="CW20" s="1282"/>
      <c r="CX20" s="1282"/>
      <c r="CY20" s="1282"/>
      <c r="CZ20" s="1282"/>
      <c r="DA20" s="1282"/>
      <c r="DB20" s="1282"/>
      <c r="DC20" s="1282"/>
      <c r="DD20" s="1282"/>
      <c r="DE20" s="1282"/>
      <c r="DF20" s="1282"/>
      <c r="DG20" s="1282"/>
      <c r="DH20" s="1282"/>
      <c r="DI20" s="1282"/>
      <c r="DJ20" s="1282"/>
      <c r="DK20" s="1282"/>
      <c r="DL20" s="1282"/>
      <c r="DM20" s="1282"/>
      <c r="DN20" s="1282"/>
      <c r="DO20" s="1282"/>
      <c r="DP20" s="1282"/>
      <c r="DQ20" s="1282"/>
      <c r="DR20" s="1282"/>
      <c r="DS20" s="1282"/>
      <c r="DT20" s="1282"/>
      <c r="DU20" s="1282"/>
      <c r="DV20" s="1282"/>
      <c r="DW20" s="1282"/>
      <c r="DX20" s="1282"/>
      <c r="DY20" s="1282"/>
      <c r="DZ20" s="1282"/>
      <c r="EA20" s="1282"/>
      <c r="EB20" s="1282"/>
      <c r="EC20" s="1282"/>
      <c r="ED20" s="1282"/>
      <c r="EE20" s="1282"/>
      <c r="EF20" s="1282"/>
      <c r="EG20" s="1282"/>
      <c r="EH20" s="1282"/>
      <c r="EI20" s="1282"/>
      <c r="EJ20" s="1282"/>
      <c r="EK20" s="1282"/>
      <c r="EL20" s="1282"/>
      <c r="EM20" s="1282"/>
      <c r="EN20" s="1282"/>
      <c r="EO20" s="1282"/>
      <c r="EP20" s="1282"/>
      <c r="EQ20" s="1282"/>
      <c r="ER20" s="1282"/>
      <c r="ES20" s="1282"/>
      <c r="ET20" s="1282"/>
      <c r="EU20" s="1282"/>
      <c r="EV20" s="1282"/>
      <c r="EW20" s="1282"/>
      <c r="EX20" s="1282"/>
      <c r="EY20" s="1282"/>
      <c r="EZ20" s="1282"/>
      <c r="FA20" s="1282"/>
      <c r="FB20" s="1282"/>
      <c r="FC20" s="1282"/>
      <c r="FD20" s="1282"/>
      <c r="FE20" s="1282"/>
      <c r="FF20" s="1282"/>
      <c r="FG20" s="1282"/>
      <c r="FH20" s="1282"/>
      <c r="FI20" s="1282"/>
      <c r="FJ20" s="1282"/>
      <c r="FK20" s="1282"/>
      <c r="FL20" s="1282"/>
      <c r="FM20" s="1282"/>
      <c r="FN20" s="1282"/>
      <c r="FO20" s="1282"/>
      <c r="FP20" s="1282"/>
      <c r="FQ20" s="1282"/>
      <c r="FR20" s="1282"/>
      <c r="FS20" s="1282"/>
      <c r="FT20" s="1282"/>
      <c r="FU20" s="1282"/>
      <c r="FV20" s="1282"/>
      <c r="FW20" s="1282"/>
    </row>
    <row customHeight="1" ht="14.625">
      <c r="E21" s="607">
        <v>15</v>
      </c>
      <c r="AA21" s="633"/>
      <c r="AB21" s="333" cm="1" t="str">
        <f t="array" ref="AB21:AB21">tpl_title</f>
        <v>Кемеровская область / 2026 / ОАО «СКЭК» (ИНН:4205153492, КПП:420501001) / ДПР: 2026-2026</v>
      </c>
      <c r="AG21" s="1282"/>
      <c r="AH21" s="1282"/>
      <c r="AI21" s="1282"/>
      <c r="AJ21" s="1282"/>
      <c r="AK21" s="1282"/>
      <c r="AL21" s="1282"/>
      <c r="AM21" s="1282"/>
      <c r="AN21" s="1282"/>
      <c r="AO21" s="1282"/>
      <c r="AP21" s="1282"/>
      <c r="AQ21" s="1282"/>
      <c r="AR21" s="1282"/>
      <c r="AS21" s="1282"/>
      <c r="AT21" s="1282"/>
      <c r="AU21" s="1282"/>
      <c r="AV21" s="1282"/>
      <c r="AW21" s="1282"/>
      <c r="AX21" s="1282"/>
      <c r="AY21" s="1282"/>
      <c r="AZ21" s="1282"/>
      <c r="BA21" s="1282"/>
      <c r="BB21" s="1282"/>
      <c r="BC21" s="1282"/>
      <c r="BD21" s="1282"/>
      <c r="BE21" s="1282"/>
      <c r="BF21" s="1282"/>
      <c r="BG21" s="1282"/>
      <c r="BH21" s="1282"/>
      <c r="BI21" s="1282"/>
      <c r="BJ21" s="1282"/>
      <c r="BK21" s="1282"/>
      <c r="BL21" s="1282"/>
      <c r="BM21" s="1282"/>
      <c r="BN21" s="1282"/>
      <c r="BO21" s="1282"/>
      <c r="BP21" s="1282"/>
      <c r="BQ21" s="1282"/>
      <c r="BR21" s="1282"/>
      <c r="BS21" s="1282"/>
      <c r="BT21" s="1282"/>
      <c r="BU21" s="1282"/>
      <c r="BV21" s="1282"/>
      <c r="BW21" s="1282"/>
      <c r="BX21" s="1282"/>
      <c r="BY21" s="1282"/>
      <c r="BZ21" s="1282"/>
      <c r="CA21" s="1282"/>
      <c r="CB21" s="1282"/>
      <c r="CC21" s="1282"/>
      <c r="CD21" s="1282"/>
      <c r="CE21" s="1282"/>
      <c r="CF21" s="1282"/>
      <c r="CG21" s="1282"/>
      <c r="CH21" s="1282"/>
      <c r="CI21" s="1282"/>
      <c r="CJ21" s="1282"/>
      <c r="CK21" s="1282"/>
      <c r="CL21" s="1282"/>
      <c r="CM21" s="1282"/>
      <c r="CN21" s="1282"/>
      <c r="CO21" s="1282"/>
      <c r="CP21" s="1282"/>
      <c r="CQ21" s="1282"/>
      <c r="CR21" s="1282"/>
      <c r="CS21" s="1282"/>
      <c r="CT21" s="1282"/>
      <c r="CU21" s="1282"/>
      <c r="CV21" s="1282"/>
      <c r="CW21" s="1282"/>
      <c r="CX21" s="1282"/>
      <c r="CY21" s="1282"/>
      <c r="CZ21" s="1282"/>
      <c r="DA21" s="1282"/>
      <c r="DB21" s="1282"/>
      <c r="DC21" s="1282"/>
      <c r="DD21" s="1282"/>
      <c r="DE21" s="1282"/>
      <c r="DF21" s="1282"/>
      <c r="DG21" s="1282"/>
      <c r="DH21" s="1282"/>
      <c r="DI21" s="1282"/>
      <c r="DJ21" s="1282"/>
      <c r="DK21" s="1282"/>
      <c r="DL21" s="1282"/>
      <c r="DM21" s="1282"/>
      <c r="DN21" s="1282"/>
      <c r="DO21" s="1282"/>
      <c r="DP21" s="1282"/>
      <c r="DQ21" s="1282"/>
      <c r="DR21" s="1282"/>
      <c r="DS21" s="1282"/>
      <c r="DT21" s="1282"/>
      <c r="DU21" s="1282"/>
      <c r="DV21" s="1282"/>
      <c r="DW21" s="1282"/>
      <c r="DX21" s="1282"/>
      <c r="DY21" s="1282"/>
      <c r="DZ21" s="1282"/>
      <c r="EA21" s="1282"/>
      <c r="EB21" s="1282"/>
      <c r="EC21" s="1282"/>
      <c r="ED21" s="1282"/>
      <c r="EE21" s="1282"/>
      <c r="EF21" s="1282"/>
      <c r="EG21" s="1282"/>
      <c r="EH21" s="1282"/>
      <c r="EI21" s="1282"/>
      <c r="EJ21" s="1282"/>
      <c r="EK21" s="1282"/>
      <c r="EL21" s="1282"/>
      <c r="EM21" s="1282"/>
      <c r="EN21" s="1282"/>
      <c r="EO21" s="1282"/>
      <c r="EP21" s="1282"/>
      <c r="EQ21" s="1282"/>
      <c r="ER21" s="1282"/>
      <c r="ES21" s="1282"/>
      <c r="ET21" s="1282"/>
      <c r="EU21" s="1282"/>
      <c r="EV21" s="1282"/>
      <c r="EW21" s="1282"/>
      <c r="EX21" s="1282"/>
      <c r="EY21" s="1282"/>
      <c r="EZ21" s="1282"/>
      <c r="FA21" s="1282"/>
      <c r="FB21" s="1282"/>
      <c r="FC21" s="1282"/>
      <c r="FD21" s="1282"/>
      <c r="FE21" s="1282"/>
      <c r="FF21" s="1282"/>
      <c r="FG21" s="1282"/>
      <c r="FH21" s="1282"/>
      <c r="FI21" s="1282"/>
      <c r="FJ21" s="1282"/>
      <c r="FK21" s="1282"/>
      <c r="FL21" s="1282"/>
      <c r="FM21" s="1282"/>
      <c r="FN21" s="1282"/>
      <c r="FO21" s="1282"/>
      <c r="FP21" s="1282"/>
      <c r="FQ21" s="1282"/>
      <c r="FR21" s="1282"/>
      <c r="FS21" s="1282"/>
      <c r="FT21" s="1282"/>
      <c r="FU21" s="1282"/>
      <c r="FV21" s="1282"/>
      <c r="FW21" s="1282"/>
    </row>
    <row s="1379" customFormat="1" customHeight="1" ht="23.400000000000002">
      <c r="B22" s="815"/>
      <c r="E22" s="608">
        <v>24</v>
      </c>
      <c r="F22" s="467"/>
      <c r="S22" s="466"/>
      <c r="AB22" s="286" t="s">
        <v>82</v>
      </c>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Q22" s="251"/>
      <c r="BR22" s="251"/>
      <c r="BS22" s="251"/>
      <c r="BT22" s="251"/>
      <c r="BU22" s="251"/>
      <c r="BV22" s="251"/>
      <c r="BW22" s="251"/>
      <c r="BX22" s="251"/>
      <c r="BY22" s="251"/>
      <c r="BZ22" s="251"/>
      <c r="CA22" s="251"/>
      <c r="CB22" s="251"/>
      <c r="CC22" s="251"/>
      <c r="CD22" s="251"/>
      <c r="CE22" s="251"/>
      <c r="CF22" s="251"/>
      <c r="CG22" s="251"/>
      <c r="CH22" s="251"/>
      <c r="CI22" s="251"/>
      <c r="CJ22" s="251"/>
      <c r="CK22" s="251"/>
      <c r="CL22" s="251"/>
      <c r="CM22" s="251"/>
      <c r="CN22" s="251"/>
      <c r="CO22" s="251"/>
      <c r="CP22" s="251"/>
      <c r="CQ22" s="251"/>
      <c r="CR22" s="251"/>
      <c r="CS22" s="251"/>
      <c r="CT22" s="251"/>
      <c r="CU22" s="251"/>
      <c r="CV22" s="251"/>
      <c r="CW22" s="251"/>
      <c r="CX22" s="251"/>
      <c r="CY22" s="251"/>
      <c r="CZ22" s="251"/>
      <c r="DA22" s="251"/>
      <c r="DB22" s="251"/>
      <c r="DC22" s="251"/>
      <c r="DD22" s="251"/>
      <c r="DE22" s="251"/>
      <c r="DF22" s="251"/>
      <c r="DG22" s="251"/>
      <c r="DH22" s="251"/>
      <c r="DI22" s="251"/>
      <c r="DJ22" s="251"/>
      <c r="DK22" s="251"/>
      <c r="DL22" s="251"/>
      <c r="DM22" s="251"/>
      <c r="DN22" s="251"/>
      <c r="DO22" s="251"/>
      <c r="DP22" s="251"/>
      <c r="DQ22" s="251"/>
      <c r="DR22" s="251"/>
      <c r="DS22" s="251"/>
      <c r="DT22" s="251"/>
      <c r="DU22" s="251"/>
      <c r="DV22" s="251"/>
      <c r="DW22" s="251"/>
      <c r="DX22" s="251"/>
      <c r="DY22" s="251"/>
      <c r="DZ22" s="251"/>
      <c r="EA22" s="251"/>
      <c r="EB22" s="251"/>
      <c r="EC22" s="251"/>
      <c r="ED22" s="251"/>
      <c r="EE22" s="251"/>
      <c r="EF22" s="251"/>
      <c r="EG22" s="251"/>
      <c r="EH22" s="251"/>
      <c r="EI22" s="251"/>
      <c r="EJ22" s="251"/>
      <c r="EK22" s="251"/>
      <c r="EL22" s="251"/>
      <c r="EM22" s="251"/>
      <c r="EN22" s="251"/>
      <c r="EO22" s="251"/>
      <c r="EP22" s="251"/>
      <c r="EQ22" s="251"/>
      <c r="ER22" s="251"/>
      <c r="ES22" s="251"/>
      <c r="ET22" s="251"/>
      <c r="EU22" s="251"/>
      <c r="EV22" s="251"/>
      <c r="EW22" s="251"/>
      <c r="EX22" s="251"/>
      <c r="EY22" s="251"/>
      <c r="EZ22" s="251"/>
      <c r="FA22" s="251"/>
      <c r="FB22" s="251"/>
      <c r="FC22" s="251"/>
      <c r="FD22" s="251"/>
      <c r="FE22" s="251"/>
      <c r="FF22" s="251"/>
      <c r="FG22" s="251"/>
      <c r="FH22" s="251"/>
      <c r="FI22" s="251"/>
      <c r="FJ22" s="251"/>
      <c r="FK22" s="251"/>
      <c r="FL22" s="251"/>
      <c r="FM22" s="251"/>
      <c r="FN22" s="251"/>
      <c r="FO22" s="251"/>
      <c r="FP22" s="251"/>
      <c r="FQ22" s="251"/>
      <c r="FR22" s="251"/>
      <c r="FS22" s="251"/>
      <c r="FT22" s="251"/>
      <c r="FU22" s="251"/>
      <c r="FV22" s="251"/>
      <c r="FW22" s="251"/>
      <c r="FZ22" s="995"/>
      <c r="GA22" s="995"/>
      <c r="GB22" s="995"/>
      <c r="GC22" s="608"/>
      <c r="GD22" s="608"/>
    </row>
    <row customHeight="1" ht="10.96875">
      <c r="E23" s="607">
        <v>11.25</v>
      </c>
      <c r="AB23" s="110"/>
      <c r="AD23" s="110"/>
      <c r="AG23" s="1282"/>
      <c r="AH23" s="1282"/>
      <c r="AI23" s="1282"/>
      <c r="AJ23" s="1282"/>
      <c r="AK23" s="1282"/>
      <c r="AL23" s="1282"/>
      <c r="AM23" s="1282"/>
      <c r="AN23" s="1282"/>
      <c r="AO23" s="1282"/>
      <c r="AP23" s="1282"/>
      <c r="AQ23" s="1282"/>
      <c r="AR23" s="1282"/>
      <c r="AS23" s="1282"/>
      <c r="AT23" s="1282"/>
      <c r="AU23" s="1282"/>
      <c r="AV23" s="1282"/>
      <c r="AW23" s="1282"/>
      <c r="AX23" s="1282"/>
      <c r="AY23" s="1282"/>
      <c r="AZ23" s="1282"/>
      <c r="BA23" s="1282"/>
      <c r="BB23" s="1282"/>
      <c r="BC23" s="1282"/>
      <c r="BD23" s="1282"/>
      <c r="BE23" s="1282"/>
      <c r="BF23" s="1282"/>
      <c r="BG23" s="1282"/>
      <c r="BH23" s="1282"/>
      <c r="BI23" s="1282"/>
      <c r="BJ23" s="1282"/>
      <c r="BK23" s="1282"/>
      <c r="BL23" s="1282"/>
      <c r="BM23" s="1282"/>
      <c r="BN23" s="1282"/>
      <c r="BO23" s="1282"/>
      <c r="BP23" s="1282"/>
      <c r="BQ23" s="1282"/>
      <c r="BR23" s="1282"/>
      <c r="BS23" s="1282"/>
      <c r="BT23" s="1282"/>
      <c r="BU23" s="1282"/>
      <c r="BV23" s="1282"/>
      <c r="BW23" s="1282"/>
      <c r="BX23" s="1282"/>
      <c r="BY23" s="1282"/>
      <c r="BZ23" s="1282"/>
      <c r="CA23" s="1282"/>
      <c r="CB23" s="1282"/>
      <c r="CC23" s="1282"/>
      <c r="CD23" s="1282"/>
      <c r="CE23" s="1282"/>
      <c r="CF23" s="1282"/>
      <c r="CG23" s="1282"/>
      <c r="CH23" s="1282"/>
      <c r="CI23" s="1282"/>
      <c r="CJ23" s="1282"/>
      <c r="CK23" s="1282"/>
      <c r="CL23" s="1282"/>
      <c r="CM23" s="1282"/>
      <c r="CN23" s="1282"/>
      <c r="CO23" s="1282"/>
      <c r="CP23" s="1282"/>
      <c r="CQ23" s="1282"/>
      <c r="CR23" s="1282"/>
      <c r="CS23" s="1282"/>
      <c r="CT23" s="1282"/>
      <c r="CU23" s="1282"/>
      <c r="CV23" s="1282"/>
      <c r="CW23" s="1282"/>
      <c r="CX23" s="1282"/>
      <c r="CY23" s="1282"/>
      <c r="CZ23" s="1282"/>
      <c r="DA23" s="1282"/>
      <c r="DB23" s="1282"/>
      <c r="DC23" s="1282"/>
      <c r="DD23" s="1282"/>
      <c r="DE23" s="1282"/>
      <c r="DF23" s="1282"/>
      <c r="DG23" s="1282"/>
      <c r="DH23" s="1282"/>
      <c r="DI23" s="1282"/>
      <c r="DJ23" s="1282"/>
      <c r="DK23" s="1282"/>
      <c r="DL23" s="1282"/>
      <c r="DM23" s="1282"/>
      <c r="DN23" s="1282"/>
      <c r="DO23" s="1282"/>
      <c r="DP23" s="1282"/>
      <c r="DQ23" s="1282"/>
      <c r="DR23" s="1282"/>
      <c r="DS23" s="1282"/>
      <c r="DT23" s="1282"/>
      <c r="DU23" s="1282"/>
      <c r="DV23" s="1282"/>
      <c r="DW23" s="1282"/>
      <c r="DX23" s="1282"/>
      <c r="DY23" s="1282"/>
      <c r="DZ23" s="1282"/>
      <c r="EA23" s="1282"/>
      <c r="EB23" s="1282"/>
      <c r="EC23" s="1282"/>
      <c r="ED23" s="1282"/>
      <c r="EE23" s="1282"/>
      <c r="EF23" s="1282"/>
      <c r="EG23" s="1282"/>
      <c r="EH23" s="1282"/>
      <c r="EI23" s="1282"/>
      <c r="EJ23" s="1282"/>
      <c r="EK23" s="1282"/>
      <c r="EL23" s="1282"/>
      <c r="EM23" s="1282"/>
      <c r="EN23" s="1282"/>
      <c r="EO23" s="1282"/>
      <c r="EP23" s="1282"/>
      <c r="EQ23" s="1282"/>
      <c r="ER23" s="1282"/>
      <c r="ES23" s="1282"/>
      <c r="ET23" s="1282"/>
      <c r="EU23" s="1282"/>
      <c r="EV23" s="1282"/>
      <c r="EW23" s="1282"/>
      <c r="EX23" s="1282"/>
      <c r="EY23" s="1282"/>
      <c r="EZ23" s="1282"/>
      <c r="FA23" s="1282"/>
      <c r="FB23" s="1282"/>
      <c r="FC23" s="1282"/>
      <c r="FD23" s="1282"/>
      <c r="FE23" s="1282"/>
      <c r="FF23" s="1282"/>
      <c r="FG23" s="1282"/>
      <c r="FH23" s="1282"/>
      <c r="FI23" s="1282"/>
      <c r="FJ23" s="1282"/>
      <c r="FK23" s="1282"/>
      <c r="FL23" s="1282"/>
      <c r="FM23" s="1282"/>
      <c r="FN23" s="1282"/>
      <c r="FO23" s="1282"/>
      <c r="FP23" s="1282"/>
      <c r="FQ23" s="1282"/>
      <c r="FR23" s="1282"/>
      <c r="FS23" s="1282"/>
      <c r="FT23" s="1282"/>
      <c r="FU23" s="1282"/>
      <c r="FV23" s="1282"/>
      <c r="FW23" s="1282"/>
    </row>
    <row s="1379" customFormat="1" customHeight="1" ht="19.0125">
      <c r="A24" s="1379"/>
      <c r="B24" s="466"/>
      <c r="C24" s="1379"/>
      <c r="D24" s="1379"/>
      <c r="E24" s="608">
        <v>19.5</v>
      </c>
      <c r="F24" s="467"/>
      <c r="G24" s="1379"/>
      <c r="H24" s="1379"/>
      <c r="I24" s="1379"/>
      <c r="J24" s="1379"/>
      <c r="K24" s="1379"/>
      <c r="L24" s="1379"/>
      <c r="M24" s="1379"/>
      <c r="N24" s="1379"/>
      <c r="O24" s="1379"/>
      <c r="P24" s="1379"/>
      <c r="Q24" s="1379"/>
      <c r="R24" s="1379"/>
      <c r="S24" s="1379"/>
      <c r="T24" s="438">
        <f>OR(hasVS,hasVO)</f>
        <v>1</v>
      </c>
      <c r="U24" s="1379"/>
      <c r="V24" s="1379"/>
      <c r="W24" s="1379"/>
      <c r="X24" s="1379"/>
      <c r="Y24" s="1379"/>
      <c r="Z24" s="1379"/>
      <c r="AA24" s="353"/>
      <c r="AB24" s="378" t="s">
        <v>82</v>
      </c>
      <c r="AC24" s="336"/>
      <c r="AD24" s="336"/>
      <c r="AE24" s="336"/>
      <c r="AF24" s="336"/>
      <c r="AG24" s="336"/>
      <c r="AH24" s="336"/>
      <c r="AI24" s="336"/>
      <c r="AJ24" s="336"/>
      <c r="AK24" s="336"/>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7"/>
      <c r="BH24" s="337"/>
      <c r="BI24" s="337"/>
      <c r="BJ24" s="337"/>
      <c r="BK24" s="337"/>
      <c r="BL24" s="337"/>
      <c r="BM24" s="337"/>
      <c r="BN24" s="337"/>
      <c r="BO24" s="337"/>
      <c r="BP24" s="337"/>
      <c r="BQ24" s="337"/>
      <c r="BR24" s="337"/>
      <c r="BS24" s="337"/>
      <c r="BT24" s="337"/>
      <c r="BU24" s="337"/>
      <c r="BV24" s="337"/>
      <c r="BW24" s="337"/>
      <c r="BX24" s="337"/>
      <c r="BY24" s="337"/>
      <c r="BZ24" s="337"/>
      <c r="CA24" s="337"/>
      <c r="CB24" s="337"/>
      <c r="CC24" s="337"/>
      <c r="CD24" s="337"/>
      <c r="CE24" s="337"/>
      <c r="CF24" s="337"/>
      <c r="CG24" s="337"/>
      <c r="CH24" s="337"/>
      <c r="CI24" s="337"/>
      <c r="CJ24" s="337"/>
      <c r="CK24" s="337"/>
      <c r="CL24" s="337"/>
      <c r="CM24" s="337"/>
      <c r="CN24" s="337"/>
      <c r="CO24" s="337"/>
      <c r="CP24" s="337"/>
      <c r="CQ24" s="337"/>
      <c r="CR24" s="337"/>
      <c r="CS24" s="337"/>
      <c r="CT24" s="337"/>
      <c r="CU24" s="337"/>
      <c r="CV24" s="337"/>
      <c r="CW24" s="337"/>
      <c r="CX24" s="337"/>
      <c r="CY24" s="337"/>
      <c r="CZ24" s="337"/>
      <c r="DA24" s="337"/>
      <c r="DB24" s="337"/>
      <c r="DC24" s="337"/>
      <c r="DD24" s="337"/>
      <c r="DE24" s="337"/>
      <c r="DF24" s="337"/>
      <c r="DG24" s="337"/>
      <c r="DH24" s="337"/>
      <c r="DI24" s="337"/>
      <c r="DJ24" s="337"/>
      <c r="DK24" s="337"/>
      <c r="DL24" s="337"/>
      <c r="DM24" s="337"/>
      <c r="DN24" s="337"/>
      <c r="DO24" s="337"/>
      <c r="DP24" s="337"/>
      <c r="DQ24" s="337"/>
      <c r="DR24" s="337"/>
      <c r="DS24" s="337"/>
      <c r="DT24" s="337"/>
      <c r="DU24" s="337"/>
      <c r="DV24" s="337"/>
      <c r="DW24" s="337"/>
      <c r="DX24" s="337"/>
      <c r="DY24" s="337"/>
      <c r="DZ24" s="337"/>
      <c r="EA24" s="337"/>
      <c r="EB24" s="337"/>
      <c r="EC24" s="337"/>
      <c r="ED24" s="337"/>
      <c r="EE24" s="337"/>
      <c r="EF24" s="337"/>
      <c r="EG24" s="337"/>
      <c r="EH24" s="337"/>
      <c r="EI24" s="337"/>
      <c r="EJ24" s="337"/>
      <c r="EK24" s="337"/>
      <c r="EL24" s="337"/>
      <c r="EM24" s="337"/>
      <c r="EN24" s="337"/>
      <c r="EO24" s="337"/>
      <c r="EP24" s="337"/>
      <c r="EQ24" s="337"/>
      <c r="ER24" s="337"/>
      <c r="ES24" s="337"/>
      <c r="ET24" s="337"/>
      <c r="EU24" s="337"/>
      <c r="EV24" s="337"/>
      <c r="EW24" s="337"/>
      <c r="EX24" s="337"/>
      <c r="EY24" s="337"/>
      <c r="EZ24" s="337"/>
      <c r="FA24" s="337"/>
      <c r="FB24" s="337"/>
      <c r="FC24" s="337"/>
      <c r="FD24" s="337"/>
      <c r="FE24" s="337"/>
      <c r="FF24" s="337"/>
      <c r="FG24" s="337"/>
      <c r="FH24" s="337"/>
      <c r="FI24" s="337"/>
      <c r="FJ24" s="337"/>
      <c r="FK24" s="337"/>
      <c r="FL24" s="337"/>
      <c r="FM24" s="337"/>
      <c r="FN24" s="337"/>
      <c r="FO24" s="337"/>
      <c r="FP24" s="337"/>
      <c r="FQ24" s="337"/>
      <c r="FR24" s="337"/>
      <c r="FS24" s="337"/>
      <c r="FT24" s="337"/>
      <c r="FU24" s="337"/>
      <c r="FV24" s="337"/>
      <c r="FW24" s="337"/>
      <c r="FX24" s="1379"/>
      <c r="FY24" s="1379"/>
      <c r="FZ24" s="995"/>
      <c r="GA24" s="995"/>
      <c r="GB24" s="995"/>
      <c r="GC24" s="608"/>
      <c r="GD24" s="608"/>
    </row>
    <row customHeight="1" ht="10.96875">
      <c r="A25" s="1282"/>
      <c r="B25" s="848"/>
      <c r="C25" s="1282"/>
      <c r="D25" s="1282"/>
      <c r="E25" s="607">
        <v>11.25</v>
      </c>
      <c r="F25" s="1315"/>
      <c r="G25" s="1282"/>
      <c r="H25" s="1282"/>
      <c r="I25" s="1282"/>
      <c r="J25" s="1282"/>
      <c r="K25" s="1282"/>
      <c r="L25" s="1282"/>
      <c r="M25" s="1282"/>
      <c r="N25" s="1282"/>
      <c r="O25" s="1282"/>
      <c r="P25" s="1282"/>
      <c r="Q25" s="1282"/>
      <c r="R25" s="1282"/>
      <c r="S25" s="1282"/>
      <c r="T25" s="438">
        <f>OR(hasVS,hasVO)</f>
        <v>1</v>
      </c>
      <c r="U25" s="1282"/>
      <c r="V25" s="1282"/>
      <c r="W25" s="1282"/>
      <c r="X25" s="1282"/>
      <c r="Y25" s="1282"/>
      <c r="Z25" s="1282"/>
      <c r="AA25" s="1282"/>
      <c r="AB25" s="1512" t="s">
        <v>358</v>
      </c>
      <c r="AC25" s="1512" t="s">
        <v>359</v>
      </c>
      <c r="AD25" s="1578" t="str">
        <f>AD6&amp;" год"</f>
        <v>2026 год</v>
      </c>
      <c r="AE25" s="1579"/>
      <c r="AF25" s="1580"/>
      <c r="AG25" s="1578" t="str">
        <f>AG6&amp;" год"</f>
        <v>2027 год</v>
      </c>
      <c r="AH25" s="1579"/>
      <c r="AI25" s="1580"/>
      <c r="AJ25" s="1578" t="str">
        <f>AJ6&amp;" год"</f>
        <v>2028 год</v>
      </c>
      <c r="AK25" s="1579"/>
      <c r="AL25" s="1580"/>
      <c r="AM25" s="1578" t="str">
        <f>AM6&amp;" год"</f>
        <v>2029 год</v>
      </c>
      <c r="AN25" s="1579"/>
      <c r="AO25" s="1580"/>
      <c r="AP25" s="1578" t="str">
        <f>AP6&amp;" год"</f>
        <v>2030 год</v>
      </c>
      <c r="AQ25" s="1579"/>
      <c r="AR25" s="1580"/>
      <c r="AS25" s="1578" t="str">
        <f>AS6&amp;" год"</f>
        <v>2031 год</v>
      </c>
      <c r="AT25" s="1579"/>
      <c r="AU25" s="1580"/>
      <c r="AV25" s="1578" t="str">
        <f>AV6&amp;" год"</f>
        <v>2032 год</v>
      </c>
      <c r="AW25" s="1579"/>
      <c r="AX25" s="1580"/>
      <c r="AY25" s="1578" t="str">
        <f>AY6&amp;" год"</f>
        <v>2033 год</v>
      </c>
      <c r="AZ25" s="1579"/>
      <c r="BA25" s="1580"/>
      <c r="BB25" s="1578" t="str">
        <f>BB6&amp;" год"</f>
        <v>2034 год</v>
      </c>
      <c r="BC25" s="1579"/>
      <c r="BD25" s="1580"/>
      <c r="BE25" s="1578" t="str">
        <f>BE6&amp;" год"</f>
        <v>2035 год</v>
      </c>
      <c r="BF25" s="1579"/>
      <c r="BG25" s="1580"/>
      <c r="BH25" s="1578" t="str">
        <f>BH6&amp;" год"</f>
        <v>2036 год</v>
      </c>
      <c r="BI25" s="1579"/>
      <c r="BJ25" s="1580"/>
      <c r="BK25" s="1578" t="str">
        <f>BK6&amp;" год"</f>
        <v>2037 год</v>
      </c>
      <c r="BL25" s="1579"/>
      <c r="BM25" s="1580"/>
      <c r="BN25" s="1578" t="str">
        <f>BN6&amp;" год"</f>
        <v>2038 год</v>
      </c>
      <c r="BO25" s="1579"/>
      <c r="BP25" s="1580"/>
      <c r="BQ25" s="1578" t="str">
        <f>BQ6&amp;" год"</f>
        <v>2039 год</v>
      </c>
      <c r="BR25" s="1579"/>
      <c r="BS25" s="1580"/>
      <c r="BT25" s="1578" t="str">
        <f>BT6&amp;" год"</f>
        <v>2040 год</v>
      </c>
      <c r="BU25" s="1579"/>
      <c r="BV25" s="1580"/>
      <c r="BW25" s="1578" t="str">
        <f>BW6&amp;" год"</f>
        <v>2041 год</v>
      </c>
      <c r="BX25" s="1579"/>
      <c r="BY25" s="1580"/>
      <c r="BZ25" s="1578" t="str">
        <f>BZ6&amp;" год"</f>
        <v>2042 год</v>
      </c>
      <c r="CA25" s="1579"/>
      <c r="CB25" s="1580"/>
      <c r="CC25" s="1578" t="str">
        <f>CC6&amp;" год"</f>
        <v>2043 год</v>
      </c>
      <c r="CD25" s="1579"/>
      <c r="CE25" s="1580"/>
      <c r="CF25" s="1578" t="str">
        <f>CF6&amp;" год"</f>
        <v>2044 год</v>
      </c>
      <c r="CG25" s="1579"/>
      <c r="CH25" s="1580"/>
      <c r="CI25" s="1578" t="str">
        <f>CI6&amp;" год"</f>
        <v>2045 год</v>
      </c>
      <c r="CJ25" s="1579"/>
      <c r="CK25" s="1580"/>
      <c r="CL25" s="1578" t="str">
        <f>CL6&amp;" год"</f>
        <v>2046 год</v>
      </c>
      <c r="CM25" s="1579"/>
      <c r="CN25" s="1580"/>
      <c r="CO25" s="1578" t="str">
        <f>CO6&amp;" год"</f>
        <v>2047 год</v>
      </c>
      <c r="CP25" s="1579"/>
      <c r="CQ25" s="1580"/>
      <c r="CR25" s="1578" t="str">
        <f>CR6&amp;" год"</f>
        <v>2048 год</v>
      </c>
      <c r="CS25" s="1579"/>
      <c r="CT25" s="1580"/>
      <c r="CU25" s="1578" t="str">
        <f>CU6&amp;" год"</f>
        <v>2049 год</v>
      </c>
      <c r="CV25" s="1579"/>
      <c r="CW25" s="1580"/>
      <c r="CX25" s="1578" t="str">
        <f>CX6&amp;" год"</f>
        <v>2050 год</v>
      </c>
      <c r="CY25" s="1579"/>
      <c r="CZ25" s="1580"/>
      <c r="DA25" s="1578" t="str">
        <f>DA6&amp;" год"</f>
        <v>2051 год</v>
      </c>
      <c r="DB25" s="1579"/>
      <c r="DC25" s="1580"/>
      <c r="DD25" s="1578" t="str">
        <f>DD6&amp;" год"</f>
        <v>2052 год</v>
      </c>
      <c r="DE25" s="1579"/>
      <c r="DF25" s="1580"/>
      <c r="DG25" s="1578" t="str">
        <f>DG6&amp;" год"</f>
        <v>2053 год</v>
      </c>
      <c r="DH25" s="1579"/>
      <c r="DI25" s="1580"/>
      <c r="DJ25" s="1578" t="str">
        <f>DJ6&amp;" год"</f>
        <v>2054 год</v>
      </c>
      <c r="DK25" s="1579"/>
      <c r="DL25" s="1580"/>
      <c r="DM25" s="1578" t="str">
        <f>DM6&amp;" год"</f>
        <v>2055 год</v>
      </c>
      <c r="DN25" s="1579"/>
      <c r="DO25" s="1580"/>
      <c r="DP25" s="1578" t="str">
        <f>DP6&amp;" год"</f>
        <v>2056 год</v>
      </c>
      <c r="DQ25" s="1579"/>
      <c r="DR25" s="1580"/>
      <c r="DS25" s="1578" t="str">
        <f>DS6&amp;" год"</f>
        <v>2057 год</v>
      </c>
      <c r="DT25" s="1579"/>
      <c r="DU25" s="1580"/>
      <c r="DV25" s="1578" t="str">
        <f>DV6&amp;" год"</f>
        <v>2058 год</v>
      </c>
      <c r="DW25" s="1579"/>
      <c r="DX25" s="1580"/>
      <c r="DY25" s="1578" t="str">
        <f>DY6&amp;" год"</f>
        <v>2059 год</v>
      </c>
      <c r="DZ25" s="1579"/>
      <c r="EA25" s="1580"/>
      <c r="EB25" s="1578" t="str">
        <f>EB6&amp;" год"</f>
        <v>2060 год</v>
      </c>
      <c r="EC25" s="1579"/>
      <c r="ED25" s="1580"/>
      <c r="EE25" s="1578" t="str">
        <f>EE6&amp;" год"</f>
        <v>2061 год</v>
      </c>
      <c r="EF25" s="1579"/>
      <c r="EG25" s="1580"/>
      <c r="EH25" s="1578" t="str">
        <f>EH6&amp;" год"</f>
        <v>2062 год</v>
      </c>
      <c r="EI25" s="1579"/>
      <c r="EJ25" s="1580"/>
      <c r="EK25" s="1578" t="str">
        <f>EK6&amp;" год"</f>
        <v>2063 год</v>
      </c>
      <c r="EL25" s="1579"/>
      <c r="EM25" s="1580"/>
      <c r="EN25" s="1578" t="str">
        <f>EN6&amp;" год"</f>
        <v>2064 год</v>
      </c>
      <c r="EO25" s="1579"/>
      <c r="EP25" s="1580"/>
      <c r="EQ25" s="1578" t="str">
        <f>EQ6&amp;" год"</f>
        <v>2065 год</v>
      </c>
      <c r="ER25" s="1579"/>
      <c r="ES25" s="1580"/>
      <c r="ET25" s="1578" t="str">
        <f>ET6&amp;" год"</f>
        <v>2066 год</v>
      </c>
      <c r="EU25" s="1579"/>
      <c r="EV25" s="1580"/>
      <c r="EW25" s="1578" t="str">
        <f>EW6&amp;" год"</f>
        <v>2067 год</v>
      </c>
      <c r="EX25" s="1579"/>
      <c r="EY25" s="1580"/>
      <c r="EZ25" s="1578" t="str">
        <f>EZ6&amp;" год"</f>
        <v>2068 год</v>
      </c>
      <c r="FA25" s="1579"/>
      <c r="FB25" s="1580"/>
      <c r="FC25" s="1578" t="str">
        <f>FC6&amp;" год"</f>
        <v>2069 год</v>
      </c>
      <c r="FD25" s="1579"/>
      <c r="FE25" s="1580"/>
      <c r="FF25" s="1578" t="str">
        <f>FF6&amp;" год"</f>
        <v>2070 год</v>
      </c>
      <c r="FG25" s="1579"/>
      <c r="FH25" s="1580"/>
      <c r="FI25" s="1578" t="str">
        <f>FI6&amp;" год"</f>
        <v>2071 год</v>
      </c>
      <c r="FJ25" s="1579"/>
      <c r="FK25" s="1580"/>
      <c r="FL25" s="1578" t="str">
        <f>FL6&amp;" год"</f>
        <v>2072 год</v>
      </c>
      <c r="FM25" s="1579"/>
      <c r="FN25" s="1580"/>
      <c r="FO25" s="1578" t="str">
        <f>FO6&amp;" год"</f>
        <v>2073 год</v>
      </c>
      <c r="FP25" s="1579"/>
      <c r="FQ25" s="1580"/>
      <c r="FR25" s="1578" t="str">
        <f>FR6&amp;" год"</f>
        <v>2074 год</v>
      </c>
      <c r="FS25" s="1579"/>
      <c r="FT25" s="1580"/>
      <c r="FU25" s="1578" t="str">
        <f>FU6&amp;" год"</f>
        <v>2075 год</v>
      </c>
      <c r="FV25" s="1579"/>
      <c r="FW25" s="1580"/>
      <c r="FX25" s="1282"/>
      <c r="FY25" s="1282"/>
      <c r="FZ25" s="1284"/>
      <c r="GA25" s="1284"/>
      <c r="GB25" s="1284"/>
      <c r="GC25" s="1283"/>
      <c r="GD25" s="1283"/>
    </row>
    <row customHeight="1" ht="33.39375">
      <c r="A26" s="1282"/>
      <c r="B26" s="848"/>
      <c r="C26" s="1282"/>
      <c r="D26" s="1282"/>
      <c r="E26" s="607">
        <v>34.25</v>
      </c>
      <c r="F26" s="1315"/>
      <c r="G26" s="1282"/>
      <c r="H26" s="1282"/>
      <c r="I26" s="1282"/>
      <c r="J26" s="1282"/>
      <c r="K26" s="1282"/>
      <c r="L26" s="1282"/>
      <c r="M26" s="1282"/>
      <c r="N26" s="1282"/>
      <c r="O26" s="1282"/>
      <c r="P26" s="1282"/>
      <c r="Q26" s="1282"/>
      <c r="R26" s="1282"/>
      <c r="S26" s="1282"/>
      <c r="T26" s="438">
        <f>OR(hasVS,hasVO)</f>
        <v>1</v>
      </c>
      <c r="U26" s="1282"/>
      <c r="V26" s="1282"/>
      <c r="W26" s="1282"/>
      <c r="X26" s="1282"/>
      <c r="Y26" s="1282"/>
      <c r="Z26" s="1282"/>
      <c r="AA26" s="1282"/>
      <c r="AB26" s="1512"/>
      <c r="AC26" s="1512"/>
      <c r="AD26" s="1097" t="s">
        <v>352</v>
      </c>
      <c r="AE26" s="59" t="s">
        <v>351</v>
      </c>
      <c r="AF26" s="59" t="s">
        <v>1466</v>
      </c>
      <c r="AG26" s="1097" t="s">
        <v>352</v>
      </c>
      <c r="AH26" s="59" t="s">
        <v>351</v>
      </c>
      <c r="AI26" s="59" t="s">
        <v>1466</v>
      </c>
      <c r="AJ26" s="1097" t="s">
        <v>352</v>
      </c>
      <c r="AK26" s="59" t="s">
        <v>351</v>
      </c>
      <c r="AL26" s="59" t="s">
        <v>1466</v>
      </c>
      <c r="AM26" s="1097" t="s">
        <v>352</v>
      </c>
      <c r="AN26" s="59" t="s">
        <v>351</v>
      </c>
      <c r="AO26" s="59" t="s">
        <v>1466</v>
      </c>
      <c r="AP26" s="1097" t="s">
        <v>352</v>
      </c>
      <c r="AQ26" s="59" t="s">
        <v>351</v>
      </c>
      <c r="AR26" s="59" t="s">
        <v>1466</v>
      </c>
      <c r="AS26" s="1097" t="s">
        <v>352</v>
      </c>
      <c r="AT26" s="59" t="s">
        <v>351</v>
      </c>
      <c r="AU26" s="59" t="s">
        <v>1466</v>
      </c>
      <c r="AV26" s="1097" t="s">
        <v>352</v>
      </c>
      <c r="AW26" s="59" t="s">
        <v>351</v>
      </c>
      <c r="AX26" s="59" t="s">
        <v>1466</v>
      </c>
      <c r="AY26" s="1097" t="s">
        <v>352</v>
      </c>
      <c r="AZ26" s="59" t="s">
        <v>351</v>
      </c>
      <c r="BA26" s="59" t="s">
        <v>1466</v>
      </c>
      <c r="BB26" s="1097" t="s">
        <v>352</v>
      </c>
      <c r="BC26" s="59" t="s">
        <v>351</v>
      </c>
      <c r="BD26" s="59" t="s">
        <v>1466</v>
      </c>
      <c r="BE26" s="1097" t="s">
        <v>352</v>
      </c>
      <c r="BF26" s="59" t="s">
        <v>351</v>
      </c>
      <c r="BG26" s="59" t="s">
        <v>1466</v>
      </c>
      <c r="BH26" s="1097" t="s">
        <v>352</v>
      </c>
      <c r="BI26" s="59" t="s">
        <v>351</v>
      </c>
      <c r="BJ26" s="59" t="s">
        <v>1466</v>
      </c>
      <c r="BK26" s="1097" t="s">
        <v>352</v>
      </c>
      <c r="BL26" s="59" t="s">
        <v>351</v>
      </c>
      <c r="BM26" s="59" t="s">
        <v>1466</v>
      </c>
      <c r="BN26" s="1097" t="s">
        <v>352</v>
      </c>
      <c r="BO26" s="59" t="s">
        <v>351</v>
      </c>
      <c r="BP26" s="59" t="s">
        <v>1466</v>
      </c>
      <c r="BQ26" s="1097" t="s">
        <v>352</v>
      </c>
      <c r="BR26" s="59" t="s">
        <v>351</v>
      </c>
      <c r="BS26" s="59" t="s">
        <v>1466</v>
      </c>
      <c r="BT26" s="1097" t="s">
        <v>352</v>
      </c>
      <c r="BU26" s="59" t="s">
        <v>351</v>
      </c>
      <c r="BV26" s="59" t="s">
        <v>1466</v>
      </c>
      <c r="BW26" s="1097" t="s">
        <v>352</v>
      </c>
      <c r="BX26" s="59" t="s">
        <v>351</v>
      </c>
      <c r="BY26" s="59" t="s">
        <v>1466</v>
      </c>
      <c r="BZ26" s="1097" t="s">
        <v>352</v>
      </c>
      <c r="CA26" s="59" t="s">
        <v>351</v>
      </c>
      <c r="CB26" s="59" t="s">
        <v>1466</v>
      </c>
      <c r="CC26" s="1097" t="s">
        <v>352</v>
      </c>
      <c r="CD26" s="59" t="s">
        <v>351</v>
      </c>
      <c r="CE26" s="59" t="s">
        <v>1466</v>
      </c>
      <c r="CF26" s="1097" t="s">
        <v>352</v>
      </c>
      <c r="CG26" s="59" t="s">
        <v>351</v>
      </c>
      <c r="CH26" s="59" t="s">
        <v>1466</v>
      </c>
      <c r="CI26" s="1097" t="s">
        <v>352</v>
      </c>
      <c r="CJ26" s="59" t="s">
        <v>351</v>
      </c>
      <c r="CK26" s="59" t="s">
        <v>1466</v>
      </c>
      <c r="CL26" s="1097" t="s">
        <v>352</v>
      </c>
      <c r="CM26" s="59" t="s">
        <v>351</v>
      </c>
      <c r="CN26" s="59" t="s">
        <v>1466</v>
      </c>
      <c r="CO26" s="1097" t="s">
        <v>352</v>
      </c>
      <c r="CP26" s="59" t="s">
        <v>351</v>
      </c>
      <c r="CQ26" s="59" t="s">
        <v>1466</v>
      </c>
      <c r="CR26" s="1097" t="s">
        <v>352</v>
      </c>
      <c r="CS26" s="59" t="s">
        <v>351</v>
      </c>
      <c r="CT26" s="59" t="s">
        <v>1466</v>
      </c>
      <c r="CU26" s="1097" t="s">
        <v>352</v>
      </c>
      <c r="CV26" s="59" t="s">
        <v>351</v>
      </c>
      <c r="CW26" s="59" t="s">
        <v>1466</v>
      </c>
      <c r="CX26" s="1097" t="s">
        <v>352</v>
      </c>
      <c r="CY26" s="59" t="s">
        <v>351</v>
      </c>
      <c r="CZ26" s="59" t="s">
        <v>1466</v>
      </c>
      <c r="DA26" s="1097" t="s">
        <v>352</v>
      </c>
      <c r="DB26" s="59" t="s">
        <v>351</v>
      </c>
      <c r="DC26" s="59" t="s">
        <v>1466</v>
      </c>
      <c r="DD26" s="1097" t="s">
        <v>352</v>
      </c>
      <c r="DE26" s="59" t="s">
        <v>351</v>
      </c>
      <c r="DF26" s="59" t="s">
        <v>1466</v>
      </c>
      <c r="DG26" s="1097" t="s">
        <v>352</v>
      </c>
      <c r="DH26" s="59" t="s">
        <v>351</v>
      </c>
      <c r="DI26" s="59" t="s">
        <v>1466</v>
      </c>
      <c r="DJ26" s="1097" t="s">
        <v>352</v>
      </c>
      <c r="DK26" s="59" t="s">
        <v>351</v>
      </c>
      <c r="DL26" s="59" t="s">
        <v>1466</v>
      </c>
      <c r="DM26" s="1097" t="s">
        <v>352</v>
      </c>
      <c r="DN26" s="59" t="s">
        <v>351</v>
      </c>
      <c r="DO26" s="59" t="s">
        <v>1466</v>
      </c>
      <c r="DP26" s="1097" t="s">
        <v>352</v>
      </c>
      <c r="DQ26" s="59" t="s">
        <v>351</v>
      </c>
      <c r="DR26" s="59" t="s">
        <v>1466</v>
      </c>
      <c r="DS26" s="1097" t="s">
        <v>352</v>
      </c>
      <c r="DT26" s="59" t="s">
        <v>351</v>
      </c>
      <c r="DU26" s="59" t="s">
        <v>1466</v>
      </c>
      <c r="DV26" s="1097" t="s">
        <v>352</v>
      </c>
      <c r="DW26" s="59" t="s">
        <v>351</v>
      </c>
      <c r="DX26" s="59" t="s">
        <v>1466</v>
      </c>
      <c r="DY26" s="1097" t="s">
        <v>352</v>
      </c>
      <c r="DZ26" s="59" t="s">
        <v>351</v>
      </c>
      <c r="EA26" s="59" t="s">
        <v>1466</v>
      </c>
      <c r="EB26" s="1097" t="s">
        <v>352</v>
      </c>
      <c r="EC26" s="59" t="s">
        <v>351</v>
      </c>
      <c r="ED26" s="59" t="s">
        <v>1466</v>
      </c>
      <c r="EE26" s="1097" t="s">
        <v>352</v>
      </c>
      <c r="EF26" s="59" t="s">
        <v>351</v>
      </c>
      <c r="EG26" s="59" t="s">
        <v>1466</v>
      </c>
      <c r="EH26" s="1097" t="s">
        <v>352</v>
      </c>
      <c r="EI26" s="59" t="s">
        <v>351</v>
      </c>
      <c r="EJ26" s="59" t="s">
        <v>1466</v>
      </c>
      <c r="EK26" s="1097" t="s">
        <v>352</v>
      </c>
      <c r="EL26" s="59" t="s">
        <v>351</v>
      </c>
      <c r="EM26" s="59" t="s">
        <v>1466</v>
      </c>
      <c r="EN26" s="1097" t="s">
        <v>352</v>
      </c>
      <c r="EO26" s="59" t="s">
        <v>351</v>
      </c>
      <c r="EP26" s="59" t="s">
        <v>1466</v>
      </c>
      <c r="EQ26" s="1097" t="s">
        <v>352</v>
      </c>
      <c r="ER26" s="59" t="s">
        <v>351</v>
      </c>
      <c r="ES26" s="59" t="s">
        <v>1466</v>
      </c>
      <c r="ET26" s="1097" t="s">
        <v>352</v>
      </c>
      <c r="EU26" s="59" t="s">
        <v>351</v>
      </c>
      <c r="EV26" s="59" t="s">
        <v>1466</v>
      </c>
      <c r="EW26" s="1097" t="s">
        <v>352</v>
      </c>
      <c r="EX26" s="59" t="s">
        <v>351</v>
      </c>
      <c r="EY26" s="59" t="s">
        <v>1466</v>
      </c>
      <c r="EZ26" s="1097" t="s">
        <v>352</v>
      </c>
      <c r="FA26" s="59" t="s">
        <v>351</v>
      </c>
      <c r="FB26" s="59" t="s">
        <v>1466</v>
      </c>
      <c r="FC26" s="1097" t="s">
        <v>352</v>
      </c>
      <c r="FD26" s="59" t="s">
        <v>351</v>
      </c>
      <c r="FE26" s="59" t="s">
        <v>1466</v>
      </c>
      <c r="FF26" s="1097" t="s">
        <v>352</v>
      </c>
      <c r="FG26" s="59" t="s">
        <v>351</v>
      </c>
      <c r="FH26" s="59" t="s">
        <v>1466</v>
      </c>
      <c r="FI26" s="1097" t="s">
        <v>352</v>
      </c>
      <c r="FJ26" s="59" t="s">
        <v>351</v>
      </c>
      <c r="FK26" s="59" t="s">
        <v>1466</v>
      </c>
      <c r="FL26" s="1097" t="s">
        <v>352</v>
      </c>
      <c r="FM26" s="59" t="s">
        <v>351</v>
      </c>
      <c r="FN26" s="59" t="s">
        <v>1466</v>
      </c>
      <c r="FO26" s="1097" t="s">
        <v>352</v>
      </c>
      <c r="FP26" s="59" t="s">
        <v>351</v>
      </c>
      <c r="FQ26" s="59" t="s">
        <v>1466</v>
      </c>
      <c r="FR26" s="1097" t="s">
        <v>352</v>
      </c>
      <c r="FS26" s="59" t="s">
        <v>351</v>
      </c>
      <c r="FT26" s="59" t="s">
        <v>1466</v>
      </c>
      <c r="FU26" s="1097" t="s">
        <v>352</v>
      </c>
      <c r="FV26" s="59" t="s">
        <v>351</v>
      </c>
      <c r="FW26" s="59" t="s">
        <v>1466</v>
      </c>
      <c r="FX26" s="1282"/>
      <c r="FY26" s="1282"/>
      <c r="FZ26" s="1284"/>
      <c r="GA26" s="1284"/>
      <c r="GB26" s="1284"/>
      <c r="GC26" s="1283"/>
      <c r="GD26" s="1283"/>
    </row>
    <row customHeight="1" ht="11.25" hidden="1">
      <c r="A27" s="1282"/>
      <c r="B27" s="848"/>
      <c r="C27" s="1282"/>
      <c r="D27" s="1282"/>
      <c r="E27" s="607">
        <v>0</v>
      </c>
      <c r="F27" s="1315"/>
      <c r="G27" s="1282"/>
      <c r="H27" s="1282"/>
      <c r="I27" s="1282"/>
      <c r="J27" s="1282"/>
      <c r="K27" s="1282"/>
      <c r="L27" s="1282"/>
      <c r="M27" s="1282"/>
      <c r="N27" s="1282"/>
      <c r="O27" s="1282"/>
      <c r="P27" s="1282"/>
      <c r="Q27" s="1282"/>
      <c r="R27" s="1282"/>
      <c r="S27" s="1282"/>
      <c r="T27" s="438">
        <f>OR(hasVS,hasVO)</f>
        <v>1</v>
      </c>
      <c r="U27" s="1282"/>
      <c r="V27" s="1282"/>
      <c r="W27" s="1282"/>
      <c r="X27" s="1282"/>
      <c r="Y27" s="1282"/>
      <c r="Z27" s="1282"/>
      <c r="AA27" s="1282"/>
      <c r="AB27" s="170"/>
      <c r="AC27" s="263"/>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09"/>
      <c r="BL27" s="109"/>
      <c r="BM27" s="109"/>
      <c r="BN27" s="109"/>
      <c r="BO27" s="109"/>
      <c r="BP27" s="109"/>
      <c r="BQ27" s="109"/>
      <c r="BR27" s="109"/>
      <c r="BS27" s="109"/>
      <c r="BT27" s="109"/>
      <c r="BU27" s="109"/>
      <c r="BV27" s="109"/>
      <c r="BW27" s="109"/>
      <c r="BX27" s="109"/>
      <c r="BY27" s="109"/>
      <c r="BZ27" s="109"/>
      <c r="CA27" s="109"/>
      <c r="CB27" s="109"/>
      <c r="CC27" s="109"/>
      <c r="CD27" s="109"/>
      <c r="CE27" s="109"/>
      <c r="CF27" s="109"/>
      <c r="CG27" s="109"/>
      <c r="CH27" s="109"/>
      <c r="CI27" s="109"/>
      <c r="CJ27" s="109"/>
      <c r="CK27" s="109"/>
      <c r="CL27" s="109"/>
      <c r="CM27" s="109"/>
      <c r="CN27" s="109"/>
      <c r="CO27" s="109"/>
      <c r="CP27" s="109"/>
      <c r="CQ27" s="109"/>
      <c r="CR27" s="109"/>
      <c r="CS27" s="109"/>
      <c r="CT27" s="109"/>
      <c r="CU27" s="109"/>
      <c r="CV27" s="109"/>
      <c r="CW27" s="109"/>
      <c r="CX27" s="109"/>
      <c r="CY27" s="109"/>
      <c r="CZ27" s="109"/>
      <c r="DA27" s="109"/>
      <c r="DB27" s="109"/>
      <c r="DC27" s="109"/>
      <c r="DD27" s="109"/>
      <c r="DE27" s="109"/>
      <c r="DF27" s="109"/>
      <c r="DG27" s="109"/>
      <c r="DH27" s="109"/>
      <c r="DI27" s="109"/>
      <c r="DJ27" s="109"/>
      <c r="DK27" s="109"/>
      <c r="DL27" s="109"/>
      <c r="DM27" s="109"/>
      <c r="DN27" s="109"/>
      <c r="DO27" s="109"/>
      <c r="DP27" s="109"/>
      <c r="DQ27" s="109"/>
      <c r="DR27" s="109"/>
      <c r="DS27" s="109"/>
      <c r="DT27" s="109"/>
      <c r="DU27" s="109"/>
      <c r="DV27" s="109"/>
      <c r="DW27" s="109"/>
      <c r="DX27" s="109"/>
      <c r="DY27" s="109"/>
      <c r="DZ27" s="109"/>
      <c r="EA27" s="109"/>
      <c r="EB27" s="109"/>
      <c r="EC27" s="109"/>
      <c r="ED27" s="109"/>
      <c r="EE27" s="109"/>
      <c r="EF27" s="109"/>
      <c r="EG27" s="109"/>
      <c r="EH27" s="109"/>
      <c r="EI27" s="109"/>
      <c r="EJ27" s="109"/>
      <c r="EK27" s="109"/>
      <c r="EL27" s="109"/>
      <c r="EM27" s="109"/>
      <c r="EN27" s="109"/>
      <c r="EO27" s="109"/>
      <c r="EP27" s="109"/>
      <c r="EQ27" s="109"/>
      <c r="ER27" s="109"/>
      <c r="ES27" s="109"/>
      <c r="ET27" s="109"/>
      <c r="EU27" s="109"/>
      <c r="EV27" s="109"/>
      <c r="EW27" s="109"/>
      <c r="EX27" s="109"/>
      <c r="EY27" s="109"/>
      <c r="EZ27" s="109"/>
      <c r="FA27" s="109"/>
      <c r="FB27" s="109"/>
      <c r="FC27" s="109"/>
      <c r="FD27" s="109"/>
      <c r="FE27" s="109"/>
      <c r="FF27" s="109"/>
      <c r="FG27" s="109"/>
      <c r="FH27" s="109"/>
      <c r="FI27" s="109"/>
      <c r="FJ27" s="109"/>
      <c r="FK27" s="109"/>
      <c r="FL27" s="109"/>
      <c r="FM27" s="109"/>
      <c r="FN27" s="109"/>
      <c r="FO27" s="109"/>
      <c r="FP27" s="109"/>
      <c r="FQ27" s="109"/>
      <c r="FR27" s="109"/>
      <c r="FS27" s="109"/>
      <c r="FT27" s="109"/>
      <c r="FU27" s="109"/>
      <c r="FV27" s="109"/>
      <c r="FW27" s="109"/>
      <c r="FX27" s="1282"/>
      <c r="FY27" s="1282"/>
      <c r="FZ27" s="1284"/>
      <c r="GA27" s="1284"/>
      <c r="GB27" s="1284"/>
      <c r="GC27" s="1283"/>
      <c r="GD27" s="1283"/>
    </row>
    <row s="1624" customFormat="1" customHeight="1" ht="11.25" hidden="1">
      <c r="A28" s="472"/>
      <c r="B28" s="902"/>
      <c r="C28" s="472"/>
      <c r="D28" s="472"/>
      <c r="E28" s="842">
        <v>0</v>
      </c>
      <c r="F28" s="723" t="s">
        <v>1467</v>
      </c>
      <c r="G28" s="455"/>
      <c r="H28" s="472"/>
      <c r="I28" s="472"/>
      <c r="J28" s="472"/>
      <c r="K28" s="472"/>
      <c r="L28" s="472"/>
      <c r="M28" s="472"/>
      <c r="N28" s="472"/>
      <c r="O28" s="472"/>
      <c r="P28" s="472"/>
      <c r="Q28" s="455" t="s">
        <v>1468</v>
      </c>
      <c r="R28" s="903" t="s">
        <v>1469</v>
      </c>
      <c r="S28" s="903" t="s">
        <v>266</v>
      </c>
      <c r="T28" s="438"/>
      <c r="U28" s="472"/>
      <c r="V28" s="472"/>
      <c r="W28" s="472"/>
      <c r="X28" s="472"/>
      <c r="Y28" s="472"/>
      <c r="Z28" s="472"/>
      <c r="AA28" s="472"/>
      <c r="AC28" s="66"/>
      <c r="AD28" s="66"/>
      <c r="AE28" s="66"/>
      <c r="AF28" s="66"/>
      <c r="AG28" s="1624"/>
      <c r="AH28" s="1624"/>
      <c r="AI28" s="1624"/>
      <c r="AJ28" s="1624"/>
      <c r="AK28" s="1624"/>
      <c r="AL28" s="1624"/>
      <c r="AM28" s="1624"/>
      <c r="AN28" s="1624"/>
      <c r="AO28" s="1624"/>
      <c r="AP28" s="1624"/>
      <c r="AQ28" s="67"/>
      <c r="AR28" s="1624"/>
      <c r="AS28" s="1624"/>
      <c r="AT28" s="1624"/>
      <c r="AU28" s="1624"/>
      <c r="AV28" s="1624"/>
      <c r="AW28" s="1624"/>
      <c r="AX28" s="1624"/>
      <c r="AY28" s="1624"/>
      <c r="AZ28" s="1624"/>
      <c r="BA28" s="1624"/>
      <c r="BB28" s="1624"/>
      <c r="BC28" s="1624"/>
      <c r="BD28" s="1624"/>
      <c r="BE28" s="1624"/>
      <c r="BF28" s="1624"/>
      <c r="BG28" s="1624"/>
      <c r="BH28" s="1624"/>
      <c r="BI28" s="1624"/>
      <c r="BJ28" s="1624"/>
      <c r="BK28" s="1624"/>
      <c r="BL28" s="1624"/>
      <c r="BM28" s="1624"/>
      <c r="BN28" s="1624"/>
      <c r="BO28" s="1624"/>
      <c r="BP28" s="1624"/>
      <c r="BQ28" s="1624"/>
      <c r="BR28" s="1624"/>
      <c r="BS28" s="1624"/>
      <c r="BT28" s="1624"/>
      <c r="BU28" s="1624"/>
      <c r="BV28" s="1624"/>
      <c r="BW28" s="1624"/>
      <c r="BX28" s="1624"/>
      <c r="BY28" s="1624"/>
      <c r="BZ28" s="1624"/>
      <c r="CA28" s="1624"/>
      <c r="CB28" s="1624"/>
      <c r="CC28" s="1624"/>
      <c r="CD28" s="1624"/>
      <c r="CE28" s="1624"/>
      <c r="CF28" s="1624"/>
      <c r="CG28" s="1624"/>
      <c r="CH28" s="1624"/>
      <c r="CI28" s="1624"/>
      <c r="CJ28" s="1624"/>
      <c r="CK28" s="1624"/>
      <c r="CL28" s="1624"/>
      <c r="CM28" s="1624"/>
      <c r="CN28" s="1624"/>
      <c r="CO28" s="1624"/>
      <c r="CP28" s="1624"/>
      <c r="CQ28" s="1624"/>
      <c r="CR28" s="1624"/>
      <c r="CS28" s="1624"/>
      <c r="CT28" s="1624"/>
      <c r="CU28" s="1624"/>
      <c r="CV28" s="1624"/>
      <c r="CW28" s="1624"/>
      <c r="CX28" s="1624"/>
      <c r="CY28" s="1624"/>
      <c r="CZ28" s="1624"/>
      <c r="DA28" s="1624"/>
      <c r="DB28" s="1624"/>
      <c r="DC28" s="1624"/>
      <c r="DD28" s="1624"/>
      <c r="DE28" s="1624"/>
      <c r="DF28" s="1624"/>
      <c r="DG28" s="1624"/>
      <c r="DH28" s="1624"/>
      <c r="DI28" s="1624"/>
      <c r="DJ28" s="1624"/>
      <c r="DK28" s="1624"/>
      <c r="DL28" s="1624"/>
      <c r="DM28" s="1624"/>
      <c r="DN28" s="1624"/>
      <c r="DO28" s="1624"/>
      <c r="DP28" s="1624"/>
      <c r="DQ28" s="1624"/>
      <c r="DR28" s="1624"/>
      <c r="DS28" s="1624"/>
      <c r="DT28" s="1624"/>
      <c r="DU28" s="1624"/>
      <c r="DV28" s="1624"/>
      <c r="DW28" s="1624"/>
      <c r="DX28" s="1624"/>
      <c r="DY28" s="1624"/>
      <c r="DZ28" s="1624"/>
      <c r="EA28" s="1624"/>
      <c r="EB28" s="1624"/>
      <c r="EC28" s="1624"/>
      <c r="ED28" s="1624"/>
      <c r="EE28" s="1624"/>
      <c r="EF28" s="1624"/>
      <c r="EG28" s="1624"/>
      <c r="EH28" s="1624"/>
      <c r="EI28" s="1624"/>
      <c r="EJ28" s="1624"/>
      <c r="EK28" s="1624"/>
      <c r="EL28" s="1624"/>
      <c r="EM28" s="1624"/>
      <c r="EN28" s="1624"/>
      <c r="EO28" s="1624"/>
      <c r="EP28" s="1624"/>
      <c r="EQ28" s="1624"/>
      <c r="ER28" s="1624"/>
      <c r="ES28" s="1624"/>
      <c r="ET28" s="1624"/>
      <c r="EU28" s="1624"/>
      <c r="EV28" s="1624"/>
      <c r="EW28" s="1624"/>
      <c r="EX28" s="1624"/>
      <c r="EY28" s="1624"/>
      <c r="EZ28" s="1624"/>
      <c r="FA28" s="1624"/>
      <c r="FB28" s="1624"/>
      <c r="FC28" s="1624"/>
      <c r="FD28" s="1624"/>
      <c r="FE28" s="1624"/>
      <c r="FF28" s="1624"/>
      <c r="FG28" s="1624"/>
      <c r="FH28" s="1624"/>
      <c r="FI28" s="1624"/>
      <c r="FJ28" s="1624"/>
      <c r="FK28" s="1624"/>
      <c r="FL28" s="1624"/>
      <c r="FM28" s="1624"/>
      <c r="FN28" s="1624"/>
      <c r="FO28" s="1624"/>
      <c r="FP28" s="1624"/>
      <c r="FQ28" s="1624"/>
      <c r="FR28" s="1624"/>
      <c r="FS28" s="1624"/>
      <c r="FT28" s="1624"/>
      <c r="FU28" s="1624"/>
      <c r="FV28" s="1624"/>
      <c r="FW28" s="1624"/>
      <c r="FZ28" s="981"/>
      <c r="GA28" s="981"/>
      <c r="GB28" s="975"/>
      <c r="GC28" s="599"/>
      <c r="GD28" s="599"/>
    </row>
    <row customHeight="1" ht="14.625" hidden="1">
      <c r="A29" s="466"/>
      <c r="B29" s="848"/>
      <c r="C29" s="466"/>
      <c r="D29" s="466"/>
      <c r="E29" s="816">
        <v>15</v>
      </c>
      <c r="F29" s="467" cm="1" t="str">
        <f t="array" ref="F29:F29">X29</f>
        <v>0</v>
      </c>
      <c r="G29" s="466" cm="1" t="str">
        <f t="array" ref="G29:G29">INDEX('Общие сведения'!$AK$179:$AK$208,MATCH($X29,'Общие сведения'!$Z$179:$Z$208,0))</f>
        <v>одноставочный</v>
      </c>
      <c r="H29" s="466"/>
      <c r="I29" s="466"/>
      <c r="J29" s="466"/>
      <c r="K29" s="466"/>
      <c r="L29" s="466"/>
      <c r="M29" s="466"/>
      <c r="N29" s="466"/>
      <c r="O29" s="466"/>
      <c r="P29" s="466"/>
      <c r="Q29" s="466" cm="1" t="str">
        <f t="array" ref="Q29:Q29">INDEX('Общие сведения'!$AE$179:$AE$208,MATCH($X29,'Общие сведения'!$Z$179:$Z$208,0))</f>
        <v>0</v>
      </c>
      <c r="R29" s="457" cm="1" t="str">
        <f t="array" ref="R29:R29">INDEX('Общие сведения'!$AK$179:$AK$208,MATCH($X29,'Общие сведения'!$Z$179:$Z$208,0))</f>
        <v>одноставочный</v>
      </c>
      <c r="S29" s="466" cm="1" t="str">
        <f t="array" ref="S29:S29">INDEX('Общие сведения'!$AN$179:$AN$208,MATCH($X29,'Общие сведения'!$Z$179:$Z$208,0))</f>
        <v>true</v>
      </c>
      <c r="T29" s="438">
        <f>X29&gt;0</f>
        <v>0</v>
      </c>
      <c r="U29" s="466"/>
      <c r="V29" s="466" t="s">
        <v>267</v>
      </c>
      <c r="W29" s="466"/>
      <c r="X29" s="1541">
        <v>0</v>
      </c>
      <c r="Y29" s="466"/>
      <c r="Z29" s="1493"/>
      <c r="AA29" s="466"/>
      <c r="AB29" s="1581" t="s">
        <v>21</v>
      </c>
      <c r="AC29" s="1582"/>
      <c r="AD29" s="869" cm="1" t="str">
        <f t="array" ref="AD29:AD29">INDEX('Общие сведения'!$AG$179:$AG$208,MATCH($X29,'Общие сведения'!$Z$179:$Z$208,0))</f>
        <v>Тариф 0 () - тариф на транспортировку сточных вод</v>
      </c>
      <c r="AE29" s="252"/>
      <c r="AF29" s="252"/>
      <c r="AG29" s="252"/>
      <c r="AH29" s="252"/>
      <c r="AI29" s="252"/>
      <c r="AJ29" s="252"/>
      <c r="AK29" s="252"/>
      <c r="AL29" s="252"/>
      <c r="AM29" s="252"/>
      <c r="AN29" s="252"/>
      <c r="AO29" s="252"/>
      <c r="AP29" s="252"/>
      <c r="AQ29" s="252"/>
      <c r="AR29" s="252"/>
      <c r="AS29" s="252"/>
      <c r="AT29" s="252"/>
      <c r="AU29" s="252"/>
      <c r="AV29" s="252"/>
      <c r="AW29" s="252"/>
      <c r="AX29" s="252"/>
      <c r="AY29" s="252"/>
      <c r="AZ29" s="252"/>
      <c r="BA29" s="252"/>
      <c r="BB29" s="252"/>
      <c r="BC29" s="252"/>
      <c r="BD29" s="252"/>
      <c r="BE29" s="252"/>
      <c r="BF29" s="252"/>
      <c r="BG29" s="252"/>
      <c r="BH29" s="252"/>
      <c r="BI29" s="252"/>
      <c r="BJ29" s="252"/>
      <c r="BK29" s="252"/>
      <c r="BL29" s="252"/>
      <c r="BM29" s="252"/>
      <c r="BN29" s="252"/>
      <c r="BO29" s="252"/>
      <c r="BP29" s="252"/>
      <c r="BQ29" s="252"/>
      <c r="BR29" s="252"/>
      <c r="BS29" s="252"/>
      <c r="BT29" s="252"/>
      <c r="BU29" s="252"/>
      <c r="BV29" s="252"/>
      <c r="BW29" s="252"/>
      <c r="BX29" s="252"/>
      <c r="BY29" s="252"/>
      <c r="BZ29" s="252"/>
      <c r="CA29" s="252"/>
      <c r="CB29" s="252"/>
      <c r="CC29" s="252"/>
      <c r="CD29" s="252"/>
      <c r="CE29" s="252"/>
      <c r="CF29" s="252"/>
      <c r="CG29" s="252"/>
      <c r="CH29" s="252"/>
      <c r="CI29" s="252"/>
      <c r="CJ29" s="252"/>
      <c r="CK29" s="252"/>
      <c r="CL29" s="252"/>
      <c r="CM29" s="252"/>
      <c r="CN29" s="252"/>
      <c r="CO29" s="252"/>
      <c r="CP29" s="252"/>
      <c r="CQ29" s="252"/>
      <c r="CR29" s="252"/>
      <c r="CS29" s="252"/>
      <c r="CT29" s="252"/>
      <c r="CU29" s="252"/>
      <c r="CV29" s="252"/>
      <c r="CW29" s="252"/>
      <c r="CX29" s="252"/>
      <c r="CY29" s="252"/>
      <c r="CZ29" s="252"/>
      <c r="DA29" s="252"/>
      <c r="DB29" s="252"/>
      <c r="DC29" s="252"/>
      <c r="DD29" s="252"/>
      <c r="DE29" s="252"/>
      <c r="DF29" s="252"/>
      <c r="DG29" s="252"/>
      <c r="DH29" s="252"/>
      <c r="DI29" s="252"/>
      <c r="DJ29" s="252"/>
      <c r="DK29" s="252"/>
      <c r="DL29" s="252"/>
      <c r="DM29" s="252"/>
      <c r="DN29" s="252"/>
      <c r="DO29" s="252"/>
      <c r="DP29" s="252"/>
      <c r="DQ29" s="252"/>
      <c r="DR29" s="252"/>
      <c r="DS29" s="252"/>
      <c r="DT29" s="252"/>
      <c r="DU29" s="252"/>
      <c r="DV29" s="252"/>
      <c r="DW29" s="252"/>
      <c r="DX29" s="252"/>
      <c r="DY29" s="252"/>
      <c r="DZ29" s="252"/>
      <c r="EA29" s="252"/>
      <c r="EB29" s="252"/>
      <c r="EC29" s="252"/>
      <c r="ED29" s="252"/>
      <c r="EE29" s="252"/>
      <c r="EF29" s="252"/>
      <c r="EG29" s="252"/>
      <c r="EH29" s="252"/>
      <c r="EI29" s="252"/>
      <c r="EJ29" s="252"/>
      <c r="EK29" s="252"/>
      <c r="EL29" s="252"/>
      <c r="EM29" s="252"/>
      <c r="EN29" s="252"/>
      <c r="EO29" s="252"/>
      <c r="EP29" s="252"/>
      <c r="EQ29" s="252"/>
      <c r="ER29" s="252"/>
      <c r="ES29" s="252"/>
      <c r="ET29" s="252"/>
      <c r="EU29" s="252"/>
      <c r="EV29" s="252"/>
      <c r="EW29" s="252"/>
      <c r="EX29" s="252"/>
      <c r="EY29" s="252"/>
      <c r="EZ29" s="252"/>
      <c r="FA29" s="252"/>
      <c r="FB29" s="252"/>
      <c r="FC29" s="252"/>
      <c r="FD29" s="252"/>
      <c r="FE29" s="252"/>
      <c r="FF29" s="252"/>
      <c r="FG29" s="252"/>
      <c r="FH29" s="252"/>
      <c r="FI29" s="252"/>
      <c r="FJ29" s="252"/>
      <c r="FK29" s="252"/>
      <c r="FL29" s="252"/>
      <c r="FM29" s="252"/>
      <c r="FN29" s="252"/>
      <c r="FO29" s="252"/>
      <c r="FP29" s="252"/>
      <c r="FQ29" s="252"/>
      <c r="FR29" s="252"/>
      <c r="FS29" s="252"/>
      <c r="FT29" s="252"/>
      <c r="FU29" s="252"/>
      <c r="FV29" s="252"/>
      <c r="FW29" s="253"/>
      <c r="FX29" s="1282"/>
      <c r="FY29" s="1282"/>
      <c r="FZ29" s="1284"/>
      <c r="GA29" s="1284"/>
      <c r="GB29" s="1284"/>
      <c r="GC29" s="1283"/>
      <c r="GD29" s="1283"/>
    </row>
    <row customHeight="1" ht="14.625" hidden="1">
      <c r="A30" s="466"/>
      <c r="B30" s="848"/>
      <c r="C30" s="466"/>
      <c r="D30" s="466"/>
      <c r="E30" s="816">
        <v>15</v>
      </c>
      <c r="F30" s="50" cm="1" t="str">
        <f t="array" ref="F30:F30">OFFSET(E30,-1,1)</f>
        <v>0</v>
      </c>
      <c r="G30" s="466"/>
      <c r="H30" s="466"/>
      <c r="I30" s="466"/>
      <c r="J30" s="466"/>
      <c r="K30" s="466"/>
      <c r="L30" s="466"/>
      <c r="M30" s="466"/>
      <c r="N30" s="466"/>
      <c r="O30" s="466"/>
      <c r="P30" s="466"/>
      <c r="Q30" s="466"/>
      <c r="R30" s="457"/>
      <c r="S30" s="457"/>
      <c r="T30" s="438" cm="1" t="str">
        <f t="array" ref="T30:T30">T29</f>
        <v>false</v>
      </c>
      <c r="U30" s="466"/>
      <c r="V30" s="466"/>
      <c r="W30" s="466"/>
      <c r="X30" s="1541"/>
      <c r="Y30" s="466"/>
      <c r="Z30" s="1493"/>
      <c r="AA30" s="466"/>
      <c r="AB30" s="1451" t="str">
        <f>"Вид "&amp;IF(ISERROR(SEARCH("Водоснабжение",AD29)),"сточных вод","воды")</f>
        <v>Вид сточных вод</v>
      </c>
      <c r="AC30" s="1453"/>
      <c r="AD30" s="869" cm="1" t="str">
        <f t="array" ref="AD30:AD30">INDEX('Общие сведения'!$AH$179:$AH$208,MATCH($X29,'Общие сведения'!$Z$179:$Z$208,0))</f>
        <v>0</v>
      </c>
      <c r="AE30" s="254"/>
      <c r="AF30" s="254"/>
      <c r="AG30" s="254"/>
      <c r="AH30" s="254"/>
      <c r="AI30" s="254"/>
      <c r="AJ30" s="254"/>
      <c r="AK30" s="254"/>
      <c r="AL30" s="254"/>
      <c r="AM30" s="254"/>
      <c r="AN30" s="254"/>
      <c r="AO30" s="254"/>
      <c r="AP30" s="254"/>
      <c r="AQ30" s="254"/>
      <c r="AR30" s="254"/>
      <c r="AS30" s="254"/>
      <c r="AT30" s="254"/>
      <c r="AU30" s="254"/>
      <c r="AV30" s="254"/>
      <c r="AW30" s="254"/>
      <c r="AX30" s="254"/>
      <c r="AY30" s="254"/>
      <c r="AZ30" s="254"/>
      <c r="BA30" s="254"/>
      <c r="BB30" s="254"/>
      <c r="BC30" s="254"/>
      <c r="BD30" s="254"/>
      <c r="BE30" s="254"/>
      <c r="BF30" s="254"/>
      <c r="BG30" s="254"/>
      <c r="BH30" s="254"/>
      <c r="BI30" s="254"/>
      <c r="BJ30" s="254"/>
      <c r="BK30" s="254"/>
      <c r="BL30" s="254"/>
      <c r="BM30" s="254"/>
      <c r="BN30" s="254"/>
      <c r="BO30" s="254"/>
      <c r="BP30" s="254"/>
      <c r="BQ30" s="254"/>
      <c r="BR30" s="254"/>
      <c r="BS30" s="254"/>
      <c r="BT30" s="254"/>
      <c r="BU30" s="254"/>
      <c r="BV30" s="254"/>
      <c r="BW30" s="254"/>
      <c r="BX30" s="254"/>
      <c r="BY30" s="254"/>
      <c r="BZ30" s="254"/>
      <c r="CA30" s="254"/>
      <c r="CB30" s="254"/>
      <c r="CC30" s="254"/>
      <c r="CD30" s="254"/>
      <c r="CE30" s="254"/>
      <c r="CF30" s="254"/>
      <c r="CG30" s="254"/>
      <c r="CH30" s="254"/>
      <c r="CI30" s="254"/>
      <c r="CJ30" s="254"/>
      <c r="CK30" s="254"/>
      <c r="CL30" s="254"/>
      <c r="CM30" s="254"/>
      <c r="CN30" s="254"/>
      <c r="CO30" s="254"/>
      <c r="CP30" s="254"/>
      <c r="CQ30" s="254"/>
      <c r="CR30" s="254"/>
      <c r="CS30" s="254"/>
      <c r="CT30" s="254"/>
      <c r="CU30" s="254"/>
      <c r="CV30" s="254"/>
      <c r="CW30" s="254"/>
      <c r="CX30" s="254"/>
      <c r="CY30" s="254"/>
      <c r="CZ30" s="254"/>
      <c r="DA30" s="254"/>
      <c r="DB30" s="254"/>
      <c r="DC30" s="254"/>
      <c r="DD30" s="254"/>
      <c r="DE30" s="254"/>
      <c r="DF30" s="254"/>
      <c r="DG30" s="254"/>
      <c r="DH30" s="254"/>
      <c r="DI30" s="254"/>
      <c r="DJ30" s="254"/>
      <c r="DK30" s="254"/>
      <c r="DL30" s="254"/>
      <c r="DM30" s="254"/>
      <c r="DN30" s="254"/>
      <c r="DO30" s="254"/>
      <c r="DP30" s="254"/>
      <c r="DQ30" s="254"/>
      <c r="DR30" s="254"/>
      <c r="DS30" s="254"/>
      <c r="DT30" s="254"/>
      <c r="DU30" s="254"/>
      <c r="DV30" s="254"/>
      <c r="DW30" s="254"/>
      <c r="DX30" s="254"/>
      <c r="DY30" s="254"/>
      <c r="DZ30" s="254"/>
      <c r="EA30" s="254"/>
      <c r="EB30" s="254"/>
      <c r="EC30" s="254"/>
      <c r="ED30" s="254"/>
      <c r="EE30" s="254"/>
      <c r="EF30" s="254"/>
      <c r="EG30" s="254"/>
      <c r="EH30" s="254"/>
      <c r="EI30" s="254"/>
      <c r="EJ30" s="254"/>
      <c r="EK30" s="254"/>
      <c r="EL30" s="254"/>
      <c r="EM30" s="254"/>
      <c r="EN30" s="254"/>
      <c r="EO30" s="254"/>
      <c r="EP30" s="254"/>
      <c r="EQ30" s="254"/>
      <c r="ER30" s="254"/>
      <c r="ES30" s="254"/>
      <c r="ET30" s="254"/>
      <c r="EU30" s="254"/>
      <c r="EV30" s="254"/>
      <c r="EW30" s="254"/>
      <c r="EX30" s="254"/>
      <c r="EY30" s="254"/>
      <c r="EZ30" s="254"/>
      <c r="FA30" s="254"/>
      <c r="FB30" s="254"/>
      <c r="FC30" s="254"/>
      <c r="FD30" s="254"/>
      <c r="FE30" s="254"/>
      <c r="FF30" s="254"/>
      <c r="FG30" s="254"/>
      <c r="FH30" s="254"/>
      <c r="FI30" s="254"/>
      <c r="FJ30" s="254"/>
      <c r="FK30" s="254"/>
      <c r="FL30" s="254"/>
      <c r="FM30" s="254"/>
      <c r="FN30" s="254"/>
      <c r="FO30" s="254"/>
      <c r="FP30" s="254"/>
      <c r="FQ30" s="254"/>
      <c r="FR30" s="254"/>
      <c r="FS30" s="254"/>
      <c r="FT30" s="254"/>
      <c r="FU30" s="254"/>
      <c r="FV30" s="254"/>
      <c r="FW30" s="255"/>
      <c r="FX30" s="1282"/>
      <c r="FY30" s="1282"/>
      <c r="FZ30" s="1284"/>
      <c r="GA30" s="1284"/>
      <c r="GB30" s="1284"/>
      <c r="GC30" s="1283"/>
      <c r="GD30" s="1283"/>
    </row>
    <row customHeight="1" ht="14.625" hidden="1">
      <c r="A31" s="466"/>
      <c r="B31" s="848"/>
      <c r="C31" s="466"/>
      <c r="D31" s="466"/>
      <c r="E31" s="816">
        <v>15</v>
      </c>
      <c r="F31" s="50" cm="1" t="str">
        <f t="array" ref="F31:F31">OFFSET(E31,-1,1)</f>
        <v>0</v>
      </c>
      <c r="G31" s="466"/>
      <c r="H31" s="466"/>
      <c r="I31" s="466"/>
      <c r="J31" s="466"/>
      <c r="K31" s="466"/>
      <c r="L31" s="466"/>
      <c r="M31" s="466"/>
      <c r="N31" s="466"/>
      <c r="O31" s="466"/>
      <c r="P31" s="466"/>
      <c r="Q31" s="466"/>
      <c r="R31" s="457"/>
      <c r="S31" s="457"/>
      <c r="T31" s="438" cm="1" t="str">
        <f t="array" ref="T31:T31">T30</f>
        <v>false</v>
      </c>
      <c r="U31" s="466"/>
      <c r="V31" s="466"/>
      <c r="W31" s="466"/>
      <c r="X31" s="1541"/>
      <c r="Y31" s="466"/>
      <c r="Z31" s="1493"/>
      <c r="AA31" s="466"/>
      <c r="AB31" s="1451" t="s">
        <v>1470</v>
      </c>
      <c r="AC31" s="1453"/>
      <c r="AD31" s="869" cm="1" t="str">
        <f t="array" ref="AD31:AD31">INDEX('Общие сведения'!$AI$179:$AI$208,MATCH($X29,'Общие сведения'!$Z$179:$Z$208,0))</f>
        <v>тариф на транспортировку сточных вод</v>
      </c>
      <c r="AE31" s="254"/>
      <c r="AF31" s="254"/>
      <c r="AG31" s="254"/>
      <c r="AH31" s="254"/>
      <c r="AI31" s="254"/>
      <c r="AJ31" s="254"/>
      <c r="AK31" s="254"/>
      <c r="AL31" s="254"/>
      <c r="AM31" s="254"/>
      <c r="AN31" s="254"/>
      <c r="AO31" s="254"/>
      <c r="AP31" s="254"/>
      <c r="AQ31" s="254"/>
      <c r="AR31" s="254"/>
      <c r="AS31" s="254"/>
      <c r="AT31" s="254"/>
      <c r="AU31" s="254"/>
      <c r="AV31" s="254"/>
      <c r="AW31" s="254"/>
      <c r="AX31" s="254"/>
      <c r="AY31" s="254"/>
      <c r="AZ31" s="254"/>
      <c r="BA31" s="254"/>
      <c r="BB31" s="254"/>
      <c r="BC31" s="254"/>
      <c r="BD31" s="254"/>
      <c r="BE31" s="254"/>
      <c r="BF31" s="254"/>
      <c r="BG31" s="254"/>
      <c r="BH31" s="254"/>
      <c r="BI31" s="254"/>
      <c r="BJ31" s="254"/>
      <c r="BK31" s="254"/>
      <c r="BL31" s="254"/>
      <c r="BM31" s="254"/>
      <c r="BN31" s="254"/>
      <c r="BO31" s="254"/>
      <c r="BP31" s="254"/>
      <c r="BQ31" s="254"/>
      <c r="BR31" s="254"/>
      <c r="BS31" s="254"/>
      <c r="BT31" s="254"/>
      <c r="BU31" s="254"/>
      <c r="BV31" s="254"/>
      <c r="BW31" s="254"/>
      <c r="BX31" s="254"/>
      <c r="BY31" s="254"/>
      <c r="BZ31" s="254"/>
      <c r="CA31" s="254"/>
      <c r="CB31" s="254"/>
      <c r="CC31" s="254"/>
      <c r="CD31" s="254"/>
      <c r="CE31" s="254"/>
      <c r="CF31" s="254"/>
      <c r="CG31" s="254"/>
      <c r="CH31" s="254"/>
      <c r="CI31" s="254"/>
      <c r="CJ31" s="254"/>
      <c r="CK31" s="254"/>
      <c r="CL31" s="254"/>
      <c r="CM31" s="254"/>
      <c r="CN31" s="254"/>
      <c r="CO31" s="254"/>
      <c r="CP31" s="254"/>
      <c r="CQ31" s="254"/>
      <c r="CR31" s="254"/>
      <c r="CS31" s="254"/>
      <c r="CT31" s="254"/>
      <c r="CU31" s="254"/>
      <c r="CV31" s="254"/>
      <c r="CW31" s="254"/>
      <c r="CX31" s="254"/>
      <c r="CY31" s="254"/>
      <c r="CZ31" s="254"/>
      <c r="DA31" s="254"/>
      <c r="DB31" s="254"/>
      <c r="DC31" s="254"/>
      <c r="DD31" s="254"/>
      <c r="DE31" s="254"/>
      <c r="DF31" s="254"/>
      <c r="DG31" s="254"/>
      <c r="DH31" s="254"/>
      <c r="DI31" s="254"/>
      <c r="DJ31" s="254"/>
      <c r="DK31" s="254"/>
      <c r="DL31" s="254"/>
      <c r="DM31" s="254"/>
      <c r="DN31" s="254"/>
      <c r="DO31" s="254"/>
      <c r="DP31" s="254"/>
      <c r="DQ31" s="254"/>
      <c r="DR31" s="254"/>
      <c r="DS31" s="254"/>
      <c r="DT31" s="254"/>
      <c r="DU31" s="254"/>
      <c r="DV31" s="254"/>
      <c r="DW31" s="254"/>
      <c r="DX31" s="254"/>
      <c r="DY31" s="254"/>
      <c r="DZ31" s="254"/>
      <c r="EA31" s="254"/>
      <c r="EB31" s="254"/>
      <c r="EC31" s="254"/>
      <c r="ED31" s="254"/>
      <c r="EE31" s="254"/>
      <c r="EF31" s="254"/>
      <c r="EG31" s="254"/>
      <c r="EH31" s="254"/>
      <c r="EI31" s="254"/>
      <c r="EJ31" s="254"/>
      <c r="EK31" s="254"/>
      <c r="EL31" s="254"/>
      <c r="EM31" s="254"/>
      <c r="EN31" s="254"/>
      <c r="EO31" s="254"/>
      <c r="EP31" s="254"/>
      <c r="EQ31" s="254"/>
      <c r="ER31" s="254"/>
      <c r="ES31" s="254"/>
      <c r="ET31" s="254"/>
      <c r="EU31" s="254"/>
      <c r="EV31" s="254"/>
      <c r="EW31" s="254"/>
      <c r="EX31" s="254"/>
      <c r="EY31" s="254"/>
      <c r="EZ31" s="254"/>
      <c r="FA31" s="254"/>
      <c r="FB31" s="254"/>
      <c r="FC31" s="254"/>
      <c r="FD31" s="254"/>
      <c r="FE31" s="254"/>
      <c r="FF31" s="254"/>
      <c r="FG31" s="254"/>
      <c r="FH31" s="254"/>
      <c r="FI31" s="254"/>
      <c r="FJ31" s="254"/>
      <c r="FK31" s="254"/>
      <c r="FL31" s="254"/>
      <c r="FM31" s="254"/>
      <c r="FN31" s="254"/>
      <c r="FO31" s="254"/>
      <c r="FP31" s="254"/>
      <c r="FQ31" s="254"/>
      <c r="FR31" s="254"/>
      <c r="FS31" s="254"/>
      <c r="FT31" s="254"/>
      <c r="FU31" s="254"/>
      <c r="FV31" s="254"/>
      <c r="FW31" s="255"/>
      <c r="FX31" s="1282"/>
      <c r="FY31" s="1282"/>
      <c r="FZ31" s="1284"/>
      <c r="GA31" s="1284"/>
      <c r="GB31" s="1284"/>
      <c r="GC31" s="1283"/>
      <c r="GD31" s="1283"/>
    </row>
    <row customHeight="1" ht="14.625" hidden="1">
      <c r="A32" s="466"/>
      <c r="B32" s="848"/>
      <c r="C32" s="466"/>
      <c r="D32" s="466"/>
      <c r="E32" s="816">
        <v>15</v>
      </c>
      <c r="F32" s="50" cm="1" t="str">
        <f t="array" ref="F32:F32">OFFSET(E32,-1,1)</f>
        <v>0</v>
      </c>
      <c r="G32" s="466"/>
      <c r="H32" s="466"/>
      <c r="I32" s="466"/>
      <c r="J32" s="466"/>
      <c r="K32" s="466"/>
      <c r="L32" s="466"/>
      <c r="M32" s="466"/>
      <c r="N32" s="466"/>
      <c r="O32" s="466"/>
      <c r="P32" s="466"/>
      <c r="Q32" s="904"/>
      <c r="R32" s="466"/>
      <c r="S32" s="457"/>
      <c r="T32" s="438" cm="1" t="str">
        <f t="array" ref="T32:T32">T31</f>
        <v>false</v>
      </c>
      <c r="U32" s="466"/>
      <c r="V32" s="466"/>
      <c r="W32" s="466"/>
      <c r="X32" s="1541"/>
      <c r="Y32" s="466"/>
      <c r="Z32" s="1493"/>
      <c r="AA32" s="466"/>
      <c r="AB32" s="1451" t="s">
        <v>1471</v>
      </c>
      <c r="AC32" s="1453"/>
      <c r="AD32" s="869" cm="1" t="str">
        <f t="array" ref="AD32:AD32">INDEX('Общие сведения'!$AJ$179:$AJ$208,MATCH($X29,'Общие сведения'!$Z$179:$Z$208,0))</f>
        <v>0</v>
      </c>
      <c r="AE32" s="254"/>
      <c r="AF32" s="254"/>
      <c r="AG32" s="254"/>
      <c r="AH32" s="254"/>
      <c r="AI32" s="254"/>
      <c r="AJ32" s="254"/>
      <c r="AK32" s="254"/>
      <c r="AL32" s="254"/>
      <c r="AM32" s="254"/>
      <c r="AN32" s="254"/>
      <c r="AO32" s="254"/>
      <c r="AP32" s="254"/>
      <c r="AQ32" s="254"/>
      <c r="AR32" s="254"/>
      <c r="AS32" s="254"/>
      <c r="AT32" s="254"/>
      <c r="AU32" s="254"/>
      <c r="AV32" s="254"/>
      <c r="AW32" s="254"/>
      <c r="AX32" s="254"/>
      <c r="AY32" s="254"/>
      <c r="AZ32" s="254"/>
      <c r="BA32" s="254"/>
      <c r="BB32" s="254"/>
      <c r="BC32" s="254"/>
      <c r="BD32" s="254"/>
      <c r="BE32" s="254"/>
      <c r="BF32" s="254"/>
      <c r="BG32" s="254"/>
      <c r="BH32" s="254"/>
      <c r="BI32" s="254"/>
      <c r="BJ32" s="254"/>
      <c r="BK32" s="254"/>
      <c r="BL32" s="254"/>
      <c r="BM32" s="254"/>
      <c r="BN32" s="254"/>
      <c r="BO32" s="254"/>
      <c r="BP32" s="254"/>
      <c r="BQ32" s="254"/>
      <c r="BR32" s="254"/>
      <c r="BS32" s="254"/>
      <c r="BT32" s="254"/>
      <c r="BU32" s="254"/>
      <c r="BV32" s="254"/>
      <c r="BW32" s="254"/>
      <c r="BX32" s="254"/>
      <c r="BY32" s="254"/>
      <c r="BZ32" s="254"/>
      <c r="CA32" s="254"/>
      <c r="CB32" s="254"/>
      <c r="CC32" s="254"/>
      <c r="CD32" s="254"/>
      <c r="CE32" s="254"/>
      <c r="CF32" s="254"/>
      <c r="CG32" s="254"/>
      <c r="CH32" s="254"/>
      <c r="CI32" s="254"/>
      <c r="CJ32" s="254"/>
      <c r="CK32" s="254"/>
      <c r="CL32" s="254"/>
      <c r="CM32" s="254"/>
      <c r="CN32" s="254"/>
      <c r="CO32" s="254"/>
      <c r="CP32" s="254"/>
      <c r="CQ32" s="254"/>
      <c r="CR32" s="254"/>
      <c r="CS32" s="254"/>
      <c r="CT32" s="254"/>
      <c r="CU32" s="254"/>
      <c r="CV32" s="254"/>
      <c r="CW32" s="254"/>
      <c r="CX32" s="254"/>
      <c r="CY32" s="254"/>
      <c r="CZ32" s="254"/>
      <c r="DA32" s="254"/>
      <c r="DB32" s="254"/>
      <c r="DC32" s="254"/>
      <c r="DD32" s="254"/>
      <c r="DE32" s="254"/>
      <c r="DF32" s="254"/>
      <c r="DG32" s="254"/>
      <c r="DH32" s="254"/>
      <c r="DI32" s="254"/>
      <c r="DJ32" s="254"/>
      <c r="DK32" s="254"/>
      <c r="DL32" s="254"/>
      <c r="DM32" s="254"/>
      <c r="DN32" s="254"/>
      <c r="DO32" s="254"/>
      <c r="DP32" s="254"/>
      <c r="DQ32" s="254"/>
      <c r="DR32" s="254"/>
      <c r="DS32" s="254"/>
      <c r="DT32" s="254"/>
      <c r="DU32" s="254"/>
      <c r="DV32" s="254"/>
      <c r="DW32" s="254"/>
      <c r="DX32" s="254"/>
      <c r="DY32" s="254"/>
      <c r="DZ32" s="254"/>
      <c r="EA32" s="254"/>
      <c r="EB32" s="254"/>
      <c r="EC32" s="254"/>
      <c r="ED32" s="254"/>
      <c r="EE32" s="254"/>
      <c r="EF32" s="254"/>
      <c r="EG32" s="254"/>
      <c r="EH32" s="254"/>
      <c r="EI32" s="254"/>
      <c r="EJ32" s="254"/>
      <c r="EK32" s="254"/>
      <c r="EL32" s="254"/>
      <c r="EM32" s="254"/>
      <c r="EN32" s="254"/>
      <c r="EO32" s="254"/>
      <c r="EP32" s="254"/>
      <c r="EQ32" s="254"/>
      <c r="ER32" s="254"/>
      <c r="ES32" s="254"/>
      <c r="ET32" s="254"/>
      <c r="EU32" s="254"/>
      <c r="EV32" s="254"/>
      <c r="EW32" s="254"/>
      <c r="EX32" s="254"/>
      <c r="EY32" s="254"/>
      <c r="EZ32" s="254"/>
      <c r="FA32" s="254"/>
      <c r="FB32" s="254"/>
      <c r="FC32" s="254"/>
      <c r="FD32" s="254"/>
      <c r="FE32" s="254"/>
      <c r="FF32" s="254"/>
      <c r="FG32" s="254"/>
      <c r="FH32" s="254"/>
      <c r="FI32" s="254"/>
      <c r="FJ32" s="254"/>
      <c r="FK32" s="254"/>
      <c r="FL32" s="254"/>
      <c r="FM32" s="254"/>
      <c r="FN32" s="254"/>
      <c r="FO32" s="254"/>
      <c r="FP32" s="254"/>
      <c r="FQ32" s="254"/>
      <c r="FR32" s="254"/>
      <c r="FS32" s="254"/>
      <c r="FT32" s="254"/>
      <c r="FU32" s="254"/>
      <c r="FV32" s="254"/>
      <c r="FW32" s="255"/>
      <c r="FX32" s="1282"/>
      <c r="FY32" s="1282"/>
      <c r="FZ32" s="1284"/>
      <c r="GA32" s="1284"/>
      <c r="GB32" s="1284"/>
      <c r="GC32" s="1283"/>
      <c r="GD32" s="1283"/>
    </row>
    <row customHeight="1" ht="14.625" hidden="1">
      <c r="A33" s="466"/>
      <c r="B33" s="901">
        <f>AND(R29="одноставочный",NOT(S29))</f>
        <v>0</v>
      </c>
      <c r="C33" s="466"/>
      <c r="D33" s="466"/>
      <c r="E33" s="816">
        <v>15</v>
      </c>
      <c r="F33" s="50" cm="1" t="str">
        <f t="array" ref="F33:F33">OFFSET(E33,-1,1)</f>
        <v>0</v>
      </c>
      <c r="G33" s="466"/>
      <c r="H33" s="466"/>
      <c r="I33" s="466"/>
      <c r="J33" s="466"/>
      <c r="K33" s="466"/>
      <c r="L33" s="466"/>
      <c r="M33" s="466"/>
      <c r="N33" s="466"/>
      <c r="O33" s="466"/>
      <c r="P33" s="466"/>
      <c r="Q33" s="466"/>
      <c r="R33" s="466"/>
      <c r="S33" s="466"/>
      <c r="T33" s="438" cm="1" t="str">
        <f t="array" ref="T33:T33">T32</f>
        <v>false</v>
      </c>
      <c r="U33" s="466"/>
      <c r="V33" s="466"/>
      <c r="W33" s="466"/>
      <c r="X33" s="1541"/>
      <c r="Y33" s="466"/>
      <c r="Z33" s="1493"/>
      <c r="AA33" s="466"/>
      <c r="AB33" s="870" t="s">
        <v>1472</v>
      </c>
      <c r="AC33" s="871"/>
      <c r="AD33" s="872"/>
      <c r="AE33" s="872"/>
      <c r="AF33" s="872"/>
      <c r="AG33" s="872"/>
      <c r="AH33" s="872"/>
      <c r="AI33" s="872"/>
      <c r="AJ33" s="872"/>
      <c r="AK33" s="872"/>
      <c r="AL33" s="872"/>
      <c r="AM33" s="872"/>
      <c r="AN33" s="872"/>
      <c r="AO33" s="872"/>
      <c r="AP33" s="872"/>
      <c r="AQ33" s="872"/>
      <c r="AR33" s="872"/>
      <c r="AS33" s="872"/>
      <c r="AT33" s="872"/>
      <c r="AU33" s="872"/>
      <c r="AV33" s="872"/>
      <c r="AW33" s="872"/>
      <c r="AX33" s="872"/>
      <c r="AY33" s="872"/>
      <c r="AZ33" s="872"/>
      <c r="BA33" s="872"/>
      <c r="BB33" s="872"/>
      <c r="BC33" s="872"/>
      <c r="BD33" s="872"/>
      <c r="BE33" s="872"/>
      <c r="BF33" s="872"/>
      <c r="BG33" s="872"/>
      <c r="BH33" s="872"/>
      <c r="BI33" s="872"/>
      <c r="BJ33" s="883"/>
      <c r="BK33" s="872"/>
      <c r="BL33" s="872"/>
      <c r="BM33" s="883"/>
      <c r="BN33" s="872"/>
      <c r="BO33" s="872"/>
      <c r="BP33" s="883"/>
      <c r="BQ33" s="872"/>
      <c r="BR33" s="872"/>
      <c r="BS33" s="883"/>
      <c r="BT33" s="872"/>
      <c r="BU33" s="872"/>
      <c r="BV33" s="883"/>
      <c r="BW33" s="872"/>
      <c r="BX33" s="872"/>
      <c r="BY33" s="883"/>
      <c r="BZ33" s="872"/>
      <c r="CA33" s="872"/>
      <c r="CB33" s="883"/>
      <c r="CC33" s="872"/>
      <c r="CD33" s="872"/>
      <c r="CE33" s="883"/>
      <c r="CF33" s="872"/>
      <c r="CG33" s="872"/>
      <c r="CH33" s="883"/>
      <c r="CI33" s="872"/>
      <c r="CJ33" s="872"/>
      <c r="CK33" s="883"/>
      <c r="CL33" s="872"/>
      <c r="CM33" s="872"/>
      <c r="CN33" s="883"/>
      <c r="CO33" s="872"/>
      <c r="CP33" s="872"/>
      <c r="CQ33" s="883"/>
      <c r="CR33" s="872"/>
      <c r="CS33" s="872"/>
      <c r="CT33" s="883"/>
      <c r="CU33" s="872"/>
      <c r="CV33" s="872"/>
      <c r="CW33" s="883"/>
      <c r="CX33" s="872"/>
      <c r="CY33" s="872"/>
      <c r="CZ33" s="883"/>
      <c r="DA33" s="872"/>
      <c r="DB33" s="872"/>
      <c r="DC33" s="883"/>
      <c r="DD33" s="872"/>
      <c r="DE33" s="872"/>
      <c r="DF33" s="257"/>
      <c r="DG33" s="256"/>
      <c r="DH33" s="256"/>
      <c r="DI33" s="257"/>
      <c r="DJ33" s="256"/>
      <c r="DK33" s="256"/>
      <c r="DL33" s="257"/>
      <c r="DM33" s="256"/>
      <c r="DN33" s="256"/>
      <c r="DO33" s="257"/>
      <c r="DP33" s="256"/>
      <c r="DQ33" s="256"/>
      <c r="DR33" s="257"/>
      <c r="DS33" s="256"/>
      <c r="DT33" s="256"/>
      <c r="DU33" s="257"/>
      <c r="DV33" s="256"/>
      <c r="DW33" s="256"/>
      <c r="DX33" s="257"/>
      <c r="DY33" s="256"/>
      <c r="DZ33" s="256"/>
      <c r="EA33" s="257"/>
      <c r="EB33" s="256"/>
      <c r="EC33" s="256"/>
      <c r="ED33" s="257"/>
      <c r="EE33" s="256"/>
      <c r="EF33" s="256"/>
      <c r="EG33" s="257"/>
      <c r="EH33" s="256"/>
      <c r="EI33" s="256"/>
      <c r="EJ33" s="257"/>
      <c r="EK33" s="256"/>
      <c r="EL33" s="256"/>
      <c r="EM33" s="257"/>
      <c r="EN33" s="256"/>
      <c r="EO33" s="256"/>
      <c r="EP33" s="257"/>
      <c r="EQ33" s="256"/>
      <c r="ER33" s="256"/>
      <c r="ES33" s="257"/>
      <c r="ET33" s="256"/>
      <c r="EU33" s="256"/>
      <c r="EV33" s="257"/>
      <c r="EW33" s="256"/>
      <c r="EX33" s="256"/>
      <c r="EY33" s="257"/>
      <c r="EZ33" s="256"/>
      <c r="FA33" s="256"/>
      <c r="FB33" s="257"/>
      <c r="FC33" s="256"/>
      <c r="FD33" s="256"/>
      <c r="FE33" s="257"/>
      <c r="FF33" s="256"/>
      <c r="FG33" s="256"/>
      <c r="FH33" s="257"/>
      <c r="FI33" s="256"/>
      <c r="FJ33" s="256"/>
      <c r="FK33" s="257"/>
      <c r="FL33" s="256"/>
      <c r="FM33" s="256"/>
      <c r="FN33" s="257"/>
      <c r="FO33" s="256"/>
      <c r="FP33" s="256"/>
      <c r="FQ33" s="257"/>
      <c r="FR33" s="256"/>
      <c r="FS33" s="256"/>
      <c r="FT33" s="257"/>
      <c r="FU33" s="256"/>
      <c r="FV33" s="256"/>
      <c r="FW33" s="257"/>
      <c r="FX33" s="1282"/>
      <c r="FY33" s="1282"/>
      <c r="FZ33" s="1284"/>
      <c r="GA33" s="1284"/>
      <c r="GB33" s="1284"/>
      <c r="GC33" s="1283"/>
      <c r="GD33" s="1283"/>
    </row>
    <row s="258" customFormat="1" customHeight="1" ht="23.887500000000003" hidden="1">
      <c r="A34" s="873"/>
      <c r="B34" s="901" cm="1" t="str">
        <f t="array" ref="B34:B34">B33</f>
        <v>false</v>
      </c>
      <c r="C34" s="873"/>
      <c r="D34" s="873"/>
      <c r="E34" s="874">
        <v>24.5</v>
      </c>
      <c r="F34" s="50" cm="1" t="str">
        <f t="array" ref="F34:F34">OFFSET(E34,-1,1)</f>
        <v>0</v>
      </c>
      <c r="G34" s="466" t="s">
        <v>1473</v>
      </c>
      <c r="H34" s="466" t="s">
        <v>434</v>
      </c>
      <c r="I34" s="466" t="s">
        <v>1474</v>
      </c>
      <c r="J34" s="873"/>
      <c r="K34" s="873"/>
      <c r="L34" s="466"/>
      <c r="M34" s="873"/>
      <c r="N34" s="873"/>
      <c r="O34" s="873"/>
      <c r="P34" s="873"/>
      <c r="Q34" s="873"/>
      <c r="R34" s="873"/>
      <c r="S34" s="466"/>
      <c r="T34" s="438" cm="1" t="str">
        <f t="array" ref="T34:T34">T33</f>
        <v>false</v>
      </c>
      <c r="U34" s="873"/>
      <c r="V34" s="873"/>
      <c r="W34" s="873"/>
      <c r="X34" s="1541"/>
      <c r="Y34" s="873"/>
      <c r="Z34" s="1493"/>
      <c r="AA34" s="873"/>
      <c r="AB34" s="259" t="s">
        <v>1475</v>
      </c>
      <c r="AC34" s="260" t="s">
        <v>1476</v>
      </c>
      <c r="AD34" s="2898">
        <f>IF(AND(method_reg="Метод индексации",god&lt;&gt;first_year),_xlfn.SUMIFS(INDEX('Калькуляция (МИ корр)'!$AJ$25:$BC$315,,MATCH(AD$8,'Калькуляция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(МИ)'!$AJ$25:$BC$315,,MATCH(AD$8,'Калькуляция (МИ)'!$AJ$8:$BC$8,0)),'Калькуляция (МИ)'!$F$25:$F$315,$F34,'Калькуляция (МИ)'!$G$25:$G$315,$G34))))</f>
        <v>0</v>
      </c>
      <c r="AE34" s="2898">
        <f>IF(AND(method_reg="Метод индексации",god&lt;&gt;first_year),_xlfn.SUMIFS(INDEX('Калькуляция (МИ корр)'!$AJ$25:$BC$315,,MATCH(AE$8,'Калькуляция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(МИ)'!$AJ$25:$BC$315,,MATCH(AE$8,'Калькуляция (МИ)'!$AJ$8:$BC$8,0)),'Калькуляция (МИ)'!$F$25:$F$315,$F34,'Калькуляция (МИ)'!$G$25:$G$315,$G34))))</f>
        <v>0</v>
      </c>
      <c r="AF34" s="262">
        <f>IF(AD34=0,0,(AE34-AD34)/AD34*100)</f>
        <v>0</v>
      </c>
      <c r="AG34" s="2898">
        <f>IF(AND(method_reg="Метод индексации",god&lt;&gt;first_year),_xlfn.SUMIFS(INDEX('Калькуляция (МИ корр)'!$AJ$25:$BC$315,,MATCH(AG$8,'Калькуляция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(МИ)'!$AJ$25:$BC$315,,MATCH(AG$8,'Калькуляция (МИ)'!$AJ$8:$BC$8,0)),'Калькуляция (МИ)'!$F$25:$F$315,$F34,'Калькуляция (МИ)'!$G$25:$G$315,$G34))))</f>
        <v>0</v>
      </c>
      <c r="AH34" s="2898">
        <f>IF(AND(method_reg="Метод индексации",god&lt;&gt;first_year),_xlfn.SUMIFS(INDEX('Калькуляция (МИ корр)'!$AJ$25:$BC$315,,MATCH(AH$8,'Калькуляция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(МИ)'!$AJ$25:$BC$315,,MATCH(AH$8,'Калькуляция (МИ)'!$AJ$8:$BC$8,0)),'Калькуляция (МИ)'!$F$25:$F$315,$F34,'Калькуляция (МИ)'!$G$25:$G$315,$G34))))</f>
        <v>0</v>
      </c>
      <c r="AI34" s="262">
        <f>IF(AG34=0,0,(AH34-AG34)/AG34*100)</f>
        <v>0</v>
      </c>
      <c r="AJ34" s="2898">
        <f>IF(AND(method_reg="Метод индексации",god&lt;&gt;first_year),_xlfn.SUMIFS(INDEX('Калькуляция (МИ корр)'!$AJ$25:$BC$315,,MATCH(AJ$8,'Калькуляция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(МИ)'!$AJ$25:$BC$315,,MATCH(AJ$8,'Калькуляция (МИ)'!$AJ$8:$BC$8,0)),'Калькуляция (МИ)'!$F$25:$F$315,$F34,'Калькуляция (МИ)'!$G$25:$G$315,$G34))))</f>
        <v>0</v>
      </c>
      <c r="AK34" s="2898">
        <f>IF(AND(method_reg="Метод индексации",god&lt;&gt;first_year),_xlfn.SUMIFS(INDEX('Калькуляция (МИ корр)'!$AJ$25:$BC$315,,MATCH(AK$8,'Калькуляция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(МИ)'!$AJ$25:$BC$315,,MATCH(AK$8,'Калькуляция (МИ)'!$AJ$8:$BC$8,0)),'Калькуляция (МИ)'!$F$25:$F$315,$F34,'Калькуляция (МИ)'!$G$25:$G$315,$G34))))</f>
        <v>0</v>
      </c>
      <c r="AL34" s="262">
        <f>IF(AJ34=0,0,(AK34-AJ34)/AJ34*100)</f>
        <v>0</v>
      </c>
      <c r="AM34" s="2898">
        <f>IF(AND(method_reg="Метод индексации",god&lt;&gt;first_year),_xlfn.SUMIFS(INDEX('Калькуляция (МИ корр)'!$AJ$25:$BC$315,,MATCH(AM$8,'Калькуляция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(МИ)'!$AJ$25:$BC$315,,MATCH(AM$8,'Калькуляция (МИ)'!$AJ$8:$BC$8,0)),'Калькуляция (МИ)'!$F$25:$F$315,$F34,'Калькуляция (МИ)'!$G$25:$G$315,$G34))))</f>
        <v>0</v>
      </c>
      <c r="AN34" s="2898">
        <f>IF(AND(method_reg="Метод индексации",god&lt;&gt;first_year),_xlfn.SUMIFS(INDEX('Калькуляция (МИ корр)'!$AJ$25:$BC$315,,MATCH(AN$8,'Калькуляция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(МИ)'!$AJ$25:$BC$315,,MATCH(AN$8,'Калькуляция (МИ)'!$AJ$8:$BC$8,0)),'Калькуляция (МИ)'!$F$25:$F$315,$F34,'Калькуляция (МИ)'!$G$25:$G$315,$G34))))</f>
        <v>0</v>
      </c>
      <c r="AO34" s="262">
        <f>IF(AM34=0,0,(AN34-AM34)/AM34*100)</f>
        <v>0</v>
      </c>
      <c r="AP34" s="2898">
        <f>IF(AND(method_reg="Метод индексации",god&lt;&gt;first_year),_xlfn.SUMIFS(INDEX('Калькуляция (МИ корр)'!$AJ$25:$BC$315,,MATCH(AP$8,'Калькуляция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(МИ)'!$AJ$25:$BC$315,,MATCH(AP$8,'Калькуляция (МИ)'!$AJ$8:$BC$8,0)),'Калькуляция (МИ)'!$F$25:$F$315,$F34,'Калькуляция (МИ)'!$G$25:$G$315,$G34))))</f>
        <v>0</v>
      </c>
      <c r="AQ34" s="2898">
        <f>IF(AND(method_reg="Метод индексации",god&lt;&gt;first_year),_xlfn.SUMIFS(INDEX('Калькуляция (МИ корр)'!$AJ$25:$BC$315,,MATCH(AQ$8,'Калькуляция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(МИ)'!$AJ$25:$BC$315,,MATCH(AQ$8,'Калькуляция (МИ)'!$AJ$8:$BC$8,0)),'Калькуляция (МИ)'!$F$25:$F$315,$F34,'Калькуляция (МИ)'!$G$25:$G$315,$G34))))</f>
        <v>0</v>
      </c>
      <c r="AR34" s="262">
        <f>IF(AP34=0,0,(AQ34-AP34)/AP34*100)</f>
        <v>0</v>
      </c>
      <c r="AS34" s="2898">
        <f>IF(AND(method_reg="Метод индексации",god&lt;&gt;first_year),_xlfn.SUMIFS(INDEX('Калькуляция (МИ корр)'!$AJ$25:$BC$315,,MATCH(AS$8,'Калькуляция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(МИ)'!$AJ$25:$BC$315,,MATCH(AS$8,'Калькуляция (МИ)'!$AJ$8:$BC$8,0)),'Калькуляция (МИ)'!$F$25:$F$315,$F34,'Калькуляция (МИ)'!$G$25:$G$315,$G34))))</f>
        <v>0</v>
      </c>
      <c r="AT34" s="2898">
        <f>IF(AND(method_reg="Метод индексации",god&lt;&gt;first_year),_xlfn.SUMIFS(INDEX('Калькуляция (МИ корр)'!$AJ$25:$BC$315,,MATCH(AT$8,'Калькуляция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(МИ)'!$AJ$25:$BC$315,,MATCH(AT$8,'Калькуляция (МИ)'!$AJ$8:$BC$8,0)),'Калькуляция (МИ)'!$F$25:$F$315,$F34,'Калькуляция (МИ)'!$G$25:$G$315,$G34))))</f>
        <v>0</v>
      </c>
      <c r="AU34" s="262">
        <f>IF(AS34=0,0,(AT34-AS34)/AS34*100)</f>
        <v>0</v>
      </c>
      <c r="AV34" s="2898">
        <f>IF(AND(method_reg="Метод индексации",god&lt;&gt;first_year),_xlfn.SUMIFS(INDEX('Калькуляция (МИ корр)'!$AJ$25:$BC$315,,MATCH(AV$8,'Калькуляция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(МИ)'!$AJ$25:$BC$315,,MATCH(AV$8,'Калькуляция (МИ)'!$AJ$8:$BC$8,0)),'Калькуляция (МИ)'!$F$25:$F$315,$F34,'Калькуляция (МИ)'!$G$25:$G$315,$G34))))</f>
        <v>0</v>
      </c>
      <c r="AW34" s="2898">
        <f>IF(AND(method_reg="Метод индексации",god&lt;&gt;first_year),_xlfn.SUMIFS(INDEX('Калькуляция (МИ корр)'!$AJ$25:$BC$315,,MATCH(AW$8,'Калькуляция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(МИ)'!$AJ$25:$BC$315,,MATCH(AW$8,'Калькуляция (МИ)'!$AJ$8:$BC$8,0)),'Калькуляция (МИ)'!$F$25:$F$315,$F34,'Калькуляция (МИ)'!$G$25:$G$315,$G34))))</f>
        <v>0</v>
      </c>
      <c r="AX34" s="262">
        <f>IF(AV34=0,0,(AW34-AV34)/AV34*100)</f>
        <v>0</v>
      </c>
      <c r="AY34" s="2898">
        <f>IF(AND(method_reg="Метод индексации",god&lt;&gt;first_year),_xlfn.SUMIFS(INDEX('Калькуляция (МИ корр)'!$AJ$25:$BC$315,,MATCH(AY$8,'Калькуляция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(МИ)'!$AJ$25:$BC$315,,MATCH(AY$8,'Калькуляция (МИ)'!$AJ$8:$BC$8,0)),'Калькуляция (МИ)'!$F$25:$F$315,$F34,'Калькуляция (МИ)'!$G$25:$G$315,$G34))))</f>
        <v>0</v>
      </c>
      <c r="AZ34" s="2898">
        <f>IF(AND(method_reg="Метод индексации",god&lt;&gt;first_year),_xlfn.SUMIFS(INDEX('Калькуляция (МИ корр)'!$AJ$25:$BC$315,,MATCH(AZ$8,'Калькуляция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(МИ)'!$AJ$25:$BC$315,,MATCH(AZ$8,'Калькуляция (МИ)'!$AJ$8:$BC$8,0)),'Калькуляция (МИ)'!$F$25:$F$315,$F34,'Калькуляция (МИ)'!$G$25:$G$315,$G34))))</f>
        <v>0</v>
      </c>
      <c r="BA34" s="262">
        <f>IF(AY34=0,0,(AZ34-AY34)/AY34*100)</f>
        <v>0</v>
      </c>
      <c r="BB34" s="2898">
        <f>IF(AND(method_reg="Метод индексации",god&lt;&gt;first_year),_xlfn.SUMIFS(INDEX('Калькуляция (МИ корр)'!$AJ$25:$BC$315,,MATCH(BB$8,'Калькуляция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(МИ)'!$AJ$25:$BC$315,,MATCH(BB$8,'Калькуляция (МИ)'!$AJ$8:$BC$8,0)),'Калькуляция (МИ)'!$F$25:$F$315,$F34,'Калькуляция (МИ)'!$G$25:$G$315,$G34))))</f>
        <v>0</v>
      </c>
      <c r="BC34" s="2898">
        <f>IF(AND(method_reg="Метод индексации",god&lt;&gt;first_year),_xlfn.SUMIFS(INDEX('Калькуляция (МИ корр)'!$AJ$25:$BC$315,,MATCH(BC$8,'Калькуляция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(МИ)'!$AJ$25:$BC$315,,MATCH(BC$8,'Калькуляция (МИ)'!$AJ$8:$BC$8,0)),'Калькуляция (МИ)'!$F$25:$F$315,$F34,'Калькуляция (МИ)'!$G$25:$G$315,$G34))))</f>
        <v>0</v>
      </c>
      <c r="BD34" s="262">
        <f>IF(BB34=0,0,(BC34-BB34)/BB34*100)</f>
        <v>0</v>
      </c>
      <c r="BE34" s="2898">
        <f>IF(AND(method_reg="Метод индексации",god&lt;&gt;first_year),_xlfn.SUMIFS(INDEX('Калькуляция (МИ корр)'!$AJ$25:$BC$315,,MATCH(BE$8,'Калькуляция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(МИ)'!$AJ$25:$BC$315,,MATCH(BE$8,'Калькуляция (МИ)'!$AJ$8:$BC$8,0)),'Калькуляция (МИ)'!$F$25:$F$315,$F34,'Калькуляция (МИ)'!$G$25:$G$315,$G34))))</f>
        <v>0</v>
      </c>
      <c r="BF34" s="2898">
        <f>IF(AND(method_reg="Метод индексации",god&lt;&gt;first_year),_xlfn.SUMIFS(INDEX('Калькуляция (МИ корр)'!$AJ$25:$BC$315,,MATCH(BF$8,'Калькуляция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(МИ)'!$AJ$25:$BC$315,,MATCH(BF$8,'Калькуляция (МИ)'!$AJ$8:$BC$8,0)),'Калькуляция (МИ)'!$F$25:$F$315,$F34,'Калькуляция (МИ)'!$G$25:$G$315,$G34))))</f>
        <v>0</v>
      </c>
      <c r="BG34" s="262">
        <f>IF(BE34=0,0,(BF34-BE34)/BE34*100)</f>
        <v>0</v>
      </c>
      <c r="BH34" s="2898"/>
      <c r="BI34" s="2898"/>
      <c r="BJ34" s="262">
        <f>IF(BH34=0,0,(BI34-BH34)/BH34*100)</f>
        <v>0</v>
      </c>
      <c r="BK34" s="2898"/>
      <c r="BL34" s="2898"/>
      <c r="BM34" s="262">
        <f>IF(BK34=0,0,(BL34-BK34)/BK34*100)</f>
        <v>0</v>
      </c>
      <c r="BN34" s="2898"/>
      <c r="BO34" s="2898"/>
      <c r="BP34" s="262">
        <f>IF(BN34=0,0,(BO34-BN34)/BN34*100)</f>
        <v>0</v>
      </c>
      <c r="BQ34" s="2898"/>
      <c r="BR34" s="2898"/>
      <c r="BS34" s="262">
        <f>IF(BQ34=0,0,(BR34-BQ34)/BQ34*100)</f>
        <v>0</v>
      </c>
      <c r="BT34" s="2898"/>
      <c r="BU34" s="2898"/>
      <c r="BV34" s="262">
        <f>IF(BT34=0,0,(BU34-BT34)/BT34*100)</f>
        <v>0</v>
      </c>
      <c r="BW34" s="2898"/>
      <c r="BX34" s="2898"/>
      <c r="BY34" s="262">
        <f>IF(BW34=0,0,(BX34-BW34)/BW34*100)</f>
        <v>0</v>
      </c>
      <c r="BZ34" s="2898"/>
      <c r="CA34" s="2898"/>
      <c r="CB34" s="262">
        <f>IF(BZ34=0,0,(CA34-BZ34)/BZ34*100)</f>
        <v>0</v>
      </c>
      <c r="CC34" s="2898"/>
      <c r="CD34" s="2898"/>
      <c r="CE34" s="262">
        <f>IF(CC34=0,0,(CD34-CC34)/CC34*100)</f>
        <v>0</v>
      </c>
      <c r="CF34" s="2898"/>
      <c r="CG34" s="2898"/>
      <c r="CH34" s="262">
        <f>IF(CF34=0,0,(CG34-CF34)/CF34*100)</f>
        <v>0</v>
      </c>
      <c r="CI34" s="2898"/>
      <c r="CJ34" s="2898"/>
      <c r="CK34" s="262">
        <f>IF(CI34=0,0,(CJ34-CI34)/CI34*100)</f>
        <v>0</v>
      </c>
      <c r="CL34" s="2898"/>
      <c r="CM34" s="2898"/>
      <c r="CN34" s="262">
        <f>IF(CL34=0,0,(CM34-CL34)/CL34*100)</f>
        <v>0</v>
      </c>
      <c r="CO34" s="2898"/>
      <c r="CP34" s="2898"/>
      <c r="CQ34" s="262">
        <f>IF(CO34=0,0,(CP34-CO34)/CO34*100)</f>
        <v>0</v>
      </c>
      <c r="CR34" s="2898"/>
      <c r="CS34" s="2898"/>
      <c r="CT34" s="262">
        <f>IF(CR34=0,0,(CS34-CR34)/CR34*100)</f>
        <v>0</v>
      </c>
      <c r="CU34" s="2898"/>
      <c r="CV34" s="2898"/>
      <c r="CW34" s="262">
        <f>IF(CU34=0,0,(CV34-CU34)/CU34*100)</f>
        <v>0</v>
      </c>
      <c r="CX34" s="2898"/>
      <c r="CY34" s="2898"/>
      <c r="CZ34" s="262">
        <f>IF(CX34=0,0,(CY34-CX34)/CX34*100)</f>
        <v>0</v>
      </c>
      <c r="DA34" s="2898"/>
      <c r="DB34" s="2898"/>
      <c r="DC34" s="262">
        <f>IF(DA34=0,0,(DB34-DA34)/DA34*100)</f>
        <v>0</v>
      </c>
      <c r="DD34" s="2898"/>
      <c r="DE34" s="2898"/>
      <c r="DF34" s="262">
        <f>IF(DD34=0,0,(DE34-DD34)/DD34*100)</f>
        <v>0</v>
      </c>
      <c r="DG34" s="2900"/>
      <c r="DH34" s="2900"/>
      <c r="DI34" s="262">
        <f>IF(DG34=0,0,(DH34-DG34)/DG34*100)</f>
        <v>0</v>
      </c>
      <c r="DJ34" s="2900"/>
      <c r="DK34" s="2900"/>
      <c r="DL34" s="262">
        <f>IF(DJ34=0,0,(DK34-DJ34)/DJ34*100)</f>
        <v>0</v>
      </c>
      <c r="DM34" s="2900"/>
      <c r="DN34" s="2900"/>
      <c r="DO34" s="262">
        <f>IF(DM34=0,0,(DN34-DM34)/DM34*100)</f>
        <v>0</v>
      </c>
      <c r="DP34" s="2900"/>
      <c r="DQ34" s="2900"/>
      <c r="DR34" s="262">
        <f>IF(DP34=0,0,(DQ34-DP34)/DP34*100)</f>
        <v>0</v>
      </c>
      <c r="DS34" s="2900"/>
      <c r="DT34" s="2900"/>
      <c r="DU34" s="262">
        <f>IF(DS34=0,0,(DT34-DS34)/DS34*100)</f>
        <v>0</v>
      </c>
      <c r="DV34" s="2900"/>
      <c r="DW34" s="2900"/>
      <c r="DX34" s="262">
        <f>IF(DV34=0,0,(DW34-DV34)/DV34*100)</f>
        <v>0</v>
      </c>
      <c r="DY34" s="2900"/>
      <c r="DZ34" s="2900"/>
      <c r="EA34" s="262">
        <f>IF(DY34=0,0,(DZ34-DY34)/DY34*100)</f>
        <v>0</v>
      </c>
      <c r="EB34" s="2900"/>
      <c r="EC34" s="2900"/>
      <c r="ED34" s="262">
        <f>IF(EB34=0,0,(EC34-EB34)/EB34*100)</f>
        <v>0</v>
      </c>
      <c r="EE34" s="2900"/>
      <c r="EF34" s="2900"/>
      <c r="EG34" s="262">
        <f>IF(EE34=0,0,(EF34-EE34)/EE34*100)</f>
        <v>0</v>
      </c>
      <c r="EH34" s="2900"/>
      <c r="EI34" s="2900"/>
      <c r="EJ34" s="262">
        <f>IF(EH34=0,0,(EI34-EH34)/EH34*100)</f>
        <v>0</v>
      </c>
      <c r="EK34" s="2900"/>
      <c r="EL34" s="2900"/>
      <c r="EM34" s="262">
        <f>IF(EK34=0,0,(EL34-EK34)/EK34*100)</f>
        <v>0</v>
      </c>
      <c r="EN34" s="2900"/>
      <c r="EO34" s="2900"/>
      <c r="EP34" s="262">
        <f>IF(EN34=0,0,(EO34-EN34)/EN34*100)</f>
        <v>0</v>
      </c>
      <c r="EQ34" s="2900"/>
      <c r="ER34" s="2900"/>
      <c r="ES34" s="262">
        <f>IF(EQ34=0,0,(ER34-EQ34)/EQ34*100)</f>
        <v>0</v>
      </c>
      <c r="ET34" s="2900"/>
      <c r="EU34" s="2900"/>
      <c r="EV34" s="262">
        <f>IF(ET34=0,0,(EU34-ET34)/ET34*100)</f>
        <v>0</v>
      </c>
      <c r="EW34" s="2900"/>
      <c r="EX34" s="2900"/>
      <c r="EY34" s="262">
        <f>IF(EW34=0,0,(EX34-EW34)/EW34*100)</f>
        <v>0</v>
      </c>
      <c r="EZ34" s="2900"/>
      <c r="FA34" s="2900"/>
      <c r="FB34" s="262">
        <f>IF(EZ34=0,0,(FA34-EZ34)/EZ34*100)</f>
        <v>0</v>
      </c>
      <c r="FC34" s="2900"/>
      <c r="FD34" s="2900"/>
      <c r="FE34" s="262">
        <f>IF(FC34=0,0,(FD34-FC34)/FC34*100)</f>
        <v>0</v>
      </c>
      <c r="FF34" s="2900"/>
      <c r="FG34" s="2900"/>
      <c r="FH34" s="262">
        <f>IF(FF34=0,0,(FG34-FF34)/FF34*100)</f>
        <v>0</v>
      </c>
      <c r="FI34" s="2900"/>
      <c r="FJ34" s="2900"/>
      <c r="FK34" s="262">
        <f>IF(FI34=0,0,(FJ34-FI34)/FI34*100)</f>
        <v>0</v>
      </c>
      <c r="FL34" s="2900"/>
      <c r="FM34" s="2900"/>
      <c r="FN34" s="262">
        <f>IF(FL34=0,0,(FM34-FL34)/FL34*100)</f>
        <v>0</v>
      </c>
      <c r="FO34" s="2900"/>
      <c r="FP34" s="2900"/>
      <c r="FQ34" s="262">
        <f>IF(FO34=0,0,(FP34-FO34)/FO34*100)</f>
        <v>0</v>
      </c>
      <c r="FR34" s="2900"/>
      <c r="FS34" s="2900"/>
      <c r="FT34" s="262">
        <f>IF(FR34=0,0,(FS34-FR34)/FR34*100)</f>
        <v>0</v>
      </c>
      <c r="FU34" s="2900"/>
      <c r="FV34" s="2900"/>
      <c r="FW34" s="262">
        <f>IF(FU34=0,0,(FV34-FU34)/FU34*100)</f>
        <v>0</v>
      </c>
      <c r="FX34" s="258"/>
      <c r="FY34" s="258"/>
      <c r="FZ34" s="1032" t="s">
        <v>1477</v>
      </c>
      <c r="GA34" s="1032"/>
      <c r="GB34" s="1032"/>
      <c r="GC34" s="1033"/>
      <c r="GD34" s="1033"/>
    </row>
    <row s="258" customFormat="1" customHeight="1" ht="23.887500000000003" hidden="1">
      <c r="A35" s="873"/>
      <c r="B35" s="901" cm="1" t="str">
        <f t="array" ref="B35:B35">B34</f>
        <v>false</v>
      </c>
      <c r="C35" s="873"/>
      <c r="D35" s="873"/>
      <c r="E35" s="874">
        <v>24.5</v>
      </c>
      <c r="F35" s="50" cm="1" t="str">
        <f t="array" ref="F35:F35">OFFSET(E35,-1,1)</f>
        <v>0</v>
      </c>
      <c r="G35" s="466" t="s">
        <v>1478</v>
      </c>
      <c r="H35" s="466" t="s">
        <v>434</v>
      </c>
      <c r="I35" s="466" t="s">
        <v>1479</v>
      </c>
      <c r="J35" s="873"/>
      <c r="K35" s="873"/>
      <c r="L35" s="466"/>
      <c r="M35" s="873"/>
      <c r="N35" s="873"/>
      <c r="O35" s="873"/>
      <c r="P35" s="873"/>
      <c r="Q35" s="873"/>
      <c r="R35" s="873"/>
      <c r="S35" s="466"/>
      <c r="T35" s="438" cm="1" t="str">
        <f t="array" ref="T35:T35">T34</f>
        <v>false</v>
      </c>
      <c r="U35" s="873"/>
      <c r="V35" s="873"/>
      <c r="W35" s="873"/>
      <c r="X35" s="1541"/>
      <c r="Y35" s="873"/>
      <c r="Z35" s="1493"/>
      <c r="AA35" s="873"/>
      <c r="AB35" s="259" t="s">
        <v>1480</v>
      </c>
      <c r="AC35" s="260" t="s">
        <v>1476</v>
      </c>
      <c r="AD35" s="2898">
        <f>IF(AND(method_reg="Метод индексации",god&lt;&gt;first_year),_xlfn.SUMIFS(INDEX('Калькуляция (МИ корр)'!$AJ$25:$BC$315,,MATCH(AD$8,'Калькуляция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(МИ)'!$AJ$25:$BC$315,,MATCH(AD$8,'Калькуляция (МИ)'!$AJ$8:$BC$8,0)),'Калькуляция (МИ)'!$F$25:$F$315,$F35,'Калькуляция (МИ)'!$G$25:$G$315,$G35))))</f>
        <v>0</v>
      </c>
      <c r="AE35" s="2898">
        <f>IF(AND(method_reg="Метод индексации",god&lt;&gt;first_year),_xlfn.SUMIFS(INDEX('Калькуляция (МИ корр)'!$AJ$25:$BC$315,,MATCH(AE$8,'Калькуляция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(МИ)'!$AJ$25:$BC$315,,MATCH(AE$8,'Калькуляция (МИ)'!$AJ$8:$BC$8,0)),'Калькуляция (МИ)'!$F$25:$F$315,$F35,'Калькуляция (МИ)'!$G$25:$G$315,$G35))))</f>
        <v>0</v>
      </c>
      <c r="AF35" s="262">
        <f>IF(AD35=0,0,(AE35-AD35)/AD35*100)</f>
        <v>0</v>
      </c>
      <c r="AG35" s="2898">
        <f>IF(AND(method_reg="Метод индексации",god&lt;&gt;first_year),_xlfn.SUMIFS(INDEX('Калькуляция (МИ корр)'!$AJ$25:$BC$315,,MATCH(AG$8,'Калькуляция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(МИ)'!$AJ$25:$BC$315,,MATCH(AG$8,'Калькуляция (МИ)'!$AJ$8:$BC$8,0)),'Калькуляция (МИ)'!$F$25:$F$315,$F35,'Калькуляция (МИ)'!$G$25:$G$315,$G35))))</f>
        <v>0</v>
      </c>
      <c r="AH35" s="2898">
        <f>IF(AND(method_reg="Метод индексации",god&lt;&gt;first_year),_xlfn.SUMIFS(INDEX('Калькуляция (МИ корр)'!$AJ$25:$BC$315,,MATCH(AH$8,'Калькуляция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(МИ)'!$AJ$25:$BC$315,,MATCH(AH$8,'Калькуляция (МИ)'!$AJ$8:$BC$8,0)),'Калькуляция (МИ)'!$F$25:$F$315,$F35,'Калькуляция (МИ)'!$G$25:$G$315,$G35))))</f>
        <v>0</v>
      </c>
      <c r="AI35" s="262">
        <f>IF(AG35=0,0,(AH35-AG35)/AG35*100)</f>
        <v>0</v>
      </c>
      <c r="AJ35" s="2898">
        <f>IF(AND(method_reg="Метод индексации",god&lt;&gt;first_year),_xlfn.SUMIFS(INDEX('Калькуляция (МИ корр)'!$AJ$25:$BC$315,,MATCH(AJ$8,'Калькуляция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(МИ)'!$AJ$25:$BC$315,,MATCH(AJ$8,'Калькуляция (МИ)'!$AJ$8:$BC$8,0)),'Калькуляция (МИ)'!$F$25:$F$315,$F35,'Калькуляция (МИ)'!$G$25:$G$315,$G35))))</f>
        <v>0</v>
      </c>
      <c r="AK35" s="2898">
        <f>IF(AND(method_reg="Метод индексации",god&lt;&gt;first_year),_xlfn.SUMIFS(INDEX('Калькуляция (МИ корр)'!$AJ$25:$BC$315,,MATCH(AK$8,'Калькуляция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(МИ)'!$AJ$25:$BC$315,,MATCH(AK$8,'Калькуляция (МИ)'!$AJ$8:$BC$8,0)),'Калькуляция (МИ)'!$F$25:$F$315,$F35,'Калькуляция (МИ)'!$G$25:$G$315,$G35))))</f>
        <v>0</v>
      </c>
      <c r="AL35" s="262">
        <f>IF(AJ35=0,0,(AK35-AJ35)/AJ35*100)</f>
        <v>0</v>
      </c>
      <c r="AM35" s="2898">
        <f>IF(AND(method_reg="Метод индексации",god&lt;&gt;first_year),_xlfn.SUMIFS(INDEX('Калькуляция (МИ корр)'!$AJ$25:$BC$315,,MATCH(AM$8,'Калькуляция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(МИ)'!$AJ$25:$BC$315,,MATCH(AM$8,'Калькуляция (МИ)'!$AJ$8:$BC$8,0)),'Калькуляция (МИ)'!$F$25:$F$315,$F35,'Калькуляция (МИ)'!$G$25:$G$315,$G35))))</f>
        <v>0</v>
      </c>
      <c r="AN35" s="2898">
        <f>IF(AND(method_reg="Метод индексации",god&lt;&gt;first_year),_xlfn.SUMIFS(INDEX('Калькуляция (МИ корр)'!$AJ$25:$BC$315,,MATCH(AN$8,'Калькуляция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(МИ)'!$AJ$25:$BC$315,,MATCH(AN$8,'Калькуляция (МИ)'!$AJ$8:$BC$8,0)),'Калькуляция (МИ)'!$F$25:$F$315,$F35,'Калькуляция (МИ)'!$G$25:$G$315,$G35))))</f>
        <v>0</v>
      </c>
      <c r="AO35" s="262">
        <f>IF(AM35=0,0,(AN35-AM35)/AM35*100)</f>
        <v>0</v>
      </c>
      <c r="AP35" s="2898">
        <f>IF(AND(method_reg="Метод индексации",god&lt;&gt;first_year),_xlfn.SUMIFS(INDEX('Калькуляция (МИ корр)'!$AJ$25:$BC$315,,MATCH(AP$8,'Калькуляция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(МИ)'!$AJ$25:$BC$315,,MATCH(AP$8,'Калькуляция (МИ)'!$AJ$8:$BC$8,0)),'Калькуляция (МИ)'!$F$25:$F$315,$F35,'Калькуляция (МИ)'!$G$25:$G$315,$G35))))</f>
        <v>0</v>
      </c>
      <c r="AQ35" s="2898">
        <f>IF(AND(method_reg="Метод индексации",god&lt;&gt;first_year),_xlfn.SUMIFS(INDEX('Калькуляция (МИ корр)'!$AJ$25:$BC$315,,MATCH(AQ$8,'Калькуляция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(МИ)'!$AJ$25:$BC$315,,MATCH(AQ$8,'Калькуляция (МИ)'!$AJ$8:$BC$8,0)),'Калькуляция (МИ)'!$F$25:$F$315,$F35,'Калькуляция (МИ)'!$G$25:$G$315,$G35))))</f>
        <v>0</v>
      </c>
      <c r="AR35" s="262">
        <f>IF(AP35=0,0,(AQ35-AP35)/AP35*100)</f>
        <v>0</v>
      </c>
      <c r="AS35" s="2898">
        <f>IF(AND(method_reg="Метод индексации",god&lt;&gt;first_year),_xlfn.SUMIFS(INDEX('Калькуляция (МИ корр)'!$AJ$25:$BC$315,,MATCH(AS$8,'Калькуляция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(МИ)'!$AJ$25:$BC$315,,MATCH(AS$8,'Калькуляция (МИ)'!$AJ$8:$BC$8,0)),'Калькуляция (МИ)'!$F$25:$F$315,$F35,'Калькуляция (МИ)'!$G$25:$G$315,$G35))))</f>
        <v>0</v>
      </c>
      <c r="AT35" s="2898">
        <f>IF(AND(method_reg="Метод индексации",god&lt;&gt;first_year),_xlfn.SUMIFS(INDEX('Калькуляция (МИ корр)'!$AJ$25:$BC$315,,MATCH(AT$8,'Калькуляция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(МИ)'!$AJ$25:$BC$315,,MATCH(AT$8,'Калькуляция (МИ)'!$AJ$8:$BC$8,0)),'Калькуляция (МИ)'!$F$25:$F$315,$F35,'Калькуляция (МИ)'!$G$25:$G$315,$G35))))</f>
        <v>0</v>
      </c>
      <c r="AU35" s="262">
        <f>IF(AS35=0,0,(AT35-AS35)/AS35*100)</f>
        <v>0</v>
      </c>
      <c r="AV35" s="2898">
        <f>IF(AND(method_reg="Метод индексации",god&lt;&gt;first_year),_xlfn.SUMIFS(INDEX('Калькуляция (МИ корр)'!$AJ$25:$BC$315,,MATCH(AV$8,'Калькуляция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(МИ)'!$AJ$25:$BC$315,,MATCH(AV$8,'Калькуляция (МИ)'!$AJ$8:$BC$8,0)),'Калькуляция (МИ)'!$F$25:$F$315,$F35,'Калькуляция (МИ)'!$G$25:$G$315,$G35))))</f>
        <v>0</v>
      </c>
      <c r="AW35" s="2898">
        <f>IF(AND(method_reg="Метод индексации",god&lt;&gt;first_year),_xlfn.SUMIFS(INDEX('Калькуляция (МИ корр)'!$AJ$25:$BC$315,,MATCH(AW$8,'Калькуляция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(МИ)'!$AJ$25:$BC$315,,MATCH(AW$8,'Калькуляция (МИ)'!$AJ$8:$BC$8,0)),'Калькуляция (МИ)'!$F$25:$F$315,$F35,'Калькуляция (МИ)'!$G$25:$G$315,$G35))))</f>
        <v>0</v>
      </c>
      <c r="AX35" s="262">
        <f>IF(AV35=0,0,(AW35-AV35)/AV35*100)</f>
        <v>0</v>
      </c>
      <c r="AY35" s="2898">
        <f>IF(AND(method_reg="Метод индексации",god&lt;&gt;first_year),_xlfn.SUMIFS(INDEX('Калькуляция (МИ корр)'!$AJ$25:$BC$315,,MATCH(AY$8,'Калькуляция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(МИ)'!$AJ$25:$BC$315,,MATCH(AY$8,'Калькуляция (МИ)'!$AJ$8:$BC$8,0)),'Калькуляция (МИ)'!$F$25:$F$315,$F35,'Калькуляция (МИ)'!$G$25:$G$315,$G35))))</f>
        <v>0</v>
      </c>
      <c r="AZ35" s="2898">
        <f>IF(AND(method_reg="Метод индексации",god&lt;&gt;first_year),_xlfn.SUMIFS(INDEX('Калькуляция (МИ корр)'!$AJ$25:$BC$315,,MATCH(AZ$8,'Калькуляция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(МИ)'!$AJ$25:$BC$315,,MATCH(AZ$8,'Калькуляция (МИ)'!$AJ$8:$BC$8,0)),'Калькуляция (МИ)'!$F$25:$F$315,$F35,'Калькуляция (МИ)'!$G$25:$G$315,$G35))))</f>
        <v>0</v>
      </c>
      <c r="BA35" s="262">
        <f>IF(AY35=0,0,(AZ35-AY35)/AY35*100)</f>
        <v>0</v>
      </c>
      <c r="BB35" s="2898">
        <f>IF(AND(method_reg="Метод индексации",god&lt;&gt;first_year),_xlfn.SUMIFS(INDEX('Калькуляция (МИ корр)'!$AJ$25:$BC$315,,MATCH(BB$8,'Калькуляция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(МИ)'!$AJ$25:$BC$315,,MATCH(BB$8,'Калькуляция (МИ)'!$AJ$8:$BC$8,0)),'Калькуляция (МИ)'!$F$25:$F$315,$F35,'Калькуляция (МИ)'!$G$25:$G$315,$G35))))</f>
        <v>0</v>
      </c>
      <c r="BC35" s="2898">
        <f>IF(AND(method_reg="Метод индексации",god&lt;&gt;first_year),_xlfn.SUMIFS(INDEX('Калькуляция (МИ корр)'!$AJ$25:$BC$315,,MATCH(BC$8,'Калькуляция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(МИ)'!$AJ$25:$BC$315,,MATCH(BC$8,'Калькуляция (МИ)'!$AJ$8:$BC$8,0)),'Калькуляция (МИ)'!$F$25:$F$315,$F35,'Калькуляция (МИ)'!$G$25:$G$315,$G35))))</f>
        <v>0</v>
      </c>
      <c r="BD35" s="262">
        <f>IF(BB35=0,0,(BC35-BB35)/BB35*100)</f>
        <v>0</v>
      </c>
      <c r="BE35" s="2898">
        <f>IF(AND(method_reg="Метод индексации",god&lt;&gt;first_year),_xlfn.SUMIFS(INDEX('Калькуляция (МИ корр)'!$AJ$25:$BC$315,,MATCH(BE$8,'Калькуляция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(МИ)'!$AJ$25:$BC$315,,MATCH(BE$8,'Калькуляция (МИ)'!$AJ$8:$BC$8,0)),'Калькуляция (МИ)'!$F$25:$F$315,$F35,'Калькуляция (МИ)'!$G$25:$G$315,$G35))))</f>
        <v>0</v>
      </c>
      <c r="BF35" s="2898">
        <f>IF(AND(method_reg="Метод индексации",god&lt;&gt;first_year),_xlfn.SUMIFS(INDEX('Калькуляция (МИ корр)'!$AJ$25:$BC$315,,MATCH(BF$8,'Калькуляция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(МИ)'!$AJ$25:$BC$315,,MATCH(BF$8,'Калькуляция (МИ)'!$AJ$8:$BC$8,0)),'Калькуляция (МИ)'!$F$25:$F$315,$F35,'Калькуляция (МИ)'!$G$25:$G$315,$G35))))</f>
        <v>0</v>
      </c>
      <c r="BG35" s="262">
        <f>IF(BE35=0,0,(BF35-BE35)/BE35*100)</f>
        <v>0</v>
      </c>
      <c r="BH35" s="2898"/>
      <c r="BI35" s="2898"/>
      <c r="BJ35" s="262">
        <f>IF(BH35=0,0,(BI35-BH35)/BH35*100)</f>
        <v>0</v>
      </c>
      <c r="BK35" s="2898"/>
      <c r="BL35" s="2898"/>
      <c r="BM35" s="262">
        <f>IF(BK35=0,0,(BL35-BK35)/BK35*100)</f>
        <v>0</v>
      </c>
      <c r="BN35" s="2898"/>
      <c r="BO35" s="2898"/>
      <c r="BP35" s="262">
        <f>IF(BN35=0,0,(BO35-BN35)/BN35*100)</f>
        <v>0</v>
      </c>
      <c r="BQ35" s="2898"/>
      <c r="BR35" s="2898"/>
      <c r="BS35" s="262">
        <f>IF(BQ35=0,0,(BR35-BQ35)/BQ35*100)</f>
        <v>0</v>
      </c>
      <c r="BT35" s="2898"/>
      <c r="BU35" s="2898"/>
      <c r="BV35" s="262">
        <f>IF(BT35=0,0,(BU35-BT35)/BT35*100)</f>
        <v>0</v>
      </c>
      <c r="BW35" s="2898"/>
      <c r="BX35" s="2898"/>
      <c r="BY35" s="262">
        <f>IF(BW35=0,0,(BX35-BW35)/BW35*100)</f>
        <v>0</v>
      </c>
      <c r="BZ35" s="2898"/>
      <c r="CA35" s="2898"/>
      <c r="CB35" s="262">
        <f>IF(BZ35=0,0,(CA35-BZ35)/BZ35*100)</f>
        <v>0</v>
      </c>
      <c r="CC35" s="2898"/>
      <c r="CD35" s="2898"/>
      <c r="CE35" s="262">
        <f>IF(CC35=0,0,(CD35-CC35)/CC35*100)</f>
        <v>0</v>
      </c>
      <c r="CF35" s="2898"/>
      <c r="CG35" s="2898"/>
      <c r="CH35" s="262">
        <f>IF(CF35=0,0,(CG35-CF35)/CF35*100)</f>
        <v>0</v>
      </c>
      <c r="CI35" s="2898"/>
      <c r="CJ35" s="2898"/>
      <c r="CK35" s="262">
        <f>IF(CI35=0,0,(CJ35-CI35)/CI35*100)</f>
        <v>0</v>
      </c>
      <c r="CL35" s="2898"/>
      <c r="CM35" s="2898"/>
      <c r="CN35" s="262">
        <f>IF(CL35=0,0,(CM35-CL35)/CL35*100)</f>
        <v>0</v>
      </c>
      <c r="CO35" s="2898"/>
      <c r="CP35" s="2898"/>
      <c r="CQ35" s="262">
        <f>IF(CO35=0,0,(CP35-CO35)/CO35*100)</f>
        <v>0</v>
      </c>
      <c r="CR35" s="2898"/>
      <c r="CS35" s="2898"/>
      <c r="CT35" s="262">
        <f>IF(CR35=0,0,(CS35-CR35)/CR35*100)</f>
        <v>0</v>
      </c>
      <c r="CU35" s="2898"/>
      <c r="CV35" s="2898"/>
      <c r="CW35" s="262">
        <f>IF(CU35=0,0,(CV35-CU35)/CU35*100)</f>
        <v>0</v>
      </c>
      <c r="CX35" s="2898"/>
      <c r="CY35" s="2898"/>
      <c r="CZ35" s="262">
        <f>IF(CX35=0,0,(CY35-CX35)/CX35*100)</f>
        <v>0</v>
      </c>
      <c r="DA35" s="2898"/>
      <c r="DB35" s="2898"/>
      <c r="DC35" s="262">
        <f>IF(DA35=0,0,(DB35-DA35)/DA35*100)</f>
        <v>0</v>
      </c>
      <c r="DD35" s="2898"/>
      <c r="DE35" s="2898"/>
      <c r="DF35" s="262">
        <f>IF(DD35=0,0,(DE35-DD35)/DD35*100)</f>
        <v>0</v>
      </c>
      <c r="DG35" s="2900"/>
      <c r="DH35" s="2900"/>
      <c r="DI35" s="262">
        <f>IF(DG35=0,0,(DH35-DG35)/DG35*100)</f>
        <v>0</v>
      </c>
      <c r="DJ35" s="2900"/>
      <c r="DK35" s="2900"/>
      <c r="DL35" s="262">
        <f>IF(DJ35=0,0,(DK35-DJ35)/DJ35*100)</f>
        <v>0</v>
      </c>
      <c r="DM35" s="2900"/>
      <c r="DN35" s="2900"/>
      <c r="DO35" s="262">
        <f>IF(DM35=0,0,(DN35-DM35)/DM35*100)</f>
        <v>0</v>
      </c>
      <c r="DP35" s="2900"/>
      <c r="DQ35" s="2900"/>
      <c r="DR35" s="262">
        <f>IF(DP35=0,0,(DQ35-DP35)/DP35*100)</f>
        <v>0</v>
      </c>
      <c r="DS35" s="2900"/>
      <c r="DT35" s="2900"/>
      <c r="DU35" s="262">
        <f>IF(DS35=0,0,(DT35-DS35)/DS35*100)</f>
        <v>0</v>
      </c>
      <c r="DV35" s="2900"/>
      <c r="DW35" s="2900"/>
      <c r="DX35" s="262">
        <f>IF(DV35=0,0,(DW35-DV35)/DV35*100)</f>
        <v>0</v>
      </c>
      <c r="DY35" s="2900"/>
      <c r="DZ35" s="2900"/>
      <c r="EA35" s="262">
        <f>IF(DY35=0,0,(DZ35-DY35)/DY35*100)</f>
        <v>0</v>
      </c>
      <c r="EB35" s="2900"/>
      <c r="EC35" s="2900"/>
      <c r="ED35" s="262">
        <f>IF(EB35=0,0,(EC35-EB35)/EB35*100)</f>
        <v>0</v>
      </c>
      <c r="EE35" s="2900"/>
      <c r="EF35" s="2900"/>
      <c r="EG35" s="262">
        <f>IF(EE35=0,0,(EF35-EE35)/EE35*100)</f>
        <v>0</v>
      </c>
      <c r="EH35" s="2900"/>
      <c r="EI35" s="2900"/>
      <c r="EJ35" s="262">
        <f>IF(EH35=0,0,(EI35-EH35)/EH35*100)</f>
        <v>0</v>
      </c>
      <c r="EK35" s="2900"/>
      <c r="EL35" s="2900"/>
      <c r="EM35" s="262">
        <f>IF(EK35=0,0,(EL35-EK35)/EK35*100)</f>
        <v>0</v>
      </c>
      <c r="EN35" s="2900"/>
      <c r="EO35" s="2900"/>
      <c r="EP35" s="262">
        <f>IF(EN35=0,0,(EO35-EN35)/EN35*100)</f>
        <v>0</v>
      </c>
      <c r="EQ35" s="2900"/>
      <c r="ER35" s="2900"/>
      <c r="ES35" s="262">
        <f>IF(EQ35=0,0,(ER35-EQ35)/EQ35*100)</f>
        <v>0</v>
      </c>
      <c r="ET35" s="2900"/>
      <c r="EU35" s="2900"/>
      <c r="EV35" s="262">
        <f>IF(ET35=0,0,(EU35-ET35)/ET35*100)</f>
        <v>0</v>
      </c>
      <c r="EW35" s="2900"/>
      <c r="EX35" s="2900"/>
      <c r="EY35" s="262">
        <f>IF(EW35=0,0,(EX35-EW35)/EW35*100)</f>
        <v>0</v>
      </c>
      <c r="EZ35" s="2900"/>
      <c r="FA35" s="2900"/>
      <c r="FB35" s="262">
        <f>IF(EZ35=0,0,(FA35-EZ35)/EZ35*100)</f>
        <v>0</v>
      </c>
      <c r="FC35" s="2900"/>
      <c r="FD35" s="2900"/>
      <c r="FE35" s="262">
        <f>IF(FC35=0,0,(FD35-FC35)/FC35*100)</f>
        <v>0</v>
      </c>
      <c r="FF35" s="2900"/>
      <c r="FG35" s="2900"/>
      <c r="FH35" s="262">
        <f>IF(FF35=0,0,(FG35-FF35)/FF35*100)</f>
        <v>0</v>
      </c>
      <c r="FI35" s="2900"/>
      <c r="FJ35" s="2900"/>
      <c r="FK35" s="262">
        <f>IF(FI35=0,0,(FJ35-FI35)/FI35*100)</f>
        <v>0</v>
      </c>
      <c r="FL35" s="2900"/>
      <c r="FM35" s="2900"/>
      <c r="FN35" s="262">
        <f>IF(FL35=0,0,(FM35-FL35)/FL35*100)</f>
        <v>0</v>
      </c>
      <c r="FO35" s="2900"/>
      <c r="FP35" s="2900"/>
      <c r="FQ35" s="262">
        <f>IF(FO35=0,0,(FP35-FO35)/FO35*100)</f>
        <v>0</v>
      </c>
      <c r="FR35" s="2900"/>
      <c r="FS35" s="2900"/>
      <c r="FT35" s="262">
        <f>IF(FR35=0,0,(FS35-FR35)/FR35*100)</f>
        <v>0</v>
      </c>
      <c r="FU35" s="2900"/>
      <c r="FV35" s="2900"/>
      <c r="FW35" s="262">
        <f>IF(FU35=0,0,(FV35-FU35)/FU35*100)</f>
        <v>0</v>
      </c>
      <c r="FX35" s="258"/>
      <c r="FY35" s="258"/>
      <c r="FZ35" s="1032" t="s">
        <v>1481</v>
      </c>
      <c r="GA35" s="1032"/>
      <c r="GB35" s="1032"/>
      <c r="GC35" s="1033"/>
      <c r="GD35" s="1033"/>
    </row>
    <row customHeight="1" ht="14.625" hidden="1">
      <c r="A36" s="466"/>
      <c r="B36" s="901" cm="1" t="str">
        <f t="array" ref="B36:B36">B35</f>
        <v>false</v>
      </c>
      <c r="C36" s="466"/>
      <c r="D36" s="466"/>
      <c r="E36" s="816">
        <v>15</v>
      </c>
      <c r="F36" s="50" cm="1" t="str">
        <f t="array" ref="F36:F36">OFFSET(E36,-1,1)</f>
        <v>0</v>
      </c>
      <c r="G36" s="466"/>
      <c r="H36" s="466" t="s">
        <v>438</v>
      </c>
      <c r="I36" s="466" t="s">
        <v>1482</v>
      </c>
      <c r="J36" s="466"/>
      <c r="K36" s="466"/>
      <c r="L36" s="466"/>
      <c r="M36" s="466"/>
      <c r="N36" s="466"/>
      <c r="O36" s="466"/>
      <c r="P36" s="466"/>
      <c r="Q36" s="466"/>
      <c r="R36" s="466"/>
      <c r="S36" s="466"/>
      <c r="T36" s="438" cm="1" t="str">
        <f t="array" ref="T36:T36">T35</f>
        <v>false</v>
      </c>
      <c r="U36" s="466"/>
      <c r="V36" s="466"/>
      <c r="W36" s="466"/>
      <c r="X36" s="1541"/>
      <c r="Y36" s="466"/>
      <c r="Z36" s="1493"/>
      <c r="AA36" s="466"/>
      <c r="AB36" s="1067" t="s">
        <v>1483</v>
      </c>
      <c r="AC36" s="840" t="s">
        <v>430</v>
      </c>
      <c r="AD36" s="1070">
        <f>IF(AD34=0,0,AD35/AD34)*100</f>
        <v>0</v>
      </c>
      <c r="AE36" s="1070">
        <f>IF(AE34=0,0,AE35/AE34)*100</f>
        <v>0</v>
      </c>
      <c r="AF36" s="1071"/>
      <c r="AG36" s="1070">
        <f>IF(AG34=0,0,AG35/AG34)*100</f>
        <v>0</v>
      </c>
      <c r="AH36" s="1070">
        <f>IF(AH34=0,0,AH35/AH34)*100</f>
        <v>0</v>
      </c>
      <c r="AI36" s="1071"/>
      <c r="AJ36" s="1070">
        <f>IF(AJ34=0,0,AJ35/AJ34)*100</f>
        <v>0</v>
      </c>
      <c r="AK36" s="1070">
        <f>IF(AK34=0,0,AK35/AK34)*100</f>
        <v>0</v>
      </c>
      <c r="AL36" s="1071"/>
      <c r="AM36" s="1070">
        <f>IF(AM34=0,0,AM35/AM34)*100</f>
        <v>0</v>
      </c>
      <c r="AN36" s="1070">
        <f>IF(AN34=0,0,AN35/AN34)*100</f>
        <v>0</v>
      </c>
      <c r="AO36" s="1071"/>
      <c r="AP36" s="1070">
        <f>IF(AP34=0,0,AP35/AP34)*100</f>
        <v>0</v>
      </c>
      <c r="AQ36" s="1070">
        <f>IF(AQ34=0,0,AQ35/AQ34)*100</f>
        <v>0</v>
      </c>
      <c r="AR36" s="1071"/>
      <c r="AS36" s="1070">
        <f>IF(AS34=0,0,AS35/AS34)*100</f>
        <v>0</v>
      </c>
      <c r="AT36" s="1070">
        <f>IF(AT34=0,0,AT35/AT34)*100</f>
        <v>0</v>
      </c>
      <c r="AU36" s="1071"/>
      <c r="AV36" s="1070">
        <f>IF(AV34=0,0,AV35/AV34)*100</f>
        <v>0</v>
      </c>
      <c r="AW36" s="1070">
        <f>IF(AW34=0,0,AW35/AW34)*100</f>
        <v>0</v>
      </c>
      <c r="AX36" s="1071"/>
      <c r="AY36" s="1070">
        <f>IF(AY34=0,0,AY35/AY34)*100</f>
        <v>0</v>
      </c>
      <c r="AZ36" s="1070">
        <f>IF(AZ34=0,0,AZ35/AZ34)*100</f>
        <v>0</v>
      </c>
      <c r="BA36" s="1071"/>
      <c r="BB36" s="1070">
        <f>IF(BB34=0,0,BB35/BB34)*100</f>
        <v>0</v>
      </c>
      <c r="BC36" s="1070">
        <f>IF(BC34=0,0,BC35/BC34)*100</f>
        <v>0</v>
      </c>
      <c r="BD36" s="1071"/>
      <c r="BE36" s="1070">
        <f>IF(BE34=0,0,BE35/BE34)*100</f>
        <v>0</v>
      </c>
      <c r="BF36" s="1070">
        <f>IF(BF34=0,0,BF35/BF34)*100</f>
        <v>0</v>
      </c>
      <c r="BG36" s="1071"/>
      <c r="BH36" s="1070">
        <f>IF(BH34=0,0,BH35/BH34)*100</f>
        <v>0</v>
      </c>
      <c r="BI36" s="1070">
        <f>IF(BI34=0,0,BI35/BI34)*100</f>
        <v>0</v>
      </c>
      <c r="BJ36" s="1071"/>
      <c r="BK36" s="1070">
        <f>IF(BK34=0,0,BK35/BK34)*100</f>
        <v>0</v>
      </c>
      <c r="BL36" s="1070">
        <f>IF(BL34=0,0,BL35/BL34)*100</f>
        <v>0</v>
      </c>
      <c r="BM36" s="1071"/>
      <c r="BN36" s="1070">
        <f>IF(BN34=0,0,BN35/BN34)*100</f>
        <v>0</v>
      </c>
      <c r="BO36" s="1070">
        <f>IF(BO34=0,0,BO35/BO34)*100</f>
        <v>0</v>
      </c>
      <c r="BP36" s="1071"/>
      <c r="BQ36" s="1070">
        <f>IF(BQ34=0,0,BQ35/BQ34)*100</f>
        <v>0</v>
      </c>
      <c r="BR36" s="1070">
        <f>IF(BR34=0,0,BR35/BR34)*100</f>
        <v>0</v>
      </c>
      <c r="BS36" s="1071"/>
      <c r="BT36" s="1070">
        <f>IF(BT34=0,0,BT35/BT34)*100</f>
        <v>0</v>
      </c>
      <c r="BU36" s="1070">
        <f>IF(BU34=0,0,BU35/BU34)*100</f>
        <v>0</v>
      </c>
      <c r="BV36" s="1071"/>
      <c r="BW36" s="1070">
        <f>IF(BW34=0,0,BW35/BW34)*100</f>
        <v>0</v>
      </c>
      <c r="BX36" s="1070">
        <f>IF(BX34=0,0,BX35/BX34)*100</f>
        <v>0</v>
      </c>
      <c r="BY36" s="1071"/>
      <c r="BZ36" s="1070">
        <f>IF(BZ34=0,0,BZ35/BZ34)*100</f>
        <v>0</v>
      </c>
      <c r="CA36" s="1070">
        <f>IF(CA34=0,0,CA35/CA34)*100</f>
        <v>0</v>
      </c>
      <c r="CB36" s="1071"/>
      <c r="CC36" s="1070">
        <f>IF(CC34=0,0,CC35/CC34)*100</f>
        <v>0</v>
      </c>
      <c r="CD36" s="1070">
        <f>IF(CD34=0,0,CD35/CD34)*100</f>
        <v>0</v>
      </c>
      <c r="CE36" s="1071"/>
      <c r="CF36" s="1070">
        <f>IF(CF34=0,0,CF35/CF34)*100</f>
        <v>0</v>
      </c>
      <c r="CG36" s="1070">
        <f>IF(CG34=0,0,CG35/CG34)*100</f>
        <v>0</v>
      </c>
      <c r="CH36" s="1071"/>
      <c r="CI36" s="1070">
        <f>IF(CI34=0,0,CI35/CI34)*100</f>
        <v>0</v>
      </c>
      <c r="CJ36" s="1070">
        <f>IF(CJ34=0,0,CJ35/CJ34)*100</f>
        <v>0</v>
      </c>
      <c r="CK36" s="1071"/>
      <c r="CL36" s="1070">
        <f>IF(CL34=0,0,CL35/CL34)*100</f>
        <v>0</v>
      </c>
      <c r="CM36" s="1070">
        <f>IF(CM34=0,0,CM35/CM34)*100</f>
        <v>0</v>
      </c>
      <c r="CN36" s="1071"/>
      <c r="CO36" s="1070">
        <f>IF(CO34=0,0,CO35/CO34)*100</f>
        <v>0</v>
      </c>
      <c r="CP36" s="1070">
        <f>IF(CP34=0,0,CP35/CP34)*100</f>
        <v>0</v>
      </c>
      <c r="CQ36" s="1071"/>
      <c r="CR36" s="1070">
        <f>IF(CR34=0,0,CR35/CR34)*100</f>
        <v>0</v>
      </c>
      <c r="CS36" s="1070">
        <f>IF(CS34=0,0,CS35/CS34)*100</f>
        <v>0</v>
      </c>
      <c r="CT36" s="1071"/>
      <c r="CU36" s="1070">
        <f>IF(CU34=0,0,CU35/CU34)*100</f>
        <v>0</v>
      </c>
      <c r="CV36" s="1070">
        <f>IF(CV34=0,0,CV35/CV34)*100</f>
        <v>0</v>
      </c>
      <c r="CW36" s="1071"/>
      <c r="CX36" s="1070">
        <f>IF(CX34=0,0,CX35/CX34)*100</f>
        <v>0</v>
      </c>
      <c r="CY36" s="1070">
        <f>IF(CY34=0,0,CY35/CY34)*100</f>
        <v>0</v>
      </c>
      <c r="CZ36" s="1071"/>
      <c r="DA36" s="1070">
        <f>IF(DA34=0,0,DA35/DA34)*100</f>
        <v>0</v>
      </c>
      <c r="DB36" s="1070">
        <f>IF(DB34=0,0,DB35/DB34)*100</f>
        <v>0</v>
      </c>
      <c r="DC36" s="1071"/>
      <c r="DD36" s="1070">
        <f>IF(DD34=0,0,DD35/DD34)*100</f>
        <v>0</v>
      </c>
      <c r="DE36" s="1070">
        <f>IF(DE34=0,0,DE35/DE34)*100</f>
        <v>0</v>
      </c>
      <c r="DF36" s="1071"/>
      <c r="DG36" s="1070">
        <f>IF(DG34=0,0,DG35/DG34)*100</f>
        <v>0</v>
      </c>
      <c r="DH36" s="1070">
        <f>IF(DH34=0,0,DH35/DH34)*100</f>
        <v>0</v>
      </c>
      <c r="DI36" s="1071"/>
      <c r="DJ36" s="1070">
        <f>IF(DJ34=0,0,DJ35/DJ34)*100</f>
        <v>0</v>
      </c>
      <c r="DK36" s="1070">
        <f>IF(DK34=0,0,DK35/DK34)*100</f>
        <v>0</v>
      </c>
      <c r="DL36" s="1071"/>
      <c r="DM36" s="1070">
        <f>IF(DM34=0,0,DM35/DM34)*100</f>
        <v>0</v>
      </c>
      <c r="DN36" s="1070">
        <f>IF(DN34=0,0,DN35/DN34)*100</f>
        <v>0</v>
      </c>
      <c r="DO36" s="1071"/>
      <c r="DP36" s="1070">
        <f>IF(DP34=0,0,DP35/DP34)*100</f>
        <v>0</v>
      </c>
      <c r="DQ36" s="1070">
        <f>IF(DQ34=0,0,DQ35/DQ34)*100</f>
        <v>0</v>
      </c>
      <c r="DR36" s="1071"/>
      <c r="DS36" s="1070">
        <f>IF(DS34=0,0,DS35/DS34)*100</f>
        <v>0</v>
      </c>
      <c r="DT36" s="1070">
        <f>IF(DT34=0,0,DT35/DT34)*100</f>
        <v>0</v>
      </c>
      <c r="DU36" s="1071"/>
      <c r="DV36" s="1070">
        <f>IF(DV34=0,0,DV35/DV34)*100</f>
        <v>0</v>
      </c>
      <c r="DW36" s="1070">
        <f>IF(DW34=0,0,DW35/DW34)*100</f>
        <v>0</v>
      </c>
      <c r="DX36" s="1071"/>
      <c r="DY36" s="1070">
        <f>IF(DY34=0,0,DY35/DY34)*100</f>
        <v>0</v>
      </c>
      <c r="DZ36" s="1070">
        <f>IF(DZ34=0,0,DZ35/DZ34)*100</f>
        <v>0</v>
      </c>
      <c r="EA36" s="1071"/>
      <c r="EB36" s="1070">
        <f>IF(EB34=0,0,EB35/EB34)*100</f>
        <v>0</v>
      </c>
      <c r="EC36" s="1070">
        <f>IF(EC34=0,0,EC35/EC34)*100</f>
        <v>0</v>
      </c>
      <c r="ED36" s="1071"/>
      <c r="EE36" s="1070">
        <f>IF(EE34=0,0,EE35/EE34)*100</f>
        <v>0</v>
      </c>
      <c r="EF36" s="1070">
        <f>IF(EF34=0,0,EF35/EF34)*100</f>
        <v>0</v>
      </c>
      <c r="EG36" s="1071"/>
      <c r="EH36" s="1070">
        <f>IF(EH34=0,0,EH35/EH34)*100</f>
        <v>0</v>
      </c>
      <c r="EI36" s="1070">
        <f>IF(EI34=0,0,EI35/EI34)*100</f>
        <v>0</v>
      </c>
      <c r="EJ36" s="1071"/>
      <c r="EK36" s="1070">
        <f>IF(EK34=0,0,EK35/EK34)*100</f>
        <v>0</v>
      </c>
      <c r="EL36" s="1070">
        <f>IF(EL34=0,0,EL35/EL34)*100</f>
        <v>0</v>
      </c>
      <c r="EM36" s="1071"/>
      <c r="EN36" s="1070">
        <f>IF(EN34=0,0,EN35/EN34)*100</f>
        <v>0</v>
      </c>
      <c r="EO36" s="1070">
        <f>IF(EO34=0,0,EO35/EO34)*100</f>
        <v>0</v>
      </c>
      <c r="EP36" s="1071"/>
      <c r="EQ36" s="1070">
        <f>IF(EQ34=0,0,EQ35/EQ34)*100</f>
        <v>0</v>
      </c>
      <c r="ER36" s="1070">
        <f>IF(ER34=0,0,ER35/ER34)*100</f>
        <v>0</v>
      </c>
      <c r="ES36" s="1071"/>
      <c r="ET36" s="1070">
        <f>IF(ET34=0,0,ET35/ET34)*100</f>
        <v>0</v>
      </c>
      <c r="EU36" s="1070">
        <f>IF(EU34=0,0,EU35/EU34)*100</f>
        <v>0</v>
      </c>
      <c r="EV36" s="1071"/>
      <c r="EW36" s="1070">
        <f>IF(EW34=0,0,EW35/EW34)*100</f>
        <v>0</v>
      </c>
      <c r="EX36" s="1070">
        <f>IF(EX34=0,0,EX35/EX34)*100</f>
        <v>0</v>
      </c>
      <c r="EY36" s="1071"/>
      <c r="EZ36" s="1070">
        <f>IF(EZ34=0,0,EZ35/EZ34)*100</f>
        <v>0</v>
      </c>
      <c r="FA36" s="1070">
        <f>IF(FA34=0,0,FA35/FA34)*100</f>
        <v>0</v>
      </c>
      <c r="FB36" s="1071"/>
      <c r="FC36" s="1070">
        <f>IF(FC34=0,0,FC35/FC34)*100</f>
        <v>0</v>
      </c>
      <c r="FD36" s="1070">
        <f>IF(FD34=0,0,FD35/FD34)*100</f>
        <v>0</v>
      </c>
      <c r="FE36" s="1071"/>
      <c r="FF36" s="1070">
        <f>IF(FF34=0,0,FF35/FF34)*100</f>
        <v>0</v>
      </c>
      <c r="FG36" s="1070">
        <f>IF(FG34=0,0,FG35/FG34)*100</f>
        <v>0</v>
      </c>
      <c r="FH36" s="1071"/>
      <c r="FI36" s="1070">
        <f>IF(FI34=0,0,FI35/FI34)*100</f>
        <v>0</v>
      </c>
      <c r="FJ36" s="1070">
        <f>IF(FJ34=0,0,FJ35/FJ34)*100</f>
        <v>0</v>
      </c>
      <c r="FK36" s="1071"/>
      <c r="FL36" s="1070">
        <f>IF(FL34=0,0,FL35/FL34)*100</f>
        <v>0</v>
      </c>
      <c r="FM36" s="1070">
        <f>IF(FM34=0,0,FM35/FM34)*100</f>
        <v>0</v>
      </c>
      <c r="FN36" s="1071"/>
      <c r="FO36" s="1070">
        <f>IF(FO34=0,0,FO35/FO34)*100</f>
        <v>0</v>
      </c>
      <c r="FP36" s="1070">
        <f>IF(FP34=0,0,FP35/FP34)*100</f>
        <v>0</v>
      </c>
      <c r="FQ36" s="1071"/>
      <c r="FR36" s="1070">
        <f>IF(FR34=0,0,FR35/FR34)*100</f>
        <v>0</v>
      </c>
      <c r="FS36" s="1070">
        <f>IF(FS34=0,0,FS35/FS34)*100</f>
        <v>0</v>
      </c>
      <c r="FT36" s="1071"/>
      <c r="FU36" s="1070">
        <f>IF(FU34=0,0,FU35/FU34)*100</f>
        <v>0</v>
      </c>
      <c r="FV36" s="1070">
        <f>IF(FV34=0,0,FV35/FV34)*100</f>
        <v>0</v>
      </c>
      <c r="FW36" s="1071"/>
      <c r="FX36" s="258"/>
      <c r="FY36" s="1282"/>
      <c r="FZ36" s="1032" t="s">
        <v>1484</v>
      </c>
      <c r="GA36" s="1284"/>
      <c r="GB36" s="1284"/>
      <c r="GC36" s="1283"/>
      <c r="GD36" s="1283"/>
    </row>
    <row customHeight="1" ht="14.625" hidden="1">
      <c r="A37" s="466"/>
      <c r="B37" s="901" cm="1" t="str">
        <f t="array" ref="B37:B37">B36</f>
        <v>false</v>
      </c>
      <c r="C37" s="466"/>
      <c r="D37" s="466"/>
      <c r="E37" s="816">
        <v>15</v>
      </c>
      <c r="F37" s="50" cm="1" t="str">
        <f t="array" ref="F37:F37">OFFSET(E37,-1,1)</f>
        <v>0</v>
      </c>
      <c r="G37" s="73" t="s">
        <v>1485</v>
      </c>
      <c r="H37" s="466" t="s">
        <v>441</v>
      </c>
      <c r="I37" s="466" t="s">
        <v>1482</v>
      </c>
      <c r="J37" s="466"/>
      <c r="K37" s="466"/>
      <c r="L37" s="466"/>
      <c r="M37" s="466"/>
      <c r="N37" s="466"/>
      <c r="O37" s="466"/>
      <c r="P37" s="466"/>
      <c r="Q37" s="466"/>
      <c r="R37" s="466"/>
      <c r="S37" s="466"/>
      <c r="T37" s="438" cm="1" t="str">
        <f t="array" ref="T37:T37">T36</f>
        <v>false</v>
      </c>
      <c r="U37" s="466"/>
      <c r="V37" s="466"/>
      <c r="W37" s="466"/>
      <c r="X37" s="1541"/>
      <c r="Y37" s="466"/>
      <c r="Z37" s="1493"/>
      <c r="AA37" s="466"/>
      <c r="AB37" s="1067" t="s">
        <v>1486</v>
      </c>
      <c r="AC37" s="840" t="s">
        <v>506</v>
      </c>
      <c r="AD37" s="2907">
        <f>IF(AND(method_reg="Метод индексации",god&lt;&gt;first_year),_xlfn.SUMIFS(INDEX('Калькуляция (МИ корр)'!$AJ$25:$BC$315,,MATCH(AD$8,'Калькуляция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(МИ)'!$AJ$25:$BC$315,,MATCH(AD$8,'Калькуляция (МИ)'!$AJ$8:$BC$8,0)),'Калькуляция (МИ)'!$F$25:$F$315,$F37,'Калькуляция (МИ)'!$G$25:$G$315,$G37))))</f>
        <v>0</v>
      </c>
      <c r="AE37" s="2907">
        <f>IF(AND(method_reg="Метод индексации",god&lt;&gt;first_year),_xlfn.SUMIFS(INDEX('Калькуляция (МИ корр)'!$AJ$25:$BC$315,,MATCH(AE$8,'Калькуляция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(МИ)'!$AJ$25:$BC$315,,MATCH(AE$8,'Калькуляция (МИ)'!$AJ$8:$BC$8,0)),'Калькуляция (МИ)'!$F$25:$F$315,$F37,'Калькуляция (МИ)'!$G$25:$G$315,$G37))))</f>
        <v>0</v>
      </c>
      <c r="AF37" s="1073">
        <f>IF(AD37=0,0,(AE37-AD37)/AD37*100)</f>
        <v>0</v>
      </c>
      <c r="AG37" s="2907">
        <f>IF(AND(method_reg="Метод индексации",god&lt;&gt;first_year),_xlfn.SUMIFS(INDEX('Калькуляция (МИ корр)'!$AJ$25:$BC$315,,MATCH(AG$8,'Калькуляция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(МИ)'!$AJ$25:$BC$315,,MATCH(AG$8,'Калькуляция (МИ)'!$AJ$8:$BC$8,0)),'Калькуляция (МИ)'!$F$25:$F$315,$F37,'Калькуляция (МИ)'!$G$25:$G$315,$G37))))</f>
        <v>0</v>
      </c>
      <c r="AH37" s="2907">
        <f>IF(AND(method_reg="Метод индексации",god&lt;&gt;first_year),_xlfn.SUMIFS(INDEX('Калькуляция (МИ корр)'!$AJ$25:$BC$315,,MATCH(AH$8,'Калькуляция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(МИ)'!$AJ$25:$BC$315,,MATCH(AH$8,'Калькуляция (МИ)'!$AJ$8:$BC$8,0)),'Калькуляция (МИ)'!$F$25:$F$315,$F37,'Калькуляция (МИ)'!$G$25:$G$315,$G37))))</f>
        <v>0</v>
      </c>
      <c r="AI37" s="1073">
        <f>IF(AG37=0,0,(AH37-AG37)/AG37*100)</f>
        <v>0</v>
      </c>
      <c r="AJ37" s="2907">
        <f>IF(AND(method_reg="Метод индексации",god&lt;&gt;first_year),_xlfn.SUMIFS(INDEX('Калькуляция (МИ корр)'!$AJ$25:$BC$315,,MATCH(AJ$8,'Калькуляция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(МИ)'!$AJ$25:$BC$315,,MATCH(AJ$8,'Калькуляция (МИ)'!$AJ$8:$BC$8,0)),'Калькуляция (МИ)'!$F$25:$F$315,$F37,'Калькуляция (МИ)'!$G$25:$G$315,$G37))))</f>
        <v>0</v>
      </c>
      <c r="AK37" s="2907">
        <f>IF(AND(method_reg="Метод индексации",god&lt;&gt;first_year),_xlfn.SUMIFS(INDEX('Калькуляция (МИ корр)'!$AJ$25:$BC$315,,MATCH(AK$8,'Калькуляция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(МИ)'!$AJ$25:$BC$315,,MATCH(AK$8,'Калькуляция (МИ)'!$AJ$8:$BC$8,0)),'Калькуляция (МИ)'!$F$25:$F$315,$F37,'Калькуляция (МИ)'!$G$25:$G$315,$G37))))</f>
        <v>0</v>
      </c>
      <c r="AL37" s="1073">
        <f>IF(AJ37=0,0,(AK37-AJ37)/AJ37*100)</f>
        <v>0</v>
      </c>
      <c r="AM37" s="2907">
        <f>IF(AND(method_reg="Метод индексации",god&lt;&gt;first_year),_xlfn.SUMIFS(INDEX('Калькуляция (МИ корр)'!$AJ$25:$BC$315,,MATCH(AM$8,'Калькуляция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(МИ)'!$AJ$25:$BC$315,,MATCH(AM$8,'Калькуляция (МИ)'!$AJ$8:$BC$8,0)),'Калькуляция (МИ)'!$F$25:$F$315,$F37,'Калькуляция (МИ)'!$G$25:$G$315,$G37))))</f>
        <v>0</v>
      </c>
      <c r="AN37" s="2907">
        <f>IF(AND(method_reg="Метод индексации",god&lt;&gt;first_year),_xlfn.SUMIFS(INDEX('Калькуляция (МИ корр)'!$AJ$25:$BC$315,,MATCH(AN$8,'Калькуляция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(МИ)'!$AJ$25:$BC$315,,MATCH(AN$8,'Калькуляция (МИ)'!$AJ$8:$BC$8,0)),'Калькуляция (МИ)'!$F$25:$F$315,$F37,'Калькуляция (МИ)'!$G$25:$G$315,$G37))))</f>
        <v>0</v>
      </c>
      <c r="AO37" s="1073">
        <f>IF(AM37=0,0,(AN37-AM37)/AM37*100)</f>
        <v>0</v>
      </c>
      <c r="AP37" s="2907">
        <f>IF(AND(method_reg="Метод индексации",god&lt;&gt;first_year),_xlfn.SUMIFS(INDEX('Калькуляция (МИ корр)'!$AJ$25:$BC$315,,MATCH(AP$8,'Калькуляция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(МИ)'!$AJ$25:$BC$315,,MATCH(AP$8,'Калькуляция (МИ)'!$AJ$8:$BC$8,0)),'Калькуляция (МИ)'!$F$25:$F$315,$F37,'Калькуляция (МИ)'!$G$25:$G$315,$G37))))</f>
        <v>0</v>
      </c>
      <c r="AQ37" s="2907">
        <f>IF(AND(method_reg="Метод индексации",god&lt;&gt;first_year),_xlfn.SUMIFS(INDEX('Калькуляция (МИ корр)'!$AJ$25:$BC$315,,MATCH(AQ$8,'Калькуляция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(МИ)'!$AJ$25:$BC$315,,MATCH(AQ$8,'Калькуляция (МИ)'!$AJ$8:$BC$8,0)),'Калькуляция (МИ)'!$F$25:$F$315,$F37,'Калькуляция (МИ)'!$G$25:$G$315,$G37))))</f>
        <v>0</v>
      </c>
      <c r="AR37" s="1073">
        <f>IF(AP37=0,0,(AQ37-AP37)/AP37*100)</f>
        <v>0</v>
      </c>
      <c r="AS37" s="2907">
        <f>IF(AND(method_reg="Метод индексации",god&lt;&gt;first_year),_xlfn.SUMIFS(INDEX('Калькуляция (МИ корр)'!$AJ$25:$BC$315,,MATCH(AS$8,'Калькуляция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(МИ)'!$AJ$25:$BC$315,,MATCH(AS$8,'Калькуляция (МИ)'!$AJ$8:$BC$8,0)),'Калькуляция (МИ)'!$F$25:$F$315,$F37,'Калькуляция (МИ)'!$G$25:$G$315,$G37))))</f>
        <v>0</v>
      </c>
      <c r="AT37" s="2907">
        <f>IF(AND(method_reg="Метод индексации",god&lt;&gt;first_year),_xlfn.SUMIFS(INDEX('Калькуляция (МИ корр)'!$AJ$25:$BC$315,,MATCH(AT$8,'Калькуляция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(МИ)'!$AJ$25:$BC$315,,MATCH(AT$8,'Калькуляция (МИ)'!$AJ$8:$BC$8,0)),'Калькуляция (МИ)'!$F$25:$F$315,$F37,'Калькуляция (МИ)'!$G$25:$G$315,$G37))))</f>
        <v>0</v>
      </c>
      <c r="AU37" s="1073">
        <f>IF(AS37=0,0,(AT37-AS37)/AS37*100)</f>
        <v>0</v>
      </c>
      <c r="AV37" s="2907">
        <f>IF(AND(method_reg="Метод индексации",god&lt;&gt;first_year),_xlfn.SUMIFS(INDEX('Калькуляция (МИ корр)'!$AJ$25:$BC$315,,MATCH(AV$8,'Калькуляция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(МИ)'!$AJ$25:$BC$315,,MATCH(AV$8,'Калькуляция (МИ)'!$AJ$8:$BC$8,0)),'Калькуляция (МИ)'!$F$25:$F$315,$F37,'Калькуляция (МИ)'!$G$25:$G$315,$G37))))</f>
        <v>0</v>
      </c>
      <c r="AW37" s="2907">
        <f>IF(AND(method_reg="Метод индексации",god&lt;&gt;first_year),_xlfn.SUMIFS(INDEX('Калькуляция (МИ корр)'!$AJ$25:$BC$315,,MATCH(AW$8,'Калькуляция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(МИ)'!$AJ$25:$BC$315,,MATCH(AW$8,'Калькуляция (МИ)'!$AJ$8:$BC$8,0)),'Калькуляция (МИ)'!$F$25:$F$315,$F37,'Калькуляция (МИ)'!$G$25:$G$315,$G37))))</f>
        <v>0</v>
      </c>
      <c r="AX37" s="1073">
        <f>IF(AV37=0,0,(AW37-AV37)/AV37*100)</f>
        <v>0</v>
      </c>
      <c r="AY37" s="2907">
        <f>IF(AND(method_reg="Метод индексации",god&lt;&gt;first_year),_xlfn.SUMIFS(INDEX('Калькуляция (МИ корр)'!$AJ$25:$BC$315,,MATCH(AY$8,'Калькуляция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(МИ)'!$AJ$25:$BC$315,,MATCH(AY$8,'Калькуляция (МИ)'!$AJ$8:$BC$8,0)),'Калькуляция (МИ)'!$F$25:$F$315,$F37,'Калькуляция (МИ)'!$G$25:$G$315,$G37))))</f>
        <v>0</v>
      </c>
      <c r="AZ37" s="2907">
        <f>IF(AND(method_reg="Метод индексации",god&lt;&gt;first_year),_xlfn.SUMIFS(INDEX('Калькуляция (МИ корр)'!$AJ$25:$BC$315,,MATCH(AZ$8,'Калькуляция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(МИ)'!$AJ$25:$BC$315,,MATCH(AZ$8,'Калькуляция (МИ)'!$AJ$8:$BC$8,0)),'Калькуляция (МИ)'!$F$25:$F$315,$F37,'Калькуляция (МИ)'!$G$25:$G$315,$G37))))</f>
        <v>0</v>
      </c>
      <c r="BA37" s="1073">
        <f>IF(AY37=0,0,(AZ37-AY37)/AY37*100)</f>
        <v>0</v>
      </c>
      <c r="BB37" s="2907">
        <f>IF(AND(method_reg="Метод индексации",god&lt;&gt;first_year),_xlfn.SUMIFS(INDEX('Калькуляция (МИ корр)'!$AJ$25:$BC$315,,MATCH(BB$8,'Калькуляция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(МИ)'!$AJ$25:$BC$315,,MATCH(BB$8,'Калькуляция (МИ)'!$AJ$8:$BC$8,0)),'Калькуляция (МИ)'!$F$25:$F$315,$F37,'Калькуляция (МИ)'!$G$25:$G$315,$G37))))</f>
        <v>0</v>
      </c>
      <c r="BC37" s="2907">
        <f>IF(AND(method_reg="Метод индексации",god&lt;&gt;first_year),_xlfn.SUMIFS(INDEX('Калькуляция (МИ корр)'!$AJ$25:$BC$315,,MATCH(BC$8,'Калькуляция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(МИ)'!$AJ$25:$BC$315,,MATCH(BC$8,'Калькуляция (МИ)'!$AJ$8:$BC$8,0)),'Калькуляция (МИ)'!$F$25:$F$315,$F37,'Калькуляция (МИ)'!$G$25:$G$315,$G37))))</f>
        <v>0</v>
      </c>
      <c r="BD37" s="1073">
        <f>IF(BB37=0,0,(BC37-BB37)/BB37*100)</f>
        <v>0</v>
      </c>
      <c r="BE37" s="2907">
        <f>IF(AND(method_reg="Метод индексации",god&lt;&gt;first_year),_xlfn.SUMIFS(INDEX('Калькуляция (МИ корр)'!$AJ$25:$BC$315,,MATCH(BE$8,'Калькуляция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(МИ)'!$AJ$25:$BC$315,,MATCH(BE$8,'Калькуляция (МИ)'!$AJ$8:$BC$8,0)),'Калькуляция (МИ)'!$F$25:$F$315,$F37,'Калькуляция (МИ)'!$G$25:$G$315,$G37))))</f>
        <v>0</v>
      </c>
      <c r="BF37" s="2907">
        <f>IF(AND(method_reg="Метод индексации",god&lt;&gt;first_year),_xlfn.SUMIFS(INDEX('Калькуляция (МИ корр)'!$AJ$25:$BC$315,,MATCH(BF$8,'Калькуляция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(МИ)'!$AJ$25:$BC$315,,MATCH(BF$8,'Калькуляция (МИ)'!$AJ$8:$BC$8,0)),'Калькуляция (МИ)'!$F$25:$F$315,$F37,'Калькуляция (МИ)'!$G$25:$G$315,$G37))))</f>
        <v>0</v>
      </c>
      <c r="BG37" s="1073">
        <f>IF(BE37=0,0,(BF37-BE37)/BE37*100)</f>
        <v>0</v>
      </c>
      <c r="BH37" s="2907"/>
      <c r="BI37" s="2907"/>
      <c r="BJ37" s="1073">
        <f>IF(BH37=0,0,(BI37-BH37)/BH37*100)</f>
        <v>0</v>
      </c>
      <c r="BK37" s="2907"/>
      <c r="BL37" s="2907"/>
      <c r="BM37" s="1073">
        <f>IF(BK37=0,0,(BL37-BK37)/BK37*100)</f>
        <v>0</v>
      </c>
      <c r="BN37" s="2907"/>
      <c r="BO37" s="2907"/>
      <c r="BP37" s="1073">
        <f>IF(BN37=0,0,(BO37-BN37)/BN37*100)</f>
        <v>0</v>
      </c>
      <c r="BQ37" s="2907"/>
      <c r="BR37" s="2907"/>
      <c r="BS37" s="1073">
        <f>IF(BQ37=0,0,(BR37-BQ37)/BQ37*100)</f>
        <v>0</v>
      </c>
      <c r="BT37" s="2907"/>
      <c r="BU37" s="2907"/>
      <c r="BV37" s="1073">
        <f>IF(BT37=0,0,(BU37-BT37)/BT37*100)</f>
        <v>0</v>
      </c>
      <c r="BW37" s="2907"/>
      <c r="BX37" s="2907"/>
      <c r="BY37" s="1073">
        <f>IF(BW37=0,0,(BX37-BW37)/BW37*100)</f>
        <v>0</v>
      </c>
      <c r="BZ37" s="2907"/>
      <c r="CA37" s="2907"/>
      <c r="CB37" s="1073">
        <f>IF(BZ37=0,0,(CA37-BZ37)/BZ37*100)</f>
        <v>0</v>
      </c>
      <c r="CC37" s="2907"/>
      <c r="CD37" s="2907"/>
      <c r="CE37" s="1073">
        <f>IF(CC37=0,0,(CD37-CC37)/CC37*100)</f>
        <v>0</v>
      </c>
      <c r="CF37" s="2907"/>
      <c r="CG37" s="2907"/>
      <c r="CH37" s="1073">
        <f>IF(CF37=0,0,(CG37-CF37)/CF37*100)</f>
        <v>0</v>
      </c>
      <c r="CI37" s="2907"/>
      <c r="CJ37" s="2907"/>
      <c r="CK37" s="1073">
        <f>IF(CI37=0,0,(CJ37-CI37)/CI37*100)</f>
        <v>0</v>
      </c>
      <c r="CL37" s="2907"/>
      <c r="CM37" s="2907"/>
      <c r="CN37" s="1073">
        <f>IF(CL37=0,0,(CM37-CL37)/CL37*100)</f>
        <v>0</v>
      </c>
      <c r="CO37" s="2907"/>
      <c r="CP37" s="2907"/>
      <c r="CQ37" s="1073">
        <f>IF(CO37=0,0,(CP37-CO37)/CO37*100)</f>
        <v>0</v>
      </c>
      <c r="CR37" s="2907"/>
      <c r="CS37" s="2907"/>
      <c r="CT37" s="1073">
        <f>IF(CR37=0,0,(CS37-CR37)/CR37*100)</f>
        <v>0</v>
      </c>
      <c r="CU37" s="2907"/>
      <c r="CV37" s="2907"/>
      <c r="CW37" s="1073">
        <f>IF(CU37=0,0,(CV37-CU37)/CU37*100)</f>
        <v>0</v>
      </c>
      <c r="CX37" s="2907"/>
      <c r="CY37" s="2907"/>
      <c r="CZ37" s="1073">
        <f>IF(CX37=0,0,(CY37-CX37)/CX37*100)</f>
        <v>0</v>
      </c>
      <c r="DA37" s="2907"/>
      <c r="DB37" s="2907"/>
      <c r="DC37" s="1073">
        <f>IF(DA37=0,0,(DB37-DA37)/DA37*100)</f>
        <v>0</v>
      </c>
      <c r="DD37" s="2907"/>
      <c r="DE37" s="2907"/>
      <c r="DF37" s="1073">
        <f>IF(DD37=0,0,(DE37-DD37)/DD37*100)</f>
        <v>0</v>
      </c>
      <c r="DG37" s="2907"/>
      <c r="DH37" s="2907"/>
      <c r="DI37" s="1073">
        <f>IF(DG37=0,0,(DH37-DG37)/DG37*100)</f>
        <v>0</v>
      </c>
      <c r="DJ37" s="2907"/>
      <c r="DK37" s="2907"/>
      <c r="DL37" s="1073">
        <f>IF(DJ37=0,0,(DK37-DJ37)/DJ37*100)</f>
        <v>0</v>
      </c>
      <c r="DM37" s="2907"/>
      <c r="DN37" s="2907"/>
      <c r="DO37" s="1073">
        <f>IF(DM37=0,0,(DN37-DM37)/DM37*100)</f>
        <v>0</v>
      </c>
      <c r="DP37" s="2907"/>
      <c r="DQ37" s="2907"/>
      <c r="DR37" s="1073">
        <f>IF(DP37=0,0,(DQ37-DP37)/DP37*100)</f>
        <v>0</v>
      </c>
      <c r="DS37" s="2907"/>
      <c r="DT37" s="2907"/>
      <c r="DU37" s="1073">
        <f>IF(DS37=0,0,(DT37-DS37)/DS37*100)</f>
        <v>0</v>
      </c>
      <c r="DV37" s="2907"/>
      <c r="DW37" s="2907"/>
      <c r="DX37" s="1073">
        <f>IF(DV37=0,0,(DW37-DV37)/DV37*100)</f>
        <v>0</v>
      </c>
      <c r="DY37" s="2907"/>
      <c r="DZ37" s="2907"/>
      <c r="EA37" s="1073">
        <f>IF(DY37=0,0,(DZ37-DY37)/DY37*100)</f>
        <v>0</v>
      </c>
      <c r="EB37" s="2907"/>
      <c r="EC37" s="2907"/>
      <c r="ED37" s="1073">
        <f>IF(EB37=0,0,(EC37-EB37)/EB37*100)</f>
        <v>0</v>
      </c>
      <c r="EE37" s="2907"/>
      <c r="EF37" s="2907"/>
      <c r="EG37" s="1073">
        <f>IF(EE37=0,0,(EF37-EE37)/EE37*100)</f>
        <v>0</v>
      </c>
      <c r="EH37" s="2907"/>
      <c r="EI37" s="2907"/>
      <c r="EJ37" s="1073">
        <f>IF(EH37=0,0,(EI37-EH37)/EH37*100)</f>
        <v>0</v>
      </c>
      <c r="EK37" s="2907"/>
      <c r="EL37" s="2907"/>
      <c r="EM37" s="1073">
        <f>IF(EK37=0,0,(EL37-EK37)/EK37*100)</f>
        <v>0</v>
      </c>
      <c r="EN37" s="2907"/>
      <c r="EO37" s="2907"/>
      <c r="EP37" s="1073">
        <f>IF(EN37=0,0,(EO37-EN37)/EN37*100)</f>
        <v>0</v>
      </c>
      <c r="EQ37" s="2907"/>
      <c r="ER37" s="2907"/>
      <c r="ES37" s="1073">
        <f>IF(EQ37=0,0,(ER37-EQ37)/EQ37*100)</f>
        <v>0</v>
      </c>
      <c r="ET37" s="2907"/>
      <c r="EU37" s="2907"/>
      <c r="EV37" s="1073">
        <f>IF(ET37=0,0,(EU37-ET37)/ET37*100)</f>
        <v>0</v>
      </c>
      <c r="EW37" s="2907"/>
      <c r="EX37" s="2907"/>
      <c r="EY37" s="1073">
        <f>IF(EW37=0,0,(EX37-EW37)/EW37*100)</f>
        <v>0</v>
      </c>
      <c r="EZ37" s="2907"/>
      <c r="FA37" s="2907"/>
      <c r="FB37" s="1073">
        <f>IF(EZ37=0,0,(FA37-EZ37)/EZ37*100)</f>
        <v>0</v>
      </c>
      <c r="FC37" s="2907"/>
      <c r="FD37" s="2907"/>
      <c r="FE37" s="1073">
        <f>IF(FC37=0,0,(FD37-FC37)/FC37*100)</f>
        <v>0</v>
      </c>
      <c r="FF37" s="2907"/>
      <c r="FG37" s="2907"/>
      <c r="FH37" s="1073">
        <f>IF(FF37=0,0,(FG37-FF37)/FF37*100)</f>
        <v>0</v>
      </c>
      <c r="FI37" s="2907"/>
      <c r="FJ37" s="2907"/>
      <c r="FK37" s="1073">
        <f>IF(FI37=0,0,(FJ37-FI37)/FI37*100)</f>
        <v>0</v>
      </c>
      <c r="FL37" s="2907"/>
      <c r="FM37" s="2907"/>
      <c r="FN37" s="1073">
        <f>IF(FL37=0,0,(FM37-FL37)/FL37*100)</f>
        <v>0</v>
      </c>
      <c r="FO37" s="2907"/>
      <c r="FP37" s="2907"/>
      <c r="FQ37" s="1073">
        <f>IF(FO37=0,0,(FP37-FO37)/FO37*100)</f>
        <v>0</v>
      </c>
      <c r="FR37" s="2907"/>
      <c r="FS37" s="2907"/>
      <c r="FT37" s="1073">
        <f>IF(FR37=0,0,(FS37-FR37)/FR37*100)</f>
        <v>0</v>
      </c>
      <c r="FU37" s="2907"/>
      <c r="FV37" s="2907"/>
      <c r="FW37" s="1073">
        <f>IF(FU37=0,0,(FV37-FU37)/FU37*100)</f>
        <v>0</v>
      </c>
      <c r="FX37" s="258"/>
      <c r="FY37" s="1282"/>
      <c r="FZ37" s="1032" t="s">
        <v>1487</v>
      </c>
      <c r="GA37" s="1284"/>
      <c r="GB37" s="1284"/>
      <c r="GC37" s="1283"/>
      <c r="GD37" s="1283"/>
    </row>
    <row s="258" customFormat="1" customHeight="1" ht="23.887500000000003" hidden="1">
      <c r="A38" s="873"/>
      <c r="B38" s="901" cm="1" t="str">
        <f t="array" ref="B38:B38">B37</f>
        <v>false</v>
      </c>
      <c r="C38" s="873"/>
      <c r="D38" s="873"/>
      <c r="E38" s="874">
        <v>24.5</v>
      </c>
      <c r="F38" s="50" cm="1" t="str">
        <f t="array" ref="F38:F38">OFFSET(E38,-1,1)</f>
        <v>0</v>
      </c>
      <c r="G38" s="73" t="s">
        <v>1488</v>
      </c>
      <c r="H38" s="466" t="s">
        <v>434</v>
      </c>
      <c r="I38" s="466" t="s">
        <v>1489</v>
      </c>
      <c r="J38" s="873"/>
      <c r="K38" s="873"/>
      <c r="L38" s="466"/>
      <c r="M38" s="873"/>
      <c r="N38" s="873"/>
      <c r="O38" s="873"/>
      <c r="P38" s="873"/>
      <c r="Q38" s="873"/>
      <c r="R38" s="466"/>
      <c r="S38" s="466"/>
      <c r="T38" s="438" cm="1" t="str">
        <f t="array" ref="T38:T38">T37</f>
        <v>false</v>
      </c>
      <c r="U38" s="873"/>
      <c r="V38" s="873"/>
      <c r="W38" s="873"/>
      <c r="X38" s="1541"/>
      <c r="Y38" s="873"/>
      <c r="Z38" s="1493"/>
      <c r="AA38" s="873"/>
      <c r="AB38" s="259" t="s">
        <v>1490</v>
      </c>
      <c r="AC38" s="260" t="s">
        <v>1476</v>
      </c>
      <c r="AD38" s="2898">
        <f>IF(AND(method_reg="Метод индексации",god&lt;&gt;first_year),_xlfn.SUMIFS(INDEX('Калькуляция (МИ корр)'!$AJ$25:$BC$315,,MATCH(AD$8,'Калькуляция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(МИ)'!$AJ$25:$BC$315,,MATCH(AD$8,'Калькуляция (МИ)'!$AJ$8:$BC$8,0)),'Калькуляция (МИ)'!$F$25:$F$315,$F38,'Калькуляция (МИ)'!$G$25:$G$315,$G38))))</f>
        <v>0</v>
      </c>
      <c r="AE38" s="2898">
        <f>IF(AND(method_reg="Метод индексации",god&lt;&gt;first_year),_xlfn.SUMIFS(INDEX('Калькуляция (МИ корр)'!$AJ$25:$BC$315,,MATCH(AE$8,'Калькуляция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(МИ)'!$AJ$25:$BC$315,,MATCH(AE$8,'Калькуляция (МИ)'!$AJ$8:$BC$8,0)),'Калькуляция (МИ)'!$F$25:$F$315,$F38,'Калькуляция (МИ)'!$G$25:$G$315,$G38))))</f>
        <v>0</v>
      </c>
      <c r="AF38" s="262">
        <f>IF(AD38=0,0,(AE38-AD38)/AD38*100)</f>
        <v>0</v>
      </c>
      <c r="AG38" s="2898">
        <f>IF(AND(method_reg="Метод индексации",god&lt;&gt;first_year),_xlfn.SUMIFS(INDEX('Калькуляция (МИ корр)'!$AJ$25:$BC$315,,MATCH(AG$8,'Калькуляция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(МИ)'!$AJ$25:$BC$315,,MATCH(AG$8,'Калькуляция (МИ)'!$AJ$8:$BC$8,0)),'Калькуляция (МИ)'!$F$25:$F$315,$F38,'Калькуляция (МИ)'!$G$25:$G$315,$G38))))</f>
        <v>0</v>
      </c>
      <c r="AH38" s="2898">
        <f>IF(AND(method_reg="Метод индексации",god&lt;&gt;first_year),_xlfn.SUMIFS(INDEX('Калькуляция (МИ корр)'!$AJ$25:$BC$315,,MATCH(AH$8,'Калькуляция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(МИ)'!$AJ$25:$BC$315,,MATCH(AH$8,'Калькуляция (МИ)'!$AJ$8:$BC$8,0)),'Калькуляция (МИ)'!$F$25:$F$315,$F38,'Калькуляция (МИ)'!$G$25:$G$315,$G38))))</f>
        <v>0</v>
      </c>
      <c r="AI38" s="262">
        <f>IF(AG38=0,0,(AH38-AG38)/AG38*100)</f>
        <v>0</v>
      </c>
      <c r="AJ38" s="2898">
        <f>IF(AND(method_reg="Метод индексации",god&lt;&gt;first_year),_xlfn.SUMIFS(INDEX('Калькуляция (МИ корр)'!$AJ$25:$BC$315,,MATCH(AJ$8,'Калькуляция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(МИ)'!$AJ$25:$BC$315,,MATCH(AJ$8,'Калькуляция (МИ)'!$AJ$8:$BC$8,0)),'Калькуляция (МИ)'!$F$25:$F$315,$F38,'Калькуляция (МИ)'!$G$25:$G$315,$G38))))</f>
        <v>0</v>
      </c>
      <c r="AK38" s="2898">
        <f>IF(AND(method_reg="Метод индексации",god&lt;&gt;first_year),_xlfn.SUMIFS(INDEX('Калькуляция (МИ корр)'!$AJ$25:$BC$315,,MATCH(AK$8,'Калькуляция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(МИ)'!$AJ$25:$BC$315,,MATCH(AK$8,'Калькуляция (МИ)'!$AJ$8:$BC$8,0)),'Калькуляция (МИ)'!$F$25:$F$315,$F38,'Калькуляция (МИ)'!$G$25:$G$315,$G38))))</f>
        <v>0</v>
      </c>
      <c r="AL38" s="262">
        <f>IF(AJ38=0,0,(AK38-AJ38)/AJ38*100)</f>
        <v>0</v>
      </c>
      <c r="AM38" s="2898">
        <f>IF(AND(method_reg="Метод индексации",god&lt;&gt;first_year),_xlfn.SUMIFS(INDEX('Калькуляция (МИ корр)'!$AJ$25:$BC$315,,MATCH(AM$8,'Калькуляция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(МИ)'!$AJ$25:$BC$315,,MATCH(AM$8,'Калькуляция (МИ)'!$AJ$8:$BC$8,0)),'Калькуляция (МИ)'!$F$25:$F$315,$F38,'Калькуляция (МИ)'!$G$25:$G$315,$G38))))</f>
        <v>0</v>
      </c>
      <c r="AN38" s="2898">
        <f>IF(AND(method_reg="Метод индексации",god&lt;&gt;first_year),_xlfn.SUMIFS(INDEX('Калькуляция (МИ корр)'!$AJ$25:$BC$315,,MATCH(AN$8,'Калькуляция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(МИ)'!$AJ$25:$BC$315,,MATCH(AN$8,'Калькуляция (МИ)'!$AJ$8:$BC$8,0)),'Калькуляция (МИ)'!$F$25:$F$315,$F38,'Калькуляция (МИ)'!$G$25:$G$315,$G38))))</f>
        <v>0</v>
      </c>
      <c r="AO38" s="262">
        <f>IF(AM38=0,0,(AN38-AM38)/AM38*100)</f>
        <v>0</v>
      </c>
      <c r="AP38" s="2898">
        <f>IF(AND(method_reg="Метод индексации",god&lt;&gt;first_year),_xlfn.SUMIFS(INDEX('Калькуляция (МИ корр)'!$AJ$25:$BC$315,,MATCH(AP$8,'Калькуляция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(МИ)'!$AJ$25:$BC$315,,MATCH(AP$8,'Калькуляция (МИ)'!$AJ$8:$BC$8,0)),'Калькуляция (МИ)'!$F$25:$F$315,$F38,'Калькуляция (МИ)'!$G$25:$G$315,$G38))))</f>
        <v>0</v>
      </c>
      <c r="AQ38" s="2898">
        <f>IF(AND(method_reg="Метод индексации",god&lt;&gt;first_year),_xlfn.SUMIFS(INDEX('Калькуляция (МИ корр)'!$AJ$25:$BC$315,,MATCH(AQ$8,'Калькуляция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(МИ)'!$AJ$25:$BC$315,,MATCH(AQ$8,'Калькуляция (МИ)'!$AJ$8:$BC$8,0)),'Калькуляция (МИ)'!$F$25:$F$315,$F38,'Калькуляция (МИ)'!$G$25:$G$315,$G38))))</f>
        <v>0</v>
      </c>
      <c r="AR38" s="262">
        <f>IF(AP38=0,0,(AQ38-AP38)/AP38*100)</f>
        <v>0</v>
      </c>
      <c r="AS38" s="2898">
        <f>IF(AND(method_reg="Метод индексации",god&lt;&gt;first_year),_xlfn.SUMIFS(INDEX('Калькуляция (МИ корр)'!$AJ$25:$BC$315,,MATCH(AS$8,'Калькуляция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(МИ)'!$AJ$25:$BC$315,,MATCH(AS$8,'Калькуляция (МИ)'!$AJ$8:$BC$8,0)),'Калькуляция (МИ)'!$F$25:$F$315,$F38,'Калькуляция (МИ)'!$G$25:$G$315,$G38))))</f>
        <v>0</v>
      </c>
      <c r="AT38" s="2898">
        <f>IF(AND(method_reg="Метод индексации",god&lt;&gt;first_year),_xlfn.SUMIFS(INDEX('Калькуляция (МИ корр)'!$AJ$25:$BC$315,,MATCH(AT$8,'Калькуляция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(МИ)'!$AJ$25:$BC$315,,MATCH(AT$8,'Калькуляция (МИ)'!$AJ$8:$BC$8,0)),'Калькуляция (МИ)'!$F$25:$F$315,$F38,'Калькуляция (МИ)'!$G$25:$G$315,$G38))))</f>
        <v>0</v>
      </c>
      <c r="AU38" s="262">
        <f>IF(AS38=0,0,(AT38-AS38)/AS38*100)</f>
        <v>0</v>
      </c>
      <c r="AV38" s="2898">
        <f>IF(AND(method_reg="Метод индексации",god&lt;&gt;first_year),_xlfn.SUMIFS(INDEX('Калькуляция (МИ корр)'!$AJ$25:$BC$315,,MATCH(AV$8,'Калькуляция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(МИ)'!$AJ$25:$BC$315,,MATCH(AV$8,'Калькуляция (МИ)'!$AJ$8:$BC$8,0)),'Калькуляция (МИ)'!$F$25:$F$315,$F38,'Калькуляция (МИ)'!$G$25:$G$315,$G38))))</f>
        <v>0</v>
      </c>
      <c r="AW38" s="2898">
        <f>IF(AND(method_reg="Метод индексации",god&lt;&gt;first_year),_xlfn.SUMIFS(INDEX('Калькуляция (МИ корр)'!$AJ$25:$BC$315,,MATCH(AW$8,'Калькуляция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(МИ)'!$AJ$25:$BC$315,,MATCH(AW$8,'Калькуляция (МИ)'!$AJ$8:$BC$8,0)),'Калькуляция (МИ)'!$F$25:$F$315,$F38,'Калькуляция (МИ)'!$G$25:$G$315,$G38))))</f>
        <v>0</v>
      </c>
      <c r="AX38" s="262">
        <f>IF(AV38=0,0,(AW38-AV38)/AV38*100)</f>
        <v>0</v>
      </c>
      <c r="AY38" s="2898">
        <f>IF(AND(method_reg="Метод индексации",god&lt;&gt;first_year),_xlfn.SUMIFS(INDEX('Калькуляция (МИ корр)'!$AJ$25:$BC$315,,MATCH(AY$8,'Калькуляция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(МИ)'!$AJ$25:$BC$315,,MATCH(AY$8,'Калькуляция (МИ)'!$AJ$8:$BC$8,0)),'Калькуляция (МИ)'!$F$25:$F$315,$F38,'Калькуляция (МИ)'!$G$25:$G$315,$G38))))</f>
        <v>0</v>
      </c>
      <c r="AZ38" s="2898">
        <f>IF(AND(method_reg="Метод индексации",god&lt;&gt;first_year),_xlfn.SUMIFS(INDEX('Калькуляция (МИ корр)'!$AJ$25:$BC$315,,MATCH(AZ$8,'Калькуляция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(МИ)'!$AJ$25:$BC$315,,MATCH(AZ$8,'Калькуляция (МИ)'!$AJ$8:$BC$8,0)),'Калькуляция (МИ)'!$F$25:$F$315,$F38,'Калькуляция (МИ)'!$G$25:$G$315,$G38))))</f>
        <v>0</v>
      </c>
      <c r="BA38" s="262">
        <f>IF(AY38=0,0,(AZ38-AY38)/AY38*100)</f>
        <v>0</v>
      </c>
      <c r="BB38" s="2898">
        <f>IF(AND(method_reg="Метод индексации",god&lt;&gt;first_year),_xlfn.SUMIFS(INDEX('Калькуляция (МИ корр)'!$AJ$25:$BC$315,,MATCH(BB$8,'Калькуляция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(МИ)'!$AJ$25:$BC$315,,MATCH(BB$8,'Калькуляция (МИ)'!$AJ$8:$BC$8,0)),'Калькуляция (МИ)'!$F$25:$F$315,$F38,'Калькуляция (МИ)'!$G$25:$G$315,$G38))))</f>
        <v>0</v>
      </c>
      <c r="BC38" s="2898">
        <f>IF(AND(method_reg="Метод индексации",god&lt;&gt;first_year),_xlfn.SUMIFS(INDEX('Калькуляция (МИ корр)'!$AJ$25:$BC$315,,MATCH(BC$8,'Калькуляция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(МИ)'!$AJ$25:$BC$315,,MATCH(BC$8,'Калькуляция (МИ)'!$AJ$8:$BC$8,0)),'Калькуляция (МИ)'!$F$25:$F$315,$F38,'Калькуляция (МИ)'!$G$25:$G$315,$G38))))</f>
        <v>0</v>
      </c>
      <c r="BD38" s="262">
        <f>IF(BB38=0,0,(BC38-BB38)/BB38*100)</f>
        <v>0</v>
      </c>
      <c r="BE38" s="2898">
        <f>IF(AND(method_reg="Метод индексации",god&lt;&gt;first_year),_xlfn.SUMIFS(INDEX('Калькуляция (МИ корр)'!$AJ$25:$BC$315,,MATCH(BE$8,'Калькуляция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(МИ)'!$AJ$25:$BC$315,,MATCH(BE$8,'Калькуляция (МИ)'!$AJ$8:$BC$8,0)),'Калькуляция (МИ)'!$F$25:$F$315,$F38,'Калькуляция (МИ)'!$G$25:$G$315,$G38))))</f>
        <v>0</v>
      </c>
      <c r="BF38" s="2898">
        <f>IF(AND(method_reg="Метод индексации",god&lt;&gt;first_year),_xlfn.SUMIFS(INDEX('Калькуляция (МИ корр)'!$AJ$25:$BC$315,,MATCH(BF$8,'Калькуляция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(МИ)'!$AJ$25:$BC$315,,MATCH(BF$8,'Калькуляция (МИ)'!$AJ$8:$BC$8,0)),'Калькуляция (МИ)'!$F$25:$F$315,$F38,'Калькуляция (МИ)'!$G$25:$G$315,$G38))))</f>
        <v>0</v>
      </c>
      <c r="BG38" s="262">
        <f>IF(BE38=0,0,(BF38-BE38)/BE38*100)</f>
        <v>0</v>
      </c>
      <c r="BH38" s="2898"/>
      <c r="BI38" s="2898"/>
      <c r="BJ38" s="262">
        <f>IF(BH38=0,0,(BI38-BH38)/BH38*100)</f>
        <v>0</v>
      </c>
      <c r="BK38" s="2898"/>
      <c r="BL38" s="2898"/>
      <c r="BM38" s="262">
        <f>IF(BK38=0,0,(BL38-BK38)/BK38*100)</f>
        <v>0</v>
      </c>
      <c r="BN38" s="2898"/>
      <c r="BO38" s="2898"/>
      <c r="BP38" s="262">
        <f>IF(BN38=0,0,(BO38-BN38)/BN38*100)</f>
        <v>0</v>
      </c>
      <c r="BQ38" s="2898"/>
      <c r="BR38" s="2898"/>
      <c r="BS38" s="262">
        <f>IF(BQ38=0,0,(BR38-BQ38)/BQ38*100)</f>
        <v>0</v>
      </c>
      <c r="BT38" s="2898"/>
      <c r="BU38" s="2898"/>
      <c r="BV38" s="262">
        <f>IF(BT38=0,0,(BU38-BT38)/BT38*100)</f>
        <v>0</v>
      </c>
      <c r="BW38" s="2898"/>
      <c r="BX38" s="2898"/>
      <c r="BY38" s="262">
        <f>IF(BW38=0,0,(BX38-BW38)/BW38*100)</f>
        <v>0</v>
      </c>
      <c r="BZ38" s="2898"/>
      <c r="CA38" s="2898"/>
      <c r="CB38" s="262">
        <f>IF(BZ38=0,0,(CA38-BZ38)/BZ38*100)</f>
        <v>0</v>
      </c>
      <c r="CC38" s="2898"/>
      <c r="CD38" s="2898"/>
      <c r="CE38" s="262">
        <f>IF(CC38=0,0,(CD38-CC38)/CC38*100)</f>
        <v>0</v>
      </c>
      <c r="CF38" s="2898"/>
      <c r="CG38" s="2898"/>
      <c r="CH38" s="262">
        <f>IF(CF38=0,0,(CG38-CF38)/CF38*100)</f>
        <v>0</v>
      </c>
      <c r="CI38" s="2898"/>
      <c r="CJ38" s="2898"/>
      <c r="CK38" s="262">
        <f>IF(CI38=0,0,(CJ38-CI38)/CI38*100)</f>
        <v>0</v>
      </c>
      <c r="CL38" s="2898"/>
      <c r="CM38" s="2898"/>
      <c r="CN38" s="262">
        <f>IF(CL38=0,0,(CM38-CL38)/CL38*100)</f>
        <v>0</v>
      </c>
      <c r="CO38" s="2898"/>
      <c r="CP38" s="2898"/>
      <c r="CQ38" s="262">
        <f>IF(CO38=0,0,(CP38-CO38)/CO38*100)</f>
        <v>0</v>
      </c>
      <c r="CR38" s="2898"/>
      <c r="CS38" s="2898"/>
      <c r="CT38" s="262">
        <f>IF(CR38=0,0,(CS38-CR38)/CR38*100)</f>
        <v>0</v>
      </c>
      <c r="CU38" s="2898"/>
      <c r="CV38" s="2898"/>
      <c r="CW38" s="262">
        <f>IF(CU38=0,0,(CV38-CU38)/CU38*100)</f>
        <v>0</v>
      </c>
      <c r="CX38" s="2898"/>
      <c r="CY38" s="2898"/>
      <c r="CZ38" s="262">
        <f>IF(CX38=0,0,(CY38-CX38)/CX38*100)</f>
        <v>0</v>
      </c>
      <c r="DA38" s="2898"/>
      <c r="DB38" s="2898"/>
      <c r="DC38" s="262">
        <f>IF(DA38=0,0,(DB38-DA38)/DA38*100)</f>
        <v>0</v>
      </c>
      <c r="DD38" s="2898"/>
      <c r="DE38" s="2898"/>
      <c r="DF38" s="262">
        <f>IF(DD38=0,0,(DE38-DD38)/DD38*100)</f>
        <v>0</v>
      </c>
      <c r="DG38" s="2898"/>
      <c r="DH38" s="2898"/>
      <c r="DI38" s="262">
        <f>IF(DG38=0,0,(DH38-DG38)/DG38*100)</f>
        <v>0</v>
      </c>
      <c r="DJ38" s="2898"/>
      <c r="DK38" s="2898"/>
      <c r="DL38" s="262">
        <f>IF(DJ38=0,0,(DK38-DJ38)/DJ38*100)</f>
        <v>0</v>
      </c>
      <c r="DM38" s="2898"/>
      <c r="DN38" s="2898"/>
      <c r="DO38" s="262">
        <f>IF(DM38=0,0,(DN38-DM38)/DM38*100)</f>
        <v>0</v>
      </c>
      <c r="DP38" s="2898"/>
      <c r="DQ38" s="2898"/>
      <c r="DR38" s="262">
        <f>IF(DP38=0,0,(DQ38-DP38)/DP38*100)</f>
        <v>0</v>
      </c>
      <c r="DS38" s="2898"/>
      <c r="DT38" s="2898"/>
      <c r="DU38" s="262">
        <f>IF(DS38=0,0,(DT38-DS38)/DS38*100)</f>
        <v>0</v>
      </c>
      <c r="DV38" s="2898"/>
      <c r="DW38" s="2898"/>
      <c r="DX38" s="262">
        <f>IF(DV38=0,0,(DW38-DV38)/DV38*100)</f>
        <v>0</v>
      </c>
      <c r="DY38" s="2898"/>
      <c r="DZ38" s="2898"/>
      <c r="EA38" s="262">
        <f>IF(DY38=0,0,(DZ38-DY38)/DY38*100)</f>
        <v>0</v>
      </c>
      <c r="EB38" s="2898"/>
      <c r="EC38" s="2898"/>
      <c r="ED38" s="262">
        <f>IF(EB38=0,0,(EC38-EB38)/EB38*100)</f>
        <v>0</v>
      </c>
      <c r="EE38" s="2898"/>
      <c r="EF38" s="2898"/>
      <c r="EG38" s="262">
        <f>IF(EE38=0,0,(EF38-EE38)/EE38*100)</f>
        <v>0</v>
      </c>
      <c r="EH38" s="2898"/>
      <c r="EI38" s="2898"/>
      <c r="EJ38" s="262">
        <f>IF(EH38=0,0,(EI38-EH38)/EH38*100)</f>
        <v>0</v>
      </c>
      <c r="EK38" s="2898"/>
      <c r="EL38" s="2898"/>
      <c r="EM38" s="262">
        <f>IF(EK38=0,0,(EL38-EK38)/EK38*100)</f>
        <v>0</v>
      </c>
      <c r="EN38" s="2898"/>
      <c r="EO38" s="2898"/>
      <c r="EP38" s="262">
        <f>IF(EN38=0,0,(EO38-EN38)/EN38*100)</f>
        <v>0</v>
      </c>
      <c r="EQ38" s="2898"/>
      <c r="ER38" s="2898"/>
      <c r="ES38" s="262">
        <f>IF(EQ38=0,0,(ER38-EQ38)/EQ38*100)</f>
        <v>0</v>
      </c>
      <c r="ET38" s="2898"/>
      <c r="EU38" s="2898"/>
      <c r="EV38" s="262">
        <f>IF(ET38=0,0,(EU38-ET38)/ET38*100)</f>
        <v>0</v>
      </c>
      <c r="EW38" s="2898"/>
      <c r="EX38" s="2898"/>
      <c r="EY38" s="262">
        <f>IF(EW38=0,0,(EX38-EW38)/EW38*100)</f>
        <v>0</v>
      </c>
      <c r="EZ38" s="2898"/>
      <c r="FA38" s="2898"/>
      <c r="FB38" s="262">
        <f>IF(EZ38=0,0,(FA38-EZ38)/EZ38*100)</f>
        <v>0</v>
      </c>
      <c r="FC38" s="2898"/>
      <c r="FD38" s="2898"/>
      <c r="FE38" s="262">
        <f>IF(FC38=0,0,(FD38-FC38)/FC38*100)</f>
        <v>0</v>
      </c>
      <c r="FF38" s="2898"/>
      <c r="FG38" s="2898"/>
      <c r="FH38" s="262">
        <f>IF(FF38=0,0,(FG38-FF38)/FF38*100)</f>
        <v>0</v>
      </c>
      <c r="FI38" s="2898"/>
      <c r="FJ38" s="2898"/>
      <c r="FK38" s="262">
        <f>IF(FI38=0,0,(FJ38-FI38)/FI38*100)</f>
        <v>0</v>
      </c>
      <c r="FL38" s="2898"/>
      <c r="FM38" s="2898"/>
      <c r="FN38" s="262">
        <f>IF(FL38=0,0,(FM38-FL38)/FL38*100)</f>
        <v>0</v>
      </c>
      <c r="FO38" s="2898"/>
      <c r="FP38" s="2898"/>
      <c r="FQ38" s="262">
        <f>IF(FO38=0,0,(FP38-FO38)/FO38*100)</f>
        <v>0</v>
      </c>
      <c r="FR38" s="2898"/>
      <c r="FS38" s="2898"/>
      <c r="FT38" s="262">
        <f>IF(FR38=0,0,(FS38-FR38)/FR38*100)</f>
        <v>0</v>
      </c>
      <c r="FU38" s="2898"/>
      <c r="FV38" s="2898"/>
      <c r="FW38" s="262">
        <f>IF(FU38=0,0,(FV38-FU38)/FU38*100)</f>
        <v>0</v>
      </c>
      <c r="FX38" s="258"/>
      <c r="FY38" s="258"/>
      <c r="FZ38" s="1032" t="s">
        <v>1491</v>
      </c>
      <c r="GA38" s="1032"/>
      <c r="GB38" s="1032"/>
      <c r="GC38" s="1033"/>
      <c r="GD38" s="1033"/>
    </row>
    <row s="258" customFormat="1" customHeight="1" ht="23.887500000000003" hidden="1">
      <c r="A39" s="873"/>
      <c r="B39" s="901" cm="1" t="str">
        <f t="array" ref="B39:B39">B38</f>
        <v>false</v>
      </c>
      <c r="C39" s="873"/>
      <c r="D39" s="873"/>
      <c r="E39" s="874">
        <v>24.5</v>
      </c>
      <c r="F39" s="50" cm="1" t="str">
        <f t="array" ref="F39:F39">OFFSET(E39,-1,1)</f>
        <v>0</v>
      </c>
      <c r="G39" s="73" t="s">
        <v>1492</v>
      </c>
      <c r="H39" s="466" t="s">
        <v>434</v>
      </c>
      <c r="I39" s="466" t="s">
        <v>1493</v>
      </c>
      <c r="J39" s="873"/>
      <c r="K39" s="873"/>
      <c r="L39" s="466"/>
      <c r="M39" s="873"/>
      <c r="N39" s="873"/>
      <c r="O39" s="873"/>
      <c r="P39" s="873"/>
      <c r="Q39" s="873"/>
      <c r="R39" s="466"/>
      <c r="S39" s="466"/>
      <c r="T39" s="438" cm="1" t="str">
        <f t="array" ref="T39:T39">T38</f>
        <v>false</v>
      </c>
      <c r="U39" s="873"/>
      <c r="V39" s="873"/>
      <c r="W39" s="873"/>
      <c r="X39" s="1541"/>
      <c r="Y39" s="873"/>
      <c r="Z39" s="1493"/>
      <c r="AA39" s="873"/>
      <c r="AB39" s="1068" t="s">
        <v>1494</v>
      </c>
      <c r="AC39" s="260" t="s">
        <v>1476</v>
      </c>
      <c r="AD39" s="2898">
        <f>IF(AND(method_reg="Метод индексации",god&lt;&gt;first_year),_xlfn.SUMIFS(INDEX('Калькуляция (МИ корр)'!$AJ$25:$BC$315,,MATCH(AD$8,'Калькуляция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(МИ)'!$AJ$25:$BC$315,,MATCH(AD$8,'Калькуляция (МИ)'!$AJ$8:$BC$8,0)),'Калькуляция (МИ)'!$F$25:$F$315,$F39,'Калькуляция (МИ)'!$G$25:$G$315,$G39))))</f>
        <v>0</v>
      </c>
      <c r="AE39" s="2898">
        <f>IF(AND(method_reg="Метод индексации",god&lt;&gt;first_year),_xlfn.SUMIFS(INDEX('Калькуляция (МИ корр)'!$AJ$25:$BC$315,,MATCH(AE$8,'Калькуляция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(МИ)'!$AJ$25:$BC$315,,MATCH(AE$8,'Калькуляция (МИ)'!$AJ$8:$BC$8,0)),'Калькуляция (МИ)'!$F$25:$F$315,$F39,'Калькуляция (МИ)'!$G$25:$G$315,$G39))))</f>
        <v>0</v>
      </c>
      <c r="AF39" s="262">
        <f>IF(AD39=0,0,(AE39-AD39)/AD39*100)</f>
        <v>0</v>
      </c>
      <c r="AG39" s="2898">
        <f>IF(AND(method_reg="Метод индексации",god&lt;&gt;first_year),_xlfn.SUMIFS(INDEX('Калькуляция (МИ корр)'!$AJ$25:$BC$315,,MATCH(AG$8,'Калькуляция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(МИ)'!$AJ$25:$BC$315,,MATCH(AG$8,'Калькуляция (МИ)'!$AJ$8:$BC$8,0)),'Калькуляция (МИ)'!$F$25:$F$315,$F39,'Калькуляция (МИ)'!$G$25:$G$315,$G39))))</f>
        <v>0</v>
      </c>
      <c r="AH39" s="2898">
        <f>IF(AND(method_reg="Метод индексации",god&lt;&gt;first_year),_xlfn.SUMIFS(INDEX('Калькуляция (МИ корр)'!$AJ$25:$BC$315,,MATCH(AH$8,'Калькуляция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(МИ)'!$AJ$25:$BC$315,,MATCH(AH$8,'Калькуляция (МИ)'!$AJ$8:$BC$8,0)),'Калькуляция (МИ)'!$F$25:$F$315,$F39,'Калькуляция (МИ)'!$G$25:$G$315,$G39))))</f>
        <v>0</v>
      </c>
      <c r="AI39" s="262">
        <f>IF(AG39=0,0,(AH39-AG39)/AG39*100)</f>
        <v>0</v>
      </c>
      <c r="AJ39" s="2898">
        <f>IF(AND(method_reg="Метод индексации",god&lt;&gt;first_year),_xlfn.SUMIFS(INDEX('Калькуляция (МИ корр)'!$AJ$25:$BC$315,,MATCH(AJ$8,'Калькуляция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(МИ)'!$AJ$25:$BC$315,,MATCH(AJ$8,'Калькуляция (МИ)'!$AJ$8:$BC$8,0)),'Калькуляция (МИ)'!$F$25:$F$315,$F39,'Калькуляция (МИ)'!$G$25:$G$315,$G39))))</f>
        <v>0</v>
      </c>
      <c r="AK39" s="2898">
        <f>IF(AND(method_reg="Метод индексации",god&lt;&gt;first_year),_xlfn.SUMIFS(INDEX('Калькуляция (МИ корр)'!$AJ$25:$BC$315,,MATCH(AK$8,'Калькуляция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(МИ)'!$AJ$25:$BC$315,,MATCH(AK$8,'Калькуляция (МИ)'!$AJ$8:$BC$8,0)),'Калькуляция (МИ)'!$F$25:$F$315,$F39,'Калькуляция (МИ)'!$G$25:$G$315,$G39))))</f>
        <v>0</v>
      </c>
      <c r="AL39" s="262">
        <f>IF(AJ39=0,0,(AK39-AJ39)/AJ39*100)</f>
        <v>0</v>
      </c>
      <c r="AM39" s="2898">
        <f>IF(AND(method_reg="Метод индексации",god&lt;&gt;first_year),_xlfn.SUMIFS(INDEX('Калькуляция (МИ корр)'!$AJ$25:$BC$315,,MATCH(AM$8,'Калькуляция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(МИ)'!$AJ$25:$BC$315,,MATCH(AM$8,'Калькуляция (МИ)'!$AJ$8:$BC$8,0)),'Калькуляция (МИ)'!$F$25:$F$315,$F39,'Калькуляция (МИ)'!$G$25:$G$315,$G39))))</f>
        <v>0</v>
      </c>
      <c r="AN39" s="2898">
        <f>IF(AND(method_reg="Метод индексации",god&lt;&gt;first_year),_xlfn.SUMIFS(INDEX('Калькуляция (МИ корр)'!$AJ$25:$BC$315,,MATCH(AN$8,'Калькуляция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(МИ)'!$AJ$25:$BC$315,,MATCH(AN$8,'Калькуляция (МИ)'!$AJ$8:$BC$8,0)),'Калькуляция (МИ)'!$F$25:$F$315,$F39,'Калькуляция (МИ)'!$G$25:$G$315,$G39))))</f>
        <v>0</v>
      </c>
      <c r="AO39" s="262">
        <f>IF(AM39=0,0,(AN39-AM39)/AM39*100)</f>
        <v>0</v>
      </c>
      <c r="AP39" s="2898">
        <f>IF(AND(method_reg="Метод индексации",god&lt;&gt;first_year),_xlfn.SUMIFS(INDEX('Калькуляция (МИ корр)'!$AJ$25:$BC$315,,MATCH(AP$8,'Калькуляция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(МИ)'!$AJ$25:$BC$315,,MATCH(AP$8,'Калькуляция (МИ)'!$AJ$8:$BC$8,0)),'Калькуляция (МИ)'!$F$25:$F$315,$F39,'Калькуляция (МИ)'!$G$25:$G$315,$G39))))</f>
        <v>0</v>
      </c>
      <c r="AQ39" s="2898">
        <f>IF(AND(method_reg="Метод индексации",god&lt;&gt;first_year),_xlfn.SUMIFS(INDEX('Калькуляция (МИ корр)'!$AJ$25:$BC$315,,MATCH(AQ$8,'Калькуляция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(МИ)'!$AJ$25:$BC$315,,MATCH(AQ$8,'Калькуляция (МИ)'!$AJ$8:$BC$8,0)),'Калькуляция (МИ)'!$F$25:$F$315,$F39,'Калькуляция (МИ)'!$G$25:$G$315,$G39))))</f>
        <v>0</v>
      </c>
      <c r="AR39" s="262">
        <f>IF(AP39=0,0,(AQ39-AP39)/AP39*100)</f>
        <v>0</v>
      </c>
      <c r="AS39" s="2898">
        <f>IF(AND(method_reg="Метод индексации",god&lt;&gt;first_year),_xlfn.SUMIFS(INDEX('Калькуляция (МИ корр)'!$AJ$25:$BC$315,,MATCH(AS$8,'Калькуляция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(МИ)'!$AJ$25:$BC$315,,MATCH(AS$8,'Калькуляция (МИ)'!$AJ$8:$BC$8,0)),'Калькуляция (МИ)'!$F$25:$F$315,$F39,'Калькуляция (МИ)'!$G$25:$G$315,$G39))))</f>
        <v>0</v>
      </c>
      <c r="AT39" s="2898">
        <f>IF(AND(method_reg="Метод индексации",god&lt;&gt;first_year),_xlfn.SUMIFS(INDEX('Калькуляция (МИ корр)'!$AJ$25:$BC$315,,MATCH(AT$8,'Калькуляция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(МИ)'!$AJ$25:$BC$315,,MATCH(AT$8,'Калькуляция (МИ)'!$AJ$8:$BC$8,0)),'Калькуляция (МИ)'!$F$25:$F$315,$F39,'Калькуляция (МИ)'!$G$25:$G$315,$G39))))</f>
        <v>0</v>
      </c>
      <c r="AU39" s="262">
        <f>IF(AS39=0,0,(AT39-AS39)/AS39*100)</f>
        <v>0</v>
      </c>
      <c r="AV39" s="2898">
        <f>IF(AND(method_reg="Метод индексации",god&lt;&gt;first_year),_xlfn.SUMIFS(INDEX('Калькуляция (МИ корр)'!$AJ$25:$BC$315,,MATCH(AV$8,'Калькуляция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(МИ)'!$AJ$25:$BC$315,,MATCH(AV$8,'Калькуляция (МИ)'!$AJ$8:$BC$8,0)),'Калькуляция (МИ)'!$F$25:$F$315,$F39,'Калькуляция (МИ)'!$G$25:$G$315,$G39))))</f>
        <v>0</v>
      </c>
      <c r="AW39" s="2898">
        <f>IF(AND(method_reg="Метод индексации",god&lt;&gt;first_year),_xlfn.SUMIFS(INDEX('Калькуляция (МИ корр)'!$AJ$25:$BC$315,,MATCH(AW$8,'Калькуляция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(МИ)'!$AJ$25:$BC$315,,MATCH(AW$8,'Калькуляция (МИ)'!$AJ$8:$BC$8,0)),'Калькуляция (МИ)'!$F$25:$F$315,$F39,'Калькуляция (МИ)'!$G$25:$G$315,$G39))))</f>
        <v>0</v>
      </c>
      <c r="AX39" s="262">
        <f>IF(AV39=0,0,(AW39-AV39)/AV39*100)</f>
        <v>0</v>
      </c>
      <c r="AY39" s="2898">
        <f>IF(AND(method_reg="Метод индексации",god&lt;&gt;first_year),_xlfn.SUMIFS(INDEX('Калькуляция (МИ корр)'!$AJ$25:$BC$315,,MATCH(AY$8,'Калькуляция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(МИ)'!$AJ$25:$BC$315,,MATCH(AY$8,'Калькуляция (МИ)'!$AJ$8:$BC$8,0)),'Калькуляция (МИ)'!$F$25:$F$315,$F39,'Калькуляция (МИ)'!$G$25:$G$315,$G39))))</f>
        <v>0</v>
      </c>
      <c r="AZ39" s="2898">
        <f>IF(AND(method_reg="Метод индексации",god&lt;&gt;first_year),_xlfn.SUMIFS(INDEX('Калькуляция (МИ корр)'!$AJ$25:$BC$315,,MATCH(AZ$8,'Калькуляция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(МИ)'!$AJ$25:$BC$315,,MATCH(AZ$8,'Калькуляция (МИ)'!$AJ$8:$BC$8,0)),'Калькуляция (МИ)'!$F$25:$F$315,$F39,'Калькуляция (МИ)'!$G$25:$G$315,$G39))))</f>
        <v>0</v>
      </c>
      <c r="BA39" s="262">
        <f>IF(AY39=0,0,(AZ39-AY39)/AY39*100)</f>
        <v>0</v>
      </c>
      <c r="BB39" s="2898">
        <f>IF(AND(method_reg="Метод индексации",god&lt;&gt;first_year),_xlfn.SUMIFS(INDEX('Калькуляция (МИ корр)'!$AJ$25:$BC$315,,MATCH(BB$8,'Калькуляция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(МИ)'!$AJ$25:$BC$315,,MATCH(BB$8,'Калькуляция (МИ)'!$AJ$8:$BC$8,0)),'Калькуляция (МИ)'!$F$25:$F$315,$F39,'Калькуляция (МИ)'!$G$25:$G$315,$G39))))</f>
        <v>0</v>
      </c>
      <c r="BC39" s="2898">
        <f>IF(AND(method_reg="Метод индексации",god&lt;&gt;first_year),_xlfn.SUMIFS(INDEX('Калькуляция (МИ корр)'!$AJ$25:$BC$315,,MATCH(BC$8,'Калькуляция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(МИ)'!$AJ$25:$BC$315,,MATCH(BC$8,'Калькуляция (МИ)'!$AJ$8:$BC$8,0)),'Калькуляция (МИ)'!$F$25:$F$315,$F39,'Калькуляция (МИ)'!$G$25:$G$315,$G39))))</f>
        <v>0</v>
      </c>
      <c r="BD39" s="262">
        <f>IF(BB39=0,0,(BC39-BB39)/BB39*100)</f>
        <v>0</v>
      </c>
      <c r="BE39" s="2898">
        <f>IF(AND(method_reg="Метод индексации",god&lt;&gt;first_year),_xlfn.SUMIFS(INDEX('Калькуляция (МИ корр)'!$AJ$25:$BC$315,,MATCH(BE$8,'Калькуляция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(МИ)'!$AJ$25:$BC$315,,MATCH(BE$8,'Калькуляция (МИ)'!$AJ$8:$BC$8,0)),'Калькуляция (МИ)'!$F$25:$F$315,$F39,'Калькуляция (МИ)'!$G$25:$G$315,$G39))))</f>
        <v>0</v>
      </c>
      <c r="BF39" s="2898">
        <f>IF(AND(method_reg="Метод индексации",god&lt;&gt;first_year),_xlfn.SUMIFS(INDEX('Калькуляция (МИ корр)'!$AJ$25:$BC$315,,MATCH(BF$8,'Калькуляция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(МИ)'!$AJ$25:$BC$315,,MATCH(BF$8,'Калькуляция (МИ)'!$AJ$8:$BC$8,0)),'Калькуляция (МИ)'!$F$25:$F$315,$F39,'Калькуляция (МИ)'!$G$25:$G$315,$G39))))</f>
        <v>0</v>
      </c>
      <c r="BG39" s="262">
        <f>IF(BE39=0,0,(BF39-BE39)/BE39*100)</f>
        <v>0</v>
      </c>
      <c r="BH39" s="2898"/>
      <c r="BI39" s="2898"/>
      <c r="BJ39" s="262">
        <f>IF(BH39=0,0,(BI39-BH39)/BH39*100)</f>
        <v>0</v>
      </c>
      <c r="BK39" s="2898"/>
      <c r="BL39" s="2898"/>
      <c r="BM39" s="262">
        <f>IF(BK39=0,0,(BL39-BK39)/BK39*100)</f>
        <v>0</v>
      </c>
      <c r="BN39" s="2898"/>
      <c r="BO39" s="2898"/>
      <c r="BP39" s="262">
        <f>IF(BN39=0,0,(BO39-BN39)/BN39*100)</f>
        <v>0</v>
      </c>
      <c r="BQ39" s="2898"/>
      <c r="BR39" s="2898"/>
      <c r="BS39" s="262">
        <f>IF(BQ39=0,0,(BR39-BQ39)/BQ39*100)</f>
        <v>0</v>
      </c>
      <c r="BT39" s="2898"/>
      <c r="BU39" s="2898"/>
      <c r="BV39" s="262">
        <f>IF(BT39=0,0,(BU39-BT39)/BT39*100)</f>
        <v>0</v>
      </c>
      <c r="BW39" s="2898"/>
      <c r="BX39" s="2898"/>
      <c r="BY39" s="262">
        <f>IF(BW39=0,0,(BX39-BW39)/BW39*100)</f>
        <v>0</v>
      </c>
      <c r="BZ39" s="2898"/>
      <c r="CA39" s="2898"/>
      <c r="CB39" s="262">
        <f>IF(BZ39=0,0,(CA39-BZ39)/BZ39*100)</f>
        <v>0</v>
      </c>
      <c r="CC39" s="2898"/>
      <c r="CD39" s="2898"/>
      <c r="CE39" s="262">
        <f>IF(CC39=0,0,(CD39-CC39)/CC39*100)</f>
        <v>0</v>
      </c>
      <c r="CF39" s="2898"/>
      <c r="CG39" s="2898"/>
      <c r="CH39" s="262">
        <f>IF(CF39=0,0,(CG39-CF39)/CF39*100)</f>
        <v>0</v>
      </c>
      <c r="CI39" s="2898"/>
      <c r="CJ39" s="2898"/>
      <c r="CK39" s="262">
        <f>IF(CI39=0,0,(CJ39-CI39)/CI39*100)</f>
        <v>0</v>
      </c>
      <c r="CL39" s="2898"/>
      <c r="CM39" s="2898"/>
      <c r="CN39" s="262">
        <f>IF(CL39=0,0,(CM39-CL39)/CL39*100)</f>
        <v>0</v>
      </c>
      <c r="CO39" s="2898"/>
      <c r="CP39" s="2898"/>
      <c r="CQ39" s="262">
        <f>IF(CO39=0,0,(CP39-CO39)/CO39*100)</f>
        <v>0</v>
      </c>
      <c r="CR39" s="2898"/>
      <c r="CS39" s="2898"/>
      <c r="CT39" s="262">
        <f>IF(CR39=0,0,(CS39-CR39)/CR39*100)</f>
        <v>0</v>
      </c>
      <c r="CU39" s="2898"/>
      <c r="CV39" s="2898"/>
      <c r="CW39" s="262">
        <f>IF(CU39=0,0,(CV39-CU39)/CU39*100)</f>
        <v>0</v>
      </c>
      <c r="CX39" s="2898"/>
      <c r="CY39" s="2898"/>
      <c r="CZ39" s="262">
        <f>IF(CX39=0,0,(CY39-CX39)/CX39*100)</f>
        <v>0</v>
      </c>
      <c r="DA39" s="2898"/>
      <c r="DB39" s="2898"/>
      <c r="DC39" s="262">
        <f>IF(DA39=0,0,(DB39-DA39)/DA39*100)</f>
        <v>0</v>
      </c>
      <c r="DD39" s="2898"/>
      <c r="DE39" s="2898"/>
      <c r="DF39" s="262">
        <f>IF(DD39=0,0,(DE39-DD39)/DD39*100)</f>
        <v>0</v>
      </c>
      <c r="DG39" s="2898"/>
      <c r="DH39" s="2898"/>
      <c r="DI39" s="262">
        <f>IF(DG39=0,0,(DH39-DG39)/DG39*100)</f>
        <v>0</v>
      </c>
      <c r="DJ39" s="2898"/>
      <c r="DK39" s="2898"/>
      <c r="DL39" s="262">
        <f>IF(DJ39=0,0,(DK39-DJ39)/DJ39*100)</f>
        <v>0</v>
      </c>
      <c r="DM39" s="2898"/>
      <c r="DN39" s="2898"/>
      <c r="DO39" s="262">
        <f>IF(DM39=0,0,(DN39-DM39)/DM39*100)</f>
        <v>0</v>
      </c>
      <c r="DP39" s="2898"/>
      <c r="DQ39" s="2898"/>
      <c r="DR39" s="262">
        <f>IF(DP39=0,0,(DQ39-DP39)/DP39*100)</f>
        <v>0</v>
      </c>
      <c r="DS39" s="2898"/>
      <c r="DT39" s="2898"/>
      <c r="DU39" s="262">
        <f>IF(DS39=0,0,(DT39-DS39)/DS39*100)</f>
        <v>0</v>
      </c>
      <c r="DV39" s="2898"/>
      <c r="DW39" s="2898"/>
      <c r="DX39" s="262">
        <f>IF(DV39=0,0,(DW39-DV39)/DV39*100)</f>
        <v>0</v>
      </c>
      <c r="DY39" s="2898"/>
      <c r="DZ39" s="2898"/>
      <c r="EA39" s="262">
        <f>IF(DY39=0,0,(DZ39-DY39)/DY39*100)</f>
        <v>0</v>
      </c>
      <c r="EB39" s="2898"/>
      <c r="EC39" s="2898"/>
      <c r="ED39" s="262">
        <f>IF(EB39=0,0,(EC39-EB39)/EB39*100)</f>
        <v>0</v>
      </c>
      <c r="EE39" s="2898"/>
      <c r="EF39" s="2898"/>
      <c r="EG39" s="262">
        <f>IF(EE39=0,0,(EF39-EE39)/EE39*100)</f>
        <v>0</v>
      </c>
      <c r="EH39" s="2898"/>
      <c r="EI39" s="2898"/>
      <c r="EJ39" s="262">
        <f>IF(EH39=0,0,(EI39-EH39)/EH39*100)</f>
        <v>0</v>
      </c>
      <c r="EK39" s="2898"/>
      <c r="EL39" s="2898"/>
      <c r="EM39" s="262">
        <f>IF(EK39=0,0,(EL39-EK39)/EK39*100)</f>
        <v>0</v>
      </c>
      <c r="EN39" s="2898"/>
      <c r="EO39" s="2898"/>
      <c r="EP39" s="262">
        <f>IF(EN39=0,0,(EO39-EN39)/EN39*100)</f>
        <v>0</v>
      </c>
      <c r="EQ39" s="2898"/>
      <c r="ER39" s="2898"/>
      <c r="ES39" s="262">
        <f>IF(EQ39=0,0,(ER39-EQ39)/EQ39*100)</f>
        <v>0</v>
      </c>
      <c r="ET39" s="2898"/>
      <c r="EU39" s="2898"/>
      <c r="EV39" s="262">
        <f>IF(ET39=0,0,(EU39-ET39)/ET39*100)</f>
        <v>0</v>
      </c>
      <c r="EW39" s="2898"/>
      <c r="EX39" s="2898"/>
      <c r="EY39" s="262">
        <f>IF(EW39=0,0,(EX39-EW39)/EW39*100)</f>
        <v>0</v>
      </c>
      <c r="EZ39" s="2898"/>
      <c r="FA39" s="2898"/>
      <c r="FB39" s="262">
        <f>IF(EZ39=0,0,(FA39-EZ39)/EZ39*100)</f>
        <v>0</v>
      </c>
      <c r="FC39" s="2898"/>
      <c r="FD39" s="2898"/>
      <c r="FE39" s="262">
        <f>IF(FC39=0,0,(FD39-FC39)/FC39*100)</f>
        <v>0</v>
      </c>
      <c r="FF39" s="2898"/>
      <c r="FG39" s="2898"/>
      <c r="FH39" s="262">
        <f>IF(FF39=0,0,(FG39-FF39)/FF39*100)</f>
        <v>0</v>
      </c>
      <c r="FI39" s="2898"/>
      <c r="FJ39" s="2898"/>
      <c r="FK39" s="262">
        <f>IF(FI39=0,0,(FJ39-FI39)/FI39*100)</f>
        <v>0</v>
      </c>
      <c r="FL39" s="2898"/>
      <c r="FM39" s="2898"/>
      <c r="FN39" s="262">
        <f>IF(FL39=0,0,(FM39-FL39)/FL39*100)</f>
        <v>0</v>
      </c>
      <c r="FO39" s="2898"/>
      <c r="FP39" s="2898"/>
      <c r="FQ39" s="262">
        <f>IF(FO39=0,0,(FP39-FO39)/FO39*100)</f>
        <v>0</v>
      </c>
      <c r="FR39" s="2898"/>
      <c r="FS39" s="2898"/>
      <c r="FT39" s="262">
        <f>IF(FR39=0,0,(FS39-FR39)/FR39*100)</f>
        <v>0</v>
      </c>
      <c r="FU39" s="2898"/>
      <c r="FV39" s="2898"/>
      <c r="FW39" s="262">
        <f>IF(FU39=0,0,(FV39-FU39)/FU39*100)</f>
        <v>0</v>
      </c>
      <c r="FX39" s="258"/>
      <c r="FY39" s="258"/>
      <c r="FZ39" s="1032" t="s">
        <v>1495</v>
      </c>
      <c r="GA39" s="1032"/>
      <c r="GB39" s="1032"/>
      <c r="GC39" s="1033"/>
      <c r="GD39" s="1033"/>
    </row>
    <row customHeight="1" ht="14.625" hidden="1">
      <c r="A40" s="466"/>
      <c r="B40" s="901" cm="1" t="str">
        <f t="array" ref="B40:B40">B39</f>
        <v>false</v>
      </c>
      <c r="C40" s="466"/>
      <c r="D40" s="466"/>
      <c r="E40" s="816">
        <v>15</v>
      </c>
      <c r="F40" s="50" cm="1" t="str">
        <f t="array" ref="F40:F40">OFFSET(E40,-1,1)</f>
        <v>0</v>
      </c>
      <c r="G40" s="73"/>
      <c r="H40" s="466" t="s">
        <v>438</v>
      </c>
      <c r="I40" s="466" t="s">
        <v>1496</v>
      </c>
      <c r="J40" s="466"/>
      <c r="K40" s="466"/>
      <c r="L40" s="466"/>
      <c r="M40" s="466"/>
      <c r="N40" s="466"/>
      <c r="O40" s="466"/>
      <c r="P40" s="466"/>
      <c r="Q40" s="873"/>
      <c r="R40" s="466"/>
      <c r="S40" s="466"/>
      <c r="T40" s="438" cm="1" t="str">
        <f t="array" ref="T40:T40">T39</f>
        <v>false</v>
      </c>
      <c r="U40" s="466"/>
      <c r="V40" s="466"/>
      <c r="W40" s="466"/>
      <c r="X40" s="1541"/>
      <c r="Y40" s="466"/>
      <c r="Z40" s="1493"/>
      <c r="AA40" s="466"/>
      <c r="AB40" s="1067" t="s">
        <v>1483</v>
      </c>
      <c r="AC40" s="840" t="s">
        <v>430</v>
      </c>
      <c r="AD40" s="1070">
        <f>IF(AD38=0,0,AD39/AD38)*100</f>
        <v>0</v>
      </c>
      <c r="AE40" s="1070">
        <f>IF(AE38=0,0,AE39/AE38)*100</f>
        <v>0</v>
      </c>
      <c r="AF40" s="1071"/>
      <c r="AG40" s="1070">
        <f>IF(AG38=0,0,AG39/AG38)*100</f>
        <v>0</v>
      </c>
      <c r="AH40" s="1070">
        <f>IF(AH38=0,0,AH39/AH38)*100</f>
        <v>0</v>
      </c>
      <c r="AI40" s="1071"/>
      <c r="AJ40" s="1070">
        <f>IF(AJ38=0,0,AJ39/AJ38)*100</f>
        <v>0</v>
      </c>
      <c r="AK40" s="1070">
        <f>IF(AK38=0,0,AK39/AK38)*100</f>
        <v>0</v>
      </c>
      <c r="AL40" s="1071"/>
      <c r="AM40" s="1070">
        <f>IF(AM38=0,0,AM39/AM38)*100</f>
        <v>0</v>
      </c>
      <c r="AN40" s="1070">
        <f>IF(AN38=0,0,AN39/AN38)*100</f>
        <v>0</v>
      </c>
      <c r="AO40" s="1071"/>
      <c r="AP40" s="1070">
        <f>IF(AP38=0,0,AP39/AP38)*100</f>
        <v>0</v>
      </c>
      <c r="AQ40" s="1070">
        <f>IF(AQ38=0,0,AQ39/AQ38)*100</f>
        <v>0</v>
      </c>
      <c r="AR40" s="1071"/>
      <c r="AS40" s="1070">
        <f>IF(AS38=0,0,AS39/AS38)*100</f>
        <v>0</v>
      </c>
      <c r="AT40" s="1070">
        <f>IF(AT38=0,0,AT39/AT38)*100</f>
        <v>0</v>
      </c>
      <c r="AU40" s="1071"/>
      <c r="AV40" s="1070">
        <f>IF(AV38=0,0,AV39/AV38)*100</f>
        <v>0</v>
      </c>
      <c r="AW40" s="1070">
        <f>IF(AW38=0,0,AW39/AW38)*100</f>
        <v>0</v>
      </c>
      <c r="AX40" s="1071"/>
      <c r="AY40" s="1070">
        <f>IF(AY38=0,0,AY39/AY38)*100</f>
        <v>0</v>
      </c>
      <c r="AZ40" s="1070">
        <f>IF(AZ38=0,0,AZ39/AZ38)*100</f>
        <v>0</v>
      </c>
      <c r="BA40" s="1071"/>
      <c r="BB40" s="1070">
        <f>IF(BB38=0,0,BB39/BB38)*100</f>
        <v>0</v>
      </c>
      <c r="BC40" s="1070">
        <f>IF(BC38=0,0,BC39/BC38)*100</f>
        <v>0</v>
      </c>
      <c r="BD40" s="1071"/>
      <c r="BE40" s="1070">
        <f>IF(BE38=0,0,BE39/BE38)*100</f>
        <v>0</v>
      </c>
      <c r="BF40" s="1070">
        <f>IF(BF38=0,0,BF39/BF38)*100</f>
        <v>0</v>
      </c>
      <c r="BG40" s="1071"/>
      <c r="BH40" s="1070">
        <f>IF(BH38=0,0,BH39/BH38)*100</f>
        <v>0</v>
      </c>
      <c r="BI40" s="1070">
        <f>IF(BI38=0,0,BI39/BI38)*100</f>
        <v>0</v>
      </c>
      <c r="BJ40" s="1071"/>
      <c r="BK40" s="1070">
        <f>IF(BK38=0,0,BK39/BK38)*100</f>
        <v>0</v>
      </c>
      <c r="BL40" s="1070">
        <f>IF(BL38=0,0,BL39/BL38)*100</f>
        <v>0</v>
      </c>
      <c r="BM40" s="1071"/>
      <c r="BN40" s="1070">
        <f>IF(BN38=0,0,BN39/BN38)*100</f>
        <v>0</v>
      </c>
      <c r="BO40" s="1070">
        <f>IF(BO38=0,0,BO39/BO38)*100</f>
        <v>0</v>
      </c>
      <c r="BP40" s="1071"/>
      <c r="BQ40" s="1070">
        <f>IF(BQ38=0,0,BQ39/BQ38)*100</f>
        <v>0</v>
      </c>
      <c r="BR40" s="1070">
        <f>IF(BR38=0,0,BR39/BR38)*100</f>
        <v>0</v>
      </c>
      <c r="BS40" s="1071"/>
      <c r="BT40" s="1070">
        <f>IF(BT38=0,0,BT39/BT38)*100</f>
        <v>0</v>
      </c>
      <c r="BU40" s="1070">
        <f>IF(BU38=0,0,BU39/BU38)*100</f>
        <v>0</v>
      </c>
      <c r="BV40" s="1071"/>
      <c r="BW40" s="1070">
        <f>IF(BW38=0,0,BW39/BW38)*100</f>
        <v>0</v>
      </c>
      <c r="BX40" s="1070">
        <f>IF(BX38=0,0,BX39/BX38)*100</f>
        <v>0</v>
      </c>
      <c r="BY40" s="1071"/>
      <c r="BZ40" s="1070">
        <f>IF(BZ38=0,0,BZ39/BZ38)*100</f>
        <v>0</v>
      </c>
      <c r="CA40" s="1070">
        <f>IF(CA38=0,0,CA39/CA38)*100</f>
        <v>0</v>
      </c>
      <c r="CB40" s="1071"/>
      <c r="CC40" s="1070">
        <f>IF(CC38=0,0,CC39/CC38)*100</f>
        <v>0</v>
      </c>
      <c r="CD40" s="1070">
        <f>IF(CD38=0,0,CD39/CD38)*100</f>
        <v>0</v>
      </c>
      <c r="CE40" s="1071"/>
      <c r="CF40" s="1070">
        <f>IF(CF38=0,0,CF39/CF38)*100</f>
        <v>0</v>
      </c>
      <c r="CG40" s="1070">
        <f>IF(CG38=0,0,CG39/CG38)*100</f>
        <v>0</v>
      </c>
      <c r="CH40" s="1071"/>
      <c r="CI40" s="1070">
        <f>IF(CI38=0,0,CI39/CI38)*100</f>
        <v>0</v>
      </c>
      <c r="CJ40" s="1070">
        <f>IF(CJ38=0,0,CJ39/CJ38)*100</f>
        <v>0</v>
      </c>
      <c r="CK40" s="1071"/>
      <c r="CL40" s="1070">
        <f>IF(CL38=0,0,CL39/CL38)*100</f>
        <v>0</v>
      </c>
      <c r="CM40" s="1070">
        <f>IF(CM38=0,0,CM39/CM38)*100</f>
        <v>0</v>
      </c>
      <c r="CN40" s="1071"/>
      <c r="CO40" s="1070">
        <f>IF(CO38=0,0,CO39/CO38)*100</f>
        <v>0</v>
      </c>
      <c r="CP40" s="1070">
        <f>IF(CP38=0,0,CP39/CP38)*100</f>
        <v>0</v>
      </c>
      <c r="CQ40" s="1071"/>
      <c r="CR40" s="1070">
        <f>IF(CR38=0,0,CR39/CR38)*100</f>
        <v>0</v>
      </c>
      <c r="CS40" s="1070">
        <f>IF(CS38=0,0,CS39/CS38)*100</f>
        <v>0</v>
      </c>
      <c r="CT40" s="1071"/>
      <c r="CU40" s="1070">
        <f>IF(CU38=0,0,CU39/CU38)*100</f>
        <v>0</v>
      </c>
      <c r="CV40" s="1070">
        <f>IF(CV38=0,0,CV39/CV38)*100</f>
        <v>0</v>
      </c>
      <c r="CW40" s="1071"/>
      <c r="CX40" s="1070">
        <f>IF(CX38=0,0,CX39/CX38)*100</f>
        <v>0</v>
      </c>
      <c r="CY40" s="1070">
        <f>IF(CY38=0,0,CY39/CY38)*100</f>
        <v>0</v>
      </c>
      <c r="CZ40" s="1071"/>
      <c r="DA40" s="1070">
        <f>IF(DA38=0,0,DA39/DA38)*100</f>
        <v>0</v>
      </c>
      <c r="DB40" s="1070">
        <f>IF(DB38=0,0,DB39/DB38)*100</f>
        <v>0</v>
      </c>
      <c r="DC40" s="1071"/>
      <c r="DD40" s="1070">
        <f>IF(DD38=0,0,DD39/DD38)*100</f>
        <v>0</v>
      </c>
      <c r="DE40" s="1070">
        <f>IF(DE38=0,0,DE39/DE38)*100</f>
        <v>0</v>
      </c>
      <c r="DF40" s="1071"/>
      <c r="DG40" s="1070">
        <f>IF(DG38=0,0,DG39/DG38)*100</f>
        <v>0</v>
      </c>
      <c r="DH40" s="1070">
        <f>IF(DH38=0,0,DH39/DH38)*100</f>
        <v>0</v>
      </c>
      <c r="DI40" s="1071"/>
      <c r="DJ40" s="1070">
        <f>IF(DJ38=0,0,DJ39/DJ38)*100</f>
        <v>0</v>
      </c>
      <c r="DK40" s="1070">
        <f>IF(DK38=0,0,DK39/DK38)*100</f>
        <v>0</v>
      </c>
      <c r="DL40" s="1071"/>
      <c r="DM40" s="1070">
        <f>IF(DM38=0,0,DM39/DM38)*100</f>
        <v>0</v>
      </c>
      <c r="DN40" s="1070">
        <f>IF(DN38=0,0,DN39/DN38)*100</f>
        <v>0</v>
      </c>
      <c r="DO40" s="1071"/>
      <c r="DP40" s="1070">
        <f>IF(DP38=0,0,DP39/DP38)*100</f>
        <v>0</v>
      </c>
      <c r="DQ40" s="1070">
        <f>IF(DQ38=0,0,DQ39/DQ38)*100</f>
        <v>0</v>
      </c>
      <c r="DR40" s="1071"/>
      <c r="DS40" s="1070">
        <f>IF(DS38=0,0,DS39/DS38)*100</f>
        <v>0</v>
      </c>
      <c r="DT40" s="1070">
        <f>IF(DT38=0,0,DT39/DT38)*100</f>
        <v>0</v>
      </c>
      <c r="DU40" s="1071"/>
      <c r="DV40" s="1070">
        <f>IF(DV38=0,0,DV39/DV38)*100</f>
        <v>0</v>
      </c>
      <c r="DW40" s="1070">
        <f>IF(DW38=0,0,DW39/DW38)*100</f>
        <v>0</v>
      </c>
      <c r="DX40" s="1071"/>
      <c r="DY40" s="1070">
        <f>IF(DY38=0,0,DY39/DY38)*100</f>
        <v>0</v>
      </c>
      <c r="DZ40" s="1070">
        <f>IF(DZ38=0,0,DZ39/DZ38)*100</f>
        <v>0</v>
      </c>
      <c r="EA40" s="1071"/>
      <c r="EB40" s="1070">
        <f>IF(EB38=0,0,EB39/EB38)*100</f>
        <v>0</v>
      </c>
      <c r="EC40" s="1070">
        <f>IF(EC38=0,0,EC39/EC38)*100</f>
        <v>0</v>
      </c>
      <c r="ED40" s="1071"/>
      <c r="EE40" s="1070">
        <f>IF(EE38=0,0,EE39/EE38)*100</f>
        <v>0</v>
      </c>
      <c r="EF40" s="1070">
        <f>IF(EF38=0,0,EF39/EF38)*100</f>
        <v>0</v>
      </c>
      <c r="EG40" s="1071"/>
      <c r="EH40" s="1070">
        <f>IF(EH38=0,0,EH39/EH38)*100</f>
        <v>0</v>
      </c>
      <c r="EI40" s="1070">
        <f>IF(EI38=0,0,EI39/EI38)*100</f>
        <v>0</v>
      </c>
      <c r="EJ40" s="1071"/>
      <c r="EK40" s="1070">
        <f>IF(EK38=0,0,EK39/EK38)*100</f>
        <v>0</v>
      </c>
      <c r="EL40" s="1070">
        <f>IF(EL38=0,0,EL39/EL38)*100</f>
        <v>0</v>
      </c>
      <c r="EM40" s="1071"/>
      <c r="EN40" s="1070">
        <f>IF(EN38=0,0,EN39/EN38)*100</f>
        <v>0</v>
      </c>
      <c r="EO40" s="1070">
        <f>IF(EO38=0,0,EO39/EO38)*100</f>
        <v>0</v>
      </c>
      <c r="EP40" s="1071"/>
      <c r="EQ40" s="1070">
        <f>IF(EQ38=0,0,EQ39/EQ38)*100</f>
        <v>0</v>
      </c>
      <c r="ER40" s="1070">
        <f>IF(ER38=0,0,ER39/ER38)*100</f>
        <v>0</v>
      </c>
      <c r="ES40" s="1071"/>
      <c r="ET40" s="1070">
        <f>IF(ET38=0,0,ET39/ET38)*100</f>
        <v>0</v>
      </c>
      <c r="EU40" s="1070">
        <f>IF(EU38=0,0,EU39/EU38)*100</f>
        <v>0</v>
      </c>
      <c r="EV40" s="1071"/>
      <c r="EW40" s="1070">
        <f>IF(EW38=0,0,EW39/EW38)*100</f>
        <v>0</v>
      </c>
      <c r="EX40" s="1070">
        <f>IF(EX38=0,0,EX39/EX38)*100</f>
        <v>0</v>
      </c>
      <c r="EY40" s="1071"/>
      <c r="EZ40" s="1070">
        <f>IF(EZ38=0,0,EZ39/EZ38)*100</f>
        <v>0</v>
      </c>
      <c r="FA40" s="1070">
        <f>IF(FA38=0,0,FA39/FA38)*100</f>
        <v>0</v>
      </c>
      <c r="FB40" s="1071"/>
      <c r="FC40" s="1070">
        <f>IF(FC38=0,0,FC39/FC38)*100</f>
        <v>0</v>
      </c>
      <c r="FD40" s="1070">
        <f>IF(FD38=0,0,FD39/FD38)*100</f>
        <v>0</v>
      </c>
      <c r="FE40" s="1071"/>
      <c r="FF40" s="1070">
        <f>IF(FF38=0,0,FF39/FF38)*100</f>
        <v>0</v>
      </c>
      <c r="FG40" s="1070">
        <f>IF(FG38=0,0,FG39/FG38)*100</f>
        <v>0</v>
      </c>
      <c r="FH40" s="1071"/>
      <c r="FI40" s="1070">
        <f>IF(FI38=0,0,FI39/FI38)*100</f>
        <v>0</v>
      </c>
      <c r="FJ40" s="1070">
        <f>IF(FJ38=0,0,FJ39/FJ38)*100</f>
        <v>0</v>
      </c>
      <c r="FK40" s="1071"/>
      <c r="FL40" s="1070">
        <f>IF(FL38=0,0,FL39/FL38)*100</f>
        <v>0</v>
      </c>
      <c r="FM40" s="1070">
        <f>IF(FM38=0,0,FM39/FM38)*100</f>
        <v>0</v>
      </c>
      <c r="FN40" s="1071"/>
      <c r="FO40" s="1070">
        <f>IF(FO38=0,0,FO39/FO38)*100</f>
        <v>0</v>
      </c>
      <c r="FP40" s="1070">
        <f>IF(FP38=0,0,FP39/FP38)*100</f>
        <v>0</v>
      </c>
      <c r="FQ40" s="1071"/>
      <c r="FR40" s="1070">
        <f>IF(FR38=0,0,FR39/FR38)*100</f>
        <v>0</v>
      </c>
      <c r="FS40" s="1070">
        <f>IF(FS38=0,0,FS39/FS38)*100</f>
        <v>0</v>
      </c>
      <c r="FT40" s="1071"/>
      <c r="FU40" s="1070">
        <f>IF(FU38=0,0,FU39/FU38)*100</f>
        <v>0</v>
      </c>
      <c r="FV40" s="1070">
        <f>IF(FV38=0,0,FV39/FV38)*100</f>
        <v>0</v>
      </c>
      <c r="FW40" s="1071"/>
      <c r="FX40" s="258"/>
      <c r="FY40" s="1282"/>
      <c r="FZ40" s="1032" t="s">
        <v>1497</v>
      </c>
      <c r="GA40" s="1284"/>
      <c r="GB40" s="1284"/>
      <c r="GC40" s="1283"/>
      <c r="GD40" s="1283"/>
    </row>
    <row customHeight="1" ht="14.625" hidden="1">
      <c r="A41" s="466"/>
      <c r="B41" s="901" cm="1" t="str">
        <f t="array" ref="B41:B41">B40</f>
        <v>false</v>
      </c>
      <c r="C41" s="466"/>
      <c r="D41" s="466"/>
      <c r="E41" s="816">
        <v>15</v>
      </c>
      <c r="F41" s="50" cm="1" t="str">
        <f t="array" ref="F41:F41">OFFSET(E41,-1,1)</f>
        <v>0</v>
      </c>
      <c r="G41" s="73" t="s">
        <v>1498</v>
      </c>
      <c r="H41" s="466" t="s">
        <v>441</v>
      </c>
      <c r="I41" s="466" t="s">
        <v>1496</v>
      </c>
      <c r="J41" s="466"/>
      <c r="K41" s="466"/>
      <c r="L41" s="466"/>
      <c r="M41" s="466"/>
      <c r="N41" s="466"/>
      <c r="O41" s="466"/>
      <c r="P41" s="466"/>
      <c r="Q41" s="873"/>
      <c r="R41" s="466"/>
      <c r="S41" s="466"/>
      <c r="T41" s="438" cm="1" t="str">
        <f t="array" ref="T41:T41">T40</f>
        <v>false</v>
      </c>
      <c r="U41" s="466"/>
      <c r="V41" s="466"/>
      <c r="W41" s="466"/>
      <c r="X41" s="1541"/>
      <c r="Y41" s="466"/>
      <c r="Z41" s="1493"/>
      <c r="AA41" s="466"/>
      <c r="AB41" s="876" t="s">
        <v>1499</v>
      </c>
      <c r="AC41" s="840" t="s">
        <v>506</v>
      </c>
      <c r="AD41" s="2907">
        <f>IF(AND(method_reg="Метод индексации",god&lt;&gt;first_year),_xlfn.SUMIFS(INDEX('Калькуляция (МИ корр)'!$AJ$25:$BC$315,,MATCH(AD$8,'Калькуляция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(МИ)'!$AJ$25:$BC$315,,MATCH(AD$8,'Калькуляция (МИ)'!$AJ$8:$BC$8,0)),'Калькуляция (МИ)'!$F$25:$F$315,$F41,'Калькуляция (МИ)'!$G$25:$G$315,$G41))))</f>
        <v>0</v>
      </c>
      <c r="AE41" s="2907">
        <f>IF(AND(method_reg="Метод индексации",god&lt;&gt;first_year),_xlfn.SUMIFS(INDEX('Калькуляция (МИ корр)'!$AJ$25:$BC$315,,MATCH(AE$8,'Калькуляция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(МИ)'!$AJ$25:$BC$315,,MATCH(AE$8,'Калькуляция (МИ)'!$AJ$8:$BC$8,0)),'Калькуляция (МИ)'!$F$25:$F$315,$F41,'Калькуляция (МИ)'!$G$25:$G$315,$G41))))</f>
        <v>0</v>
      </c>
      <c r="AF41" s="1073">
        <f>IF(AD41=0,0,(AE41-AD41)/AD41*100)</f>
        <v>0</v>
      </c>
      <c r="AG41" s="2907">
        <f>IF(AND(method_reg="Метод индексации",god&lt;&gt;first_year),_xlfn.SUMIFS(INDEX('Калькуляция (МИ корр)'!$AJ$25:$BC$315,,MATCH(AG$8,'Калькуляция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(МИ)'!$AJ$25:$BC$315,,MATCH(AG$8,'Калькуляция (МИ)'!$AJ$8:$BC$8,0)),'Калькуляция (МИ)'!$F$25:$F$315,$F41,'Калькуляция (МИ)'!$G$25:$G$315,$G41))))</f>
        <v>0</v>
      </c>
      <c r="AH41" s="2907">
        <f>IF(AND(method_reg="Метод индексации",god&lt;&gt;first_year),_xlfn.SUMIFS(INDEX('Калькуляция (МИ корр)'!$AJ$25:$BC$315,,MATCH(AH$8,'Калькуляция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(МИ)'!$AJ$25:$BC$315,,MATCH(AH$8,'Калькуляция (МИ)'!$AJ$8:$BC$8,0)),'Калькуляция (МИ)'!$F$25:$F$315,$F41,'Калькуляция (МИ)'!$G$25:$G$315,$G41))))</f>
        <v>0</v>
      </c>
      <c r="AI41" s="1073">
        <f>IF(AG41=0,0,(AH41-AG41)/AG41*100)</f>
        <v>0</v>
      </c>
      <c r="AJ41" s="2907">
        <f>IF(AND(method_reg="Метод индексации",god&lt;&gt;first_year),_xlfn.SUMIFS(INDEX('Калькуляция (МИ корр)'!$AJ$25:$BC$315,,MATCH(AJ$8,'Калькуляция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(МИ)'!$AJ$25:$BC$315,,MATCH(AJ$8,'Калькуляция (МИ)'!$AJ$8:$BC$8,0)),'Калькуляция (МИ)'!$F$25:$F$315,$F41,'Калькуляция (МИ)'!$G$25:$G$315,$G41))))</f>
        <v>0</v>
      </c>
      <c r="AK41" s="2907">
        <f>IF(AND(method_reg="Метод индексации",god&lt;&gt;first_year),_xlfn.SUMIFS(INDEX('Калькуляция (МИ корр)'!$AJ$25:$BC$315,,MATCH(AK$8,'Калькуляция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(МИ)'!$AJ$25:$BC$315,,MATCH(AK$8,'Калькуляция (МИ)'!$AJ$8:$BC$8,0)),'Калькуляция (МИ)'!$F$25:$F$315,$F41,'Калькуляция (МИ)'!$G$25:$G$315,$G41))))</f>
        <v>0</v>
      </c>
      <c r="AL41" s="1073">
        <f>IF(AJ41=0,0,(AK41-AJ41)/AJ41*100)</f>
        <v>0</v>
      </c>
      <c r="AM41" s="2907">
        <f>IF(AND(method_reg="Метод индексации",god&lt;&gt;first_year),_xlfn.SUMIFS(INDEX('Калькуляция (МИ корр)'!$AJ$25:$BC$315,,MATCH(AM$8,'Калькуляция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(МИ)'!$AJ$25:$BC$315,,MATCH(AM$8,'Калькуляция (МИ)'!$AJ$8:$BC$8,0)),'Калькуляция (МИ)'!$F$25:$F$315,$F41,'Калькуляция (МИ)'!$G$25:$G$315,$G41))))</f>
        <v>0</v>
      </c>
      <c r="AN41" s="2907">
        <f>IF(AND(method_reg="Метод индексации",god&lt;&gt;first_year),_xlfn.SUMIFS(INDEX('Калькуляция (МИ корр)'!$AJ$25:$BC$315,,MATCH(AN$8,'Калькуляция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(МИ)'!$AJ$25:$BC$315,,MATCH(AN$8,'Калькуляция (МИ)'!$AJ$8:$BC$8,0)),'Калькуляция (МИ)'!$F$25:$F$315,$F41,'Калькуляция (МИ)'!$G$25:$G$315,$G41))))</f>
        <v>0</v>
      </c>
      <c r="AO41" s="1073">
        <f>IF(AM41=0,0,(AN41-AM41)/AM41*100)</f>
        <v>0</v>
      </c>
      <c r="AP41" s="2907">
        <f>IF(AND(method_reg="Метод индексации",god&lt;&gt;first_year),_xlfn.SUMIFS(INDEX('Калькуляция (МИ корр)'!$AJ$25:$BC$315,,MATCH(AP$8,'Калькуляция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(МИ)'!$AJ$25:$BC$315,,MATCH(AP$8,'Калькуляция (МИ)'!$AJ$8:$BC$8,0)),'Калькуляция (МИ)'!$F$25:$F$315,$F41,'Калькуляция (МИ)'!$G$25:$G$315,$G41))))</f>
        <v>0</v>
      </c>
      <c r="AQ41" s="2907">
        <f>IF(AND(method_reg="Метод индексации",god&lt;&gt;first_year),_xlfn.SUMIFS(INDEX('Калькуляция (МИ корр)'!$AJ$25:$BC$315,,MATCH(AQ$8,'Калькуляция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(МИ)'!$AJ$25:$BC$315,,MATCH(AQ$8,'Калькуляция (МИ)'!$AJ$8:$BC$8,0)),'Калькуляция (МИ)'!$F$25:$F$315,$F41,'Калькуляция (МИ)'!$G$25:$G$315,$G41))))</f>
        <v>0</v>
      </c>
      <c r="AR41" s="1073">
        <f>IF(AP41=0,0,(AQ41-AP41)/AP41*100)</f>
        <v>0</v>
      </c>
      <c r="AS41" s="2907">
        <f>IF(AND(method_reg="Метод индексации",god&lt;&gt;first_year),_xlfn.SUMIFS(INDEX('Калькуляция (МИ корр)'!$AJ$25:$BC$315,,MATCH(AS$8,'Калькуляция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(МИ)'!$AJ$25:$BC$315,,MATCH(AS$8,'Калькуляция (МИ)'!$AJ$8:$BC$8,0)),'Калькуляция (МИ)'!$F$25:$F$315,$F41,'Калькуляция (МИ)'!$G$25:$G$315,$G41))))</f>
        <v>0</v>
      </c>
      <c r="AT41" s="2907">
        <f>IF(AND(method_reg="Метод индексации",god&lt;&gt;first_year),_xlfn.SUMIFS(INDEX('Калькуляция (МИ корр)'!$AJ$25:$BC$315,,MATCH(AT$8,'Калькуляция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(МИ)'!$AJ$25:$BC$315,,MATCH(AT$8,'Калькуляция (МИ)'!$AJ$8:$BC$8,0)),'Калькуляция (МИ)'!$F$25:$F$315,$F41,'Калькуляция (МИ)'!$G$25:$G$315,$G41))))</f>
        <v>0</v>
      </c>
      <c r="AU41" s="1073">
        <f>IF(AS41=0,0,(AT41-AS41)/AS41*100)</f>
        <v>0</v>
      </c>
      <c r="AV41" s="2907">
        <f>IF(AND(method_reg="Метод индексации",god&lt;&gt;first_year),_xlfn.SUMIFS(INDEX('Калькуляция (МИ корр)'!$AJ$25:$BC$315,,MATCH(AV$8,'Калькуляция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(МИ)'!$AJ$25:$BC$315,,MATCH(AV$8,'Калькуляция (МИ)'!$AJ$8:$BC$8,0)),'Калькуляция (МИ)'!$F$25:$F$315,$F41,'Калькуляция (МИ)'!$G$25:$G$315,$G41))))</f>
        <v>0</v>
      </c>
      <c r="AW41" s="2907">
        <f>IF(AND(method_reg="Метод индексации",god&lt;&gt;first_year),_xlfn.SUMIFS(INDEX('Калькуляция (МИ корр)'!$AJ$25:$BC$315,,MATCH(AW$8,'Калькуляция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(МИ)'!$AJ$25:$BC$315,,MATCH(AW$8,'Калькуляция (МИ)'!$AJ$8:$BC$8,0)),'Калькуляция (МИ)'!$F$25:$F$315,$F41,'Калькуляция (МИ)'!$G$25:$G$315,$G41))))</f>
        <v>0</v>
      </c>
      <c r="AX41" s="1073">
        <f>IF(AV41=0,0,(AW41-AV41)/AV41*100)</f>
        <v>0</v>
      </c>
      <c r="AY41" s="2907">
        <f>IF(AND(method_reg="Метод индексации",god&lt;&gt;first_year),_xlfn.SUMIFS(INDEX('Калькуляция (МИ корр)'!$AJ$25:$BC$315,,MATCH(AY$8,'Калькуляция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(МИ)'!$AJ$25:$BC$315,,MATCH(AY$8,'Калькуляция (МИ)'!$AJ$8:$BC$8,0)),'Калькуляция (МИ)'!$F$25:$F$315,$F41,'Калькуляция (МИ)'!$G$25:$G$315,$G41))))</f>
        <v>0</v>
      </c>
      <c r="AZ41" s="2907">
        <f>IF(AND(method_reg="Метод индексации",god&lt;&gt;first_year),_xlfn.SUMIFS(INDEX('Калькуляция (МИ корр)'!$AJ$25:$BC$315,,MATCH(AZ$8,'Калькуляция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(МИ)'!$AJ$25:$BC$315,,MATCH(AZ$8,'Калькуляция (МИ)'!$AJ$8:$BC$8,0)),'Калькуляция (МИ)'!$F$25:$F$315,$F41,'Калькуляция (МИ)'!$G$25:$G$315,$G41))))</f>
        <v>0</v>
      </c>
      <c r="BA41" s="1073">
        <f>IF(AY41=0,0,(AZ41-AY41)/AY41*100)</f>
        <v>0</v>
      </c>
      <c r="BB41" s="2907">
        <f>IF(AND(method_reg="Метод индексации",god&lt;&gt;first_year),_xlfn.SUMIFS(INDEX('Калькуляция (МИ корр)'!$AJ$25:$BC$315,,MATCH(BB$8,'Калькуляция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(МИ)'!$AJ$25:$BC$315,,MATCH(BB$8,'Калькуляция (МИ)'!$AJ$8:$BC$8,0)),'Калькуляция (МИ)'!$F$25:$F$315,$F41,'Калькуляция (МИ)'!$G$25:$G$315,$G41))))</f>
        <v>0</v>
      </c>
      <c r="BC41" s="2907">
        <f>IF(AND(method_reg="Метод индексации",god&lt;&gt;first_year),_xlfn.SUMIFS(INDEX('Калькуляция (МИ корр)'!$AJ$25:$BC$315,,MATCH(BC$8,'Калькуляция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(МИ)'!$AJ$25:$BC$315,,MATCH(BC$8,'Калькуляция (МИ)'!$AJ$8:$BC$8,0)),'Калькуляция (МИ)'!$F$25:$F$315,$F41,'Калькуляция (МИ)'!$G$25:$G$315,$G41))))</f>
        <v>0</v>
      </c>
      <c r="BD41" s="1073">
        <f>IF(BB41=0,0,(BC41-BB41)/BB41*100)</f>
        <v>0</v>
      </c>
      <c r="BE41" s="2907">
        <f>IF(AND(method_reg="Метод индексации",god&lt;&gt;first_year),_xlfn.SUMIFS(INDEX('Калькуляция (МИ корр)'!$AJ$25:$BC$315,,MATCH(BE$8,'Калькуляция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(МИ)'!$AJ$25:$BC$315,,MATCH(BE$8,'Калькуляция (МИ)'!$AJ$8:$BC$8,0)),'Калькуляция (МИ)'!$F$25:$F$315,$F41,'Калькуляция (МИ)'!$G$25:$G$315,$G41))))</f>
        <v>0</v>
      </c>
      <c r="BF41" s="2907">
        <f>IF(AND(method_reg="Метод индексации",god&lt;&gt;first_year),_xlfn.SUMIFS(INDEX('Калькуляция (МИ корр)'!$AJ$25:$BC$315,,MATCH(BF$8,'Калькуляция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(МИ)'!$AJ$25:$BC$315,,MATCH(BF$8,'Калькуляция (МИ)'!$AJ$8:$BC$8,0)),'Калькуляция (МИ)'!$F$25:$F$315,$F41,'Калькуляция (МИ)'!$G$25:$G$315,$G41))))</f>
        <v>0</v>
      </c>
      <c r="BG41" s="1073">
        <f>IF(BE41=0,0,(BF41-BE41)/BE41*100)</f>
        <v>0</v>
      </c>
      <c r="BH41" s="2907"/>
      <c r="BI41" s="2907"/>
      <c r="BJ41" s="1073">
        <f>IF(BH41=0,0,(BI41-BH41)/BH41*100)</f>
        <v>0</v>
      </c>
      <c r="BK41" s="2907"/>
      <c r="BL41" s="2907"/>
      <c r="BM41" s="1073">
        <f>IF(BK41=0,0,(BL41-BK41)/BK41*100)</f>
        <v>0</v>
      </c>
      <c r="BN41" s="2907"/>
      <c r="BO41" s="2907"/>
      <c r="BP41" s="1073">
        <f>IF(BN41=0,0,(BO41-BN41)/BN41*100)</f>
        <v>0</v>
      </c>
      <c r="BQ41" s="2907"/>
      <c r="BR41" s="2907"/>
      <c r="BS41" s="1073">
        <f>IF(BQ41=0,0,(BR41-BQ41)/BQ41*100)</f>
        <v>0</v>
      </c>
      <c r="BT41" s="2907"/>
      <c r="BU41" s="2907"/>
      <c r="BV41" s="1073">
        <f>IF(BT41=0,0,(BU41-BT41)/BT41*100)</f>
        <v>0</v>
      </c>
      <c r="BW41" s="2907"/>
      <c r="BX41" s="2907"/>
      <c r="BY41" s="1073">
        <f>IF(BW41=0,0,(BX41-BW41)/BW41*100)</f>
        <v>0</v>
      </c>
      <c r="BZ41" s="2907"/>
      <c r="CA41" s="2907"/>
      <c r="CB41" s="1073">
        <f>IF(BZ41=0,0,(CA41-BZ41)/BZ41*100)</f>
        <v>0</v>
      </c>
      <c r="CC41" s="2907"/>
      <c r="CD41" s="2907"/>
      <c r="CE41" s="1073">
        <f>IF(CC41=0,0,(CD41-CC41)/CC41*100)</f>
        <v>0</v>
      </c>
      <c r="CF41" s="2907"/>
      <c r="CG41" s="2907"/>
      <c r="CH41" s="1073">
        <f>IF(CF41=0,0,(CG41-CF41)/CF41*100)</f>
        <v>0</v>
      </c>
      <c r="CI41" s="2907"/>
      <c r="CJ41" s="2907"/>
      <c r="CK41" s="1073">
        <f>IF(CI41=0,0,(CJ41-CI41)/CI41*100)</f>
        <v>0</v>
      </c>
      <c r="CL41" s="2907"/>
      <c r="CM41" s="2907"/>
      <c r="CN41" s="1073">
        <f>IF(CL41=0,0,(CM41-CL41)/CL41*100)</f>
        <v>0</v>
      </c>
      <c r="CO41" s="2907"/>
      <c r="CP41" s="2907"/>
      <c r="CQ41" s="1073">
        <f>IF(CO41=0,0,(CP41-CO41)/CO41*100)</f>
        <v>0</v>
      </c>
      <c r="CR41" s="2907"/>
      <c r="CS41" s="2907"/>
      <c r="CT41" s="1073">
        <f>IF(CR41=0,0,(CS41-CR41)/CR41*100)</f>
        <v>0</v>
      </c>
      <c r="CU41" s="2907"/>
      <c r="CV41" s="2907"/>
      <c r="CW41" s="1073">
        <f>IF(CU41=0,0,(CV41-CU41)/CU41*100)</f>
        <v>0</v>
      </c>
      <c r="CX41" s="2907"/>
      <c r="CY41" s="2907"/>
      <c r="CZ41" s="1073">
        <f>IF(CX41=0,0,(CY41-CX41)/CX41*100)</f>
        <v>0</v>
      </c>
      <c r="DA41" s="2907"/>
      <c r="DB41" s="2907"/>
      <c r="DC41" s="1073">
        <f>IF(DA41=0,0,(DB41-DA41)/DA41*100)</f>
        <v>0</v>
      </c>
      <c r="DD41" s="2907"/>
      <c r="DE41" s="2907"/>
      <c r="DF41" s="1073">
        <f>IF(DD41=0,0,(DE41-DD41)/DD41*100)</f>
        <v>0</v>
      </c>
      <c r="DG41" s="2907"/>
      <c r="DH41" s="2907"/>
      <c r="DI41" s="1073">
        <f>IF(DG41=0,0,(DH41-DG41)/DG41*100)</f>
        <v>0</v>
      </c>
      <c r="DJ41" s="2907"/>
      <c r="DK41" s="2907"/>
      <c r="DL41" s="1073">
        <f>IF(DJ41=0,0,(DK41-DJ41)/DJ41*100)</f>
        <v>0</v>
      </c>
      <c r="DM41" s="2907"/>
      <c r="DN41" s="2907"/>
      <c r="DO41" s="1073">
        <f>IF(DM41=0,0,(DN41-DM41)/DM41*100)</f>
        <v>0</v>
      </c>
      <c r="DP41" s="2907"/>
      <c r="DQ41" s="2907"/>
      <c r="DR41" s="1073">
        <f>IF(DP41=0,0,(DQ41-DP41)/DP41*100)</f>
        <v>0</v>
      </c>
      <c r="DS41" s="2907"/>
      <c r="DT41" s="2907"/>
      <c r="DU41" s="1073">
        <f>IF(DS41=0,0,(DT41-DS41)/DS41*100)</f>
        <v>0</v>
      </c>
      <c r="DV41" s="2907"/>
      <c r="DW41" s="2907"/>
      <c r="DX41" s="1073">
        <f>IF(DV41=0,0,(DW41-DV41)/DV41*100)</f>
        <v>0</v>
      </c>
      <c r="DY41" s="2907"/>
      <c r="DZ41" s="2907"/>
      <c r="EA41" s="1073">
        <f>IF(DY41=0,0,(DZ41-DY41)/DY41*100)</f>
        <v>0</v>
      </c>
      <c r="EB41" s="2907"/>
      <c r="EC41" s="2907"/>
      <c r="ED41" s="1073">
        <f>IF(EB41=0,0,(EC41-EB41)/EB41*100)</f>
        <v>0</v>
      </c>
      <c r="EE41" s="2907"/>
      <c r="EF41" s="2907"/>
      <c r="EG41" s="1073">
        <f>IF(EE41=0,0,(EF41-EE41)/EE41*100)</f>
        <v>0</v>
      </c>
      <c r="EH41" s="2907"/>
      <c r="EI41" s="2907"/>
      <c r="EJ41" s="1073">
        <f>IF(EH41=0,0,(EI41-EH41)/EH41*100)</f>
        <v>0</v>
      </c>
      <c r="EK41" s="2907"/>
      <c r="EL41" s="2907"/>
      <c r="EM41" s="1073">
        <f>IF(EK41=0,0,(EL41-EK41)/EK41*100)</f>
        <v>0</v>
      </c>
      <c r="EN41" s="2907"/>
      <c r="EO41" s="2907"/>
      <c r="EP41" s="1073">
        <f>IF(EN41=0,0,(EO41-EN41)/EN41*100)</f>
        <v>0</v>
      </c>
      <c r="EQ41" s="2907"/>
      <c r="ER41" s="2907"/>
      <c r="ES41" s="1073">
        <f>IF(EQ41=0,0,(ER41-EQ41)/EQ41*100)</f>
        <v>0</v>
      </c>
      <c r="ET41" s="2907"/>
      <c r="EU41" s="2907"/>
      <c r="EV41" s="1073">
        <f>IF(ET41=0,0,(EU41-ET41)/ET41*100)</f>
        <v>0</v>
      </c>
      <c r="EW41" s="2907"/>
      <c r="EX41" s="2907"/>
      <c r="EY41" s="1073">
        <f>IF(EW41=0,0,(EX41-EW41)/EW41*100)</f>
        <v>0</v>
      </c>
      <c r="EZ41" s="2907"/>
      <c r="FA41" s="2907"/>
      <c r="FB41" s="1073">
        <f>IF(EZ41=0,0,(FA41-EZ41)/EZ41*100)</f>
        <v>0</v>
      </c>
      <c r="FC41" s="2907"/>
      <c r="FD41" s="2907"/>
      <c r="FE41" s="1073">
        <f>IF(FC41=0,0,(FD41-FC41)/FC41*100)</f>
        <v>0</v>
      </c>
      <c r="FF41" s="2907"/>
      <c r="FG41" s="2907"/>
      <c r="FH41" s="1073">
        <f>IF(FF41=0,0,(FG41-FF41)/FF41*100)</f>
        <v>0</v>
      </c>
      <c r="FI41" s="2907"/>
      <c r="FJ41" s="2907"/>
      <c r="FK41" s="1073">
        <f>IF(FI41=0,0,(FJ41-FI41)/FI41*100)</f>
        <v>0</v>
      </c>
      <c r="FL41" s="2907"/>
      <c r="FM41" s="2907"/>
      <c r="FN41" s="1073">
        <f>IF(FL41=0,0,(FM41-FL41)/FL41*100)</f>
        <v>0</v>
      </c>
      <c r="FO41" s="2907"/>
      <c r="FP41" s="2907"/>
      <c r="FQ41" s="1073">
        <f>IF(FO41=0,0,(FP41-FO41)/FO41*100)</f>
        <v>0</v>
      </c>
      <c r="FR41" s="2907"/>
      <c r="FS41" s="2907"/>
      <c r="FT41" s="1073">
        <f>IF(FR41=0,0,(FS41-FR41)/FR41*100)</f>
        <v>0</v>
      </c>
      <c r="FU41" s="2907"/>
      <c r="FV41" s="2907"/>
      <c r="FW41" s="1073">
        <f>IF(FU41=0,0,(FV41-FU41)/FU41*100)</f>
        <v>0</v>
      </c>
      <c r="FX41" s="258"/>
      <c r="FY41" s="1282"/>
      <c r="FZ41" s="1032" t="s">
        <v>1500</v>
      </c>
      <c r="GA41" s="1284"/>
      <c r="GB41" s="1284"/>
      <c r="GC41" s="1283"/>
      <c r="GD41" s="1283"/>
    </row>
    <row customHeight="1" ht="18.28125" hidden="1">
      <c r="A42" s="466"/>
      <c r="B42" s="901" cm="1" t="str">
        <f t="array" ref="B42:B42">B41</f>
        <v>false</v>
      </c>
      <c r="C42" s="466"/>
      <c r="D42" s="466"/>
      <c r="E42" s="816">
        <v>18.75</v>
      </c>
      <c r="F42" s="50" cm="1" t="str">
        <f t="array" ref="F42:F42">OFFSET(E42,-1,1)</f>
        <v>0</v>
      </c>
      <c r="G42" s="466"/>
      <c r="H42" s="466" t="s">
        <v>434</v>
      </c>
      <c r="I42" s="466" cm="1" t="str">
        <f t="array" ref="I42:I42">AB42</f>
        <v>0</v>
      </c>
      <c r="J42" s="466"/>
      <c r="K42" s="466"/>
      <c r="L42" s="466"/>
      <c r="M42" s="466"/>
      <c r="N42" s="466"/>
      <c r="O42" s="466"/>
      <c r="P42" s="466"/>
      <c r="Q42" s="873"/>
      <c r="R42" s="466"/>
      <c r="S42" s="466"/>
      <c r="T42" s="438">
        <f>AND(F42&gt;0,Y42&gt;0)</f>
        <v>0</v>
      </c>
      <c r="U42" s="466"/>
      <c r="V42" s="466"/>
      <c r="W42" s="466" t="s">
        <v>172</v>
      </c>
      <c r="X42" s="1541"/>
      <c r="Y42" s="1541">
        <v>0</v>
      </c>
      <c r="Z42" s="1493"/>
      <c r="AA42" s="1442" t="s">
        <v>173</v>
      </c>
      <c r="AB42" s="2911"/>
      <c r="AC42" s="840" t="s">
        <v>1476</v>
      </c>
      <c r="AD42" s="2912"/>
      <c r="AE42" s="2913"/>
      <c r="AF42" s="1071">
        <f>IF(AD42=0,0,(AE42-AD42)/AD42*100)</f>
        <v>0</v>
      </c>
      <c r="AG42" s="2912"/>
      <c r="AH42" s="2913"/>
      <c r="AI42" s="1071">
        <f>IF(AG42=0,0,(AH42-AG42)/AG42*100)</f>
        <v>0</v>
      </c>
      <c r="AJ42" s="2912"/>
      <c r="AK42" s="2913"/>
      <c r="AL42" s="1071">
        <f>IF(AJ42=0,0,(AK42-AJ42)/AJ42*100)</f>
        <v>0</v>
      </c>
      <c r="AM42" s="2912"/>
      <c r="AN42" s="2913"/>
      <c r="AO42" s="1071">
        <f>IF(AM42=0,0,(AN42-AM42)/AM42*100)</f>
        <v>0</v>
      </c>
      <c r="AP42" s="2912"/>
      <c r="AQ42" s="2913"/>
      <c r="AR42" s="1071">
        <f>IF(AP42=0,0,(AQ42-AP42)/AP42*100)</f>
        <v>0</v>
      </c>
      <c r="AS42" s="2912"/>
      <c r="AT42" s="2913"/>
      <c r="AU42" s="1071">
        <f>IF(AS42=0,0,(AT42-AS42)/AS42*100)</f>
        <v>0</v>
      </c>
      <c r="AV42" s="2912"/>
      <c r="AW42" s="2913"/>
      <c r="AX42" s="1071">
        <f>IF(AV42=0,0,(AW42-AV42)/AV42*100)</f>
        <v>0</v>
      </c>
      <c r="AY42" s="2912"/>
      <c r="AZ42" s="2913"/>
      <c r="BA42" s="1071">
        <f>IF(AY42=0,0,(AZ42-AY42)/AY42*100)</f>
        <v>0</v>
      </c>
      <c r="BB42" s="2912"/>
      <c r="BC42" s="2913"/>
      <c r="BD42" s="1071">
        <f>IF(BB42=0,0,(BC42-BB42)/BB42*100)</f>
        <v>0</v>
      </c>
      <c r="BE42" s="2912"/>
      <c r="BF42" s="2913"/>
      <c r="BG42" s="1071">
        <f>IF(BE42=0,0,(BF42-BE42)/BE42*100)</f>
        <v>0</v>
      </c>
      <c r="BH42" s="2912"/>
      <c r="BI42" s="2913"/>
      <c r="BJ42" s="1071">
        <f>IF(BH42=0,0,(BI42-BH42)/BH42*100)</f>
        <v>0</v>
      </c>
      <c r="BK42" s="2912"/>
      <c r="BL42" s="2913"/>
      <c r="BM42" s="1071">
        <f>IF(BK42=0,0,(BL42-BK42)/BK42*100)</f>
        <v>0</v>
      </c>
      <c r="BN42" s="2912"/>
      <c r="BO42" s="2913"/>
      <c r="BP42" s="1071">
        <f>IF(BN42=0,0,(BO42-BN42)/BN42*100)</f>
        <v>0</v>
      </c>
      <c r="BQ42" s="2912"/>
      <c r="BR42" s="2913"/>
      <c r="BS42" s="1071">
        <f>IF(BQ42=0,0,(BR42-BQ42)/BQ42*100)</f>
        <v>0</v>
      </c>
      <c r="BT42" s="2912"/>
      <c r="BU42" s="2913"/>
      <c r="BV42" s="1071">
        <f>IF(BT42=0,0,(BU42-BT42)/BT42*100)</f>
        <v>0</v>
      </c>
      <c r="BW42" s="2912"/>
      <c r="BX42" s="2913"/>
      <c r="BY42" s="1071">
        <f>IF(BW42=0,0,(BX42-BW42)/BW42*100)</f>
        <v>0</v>
      </c>
      <c r="BZ42" s="2912"/>
      <c r="CA42" s="2913"/>
      <c r="CB42" s="1071">
        <f>IF(BZ42=0,0,(CA42-BZ42)/BZ42*100)</f>
        <v>0</v>
      </c>
      <c r="CC42" s="2912"/>
      <c r="CD42" s="2913"/>
      <c r="CE42" s="1071">
        <f>IF(CC42=0,0,(CD42-CC42)/CC42*100)</f>
        <v>0</v>
      </c>
      <c r="CF42" s="2912"/>
      <c r="CG42" s="2913"/>
      <c r="CH42" s="1071">
        <f>IF(CF42=0,0,(CG42-CF42)/CF42*100)</f>
        <v>0</v>
      </c>
      <c r="CI42" s="2912"/>
      <c r="CJ42" s="2913"/>
      <c r="CK42" s="1071">
        <f>IF(CI42=0,0,(CJ42-CI42)/CI42*100)</f>
        <v>0</v>
      </c>
      <c r="CL42" s="2912"/>
      <c r="CM42" s="2913"/>
      <c r="CN42" s="1071">
        <f>IF(CL42=0,0,(CM42-CL42)/CL42*100)</f>
        <v>0</v>
      </c>
      <c r="CO42" s="2912"/>
      <c r="CP42" s="2913"/>
      <c r="CQ42" s="1071">
        <f>IF(CO42=0,0,(CP42-CO42)/CO42*100)</f>
        <v>0</v>
      </c>
      <c r="CR42" s="2912"/>
      <c r="CS42" s="2913"/>
      <c r="CT42" s="1071">
        <f>IF(CR42=0,0,(CS42-CR42)/CR42*100)</f>
        <v>0</v>
      </c>
      <c r="CU42" s="2912"/>
      <c r="CV42" s="2913"/>
      <c r="CW42" s="1071">
        <f>IF(CU42=0,0,(CV42-CU42)/CU42*100)</f>
        <v>0</v>
      </c>
      <c r="CX42" s="2912"/>
      <c r="CY42" s="2913"/>
      <c r="CZ42" s="1071">
        <f>IF(CX42=0,0,(CY42-CX42)/CX42*100)</f>
        <v>0</v>
      </c>
      <c r="DA42" s="2912"/>
      <c r="DB42" s="2913"/>
      <c r="DC42" s="1071">
        <f>IF(DA42=0,0,(DB42-DA42)/DA42*100)</f>
        <v>0</v>
      </c>
      <c r="DD42" s="2912"/>
      <c r="DE42" s="2913"/>
      <c r="DF42" s="1071">
        <f>IF(DD42=0,0,(DE42-DD42)/DD42*100)</f>
        <v>0</v>
      </c>
      <c r="DG42" s="2912"/>
      <c r="DH42" s="2913"/>
      <c r="DI42" s="1071">
        <f>IF(DG42=0,0,(DH42-DG42)/DG42*100)</f>
        <v>0</v>
      </c>
      <c r="DJ42" s="2912"/>
      <c r="DK42" s="2913"/>
      <c r="DL42" s="1071">
        <f>IF(DJ42=0,0,(DK42-DJ42)/DJ42*100)</f>
        <v>0</v>
      </c>
      <c r="DM42" s="2912"/>
      <c r="DN42" s="2913"/>
      <c r="DO42" s="1071">
        <f>IF(DM42=0,0,(DN42-DM42)/DM42*100)</f>
        <v>0</v>
      </c>
      <c r="DP42" s="2912"/>
      <c r="DQ42" s="2913"/>
      <c r="DR42" s="1071">
        <f>IF(DP42=0,0,(DQ42-DP42)/DP42*100)</f>
        <v>0</v>
      </c>
      <c r="DS42" s="2912"/>
      <c r="DT42" s="2913"/>
      <c r="DU42" s="1071">
        <f>IF(DS42=0,0,(DT42-DS42)/DS42*100)</f>
        <v>0</v>
      </c>
      <c r="DV42" s="2912"/>
      <c r="DW42" s="2913"/>
      <c r="DX42" s="1071">
        <f>IF(DV42=0,0,(DW42-DV42)/DV42*100)</f>
        <v>0</v>
      </c>
      <c r="DY42" s="2912"/>
      <c r="DZ42" s="2913"/>
      <c r="EA42" s="1071">
        <f>IF(DY42=0,0,(DZ42-DY42)/DY42*100)</f>
        <v>0</v>
      </c>
      <c r="EB42" s="2912"/>
      <c r="EC42" s="2913"/>
      <c r="ED42" s="1071">
        <f>IF(EB42=0,0,(EC42-EB42)/EB42*100)</f>
        <v>0</v>
      </c>
      <c r="EE42" s="2912"/>
      <c r="EF42" s="2913"/>
      <c r="EG42" s="1071">
        <f>IF(EE42=0,0,(EF42-EE42)/EE42*100)</f>
        <v>0</v>
      </c>
      <c r="EH42" s="2912"/>
      <c r="EI42" s="2913"/>
      <c r="EJ42" s="1071">
        <f>IF(EH42=0,0,(EI42-EH42)/EH42*100)</f>
        <v>0</v>
      </c>
      <c r="EK42" s="2912"/>
      <c r="EL42" s="2913"/>
      <c r="EM42" s="1071">
        <f>IF(EK42=0,0,(EL42-EK42)/EK42*100)</f>
        <v>0</v>
      </c>
      <c r="EN42" s="2912"/>
      <c r="EO42" s="2913"/>
      <c r="EP42" s="1071">
        <f>IF(EN42=0,0,(EO42-EN42)/EN42*100)</f>
        <v>0</v>
      </c>
      <c r="EQ42" s="2912"/>
      <c r="ER42" s="2913"/>
      <c r="ES42" s="1071">
        <f>IF(EQ42=0,0,(ER42-EQ42)/EQ42*100)</f>
        <v>0</v>
      </c>
      <c r="ET42" s="2912"/>
      <c r="EU42" s="2913"/>
      <c r="EV42" s="1071">
        <f>IF(ET42=0,0,(EU42-ET42)/ET42*100)</f>
        <v>0</v>
      </c>
      <c r="EW42" s="2912"/>
      <c r="EX42" s="2913"/>
      <c r="EY42" s="1071">
        <f>IF(EW42=0,0,(EX42-EW42)/EW42*100)</f>
        <v>0</v>
      </c>
      <c r="EZ42" s="2912"/>
      <c r="FA42" s="2913"/>
      <c r="FB42" s="1071">
        <f>IF(EZ42=0,0,(FA42-EZ42)/EZ42*100)</f>
        <v>0</v>
      </c>
      <c r="FC42" s="2912"/>
      <c r="FD42" s="2913"/>
      <c r="FE42" s="1071">
        <f>IF(FC42=0,0,(FD42-FC42)/FC42*100)</f>
        <v>0</v>
      </c>
      <c r="FF42" s="2912"/>
      <c r="FG42" s="2913"/>
      <c r="FH42" s="1071">
        <f>IF(FF42=0,0,(FG42-FF42)/FF42*100)</f>
        <v>0</v>
      </c>
      <c r="FI42" s="2912"/>
      <c r="FJ42" s="2913"/>
      <c r="FK42" s="1071">
        <f>IF(FI42=0,0,(FJ42-FI42)/FI42*100)</f>
        <v>0</v>
      </c>
      <c r="FL42" s="2912"/>
      <c r="FM42" s="2913"/>
      <c r="FN42" s="1071">
        <f>IF(FL42=0,0,(FM42-FL42)/FL42*100)</f>
        <v>0</v>
      </c>
      <c r="FO42" s="2912"/>
      <c r="FP42" s="2913"/>
      <c r="FQ42" s="1071">
        <f>IF(FO42=0,0,(FP42-FO42)/FO42*100)</f>
        <v>0</v>
      </c>
      <c r="FR42" s="2912"/>
      <c r="FS42" s="2913"/>
      <c r="FT42" s="1071">
        <f>IF(FR42=0,0,(FS42-FR42)/FR42*100)</f>
        <v>0</v>
      </c>
      <c r="FU42" s="2912"/>
      <c r="FV42" s="2913"/>
      <c r="FW42" s="1071">
        <f>IF(FU42=0,0,(FV42-FU42)/FU42*100)</f>
        <v>0</v>
      </c>
      <c r="FX42" s="258"/>
      <c r="FY42" s="1282"/>
      <c r="FZ42" s="1032" t="s">
        <v>1501</v>
      </c>
      <c r="GA42" s="992" t="s">
        <v>1502</v>
      </c>
      <c r="GB42" s="992" cm="1" t="str">
        <f t="array" ref="GB42:GB42">AB42</f>
        <v>0</v>
      </c>
      <c r="GC42" s="1283"/>
      <c r="GD42" s="607" t="b">
        <v>1</v>
      </c>
    </row>
    <row customHeight="1" ht="14.625" hidden="1">
      <c r="A43" s="466"/>
      <c r="B43" s="901" cm="1" t="str">
        <f t="array" ref="B43:B43">B42</f>
        <v>false</v>
      </c>
      <c r="C43" s="466"/>
      <c r="D43" s="466"/>
      <c r="E43" s="816">
        <v>15</v>
      </c>
      <c r="F43" s="50" cm="1" t="str">
        <f t="array" ref="F43:F43">OFFSET(E43,-1,1)</f>
        <v>0</v>
      </c>
      <c r="G43" s="466"/>
      <c r="H43" s="466" t="s">
        <v>441</v>
      </c>
      <c r="I43" s="466" cm="1" t="str">
        <f t="array" ref="I43:I43">I42</f>
        <v>0</v>
      </c>
      <c r="J43" s="466"/>
      <c r="K43" s="466"/>
      <c r="L43" s="466"/>
      <c r="M43" s="466"/>
      <c r="N43" s="466"/>
      <c r="O43" s="466"/>
      <c r="P43" s="466"/>
      <c r="Q43" s="873"/>
      <c r="R43" s="466"/>
      <c r="S43" s="466"/>
      <c r="T43" s="438" cm="1" t="str">
        <f t="array" ref="T43:T43">T42</f>
        <v>false</v>
      </c>
      <c r="U43" s="466"/>
      <c r="V43" s="466"/>
      <c r="W43" s="466"/>
      <c r="X43" s="1541"/>
      <c r="Y43" s="1541"/>
      <c r="Z43" s="1493"/>
      <c r="AA43" s="1442"/>
      <c r="AB43" s="876" t="s">
        <v>1503</v>
      </c>
      <c r="AC43" s="266" t="s">
        <v>506</v>
      </c>
      <c r="AD43" s="2907"/>
      <c r="AE43" s="2907"/>
      <c r="AF43" s="1073">
        <f>IF(AD43=0,0,(AE43-AD43)/AD43*100)</f>
        <v>0</v>
      </c>
      <c r="AG43" s="2907"/>
      <c r="AH43" s="2907"/>
      <c r="AI43" s="1073">
        <f>IF(AG43=0,0,(AH43-AG43)/AG43*100)</f>
        <v>0</v>
      </c>
      <c r="AJ43" s="2907"/>
      <c r="AK43" s="2907"/>
      <c r="AL43" s="1073">
        <f>IF(AJ43=0,0,(AK43-AJ43)/AJ43*100)</f>
        <v>0</v>
      </c>
      <c r="AM43" s="2907"/>
      <c r="AN43" s="2907"/>
      <c r="AO43" s="1073">
        <f>IF(AM43=0,0,(AN43-AM43)/AM43*100)</f>
        <v>0</v>
      </c>
      <c r="AP43" s="2907"/>
      <c r="AQ43" s="2907"/>
      <c r="AR43" s="1073">
        <f>IF(AP43=0,0,(AQ43-AP43)/AP43*100)</f>
        <v>0</v>
      </c>
      <c r="AS43" s="2907"/>
      <c r="AT43" s="2907"/>
      <c r="AU43" s="1073">
        <f>IF(AS43=0,0,(AT43-AS43)/AS43*100)</f>
        <v>0</v>
      </c>
      <c r="AV43" s="2907"/>
      <c r="AW43" s="2907"/>
      <c r="AX43" s="1073">
        <f>IF(AV43=0,0,(AW43-AV43)/AV43*100)</f>
        <v>0</v>
      </c>
      <c r="AY43" s="2907"/>
      <c r="AZ43" s="2907"/>
      <c r="BA43" s="1073">
        <f>IF(AY43=0,0,(AZ43-AY43)/AY43*100)</f>
        <v>0</v>
      </c>
      <c r="BB43" s="2907"/>
      <c r="BC43" s="2907"/>
      <c r="BD43" s="1073">
        <f>IF(BB43=0,0,(BC43-BB43)/BB43*100)</f>
        <v>0</v>
      </c>
      <c r="BE43" s="2907"/>
      <c r="BF43" s="2907"/>
      <c r="BG43" s="1073">
        <f>IF(BE43=0,0,(BF43-BE43)/BE43*100)</f>
        <v>0</v>
      </c>
      <c r="BH43" s="2907"/>
      <c r="BI43" s="2907"/>
      <c r="BJ43" s="1073">
        <f>IF(BH43=0,0,(BI43-BH43)/BH43*100)</f>
        <v>0</v>
      </c>
      <c r="BK43" s="2907"/>
      <c r="BL43" s="2907"/>
      <c r="BM43" s="1073">
        <f>IF(BK43=0,0,(BL43-BK43)/BK43*100)</f>
        <v>0</v>
      </c>
      <c r="BN43" s="2907"/>
      <c r="BO43" s="2907"/>
      <c r="BP43" s="1073">
        <f>IF(BN43=0,0,(BO43-BN43)/BN43*100)</f>
        <v>0</v>
      </c>
      <c r="BQ43" s="2907"/>
      <c r="BR43" s="2907"/>
      <c r="BS43" s="1073">
        <f>IF(BQ43=0,0,(BR43-BQ43)/BQ43*100)</f>
        <v>0</v>
      </c>
      <c r="BT43" s="2907"/>
      <c r="BU43" s="2907"/>
      <c r="BV43" s="1073">
        <f>IF(BT43=0,0,(BU43-BT43)/BT43*100)</f>
        <v>0</v>
      </c>
      <c r="BW43" s="2907"/>
      <c r="BX43" s="2907"/>
      <c r="BY43" s="1073">
        <f>IF(BW43=0,0,(BX43-BW43)/BW43*100)</f>
        <v>0</v>
      </c>
      <c r="BZ43" s="2907"/>
      <c r="CA43" s="2907"/>
      <c r="CB43" s="1073">
        <f>IF(BZ43=0,0,(CA43-BZ43)/BZ43*100)</f>
        <v>0</v>
      </c>
      <c r="CC43" s="2907"/>
      <c r="CD43" s="2907"/>
      <c r="CE43" s="1073">
        <f>IF(CC43=0,0,(CD43-CC43)/CC43*100)</f>
        <v>0</v>
      </c>
      <c r="CF43" s="2907"/>
      <c r="CG43" s="2907"/>
      <c r="CH43" s="1073">
        <f>IF(CF43=0,0,(CG43-CF43)/CF43*100)</f>
        <v>0</v>
      </c>
      <c r="CI43" s="2907"/>
      <c r="CJ43" s="2907"/>
      <c r="CK43" s="1073">
        <f>IF(CI43=0,0,(CJ43-CI43)/CI43*100)</f>
        <v>0</v>
      </c>
      <c r="CL43" s="2907"/>
      <c r="CM43" s="2907"/>
      <c r="CN43" s="1073">
        <f>IF(CL43=0,0,(CM43-CL43)/CL43*100)</f>
        <v>0</v>
      </c>
      <c r="CO43" s="2907"/>
      <c r="CP43" s="2907"/>
      <c r="CQ43" s="1073">
        <f>IF(CO43=0,0,(CP43-CO43)/CO43*100)</f>
        <v>0</v>
      </c>
      <c r="CR43" s="2907"/>
      <c r="CS43" s="2907"/>
      <c r="CT43" s="1073">
        <f>IF(CR43=0,0,(CS43-CR43)/CR43*100)</f>
        <v>0</v>
      </c>
      <c r="CU43" s="2907"/>
      <c r="CV43" s="2907"/>
      <c r="CW43" s="1073">
        <f>IF(CU43=0,0,(CV43-CU43)/CU43*100)</f>
        <v>0</v>
      </c>
      <c r="CX43" s="2907"/>
      <c r="CY43" s="2907"/>
      <c r="CZ43" s="1073">
        <f>IF(CX43=0,0,(CY43-CX43)/CX43*100)</f>
        <v>0</v>
      </c>
      <c r="DA43" s="2907"/>
      <c r="DB43" s="2907"/>
      <c r="DC43" s="1073">
        <f>IF(DA43=0,0,(DB43-DA43)/DA43*100)</f>
        <v>0</v>
      </c>
      <c r="DD43" s="2907"/>
      <c r="DE43" s="2907"/>
      <c r="DF43" s="1073">
        <f>IF(DD43=0,0,(DE43-DD43)/DD43*100)</f>
        <v>0</v>
      </c>
      <c r="DG43" s="2907"/>
      <c r="DH43" s="2907"/>
      <c r="DI43" s="1073">
        <f>IF(DG43=0,0,(DH43-DG43)/DG43*100)</f>
        <v>0</v>
      </c>
      <c r="DJ43" s="2907"/>
      <c r="DK43" s="2907"/>
      <c r="DL43" s="1073">
        <f>IF(DJ43=0,0,(DK43-DJ43)/DJ43*100)</f>
        <v>0</v>
      </c>
      <c r="DM43" s="2907"/>
      <c r="DN43" s="2907"/>
      <c r="DO43" s="1073">
        <f>IF(DM43=0,0,(DN43-DM43)/DM43*100)</f>
        <v>0</v>
      </c>
      <c r="DP43" s="2907"/>
      <c r="DQ43" s="2907"/>
      <c r="DR43" s="1073">
        <f>IF(DP43=0,0,(DQ43-DP43)/DP43*100)</f>
        <v>0</v>
      </c>
      <c r="DS43" s="2907"/>
      <c r="DT43" s="2907"/>
      <c r="DU43" s="1073">
        <f>IF(DS43=0,0,(DT43-DS43)/DS43*100)</f>
        <v>0</v>
      </c>
      <c r="DV43" s="2907"/>
      <c r="DW43" s="2907"/>
      <c r="DX43" s="1073">
        <f>IF(DV43=0,0,(DW43-DV43)/DV43*100)</f>
        <v>0</v>
      </c>
      <c r="DY43" s="2907"/>
      <c r="DZ43" s="2907"/>
      <c r="EA43" s="1073">
        <f>IF(DY43=0,0,(DZ43-DY43)/DY43*100)</f>
        <v>0</v>
      </c>
      <c r="EB43" s="2907"/>
      <c r="EC43" s="2907"/>
      <c r="ED43" s="1073">
        <f>IF(EB43=0,0,(EC43-EB43)/EB43*100)</f>
        <v>0</v>
      </c>
      <c r="EE43" s="2907"/>
      <c r="EF43" s="2907"/>
      <c r="EG43" s="1073">
        <f>IF(EE43=0,0,(EF43-EE43)/EE43*100)</f>
        <v>0</v>
      </c>
      <c r="EH43" s="2907"/>
      <c r="EI43" s="2907"/>
      <c r="EJ43" s="1073">
        <f>IF(EH43=0,0,(EI43-EH43)/EH43*100)</f>
        <v>0</v>
      </c>
      <c r="EK43" s="2907"/>
      <c r="EL43" s="2907"/>
      <c r="EM43" s="1073">
        <f>IF(EK43=0,0,(EL43-EK43)/EK43*100)</f>
        <v>0</v>
      </c>
      <c r="EN43" s="2907"/>
      <c r="EO43" s="2907"/>
      <c r="EP43" s="1073">
        <f>IF(EN43=0,0,(EO43-EN43)/EN43*100)</f>
        <v>0</v>
      </c>
      <c r="EQ43" s="2907"/>
      <c r="ER43" s="2907"/>
      <c r="ES43" s="1073">
        <f>IF(EQ43=0,0,(ER43-EQ43)/EQ43*100)</f>
        <v>0</v>
      </c>
      <c r="ET43" s="2907"/>
      <c r="EU43" s="2907"/>
      <c r="EV43" s="1073">
        <f>IF(ET43=0,0,(EU43-ET43)/ET43*100)</f>
        <v>0</v>
      </c>
      <c r="EW43" s="2907"/>
      <c r="EX43" s="2907"/>
      <c r="EY43" s="1073">
        <f>IF(EW43=0,0,(EX43-EW43)/EW43*100)</f>
        <v>0</v>
      </c>
      <c r="EZ43" s="2907"/>
      <c r="FA43" s="2907"/>
      <c r="FB43" s="1073">
        <f>IF(EZ43=0,0,(FA43-EZ43)/EZ43*100)</f>
        <v>0</v>
      </c>
      <c r="FC43" s="2907"/>
      <c r="FD43" s="2907"/>
      <c r="FE43" s="1073">
        <f>IF(FC43=0,0,(FD43-FC43)/FC43*100)</f>
        <v>0</v>
      </c>
      <c r="FF43" s="2907"/>
      <c r="FG43" s="2907"/>
      <c r="FH43" s="1073">
        <f>IF(FF43=0,0,(FG43-FF43)/FF43*100)</f>
        <v>0</v>
      </c>
      <c r="FI43" s="2907"/>
      <c r="FJ43" s="2907"/>
      <c r="FK43" s="1073">
        <f>IF(FI43=0,0,(FJ43-FI43)/FI43*100)</f>
        <v>0</v>
      </c>
      <c r="FL43" s="2907"/>
      <c r="FM43" s="2907"/>
      <c r="FN43" s="1073">
        <f>IF(FL43=0,0,(FM43-FL43)/FL43*100)</f>
        <v>0</v>
      </c>
      <c r="FO43" s="2907"/>
      <c r="FP43" s="2907"/>
      <c r="FQ43" s="1073">
        <f>IF(FO43=0,0,(FP43-FO43)/FO43*100)</f>
        <v>0</v>
      </c>
      <c r="FR43" s="2907"/>
      <c r="FS43" s="2907"/>
      <c r="FT43" s="1073">
        <f>IF(FR43=0,0,(FS43-FR43)/FR43*100)</f>
        <v>0</v>
      </c>
      <c r="FU43" s="2907"/>
      <c r="FV43" s="2907"/>
      <c r="FW43" s="1073">
        <f>IF(FU43=0,0,(FV43-FU43)/FU43*100)</f>
        <v>0</v>
      </c>
      <c r="FX43" s="258"/>
      <c r="FY43" s="1282"/>
      <c r="FZ43" s="1032" t="s">
        <v>1504</v>
      </c>
      <c r="GA43" s="992" t="s">
        <v>1502</v>
      </c>
      <c r="GB43" s="992" cm="1" t="str">
        <f t="array" ref="GB43:GB43">GB42</f>
        <v>0</v>
      </c>
      <c r="GC43" s="1283"/>
      <c r="GD43" s="1283"/>
    </row>
    <row customHeight="1" ht="14.625" hidden="1">
      <c r="A44" s="466"/>
      <c r="B44" s="901" cm="1" t="str">
        <f t="array" ref="B44:B44">B43</f>
        <v>false</v>
      </c>
      <c r="C44" s="466"/>
      <c r="D44" s="466"/>
      <c r="E44" s="816">
        <v>15</v>
      </c>
      <c r="F44" s="50" cm="1" t="str">
        <f t="array" ref="F44:F44">OFFSET(E44,-1,1)</f>
        <v>0</v>
      </c>
      <c r="G44" s="466"/>
      <c r="H44" s="466"/>
      <c r="I44" s="64" t="s">
        <v>1505</v>
      </c>
      <c r="J44" s="466"/>
      <c r="K44" s="466"/>
      <c r="L44" s="466"/>
      <c r="M44" s="466"/>
      <c r="N44" s="466"/>
      <c r="O44" s="466"/>
      <c r="P44" s="466"/>
      <c r="Q44" s="466"/>
      <c r="R44" s="51"/>
      <c r="S44" s="466"/>
      <c r="T44" s="438">
        <f>F44&gt;0</f>
        <v>0</v>
      </c>
      <c r="U44" s="466"/>
      <c r="V44" s="1282"/>
      <c r="W44" s="733" t="s">
        <v>1506</v>
      </c>
      <c r="X44" s="1541"/>
      <c r="Y44" s="1282"/>
      <c r="Z44" s="1493"/>
      <c r="AA44" s="1282"/>
      <c r="AB44" s="226" t="s">
        <v>176</v>
      </c>
      <c r="AC44" s="230"/>
      <c r="AD44" s="1076"/>
      <c r="AE44" s="1076"/>
      <c r="AF44" s="1076"/>
      <c r="AG44" s="1076"/>
      <c r="AH44" s="1076"/>
      <c r="AI44" s="1076"/>
      <c r="AJ44" s="1076"/>
      <c r="AK44" s="1076"/>
      <c r="AL44" s="1076"/>
      <c r="AM44" s="1076"/>
      <c r="AN44" s="1076"/>
      <c r="AO44" s="1076"/>
      <c r="AP44" s="1076"/>
      <c r="AQ44" s="1076"/>
      <c r="AR44" s="1076"/>
      <c r="AS44" s="1076"/>
      <c r="AT44" s="1076"/>
      <c r="AU44" s="1076"/>
      <c r="AV44" s="1076"/>
      <c r="AW44" s="1076"/>
      <c r="AX44" s="1076"/>
      <c r="AY44" s="1076"/>
      <c r="AZ44" s="1076"/>
      <c r="BA44" s="1076"/>
      <c r="BB44" s="1076"/>
      <c r="BC44" s="1076"/>
      <c r="BD44" s="1076"/>
      <c r="BE44" s="1076"/>
      <c r="BF44" s="1076"/>
      <c r="BG44" s="1076"/>
      <c r="BH44" s="1076"/>
      <c r="BI44" s="1076"/>
      <c r="BJ44" s="1076"/>
      <c r="BK44" s="1076"/>
      <c r="BL44" s="1076"/>
      <c r="BM44" s="1076"/>
      <c r="BN44" s="1076"/>
      <c r="BO44" s="1076"/>
      <c r="BP44" s="1076"/>
      <c r="BQ44" s="1076"/>
      <c r="BR44" s="1076"/>
      <c r="BS44" s="1076"/>
      <c r="BT44" s="1076"/>
      <c r="BU44" s="1076"/>
      <c r="BV44" s="1076"/>
      <c r="BW44" s="1076"/>
      <c r="BX44" s="1076"/>
      <c r="BY44" s="1076"/>
      <c r="BZ44" s="1076"/>
      <c r="CA44" s="1076"/>
      <c r="CB44" s="1076"/>
      <c r="CC44" s="1076"/>
      <c r="CD44" s="1076"/>
      <c r="CE44" s="1076"/>
      <c r="CF44" s="1076"/>
      <c r="CG44" s="1076"/>
      <c r="CH44" s="1076"/>
      <c r="CI44" s="1076"/>
      <c r="CJ44" s="1076"/>
      <c r="CK44" s="1076"/>
      <c r="CL44" s="1076"/>
      <c r="CM44" s="1076"/>
      <c r="CN44" s="1076"/>
      <c r="CO44" s="1076"/>
      <c r="CP44" s="1076"/>
      <c r="CQ44" s="1076"/>
      <c r="CR44" s="1076"/>
      <c r="CS44" s="1076"/>
      <c r="CT44" s="1076"/>
      <c r="CU44" s="1076"/>
      <c r="CV44" s="1076"/>
      <c r="CW44" s="1076"/>
      <c r="CX44" s="1076"/>
      <c r="CY44" s="1076"/>
      <c r="CZ44" s="1076"/>
      <c r="DA44" s="1076"/>
      <c r="DB44" s="1076"/>
      <c r="DC44" s="1076"/>
      <c r="DD44" s="1076"/>
      <c r="DE44" s="1076"/>
      <c r="DF44" s="1076"/>
      <c r="DG44" s="1076"/>
      <c r="DH44" s="1076"/>
      <c r="DI44" s="1076"/>
      <c r="DJ44" s="1076"/>
      <c r="DK44" s="1076"/>
      <c r="DL44" s="1076"/>
      <c r="DM44" s="1076"/>
      <c r="DN44" s="1076"/>
      <c r="DO44" s="1076"/>
      <c r="DP44" s="1076"/>
      <c r="DQ44" s="1076"/>
      <c r="DR44" s="1076"/>
      <c r="DS44" s="1076"/>
      <c r="DT44" s="1076"/>
      <c r="DU44" s="1076"/>
      <c r="DV44" s="1076"/>
      <c r="DW44" s="1076"/>
      <c r="DX44" s="1076"/>
      <c r="DY44" s="1076"/>
      <c r="DZ44" s="1076"/>
      <c r="EA44" s="1076"/>
      <c r="EB44" s="1076"/>
      <c r="EC44" s="1076"/>
      <c r="ED44" s="1076"/>
      <c r="EE44" s="1076"/>
      <c r="EF44" s="1076"/>
      <c r="EG44" s="1076"/>
      <c r="EH44" s="1076"/>
      <c r="EI44" s="1076"/>
      <c r="EJ44" s="1076"/>
      <c r="EK44" s="1076"/>
      <c r="EL44" s="1076"/>
      <c r="EM44" s="1076"/>
      <c r="EN44" s="1076"/>
      <c r="EO44" s="1076"/>
      <c r="EP44" s="1076"/>
      <c r="EQ44" s="1076"/>
      <c r="ER44" s="1076"/>
      <c r="ES44" s="1076"/>
      <c r="ET44" s="1076"/>
      <c r="EU44" s="1076"/>
      <c r="EV44" s="1076"/>
      <c r="EW44" s="1076"/>
      <c r="EX44" s="1076"/>
      <c r="EY44" s="1076"/>
      <c r="EZ44" s="1076"/>
      <c r="FA44" s="1076"/>
      <c r="FB44" s="1076"/>
      <c r="FC44" s="1076"/>
      <c r="FD44" s="1076"/>
      <c r="FE44" s="1076"/>
      <c r="FF44" s="1076"/>
      <c r="FG44" s="1076"/>
      <c r="FH44" s="1076"/>
      <c r="FI44" s="1076"/>
      <c r="FJ44" s="1076"/>
      <c r="FK44" s="1076"/>
      <c r="FL44" s="1076"/>
      <c r="FM44" s="1076"/>
      <c r="FN44" s="1076"/>
      <c r="FO44" s="1076"/>
      <c r="FP44" s="1076"/>
      <c r="FQ44" s="1076"/>
      <c r="FR44" s="1076"/>
      <c r="FS44" s="1076"/>
      <c r="FT44" s="1076"/>
      <c r="FU44" s="1076"/>
      <c r="FV44" s="1076"/>
      <c r="FW44" s="1077"/>
      <c r="FX44" s="1282"/>
      <c r="FY44" s="1282"/>
      <c r="FZ44" s="1032" t="s">
        <v>228</v>
      </c>
      <c r="GA44" s="1284"/>
      <c r="GB44" s="1284"/>
      <c r="GC44" s="607" t="s">
        <v>1502</v>
      </c>
      <c r="GD44" s="1283"/>
    </row>
    <row customHeight="1" ht="14.625" hidden="1">
      <c r="A45" s="466"/>
      <c r="B45" s="901">
        <f>AND(R29="двухставочный",NOT(S29))</f>
        <v>0</v>
      </c>
      <c r="C45" s="466"/>
      <c r="D45" s="466"/>
      <c r="E45" s="816">
        <v>15</v>
      </c>
      <c r="F45" s="50" cm="1" t="str">
        <f t="array" ref="F45:F45">OFFSET(E45,-1,1)</f>
        <v>0</v>
      </c>
      <c r="G45" s="466"/>
      <c r="H45" s="466"/>
      <c r="I45" s="466"/>
      <c r="J45" s="466"/>
      <c r="K45" s="466"/>
      <c r="L45" s="466"/>
      <c r="M45" s="466"/>
      <c r="N45" s="466"/>
      <c r="O45" s="466"/>
      <c r="P45" s="466"/>
      <c r="Q45" s="466"/>
      <c r="R45" s="51"/>
      <c r="S45" s="466"/>
      <c r="T45" s="438" cm="1" t="str">
        <f t="array" ref="T45:T45">T44</f>
        <v>false</v>
      </c>
      <c r="U45" s="466"/>
      <c r="V45" s="466"/>
      <c r="W45" s="466"/>
      <c r="X45" s="1541"/>
      <c r="Y45" s="466"/>
      <c r="Z45" s="1493"/>
      <c r="AA45" s="466"/>
      <c r="AB45" s="870" t="s">
        <v>1507</v>
      </c>
      <c r="AC45" s="871"/>
      <c r="AD45" s="1078"/>
      <c r="AE45" s="1078"/>
      <c r="AF45" s="1078"/>
      <c r="AG45" s="1078"/>
      <c r="AH45" s="1078"/>
      <c r="AI45" s="1078"/>
      <c r="AJ45" s="1078"/>
      <c r="AK45" s="1078"/>
      <c r="AL45" s="1078"/>
      <c r="AM45" s="1078"/>
      <c r="AN45" s="1078"/>
      <c r="AO45" s="1078"/>
      <c r="AP45" s="1078"/>
      <c r="AQ45" s="1078"/>
      <c r="AR45" s="1078"/>
      <c r="AS45" s="1078"/>
      <c r="AT45" s="1078"/>
      <c r="AU45" s="1078"/>
      <c r="AV45" s="1078"/>
      <c r="AW45" s="1078"/>
      <c r="AX45" s="1078"/>
      <c r="AY45" s="1078"/>
      <c r="AZ45" s="1078"/>
      <c r="BA45" s="1078"/>
      <c r="BB45" s="1078"/>
      <c r="BC45" s="1078"/>
      <c r="BD45" s="1078"/>
      <c r="BE45" s="1078"/>
      <c r="BF45" s="1078"/>
      <c r="BG45" s="1078"/>
      <c r="BH45" s="1078"/>
      <c r="BI45" s="1078"/>
      <c r="BJ45" s="1078"/>
      <c r="BK45" s="1078"/>
      <c r="BL45" s="1078"/>
      <c r="BM45" s="1078"/>
      <c r="BN45" s="1078"/>
      <c r="BO45" s="1078"/>
      <c r="BP45" s="1078"/>
      <c r="BQ45" s="1078"/>
      <c r="BR45" s="1078"/>
      <c r="BS45" s="1078"/>
      <c r="BT45" s="1078"/>
      <c r="BU45" s="1078"/>
      <c r="BV45" s="1078"/>
      <c r="BW45" s="1078"/>
      <c r="BX45" s="1078"/>
      <c r="BY45" s="1078"/>
      <c r="BZ45" s="1078"/>
      <c r="CA45" s="1078"/>
      <c r="CB45" s="1078"/>
      <c r="CC45" s="1078"/>
      <c r="CD45" s="1078"/>
      <c r="CE45" s="1078"/>
      <c r="CF45" s="1078"/>
      <c r="CG45" s="1078"/>
      <c r="CH45" s="1078"/>
      <c r="CI45" s="1078"/>
      <c r="CJ45" s="1078"/>
      <c r="CK45" s="1078"/>
      <c r="CL45" s="1078"/>
      <c r="CM45" s="1078"/>
      <c r="CN45" s="1078"/>
      <c r="CO45" s="1078"/>
      <c r="CP45" s="1078"/>
      <c r="CQ45" s="1078"/>
      <c r="CR45" s="1078"/>
      <c r="CS45" s="1078"/>
      <c r="CT45" s="1078"/>
      <c r="CU45" s="1078"/>
      <c r="CV45" s="1078"/>
      <c r="CW45" s="1078"/>
      <c r="CX45" s="1078"/>
      <c r="CY45" s="1078"/>
      <c r="CZ45" s="1078"/>
      <c r="DA45" s="1078"/>
      <c r="DB45" s="1078"/>
      <c r="DC45" s="1078"/>
      <c r="DD45" s="1078"/>
      <c r="DE45" s="1078"/>
      <c r="DF45" s="1078"/>
      <c r="DG45" s="1078"/>
      <c r="DH45" s="1078"/>
      <c r="DI45" s="1078"/>
      <c r="DJ45" s="1078"/>
      <c r="DK45" s="1078"/>
      <c r="DL45" s="1078"/>
      <c r="DM45" s="1078"/>
      <c r="DN45" s="1078"/>
      <c r="DO45" s="1078"/>
      <c r="DP45" s="1078"/>
      <c r="DQ45" s="1078"/>
      <c r="DR45" s="1078"/>
      <c r="DS45" s="1078"/>
      <c r="DT45" s="1078"/>
      <c r="DU45" s="1078"/>
      <c r="DV45" s="1078"/>
      <c r="DW45" s="1078"/>
      <c r="DX45" s="1078"/>
      <c r="DY45" s="1078"/>
      <c r="DZ45" s="1078"/>
      <c r="EA45" s="1078"/>
      <c r="EB45" s="1078"/>
      <c r="EC45" s="1078"/>
      <c r="ED45" s="1078"/>
      <c r="EE45" s="1078"/>
      <c r="EF45" s="1078"/>
      <c r="EG45" s="1078"/>
      <c r="EH45" s="1078"/>
      <c r="EI45" s="1078"/>
      <c r="EJ45" s="1078"/>
      <c r="EK45" s="1078"/>
      <c r="EL45" s="1078"/>
      <c r="EM45" s="1078"/>
      <c r="EN45" s="1078"/>
      <c r="EO45" s="1078"/>
      <c r="EP45" s="1078"/>
      <c r="EQ45" s="1078"/>
      <c r="ER45" s="1078"/>
      <c r="ES45" s="1078"/>
      <c r="ET45" s="1078"/>
      <c r="EU45" s="1078"/>
      <c r="EV45" s="1078"/>
      <c r="EW45" s="1078"/>
      <c r="EX45" s="1078"/>
      <c r="EY45" s="1078"/>
      <c r="EZ45" s="1078"/>
      <c r="FA45" s="1078"/>
      <c r="FB45" s="1078"/>
      <c r="FC45" s="1078"/>
      <c r="FD45" s="1078"/>
      <c r="FE45" s="1078"/>
      <c r="FF45" s="1078"/>
      <c r="FG45" s="1078"/>
      <c r="FH45" s="1078"/>
      <c r="FI45" s="1078"/>
      <c r="FJ45" s="1078"/>
      <c r="FK45" s="1078"/>
      <c r="FL45" s="1078"/>
      <c r="FM45" s="1078"/>
      <c r="FN45" s="1078"/>
      <c r="FO45" s="1078"/>
      <c r="FP45" s="1078"/>
      <c r="FQ45" s="1078"/>
      <c r="FR45" s="1078"/>
      <c r="FS45" s="1078"/>
      <c r="FT45" s="1078"/>
      <c r="FU45" s="1078"/>
      <c r="FV45" s="1078"/>
      <c r="FW45" s="1079"/>
      <c r="FX45" s="1282"/>
      <c r="FY45" s="1282"/>
      <c r="FZ45" s="1032" t="s">
        <v>228</v>
      </c>
      <c r="GA45" s="1284"/>
      <c r="GB45" s="1284"/>
      <c r="GC45" s="1283"/>
      <c r="GD45" s="1283"/>
    </row>
    <row customHeight="1" ht="23.887500000000003" hidden="1">
      <c r="A46" s="466"/>
      <c r="B46" s="901" cm="1" t="str">
        <f t="array" ref="B46:B46">B45</f>
        <v>false</v>
      </c>
      <c r="C46" s="466"/>
      <c r="D46" s="466"/>
      <c r="E46" s="816">
        <v>24.5</v>
      </c>
      <c r="F46" s="50" cm="1" t="str">
        <f t="array" ref="F46:F46">OFFSET(E46,-1,1)</f>
        <v>0</v>
      </c>
      <c r="G46" s="466"/>
      <c r="H46" s="466"/>
      <c r="I46" s="466"/>
      <c r="J46" s="466"/>
      <c r="K46" s="466"/>
      <c r="L46" s="466"/>
      <c r="M46" s="466"/>
      <c r="N46" s="466"/>
      <c r="O46" s="466"/>
      <c r="P46" s="466"/>
      <c r="Q46" s="466"/>
      <c r="R46" s="466"/>
      <c r="S46" s="466"/>
      <c r="T46" s="438" cm="1" t="str">
        <f t="array" ref="T46:T46">T45</f>
        <v>false</v>
      </c>
      <c r="U46" s="466"/>
      <c r="V46" s="466"/>
      <c r="W46" s="466"/>
      <c r="X46" s="1541"/>
      <c r="Y46" s="466"/>
      <c r="Z46" s="1493"/>
      <c r="AA46" s="466"/>
      <c r="AB46" s="259" t="s">
        <v>1508</v>
      </c>
      <c r="AC46" s="879"/>
      <c r="AD46" s="1080"/>
      <c r="AE46" s="1080"/>
      <c r="AF46" s="1080"/>
      <c r="AG46" s="1080"/>
      <c r="AH46" s="1080"/>
      <c r="AI46" s="1080"/>
      <c r="AJ46" s="1080"/>
      <c r="AK46" s="1080"/>
      <c r="AL46" s="1080"/>
      <c r="AM46" s="1080"/>
      <c r="AN46" s="1080"/>
      <c r="AO46" s="1080"/>
      <c r="AP46" s="1080"/>
      <c r="AQ46" s="1080"/>
      <c r="AR46" s="1080"/>
      <c r="AS46" s="1080"/>
      <c r="AT46" s="1080"/>
      <c r="AU46" s="1080"/>
      <c r="AV46" s="1080"/>
      <c r="AW46" s="1080"/>
      <c r="AX46" s="1080"/>
      <c r="AY46" s="1080"/>
      <c r="AZ46" s="1080"/>
      <c r="BA46" s="1080"/>
      <c r="BB46" s="1080"/>
      <c r="BC46" s="1080"/>
      <c r="BD46" s="1080"/>
      <c r="BE46" s="1080"/>
      <c r="BF46" s="1080"/>
      <c r="BG46" s="1080"/>
      <c r="BH46" s="1080"/>
      <c r="BI46" s="1080"/>
      <c r="BJ46" s="1080"/>
      <c r="BK46" s="1080"/>
      <c r="BL46" s="1080"/>
      <c r="BM46" s="1080"/>
      <c r="BN46" s="1080"/>
      <c r="BO46" s="1080"/>
      <c r="BP46" s="1080"/>
      <c r="BQ46" s="1080"/>
      <c r="BR46" s="1080"/>
      <c r="BS46" s="1080"/>
      <c r="BT46" s="1080"/>
      <c r="BU46" s="1080"/>
      <c r="BV46" s="1080"/>
      <c r="BW46" s="1080"/>
      <c r="BX46" s="1080"/>
      <c r="BY46" s="1080"/>
      <c r="BZ46" s="1080"/>
      <c r="CA46" s="1080"/>
      <c r="CB46" s="1080"/>
      <c r="CC46" s="1080"/>
      <c r="CD46" s="1080"/>
      <c r="CE46" s="1080"/>
      <c r="CF46" s="1080"/>
      <c r="CG46" s="1080"/>
      <c r="CH46" s="1080"/>
      <c r="CI46" s="1080"/>
      <c r="CJ46" s="1080"/>
      <c r="CK46" s="1080"/>
      <c r="CL46" s="1080"/>
      <c r="CM46" s="1080"/>
      <c r="CN46" s="1080"/>
      <c r="CO46" s="1080"/>
      <c r="CP46" s="1080"/>
      <c r="CQ46" s="1080"/>
      <c r="CR46" s="1080"/>
      <c r="CS46" s="1080"/>
      <c r="CT46" s="1080"/>
      <c r="CU46" s="1080"/>
      <c r="CV46" s="1080"/>
      <c r="CW46" s="1080"/>
      <c r="CX46" s="1080"/>
      <c r="CY46" s="1080"/>
      <c r="CZ46" s="1080"/>
      <c r="DA46" s="1080"/>
      <c r="DB46" s="1080"/>
      <c r="DC46" s="1080"/>
      <c r="DD46" s="1080"/>
      <c r="DE46" s="1080"/>
      <c r="DF46" s="1080"/>
      <c r="DG46" s="1080"/>
      <c r="DH46" s="1080"/>
      <c r="DI46" s="1080"/>
      <c r="DJ46" s="1080"/>
      <c r="DK46" s="1080"/>
      <c r="DL46" s="1080"/>
      <c r="DM46" s="1080"/>
      <c r="DN46" s="1080"/>
      <c r="DO46" s="1080"/>
      <c r="DP46" s="1080"/>
      <c r="DQ46" s="1080"/>
      <c r="DR46" s="1080"/>
      <c r="DS46" s="1080"/>
      <c r="DT46" s="1080"/>
      <c r="DU46" s="1080"/>
      <c r="DV46" s="1080"/>
      <c r="DW46" s="1080"/>
      <c r="DX46" s="1080"/>
      <c r="DY46" s="1080"/>
      <c r="DZ46" s="1080"/>
      <c r="EA46" s="1080"/>
      <c r="EB46" s="1080"/>
      <c r="EC46" s="1080"/>
      <c r="ED46" s="1080"/>
      <c r="EE46" s="1080"/>
      <c r="EF46" s="1080"/>
      <c r="EG46" s="1080"/>
      <c r="EH46" s="1080"/>
      <c r="EI46" s="1080"/>
      <c r="EJ46" s="1080"/>
      <c r="EK46" s="1080"/>
      <c r="EL46" s="1080"/>
      <c r="EM46" s="1080"/>
      <c r="EN46" s="1080"/>
      <c r="EO46" s="1080"/>
      <c r="EP46" s="1080"/>
      <c r="EQ46" s="1080"/>
      <c r="ER46" s="1080"/>
      <c r="ES46" s="1080"/>
      <c r="ET46" s="1080"/>
      <c r="EU46" s="1080"/>
      <c r="EV46" s="1080"/>
      <c r="EW46" s="1080"/>
      <c r="EX46" s="1080"/>
      <c r="EY46" s="1080"/>
      <c r="EZ46" s="1080"/>
      <c r="FA46" s="1080"/>
      <c r="FB46" s="1080"/>
      <c r="FC46" s="1080"/>
      <c r="FD46" s="1080"/>
      <c r="FE46" s="1080"/>
      <c r="FF46" s="1080"/>
      <c r="FG46" s="1080"/>
      <c r="FH46" s="1080"/>
      <c r="FI46" s="1080"/>
      <c r="FJ46" s="1080"/>
      <c r="FK46" s="1080"/>
      <c r="FL46" s="1080"/>
      <c r="FM46" s="1080"/>
      <c r="FN46" s="1080"/>
      <c r="FO46" s="1080"/>
      <c r="FP46" s="1080"/>
      <c r="FQ46" s="1080"/>
      <c r="FR46" s="1080"/>
      <c r="FS46" s="1080"/>
      <c r="FT46" s="1080"/>
      <c r="FU46" s="1080"/>
      <c r="FV46" s="1080"/>
      <c r="FW46" s="1081"/>
      <c r="FX46" s="1282"/>
      <c r="FY46" s="1282"/>
      <c r="FZ46" s="1032" t="s">
        <v>228</v>
      </c>
      <c r="GA46" s="1284"/>
      <c r="GB46" s="1284"/>
      <c r="GC46" s="1283"/>
      <c r="GD46" s="1283"/>
    </row>
    <row customHeight="1" ht="14.625" hidden="1">
      <c r="A47" s="466"/>
      <c r="B47" s="901" cm="1" t="str">
        <f t="array" ref="B47:B47">B46</f>
        <v>false</v>
      </c>
      <c r="C47" s="466"/>
      <c r="D47" s="466"/>
      <c r="E47" s="816">
        <v>15</v>
      </c>
      <c r="F47" s="50" cm="1" t="str">
        <f t="array" ref="F47:F47">OFFSET(E47,-1,1)</f>
        <v>0</v>
      </c>
      <c r="G47" s="466"/>
      <c r="H47" s="466" t="s">
        <v>1434</v>
      </c>
      <c r="I47" s="466" t="s">
        <v>1474</v>
      </c>
      <c r="J47" s="466"/>
      <c r="K47" s="466"/>
      <c r="L47" s="466"/>
      <c r="M47" s="466"/>
      <c r="N47" s="466"/>
      <c r="O47" s="466"/>
      <c r="P47" s="466"/>
      <c r="Q47" s="466"/>
      <c r="R47" s="466"/>
      <c r="S47" s="466"/>
      <c r="T47" s="438" cm="1" t="str">
        <f t="array" ref="T47:T47">T46</f>
        <v>false</v>
      </c>
      <c r="U47" s="466"/>
      <c r="V47" s="466"/>
      <c r="W47" s="466"/>
      <c r="X47" s="1541"/>
      <c r="Y47" s="466"/>
      <c r="Z47" s="1493"/>
      <c r="AA47" s="466"/>
      <c r="AB47" s="880" t="s">
        <v>1509</v>
      </c>
      <c r="AC47" s="840" t="s">
        <v>1476</v>
      </c>
      <c r="AD47" s="2912">
        <f>IF(AD49=0,0,(AD48*AD49+AD50*AD51*IF(god=2026,9,6))/AD49)</f>
        <v>0</v>
      </c>
      <c r="AE47" s="2912">
        <f>IF(AE49=0,0,(AE48*AE49+AE50*AE51*IF(god=2026,9,6))/AE49)</f>
        <v>0</v>
      </c>
      <c r="AF47" s="1071">
        <f>IF(AD47=0,0,(AE47-AD47)/AD47*100)</f>
        <v>0</v>
      </c>
      <c r="AG47" s="2912">
        <f>IF(AG49=0,0,(AG48*AG49+AG50*AG51*IF(god=2025,9,6))/AG49)</f>
        <v>0</v>
      </c>
      <c r="AH47" s="2912">
        <f>IF(AH49=0,0,(AH48*AH49+AH50*AH51*IF(god=2025,9,6))/AH49)</f>
        <v>0</v>
      </c>
      <c r="AI47" s="1071">
        <f>IF(AG47=0,0,(AH47-AG47)/AG47*100)</f>
        <v>0</v>
      </c>
      <c r="AJ47" s="2912">
        <f>IF(AJ49=0,0,(AJ48*AJ49+AJ50*AJ51*6)/AJ49)</f>
        <v>0</v>
      </c>
      <c r="AK47" s="2912">
        <f>IF(AK49=0,0,(AK48*AK49+AK50*AK51*6)/AK49)</f>
        <v>0</v>
      </c>
      <c r="AL47" s="1071">
        <f>IF(AJ47=0,0,(AK47-AJ47)/AJ47*100)</f>
        <v>0</v>
      </c>
      <c r="AM47" s="2912">
        <f>IF(AM49=0,0,(AM48*AM49+AM50*AM51*6)/AM49)</f>
        <v>0</v>
      </c>
      <c r="AN47" s="2912">
        <f>IF(AN49=0,0,(AN48*AN49+AN50*AN51*6)/AN49)</f>
        <v>0</v>
      </c>
      <c r="AO47" s="1071">
        <f>IF(AM47=0,0,(AN47-AM47)/AM47*100)</f>
        <v>0</v>
      </c>
      <c r="AP47" s="2912">
        <f>IF(AP49=0,0,(AP48*AP49+AP50*AP51*6)/AP49)</f>
        <v>0</v>
      </c>
      <c r="AQ47" s="2912">
        <f>IF(AQ49=0,0,(AQ48*AQ49+AQ50*AQ51*6)/AQ49)</f>
        <v>0</v>
      </c>
      <c r="AR47" s="1071">
        <f>IF(AP47=0,0,(AQ47-AP47)/AP47*100)</f>
        <v>0</v>
      </c>
      <c r="AS47" s="2912">
        <f>IF(AS49=0,0,(AS48*AS49+AS50*AS51*6)/AS49)</f>
        <v>0</v>
      </c>
      <c r="AT47" s="2912">
        <f>IF(AT49=0,0,(AT48*AT49+AT50*AT51*6)/AT49)</f>
        <v>0</v>
      </c>
      <c r="AU47" s="1071">
        <f>IF(AS47=0,0,(AT47-AS47)/AS47*100)</f>
        <v>0</v>
      </c>
      <c r="AV47" s="2912">
        <f>IF(AV49=0,0,(AV48*AV49+AV50*AV51*6)/AV49)</f>
        <v>0</v>
      </c>
      <c r="AW47" s="2912">
        <f>IF(AW49=0,0,(AW48*AW49+AW50*AW51*6)/AW49)</f>
        <v>0</v>
      </c>
      <c r="AX47" s="1071">
        <f>IF(AV47=0,0,(AW47-AV47)/AV47*100)</f>
        <v>0</v>
      </c>
      <c r="AY47" s="2912">
        <f>IF(AY49=0,0,(AY48*AY49+AY50*AY51*6)/AY49)</f>
        <v>0</v>
      </c>
      <c r="AZ47" s="2912">
        <f>IF(AZ49=0,0,(AZ48*AZ49+AZ50*AZ51*6)/AZ49)</f>
        <v>0</v>
      </c>
      <c r="BA47" s="1071">
        <f>IF(AY47=0,0,(AZ47-AY47)/AY47*100)</f>
        <v>0</v>
      </c>
      <c r="BB47" s="2912">
        <f>IF(BB49=0,0,(BB48*BB49+BB50*BB51*6)/BB49)</f>
        <v>0</v>
      </c>
      <c r="BC47" s="2912">
        <f>IF(BC49=0,0,(BC48*BC49+BC50*BC51*6)/BC49)</f>
        <v>0</v>
      </c>
      <c r="BD47" s="1071">
        <f>IF(BB47=0,0,(BC47-BB47)/BB47*100)</f>
        <v>0</v>
      </c>
      <c r="BE47" s="2912">
        <f>IF(BE49=0,0,(BE48*BE49+BE50*BE51*6)/BE49)</f>
        <v>0</v>
      </c>
      <c r="BF47" s="2912">
        <f>IF(BF49=0,0,(BF48*BF49+BF50*BF51*6)/BF49)</f>
        <v>0</v>
      </c>
      <c r="BG47" s="1071">
        <f>IF(BE47=0,0,(BF47-BE47)/BE47*100)</f>
        <v>0</v>
      </c>
      <c r="BH47" s="2912">
        <f>IF(BH49=0,0,(BH48*BH49+BH50*BH51*6)/BH49)</f>
        <v>0</v>
      </c>
      <c r="BI47" s="2912">
        <f>IF(BI49=0,0,(BI48*BI49+BI50*BI51*6)/BI49)</f>
        <v>0</v>
      </c>
      <c r="BJ47" s="1071">
        <f>IF(BH47=0,0,(BI47-BH47)/BH47*100)</f>
        <v>0</v>
      </c>
      <c r="BK47" s="2912">
        <f>IF(BK49=0,0,(BK48*BK49+BK50*BK51*6)/BK49)</f>
        <v>0</v>
      </c>
      <c r="BL47" s="2912">
        <f>IF(BL49=0,0,(BL48*BL49+BL50*BL51*6)/BL49)</f>
        <v>0</v>
      </c>
      <c r="BM47" s="1071">
        <f>IF(BK47=0,0,(BL47-BK47)/BK47*100)</f>
        <v>0</v>
      </c>
      <c r="BN47" s="2912">
        <f>IF(BN49=0,0,(BN48*BN49+BN50*BN51*6)/BN49)</f>
        <v>0</v>
      </c>
      <c r="BO47" s="2912">
        <f>IF(BO49=0,0,(BO48*BO49+BO50*BO51*6)/BO49)</f>
        <v>0</v>
      </c>
      <c r="BP47" s="1071">
        <f>IF(BN47=0,0,(BO47-BN47)/BN47*100)</f>
        <v>0</v>
      </c>
      <c r="BQ47" s="2912">
        <f>IF(BQ49=0,0,(BQ48*BQ49+BQ50*BQ51*6)/BQ49)</f>
        <v>0</v>
      </c>
      <c r="BR47" s="2912">
        <f>IF(BR49=0,0,(BR48*BR49+BR50*BR51*6)/BR49)</f>
        <v>0</v>
      </c>
      <c r="BS47" s="1071">
        <f>IF(BQ47=0,0,(BR47-BQ47)/BQ47*100)</f>
        <v>0</v>
      </c>
      <c r="BT47" s="2912">
        <f>IF(BT49=0,0,(BT48*BT49+BT50*BT51*6)/BT49)</f>
        <v>0</v>
      </c>
      <c r="BU47" s="2912">
        <f>IF(BU49=0,0,(BU48*BU49+BU50*BU51*6)/BU49)</f>
        <v>0</v>
      </c>
      <c r="BV47" s="1071">
        <f>IF(BT47=0,0,(BU47-BT47)/BT47*100)</f>
        <v>0</v>
      </c>
      <c r="BW47" s="2912">
        <f>IF(BW49=0,0,(BW48*BW49+BW50*BW51*6)/BW49)</f>
        <v>0</v>
      </c>
      <c r="BX47" s="2912">
        <f>IF(BX49=0,0,(BX48*BX49+BX50*BX51*6)/BX49)</f>
        <v>0</v>
      </c>
      <c r="BY47" s="1071">
        <f>IF(BW47=0,0,(BX47-BW47)/BW47*100)</f>
        <v>0</v>
      </c>
      <c r="BZ47" s="2912">
        <f>IF(BZ49=0,0,(BZ48*BZ49+BZ50*BZ51*6)/BZ49)</f>
        <v>0</v>
      </c>
      <c r="CA47" s="2912">
        <f>IF(CA49=0,0,(CA48*CA49+CA50*CA51*6)/CA49)</f>
        <v>0</v>
      </c>
      <c r="CB47" s="1071">
        <f>IF(BZ47=0,0,(CA47-BZ47)/BZ47*100)</f>
        <v>0</v>
      </c>
      <c r="CC47" s="2912">
        <f>IF(CC49=0,0,(CC48*CC49+CC50*CC51*6)/CC49)</f>
        <v>0</v>
      </c>
      <c r="CD47" s="2912">
        <f>IF(CD49=0,0,(CD48*CD49+CD50*CD51*6)/CD49)</f>
        <v>0</v>
      </c>
      <c r="CE47" s="1071">
        <f>IF(CC47=0,0,(CD47-CC47)/CC47*100)</f>
        <v>0</v>
      </c>
      <c r="CF47" s="2912">
        <f>IF(CF49=0,0,(CF48*CF49+CF50*CF51*6)/CF49)</f>
        <v>0</v>
      </c>
      <c r="CG47" s="2912">
        <f>IF(CG49=0,0,(CG48*CG49+CG50*CG51*6)/CG49)</f>
        <v>0</v>
      </c>
      <c r="CH47" s="1071">
        <f>IF(CF47=0,0,(CG47-CF47)/CF47*100)</f>
        <v>0</v>
      </c>
      <c r="CI47" s="2912">
        <f>IF(CI49=0,0,(CI48*CI49+CI50*CI51*6)/CI49)</f>
        <v>0</v>
      </c>
      <c r="CJ47" s="2912">
        <f>IF(CJ49=0,0,(CJ48*CJ49+CJ50*CJ51*6)/CJ49)</f>
        <v>0</v>
      </c>
      <c r="CK47" s="1071">
        <f>IF(CI47=0,0,(CJ47-CI47)/CI47*100)</f>
        <v>0</v>
      </c>
      <c r="CL47" s="2912">
        <f>IF(CL49=0,0,(CL48*CL49+CL50*CL51*6)/CL49)</f>
        <v>0</v>
      </c>
      <c r="CM47" s="2912">
        <f>IF(CM49=0,0,(CM48*CM49+CM50*CM51*6)/CM49)</f>
        <v>0</v>
      </c>
      <c r="CN47" s="1071">
        <f>IF(CL47=0,0,(CM47-CL47)/CL47*100)</f>
        <v>0</v>
      </c>
      <c r="CO47" s="2912">
        <f>IF(CO49=0,0,(CO48*CO49+CO50*CO51*6)/CO49)</f>
        <v>0</v>
      </c>
      <c r="CP47" s="2912">
        <f>IF(CP49=0,0,(CP48*CP49+CP50*CP51*6)/CP49)</f>
        <v>0</v>
      </c>
      <c r="CQ47" s="1071">
        <f>IF(CO47=0,0,(CP47-CO47)/CO47*100)</f>
        <v>0</v>
      </c>
      <c r="CR47" s="2912">
        <f>IF(CR49=0,0,(CR48*CR49+CR50*CR51*6)/CR49)</f>
        <v>0</v>
      </c>
      <c r="CS47" s="2912">
        <f>IF(CS49=0,0,(CS48*CS49+CS50*CS51*6)/CS49)</f>
        <v>0</v>
      </c>
      <c r="CT47" s="1071">
        <f>IF(CR47=0,0,(CS47-CR47)/CR47*100)</f>
        <v>0</v>
      </c>
      <c r="CU47" s="2912">
        <f>IF(CU49=0,0,(CU48*CU49+CU50*CU51*6)/CU49)</f>
        <v>0</v>
      </c>
      <c r="CV47" s="2912">
        <f>IF(CV49=0,0,(CV48*CV49+CV50*CV51*6)/CV49)</f>
        <v>0</v>
      </c>
      <c r="CW47" s="1071">
        <f>IF(CU47=0,0,(CV47-CU47)/CU47*100)</f>
        <v>0</v>
      </c>
      <c r="CX47" s="2912">
        <f>IF(CX49=0,0,(CX48*CX49+CX50*CX51*6)/CX49)</f>
        <v>0</v>
      </c>
      <c r="CY47" s="2912">
        <f>IF(CY49=0,0,(CY48*CY49+CY50*CY51*6)/CY49)</f>
        <v>0</v>
      </c>
      <c r="CZ47" s="1071">
        <f>IF(CX47=0,0,(CY47-CX47)/CX47*100)</f>
        <v>0</v>
      </c>
      <c r="DA47" s="2912">
        <f>IF(DA49=0,0,(DA48*DA49+DA50*DA51*6)/DA49)</f>
        <v>0</v>
      </c>
      <c r="DB47" s="2912">
        <f>IF(DB49=0,0,(DB48*DB49+DB50*DB51*6)/DB49)</f>
        <v>0</v>
      </c>
      <c r="DC47" s="1071">
        <f>IF(DA47=0,0,(DB47-DA47)/DA47*100)</f>
        <v>0</v>
      </c>
      <c r="DD47" s="2912">
        <f>IF(DD49=0,0,(DD48*DD49+DD50*DD51*6)/DD49)</f>
        <v>0</v>
      </c>
      <c r="DE47" s="2912">
        <f>IF(DE49=0,0,(DE48*DE49+DE50*DE51*6)/DE49)</f>
        <v>0</v>
      </c>
      <c r="DF47" s="1071">
        <f>IF(DD47=0,0,(DE47-DD47)/DD47*100)</f>
        <v>0</v>
      </c>
      <c r="DG47" s="2912">
        <f>IF(DG49=0,0,(DG48*DG49+DG50*DG51*6)/DG49)</f>
        <v>0</v>
      </c>
      <c r="DH47" s="2912">
        <f>IF(DH49=0,0,(DH48*DH49+DH50*DH51*6)/DH49)</f>
        <v>0</v>
      </c>
      <c r="DI47" s="1071">
        <f>IF(DG47=0,0,(DH47-DG47)/DG47*100)</f>
        <v>0</v>
      </c>
      <c r="DJ47" s="2912">
        <f>IF(DJ49=0,0,(DJ48*DJ49+DJ50*DJ51*6)/DJ49)</f>
        <v>0</v>
      </c>
      <c r="DK47" s="2912">
        <f>IF(DK49=0,0,(DK48*DK49+DK50*DK51*6)/DK49)</f>
        <v>0</v>
      </c>
      <c r="DL47" s="1071">
        <f>IF(DJ47=0,0,(DK47-DJ47)/DJ47*100)</f>
        <v>0</v>
      </c>
      <c r="DM47" s="2912">
        <f>IF(DM49=0,0,(DM48*DM49+DM50*DM51*6)/DM49)</f>
        <v>0</v>
      </c>
      <c r="DN47" s="2912">
        <f>IF(DN49=0,0,(DN48*DN49+DN50*DN51*6)/DN49)</f>
        <v>0</v>
      </c>
      <c r="DO47" s="1071">
        <f>IF(DM47=0,0,(DN47-DM47)/DM47*100)</f>
        <v>0</v>
      </c>
      <c r="DP47" s="2912">
        <f>IF(DP49=0,0,(DP48*DP49+DP50*DP51*6)/DP49)</f>
        <v>0</v>
      </c>
      <c r="DQ47" s="2912">
        <f>IF(DQ49=0,0,(DQ48*DQ49+DQ50*DQ51*6)/DQ49)</f>
        <v>0</v>
      </c>
      <c r="DR47" s="1071">
        <f>IF(DP47=0,0,(DQ47-DP47)/DP47*100)</f>
        <v>0</v>
      </c>
      <c r="DS47" s="2912">
        <f>IF(DS49=0,0,(DS48*DS49+DS50*DS51*6)/DS49)</f>
        <v>0</v>
      </c>
      <c r="DT47" s="2912">
        <f>IF(DT49=0,0,(DT48*DT49+DT50*DT51*6)/DT49)</f>
        <v>0</v>
      </c>
      <c r="DU47" s="1071">
        <f>IF(DS47=0,0,(DT47-DS47)/DS47*100)</f>
        <v>0</v>
      </c>
      <c r="DV47" s="2912">
        <f>IF(DV49=0,0,(DV48*DV49+DV50*DV51*6)/DV49)</f>
        <v>0</v>
      </c>
      <c r="DW47" s="2912">
        <f>IF(DW49=0,0,(DW48*DW49+DW50*DW51*6)/DW49)</f>
        <v>0</v>
      </c>
      <c r="DX47" s="1071">
        <f>IF(DV47=0,0,(DW47-DV47)/DV47*100)</f>
        <v>0</v>
      </c>
      <c r="DY47" s="2912">
        <f>IF(DY49=0,0,(DY48*DY49+DY50*DY51*6)/DY49)</f>
        <v>0</v>
      </c>
      <c r="DZ47" s="2912">
        <f>IF(DZ49=0,0,(DZ48*DZ49+DZ50*DZ51*6)/DZ49)</f>
        <v>0</v>
      </c>
      <c r="EA47" s="1071">
        <f>IF(DY47=0,0,(DZ47-DY47)/DY47*100)</f>
        <v>0</v>
      </c>
      <c r="EB47" s="2912">
        <f>IF(EB49=0,0,(EB48*EB49+EB50*EB51*6)/EB49)</f>
        <v>0</v>
      </c>
      <c r="EC47" s="2912">
        <f>IF(EC49=0,0,(EC48*EC49+EC50*EC51*6)/EC49)</f>
        <v>0</v>
      </c>
      <c r="ED47" s="1071">
        <f>IF(EB47=0,0,(EC47-EB47)/EB47*100)</f>
        <v>0</v>
      </c>
      <c r="EE47" s="2912">
        <f>IF(EE49=0,0,(EE48*EE49+EE50*EE51*6)/EE49)</f>
        <v>0</v>
      </c>
      <c r="EF47" s="2912">
        <f>IF(EF49=0,0,(EF48*EF49+EF50*EF51*6)/EF49)</f>
        <v>0</v>
      </c>
      <c r="EG47" s="1071">
        <f>IF(EE47=0,0,(EF47-EE47)/EE47*100)</f>
        <v>0</v>
      </c>
      <c r="EH47" s="2912">
        <f>IF(EH49=0,0,(EH48*EH49+EH50*EH51*6)/EH49)</f>
        <v>0</v>
      </c>
      <c r="EI47" s="2912">
        <f>IF(EI49=0,0,(EI48*EI49+EI50*EI51*6)/EI49)</f>
        <v>0</v>
      </c>
      <c r="EJ47" s="1071">
        <f>IF(EH47=0,0,(EI47-EH47)/EH47*100)</f>
        <v>0</v>
      </c>
      <c r="EK47" s="2912">
        <f>IF(EK49=0,0,(EK48*EK49+EK50*EK51*6)/EK49)</f>
        <v>0</v>
      </c>
      <c r="EL47" s="2912">
        <f>IF(EL49=0,0,(EL48*EL49+EL50*EL51*6)/EL49)</f>
        <v>0</v>
      </c>
      <c r="EM47" s="1071">
        <f>IF(EK47=0,0,(EL47-EK47)/EK47*100)</f>
        <v>0</v>
      </c>
      <c r="EN47" s="2912">
        <f>IF(EN49=0,0,(EN48*EN49+EN50*EN51*6)/EN49)</f>
        <v>0</v>
      </c>
      <c r="EO47" s="2912">
        <f>IF(EO49=0,0,(EO48*EO49+EO50*EO51*6)/EO49)</f>
        <v>0</v>
      </c>
      <c r="EP47" s="1071">
        <f>IF(EN47=0,0,(EO47-EN47)/EN47*100)</f>
        <v>0</v>
      </c>
      <c r="EQ47" s="2912">
        <f>IF(EQ49=0,0,(EQ48*EQ49+EQ50*EQ51*6)/EQ49)</f>
        <v>0</v>
      </c>
      <c r="ER47" s="2912">
        <f>IF(ER49=0,0,(ER48*ER49+ER50*ER51*6)/ER49)</f>
        <v>0</v>
      </c>
      <c r="ES47" s="1071">
        <f>IF(EQ47=0,0,(ER47-EQ47)/EQ47*100)</f>
        <v>0</v>
      </c>
      <c r="ET47" s="2912">
        <f>IF(ET49=0,0,(ET48*ET49+ET50*ET51*6)/ET49)</f>
        <v>0</v>
      </c>
      <c r="EU47" s="2912">
        <f>IF(EU49=0,0,(EU48*EU49+EU50*EU51*6)/EU49)</f>
        <v>0</v>
      </c>
      <c r="EV47" s="1071">
        <f>IF(ET47=0,0,(EU47-ET47)/ET47*100)</f>
        <v>0</v>
      </c>
      <c r="EW47" s="2912">
        <f>IF(EW49=0,0,(EW48*EW49+EW50*EW51*6)/EW49)</f>
        <v>0</v>
      </c>
      <c r="EX47" s="2912">
        <f>IF(EX49=0,0,(EX48*EX49+EX50*EX51*6)/EX49)</f>
        <v>0</v>
      </c>
      <c r="EY47" s="1071">
        <f>IF(EW47=0,0,(EX47-EW47)/EW47*100)</f>
        <v>0</v>
      </c>
      <c r="EZ47" s="2912">
        <f>IF(EZ49=0,0,(EZ48*EZ49+EZ50*EZ51*6)/EZ49)</f>
        <v>0</v>
      </c>
      <c r="FA47" s="2912">
        <f>IF(FA49=0,0,(FA48*FA49+FA50*FA51*6)/FA49)</f>
        <v>0</v>
      </c>
      <c r="FB47" s="1071">
        <f>IF(EZ47=0,0,(FA47-EZ47)/EZ47*100)</f>
        <v>0</v>
      </c>
      <c r="FC47" s="2912">
        <f>IF(FC49=0,0,(FC48*FC49+FC50*FC51*6)/FC49)</f>
        <v>0</v>
      </c>
      <c r="FD47" s="2912">
        <f>IF(FD49=0,0,(FD48*FD49+FD50*FD51*6)/FD49)</f>
        <v>0</v>
      </c>
      <c r="FE47" s="1071">
        <f>IF(FC47=0,0,(FD47-FC47)/FC47*100)</f>
        <v>0</v>
      </c>
      <c r="FF47" s="2912">
        <f>IF(FF49=0,0,(FF48*FF49+FF50*FF51*6)/FF49)</f>
        <v>0</v>
      </c>
      <c r="FG47" s="2912">
        <f>IF(FG49=0,0,(FG48*FG49+FG50*FG51*6)/FG49)</f>
        <v>0</v>
      </c>
      <c r="FH47" s="1071">
        <f>IF(FF47=0,0,(FG47-FF47)/FF47*100)</f>
        <v>0</v>
      </c>
      <c r="FI47" s="2912">
        <f>IF(FI49=0,0,(FI48*FI49+FI50*FI51*6)/FI49)</f>
        <v>0</v>
      </c>
      <c r="FJ47" s="2912">
        <f>IF(FJ49=0,0,(FJ48*FJ49+FJ50*FJ51*6)/FJ49)</f>
        <v>0</v>
      </c>
      <c r="FK47" s="1071">
        <f>IF(FI47=0,0,(FJ47-FI47)/FI47*100)</f>
        <v>0</v>
      </c>
      <c r="FL47" s="2912">
        <f>IF(FL49=0,0,(FL48*FL49+FL50*FL51*6)/FL49)</f>
        <v>0</v>
      </c>
      <c r="FM47" s="2912">
        <f>IF(FM49=0,0,(FM48*FM49+FM50*FM51*6)/FM49)</f>
        <v>0</v>
      </c>
      <c r="FN47" s="1071">
        <f>IF(FL47=0,0,(FM47-FL47)/FL47*100)</f>
        <v>0</v>
      </c>
      <c r="FO47" s="2912">
        <f>IF(FO49=0,0,(FO48*FO49+FO50*FO51*6)/FO49)</f>
        <v>0</v>
      </c>
      <c r="FP47" s="2912">
        <f>IF(FP49=0,0,(FP48*FP49+FP50*FP51*6)/FP49)</f>
        <v>0</v>
      </c>
      <c r="FQ47" s="1071">
        <f>IF(FO47=0,0,(FP47-FO47)/FO47*100)</f>
        <v>0</v>
      </c>
      <c r="FR47" s="2912">
        <f>IF(FR49=0,0,(FR48*FR49+FR50*FR51*6)/FR49)</f>
        <v>0</v>
      </c>
      <c r="FS47" s="2912">
        <f>IF(FS49=0,0,(FS48*FS49+FS50*FS51*6)/FS49)</f>
        <v>0</v>
      </c>
      <c r="FT47" s="1071">
        <f>IF(FR47=0,0,(FS47-FR47)/FR47*100)</f>
        <v>0</v>
      </c>
      <c r="FU47" s="2912">
        <f>IF(FU49=0,0,(FU48*FU49+FU50*FU51*6)/FU49)</f>
        <v>0</v>
      </c>
      <c r="FV47" s="2912">
        <f>IF(FV49=0,0,(FV48*FV49+FV50*FV51*6)/FV49)</f>
        <v>0</v>
      </c>
      <c r="FW47" s="1071">
        <f>IF(FU47=0,0,(FV47-FU47)/FU47*100)</f>
        <v>0</v>
      </c>
      <c r="FX47" s="1282"/>
      <c r="FY47" s="1282"/>
      <c r="FZ47" s="1032" t="s">
        <v>1510</v>
      </c>
      <c r="GA47" s="1284"/>
      <c r="GB47" s="1284"/>
      <c r="GC47" s="1283"/>
      <c r="GD47" s="1283"/>
    </row>
    <row customHeight="1" ht="14.625" hidden="1">
      <c r="A48" s="466"/>
      <c r="B48" s="901" cm="1" t="str">
        <f t="array" ref="B48:B48">B47</f>
        <v>false</v>
      </c>
      <c r="C48" s="466"/>
      <c r="D48" s="466"/>
      <c r="E48" s="816">
        <v>15</v>
      </c>
      <c r="F48" s="50" cm="1" t="str">
        <f t="array" ref="F48:F48">OFFSET(E48,-1,1)</f>
        <v>0</v>
      </c>
      <c r="G48" s="466"/>
      <c r="H48" s="466" t="s">
        <v>1438</v>
      </c>
      <c r="I48" s="466" t="s">
        <v>1474</v>
      </c>
      <c r="J48" s="466"/>
      <c r="K48" s="466"/>
      <c r="L48" s="466"/>
      <c r="M48" s="466"/>
      <c r="N48" s="466"/>
      <c r="O48" s="466"/>
      <c r="P48" s="466"/>
      <c r="Q48" s="466"/>
      <c r="R48" s="466"/>
      <c r="S48" s="466"/>
      <c r="T48" s="438" cm="1" t="str">
        <f t="array" ref="T48:T48">T47</f>
        <v>false</v>
      </c>
      <c r="U48" s="466"/>
      <c r="V48" s="466"/>
      <c r="W48" s="466"/>
      <c r="X48" s="1541"/>
      <c r="Y48" s="466"/>
      <c r="Z48" s="1493"/>
      <c r="AA48" s="466"/>
      <c r="AB48" s="880" t="str">
        <f>"ставка платы за "&amp;IF(Q29="Водоснабжение","потребление 1 куб.м холодной воды","объем принятых сточных вод")</f>
        <v>ставка платы за объем принятых сточных вод</v>
      </c>
      <c r="AC48" s="840" t="s">
        <v>1476</v>
      </c>
      <c r="AD48" s="2912"/>
      <c r="AE48" s="2912"/>
      <c r="AF48" s="1071">
        <f>IF(AD48=0,0,(AE48-AD48)/AD48*100)</f>
        <v>0</v>
      </c>
      <c r="AG48" s="2912"/>
      <c r="AH48" s="2912"/>
      <c r="AI48" s="1071">
        <f>IF(AG48=0,0,(AH48-AG48)/AG48*100)</f>
        <v>0</v>
      </c>
      <c r="AJ48" s="2912"/>
      <c r="AK48" s="2912"/>
      <c r="AL48" s="1071">
        <f>IF(AJ48=0,0,(AK48-AJ48)/AJ48*100)</f>
        <v>0</v>
      </c>
      <c r="AM48" s="2912"/>
      <c r="AN48" s="2912"/>
      <c r="AO48" s="1071">
        <f>IF(AM48=0,0,(AN48-AM48)/AM48*100)</f>
        <v>0</v>
      </c>
      <c r="AP48" s="2912"/>
      <c r="AQ48" s="2912"/>
      <c r="AR48" s="1071">
        <f>IF(AP48=0,0,(AQ48-AP48)/AP48*100)</f>
        <v>0</v>
      </c>
      <c r="AS48" s="2912"/>
      <c r="AT48" s="2912"/>
      <c r="AU48" s="1071">
        <f>IF(AS48=0,0,(AT48-AS48)/AS48*100)</f>
        <v>0</v>
      </c>
      <c r="AV48" s="2912"/>
      <c r="AW48" s="2912"/>
      <c r="AX48" s="1071">
        <f>IF(AV48=0,0,(AW48-AV48)/AV48*100)</f>
        <v>0</v>
      </c>
      <c r="AY48" s="2912"/>
      <c r="AZ48" s="2912"/>
      <c r="BA48" s="1071">
        <f>IF(AY48=0,0,(AZ48-AY48)/AY48*100)</f>
        <v>0</v>
      </c>
      <c r="BB48" s="2912"/>
      <c r="BC48" s="2912"/>
      <c r="BD48" s="1071">
        <f>IF(BB48=0,0,(BC48-BB48)/BB48*100)</f>
        <v>0</v>
      </c>
      <c r="BE48" s="2912"/>
      <c r="BF48" s="2912"/>
      <c r="BG48" s="1071">
        <f>IF(BE48=0,0,(BF48-BE48)/BE48*100)</f>
        <v>0</v>
      </c>
      <c r="BH48" s="2912"/>
      <c r="BI48" s="2912"/>
      <c r="BJ48" s="1071">
        <f>IF(BH48=0,0,(BI48-BH48)/BH48*100)</f>
        <v>0</v>
      </c>
      <c r="BK48" s="2912"/>
      <c r="BL48" s="2912"/>
      <c r="BM48" s="1071">
        <f>IF(BK48=0,0,(BL48-BK48)/BK48*100)</f>
        <v>0</v>
      </c>
      <c r="BN48" s="2912"/>
      <c r="BO48" s="2912"/>
      <c r="BP48" s="1071">
        <f>IF(BN48=0,0,(BO48-BN48)/BN48*100)</f>
        <v>0</v>
      </c>
      <c r="BQ48" s="2912"/>
      <c r="BR48" s="2912"/>
      <c r="BS48" s="1071">
        <f>IF(BQ48=0,0,(BR48-BQ48)/BQ48*100)</f>
        <v>0</v>
      </c>
      <c r="BT48" s="2912"/>
      <c r="BU48" s="2912"/>
      <c r="BV48" s="1071">
        <f>IF(BT48=0,0,(BU48-BT48)/BT48*100)</f>
        <v>0</v>
      </c>
      <c r="BW48" s="2912"/>
      <c r="BX48" s="2912"/>
      <c r="BY48" s="1071">
        <f>IF(BW48=0,0,(BX48-BW48)/BW48*100)</f>
        <v>0</v>
      </c>
      <c r="BZ48" s="2912"/>
      <c r="CA48" s="2912"/>
      <c r="CB48" s="1071">
        <f>IF(BZ48=0,0,(CA48-BZ48)/BZ48*100)</f>
        <v>0</v>
      </c>
      <c r="CC48" s="2912"/>
      <c r="CD48" s="2912"/>
      <c r="CE48" s="1071">
        <f>IF(CC48=0,0,(CD48-CC48)/CC48*100)</f>
        <v>0</v>
      </c>
      <c r="CF48" s="2912"/>
      <c r="CG48" s="2912"/>
      <c r="CH48" s="1071">
        <f>IF(CF48=0,0,(CG48-CF48)/CF48*100)</f>
        <v>0</v>
      </c>
      <c r="CI48" s="2912"/>
      <c r="CJ48" s="2912"/>
      <c r="CK48" s="1071">
        <f>IF(CI48=0,0,(CJ48-CI48)/CI48*100)</f>
        <v>0</v>
      </c>
      <c r="CL48" s="2912"/>
      <c r="CM48" s="2912"/>
      <c r="CN48" s="1071">
        <f>IF(CL48=0,0,(CM48-CL48)/CL48*100)</f>
        <v>0</v>
      </c>
      <c r="CO48" s="2912"/>
      <c r="CP48" s="2912"/>
      <c r="CQ48" s="1071">
        <f>IF(CO48=0,0,(CP48-CO48)/CO48*100)</f>
        <v>0</v>
      </c>
      <c r="CR48" s="2912"/>
      <c r="CS48" s="2912"/>
      <c r="CT48" s="1071">
        <f>IF(CR48=0,0,(CS48-CR48)/CR48*100)</f>
        <v>0</v>
      </c>
      <c r="CU48" s="2912"/>
      <c r="CV48" s="2912"/>
      <c r="CW48" s="1071">
        <f>IF(CU48=0,0,(CV48-CU48)/CU48*100)</f>
        <v>0</v>
      </c>
      <c r="CX48" s="2912"/>
      <c r="CY48" s="2912"/>
      <c r="CZ48" s="1071">
        <f>IF(CX48=0,0,(CY48-CX48)/CX48*100)</f>
        <v>0</v>
      </c>
      <c r="DA48" s="2912"/>
      <c r="DB48" s="2912"/>
      <c r="DC48" s="1071">
        <f>IF(DA48=0,0,(DB48-DA48)/DA48*100)</f>
        <v>0</v>
      </c>
      <c r="DD48" s="2912"/>
      <c r="DE48" s="2912"/>
      <c r="DF48" s="1071">
        <f>IF(DD48=0,0,(DE48-DD48)/DD48*100)</f>
        <v>0</v>
      </c>
      <c r="DG48" s="2912"/>
      <c r="DH48" s="2912"/>
      <c r="DI48" s="1071">
        <f>IF(DG48=0,0,(DH48-DG48)/DG48*100)</f>
        <v>0</v>
      </c>
      <c r="DJ48" s="2912"/>
      <c r="DK48" s="2912"/>
      <c r="DL48" s="1071">
        <f>IF(DJ48=0,0,(DK48-DJ48)/DJ48*100)</f>
        <v>0</v>
      </c>
      <c r="DM48" s="2912"/>
      <c r="DN48" s="2912"/>
      <c r="DO48" s="1071">
        <f>IF(DM48=0,0,(DN48-DM48)/DM48*100)</f>
        <v>0</v>
      </c>
      <c r="DP48" s="2912"/>
      <c r="DQ48" s="2912"/>
      <c r="DR48" s="1071">
        <f>IF(DP48=0,0,(DQ48-DP48)/DP48*100)</f>
        <v>0</v>
      </c>
      <c r="DS48" s="2912"/>
      <c r="DT48" s="2912"/>
      <c r="DU48" s="1071">
        <f>IF(DS48=0,0,(DT48-DS48)/DS48*100)</f>
        <v>0</v>
      </c>
      <c r="DV48" s="2912"/>
      <c r="DW48" s="2912"/>
      <c r="DX48" s="1071">
        <f>IF(DV48=0,0,(DW48-DV48)/DV48*100)</f>
        <v>0</v>
      </c>
      <c r="DY48" s="2912"/>
      <c r="DZ48" s="2912"/>
      <c r="EA48" s="1071">
        <f>IF(DY48=0,0,(DZ48-DY48)/DY48*100)</f>
        <v>0</v>
      </c>
      <c r="EB48" s="2912"/>
      <c r="EC48" s="2912"/>
      <c r="ED48" s="1071">
        <f>IF(EB48=0,0,(EC48-EB48)/EB48*100)</f>
        <v>0</v>
      </c>
      <c r="EE48" s="2912"/>
      <c r="EF48" s="2912"/>
      <c r="EG48" s="1071">
        <f>IF(EE48=0,0,(EF48-EE48)/EE48*100)</f>
        <v>0</v>
      </c>
      <c r="EH48" s="2912"/>
      <c r="EI48" s="2912"/>
      <c r="EJ48" s="1071">
        <f>IF(EH48=0,0,(EI48-EH48)/EH48*100)</f>
        <v>0</v>
      </c>
      <c r="EK48" s="2912"/>
      <c r="EL48" s="2912"/>
      <c r="EM48" s="1071">
        <f>IF(EK48=0,0,(EL48-EK48)/EK48*100)</f>
        <v>0</v>
      </c>
      <c r="EN48" s="2912"/>
      <c r="EO48" s="2912"/>
      <c r="EP48" s="1071">
        <f>IF(EN48=0,0,(EO48-EN48)/EN48*100)</f>
        <v>0</v>
      </c>
      <c r="EQ48" s="2912"/>
      <c r="ER48" s="2912"/>
      <c r="ES48" s="1071">
        <f>IF(EQ48=0,0,(ER48-EQ48)/EQ48*100)</f>
        <v>0</v>
      </c>
      <c r="ET48" s="2912"/>
      <c r="EU48" s="2912"/>
      <c r="EV48" s="1071">
        <f>IF(ET48=0,0,(EU48-ET48)/ET48*100)</f>
        <v>0</v>
      </c>
      <c r="EW48" s="2912"/>
      <c r="EX48" s="2912"/>
      <c r="EY48" s="1071">
        <f>IF(EW48=0,0,(EX48-EW48)/EW48*100)</f>
        <v>0</v>
      </c>
      <c r="EZ48" s="2912"/>
      <c r="FA48" s="2912"/>
      <c r="FB48" s="1071">
        <f>IF(EZ48=0,0,(FA48-EZ48)/EZ48*100)</f>
        <v>0</v>
      </c>
      <c r="FC48" s="2912"/>
      <c r="FD48" s="2912"/>
      <c r="FE48" s="1071">
        <f>IF(FC48=0,0,(FD48-FC48)/FC48*100)</f>
        <v>0</v>
      </c>
      <c r="FF48" s="2912"/>
      <c r="FG48" s="2912"/>
      <c r="FH48" s="1071">
        <f>IF(FF48=0,0,(FG48-FF48)/FF48*100)</f>
        <v>0</v>
      </c>
      <c r="FI48" s="2912"/>
      <c r="FJ48" s="2912"/>
      <c r="FK48" s="1071">
        <f>IF(FI48=0,0,(FJ48-FI48)/FI48*100)</f>
        <v>0</v>
      </c>
      <c r="FL48" s="2912"/>
      <c r="FM48" s="2912"/>
      <c r="FN48" s="1071">
        <f>IF(FL48=0,0,(FM48-FL48)/FL48*100)</f>
        <v>0</v>
      </c>
      <c r="FO48" s="2912"/>
      <c r="FP48" s="2912"/>
      <c r="FQ48" s="1071">
        <f>IF(FO48=0,0,(FP48-FO48)/FO48*100)</f>
        <v>0</v>
      </c>
      <c r="FR48" s="2912"/>
      <c r="FS48" s="2912"/>
      <c r="FT48" s="1071">
        <f>IF(FR48=0,0,(FS48-FR48)/FR48*100)</f>
        <v>0</v>
      </c>
      <c r="FU48" s="2912"/>
      <c r="FV48" s="2912"/>
      <c r="FW48" s="1071">
        <f>IF(FU48=0,0,(FV48-FU48)/FU48*100)</f>
        <v>0</v>
      </c>
      <c r="FX48" s="1282"/>
      <c r="FY48" s="1282"/>
      <c r="FZ48" s="1032" t="s">
        <v>1511</v>
      </c>
      <c r="GA48" s="1284"/>
      <c r="GB48" s="1284"/>
      <c r="GC48" s="1283"/>
      <c r="GD48" s="1283"/>
    </row>
    <row customHeight="1" ht="14.625" hidden="1">
      <c r="A49" s="466"/>
      <c r="B49" s="901" cm="1" t="str">
        <f t="array" ref="B49:B49">B48</f>
        <v>false</v>
      </c>
      <c r="C49" s="466"/>
      <c r="D49" s="466"/>
      <c r="E49" s="816">
        <v>15</v>
      </c>
      <c r="F49" s="50" cm="1" t="str">
        <f t="array" ref="F49:F49">OFFSET(E49,-1,1)</f>
        <v>0</v>
      </c>
      <c r="G49" s="73" t="s">
        <v>1512</v>
      </c>
      <c r="H49" s="466" t="s">
        <v>1513</v>
      </c>
      <c r="I49" s="466" t="s">
        <v>1474</v>
      </c>
      <c r="J49" s="466"/>
      <c r="K49" s="466"/>
      <c r="L49" s="466"/>
      <c r="M49" s="466"/>
      <c r="N49" s="466"/>
      <c r="O49" s="466"/>
      <c r="P49" s="466"/>
      <c r="Q49" s="466"/>
      <c r="R49" s="466"/>
      <c r="S49" s="466"/>
      <c r="T49" s="438" cm="1" t="str">
        <f t="array" ref="T49:T49">T48</f>
        <v>false</v>
      </c>
      <c r="U49" s="466"/>
      <c r="V49" s="466"/>
      <c r="W49" s="466"/>
      <c r="X49" s="1541"/>
      <c r="Y49" s="466"/>
      <c r="Z49" s="1493"/>
      <c r="AA49" s="466"/>
      <c r="AB49" s="880" t="str">
        <f>"объём "&amp;IF(Q29="Водоснабжение","потребления холодной воды","водоотведения")</f>
        <v>объём водоотведения</v>
      </c>
      <c r="AC49" s="840" t="s">
        <v>506</v>
      </c>
      <c r="AD49" s="2907">
        <f>IF(AND(method_reg="Метод индексации",god&lt;&gt;first_year),_xlfn.SUMIFS(INDEX('Калькуляция (МИ корр)'!$AJ$25:$BC$315,,MATCH(AD$8,'Калькуляция (МИ корр)'!$AJ$8:$BC$8,0)),'Калькуляция (МИ корр)'!$F$25:$F$315,$F49,'Калькуляция (МИ корр)'!$G$25:$G$315,$G49),IF(method_reg="Метод экономически обоснованных расходов",_xlfn.SUMIFS('Калькуляция (МЭОР)'!$AJ$25:$AJ$197,'Калькуляция (МЭОР)'!$F$25:$F$197,$F49,'Калькуляция (МЭОР)'!$G$25:$G$197,$G49),IF(method_reg="Метод сравнения аналогов",_xlfn.SUMIFS('Калькуляция (МСА)'!$AE$25:$AE$65,'Калькуляция (МСА)'!$F$25:$F$65,$F49,'Калькуляция (МСА)'!$G$25:$G$65,$G49),_xlfn.SUMIFS(INDEX('Калькуляция (МИ)'!$AJ$25:$BC$315,,MATCH(AD$8,'Калькуляция (МИ)'!$AJ$8:$BC$8,0)),'Калькуляция (МИ)'!$F$25:$F$315,$F49,'Калькуляция (МИ)'!$G$25:$G$315,$G49))))</f>
        <v>0</v>
      </c>
      <c r="AE49" s="2907">
        <f>IF(AND(method_reg="Метод индексации",god&lt;&gt;first_year),_xlfn.SUMIFS(INDEX('Калькуляция (МИ корр)'!$AJ$25:$BC$315,,MATCH(AE$8,'Калькуляция (МИ корр)'!$AJ$8:$BC$8,0)),'Калькуляция (МИ корр)'!$F$25:$F$315,$F49,'Калькуляция (МИ корр)'!$G$25:$G$315,$G49),IF(method_reg="Метод экономически обоснованных расходов",_xlfn.SUMIFS('Калькуляция (МЭОР)'!$AK$25:$AK$197,'Калькуляция (МЭОР)'!$F$25:$F$197,$F49,'Калькуляция (МЭОР)'!$G$25:$G$197,$G49),IF(method_reg="Метод сравнения аналогов",_xlfn.SUMIFS('Калькуляция (МСА)'!$AF$25:$AF$65,'Калькуляция (МСА)'!$F$25:$F$65,$F49,'Калькуляция (МСА)'!$G$25:$G$65,$G49),_xlfn.SUMIFS(INDEX('Калькуляция (МИ)'!$AJ$25:$BC$315,,MATCH(AE$8,'Калькуляция (МИ)'!$AJ$8:$BC$8,0)),'Калькуляция (МИ)'!$F$25:$F$315,$F49,'Калькуляция (МИ)'!$G$25:$G$315,$G49))))</f>
        <v>0</v>
      </c>
      <c r="AF49" s="1073">
        <f>IF(AD49=0,0,(AE49-AD49)/AD49*100)</f>
        <v>0</v>
      </c>
      <c r="AG49" s="2907">
        <f>IF(AND(method_reg="Метод индексации",god&lt;&gt;first_year),_xlfn.SUMIFS(INDEX('Калькуляция (МИ корр)'!$AJ$25:$BC$315,,MATCH(AG$8,'Калькуляция (МИ корр)'!$AJ$8:$BC$8,0)),'Калькуляция (МИ корр)'!$F$25:$F$315,$F49,'Калькуляция (МИ корр)'!$G$25:$G$315,$G49),IF(method_reg="Метод экономически обоснованных расходов",_xlfn.SUMIFS('Калькуляция (МЭОР)'!$AJ$25:$AJ$197,'Калькуляция (МЭОР)'!$F$25:$F$197,$F49,'Калькуляция (МЭОР)'!$G$25:$G$197,$G49),IF(method_reg="Метод сравнения аналогов",_xlfn.SUMIFS('Калькуляция (МСА)'!$AE$25:$AE$65,'Калькуляция (МСА)'!$F$25:$F$65,$F49,'Калькуляция (МСА)'!$G$25:$G$65,$G49),_xlfn.SUMIFS(INDEX('Калькуляция (МИ)'!$AJ$25:$BC$315,,MATCH(AG$8,'Калькуляция (МИ)'!$AJ$8:$BC$8,0)),'Калькуляция (МИ)'!$F$25:$F$315,$F49,'Калькуляция (МИ)'!$G$25:$G$315,$G49))))</f>
        <v>0</v>
      </c>
      <c r="AH49" s="2907">
        <f>IF(AND(method_reg="Метод индексации",god&lt;&gt;first_year),_xlfn.SUMIFS(INDEX('Калькуляция (МИ корр)'!$AJ$25:$BC$315,,MATCH(AH$8,'Калькуляция (МИ корр)'!$AJ$8:$BC$8,0)),'Калькуляция (МИ корр)'!$F$25:$F$315,$F49,'Калькуляция (МИ корр)'!$G$25:$G$315,$G49),IF(method_reg="Метод экономически обоснованных расходов",_xlfn.SUMIFS('Калькуляция (МЭОР)'!$AK$25:$AK$197,'Калькуляция (МЭОР)'!$F$25:$F$197,$F49,'Калькуляция (МЭОР)'!$G$25:$G$197,$G49),IF(method_reg="Метод сравнения аналогов",_xlfn.SUMIFS('Калькуляция (МСА)'!$AF$25:$AF$65,'Калькуляция (МСА)'!$F$25:$F$65,$F49,'Калькуляция (МСА)'!$G$25:$G$65,$G49),_xlfn.SUMIFS(INDEX('Калькуляция (МИ)'!$AJ$25:$BC$315,,MATCH(AH$8,'Калькуляция (МИ)'!$AJ$8:$BC$8,0)),'Калькуляция (МИ)'!$F$25:$F$315,$F49,'Калькуляция (МИ)'!$G$25:$G$315,$G49))))</f>
        <v>0</v>
      </c>
      <c r="AI49" s="1073">
        <f>IF(AG49=0,0,(AH49-AG49)/AG49*100)</f>
        <v>0</v>
      </c>
      <c r="AJ49" s="2907">
        <f>IF(AND(method_reg="Метод индексации",god&lt;&gt;first_year),_xlfn.SUMIFS(INDEX('Калькуляция (МИ корр)'!$AJ$25:$BC$315,,MATCH(AJ$8,'Калькуляция (МИ корр)'!$AJ$8:$BC$8,0)),'Калькуляция (МИ корр)'!$F$25:$F$315,$F49,'Калькуляция (МИ корр)'!$G$25:$G$315,$G49),IF(method_reg="Метод экономически обоснованных расходов",_xlfn.SUMIFS('Калькуляция (МЭОР)'!$AJ$25:$AJ$197,'Калькуляция (МЭОР)'!$F$25:$F$197,$F49,'Калькуляция (МЭОР)'!$G$25:$G$197,$G49),IF(method_reg="Метод сравнения аналогов",_xlfn.SUMIFS('Калькуляция (МСА)'!$AE$25:$AE$65,'Калькуляция (МСА)'!$F$25:$F$65,$F49,'Калькуляция (МСА)'!$G$25:$G$65,$G49),_xlfn.SUMIFS(INDEX('Калькуляция (МИ)'!$AJ$25:$BC$315,,MATCH(AJ$8,'Калькуляция (МИ)'!$AJ$8:$BC$8,0)),'Калькуляция (МИ)'!$F$25:$F$315,$F49,'Калькуляция (МИ)'!$G$25:$G$315,$G49))))</f>
        <v>0</v>
      </c>
      <c r="AK49" s="2907">
        <f>IF(AND(method_reg="Метод индексации",god&lt;&gt;first_year),_xlfn.SUMIFS(INDEX('Калькуляция (МИ корр)'!$AJ$25:$BC$315,,MATCH(AK$8,'Калькуляция (МИ корр)'!$AJ$8:$BC$8,0)),'Калькуляция (МИ корр)'!$F$25:$F$315,$F49,'Калькуляция (МИ корр)'!$G$25:$G$315,$G49),IF(method_reg="Метод экономически обоснованных расходов",_xlfn.SUMIFS('Калькуляция (МЭОР)'!$AK$25:$AK$197,'Калькуляция (МЭОР)'!$F$25:$F$197,$F49,'Калькуляция (МЭОР)'!$G$25:$G$197,$G49),IF(method_reg="Метод сравнения аналогов",_xlfn.SUMIFS('Калькуляция (МСА)'!$AF$25:$AF$65,'Калькуляция (МСА)'!$F$25:$F$65,$F49,'Калькуляция (МСА)'!$G$25:$G$65,$G49),_xlfn.SUMIFS(INDEX('Калькуляция (МИ)'!$AJ$25:$BC$315,,MATCH(AK$8,'Калькуляция (МИ)'!$AJ$8:$BC$8,0)),'Калькуляция (МИ)'!$F$25:$F$315,$F49,'Калькуляция (МИ)'!$G$25:$G$315,$G49))))</f>
        <v>0</v>
      </c>
      <c r="AL49" s="1073">
        <f>IF(AJ49=0,0,(AK49-AJ49)/AJ49*100)</f>
        <v>0</v>
      </c>
      <c r="AM49" s="2907">
        <f>IF(AND(method_reg="Метод индексации",god&lt;&gt;first_year),_xlfn.SUMIFS(INDEX('Калькуляция (МИ корр)'!$AJ$25:$BC$315,,MATCH(AM$8,'Калькуляция (МИ корр)'!$AJ$8:$BC$8,0)),'Калькуляция (МИ корр)'!$F$25:$F$315,$F49,'Калькуляция (МИ корр)'!$G$25:$G$315,$G49),IF(method_reg="Метод экономически обоснованных расходов",_xlfn.SUMIFS('Калькуляция (МЭОР)'!$AJ$25:$AJ$197,'Калькуляция (МЭОР)'!$F$25:$F$197,$F49,'Калькуляция (МЭОР)'!$G$25:$G$197,$G49),IF(method_reg="Метод сравнения аналогов",_xlfn.SUMIFS('Калькуляция (МСА)'!$AE$25:$AE$65,'Калькуляция (МСА)'!$F$25:$F$65,$F49,'Калькуляция (МСА)'!$G$25:$G$65,$G49),_xlfn.SUMIFS(INDEX('Калькуляция (МИ)'!$AJ$25:$BC$315,,MATCH(AM$8,'Калькуляция (МИ)'!$AJ$8:$BC$8,0)),'Калькуляция (МИ)'!$F$25:$F$315,$F49,'Калькуляция (МИ)'!$G$25:$G$315,$G49))))</f>
        <v>0</v>
      </c>
      <c r="AN49" s="2907">
        <f>IF(AND(method_reg="Метод индексации",god&lt;&gt;first_year),_xlfn.SUMIFS(INDEX('Калькуляция (МИ корр)'!$AJ$25:$BC$315,,MATCH(AN$8,'Калькуляция (МИ корр)'!$AJ$8:$BC$8,0)),'Калькуляция (МИ корр)'!$F$25:$F$315,$F49,'Калькуляция (МИ корр)'!$G$25:$G$315,$G49),IF(method_reg="Метод экономически обоснованных расходов",_xlfn.SUMIFS('Калькуляция (МЭОР)'!$AK$25:$AK$197,'Калькуляция (МЭОР)'!$F$25:$F$197,$F49,'Калькуляция (МЭОР)'!$G$25:$G$197,$G49),IF(method_reg="Метод сравнения аналогов",_xlfn.SUMIFS('Калькуляция (МСА)'!$AF$25:$AF$65,'Калькуляция (МСА)'!$F$25:$F$65,$F49,'Калькуляция (МСА)'!$G$25:$G$65,$G49),_xlfn.SUMIFS(INDEX('Калькуляция (МИ)'!$AJ$25:$BC$315,,MATCH(AN$8,'Калькуляция (МИ)'!$AJ$8:$BC$8,0)),'Калькуляция (МИ)'!$F$25:$F$315,$F49,'Калькуляция (МИ)'!$G$25:$G$315,$G49))))</f>
        <v>0</v>
      </c>
      <c r="AO49" s="1073">
        <f>IF(AM49=0,0,(AN49-AM49)/AM49*100)</f>
        <v>0</v>
      </c>
      <c r="AP49" s="2907">
        <f>IF(AND(method_reg="Метод индексации",god&lt;&gt;first_year),_xlfn.SUMIFS(INDEX('Калькуляция (МИ корр)'!$AJ$25:$BC$315,,MATCH(AP$8,'Калькуляция (МИ корр)'!$AJ$8:$BC$8,0)),'Калькуляция (МИ корр)'!$F$25:$F$315,$F49,'Калькуляция (МИ корр)'!$G$25:$G$315,$G49),IF(method_reg="Метод экономически обоснованных расходов",_xlfn.SUMIFS('Калькуляция (МЭОР)'!$AJ$25:$AJ$197,'Калькуляция (МЭОР)'!$F$25:$F$197,$F49,'Калькуляция (МЭОР)'!$G$25:$G$197,$G49),IF(method_reg="Метод сравнения аналогов",_xlfn.SUMIFS('Калькуляция (МСА)'!$AE$25:$AE$65,'Калькуляция (МСА)'!$F$25:$F$65,$F49,'Калькуляция (МСА)'!$G$25:$G$65,$G49),_xlfn.SUMIFS(INDEX('Калькуляция (МИ)'!$AJ$25:$BC$315,,MATCH(AP$8,'Калькуляция (МИ)'!$AJ$8:$BC$8,0)),'Калькуляция (МИ)'!$F$25:$F$315,$F49,'Калькуляция (МИ)'!$G$25:$G$315,$G49))))</f>
        <v>0</v>
      </c>
      <c r="AQ49" s="2907">
        <f>IF(AND(method_reg="Метод индексации",god&lt;&gt;first_year),_xlfn.SUMIFS(INDEX('Калькуляция (МИ корр)'!$AJ$25:$BC$315,,MATCH(AQ$8,'Калькуляция (МИ корр)'!$AJ$8:$BC$8,0)),'Калькуляция (МИ корр)'!$F$25:$F$315,$F49,'Калькуляция (МИ корр)'!$G$25:$G$315,$G49),IF(method_reg="Метод экономически обоснованных расходов",_xlfn.SUMIFS('Калькуляция (МЭОР)'!$AK$25:$AK$197,'Калькуляция (МЭОР)'!$F$25:$F$197,$F49,'Калькуляция (МЭОР)'!$G$25:$G$197,$G49),IF(method_reg="Метод сравнения аналогов",_xlfn.SUMIFS('Калькуляция (МСА)'!$AF$25:$AF$65,'Калькуляция (МСА)'!$F$25:$F$65,$F49,'Калькуляция (МСА)'!$G$25:$G$65,$G49),_xlfn.SUMIFS(INDEX('Калькуляция (МИ)'!$AJ$25:$BC$315,,MATCH(AQ$8,'Калькуляция (МИ)'!$AJ$8:$BC$8,0)),'Калькуляция (МИ)'!$F$25:$F$315,$F49,'Калькуляция (МИ)'!$G$25:$G$315,$G49))))</f>
        <v>0</v>
      </c>
      <c r="AR49" s="1073">
        <f>IF(AP49=0,0,(AQ49-AP49)/AP49*100)</f>
        <v>0</v>
      </c>
      <c r="AS49" s="2907">
        <f>IF(AND(method_reg="Метод индексации",god&lt;&gt;first_year),_xlfn.SUMIFS(INDEX('Калькуляция (МИ корр)'!$AJ$25:$BC$315,,MATCH(AS$8,'Калькуляция (МИ корр)'!$AJ$8:$BC$8,0)),'Калькуляция (МИ корр)'!$F$25:$F$315,$F49,'Калькуляция (МИ корр)'!$G$25:$G$315,$G49),IF(method_reg="Метод экономически обоснованных расходов",_xlfn.SUMIFS('Калькуляция (МЭОР)'!$AJ$25:$AJ$197,'Калькуляция (МЭОР)'!$F$25:$F$197,$F49,'Калькуляция (МЭОР)'!$G$25:$G$197,$G49),IF(method_reg="Метод сравнения аналогов",_xlfn.SUMIFS('Калькуляция (МСА)'!$AE$25:$AE$65,'Калькуляция (МСА)'!$F$25:$F$65,$F49,'Калькуляция (МСА)'!$G$25:$G$65,$G49),_xlfn.SUMIFS(INDEX('Калькуляция (МИ)'!$AJ$25:$BC$315,,MATCH(AS$8,'Калькуляция (МИ)'!$AJ$8:$BC$8,0)),'Калькуляция (МИ)'!$F$25:$F$315,$F49,'Калькуляция (МИ)'!$G$25:$G$315,$G49))))</f>
        <v>0</v>
      </c>
      <c r="AT49" s="2907">
        <f>IF(AND(method_reg="Метод индексации",god&lt;&gt;first_year),_xlfn.SUMIFS(INDEX('Калькуляция (МИ корр)'!$AJ$25:$BC$315,,MATCH(AT$8,'Калькуляция (МИ корр)'!$AJ$8:$BC$8,0)),'Калькуляция (МИ корр)'!$F$25:$F$315,$F49,'Калькуляция (МИ корр)'!$G$25:$G$315,$G49),IF(method_reg="Метод экономически обоснованных расходов",_xlfn.SUMIFS('Калькуляция (МЭОР)'!$AK$25:$AK$197,'Калькуляция (МЭОР)'!$F$25:$F$197,$F49,'Калькуляция (МЭОР)'!$G$25:$G$197,$G49),IF(method_reg="Метод сравнения аналогов",_xlfn.SUMIFS('Калькуляция (МСА)'!$AF$25:$AF$65,'Калькуляция (МСА)'!$F$25:$F$65,$F49,'Калькуляция (МСА)'!$G$25:$G$65,$G49),_xlfn.SUMIFS(INDEX('Калькуляция (МИ)'!$AJ$25:$BC$315,,MATCH(AT$8,'Калькуляция (МИ)'!$AJ$8:$BC$8,0)),'Калькуляция (МИ)'!$F$25:$F$315,$F49,'Калькуляция (МИ)'!$G$25:$G$315,$G49))))</f>
        <v>0</v>
      </c>
      <c r="AU49" s="1073">
        <f>IF(AS49=0,0,(AT49-AS49)/AS49*100)</f>
        <v>0</v>
      </c>
      <c r="AV49" s="2907">
        <f>IF(AND(method_reg="Метод индексации",god&lt;&gt;first_year),_xlfn.SUMIFS(INDEX('Калькуляция (МИ корр)'!$AJ$25:$BC$315,,MATCH(AV$8,'Калькуляция (МИ корр)'!$AJ$8:$BC$8,0)),'Калькуляция (МИ корр)'!$F$25:$F$315,$F49,'Калькуляция (МИ корр)'!$G$25:$G$315,$G49),IF(method_reg="Метод экономически обоснованных расходов",_xlfn.SUMIFS('Калькуляция (МЭОР)'!$AJ$25:$AJ$197,'Калькуляция (МЭОР)'!$F$25:$F$197,$F49,'Калькуляция (МЭОР)'!$G$25:$G$197,$G49),IF(method_reg="Метод сравнения аналогов",_xlfn.SUMIFS('Калькуляция (МСА)'!$AE$25:$AE$65,'Калькуляция (МСА)'!$F$25:$F$65,$F49,'Калькуляция (МСА)'!$G$25:$G$65,$G49),_xlfn.SUMIFS(INDEX('Калькуляция (МИ)'!$AJ$25:$BC$315,,MATCH(AV$8,'Калькуляция (МИ)'!$AJ$8:$BC$8,0)),'Калькуляция (МИ)'!$F$25:$F$315,$F49,'Калькуляция (МИ)'!$G$25:$G$315,$G49))))</f>
        <v>0</v>
      </c>
      <c r="AW49" s="2907">
        <f>IF(AND(method_reg="Метод индексации",god&lt;&gt;first_year),_xlfn.SUMIFS(INDEX('Калькуляция (МИ корр)'!$AJ$25:$BC$315,,MATCH(AW$8,'Калькуляция (МИ корр)'!$AJ$8:$BC$8,0)),'Калькуляция (МИ корр)'!$F$25:$F$315,$F49,'Калькуляция (МИ корр)'!$G$25:$G$315,$G49),IF(method_reg="Метод экономически обоснованных расходов",_xlfn.SUMIFS('Калькуляция (МЭОР)'!$AK$25:$AK$197,'Калькуляция (МЭОР)'!$F$25:$F$197,$F49,'Калькуляция (МЭОР)'!$G$25:$G$197,$G49),IF(method_reg="Метод сравнения аналогов",_xlfn.SUMIFS('Калькуляция (МСА)'!$AF$25:$AF$65,'Калькуляция (МСА)'!$F$25:$F$65,$F49,'Калькуляция (МСА)'!$G$25:$G$65,$G49),_xlfn.SUMIFS(INDEX('Калькуляция (МИ)'!$AJ$25:$BC$315,,MATCH(AW$8,'Калькуляция (МИ)'!$AJ$8:$BC$8,0)),'Калькуляция (МИ)'!$F$25:$F$315,$F49,'Калькуляция (МИ)'!$G$25:$G$315,$G49))))</f>
        <v>0</v>
      </c>
      <c r="AX49" s="1073">
        <f>IF(AV49=0,0,(AW49-AV49)/AV49*100)</f>
        <v>0</v>
      </c>
      <c r="AY49" s="2907">
        <f>IF(AND(method_reg="Метод индексации",god&lt;&gt;first_year),_xlfn.SUMIFS(INDEX('Калькуляция (МИ корр)'!$AJ$25:$BC$315,,MATCH(AY$8,'Калькуляция (МИ корр)'!$AJ$8:$BC$8,0)),'Калькуляция (МИ корр)'!$F$25:$F$315,$F49,'Калькуляция (МИ корр)'!$G$25:$G$315,$G49),IF(method_reg="Метод экономически обоснованных расходов",_xlfn.SUMIFS('Калькуляция (МЭОР)'!$AJ$25:$AJ$197,'Калькуляция (МЭОР)'!$F$25:$F$197,$F49,'Калькуляция (МЭОР)'!$G$25:$G$197,$G49),IF(method_reg="Метод сравнения аналогов",_xlfn.SUMIFS('Калькуляция (МСА)'!$AE$25:$AE$65,'Калькуляция (МСА)'!$F$25:$F$65,$F49,'Калькуляция (МСА)'!$G$25:$G$65,$G49),_xlfn.SUMIFS(INDEX('Калькуляция (МИ)'!$AJ$25:$BC$315,,MATCH(AY$8,'Калькуляция (МИ)'!$AJ$8:$BC$8,0)),'Калькуляция (МИ)'!$F$25:$F$315,$F49,'Калькуляция (МИ)'!$G$25:$G$315,$G49))))</f>
        <v>0</v>
      </c>
      <c r="AZ49" s="2907">
        <f>IF(AND(method_reg="Метод индексации",god&lt;&gt;first_year),_xlfn.SUMIFS(INDEX('Калькуляция (МИ корр)'!$AJ$25:$BC$315,,MATCH(AZ$8,'Калькуляция (МИ корр)'!$AJ$8:$BC$8,0)),'Калькуляция (МИ корр)'!$F$25:$F$315,$F49,'Калькуляция (МИ корр)'!$G$25:$G$315,$G49),IF(method_reg="Метод экономически обоснованных расходов",_xlfn.SUMIFS('Калькуляция (МЭОР)'!$AK$25:$AK$197,'Калькуляция (МЭОР)'!$F$25:$F$197,$F49,'Калькуляция (МЭОР)'!$G$25:$G$197,$G49),IF(method_reg="Метод сравнения аналогов",_xlfn.SUMIFS('Калькуляция (МСА)'!$AF$25:$AF$65,'Калькуляция (МСА)'!$F$25:$F$65,$F49,'Калькуляция (МСА)'!$G$25:$G$65,$G49),_xlfn.SUMIFS(INDEX('Калькуляция (МИ)'!$AJ$25:$BC$315,,MATCH(AZ$8,'Калькуляция (МИ)'!$AJ$8:$BC$8,0)),'Калькуляция (МИ)'!$F$25:$F$315,$F49,'Калькуляция (МИ)'!$G$25:$G$315,$G49))))</f>
        <v>0</v>
      </c>
      <c r="BA49" s="1073">
        <f>IF(AY49=0,0,(AZ49-AY49)/AY49*100)</f>
        <v>0</v>
      </c>
      <c r="BB49" s="2907">
        <f>IF(AND(method_reg="Метод индексации",god&lt;&gt;first_year),_xlfn.SUMIFS(INDEX('Калькуляция (МИ корр)'!$AJ$25:$BC$315,,MATCH(BB$8,'Калькуляция (МИ корр)'!$AJ$8:$BC$8,0)),'Калькуляция (МИ корр)'!$F$25:$F$315,$F49,'Калькуляция (МИ корр)'!$G$25:$G$315,$G49),IF(method_reg="Метод экономически обоснованных расходов",_xlfn.SUMIFS('Калькуляция (МЭОР)'!$AJ$25:$AJ$197,'Калькуляция (МЭОР)'!$F$25:$F$197,$F49,'Калькуляция (МЭОР)'!$G$25:$G$197,$G49),IF(method_reg="Метод сравнения аналогов",_xlfn.SUMIFS('Калькуляция (МСА)'!$AE$25:$AE$65,'Калькуляция (МСА)'!$F$25:$F$65,$F49,'Калькуляция (МСА)'!$G$25:$G$65,$G49),_xlfn.SUMIFS(INDEX('Калькуляция (МИ)'!$AJ$25:$BC$315,,MATCH(BB$8,'Калькуляция (МИ)'!$AJ$8:$BC$8,0)),'Калькуляция (МИ)'!$F$25:$F$315,$F49,'Калькуляция (МИ)'!$G$25:$G$315,$G49))))</f>
        <v>0</v>
      </c>
      <c r="BC49" s="2907">
        <f>IF(AND(method_reg="Метод индексации",god&lt;&gt;first_year),_xlfn.SUMIFS(INDEX('Калькуляция (МИ корр)'!$AJ$25:$BC$315,,MATCH(BC$8,'Калькуляция (МИ корр)'!$AJ$8:$BC$8,0)),'Калькуляция (МИ корр)'!$F$25:$F$315,$F49,'Калькуляция (МИ корр)'!$G$25:$G$315,$G49),IF(method_reg="Метод экономически обоснованных расходов",_xlfn.SUMIFS('Калькуляция (МЭОР)'!$AK$25:$AK$197,'Калькуляция (МЭОР)'!$F$25:$F$197,$F49,'Калькуляция (МЭОР)'!$G$25:$G$197,$G49),IF(method_reg="Метод сравнения аналогов",_xlfn.SUMIFS('Калькуляция (МСА)'!$AF$25:$AF$65,'Калькуляция (МСА)'!$F$25:$F$65,$F49,'Калькуляция (МСА)'!$G$25:$G$65,$G49),_xlfn.SUMIFS(INDEX('Калькуляция (МИ)'!$AJ$25:$BC$315,,MATCH(BC$8,'Калькуляция (МИ)'!$AJ$8:$BC$8,0)),'Калькуляция (МИ)'!$F$25:$F$315,$F49,'Калькуляция (МИ)'!$G$25:$G$315,$G49))))</f>
        <v>0</v>
      </c>
      <c r="BD49" s="1073">
        <f>IF(BB49=0,0,(BC49-BB49)/BB49*100)</f>
        <v>0</v>
      </c>
      <c r="BE49" s="2907">
        <f>IF(AND(method_reg="Метод индексации",god&lt;&gt;first_year),_xlfn.SUMIFS(INDEX('Калькуляция (МИ корр)'!$AJ$25:$BC$315,,MATCH(BE$8,'Калькуляция (МИ корр)'!$AJ$8:$BC$8,0)),'Калькуляция (МИ корр)'!$F$25:$F$315,$F49,'Калькуляция (МИ корр)'!$G$25:$G$315,$G49),IF(method_reg="Метод экономически обоснованных расходов",_xlfn.SUMIFS('Калькуляция (МЭОР)'!$AJ$25:$AJ$197,'Калькуляция (МЭОР)'!$F$25:$F$197,$F49,'Калькуляция (МЭОР)'!$G$25:$G$197,$G49),IF(method_reg="Метод сравнения аналогов",_xlfn.SUMIFS('Калькуляция (МСА)'!$AE$25:$AE$65,'Калькуляция (МСА)'!$F$25:$F$65,$F49,'Калькуляция (МСА)'!$G$25:$G$65,$G49),_xlfn.SUMIFS(INDEX('Калькуляция (МИ)'!$AJ$25:$BC$315,,MATCH(BE$8,'Калькуляция (МИ)'!$AJ$8:$BC$8,0)),'Калькуляция (МИ)'!$F$25:$F$315,$F49,'Калькуляция (МИ)'!$G$25:$G$315,$G49))))</f>
        <v>0</v>
      </c>
      <c r="BF49" s="2907">
        <f>IF(AND(method_reg="Метод индексации",god&lt;&gt;first_year),_xlfn.SUMIFS(INDEX('Калькуляция (МИ корр)'!$AJ$25:$BC$315,,MATCH(BF$8,'Калькуляция (МИ корр)'!$AJ$8:$BC$8,0)),'Калькуляция (МИ корр)'!$F$25:$F$315,$F49,'Калькуляция (МИ корр)'!$G$25:$G$315,$G49),IF(method_reg="Метод экономически обоснованных расходов",_xlfn.SUMIFS('Калькуляция (МЭОР)'!$AK$25:$AK$197,'Калькуляция (МЭОР)'!$F$25:$F$197,$F49,'Калькуляция (МЭОР)'!$G$25:$G$197,$G49),IF(method_reg="Метод сравнения аналогов",_xlfn.SUMIFS('Калькуляция (МСА)'!$AF$25:$AF$65,'Калькуляция (МСА)'!$F$25:$F$65,$F49,'Калькуляция (МСА)'!$G$25:$G$65,$G49),_xlfn.SUMIFS(INDEX('Калькуляция (МИ)'!$AJ$25:$BC$315,,MATCH(BF$8,'Калькуляция (МИ)'!$AJ$8:$BC$8,0)),'Калькуляция (МИ)'!$F$25:$F$315,$F49,'Калькуляция (МИ)'!$G$25:$G$315,$G49))))</f>
        <v>0</v>
      </c>
      <c r="BG49" s="1073">
        <f>IF(BE49=0,0,(BF49-BE49)/BE49*100)</f>
        <v>0</v>
      </c>
      <c r="BH49" s="2907"/>
      <c r="BI49" s="2907"/>
      <c r="BJ49" s="1073">
        <f>IF(BH49=0,0,(BI49-BH49)/BH49*100)</f>
        <v>0</v>
      </c>
      <c r="BK49" s="2907"/>
      <c r="BL49" s="2907"/>
      <c r="BM49" s="1073">
        <f>IF(BK49=0,0,(BL49-BK49)/BK49*100)</f>
        <v>0</v>
      </c>
      <c r="BN49" s="2907"/>
      <c r="BO49" s="2907"/>
      <c r="BP49" s="1073">
        <f>IF(BN49=0,0,(BO49-BN49)/BN49*100)</f>
        <v>0</v>
      </c>
      <c r="BQ49" s="2907"/>
      <c r="BR49" s="2907"/>
      <c r="BS49" s="1073">
        <f>IF(BQ49=0,0,(BR49-BQ49)/BQ49*100)</f>
        <v>0</v>
      </c>
      <c r="BT49" s="2907"/>
      <c r="BU49" s="2907"/>
      <c r="BV49" s="1073">
        <f>IF(BT49=0,0,(BU49-BT49)/BT49*100)</f>
        <v>0</v>
      </c>
      <c r="BW49" s="2907"/>
      <c r="BX49" s="2907"/>
      <c r="BY49" s="1073">
        <f>IF(BW49=0,0,(BX49-BW49)/BW49*100)</f>
        <v>0</v>
      </c>
      <c r="BZ49" s="2907"/>
      <c r="CA49" s="2907"/>
      <c r="CB49" s="1073">
        <f>IF(BZ49=0,0,(CA49-BZ49)/BZ49*100)</f>
        <v>0</v>
      </c>
      <c r="CC49" s="2907"/>
      <c r="CD49" s="2907"/>
      <c r="CE49" s="1073">
        <f>IF(CC49=0,0,(CD49-CC49)/CC49*100)</f>
        <v>0</v>
      </c>
      <c r="CF49" s="2907"/>
      <c r="CG49" s="2907"/>
      <c r="CH49" s="1073">
        <f>IF(CF49=0,0,(CG49-CF49)/CF49*100)</f>
        <v>0</v>
      </c>
      <c r="CI49" s="2907"/>
      <c r="CJ49" s="2907"/>
      <c r="CK49" s="1073">
        <f>IF(CI49=0,0,(CJ49-CI49)/CI49*100)</f>
        <v>0</v>
      </c>
      <c r="CL49" s="2907"/>
      <c r="CM49" s="2907"/>
      <c r="CN49" s="1073">
        <f>IF(CL49=0,0,(CM49-CL49)/CL49*100)</f>
        <v>0</v>
      </c>
      <c r="CO49" s="2907"/>
      <c r="CP49" s="2907"/>
      <c r="CQ49" s="1073">
        <f>IF(CO49=0,0,(CP49-CO49)/CO49*100)</f>
        <v>0</v>
      </c>
      <c r="CR49" s="2907"/>
      <c r="CS49" s="2907"/>
      <c r="CT49" s="1073">
        <f>IF(CR49=0,0,(CS49-CR49)/CR49*100)</f>
        <v>0</v>
      </c>
      <c r="CU49" s="2907"/>
      <c r="CV49" s="2907"/>
      <c r="CW49" s="1073">
        <f>IF(CU49=0,0,(CV49-CU49)/CU49*100)</f>
        <v>0</v>
      </c>
      <c r="CX49" s="2907"/>
      <c r="CY49" s="2907"/>
      <c r="CZ49" s="1073">
        <f>IF(CX49=0,0,(CY49-CX49)/CX49*100)</f>
        <v>0</v>
      </c>
      <c r="DA49" s="2907"/>
      <c r="DB49" s="2907"/>
      <c r="DC49" s="1073">
        <f>IF(DA49=0,0,(DB49-DA49)/DA49*100)</f>
        <v>0</v>
      </c>
      <c r="DD49" s="2907"/>
      <c r="DE49" s="2907"/>
      <c r="DF49" s="1073">
        <f>IF(DD49=0,0,(DE49-DD49)/DD49*100)</f>
        <v>0</v>
      </c>
      <c r="DG49" s="2907"/>
      <c r="DH49" s="2907"/>
      <c r="DI49" s="1073">
        <f>IF(DG49=0,0,(DH49-DG49)/DG49*100)</f>
        <v>0</v>
      </c>
      <c r="DJ49" s="2907"/>
      <c r="DK49" s="2907"/>
      <c r="DL49" s="1073">
        <f>IF(DJ49=0,0,(DK49-DJ49)/DJ49*100)</f>
        <v>0</v>
      </c>
      <c r="DM49" s="2907"/>
      <c r="DN49" s="2907"/>
      <c r="DO49" s="1073">
        <f>IF(DM49=0,0,(DN49-DM49)/DM49*100)</f>
        <v>0</v>
      </c>
      <c r="DP49" s="2907"/>
      <c r="DQ49" s="2907"/>
      <c r="DR49" s="1073">
        <f>IF(DP49=0,0,(DQ49-DP49)/DP49*100)</f>
        <v>0</v>
      </c>
      <c r="DS49" s="2907"/>
      <c r="DT49" s="2907"/>
      <c r="DU49" s="1073">
        <f>IF(DS49=0,0,(DT49-DS49)/DS49*100)</f>
        <v>0</v>
      </c>
      <c r="DV49" s="2907"/>
      <c r="DW49" s="2907"/>
      <c r="DX49" s="1073">
        <f>IF(DV49=0,0,(DW49-DV49)/DV49*100)</f>
        <v>0</v>
      </c>
      <c r="DY49" s="2907"/>
      <c r="DZ49" s="2907"/>
      <c r="EA49" s="1073">
        <f>IF(DY49=0,0,(DZ49-DY49)/DY49*100)</f>
        <v>0</v>
      </c>
      <c r="EB49" s="2907"/>
      <c r="EC49" s="2907"/>
      <c r="ED49" s="1073">
        <f>IF(EB49=0,0,(EC49-EB49)/EB49*100)</f>
        <v>0</v>
      </c>
      <c r="EE49" s="2907"/>
      <c r="EF49" s="2907"/>
      <c r="EG49" s="1073">
        <f>IF(EE49=0,0,(EF49-EE49)/EE49*100)</f>
        <v>0</v>
      </c>
      <c r="EH49" s="2907"/>
      <c r="EI49" s="2907"/>
      <c r="EJ49" s="1073">
        <f>IF(EH49=0,0,(EI49-EH49)/EH49*100)</f>
        <v>0</v>
      </c>
      <c r="EK49" s="2907"/>
      <c r="EL49" s="2907"/>
      <c r="EM49" s="1073">
        <f>IF(EK49=0,0,(EL49-EK49)/EK49*100)</f>
        <v>0</v>
      </c>
      <c r="EN49" s="2907"/>
      <c r="EO49" s="2907"/>
      <c r="EP49" s="1073">
        <f>IF(EN49=0,0,(EO49-EN49)/EN49*100)</f>
        <v>0</v>
      </c>
      <c r="EQ49" s="2907"/>
      <c r="ER49" s="2907"/>
      <c r="ES49" s="1073">
        <f>IF(EQ49=0,0,(ER49-EQ49)/EQ49*100)</f>
        <v>0</v>
      </c>
      <c r="ET49" s="2907"/>
      <c r="EU49" s="2907"/>
      <c r="EV49" s="1073">
        <f>IF(ET49=0,0,(EU49-ET49)/ET49*100)</f>
        <v>0</v>
      </c>
      <c r="EW49" s="2907"/>
      <c r="EX49" s="2907"/>
      <c r="EY49" s="1073">
        <f>IF(EW49=0,0,(EX49-EW49)/EW49*100)</f>
        <v>0</v>
      </c>
      <c r="EZ49" s="2907"/>
      <c r="FA49" s="2907"/>
      <c r="FB49" s="1073">
        <f>IF(EZ49=0,0,(FA49-EZ49)/EZ49*100)</f>
        <v>0</v>
      </c>
      <c r="FC49" s="2907"/>
      <c r="FD49" s="2907"/>
      <c r="FE49" s="1073">
        <f>IF(FC49=0,0,(FD49-FC49)/FC49*100)</f>
        <v>0</v>
      </c>
      <c r="FF49" s="2907"/>
      <c r="FG49" s="2907"/>
      <c r="FH49" s="1073">
        <f>IF(FF49=0,0,(FG49-FF49)/FF49*100)</f>
        <v>0</v>
      </c>
      <c r="FI49" s="2907"/>
      <c r="FJ49" s="2907"/>
      <c r="FK49" s="1073">
        <f>IF(FI49=0,0,(FJ49-FI49)/FI49*100)</f>
        <v>0</v>
      </c>
      <c r="FL49" s="2907"/>
      <c r="FM49" s="2907"/>
      <c r="FN49" s="1073">
        <f>IF(FL49=0,0,(FM49-FL49)/FL49*100)</f>
        <v>0</v>
      </c>
      <c r="FO49" s="2907"/>
      <c r="FP49" s="2907"/>
      <c r="FQ49" s="1073">
        <f>IF(FO49=0,0,(FP49-FO49)/FO49*100)</f>
        <v>0</v>
      </c>
      <c r="FR49" s="2907"/>
      <c r="FS49" s="2907"/>
      <c r="FT49" s="1073">
        <f>IF(FR49=0,0,(FS49-FR49)/FR49*100)</f>
        <v>0</v>
      </c>
      <c r="FU49" s="2907"/>
      <c r="FV49" s="2907"/>
      <c r="FW49" s="1073">
        <f>IF(FU49=0,0,(FV49-FU49)/FU49*100)</f>
        <v>0</v>
      </c>
      <c r="FX49" s="1282"/>
      <c r="FY49" s="1282"/>
      <c r="FZ49" s="1032" t="s">
        <v>1514</v>
      </c>
      <c r="GA49" s="1284"/>
      <c r="GB49" s="1284"/>
      <c r="GC49" s="1283"/>
      <c r="GD49" s="1283"/>
    </row>
    <row customHeight="1" ht="24.131250000000005" hidden="1">
      <c r="A50" s="466"/>
      <c r="B50" s="901" cm="1" t="str">
        <f t="array" ref="B50:B50">B49</f>
        <v>false</v>
      </c>
      <c r="C50" s="466"/>
      <c r="D50" s="466"/>
      <c r="E50" s="816">
        <v>24.75</v>
      </c>
      <c r="F50" s="50" cm="1" t="str">
        <f t="array" ref="F50:F50">OFFSET(E50,-1,1)</f>
        <v>0</v>
      </c>
      <c r="G50" s="466"/>
      <c r="H50" s="466" t="s">
        <v>1515</v>
      </c>
      <c r="I50" s="466" t="s">
        <v>1474</v>
      </c>
      <c r="J50" s="466"/>
      <c r="K50" s="466"/>
      <c r="L50" s="466"/>
      <c r="M50" s="466"/>
      <c r="N50" s="466"/>
      <c r="O50" s="466"/>
      <c r="P50" s="466"/>
      <c r="Q50" s="466"/>
      <c r="R50" s="466"/>
      <c r="S50" s="466"/>
      <c r="T50" s="438" cm="1" t="str">
        <f t="array" ref="T50:T50">T49</f>
        <v>false</v>
      </c>
      <c r="U50" s="466"/>
      <c r="V50" s="466"/>
      <c r="W50" s="466"/>
      <c r="X50" s="1541"/>
      <c r="Y50" s="466"/>
      <c r="Z50" s="1493"/>
      <c r="AA50" s="466"/>
      <c r="AB50" s="880"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0" s="840" t="s">
        <v>1516</v>
      </c>
      <c r="AD50" s="2912"/>
      <c r="AE50" s="2912"/>
      <c r="AF50" s="1071">
        <f>IF(AD50=0,0,(AE50-AD50)/AD50*100)</f>
        <v>0</v>
      </c>
      <c r="AG50" s="2912"/>
      <c r="AH50" s="2912"/>
      <c r="AI50" s="1071">
        <f>IF(AG50=0,0,(AH50-AG50)/AG50*100)</f>
        <v>0</v>
      </c>
      <c r="AJ50" s="2912"/>
      <c r="AK50" s="2912"/>
      <c r="AL50" s="1071">
        <f>IF(AJ50=0,0,(AK50-AJ50)/AJ50*100)</f>
        <v>0</v>
      </c>
      <c r="AM50" s="2912"/>
      <c r="AN50" s="2912"/>
      <c r="AO50" s="1071">
        <f>IF(AM50=0,0,(AN50-AM50)/AM50*100)</f>
        <v>0</v>
      </c>
      <c r="AP50" s="2912"/>
      <c r="AQ50" s="2912"/>
      <c r="AR50" s="1071">
        <f>IF(AP50=0,0,(AQ50-AP50)/AP50*100)</f>
        <v>0</v>
      </c>
      <c r="AS50" s="2912"/>
      <c r="AT50" s="2912"/>
      <c r="AU50" s="1071">
        <f>IF(AS50=0,0,(AT50-AS50)/AS50*100)</f>
        <v>0</v>
      </c>
      <c r="AV50" s="2912"/>
      <c r="AW50" s="2912"/>
      <c r="AX50" s="1071">
        <f>IF(AV50=0,0,(AW50-AV50)/AV50*100)</f>
        <v>0</v>
      </c>
      <c r="AY50" s="2912"/>
      <c r="AZ50" s="2912"/>
      <c r="BA50" s="1071">
        <f>IF(AY50=0,0,(AZ50-AY50)/AY50*100)</f>
        <v>0</v>
      </c>
      <c r="BB50" s="2912"/>
      <c r="BC50" s="2912"/>
      <c r="BD50" s="1071">
        <f>IF(BB50=0,0,(BC50-BB50)/BB50*100)</f>
        <v>0</v>
      </c>
      <c r="BE50" s="2912"/>
      <c r="BF50" s="2912"/>
      <c r="BG50" s="1071">
        <f>IF(BE50=0,0,(BF50-BE50)/BE50*100)</f>
        <v>0</v>
      </c>
      <c r="BH50" s="2912"/>
      <c r="BI50" s="2912"/>
      <c r="BJ50" s="1071">
        <f>IF(BH50=0,0,(BI50-BH50)/BH50*100)</f>
        <v>0</v>
      </c>
      <c r="BK50" s="2912"/>
      <c r="BL50" s="2912"/>
      <c r="BM50" s="1071">
        <f>IF(BK50=0,0,(BL50-BK50)/BK50*100)</f>
        <v>0</v>
      </c>
      <c r="BN50" s="2912"/>
      <c r="BO50" s="2912"/>
      <c r="BP50" s="1071">
        <f>IF(BN50=0,0,(BO50-BN50)/BN50*100)</f>
        <v>0</v>
      </c>
      <c r="BQ50" s="2912"/>
      <c r="BR50" s="2912"/>
      <c r="BS50" s="1071">
        <f>IF(BQ50=0,0,(BR50-BQ50)/BQ50*100)</f>
        <v>0</v>
      </c>
      <c r="BT50" s="2912"/>
      <c r="BU50" s="2912"/>
      <c r="BV50" s="1071">
        <f>IF(BT50=0,0,(BU50-BT50)/BT50*100)</f>
        <v>0</v>
      </c>
      <c r="BW50" s="2912"/>
      <c r="BX50" s="2912"/>
      <c r="BY50" s="1071">
        <f>IF(BW50=0,0,(BX50-BW50)/BW50*100)</f>
        <v>0</v>
      </c>
      <c r="BZ50" s="2912"/>
      <c r="CA50" s="2912"/>
      <c r="CB50" s="1071">
        <f>IF(BZ50=0,0,(CA50-BZ50)/BZ50*100)</f>
        <v>0</v>
      </c>
      <c r="CC50" s="2912"/>
      <c r="CD50" s="2912"/>
      <c r="CE50" s="1071">
        <f>IF(CC50=0,0,(CD50-CC50)/CC50*100)</f>
        <v>0</v>
      </c>
      <c r="CF50" s="2912"/>
      <c r="CG50" s="2912"/>
      <c r="CH50" s="1071">
        <f>IF(CF50=0,0,(CG50-CF50)/CF50*100)</f>
        <v>0</v>
      </c>
      <c r="CI50" s="2912"/>
      <c r="CJ50" s="2912"/>
      <c r="CK50" s="1071">
        <f>IF(CI50=0,0,(CJ50-CI50)/CI50*100)</f>
        <v>0</v>
      </c>
      <c r="CL50" s="2912"/>
      <c r="CM50" s="2912"/>
      <c r="CN50" s="1071">
        <f>IF(CL50=0,0,(CM50-CL50)/CL50*100)</f>
        <v>0</v>
      </c>
      <c r="CO50" s="2912"/>
      <c r="CP50" s="2912"/>
      <c r="CQ50" s="1071">
        <f>IF(CO50=0,0,(CP50-CO50)/CO50*100)</f>
        <v>0</v>
      </c>
      <c r="CR50" s="2912"/>
      <c r="CS50" s="2912"/>
      <c r="CT50" s="1071">
        <f>IF(CR50=0,0,(CS50-CR50)/CR50*100)</f>
        <v>0</v>
      </c>
      <c r="CU50" s="2912"/>
      <c r="CV50" s="2912"/>
      <c r="CW50" s="1071">
        <f>IF(CU50=0,0,(CV50-CU50)/CU50*100)</f>
        <v>0</v>
      </c>
      <c r="CX50" s="2912"/>
      <c r="CY50" s="2912"/>
      <c r="CZ50" s="1071">
        <f>IF(CX50=0,0,(CY50-CX50)/CX50*100)</f>
        <v>0</v>
      </c>
      <c r="DA50" s="2912"/>
      <c r="DB50" s="2912"/>
      <c r="DC50" s="1071">
        <f>IF(DA50=0,0,(DB50-DA50)/DA50*100)</f>
        <v>0</v>
      </c>
      <c r="DD50" s="2912"/>
      <c r="DE50" s="2912"/>
      <c r="DF50" s="1071">
        <f>IF(DD50=0,0,(DE50-DD50)/DD50*100)</f>
        <v>0</v>
      </c>
      <c r="DG50" s="2912"/>
      <c r="DH50" s="2912"/>
      <c r="DI50" s="1071">
        <f>IF(DG50=0,0,(DH50-DG50)/DG50*100)</f>
        <v>0</v>
      </c>
      <c r="DJ50" s="2912"/>
      <c r="DK50" s="2912"/>
      <c r="DL50" s="1071">
        <f>IF(DJ50=0,0,(DK50-DJ50)/DJ50*100)</f>
        <v>0</v>
      </c>
      <c r="DM50" s="2912"/>
      <c r="DN50" s="2912"/>
      <c r="DO50" s="1071">
        <f>IF(DM50=0,0,(DN50-DM50)/DM50*100)</f>
        <v>0</v>
      </c>
      <c r="DP50" s="2912"/>
      <c r="DQ50" s="2912"/>
      <c r="DR50" s="1071">
        <f>IF(DP50=0,0,(DQ50-DP50)/DP50*100)</f>
        <v>0</v>
      </c>
      <c r="DS50" s="2912"/>
      <c r="DT50" s="2912"/>
      <c r="DU50" s="1071">
        <f>IF(DS50=0,0,(DT50-DS50)/DS50*100)</f>
        <v>0</v>
      </c>
      <c r="DV50" s="2912"/>
      <c r="DW50" s="2912"/>
      <c r="DX50" s="1071">
        <f>IF(DV50=0,0,(DW50-DV50)/DV50*100)</f>
        <v>0</v>
      </c>
      <c r="DY50" s="2912"/>
      <c r="DZ50" s="2912"/>
      <c r="EA50" s="1071">
        <f>IF(DY50=0,0,(DZ50-DY50)/DY50*100)</f>
        <v>0</v>
      </c>
      <c r="EB50" s="2912"/>
      <c r="EC50" s="2912"/>
      <c r="ED50" s="1071">
        <f>IF(EB50=0,0,(EC50-EB50)/EB50*100)</f>
        <v>0</v>
      </c>
      <c r="EE50" s="2912"/>
      <c r="EF50" s="2912"/>
      <c r="EG50" s="1071">
        <f>IF(EE50=0,0,(EF50-EE50)/EE50*100)</f>
        <v>0</v>
      </c>
      <c r="EH50" s="2912"/>
      <c r="EI50" s="2912"/>
      <c r="EJ50" s="1071">
        <f>IF(EH50=0,0,(EI50-EH50)/EH50*100)</f>
        <v>0</v>
      </c>
      <c r="EK50" s="2912"/>
      <c r="EL50" s="2912"/>
      <c r="EM50" s="1071">
        <f>IF(EK50=0,0,(EL50-EK50)/EK50*100)</f>
        <v>0</v>
      </c>
      <c r="EN50" s="2912"/>
      <c r="EO50" s="2912"/>
      <c r="EP50" s="1071">
        <f>IF(EN50=0,0,(EO50-EN50)/EN50*100)</f>
        <v>0</v>
      </c>
      <c r="EQ50" s="2912"/>
      <c r="ER50" s="2912"/>
      <c r="ES50" s="1071">
        <f>IF(EQ50=0,0,(ER50-EQ50)/EQ50*100)</f>
        <v>0</v>
      </c>
      <c r="ET50" s="2912"/>
      <c r="EU50" s="2912"/>
      <c r="EV50" s="1071">
        <f>IF(ET50=0,0,(EU50-ET50)/ET50*100)</f>
        <v>0</v>
      </c>
      <c r="EW50" s="2912"/>
      <c r="EX50" s="2912"/>
      <c r="EY50" s="1071">
        <f>IF(EW50=0,0,(EX50-EW50)/EW50*100)</f>
        <v>0</v>
      </c>
      <c r="EZ50" s="2912"/>
      <c r="FA50" s="2912"/>
      <c r="FB50" s="1071">
        <f>IF(EZ50=0,0,(FA50-EZ50)/EZ50*100)</f>
        <v>0</v>
      </c>
      <c r="FC50" s="2912"/>
      <c r="FD50" s="2912"/>
      <c r="FE50" s="1071">
        <f>IF(FC50=0,0,(FD50-FC50)/FC50*100)</f>
        <v>0</v>
      </c>
      <c r="FF50" s="2912"/>
      <c r="FG50" s="2912"/>
      <c r="FH50" s="1071">
        <f>IF(FF50=0,0,(FG50-FF50)/FF50*100)</f>
        <v>0</v>
      </c>
      <c r="FI50" s="2912"/>
      <c r="FJ50" s="2912"/>
      <c r="FK50" s="1071">
        <f>IF(FI50=0,0,(FJ50-FI50)/FI50*100)</f>
        <v>0</v>
      </c>
      <c r="FL50" s="2912"/>
      <c r="FM50" s="2912"/>
      <c r="FN50" s="1071">
        <f>IF(FL50=0,0,(FM50-FL50)/FL50*100)</f>
        <v>0</v>
      </c>
      <c r="FO50" s="2912"/>
      <c r="FP50" s="2912"/>
      <c r="FQ50" s="1071">
        <f>IF(FO50=0,0,(FP50-FO50)/FO50*100)</f>
        <v>0</v>
      </c>
      <c r="FR50" s="2912"/>
      <c r="FS50" s="2912"/>
      <c r="FT50" s="1071">
        <f>IF(FR50=0,0,(FS50-FR50)/FR50*100)</f>
        <v>0</v>
      </c>
      <c r="FU50" s="2912"/>
      <c r="FV50" s="2912"/>
      <c r="FW50" s="1071">
        <f>IF(FU50=0,0,(FV50-FU50)/FU50*100)</f>
        <v>0</v>
      </c>
      <c r="FX50" s="1282"/>
      <c r="FY50" s="1282"/>
      <c r="FZ50" s="1032" t="s">
        <v>1517</v>
      </c>
      <c r="GA50" s="1284"/>
      <c r="GB50" s="1284"/>
      <c r="GC50" s="1283"/>
      <c r="GD50" s="1283"/>
    </row>
    <row customHeight="1" ht="14.625" hidden="1">
      <c r="A51" s="466"/>
      <c r="B51" s="901" cm="1" t="str">
        <f t="array" ref="B51:B51">B50</f>
        <v>false</v>
      </c>
      <c r="C51" s="466"/>
      <c r="D51" s="466"/>
      <c r="E51" s="816">
        <v>15</v>
      </c>
      <c r="F51" s="50" cm="1" t="str">
        <f t="array" ref="F51:F51">OFFSET(E51,-1,1)</f>
        <v>0</v>
      </c>
      <c r="G51" s="466"/>
      <c r="H51" s="466" t="s">
        <v>1518</v>
      </c>
      <c r="I51" s="466" t="s">
        <v>1474</v>
      </c>
      <c r="J51" s="466"/>
      <c r="K51" s="466"/>
      <c r="L51" s="466"/>
      <c r="M51" s="466"/>
      <c r="N51" s="466"/>
      <c r="O51" s="466"/>
      <c r="P51" s="466"/>
      <c r="Q51" s="466"/>
      <c r="R51" s="466"/>
      <c r="S51" s="466"/>
      <c r="T51" s="438" cm="1" t="str">
        <f t="array" ref="T51:T51">T50</f>
        <v>false</v>
      </c>
      <c r="U51" s="466"/>
      <c r="V51" s="466"/>
      <c r="W51" s="466"/>
      <c r="X51" s="1541"/>
      <c r="Y51" s="466"/>
      <c r="Z51" s="1493"/>
      <c r="AA51" s="466"/>
      <c r="AB51" s="880" t="s">
        <v>1519</v>
      </c>
      <c r="AC51" s="840" t="s">
        <v>1520</v>
      </c>
      <c r="AD51" s="2912"/>
      <c r="AE51" s="2912"/>
      <c r="AF51" s="1071">
        <f>IF(AD51=0,0,(AE51-AD51)/AD51*100)</f>
        <v>0</v>
      </c>
      <c r="AG51" s="2912"/>
      <c r="AH51" s="2912"/>
      <c r="AI51" s="1071">
        <f>IF(AG51=0,0,(AH51-AG51)/AG51*100)</f>
        <v>0</v>
      </c>
      <c r="AJ51" s="2912"/>
      <c r="AK51" s="2912"/>
      <c r="AL51" s="1071">
        <f>IF(AJ51=0,0,(AK51-AJ51)/AJ51*100)</f>
        <v>0</v>
      </c>
      <c r="AM51" s="2912"/>
      <c r="AN51" s="2912"/>
      <c r="AO51" s="1071">
        <f>IF(AM51=0,0,(AN51-AM51)/AM51*100)</f>
        <v>0</v>
      </c>
      <c r="AP51" s="2912"/>
      <c r="AQ51" s="2912"/>
      <c r="AR51" s="1071">
        <f>IF(AP51=0,0,(AQ51-AP51)/AP51*100)</f>
        <v>0</v>
      </c>
      <c r="AS51" s="2912"/>
      <c r="AT51" s="2912"/>
      <c r="AU51" s="1071">
        <f>IF(AS51=0,0,(AT51-AS51)/AS51*100)</f>
        <v>0</v>
      </c>
      <c r="AV51" s="2912"/>
      <c r="AW51" s="2912"/>
      <c r="AX51" s="1071">
        <f>IF(AV51=0,0,(AW51-AV51)/AV51*100)</f>
        <v>0</v>
      </c>
      <c r="AY51" s="2912"/>
      <c r="AZ51" s="2912"/>
      <c r="BA51" s="1071">
        <f>IF(AY51=0,0,(AZ51-AY51)/AY51*100)</f>
        <v>0</v>
      </c>
      <c r="BB51" s="2912"/>
      <c r="BC51" s="2912"/>
      <c r="BD51" s="1071">
        <f>IF(BB51=0,0,(BC51-BB51)/BB51*100)</f>
        <v>0</v>
      </c>
      <c r="BE51" s="2912"/>
      <c r="BF51" s="2912"/>
      <c r="BG51" s="1071">
        <f>IF(BE51=0,0,(BF51-BE51)/BE51*100)</f>
        <v>0</v>
      </c>
      <c r="BH51" s="2912"/>
      <c r="BI51" s="2912"/>
      <c r="BJ51" s="1071">
        <f>IF(BH51=0,0,(BI51-BH51)/BH51*100)</f>
        <v>0</v>
      </c>
      <c r="BK51" s="2912"/>
      <c r="BL51" s="2912"/>
      <c r="BM51" s="1071">
        <f>IF(BK51=0,0,(BL51-BK51)/BK51*100)</f>
        <v>0</v>
      </c>
      <c r="BN51" s="2912"/>
      <c r="BO51" s="2912"/>
      <c r="BP51" s="1071">
        <f>IF(BN51=0,0,(BO51-BN51)/BN51*100)</f>
        <v>0</v>
      </c>
      <c r="BQ51" s="2912"/>
      <c r="BR51" s="2912"/>
      <c r="BS51" s="1071">
        <f>IF(BQ51=0,0,(BR51-BQ51)/BQ51*100)</f>
        <v>0</v>
      </c>
      <c r="BT51" s="2912"/>
      <c r="BU51" s="2912"/>
      <c r="BV51" s="1071">
        <f>IF(BT51=0,0,(BU51-BT51)/BT51*100)</f>
        <v>0</v>
      </c>
      <c r="BW51" s="2912"/>
      <c r="BX51" s="2912"/>
      <c r="BY51" s="1071">
        <f>IF(BW51=0,0,(BX51-BW51)/BW51*100)</f>
        <v>0</v>
      </c>
      <c r="BZ51" s="2912"/>
      <c r="CA51" s="2912"/>
      <c r="CB51" s="1071">
        <f>IF(BZ51=0,0,(CA51-BZ51)/BZ51*100)</f>
        <v>0</v>
      </c>
      <c r="CC51" s="2912"/>
      <c r="CD51" s="2912"/>
      <c r="CE51" s="1071">
        <f>IF(CC51=0,0,(CD51-CC51)/CC51*100)</f>
        <v>0</v>
      </c>
      <c r="CF51" s="2912"/>
      <c r="CG51" s="2912"/>
      <c r="CH51" s="1071">
        <f>IF(CF51=0,0,(CG51-CF51)/CF51*100)</f>
        <v>0</v>
      </c>
      <c r="CI51" s="2912"/>
      <c r="CJ51" s="2912"/>
      <c r="CK51" s="1071">
        <f>IF(CI51=0,0,(CJ51-CI51)/CI51*100)</f>
        <v>0</v>
      </c>
      <c r="CL51" s="2912"/>
      <c r="CM51" s="2912"/>
      <c r="CN51" s="1071">
        <f>IF(CL51=0,0,(CM51-CL51)/CL51*100)</f>
        <v>0</v>
      </c>
      <c r="CO51" s="2912"/>
      <c r="CP51" s="2912"/>
      <c r="CQ51" s="1071">
        <f>IF(CO51=0,0,(CP51-CO51)/CO51*100)</f>
        <v>0</v>
      </c>
      <c r="CR51" s="2912"/>
      <c r="CS51" s="2912"/>
      <c r="CT51" s="1071">
        <f>IF(CR51=0,0,(CS51-CR51)/CR51*100)</f>
        <v>0</v>
      </c>
      <c r="CU51" s="2912"/>
      <c r="CV51" s="2912"/>
      <c r="CW51" s="1071">
        <f>IF(CU51=0,0,(CV51-CU51)/CU51*100)</f>
        <v>0</v>
      </c>
      <c r="CX51" s="2912"/>
      <c r="CY51" s="2912"/>
      <c r="CZ51" s="1071">
        <f>IF(CX51=0,0,(CY51-CX51)/CX51*100)</f>
        <v>0</v>
      </c>
      <c r="DA51" s="2912"/>
      <c r="DB51" s="2912"/>
      <c r="DC51" s="1071">
        <f>IF(DA51=0,0,(DB51-DA51)/DA51*100)</f>
        <v>0</v>
      </c>
      <c r="DD51" s="2912"/>
      <c r="DE51" s="2912"/>
      <c r="DF51" s="1071">
        <f>IF(DD51=0,0,(DE51-DD51)/DD51*100)</f>
        <v>0</v>
      </c>
      <c r="DG51" s="2912"/>
      <c r="DH51" s="2912"/>
      <c r="DI51" s="1071">
        <f>IF(DG51=0,0,(DH51-DG51)/DG51*100)</f>
        <v>0</v>
      </c>
      <c r="DJ51" s="2912"/>
      <c r="DK51" s="2912"/>
      <c r="DL51" s="1071">
        <f>IF(DJ51=0,0,(DK51-DJ51)/DJ51*100)</f>
        <v>0</v>
      </c>
      <c r="DM51" s="2912"/>
      <c r="DN51" s="2912"/>
      <c r="DO51" s="1071">
        <f>IF(DM51=0,0,(DN51-DM51)/DM51*100)</f>
        <v>0</v>
      </c>
      <c r="DP51" s="2912"/>
      <c r="DQ51" s="2912"/>
      <c r="DR51" s="1071">
        <f>IF(DP51=0,0,(DQ51-DP51)/DP51*100)</f>
        <v>0</v>
      </c>
      <c r="DS51" s="2912"/>
      <c r="DT51" s="2912"/>
      <c r="DU51" s="1071">
        <f>IF(DS51=0,0,(DT51-DS51)/DS51*100)</f>
        <v>0</v>
      </c>
      <c r="DV51" s="2912"/>
      <c r="DW51" s="2912"/>
      <c r="DX51" s="1071">
        <f>IF(DV51=0,0,(DW51-DV51)/DV51*100)</f>
        <v>0</v>
      </c>
      <c r="DY51" s="2912"/>
      <c r="DZ51" s="2912"/>
      <c r="EA51" s="1071">
        <f>IF(DY51=0,0,(DZ51-DY51)/DY51*100)</f>
        <v>0</v>
      </c>
      <c r="EB51" s="2912"/>
      <c r="EC51" s="2912"/>
      <c r="ED51" s="1071">
        <f>IF(EB51=0,0,(EC51-EB51)/EB51*100)</f>
        <v>0</v>
      </c>
      <c r="EE51" s="2912"/>
      <c r="EF51" s="2912"/>
      <c r="EG51" s="1071">
        <f>IF(EE51=0,0,(EF51-EE51)/EE51*100)</f>
        <v>0</v>
      </c>
      <c r="EH51" s="2912"/>
      <c r="EI51" s="2912"/>
      <c r="EJ51" s="1071">
        <f>IF(EH51=0,0,(EI51-EH51)/EH51*100)</f>
        <v>0</v>
      </c>
      <c r="EK51" s="2912"/>
      <c r="EL51" s="2912"/>
      <c r="EM51" s="1071">
        <f>IF(EK51=0,0,(EL51-EK51)/EK51*100)</f>
        <v>0</v>
      </c>
      <c r="EN51" s="2912"/>
      <c r="EO51" s="2912"/>
      <c r="EP51" s="1071">
        <f>IF(EN51=0,0,(EO51-EN51)/EN51*100)</f>
        <v>0</v>
      </c>
      <c r="EQ51" s="2912"/>
      <c r="ER51" s="2912"/>
      <c r="ES51" s="1071">
        <f>IF(EQ51=0,0,(ER51-EQ51)/EQ51*100)</f>
        <v>0</v>
      </c>
      <c r="ET51" s="2912"/>
      <c r="EU51" s="2912"/>
      <c r="EV51" s="1071">
        <f>IF(ET51=0,0,(EU51-ET51)/ET51*100)</f>
        <v>0</v>
      </c>
      <c r="EW51" s="2912"/>
      <c r="EX51" s="2912"/>
      <c r="EY51" s="1071">
        <f>IF(EW51=0,0,(EX51-EW51)/EW51*100)</f>
        <v>0</v>
      </c>
      <c r="EZ51" s="2912"/>
      <c r="FA51" s="2912"/>
      <c r="FB51" s="1071">
        <f>IF(EZ51=0,0,(FA51-EZ51)/EZ51*100)</f>
        <v>0</v>
      </c>
      <c r="FC51" s="2912"/>
      <c r="FD51" s="2912"/>
      <c r="FE51" s="1071">
        <f>IF(FC51=0,0,(FD51-FC51)/FC51*100)</f>
        <v>0</v>
      </c>
      <c r="FF51" s="2912"/>
      <c r="FG51" s="2912"/>
      <c r="FH51" s="1071">
        <f>IF(FF51=0,0,(FG51-FF51)/FF51*100)</f>
        <v>0</v>
      </c>
      <c r="FI51" s="2912"/>
      <c r="FJ51" s="2912"/>
      <c r="FK51" s="1071">
        <f>IF(FI51=0,0,(FJ51-FI51)/FI51*100)</f>
        <v>0</v>
      </c>
      <c r="FL51" s="2912"/>
      <c r="FM51" s="2912"/>
      <c r="FN51" s="1071">
        <f>IF(FL51=0,0,(FM51-FL51)/FL51*100)</f>
        <v>0</v>
      </c>
      <c r="FO51" s="2912"/>
      <c r="FP51" s="2912"/>
      <c r="FQ51" s="1071">
        <f>IF(FO51=0,0,(FP51-FO51)/FO51*100)</f>
        <v>0</v>
      </c>
      <c r="FR51" s="2912"/>
      <c r="FS51" s="2912"/>
      <c r="FT51" s="1071">
        <f>IF(FR51=0,0,(FS51-FR51)/FR51*100)</f>
        <v>0</v>
      </c>
      <c r="FU51" s="2912"/>
      <c r="FV51" s="2912"/>
      <c r="FW51" s="1071">
        <f>IF(FU51=0,0,(FV51-FU51)/FU51*100)</f>
        <v>0</v>
      </c>
      <c r="FX51" s="1282"/>
      <c r="FY51" s="1282"/>
      <c r="FZ51" s="1032" t="s">
        <v>1521</v>
      </c>
      <c r="GA51" s="1284"/>
      <c r="GB51" s="1284"/>
      <c r="GC51" s="1283"/>
      <c r="GD51" s="1283"/>
    </row>
    <row customHeight="1" ht="23.887500000000003" hidden="1">
      <c r="A52" s="466"/>
      <c r="B52" s="901" cm="1" t="str">
        <f t="array" ref="B52:B52">B51</f>
        <v>false</v>
      </c>
      <c r="C52" s="466"/>
      <c r="D52" s="466"/>
      <c r="E52" s="816">
        <v>24.5</v>
      </c>
      <c r="F52" s="50" cm="1" t="str">
        <f t="array" ref="F52:F52">OFFSET(E52,-1,1)</f>
        <v>0</v>
      </c>
      <c r="G52" s="466"/>
      <c r="H52" s="466"/>
      <c r="I52" s="466"/>
      <c r="J52" s="466"/>
      <c r="K52" s="466"/>
      <c r="L52" s="466"/>
      <c r="M52" s="466"/>
      <c r="N52" s="466"/>
      <c r="O52" s="466"/>
      <c r="P52" s="466"/>
      <c r="Q52" s="466"/>
      <c r="R52" s="466"/>
      <c r="S52" s="466"/>
      <c r="T52" s="438" cm="1" t="str">
        <f t="array" ref="T52:T52">T51</f>
        <v>false</v>
      </c>
      <c r="U52" s="466"/>
      <c r="V52" s="466"/>
      <c r="W52" s="466"/>
      <c r="X52" s="1541"/>
      <c r="Y52" s="466"/>
      <c r="Z52" s="1493"/>
      <c r="AA52" s="466"/>
      <c r="AB52" s="259" t="s">
        <v>1522</v>
      </c>
      <c r="AC52" s="879"/>
      <c r="AD52" s="1080"/>
      <c r="AE52" s="1080"/>
      <c r="AF52" s="1080"/>
      <c r="AG52" s="1080"/>
      <c r="AH52" s="1080"/>
      <c r="AI52" s="1080"/>
      <c r="AJ52" s="1080"/>
      <c r="AK52" s="1080"/>
      <c r="AL52" s="1080"/>
      <c r="AM52" s="1080"/>
      <c r="AN52" s="1080"/>
      <c r="AO52" s="1080"/>
      <c r="AP52" s="1080"/>
      <c r="AQ52" s="1080"/>
      <c r="AR52" s="1080"/>
      <c r="AS52" s="1080"/>
      <c r="AT52" s="1080"/>
      <c r="AU52" s="1080"/>
      <c r="AV52" s="1080"/>
      <c r="AW52" s="1080"/>
      <c r="AX52" s="1080"/>
      <c r="AY52" s="1080"/>
      <c r="AZ52" s="1080"/>
      <c r="BA52" s="1080"/>
      <c r="BB52" s="1080"/>
      <c r="BC52" s="1080"/>
      <c r="BD52" s="1080"/>
      <c r="BE52" s="1080"/>
      <c r="BF52" s="1080"/>
      <c r="BG52" s="1080"/>
      <c r="BH52" s="1080"/>
      <c r="BI52" s="1080"/>
      <c r="BJ52" s="1080"/>
      <c r="BK52" s="1080"/>
      <c r="BL52" s="1080"/>
      <c r="BM52" s="1080"/>
      <c r="BN52" s="1080"/>
      <c r="BO52" s="1080"/>
      <c r="BP52" s="1080"/>
      <c r="BQ52" s="1080"/>
      <c r="BR52" s="1080"/>
      <c r="BS52" s="1080"/>
      <c r="BT52" s="1080"/>
      <c r="BU52" s="1080"/>
      <c r="BV52" s="1080"/>
      <c r="BW52" s="1080"/>
      <c r="BX52" s="1080"/>
      <c r="BY52" s="1080"/>
      <c r="BZ52" s="1080"/>
      <c r="CA52" s="1080"/>
      <c r="CB52" s="1080"/>
      <c r="CC52" s="1080"/>
      <c r="CD52" s="1080"/>
      <c r="CE52" s="1080"/>
      <c r="CF52" s="1080"/>
      <c r="CG52" s="1080"/>
      <c r="CH52" s="1080"/>
      <c r="CI52" s="1080"/>
      <c r="CJ52" s="1080"/>
      <c r="CK52" s="1080"/>
      <c r="CL52" s="1080"/>
      <c r="CM52" s="1080"/>
      <c r="CN52" s="1080"/>
      <c r="CO52" s="1080"/>
      <c r="CP52" s="1080"/>
      <c r="CQ52" s="1080"/>
      <c r="CR52" s="1080"/>
      <c r="CS52" s="1080"/>
      <c r="CT52" s="1080"/>
      <c r="CU52" s="1080"/>
      <c r="CV52" s="1080"/>
      <c r="CW52" s="1080"/>
      <c r="CX52" s="1080"/>
      <c r="CY52" s="1080"/>
      <c r="CZ52" s="1080"/>
      <c r="DA52" s="1080"/>
      <c r="DB52" s="1080"/>
      <c r="DC52" s="1080"/>
      <c r="DD52" s="1080"/>
      <c r="DE52" s="1080"/>
      <c r="DF52" s="1080"/>
      <c r="DG52" s="1080"/>
      <c r="DH52" s="1080"/>
      <c r="DI52" s="1080"/>
      <c r="DJ52" s="1080"/>
      <c r="DK52" s="1080"/>
      <c r="DL52" s="1080"/>
      <c r="DM52" s="1080"/>
      <c r="DN52" s="1080"/>
      <c r="DO52" s="1080"/>
      <c r="DP52" s="1080"/>
      <c r="DQ52" s="1080"/>
      <c r="DR52" s="1080"/>
      <c r="DS52" s="1080"/>
      <c r="DT52" s="1080"/>
      <c r="DU52" s="1080"/>
      <c r="DV52" s="1080"/>
      <c r="DW52" s="1080"/>
      <c r="DX52" s="1080"/>
      <c r="DY52" s="1080"/>
      <c r="DZ52" s="1080"/>
      <c r="EA52" s="1080"/>
      <c r="EB52" s="1080"/>
      <c r="EC52" s="1080"/>
      <c r="ED52" s="1080"/>
      <c r="EE52" s="1080"/>
      <c r="EF52" s="1080"/>
      <c r="EG52" s="1080"/>
      <c r="EH52" s="1080"/>
      <c r="EI52" s="1080"/>
      <c r="EJ52" s="1080"/>
      <c r="EK52" s="1080"/>
      <c r="EL52" s="1080"/>
      <c r="EM52" s="1080"/>
      <c r="EN52" s="1080"/>
      <c r="EO52" s="1080"/>
      <c r="EP52" s="1080"/>
      <c r="EQ52" s="1080"/>
      <c r="ER52" s="1080"/>
      <c r="ES52" s="1080"/>
      <c r="ET52" s="1080"/>
      <c r="EU52" s="1080"/>
      <c r="EV52" s="1080"/>
      <c r="EW52" s="1080"/>
      <c r="EX52" s="1080"/>
      <c r="EY52" s="1080"/>
      <c r="EZ52" s="1080"/>
      <c r="FA52" s="1080"/>
      <c r="FB52" s="1080"/>
      <c r="FC52" s="1080"/>
      <c r="FD52" s="1080"/>
      <c r="FE52" s="1080"/>
      <c r="FF52" s="1080"/>
      <c r="FG52" s="1080"/>
      <c r="FH52" s="1080"/>
      <c r="FI52" s="1080"/>
      <c r="FJ52" s="1080"/>
      <c r="FK52" s="1080"/>
      <c r="FL52" s="1080"/>
      <c r="FM52" s="1080"/>
      <c r="FN52" s="1080"/>
      <c r="FO52" s="1080"/>
      <c r="FP52" s="1080"/>
      <c r="FQ52" s="1080"/>
      <c r="FR52" s="1080"/>
      <c r="FS52" s="1080"/>
      <c r="FT52" s="1080"/>
      <c r="FU52" s="1080"/>
      <c r="FV52" s="1080"/>
      <c r="FW52" s="1081"/>
      <c r="FX52" s="1282"/>
      <c r="FY52" s="1282"/>
      <c r="FZ52" s="1032"/>
      <c r="GA52" s="1284"/>
      <c r="GB52" s="1284"/>
      <c r="GC52" s="1283"/>
      <c r="GD52" s="1283"/>
    </row>
    <row customHeight="1" ht="14.625" hidden="1">
      <c r="A53" s="466"/>
      <c r="B53" s="901" cm="1" t="str">
        <f t="array" ref="B53:B53">B52</f>
        <v>false</v>
      </c>
      <c r="C53" s="466"/>
      <c r="D53" s="466"/>
      <c r="E53" s="816">
        <v>15</v>
      </c>
      <c r="F53" s="50" cm="1" t="str">
        <f t="array" ref="F53:F53">OFFSET(E53,-1,1)</f>
        <v>0</v>
      </c>
      <c r="G53" s="466"/>
      <c r="H53" s="466" t="s">
        <v>1434</v>
      </c>
      <c r="I53" s="466" t="s">
        <v>1479</v>
      </c>
      <c r="J53" s="466"/>
      <c r="K53" s="466"/>
      <c r="L53" s="466"/>
      <c r="M53" s="466"/>
      <c r="N53" s="466"/>
      <c r="O53" s="466"/>
      <c r="P53" s="466"/>
      <c r="Q53" s="466"/>
      <c r="R53" s="466"/>
      <c r="S53" s="466"/>
      <c r="T53" s="438" cm="1" t="str">
        <f t="array" ref="T53:T53">T52</f>
        <v>false</v>
      </c>
      <c r="U53" s="466"/>
      <c r="V53" s="466"/>
      <c r="W53" s="466"/>
      <c r="X53" s="1541"/>
      <c r="Y53" s="466"/>
      <c r="Z53" s="1493"/>
      <c r="AA53" s="466"/>
      <c r="AB53" s="1069" t="s">
        <v>1509</v>
      </c>
      <c r="AC53" s="840" t="s">
        <v>1476</v>
      </c>
      <c r="AD53" s="2912">
        <f>IF(AD55=0,0,(AD54*AD55+AD56*AD57*IF(god=2026,3,6))/AD55)</f>
        <v>0</v>
      </c>
      <c r="AE53" s="2912">
        <f>IF(AE55=0,0,(AE54*AE55+AE56*AE57*IF(god=2026,3,6))/AE55)</f>
        <v>0</v>
      </c>
      <c r="AF53" s="1071">
        <f>IF(AD53=0,0,(AE53-AD53)/AD53*100)</f>
        <v>0</v>
      </c>
      <c r="AG53" s="2912">
        <f>IF(AG55=0,0,(AG54*AG55+AG56*AG57*IF(god=2025,3,6))/AG55)</f>
        <v>0</v>
      </c>
      <c r="AH53" s="2912">
        <f>IF(AH55=0,0,(AH54*AH55+AH56*AH57*IF(god=2025,3,6))/AH55)</f>
        <v>0</v>
      </c>
      <c r="AI53" s="1071">
        <f>IF(AG53=0,0,(AH53-AG53)/AG53*100)</f>
        <v>0</v>
      </c>
      <c r="AJ53" s="2912">
        <f>IF(AJ55=0,0,(AJ54*AJ55+AJ56*AJ57*6)/AJ55)</f>
        <v>0</v>
      </c>
      <c r="AK53" s="2912">
        <f>IF(AK55=0,0,(AK54*AK55+AK56*AK57*6)/AK55)</f>
        <v>0</v>
      </c>
      <c r="AL53" s="1071">
        <f>IF(AJ53=0,0,(AK53-AJ53)/AJ53*100)</f>
        <v>0</v>
      </c>
      <c r="AM53" s="2912">
        <f>IF(AM55=0,0,(AM54*AM55+AM56*AM57*6)/AM55)</f>
        <v>0</v>
      </c>
      <c r="AN53" s="2912">
        <f>IF(AN55=0,0,(AN54*AN55+AN56*AN57*6)/AN55)</f>
        <v>0</v>
      </c>
      <c r="AO53" s="1071">
        <f>IF(AM53=0,0,(AN53-AM53)/AM53*100)</f>
        <v>0</v>
      </c>
      <c r="AP53" s="2912">
        <f>IF(AP55=0,0,(AP54*AP55+AP56*AP57*6)/AP55)</f>
        <v>0</v>
      </c>
      <c r="AQ53" s="2912">
        <f>IF(AQ55=0,0,(AQ54*AQ55+AQ56*AQ57*6)/AQ55)</f>
        <v>0</v>
      </c>
      <c r="AR53" s="1071">
        <f>IF(AP53=0,0,(AQ53-AP53)/AP53*100)</f>
        <v>0</v>
      </c>
      <c r="AS53" s="2912">
        <f>IF(AS55=0,0,(AS54*AS55+AS56*AS57*6)/AS55)</f>
        <v>0</v>
      </c>
      <c r="AT53" s="2912">
        <f>IF(AT55=0,0,(AT54*AT55+AT56*AT57*6)/AT55)</f>
        <v>0</v>
      </c>
      <c r="AU53" s="1071">
        <f>IF(AS53=0,0,(AT53-AS53)/AS53*100)</f>
        <v>0</v>
      </c>
      <c r="AV53" s="2912">
        <f>IF(AV55=0,0,(AV54*AV55+AV56*AV57*6)/AV55)</f>
        <v>0</v>
      </c>
      <c r="AW53" s="2912">
        <f>IF(AW55=0,0,(AW54*AW55+AW56*AW57*6)/AW55)</f>
        <v>0</v>
      </c>
      <c r="AX53" s="1071">
        <f>IF(AV53=0,0,(AW53-AV53)/AV53*100)</f>
        <v>0</v>
      </c>
      <c r="AY53" s="2912">
        <f>IF(AY55=0,0,(AY54*AY55+AY56*AY57*6)/AY55)</f>
        <v>0</v>
      </c>
      <c r="AZ53" s="2912">
        <f>IF(AZ55=0,0,(AZ54*AZ55+AZ56*AZ57*6)/AZ55)</f>
        <v>0</v>
      </c>
      <c r="BA53" s="1071">
        <f>IF(AY53=0,0,(AZ53-AY53)/AY53*100)</f>
        <v>0</v>
      </c>
      <c r="BB53" s="2912">
        <f>IF(BB55=0,0,(BB54*BB55+BB56*BB57*6)/BB55)</f>
        <v>0</v>
      </c>
      <c r="BC53" s="2912">
        <f>IF(BC55=0,0,(BC54*BC55+BC56*BC57*6)/BC55)</f>
        <v>0</v>
      </c>
      <c r="BD53" s="1071">
        <f>IF(BB53=0,0,(BC53-BB53)/BB53*100)</f>
        <v>0</v>
      </c>
      <c r="BE53" s="2912">
        <f>IF(BE55=0,0,(BE54*BE55+BE56*BE57*6)/BE55)</f>
        <v>0</v>
      </c>
      <c r="BF53" s="2912">
        <f>IF(BF55=0,0,(BF54*BF55+BF56*BF57*6)/BF55)</f>
        <v>0</v>
      </c>
      <c r="BG53" s="1071">
        <f>IF(BE53=0,0,(BF53-BE53)/BE53*100)</f>
        <v>0</v>
      </c>
      <c r="BH53" s="2912">
        <f>IF(BH55=0,0,(BH54*BH55+BH56*BH57*6)/BH55)</f>
        <v>0</v>
      </c>
      <c r="BI53" s="2912">
        <f>IF(BI55=0,0,(BI54*BI55+BI56*BI57*6)/BI55)</f>
        <v>0</v>
      </c>
      <c r="BJ53" s="1071">
        <f>IF(BH53=0,0,(BI53-BH53)/BH53*100)</f>
        <v>0</v>
      </c>
      <c r="BK53" s="2912">
        <f>IF(BK55=0,0,(BK54*BK55+BK56*BK57*6)/BK55)</f>
        <v>0</v>
      </c>
      <c r="BL53" s="2912">
        <f>IF(BL55=0,0,(BL54*BL55+BL56*BL57*6)/BL55)</f>
        <v>0</v>
      </c>
      <c r="BM53" s="1071">
        <f>IF(BK53=0,0,(BL53-BK53)/BK53*100)</f>
        <v>0</v>
      </c>
      <c r="BN53" s="2912">
        <f>IF(BN55=0,0,(BN54*BN55+BN56*BN57*6)/BN55)</f>
        <v>0</v>
      </c>
      <c r="BO53" s="2912">
        <f>IF(BO55=0,0,(BO54*BO55+BO56*BO57*6)/BO55)</f>
        <v>0</v>
      </c>
      <c r="BP53" s="1071">
        <f>IF(BN53=0,0,(BO53-BN53)/BN53*100)</f>
        <v>0</v>
      </c>
      <c r="BQ53" s="2912">
        <f>IF(BQ55=0,0,(BQ54*BQ55+BQ56*BQ57*6)/BQ55)</f>
        <v>0</v>
      </c>
      <c r="BR53" s="2912">
        <f>IF(BR55=0,0,(BR54*BR55+BR56*BR57*6)/BR55)</f>
        <v>0</v>
      </c>
      <c r="BS53" s="1071">
        <f>IF(BQ53=0,0,(BR53-BQ53)/BQ53*100)</f>
        <v>0</v>
      </c>
      <c r="BT53" s="2912">
        <f>IF(BT55=0,0,(BT54*BT55+BT56*BT57*6)/BT55)</f>
        <v>0</v>
      </c>
      <c r="BU53" s="2912">
        <f>IF(BU55=0,0,(BU54*BU55+BU56*BU57*6)/BU55)</f>
        <v>0</v>
      </c>
      <c r="BV53" s="1071">
        <f>IF(BT53=0,0,(BU53-BT53)/BT53*100)</f>
        <v>0</v>
      </c>
      <c r="BW53" s="2912">
        <f>IF(BW55=0,0,(BW54*BW55+BW56*BW57*6)/BW55)</f>
        <v>0</v>
      </c>
      <c r="BX53" s="2912">
        <f>IF(BX55=0,0,(BX54*BX55+BX56*BX57*6)/BX55)</f>
        <v>0</v>
      </c>
      <c r="BY53" s="1071">
        <f>IF(BW53=0,0,(BX53-BW53)/BW53*100)</f>
        <v>0</v>
      </c>
      <c r="BZ53" s="2912">
        <f>IF(BZ55=0,0,(BZ54*BZ55+BZ56*BZ57*6)/BZ55)</f>
        <v>0</v>
      </c>
      <c r="CA53" s="2912">
        <f>IF(CA55=0,0,(CA54*CA55+CA56*CA57*6)/CA55)</f>
        <v>0</v>
      </c>
      <c r="CB53" s="1071">
        <f>IF(BZ53=0,0,(CA53-BZ53)/BZ53*100)</f>
        <v>0</v>
      </c>
      <c r="CC53" s="2912">
        <f>IF(CC55=0,0,(CC54*CC55+CC56*CC57*6)/CC55)</f>
        <v>0</v>
      </c>
      <c r="CD53" s="2912">
        <f>IF(CD55=0,0,(CD54*CD55+CD56*CD57*6)/CD55)</f>
        <v>0</v>
      </c>
      <c r="CE53" s="1071">
        <f>IF(CC53=0,0,(CD53-CC53)/CC53*100)</f>
        <v>0</v>
      </c>
      <c r="CF53" s="2912">
        <f>IF(CF55=0,0,(CF54*CF55+CF56*CF57*6)/CF55)</f>
        <v>0</v>
      </c>
      <c r="CG53" s="2912">
        <f>IF(CG55=0,0,(CG54*CG55+CG56*CG57*6)/CG55)</f>
        <v>0</v>
      </c>
      <c r="CH53" s="1071">
        <f>IF(CF53=0,0,(CG53-CF53)/CF53*100)</f>
        <v>0</v>
      </c>
      <c r="CI53" s="2912">
        <f>IF(CI55=0,0,(CI54*CI55+CI56*CI57*6)/CI55)</f>
        <v>0</v>
      </c>
      <c r="CJ53" s="2912">
        <f>IF(CJ55=0,0,(CJ54*CJ55+CJ56*CJ57*6)/CJ55)</f>
        <v>0</v>
      </c>
      <c r="CK53" s="1071">
        <f>IF(CI53=0,0,(CJ53-CI53)/CI53*100)</f>
        <v>0</v>
      </c>
      <c r="CL53" s="2912">
        <f>IF(CL55=0,0,(CL54*CL55+CL56*CL57*6)/CL55)</f>
        <v>0</v>
      </c>
      <c r="CM53" s="2912">
        <f>IF(CM55=0,0,(CM54*CM55+CM56*CM57*6)/CM55)</f>
        <v>0</v>
      </c>
      <c r="CN53" s="1071">
        <f>IF(CL53=0,0,(CM53-CL53)/CL53*100)</f>
        <v>0</v>
      </c>
      <c r="CO53" s="2912">
        <f>IF(CO55=0,0,(CO54*CO55+CO56*CO57*6)/CO55)</f>
        <v>0</v>
      </c>
      <c r="CP53" s="2912">
        <f>IF(CP55=0,0,(CP54*CP55+CP56*CP57*6)/CP55)</f>
        <v>0</v>
      </c>
      <c r="CQ53" s="1071">
        <f>IF(CO53=0,0,(CP53-CO53)/CO53*100)</f>
        <v>0</v>
      </c>
      <c r="CR53" s="2912">
        <f>IF(CR55=0,0,(CR54*CR55+CR56*CR57*6)/CR55)</f>
        <v>0</v>
      </c>
      <c r="CS53" s="2912">
        <f>IF(CS55=0,0,(CS54*CS55+CS56*CS57*6)/CS55)</f>
        <v>0</v>
      </c>
      <c r="CT53" s="1071">
        <f>IF(CR53=0,0,(CS53-CR53)/CR53*100)</f>
        <v>0</v>
      </c>
      <c r="CU53" s="2912">
        <f>IF(CU55=0,0,(CU54*CU55+CU56*CU57*6)/CU55)</f>
        <v>0</v>
      </c>
      <c r="CV53" s="2912">
        <f>IF(CV55=0,0,(CV54*CV55+CV56*CV57*6)/CV55)</f>
        <v>0</v>
      </c>
      <c r="CW53" s="1071">
        <f>IF(CU53=0,0,(CV53-CU53)/CU53*100)</f>
        <v>0</v>
      </c>
      <c r="CX53" s="2912">
        <f>IF(CX55=0,0,(CX54*CX55+CX56*CX57*6)/CX55)</f>
        <v>0</v>
      </c>
      <c r="CY53" s="2912">
        <f>IF(CY55=0,0,(CY54*CY55+CY56*CY57*6)/CY55)</f>
        <v>0</v>
      </c>
      <c r="CZ53" s="1071">
        <f>IF(CX53=0,0,(CY53-CX53)/CX53*100)</f>
        <v>0</v>
      </c>
      <c r="DA53" s="2912">
        <f>IF(DA55=0,0,(DA54*DA55+DA56*DA57*6)/DA55)</f>
        <v>0</v>
      </c>
      <c r="DB53" s="2912">
        <f>IF(DB55=0,0,(DB54*DB55+DB56*DB57*6)/DB55)</f>
        <v>0</v>
      </c>
      <c r="DC53" s="1071">
        <f>IF(DA53=0,0,(DB53-DA53)/DA53*100)</f>
        <v>0</v>
      </c>
      <c r="DD53" s="2912">
        <f>IF(DD55=0,0,(DD54*DD55+DD56*DD57*6)/DD55)</f>
        <v>0</v>
      </c>
      <c r="DE53" s="2912">
        <f>IF(DE55=0,0,(DE54*DE55+DE56*DE57*6)/DE55)</f>
        <v>0</v>
      </c>
      <c r="DF53" s="1071">
        <f>IF(DD53=0,0,(DE53-DD53)/DD53*100)</f>
        <v>0</v>
      </c>
      <c r="DG53" s="2912">
        <f>IF(DG55=0,0,(DG54*DG55+DG56*DG57*6)/DG55)</f>
        <v>0</v>
      </c>
      <c r="DH53" s="2912">
        <f>IF(DH55=0,0,(DH54*DH55+DH56*DH57*6)/DH55)</f>
        <v>0</v>
      </c>
      <c r="DI53" s="1071">
        <f>IF(DG53=0,0,(DH53-DG53)/DG53*100)</f>
        <v>0</v>
      </c>
      <c r="DJ53" s="2912">
        <f>IF(DJ55=0,0,(DJ54*DJ55+DJ56*DJ57*6)/DJ55)</f>
        <v>0</v>
      </c>
      <c r="DK53" s="2912">
        <f>IF(DK55=0,0,(DK54*DK55+DK56*DK57*6)/DK55)</f>
        <v>0</v>
      </c>
      <c r="DL53" s="1071">
        <f>IF(DJ53=0,0,(DK53-DJ53)/DJ53*100)</f>
        <v>0</v>
      </c>
      <c r="DM53" s="2912">
        <f>IF(DM55=0,0,(DM54*DM55+DM56*DM57*6)/DM55)</f>
        <v>0</v>
      </c>
      <c r="DN53" s="2912">
        <f>IF(DN55=0,0,(DN54*DN55+DN56*DN57*6)/DN55)</f>
        <v>0</v>
      </c>
      <c r="DO53" s="1071">
        <f>IF(DM53=0,0,(DN53-DM53)/DM53*100)</f>
        <v>0</v>
      </c>
      <c r="DP53" s="2912">
        <f>IF(DP55=0,0,(DP54*DP55+DP56*DP57*6)/DP55)</f>
        <v>0</v>
      </c>
      <c r="DQ53" s="2912">
        <f>IF(DQ55=0,0,(DQ54*DQ55+DQ56*DQ57*6)/DQ55)</f>
        <v>0</v>
      </c>
      <c r="DR53" s="1071">
        <f>IF(DP53=0,0,(DQ53-DP53)/DP53*100)</f>
        <v>0</v>
      </c>
      <c r="DS53" s="2912">
        <f>IF(DS55=0,0,(DS54*DS55+DS56*DS57*6)/DS55)</f>
        <v>0</v>
      </c>
      <c r="DT53" s="2912">
        <f>IF(DT55=0,0,(DT54*DT55+DT56*DT57*6)/DT55)</f>
        <v>0</v>
      </c>
      <c r="DU53" s="1071">
        <f>IF(DS53=0,0,(DT53-DS53)/DS53*100)</f>
        <v>0</v>
      </c>
      <c r="DV53" s="2912">
        <f>IF(DV55=0,0,(DV54*DV55+DV56*DV57*6)/DV55)</f>
        <v>0</v>
      </c>
      <c r="DW53" s="2912">
        <f>IF(DW55=0,0,(DW54*DW55+DW56*DW57*6)/DW55)</f>
        <v>0</v>
      </c>
      <c r="DX53" s="1071">
        <f>IF(DV53=0,0,(DW53-DV53)/DV53*100)</f>
        <v>0</v>
      </c>
      <c r="DY53" s="2912">
        <f>IF(DY55=0,0,(DY54*DY55+DY56*DY57*6)/DY55)</f>
        <v>0</v>
      </c>
      <c r="DZ53" s="2912">
        <f>IF(DZ55=0,0,(DZ54*DZ55+DZ56*DZ57*6)/DZ55)</f>
        <v>0</v>
      </c>
      <c r="EA53" s="1071">
        <f>IF(DY53=0,0,(DZ53-DY53)/DY53*100)</f>
        <v>0</v>
      </c>
      <c r="EB53" s="2912">
        <f>IF(EB55=0,0,(EB54*EB55+EB56*EB57*6)/EB55)</f>
        <v>0</v>
      </c>
      <c r="EC53" s="2912">
        <f>IF(EC55=0,0,(EC54*EC55+EC56*EC57*6)/EC55)</f>
        <v>0</v>
      </c>
      <c r="ED53" s="1071">
        <f>IF(EB53=0,0,(EC53-EB53)/EB53*100)</f>
        <v>0</v>
      </c>
      <c r="EE53" s="2912">
        <f>IF(EE55=0,0,(EE54*EE55+EE56*EE57*6)/EE55)</f>
        <v>0</v>
      </c>
      <c r="EF53" s="2912">
        <f>IF(EF55=0,0,(EF54*EF55+EF56*EF57*6)/EF55)</f>
        <v>0</v>
      </c>
      <c r="EG53" s="1071">
        <f>IF(EE53=0,0,(EF53-EE53)/EE53*100)</f>
        <v>0</v>
      </c>
      <c r="EH53" s="2912">
        <f>IF(EH55=0,0,(EH54*EH55+EH56*EH57*6)/EH55)</f>
        <v>0</v>
      </c>
      <c r="EI53" s="2912">
        <f>IF(EI55=0,0,(EI54*EI55+EI56*EI57*6)/EI55)</f>
        <v>0</v>
      </c>
      <c r="EJ53" s="1071">
        <f>IF(EH53=0,0,(EI53-EH53)/EH53*100)</f>
        <v>0</v>
      </c>
      <c r="EK53" s="2912">
        <f>IF(EK55=0,0,(EK54*EK55+EK56*EK57*6)/EK55)</f>
        <v>0</v>
      </c>
      <c r="EL53" s="2912">
        <f>IF(EL55=0,0,(EL54*EL55+EL56*EL57*6)/EL55)</f>
        <v>0</v>
      </c>
      <c r="EM53" s="1071">
        <f>IF(EK53=0,0,(EL53-EK53)/EK53*100)</f>
        <v>0</v>
      </c>
      <c r="EN53" s="2912">
        <f>IF(EN55=0,0,(EN54*EN55+EN56*EN57*6)/EN55)</f>
        <v>0</v>
      </c>
      <c r="EO53" s="2912">
        <f>IF(EO55=0,0,(EO54*EO55+EO56*EO57*6)/EO55)</f>
        <v>0</v>
      </c>
      <c r="EP53" s="1071">
        <f>IF(EN53=0,0,(EO53-EN53)/EN53*100)</f>
        <v>0</v>
      </c>
      <c r="EQ53" s="2912">
        <f>IF(EQ55=0,0,(EQ54*EQ55+EQ56*EQ57*6)/EQ55)</f>
        <v>0</v>
      </c>
      <c r="ER53" s="2912">
        <f>IF(ER55=0,0,(ER54*ER55+ER56*ER57*6)/ER55)</f>
        <v>0</v>
      </c>
      <c r="ES53" s="1071">
        <f>IF(EQ53=0,0,(ER53-EQ53)/EQ53*100)</f>
        <v>0</v>
      </c>
      <c r="ET53" s="2912">
        <f>IF(ET55=0,0,(ET54*ET55+ET56*ET57*6)/ET55)</f>
        <v>0</v>
      </c>
      <c r="EU53" s="2912">
        <f>IF(EU55=0,0,(EU54*EU55+EU56*EU57*6)/EU55)</f>
        <v>0</v>
      </c>
      <c r="EV53" s="1071">
        <f>IF(ET53=0,0,(EU53-ET53)/ET53*100)</f>
        <v>0</v>
      </c>
      <c r="EW53" s="2912">
        <f>IF(EW55=0,0,(EW54*EW55+EW56*EW57*6)/EW55)</f>
        <v>0</v>
      </c>
      <c r="EX53" s="2912">
        <f>IF(EX55=0,0,(EX54*EX55+EX56*EX57*6)/EX55)</f>
        <v>0</v>
      </c>
      <c r="EY53" s="1071">
        <f>IF(EW53=0,0,(EX53-EW53)/EW53*100)</f>
        <v>0</v>
      </c>
      <c r="EZ53" s="2912">
        <f>IF(EZ55=0,0,(EZ54*EZ55+EZ56*EZ57*6)/EZ55)</f>
        <v>0</v>
      </c>
      <c r="FA53" s="2912">
        <f>IF(FA55=0,0,(FA54*FA55+FA56*FA57*6)/FA55)</f>
        <v>0</v>
      </c>
      <c r="FB53" s="1071">
        <f>IF(EZ53=0,0,(FA53-EZ53)/EZ53*100)</f>
        <v>0</v>
      </c>
      <c r="FC53" s="2912">
        <f>IF(FC55=0,0,(FC54*FC55+FC56*FC57*6)/FC55)</f>
        <v>0</v>
      </c>
      <c r="FD53" s="2912">
        <f>IF(FD55=0,0,(FD54*FD55+FD56*FD57*6)/FD55)</f>
        <v>0</v>
      </c>
      <c r="FE53" s="1071">
        <f>IF(FC53=0,0,(FD53-FC53)/FC53*100)</f>
        <v>0</v>
      </c>
      <c r="FF53" s="2912">
        <f>IF(FF55=0,0,(FF54*FF55+FF56*FF57*6)/FF55)</f>
        <v>0</v>
      </c>
      <c r="FG53" s="2912">
        <f>IF(FG55=0,0,(FG54*FG55+FG56*FG57*6)/FG55)</f>
        <v>0</v>
      </c>
      <c r="FH53" s="1071">
        <f>IF(FF53=0,0,(FG53-FF53)/FF53*100)</f>
        <v>0</v>
      </c>
      <c r="FI53" s="2912">
        <f>IF(FI55=0,0,(FI54*FI55+FI56*FI57*6)/FI55)</f>
        <v>0</v>
      </c>
      <c r="FJ53" s="2912">
        <f>IF(FJ55=0,0,(FJ54*FJ55+FJ56*FJ57*6)/FJ55)</f>
        <v>0</v>
      </c>
      <c r="FK53" s="1071">
        <f>IF(FI53=0,0,(FJ53-FI53)/FI53*100)</f>
        <v>0</v>
      </c>
      <c r="FL53" s="2912">
        <f>IF(FL55=0,0,(FL54*FL55+FL56*FL57*6)/FL55)</f>
        <v>0</v>
      </c>
      <c r="FM53" s="2912">
        <f>IF(FM55=0,0,(FM54*FM55+FM56*FM57*6)/FM55)</f>
        <v>0</v>
      </c>
      <c r="FN53" s="1071">
        <f>IF(FL53=0,0,(FM53-FL53)/FL53*100)</f>
        <v>0</v>
      </c>
      <c r="FO53" s="2912">
        <f>IF(FO55=0,0,(FO54*FO55+FO56*FO57*6)/FO55)</f>
        <v>0</v>
      </c>
      <c r="FP53" s="2912">
        <f>IF(FP55=0,0,(FP54*FP55+FP56*FP57*6)/FP55)</f>
        <v>0</v>
      </c>
      <c r="FQ53" s="1071">
        <f>IF(FO53=0,0,(FP53-FO53)/FO53*100)</f>
        <v>0</v>
      </c>
      <c r="FR53" s="2912">
        <f>IF(FR55=0,0,(FR54*FR55+FR56*FR57*6)/FR55)</f>
        <v>0</v>
      </c>
      <c r="FS53" s="2912">
        <f>IF(FS55=0,0,(FS54*FS55+FS56*FS57*6)/FS55)</f>
        <v>0</v>
      </c>
      <c r="FT53" s="1071">
        <f>IF(FR53=0,0,(FS53-FR53)/FR53*100)</f>
        <v>0</v>
      </c>
      <c r="FU53" s="2912">
        <f>IF(FU55=0,0,(FU54*FU55+FU56*FU57*6)/FU55)</f>
        <v>0</v>
      </c>
      <c r="FV53" s="2912">
        <f>IF(FV55=0,0,(FV54*FV55+FV56*FV57*6)/FV55)</f>
        <v>0</v>
      </c>
      <c r="FW53" s="1071">
        <f>IF(FU53=0,0,(FV53-FU53)/FU53*100)</f>
        <v>0</v>
      </c>
      <c r="FX53" s="1282"/>
      <c r="FY53" s="1282"/>
      <c r="FZ53" s="1032" t="s">
        <v>1523</v>
      </c>
      <c r="GA53" s="1284"/>
      <c r="GB53" s="1284"/>
      <c r="GC53" s="1283"/>
      <c r="GD53" s="1283"/>
    </row>
    <row customHeight="1" ht="14.625" hidden="1">
      <c r="A54" s="466"/>
      <c r="B54" s="901" cm="1" t="str">
        <f t="array" ref="B54:B54">B53</f>
        <v>false</v>
      </c>
      <c r="C54" s="466"/>
      <c r="D54" s="466"/>
      <c r="E54" s="816">
        <v>15</v>
      </c>
      <c r="F54" s="50" cm="1" t="str">
        <f t="array" ref="F54:F54">OFFSET(E54,-1,1)</f>
        <v>0</v>
      </c>
      <c r="G54" s="466"/>
      <c r="H54" s="466" t="s">
        <v>1438</v>
      </c>
      <c r="I54" s="466" t="s">
        <v>1479</v>
      </c>
      <c r="J54" s="466"/>
      <c r="K54" s="466"/>
      <c r="L54" s="466"/>
      <c r="M54" s="466"/>
      <c r="N54" s="466"/>
      <c r="O54" s="466"/>
      <c r="P54" s="466"/>
      <c r="Q54" s="466"/>
      <c r="R54" s="466"/>
      <c r="S54" s="466"/>
      <c r="T54" s="438" cm="1" t="str">
        <f t="array" ref="T54:T54">T53</f>
        <v>false</v>
      </c>
      <c r="U54" s="466"/>
      <c r="V54" s="466"/>
      <c r="W54" s="466"/>
      <c r="X54" s="1541"/>
      <c r="Y54" s="466"/>
      <c r="Z54" s="1493"/>
      <c r="AA54" s="466"/>
      <c r="AB54" s="1069" t="str">
        <f>"ставка платы за "&amp;IF(Q29="Водоснабжение","потребление 1 куб.м холодной воды","объем принятых сточных вод")</f>
        <v>ставка платы за объем принятых сточных вод</v>
      </c>
      <c r="AC54" s="840" t="s">
        <v>1476</v>
      </c>
      <c r="AD54" s="2912"/>
      <c r="AE54" s="2912"/>
      <c r="AF54" s="1071">
        <f>IF(AD54=0,0,(AE54-AD54)/AD54*100)</f>
        <v>0</v>
      </c>
      <c r="AG54" s="2912"/>
      <c r="AH54" s="2912"/>
      <c r="AI54" s="1071">
        <f>IF(AG54=0,0,(AH54-AG54)/AG54*100)</f>
        <v>0</v>
      </c>
      <c r="AJ54" s="2912"/>
      <c r="AK54" s="2912"/>
      <c r="AL54" s="1071">
        <f>IF(AJ54=0,0,(AK54-AJ54)/AJ54*100)</f>
        <v>0</v>
      </c>
      <c r="AM54" s="2912"/>
      <c r="AN54" s="2912"/>
      <c r="AO54" s="1071">
        <f>IF(AM54=0,0,(AN54-AM54)/AM54*100)</f>
        <v>0</v>
      </c>
      <c r="AP54" s="2912"/>
      <c r="AQ54" s="2912"/>
      <c r="AR54" s="1071">
        <f>IF(AP54=0,0,(AQ54-AP54)/AP54*100)</f>
        <v>0</v>
      </c>
      <c r="AS54" s="2912"/>
      <c r="AT54" s="2912"/>
      <c r="AU54" s="1071">
        <f>IF(AS54=0,0,(AT54-AS54)/AS54*100)</f>
        <v>0</v>
      </c>
      <c r="AV54" s="2912"/>
      <c r="AW54" s="2912"/>
      <c r="AX54" s="1071">
        <f>IF(AV54=0,0,(AW54-AV54)/AV54*100)</f>
        <v>0</v>
      </c>
      <c r="AY54" s="2912"/>
      <c r="AZ54" s="2912"/>
      <c r="BA54" s="1071">
        <f>IF(AY54=0,0,(AZ54-AY54)/AY54*100)</f>
        <v>0</v>
      </c>
      <c r="BB54" s="2912"/>
      <c r="BC54" s="2912"/>
      <c r="BD54" s="1071">
        <f>IF(BB54=0,0,(BC54-BB54)/BB54*100)</f>
        <v>0</v>
      </c>
      <c r="BE54" s="2912"/>
      <c r="BF54" s="2912"/>
      <c r="BG54" s="1071">
        <f>IF(BE54=0,0,(BF54-BE54)/BE54*100)</f>
        <v>0</v>
      </c>
      <c r="BH54" s="2912"/>
      <c r="BI54" s="2912"/>
      <c r="BJ54" s="1071">
        <f>IF(BH54=0,0,(BI54-BH54)/BH54*100)</f>
        <v>0</v>
      </c>
      <c r="BK54" s="2912"/>
      <c r="BL54" s="2912"/>
      <c r="BM54" s="1071">
        <f>IF(BK54=0,0,(BL54-BK54)/BK54*100)</f>
        <v>0</v>
      </c>
      <c r="BN54" s="2912"/>
      <c r="BO54" s="2912"/>
      <c r="BP54" s="1071">
        <f>IF(BN54=0,0,(BO54-BN54)/BN54*100)</f>
        <v>0</v>
      </c>
      <c r="BQ54" s="2912"/>
      <c r="BR54" s="2912"/>
      <c r="BS54" s="1071">
        <f>IF(BQ54=0,0,(BR54-BQ54)/BQ54*100)</f>
        <v>0</v>
      </c>
      <c r="BT54" s="2912"/>
      <c r="BU54" s="2912"/>
      <c r="BV54" s="1071">
        <f>IF(BT54=0,0,(BU54-BT54)/BT54*100)</f>
        <v>0</v>
      </c>
      <c r="BW54" s="2912"/>
      <c r="BX54" s="2912"/>
      <c r="BY54" s="1071">
        <f>IF(BW54=0,0,(BX54-BW54)/BW54*100)</f>
        <v>0</v>
      </c>
      <c r="BZ54" s="2912"/>
      <c r="CA54" s="2912"/>
      <c r="CB54" s="1071">
        <f>IF(BZ54=0,0,(CA54-BZ54)/BZ54*100)</f>
        <v>0</v>
      </c>
      <c r="CC54" s="2912"/>
      <c r="CD54" s="2912"/>
      <c r="CE54" s="1071">
        <f>IF(CC54=0,0,(CD54-CC54)/CC54*100)</f>
        <v>0</v>
      </c>
      <c r="CF54" s="2912"/>
      <c r="CG54" s="2912"/>
      <c r="CH54" s="1071">
        <f>IF(CF54=0,0,(CG54-CF54)/CF54*100)</f>
        <v>0</v>
      </c>
      <c r="CI54" s="2912"/>
      <c r="CJ54" s="2912"/>
      <c r="CK54" s="1071">
        <f>IF(CI54=0,0,(CJ54-CI54)/CI54*100)</f>
        <v>0</v>
      </c>
      <c r="CL54" s="2912"/>
      <c r="CM54" s="2912"/>
      <c r="CN54" s="1071">
        <f>IF(CL54=0,0,(CM54-CL54)/CL54*100)</f>
        <v>0</v>
      </c>
      <c r="CO54" s="2912"/>
      <c r="CP54" s="2912"/>
      <c r="CQ54" s="1071">
        <f>IF(CO54=0,0,(CP54-CO54)/CO54*100)</f>
        <v>0</v>
      </c>
      <c r="CR54" s="2912"/>
      <c r="CS54" s="2912"/>
      <c r="CT54" s="1071">
        <f>IF(CR54=0,0,(CS54-CR54)/CR54*100)</f>
        <v>0</v>
      </c>
      <c r="CU54" s="2912"/>
      <c r="CV54" s="2912"/>
      <c r="CW54" s="1071">
        <f>IF(CU54=0,0,(CV54-CU54)/CU54*100)</f>
        <v>0</v>
      </c>
      <c r="CX54" s="2912"/>
      <c r="CY54" s="2912"/>
      <c r="CZ54" s="1071">
        <f>IF(CX54=0,0,(CY54-CX54)/CX54*100)</f>
        <v>0</v>
      </c>
      <c r="DA54" s="2912"/>
      <c r="DB54" s="2912"/>
      <c r="DC54" s="1071">
        <f>IF(DA54=0,0,(DB54-DA54)/DA54*100)</f>
        <v>0</v>
      </c>
      <c r="DD54" s="2912"/>
      <c r="DE54" s="2912"/>
      <c r="DF54" s="1071">
        <f>IF(DD54=0,0,(DE54-DD54)/DD54*100)</f>
        <v>0</v>
      </c>
      <c r="DG54" s="2912"/>
      <c r="DH54" s="2912"/>
      <c r="DI54" s="1071">
        <f>IF(DG54=0,0,(DH54-DG54)/DG54*100)</f>
        <v>0</v>
      </c>
      <c r="DJ54" s="2912"/>
      <c r="DK54" s="2912"/>
      <c r="DL54" s="1071">
        <f>IF(DJ54=0,0,(DK54-DJ54)/DJ54*100)</f>
        <v>0</v>
      </c>
      <c r="DM54" s="2912"/>
      <c r="DN54" s="2912"/>
      <c r="DO54" s="1071">
        <f>IF(DM54=0,0,(DN54-DM54)/DM54*100)</f>
        <v>0</v>
      </c>
      <c r="DP54" s="2912"/>
      <c r="DQ54" s="2912"/>
      <c r="DR54" s="1071">
        <f>IF(DP54=0,0,(DQ54-DP54)/DP54*100)</f>
        <v>0</v>
      </c>
      <c r="DS54" s="2912"/>
      <c r="DT54" s="2912"/>
      <c r="DU54" s="1071">
        <f>IF(DS54=0,0,(DT54-DS54)/DS54*100)</f>
        <v>0</v>
      </c>
      <c r="DV54" s="2912"/>
      <c r="DW54" s="2912"/>
      <c r="DX54" s="1071">
        <f>IF(DV54=0,0,(DW54-DV54)/DV54*100)</f>
        <v>0</v>
      </c>
      <c r="DY54" s="2912"/>
      <c r="DZ54" s="2912"/>
      <c r="EA54" s="1071">
        <f>IF(DY54=0,0,(DZ54-DY54)/DY54*100)</f>
        <v>0</v>
      </c>
      <c r="EB54" s="2912"/>
      <c r="EC54" s="2912"/>
      <c r="ED54" s="1071">
        <f>IF(EB54=0,0,(EC54-EB54)/EB54*100)</f>
        <v>0</v>
      </c>
      <c r="EE54" s="2912"/>
      <c r="EF54" s="2912"/>
      <c r="EG54" s="1071">
        <f>IF(EE54=0,0,(EF54-EE54)/EE54*100)</f>
        <v>0</v>
      </c>
      <c r="EH54" s="2912"/>
      <c r="EI54" s="2912"/>
      <c r="EJ54" s="1071">
        <f>IF(EH54=0,0,(EI54-EH54)/EH54*100)</f>
        <v>0</v>
      </c>
      <c r="EK54" s="2912"/>
      <c r="EL54" s="2912"/>
      <c r="EM54" s="1071">
        <f>IF(EK54=0,0,(EL54-EK54)/EK54*100)</f>
        <v>0</v>
      </c>
      <c r="EN54" s="2912"/>
      <c r="EO54" s="2912"/>
      <c r="EP54" s="1071">
        <f>IF(EN54=0,0,(EO54-EN54)/EN54*100)</f>
        <v>0</v>
      </c>
      <c r="EQ54" s="2912"/>
      <c r="ER54" s="2912"/>
      <c r="ES54" s="1071">
        <f>IF(EQ54=0,0,(ER54-EQ54)/EQ54*100)</f>
        <v>0</v>
      </c>
      <c r="ET54" s="2912"/>
      <c r="EU54" s="2912"/>
      <c r="EV54" s="1071">
        <f>IF(ET54=0,0,(EU54-ET54)/ET54*100)</f>
        <v>0</v>
      </c>
      <c r="EW54" s="2912"/>
      <c r="EX54" s="2912"/>
      <c r="EY54" s="1071">
        <f>IF(EW54=0,0,(EX54-EW54)/EW54*100)</f>
        <v>0</v>
      </c>
      <c r="EZ54" s="2912"/>
      <c r="FA54" s="2912"/>
      <c r="FB54" s="1071">
        <f>IF(EZ54=0,0,(FA54-EZ54)/EZ54*100)</f>
        <v>0</v>
      </c>
      <c r="FC54" s="2912"/>
      <c r="FD54" s="2912"/>
      <c r="FE54" s="1071">
        <f>IF(FC54=0,0,(FD54-FC54)/FC54*100)</f>
        <v>0</v>
      </c>
      <c r="FF54" s="2912"/>
      <c r="FG54" s="2912"/>
      <c r="FH54" s="1071">
        <f>IF(FF54=0,0,(FG54-FF54)/FF54*100)</f>
        <v>0</v>
      </c>
      <c r="FI54" s="2912"/>
      <c r="FJ54" s="2912"/>
      <c r="FK54" s="1071">
        <f>IF(FI54=0,0,(FJ54-FI54)/FI54*100)</f>
        <v>0</v>
      </c>
      <c r="FL54" s="2912"/>
      <c r="FM54" s="2912"/>
      <c r="FN54" s="1071">
        <f>IF(FL54=0,0,(FM54-FL54)/FL54*100)</f>
        <v>0</v>
      </c>
      <c r="FO54" s="2912"/>
      <c r="FP54" s="2912"/>
      <c r="FQ54" s="1071">
        <f>IF(FO54=0,0,(FP54-FO54)/FO54*100)</f>
        <v>0</v>
      </c>
      <c r="FR54" s="2912"/>
      <c r="FS54" s="2912"/>
      <c r="FT54" s="1071">
        <f>IF(FR54=0,0,(FS54-FR54)/FR54*100)</f>
        <v>0</v>
      </c>
      <c r="FU54" s="2912"/>
      <c r="FV54" s="2912"/>
      <c r="FW54" s="1071">
        <f>IF(FU54=0,0,(FV54-FU54)/FU54*100)</f>
        <v>0</v>
      </c>
      <c r="FX54" s="1282"/>
      <c r="FY54" s="1282"/>
      <c r="FZ54" s="1032" t="s">
        <v>1524</v>
      </c>
      <c r="GA54" s="1284"/>
      <c r="GB54" s="1284"/>
      <c r="GC54" s="1283"/>
      <c r="GD54" s="1283"/>
    </row>
    <row customHeight="1" ht="14.625" hidden="1">
      <c r="A55" s="466"/>
      <c r="B55" s="901" cm="1" t="str">
        <f t="array" ref="B55:B55">B54</f>
        <v>false</v>
      </c>
      <c r="C55" s="466"/>
      <c r="D55" s="466"/>
      <c r="E55" s="816">
        <v>15</v>
      </c>
      <c r="F55" s="50" cm="1" t="str">
        <f t="array" ref="F55:F55">OFFSET(E55,-1,1)</f>
        <v>0</v>
      </c>
      <c r="G55" s="73" t="s">
        <v>1525</v>
      </c>
      <c r="H55" s="466" t="s">
        <v>1513</v>
      </c>
      <c r="I55" s="466" t="s">
        <v>1479</v>
      </c>
      <c r="J55" s="466"/>
      <c r="K55" s="466"/>
      <c r="L55" s="466"/>
      <c r="M55" s="466"/>
      <c r="N55" s="466"/>
      <c r="O55" s="466"/>
      <c r="P55" s="466"/>
      <c r="Q55" s="466"/>
      <c r="R55" s="466"/>
      <c r="S55" s="466"/>
      <c r="T55" s="438" cm="1" t="str">
        <f t="array" ref="T55:T55">T54</f>
        <v>false</v>
      </c>
      <c r="U55" s="466"/>
      <c r="V55" s="466"/>
      <c r="W55" s="466"/>
      <c r="X55" s="1541"/>
      <c r="Y55" s="466"/>
      <c r="Z55" s="1493"/>
      <c r="AA55" s="466"/>
      <c r="AB55" s="1069" t="str">
        <f>"объём "&amp;IF(Q29="Водоснабжение","потребления холодной воды","водоотведения")</f>
        <v>объём водоотведения</v>
      </c>
      <c r="AC55" s="840" t="s">
        <v>506</v>
      </c>
      <c r="AD55" s="2907">
        <f>IF(AND(method_reg="Метод индексации",god&lt;&gt;first_year),_xlfn.SUMIFS(INDEX('Калькуляция (МИ корр)'!$AJ$25:$BC$315,,MATCH(AD$8,'Калькуляция (МИ корр)'!$AJ$8:$BC$8,0)),'Калькуляция (МИ корр)'!$F$25:$F$315,$F55,'Калькуляция (МИ корр)'!$G$25:$G$315,$G55),IF(method_reg="Метод экономически обоснованных расходов",_xlfn.SUMIFS('Калькуляция (МЭОР)'!$AJ$25:$AJ$197,'Калькуляция (МЭОР)'!$F$25:$F$197,$F55,'Калькуляция (МЭОР)'!$G$25:$G$197,$G55),IF(method_reg="Метод сравнения аналогов",_xlfn.SUMIFS('Калькуляция (МСА)'!$AE$25:$AE$65,'Калькуляция (МСА)'!$F$25:$F$65,$F55,'Калькуляция (МСА)'!$G$25:$G$65,$G55),_xlfn.SUMIFS(INDEX('Калькуляция (МИ)'!$AJ$25:$BC$315,,MATCH(AD$8,'Калькуляция (МИ)'!$AJ$8:$BC$8,0)),'Калькуляция (МИ)'!$F$25:$F$315,$F55,'Калькуляция (МИ)'!$G$25:$G$315,$G55))))</f>
        <v>0</v>
      </c>
      <c r="AE55" s="2907">
        <f>IF(AND(method_reg="Метод индексации",god&lt;&gt;first_year),_xlfn.SUMIFS(INDEX('Калькуляция (МИ корр)'!$AJ$25:$BC$315,,MATCH(AE$8,'Калькуляция (МИ корр)'!$AJ$8:$BC$8,0)),'Калькуляция (МИ корр)'!$F$25:$F$315,$F55,'Калькуляция (МИ корр)'!$G$25:$G$315,$G55),IF(method_reg="Метод экономически обоснованных расходов",_xlfn.SUMIFS('Калькуляция (МЭОР)'!$AK$25:$AK$197,'Калькуляция (МЭОР)'!$F$25:$F$197,$F55,'Калькуляция (МЭОР)'!$G$25:$G$197,$G55),IF(method_reg="Метод сравнения аналогов",_xlfn.SUMIFS('Калькуляция (МСА)'!$AF$25:$AF$65,'Калькуляция (МСА)'!$F$25:$F$65,$F55,'Калькуляция (МСА)'!$G$25:$G$65,$G55),_xlfn.SUMIFS(INDEX('Калькуляция (МИ)'!$AJ$25:$BC$315,,MATCH(AE$8,'Калькуляция (МИ)'!$AJ$8:$BC$8,0)),'Калькуляция (МИ)'!$F$25:$F$315,$F55,'Калькуляция (МИ)'!$G$25:$G$315,$G55))))</f>
        <v>0</v>
      </c>
      <c r="AF55" s="1073">
        <f>IF(AD55=0,0,(AE55-AD55)/AD55*100)</f>
        <v>0</v>
      </c>
      <c r="AG55" s="2907">
        <f>IF(AND(method_reg="Метод индексации",god&lt;&gt;first_year),_xlfn.SUMIFS(INDEX('Калькуляция (МИ корр)'!$AJ$25:$BC$315,,MATCH(AG$8,'Калькуляция (МИ корр)'!$AJ$8:$BC$8,0)),'Калькуляция (МИ корр)'!$F$25:$F$315,$F55,'Калькуляция (МИ корр)'!$G$25:$G$315,$G55),IF(method_reg="Метод экономически обоснованных расходов",_xlfn.SUMIFS('Калькуляция (МЭОР)'!$AJ$25:$AJ$197,'Калькуляция (МЭОР)'!$F$25:$F$197,$F55,'Калькуляция (МЭОР)'!$G$25:$G$197,$G55),IF(method_reg="Метод сравнения аналогов",_xlfn.SUMIFS('Калькуляция (МСА)'!$AE$25:$AE$65,'Калькуляция (МСА)'!$F$25:$F$65,$F55,'Калькуляция (МСА)'!$G$25:$G$65,$G55),_xlfn.SUMIFS(INDEX('Калькуляция (МИ)'!$AJ$25:$BC$315,,MATCH(AG$8,'Калькуляция (МИ)'!$AJ$8:$BC$8,0)),'Калькуляция (МИ)'!$F$25:$F$315,$F55,'Калькуляция (МИ)'!$G$25:$G$315,$G55))))</f>
        <v>0</v>
      </c>
      <c r="AH55" s="2907">
        <f>IF(AND(method_reg="Метод индексации",god&lt;&gt;first_year),_xlfn.SUMIFS(INDEX('Калькуляция (МИ корр)'!$AJ$25:$BC$315,,MATCH(AH$8,'Калькуляция (МИ корр)'!$AJ$8:$BC$8,0)),'Калькуляция (МИ корр)'!$F$25:$F$315,$F55,'Калькуляция (МИ корр)'!$G$25:$G$315,$G55),IF(method_reg="Метод экономически обоснованных расходов",_xlfn.SUMIFS('Калькуляция (МЭОР)'!$AK$25:$AK$197,'Калькуляция (МЭОР)'!$F$25:$F$197,$F55,'Калькуляция (МЭОР)'!$G$25:$G$197,$G55),IF(method_reg="Метод сравнения аналогов",_xlfn.SUMIFS('Калькуляция (МСА)'!$AF$25:$AF$65,'Калькуляция (МСА)'!$F$25:$F$65,$F55,'Калькуляция (МСА)'!$G$25:$G$65,$G55),_xlfn.SUMIFS(INDEX('Калькуляция (МИ)'!$AJ$25:$BC$315,,MATCH(AH$8,'Калькуляция (МИ)'!$AJ$8:$BC$8,0)),'Калькуляция (МИ)'!$F$25:$F$315,$F55,'Калькуляция (МИ)'!$G$25:$G$315,$G55))))</f>
        <v>0</v>
      </c>
      <c r="AI55" s="1073">
        <f>IF(AG55=0,0,(AH55-AG55)/AG55*100)</f>
        <v>0</v>
      </c>
      <c r="AJ55" s="2907">
        <f>IF(AND(method_reg="Метод индексации",god&lt;&gt;first_year),_xlfn.SUMIFS(INDEX('Калькуляция (МИ корр)'!$AJ$25:$BC$315,,MATCH(AJ$8,'Калькуляция (МИ корр)'!$AJ$8:$BC$8,0)),'Калькуляция (МИ корр)'!$F$25:$F$315,$F55,'Калькуляция (МИ корр)'!$G$25:$G$315,$G55),IF(method_reg="Метод экономически обоснованных расходов",_xlfn.SUMIFS('Калькуляция (МЭОР)'!$AJ$25:$AJ$197,'Калькуляция (МЭОР)'!$F$25:$F$197,$F55,'Калькуляция (МЭОР)'!$G$25:$G$197,$G55),IF(method_reg="Метод сравнения аналогов",_xlfn.SUMIFS('Калькуляция (МСА)'!$AE$25:$AE$65,'Калькуляция (МСА)'!$F$25:$F$65,$F55,'Калькуляция (МСА)'!$G$25:$G$65,$G55),_xlfn.SUMIFS(INDEX('Калькуляция (МИ)'!$AJ$25:$BC$315,,MATCH(AJ$8,'Калькуляция (МИ)'!$AJ$8:$BC$8,0)),'Калькуляция (МИ)'!$F$25:$F$315,$F55,'Калькуляция (МИ)'!$G$25:$G$315,$G55))))</f>
        <v>0</v>
      </c>
      <c r="AK55" s="2907">
        <f>IF(AND(method_reg="Метод индексации",god&lt;&gt;first_year),_xlfn.SUMIFS(INDEX('Калькуляция (МИ корр)'!$AJ$25:$BC$315,,MATCH(AK$8,'Калькуляция (МИ корр)'!$AJ$8:$BC$8,0)),'Калькуляция (МИ корр)'!$F$25:$F$315,$F55,'Калькуляция (МИ корр)'!$G$25:$G$315,$G55),IF(method_reg="Метод экономически обоснованных расходов",_xlfn.SUMIFS('Калькуляция (МЭОР)'!$AK$25:$AK$197,'Калькуляция (МЭОР)'!$F$25:$F$197,$F55,'Калькуляция (МЭОР)'!$G$25:$G$197,$G55),IF(method_reg="Метод сравнения аналогов",_xlfn.SUMIFS('Калькуляция (МСА)'!$AF$25:$AF$65,'Калькуляция (МСА)'!$F$25:$F$65,$F55,'Калькуляция (МСА)'!$G$25:$G$65,$G55),_xlfn.SUMIFS(INDEX('Калькуляция (МИ)'!$AJ$25:$BC$315,,MATCH(AK$8,'Калькуляция (МИ)'!$AJ$8:$BC$8,0)),'Калькуляция (МИ)'!$F$25:$F$315,$F55,'Калькуляция (МИ)'!$G$25:$G$315,$G55))))</f>
        <v>0</v>
      </c>
      <c r="AL55" s="1073">
        <f>IF(AJ55=0,0,(AK55-AJ55)/AJ55*100)</f>
        <v>0</v>
      </c>
      <c r="AM55" s="2907">
        <f>IF(AND(method_reg="Метод индексации",god&lt;&gt;first_year),_xlfn.SUMIFS(INDEX('Калькуляция (МИ корр)'!$AJ$25:$BC$315,,MATCH(AM$8,'Калькуляция (МИ корр)'!$AJ$8:$BC$8,0)),'Калькуляция (МИ корр)'!$F$25:$F$315,$F55,'Калькуляция (МИ корр)'!$G$25:$G$315,$G55),IF(method_reg="Метод экономически обоснованных расходов",_xlfn.SUMIFS('Калькуляция (МЭОР)'!$AJ$25:$AJ$197,'Калькуляция (МЭОР)'!$F$25:$F$197,$F55,'Калькуляция (МЭОР)'!$G$25:$G$197,$G55),IF(method_reg="Метод сравнения аналогов",_xlfn.SUMIFS('Калькуляция (МСА)'!$AE$25:$AE$65,'Калькуляция (МСА)'!$F$25:$F$65,$F55,'Калькуляция (МСА)'!$G$25:$G$65,$G55),_xlfn.SUMIFS(INDEX('Калькуляция (МИ)'!$AJ$25:$BC$315,,MATCH(AM$8,'Калькуляция (МИ)'!$AJ$8:$BC$8,0)),'Калькуляция (МИ)'!$F$25:$F$315,$F55,'Калькуляция (МИ)'!$G$25:$G$315,$G55))))</f>
        <v>0</v>
      </c>
      <c r="AN55" s="2907">
        <f>IF(AND(method_reg="Метод индексации",god&lt;&gt;first_year),_xlfn.SUMIFS(INDEX('Калькуляция (МИ корр)'!$AJ$25:$BC$315,,MATCH(AN$8,'Калькуляция (МИ корр)'!$AJ$8:$BC$8,0)),'Калькуляция (МИ корр)'!$F$25:$F$315,$F55,'Калькуляция (МИ корр)'!$G$25:$G$315,$G55),IF(method_reg="Метод экономически обоснованных расходов",_xlfn.SUMIFS('Калькуляция (МЭОР)'!$AK$25:$AK$197,'Калькуляция (МЭОР)'!$F$25:$F$197,$F55,'Калькуляция (МЭОР)'!$G$25:$G$197,$G55),IF(method_reg="Метод сравнения аналогов",_xlfn.SUMIFS('Калькуляция (МСА)'!$AF$25:$AF$65,'Калькуляция (МСА)'!$F$25:$F$65,$F55,'Калькуляция (МСА)'!$G$25:$G$65,$G55),_xlfn.SUMIFS(INDEX('Калькуляция (МИ)'!$AJ$25:$BC$315,,MATCH(AN$8,'Калькуляция (МИ)'!$AJ$8:$BC$8,0)),'Калькуляция (МИ)'!$F$25:$F$315,$F55,'Калькуляция (МИ)'!$G$25:$G$315,$G55))))</f>
        <v>0</v>
      </c>
      <c r="AO55" s="1073">
        <f>IF(AM55=0,0,(AN55-AM55)/AM55*100)</f>
        <v>0</v>
      </c>
      <c r="AP55" s="2907">
        <f>IF(AND(method_reg="Метод индексации",god&lt;&gt;first_year),_xlfn.SUMIFS(INDEX('Калькуляция (МИ корр)'!$AJ$25:$BC$315,,MATCH(AP$8,'Калькуляция (МИ корр)'!$AJ$8:$BC$8,0)),'Калькуляция (МИ корр)'!$F$25:$F$315,$F55,'Калькуляция (МИ корр)'!$G$25:$G$315,$G55),IF(method_reg="Метод экономически обоснованных расходов",_xlfn.SUMIFS('Калькуляция (МЭОР)'!$AJ$25:$AJ$197,'Калькуляция (МЭОР)'!$F$25:$F$197,$F55,'Калькуляция (МЭОР)'!$G$25:$G$197,$G55),IF(method_reg="Метод сравнения аналогов",_xlfn.SUMIFS('Калькуляция (МСА)'!$AE$25:$AE$65,'Калькуляция (МСА)'!$F$25:$F$65,$F55,'Калькуляция (МСА)'!$G$25:$G$65,$G55),_xlfn.SUMIFS(INDEX('Калькуляция (МИ)'!$AJ$25:$BC$315,,MATCH(AP$8,'Калькуляция (МИ)'!$AJ$8:$BC$8,0)),'Калькуляция (МИ)'!$F$25:$F$315,$F55,'Калькуляция (МИ)'!$G$25:$G$315,$G55))))</f>
        <v>0</v>
      </c>
      <c r="AQ55" s="2907">
        <f>IF(AND(method_reg="Метод индексации",god&lt;&gt;first_year),_xlfn.SUMIFS(INDEX('Калькуляция (МИ корр)'!$AJ$25:$BC$315,,MATCH(AQ$8,'Калькуляция (МИ корр)'!$AJ$8:$BC$8,0)),'Калькуляция (МИ корр)'!$F$25:$F$315,$F55,'Калькуляция (МИ корр)'!$G$25:$G$315,$G55),IF(method_reg="Метод экономически обоснованных расходов",_xlfn.SUMIFS('Калькуляция (МЭОР)'!$AK$25:$AK$197,'Калькуляция (МЭОР)'!$F$25:$F$197,$F55,'Калькуляция (МЭОР)'!$G$25:$G$197,$G55),IF(method_reg="Метод сравнения аналогов",_xlfn.SUMIFS('Калькуляция (МСА)'!$AF$25:$AF$65,'Калькуляция (МСА)'!$F$25:$F$65,$F55,'Калькуляция (МСА)'!$G$25:$G$65,$G55),_xlfn.SUMIFS(INDEX('Калькуляция (МИ)'!$AJ$25:$BC$315,,MATCH(AQ$8,'Калькуляция (МИ)'!$AJ$8:$BC$8,0)),'Калькуляция (МИ)'!$F$25:$F$315,$F55,'Калькуляция (МИ)'!$G$25:$G$315,$G55))))</f>
        <v>0</v>
      </c>
      <c r="AR55" s="1073">
        <f>IF(AP55=0,0,(AQ55-AP55)/AP55*100)</f>
        <v>0</v>
      </c>
      <c r="AS55" s="2907">
        <f>IF(AND(method_reg="Метод индексации",god&lt;&gt;first_year),_xlfn.SUMIFS(INDEX('Калькуляция (МИ корр)'!$AJ$25:$BC$315,,MATCH(AS$8,'Калькуляция (МИ корр)'!$AJ$8:$BC$8,0)),'Калькуляция (МИ корр)'!$F$25:$F$315,$F55,'Калькуляция (МИ корр)'!$G$25:$G$315,$G55),IF(method_reg="Метод экономически обоснованных расходов",_xlfn.SUMIFS('Калькуляция (МЭОР)'!$AJ$25:$AJ$197,'Калькуляция (МЭОР)'!$F$25:$F$197,$F55,'Калькуляция (МЭОР)'!$G$25:$G$197,$G55),IF(method_reg="Метод сравнения аналогов",_xlfn.SUMIFS('Калькуляция (МСА)'!$AE$25:$AE$65,'Калькуляция (МСА)'!$F$25:$F$65,$F55,'Калькуляция (МСА)'!$G$25:$G$65,$G55),_xlfn.SUMIFS(INDEX('Калькуляция (МИ)'!$AJ$25:$BC$315,,MATCH(AS$8,'Калькуляция (МИ)'!$AJ$8:$BC$8,0)),'Калькуляция (МИ)'!$F$25:$F$315,$F55,'Калькуляция (МИ)'!$G$25:$G$315,$G55))))</f>
        <v>0</v>
      </c>
      <c r="AT55" s="2907">
        <f>IF(AND(method_reg="Метод индексации",god&lt;&gt;first_year),_xlfn.SUMIFS(INDEX('Калькуляция (МИ корр)'!$AJ$25:$BC$315,,MATCH(AT$8,'Калькуляция (МИ корр)'!$AJ$8:$BC$8,0)),'Калькуляция (МИ корр)'!$F$25:$F$315,$F55,'Калькуляция (МИ корр)'!$G$25:$G$315,$G55),IF(method_reg="Метод экономически обоснованных расходов",_xlfn.SUMIFS('Калькуляция (МЭОР)'!$AK$25:$AK$197,'Калькуляция (МЭОР)'!$F$25:$F$197,$F55,'Калькуляция (МЭОР)'!$G$25:$G$197,$G55),IF(method_reg="Метод сравнения аналогов",_xlfn.SUMIFS('Калькуляция (МСА)'!$AF$25:$AF$65,'Калькуляция (МСА)'!$F$25:$F$65,$F55,'Калькуляция (МСА)'!$G$25:$G$65,$G55),_xlfn.SUMIFS(INDEX('Калькуляция (МИ)'!$AJ$25:$BC$315,,MATCH(AT$8,'Калькуляция (МИ)'!$AJ$8:$BC$8,0)),'Калькуляция (МИ)'!$F$25:$F$315,$F55,'Калькуляция (МИ)'!$G$25:$G$315,$G55))))</f>
        <v>0</v>
      </c>
      <c r="AU55" s="1073">
        <f>IF(AS55=0,0,(AT55-AS55)/AS55*100)</f>
        <v>0</v>
      </c>
      <c r="AV55" s="2907">
        <f>IF(AND(method_reg="Метод индексации",god&lt;&gt;first_year),_xlfn.SUMIFS(INDEX('Калькуляция (МИ корр)'!$AJ$25:$BC$315,,MATCH(AV$8,'Калькуляция (МИ корр)'!$AJ$8:$BC$8,0)),'Калькуляция (МИ корр)'!$F$25:$F$315,$F55,'Калькуляция (МИ корр)'!$G$25:$G$315,$G55),IF(method_reg="Метод экономически обоснованных расходов",_xlfn.SUMIFS('Калькуляция (МЭОР)'!$AJ$25:$AJ$197,'Калькуляция (МЭОР)'!$F$25:$F$197,$F55,'Калькуляция (МЭОР)'!$G$25:$G$197,$G55),IF(method_reg="Метод сравнения аналогов",_xlfn.SUMIFS('Калькуляция (МСА)'!$AE$25:$AE$65,'Калькуляция (МСА)'!$F$25:$F$65,$F55,'Калькуляция (МСА)'!$G$25:$G$65,$G55),_xlfn.SUMIFS(INDEX('Калькуляция (МИ)'!$AJ$25:$BC$315,,MATCH(AV$8,'Калькуляция (МИ)'!$AJ$8:$BC$8,0)),'Калькуляция (МИ)'!$F$25:$F$315,$F55,'Калькуляция (МИ)'!$G$25:$G$315,$G55))))</f>
        <v>0</v>
      </c>
      <c r="AW55" s="2907">
        <f>IF(AND(method_reg="Метод индексации",god&lt;&gt;first_year),_xlfn.SUMIFS(INDEX('Калькуляция (МИ корр)'!$AJ$25:$BC$315,,MATCH(AW$8,'Калькуляция (МИ корр)'!$AJ$8:$BC$8,0)),'Калькуляция (МИ корр)'!$F$25:$F$315,$F55,'Калькуляция (МИ корр)'!$G$25:$G$315,$G55),IF(method_reg="Метод экономически обоснованных расходов",_xlfn.SUMIFS('Калькуляция (МЭОР)'!$AK$25:$AK$197,'Калькуляция (МЭОР)'!$F$25:$F$197,$F55,'Калькуляция (МЭОР)'!$G$25:$G$197,$G55),IF(method_reg="Метод сравнения аналогов",_xlfn.SUMIFS('Калькуляция (МСА)'!$AF$25:$AF$65,'Калькуляция (МСА)'!$F$25:$F$65,$F55,'Калькуляция (МСА)'!$G$25:$G$65,$G55),_xlfn.SUMIFS(INDEX('Калькуляция (МИ)'!$AJ$25:$BC$315,,MATCH(AW$8,'Калькуляция (МИ)'!$AJ$8:$BC$8,0)),'Калькуляция (МИ)'!$F$25:$F$315,$F55,'Калькуляция (МИ)'!$G$25:$G$315,$G55))))</f>
        <v>0</v>
      </c>
      <c r="AX55" s="1073">
        <f>IF(AV55=0,0,(AW55-AV55)/AV55*100)</f>
        <v>0</v>
      </c>
      <c r="AY55" s="2907">
        <f>IF(AND(method_reg="Метод индексации",god&lt;&gt;first_year),_xlfn.SUMIFS(INDEX('Калькуляция (МИ корр)'!$AJ$25:$BC$315,,MATCH(AY$8,'Калькуляция (МИ корр)'!$AJ$8:$BC$8,0)),'Калькуляция (МИ корр)'!$F$25:$F$315,$F55,'Калькуляция (МИ корр)'!$G$25:$G$315,$G55),IF(method_reg="Метод экономически обоснованных расходов",_xlfn.SUMIFS('Калькуляция (МЭОР)'!$AJ$25:$AJ$197,'Калькуляция (МЭОР)'!$F$25:$F$197,$F55,'Калькуляция (МЭОР)'!$G$25:$G$197,$G55),IF(method_reg="Метод сравнения аналогов",_xlfn.SUMIFS('Калькуляция (МСА)'!$AE$25:$AE$65,'Калькуляция (МСА)'!$F$25:$F$65,$F55,'Калькуляция (МСА)'!$G$25:$G$65,$G55),_xlfn.SUMIFS(INDEX('Калькуляция (МИ)'!$AJ$25:$BC$315,,MATCH(AY$8,'Калькуляция (МИ)'!$AJ$8:$BC$8,0)),'Калькуляция (МИ)'!$F$25:$F$315,$F55,'Калькуляция (МИ)'!$G$25:$G$315,$G55))))</f>
        <v>0</v>
      </c>
      <c r="AZ55" s="2907">
        <f>IF(AND(method_reg="Метод индексации",god&lt;&gt;first_year),_xlfn.SUMIFS(INDEX('Калькуляция (МИ корр)'!$AJ$25:$BC$315,,MATCH(AZ$8,'Калькуляция (МИ корр)'!$AJ$8:$BC$8,0)),'Калькуляция (МИ корр)'!$F$25:$F$315,$F55,'Калькуляция (МИ корр)'!$G$25:$G$315,$G55),IF(method_reg="Метод экономически обоснованных расходов",_xlfn.SUMIFS('Калькуляция (МЭОР)'!$AK$25:$AK$197,'Калькуляция (МЭОР)'!$F$25:$F$197,$F55,'Калькуляция (МЭОР)'!$G$25:$G$197,$G55),IF(method_reg="Метод сравнения аналогов",_xlfn.SUMIFS('Калькуляция (МСА)'!$AF$25:$AF$65,'Калькуляция (МСА)'!$F$25:$F$65,$F55,'Калькуляция (МСА)'!$G$25:$G$65,$G55),_xlfn.SUMIFS(INDEX('Калькуляция (МИ)'!$AJ$25:$BC$315,,MATCH(AZ$8,'Калькуляция (МИ)'!$AJ$8:$BC$8,0)),'Калькуляция (МИ)'!$F$25:$F$315,$F55,'Калькуляция (МИ)'!$G$25:$G$315,$G55))))</f>
        <v>0</v>
      </c>
      <c r="BA55" s="1073">
        <f>IF(AY55=0,0,(AZ55-AY55)/AY55*100)</f>
        <v>0</v>
      </c>
      <c r="BB55" s="2907">
        <f>IF(AND(method_reg="Метод индексации",god&lt;&gt;first_year),_xlfn.SUMIFS(INDEX('Калькуляция (МИ корр)'!$AJ$25:$BC$315,,MATCH(BB$8,'Калькуляция (МИ корр)'!$AJ$8:$BC$8,0)),'Калькуляция (МИ корр)'!$F$25:$F$315,$F55,'Калькуляция (МИ корр)'!$G$25:$G$315,$G55),IF(method_reg="Метод экономически обоснованных расходов",_xlfn.SUMIFS('Калькуляция (МЭОР)'!$AJ$25:$AJ$197,'Калькуляция (МЭОР)'!$F$25:$F$197,$F55,'Калькуляция (МЭОР)'!$G$25:$G$197,$G55),IF(method_reg="Метод сравнения аналогов",_xlfn.SUMIFS('Калькуляция (МСА)'!$AE$25:$AE$65,'Калькуляция (МСА)'!$F$25:$F$65,$F55,'Калькуляция (МСА)'!$G$25:$G$65,$G55),_xlfn.SUMIFS(INDEX('Калькуляция (МИ)'!$AJ$25:$BC$315,,MATCH(BB$8,'Калькуляция (МИ)'!$AJ$8:$BC$8,0)),'Калькуляция (МИ)'!$F$25:$F$315,$F55,'Калькуляция (МИ)'!$G$25:$G$315,$G55))))</f>
        <v>0</v>
      </c>
      <c r="BC55" s="2907">
        <f>IF(AND(method_reg="Метод индексации",god&lt;&gt;first_year),_xlfn.SUMIFS(INDEX('Калькуляция (МИ корр)'!$AJ$25:$BC$315,,MATCH(BC$8,'Калькуляция (МИ корр)'!$AJ$8:$BC$8,0)),'Калькуляция (МИ корр)'!$F$25:$F$315,$F55,'Калькуляция (МИ корр)'!$G$25:$G$315,$G55),IF(method_reg="Метод экономически обоснованных расходов",_xlfn.SUMIFS('Калькуляция (МЭОР)'!$AK$25:$AK$197,'Калькуляция (МЭОР)'!$F$25:$F$197,$F55,'Калькуляция (МЭОР)'!$G$25:$G$197,$G55),IF(method_reg="Метод сравнения аналогов",_xlfn.SUMIFS('Калькуляция (МСА)'!$AF$25:$AF$65,'Калькуляция (МСА)'!$F$25:$F$65,$F55,'Калькуляция (МСА)'!$G$25:$G$65,$G55),_xlfn.SUMIFS(INDEX('Калькуляция (МИ)'!$AJ$25:$BC$315,,MATCH(BC$8,'Калькуляция (МИ)'!$AJ$8:$BC$8,0)),'Калькуляция (МИ)'!$F$25:$F$315,$F55,'Калькуляция (МИ)'!$G$25:$G$315,$G55))))</f>
        <v>0</v>
      </c>
      <c r="BD55" s="1073">
        <f>IF(BB55=0,0,(BC55-BB55)/BB55*100)</f>
        <v>0</v>
      </c>
      <c r="BE55" s="2907">
        <f>IF(AND(method_reg="Метод индексации",god&lt;&gt;first_year),_xlfn.SUMIFS(INDEX('Калькуляция (МИ корр)'!$AJ$25:$BC$315,,MATCH(BE$8,'Калькуляция (МИ корр)'!$AJ$8:$BC$8,0)),'Калькуляция (МИ корр)'!$F$25:$F$315,$F55,'Калькуляция (МИ корр)'!$G$25:$G$315,$G55),IF(method_reg="Метод экономически обоснованных расходов",_xlfn.SUMIFS('Калькуляция (МЭОР)'!$AJ$25:$AJ$197,'Калькуляция (МЭОР)'!$F$25:$F$197,$F55,'Калькуляция (МЭОР)'!$G$25:$G$197,$G55),IF(method_reg="Метод сравнения аналогов",_xlfn.SUMIFS('Калькуляция (МСА)'!$AE$25:$AE$65,'Калькуляция (МСА)'!$F$25:$F$65,$F55,'Калькуляция (МСА)'!$G$25:$G$65,$G55),_xlfn.SUMIFS(INDEX('Калькуляция (МИ)'!$AJ$25:$BC$315,,MATCH(BE$8,'Калькуляция (МИ)'!$AJ$8:$BC$8,0)),'Калькуляция (МИ)'!$F$25:$F$315,$F55,'Калькуляция (МИ)'!$G$25:$G$315,$G55))))</f>
        <v>0</v>
      </c>
      <c r="BF55" s="2907">
        <f>IF(AND(method_reg="Метод индексации",god&lt;&gt;first_year),_xlfn.SUMIFS(INDEX('Калькуляция (МИ корр)'!$AJ$25:$BC$315,,MATCH(BF$8,'Калькуляция (МИ корр)'!$AJ$8:$BC$8,0)),'Калькуляция (МИ корр)'!$F$25:$F$315,$F55,'Калькуляция (МИ корр)'!$G$25:$G$315,$G55),IF(method_reg="Метод экономически обоснованных расходов",_xlfn.SUMIFS('Калькуляция (МЭОР)'!$AK$25:$AK$197,'Калькуляция (МЭОР)'!$F$25:$F$197,$F55,'Калькуляция (МЭОР)'!$G$25:$G$197,$G55),IF(method_reg="Метод сравнения аналогов",_xlfn.SUMIFS('Калькуляция (МСА)'!$AF$25:$AF$65,'Калькуляция (МСА)'!$F$25:$F$65,$F55,'Калькуляция (МСА)'!$G$25:$G$65,$G55),_xlfn.SUMIFS(INDEX('Калькуляция (МИ)'!$AJ$25:$BC$315,,MATCH(BF$8,'Калькуляция (МИ)'!$AJ$8:$BC$8,0)),'Калькуляция (МИ)'!$F$25:$F$315,$F55,'Калькуляция (МИ)'!$G$25:$G$315,$G55))))</f>
        <v>0</v>
      </c>
      <c r="BG55" s="1082">
        <f>IF(BE55=0,0,(BF55-BE55)/BE55*100)</f>
        <v>0</v>
      </c>
      <c r="BH55" s="2907"/>
      <c r="BI55" s="2907"/>
      <c r="BJ55" s="1082">
        <f>IF(BH55=0,0,(BI55-BH55)/BH55*100)</f>
        <v>0</v>
      </c>
      <c r="BK55" s="2907"/>
      <c r="BL55" s="2907"/>
      <c r="BM55" s="1082">
        <f>IF(BK55=0,0,(BL55-BK55)/BK55*100)</f>
        <v>0</v>
      </c>
      <c r="BN55" s="2907"/>
      <c r="BO55" s="2907"/>
      <c r="BP55" s="1082">
        <f>IF(BN55=0,0,(BO55-BN55)/BN55*100)</f>
        <v>0</v>
      </c>
      <c r="BQ55" s="2907"/>
      <c r="BR55" s="2907"/>
      <c r="BS55" s="1082">
        <f>IF(BQ55=0,0,(BR55-BQ55)/BQ55*100)</f>
        <v>0</v>
      </c>
      <c r="BT55" s="2907"/>
      <c r="BU55" s="2907"/>
      <c r="BV55" s="1082">
        <f>IF(BT55=0,0,(BU55-BT55)/BT55*100)</f>
        <v>0</v>
      </c>
      <c r="BW55" s="2907"/>
      <c r="BX55" s="2907"/>
      <c r="BY55" s="1082">
        <f>IF(BW55=0,0,(BX55-BW55)/BW55*100)</f>
        <v>0</v>
      </c>
      <c r="BZ55" s="2907"/>
      <c r="CA55" s="2907"/>
      <c r="CB55" s="1082">
        <f>IF(BZ55=0,0,(CA55-BZ55)/BZ55*100)</f>
        <v>0</v>
      </c>
      <c r="CC55" s="2907"/>
      <c r="CD55" s="2907"/>
      <c r="CE55" s="1082">
        <f>IF(CC55=0,0,(CD55-CC55)/CC55*100)</f>
        <v>0</v>
      </c>
      <c r="CF55" s="2907"/>
      <c r="CG55" s="2907"/>
      <c r="CH55" s="1082">
        <f>IF(CF55=0,0,(CG55-CF55)/CF55*100)</f>
        <v>0</v>
      </c>
      <c r="CI55" s="2907"/>
      <c r="CJ55" s="2907"/>
      <c r="CK55" s="1082">
        <f>IF(CI55=0,0,(CJ55-CI55)/CI55*100)</f>
        <v>0</v>
      </c>
      <c r="CL55" s="2907"/>
      <c r="CM55" s="2907"/>
      <c r="CN55" s="1082">
        <f>IF(CL55=0,0,(CM55-CL55)/CL55*100)</f>
        <v>0</v>
      </c>
      <c r="CO55" s="2907"/>
      <c r="CP55" s="2907"/>
      <c r="CQ55" s="1082">
        <f>IF(CO55=0,0,(CP55-CO55)/CO55*100)</f>
        <v>0</v>
      </c>
      <c r="CR55" s="2907"/>
      <c r="CS55" s="2907"/>
      <c r="CT55" s="1082">
        <f>IF(CR55=0,0,(CS55-CR55)/CR55*100)</f>
        <v>0</v>
      </c>
      <c r="CU55" s="2907"/>
      <c r="CV55" s="2907"/>
      <c r="CW55" s="1082">
        <f>IF(CU55=0,0,(CV55-CU55)/CU55*100)</f>
        <v>0</v>
      </c>
      <c r="CX55" s="2907"/>
      <c r="CY55" s="2907"/>
      <c r="CZ55" s="1082">
        <f>IF(CX55=0,0,(CY55-CX55)/CX55*100)</f>
        <v>0</v>
      </c>
      <c r="DA55" s="2907"/>
      <c r="DB55" s="2907"/>
      <c r="DC55" s="1082">
        <f>IF(DA55=0,0,(DB55-DA55)/DA55*100)</f>
        <v>0</v>
      </c>
      <c r="DD55" s="2907"/>
      <c r="DE55" s="2907"/>
      <c r="DF55" s="1082">
        <f>IF(DD55=0,0,(DE55-DD55)/DD55*100)</f>
        <v>0</v>
      </c>
      <c r="DG55" s="2907"/>
      <c r="DH55" s="2907"/>
      <c r="DI55" s="1082">
        <f>IF(DG55=0,0,(DH55-DG55)/DG55*100)</f>
        <v>0</v>
      </c>
      <c r="DJ55" s="2907"/>
      <c r="DK55" s="2907"/>
      <c r="DL55" s="1082">
        <f>IF(DJ55=0,0,(DK55-DJ55)/DJ55*100)</f>
        <v>0</v>
      </c>
      <c r="DM55" s="2907"/>
      <c r="DN55" s="2907"/>
      <c r="DO55" s="1082">
        <f>IF(DM55=0,0,(DN55-DM55)/DM55*100)</f>
        <v>0</v>
      </c>
      <c r="DP55" s="2907"/>
      <c r="DQ55" s="2907"/>
      <c r="DR55" s="1082">
        <f>IF(DP55=0,0,(DQ55-DP55)/DP55*100)</f>
        <v>0</v>
      </c>
      <c r="DS55" s="2907"/>
      <c r="DT55" s="2907"/>
      <c r="DU55" s="1082">
        <f>IF(DS55=0,0,(DT55-DS55)/DS55*100)</f>
        <v>0</v>
      </c>
      <c r="DV55" s="2907"/>
      <c r="DW55" s="2907"/>
      <c r="DX55" s="1082">
        <f>IF(DV55=0,0,(DW55-DV55)/DV55*100)</f>
        <v>0</v>
      </c>
      <c r="DY55" s="2907"/>
      <c r="DZ55" s="2907"/>
      <c r="EA55" s="1082">
        <f>IF(DY55=0,0,(DZ55-DY55)/DY55*100)</f>
        <v>0</v>
      </c>
      <c r="EB55" s="2907"/>
      <c r="EC55" s="2907"/>
      <c r="ED55" s="1082">
        <f>IF(EB55=0,0,(EC55-EB55)/EB55*100)</f>
        <v>0</v>
      </c>
      <c r="EE55" s="2907"/>
      <c r="EF55" s="2907"/>
      <c r="EG55" s="1082">
        <f>IF(EE55=0,0,(EF55-EE55)/EE55*100)</f>
        <v>0</v>
      </c>
      <c r="EH55" s="2907"/>
      <c r="EI55" s="2907"/>
      <c r="EJ55" s="1082">
        <f>IF(EH55=0,0,(EI55-EH55)/EH55*100)</f>
        <v>0</v>
      </c>
      <c r="EK55" s="2907"/>
      <c r="EL55" s="2907"/>
      <c r="EM55" s="1082">
        <f>IF(EK55=0,0,(EL55-EK55)/EK55*100)</f>
        <v>0</v>
      </c>
      <c r="EN55" s="2907"/>
      <c r="EO55" s="2907"/>
      <c r="EP55" s="1082">
        <f>IF(EN55=0,0,(EO55-EN55)/EN55*100)</f>
        <v>0</v>
      </c>
      <c r="EQ55" s="2907"/>
      <c r="ER55" s="2907"/>
      <c r="ES55" s="1082">
        <f>IF(EQ55=0,0,(ER55-EQ55)/EQ55*100)</f>
        <v>0</v>
      </c>
      <c r="ET55" s="2907"/>
      <c r="EU55" s="2907"/>
      <c r="EV55" s="1082">
        <f>IF(ET55=0,0,(EU55-ET55)/ET55*100)</f>
        <v>0</v>
      </c>
      <c r="EW55" s="2907"/>
      <c r="EX55" s="2907"/>
      <c r="EY55" s="1082">
        <f>IF(EW55=0,0,(EX55-EW55)/EW55*100)</f>
        <v>0</v>
      </c>
      <c r="EZ55" s="2907"/>
      <c r="FA55" s="2907"/>
      <c r="FB55" s="1082">
        <f>IF(EZ55=0,0,(FA55-EZ55)/EZ55*100)</f>
        <v>0</v>
      </c>
      <c r="FC55" s="2907"/>
      <c r="FD55" s="2907"/>
      <c r="FE55" s="1082">
        <f>IF(FC55=0,0,(FD55-FC55)/FC55*100)</f>
        <v>0</v>
      </c>
      <c r="FF55" s="2907"/>
      <c r="FG55" s="2907"/>
      <c r="FH55" s="1082">
        <f>IF(FF55=0,0,(FG55-FF55)/FF55*100)</f>
        <v>0</v>
      </c>
      <c r="FI55" s="2907"/>
      <c r="FJ55" s="2907"/>
      <c r="FK55" s="1082">
        <f>IF(FI55=0,0,(FJ55-FI55)/FI55*100)</f>
        <v>0</v>
      </c>
      <c r="FL55" s="2907"/>
      <c r="FM55" s="2907"/>
      <c r="FN55" s="1082">
        <f>IF(FL55=0,0,(FM55-FL55)/FL55*100)</f>
        <v>0</v>
      </c>
      <c r="FO55" s="2907"/>
      <c r="FP55" s="2907"/>
      <c r="FQ55" s="1082">
        <f>IF(FO55=0,0,(FP55-FO55)/FO55*100)</f>
        <v>0</v>
      </c>
      <c r="FR55" s="2907"/>
      <c r="FS55" s="2907"/>
      <c r="FT55" s="1082">
        <f>IF(FR55=0,0,(FS55-FR55)/FR55*100)</f>
        <v>0</v>
      </c>
      <c r="FU55" s="2907"/>
      <c r="FV55" s="2907"/>
      <c r="FW55" s="1082">
        <f>IF(FU55=0,0,(FV55-FU55)/FU55*100)</f>
        <v>0</v>
      </c>
      <c r="FX55" s="1282"/>
      <c r="FY55" s="1282"/>
      <c r="FZ55" s="1032" t="s">
        <v>1526</v>
      </c>
      <c r="GA55" s="1284"/>
      <c r="GB55" s="1284"/>
      <c r="GC55" s="1283"/>
      <c r="GD55" s="1283"/>
    </row>
    <row customHeight="1" ht="21.9375" hidden="1">
      <c r="A56" s="466"/>
      <c r="B56" s="901" cm="1" t="str">
        <f t="array" ref="B56:B56">B55</f>
        <v>false</v>
      </c>
      <c r="C56" s="466"/>
      <c r="D56" s="466"/>
      <c r="E56" s="816">
        <v>22.5</v>
      </c>
      <c r="F56" s="50" cm="1" t="str">
        <f t="array" ref="F56:F56">OFFSET(E56,-1,1)</f>
        <v>0</v>
      </c>
      <c r="G56" s="466"/>
      <c r="H56" s="466" t="s">
        <v>1515</v>
      </c>
      <c r="I56" s="466" t="s">
        <v>1479</v>
      </c>
      <c r="J56" s="466"/>
      <c r="K56" s="466"/>
      <c r="L56" s="466"/>
      <c r="M56" s="466"/>
      <c r="N56" s="466"/>
      <c r="O56" s="466"/>
      <c r="P56" s="466"/>
      <c r="Q56" s="466"/>
      <c r="R56" s="466"/>
      <c r="S56" s="466"/>
      <c r="T56" s="438" cm="1" t="str">
        <f t="array" ref="T56:T56">T55</f>
        <v>false</v>
      </c>
      <c r="U56" s="466"/>
      <c r="V56" s="466"/>
      <c r="W56" s="466"/>
      <c r="X56" s="1541"/>
      <c r="Y56" s="466"/>
      <c r="Z56" s="1493"/>
      <c r="AA56" s="466"/>
      <c r="AB56" s="1069"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6" s="840" t="s">
        <v>1516</v>
      </c>
      <c r="AD56" s="2912"/>
      <c r="AE56" s="2912"/>
      <c r="AF56" s="1071">
        <f>IF(AD56=0,0,(AE56-AD56)/AD56*100)</f>
        <v>0</v>
      </c>
      <c r="AG56" s="2912"/>
      <c r="AH56" s="2912"/>
      <c r="AI56" s="1071">
        <f>IF(AG56=0,0,(AH56-AG56)/AG56*100)</f>
        <v>0</v>
      </c>
      <c r="AJ56" s="2912"/>
      <c r="AK56" s="2912"/>
      <c r="AL56" s="1071">
        <f>IF(AJ56=0,0,(AK56-AJ56)/AJ56*100)</f>
        <v>0</v>
      </c>
      <c r="AM56" s="2912"/>
      <c r="AN56" s="2912"/>
      <c r="AO56" s="1071">
        <f>IF(AM56=0,0,(AN56-AM56)/AM56*100)</f>
        <v>0</v>
      </c>
      <c r="AP56" s="2912"/>
      <c r="AQ56" s="2912"/>
      <c r="AR56" s="1071">
        <f>IF(AP56=0,0,(AQ56-AP56)/AP56*100)</f>
        <v>0</v>
      </c>
      <c r="AS56" s="2912"/>
      <c r="AT56" s="2912"/>
      <c r="AU56" s="1071">
        <f>IF(AS56=0,0,(AT56-AS56)/AS56*100)</f>
        <v>0</v>
      </c>
      <c r="AV56" s="2912"/>
      <c r="AW56" s="2912"/>
      <c r="AX56" s="1071">
        <f>IF(AV56=0,0,(AW56-AV56)/AV56*100)</f>
        <v>0</v>
      </c>
      <c r="AY56" s="2912"/>
      <c r="AZ56" s="2912"/>
      <c r="BA56" s="1071">
        <f>IF(AY56=0,0,(AZ56-AY56)/AY56*100)</f>
        <v>0</v>
      </c>
      <c r="BB56" s="2912"/>
      <c r="BC56" s="2912"/>
      <c r="BD56" s="1071">
        <f>IF(BB56=0,0,(BC56-BB56)/BB56*100)</f>
        <v>0</v>
      </c>
      <c r="BE56" s="2912"/>
      <c r="BF56" s="2912"/>
      <c r="BG56" s="1071">
        <f>IF(BE56=0,0,(BF56-BE56)/BE56*100)</f>
        <v>0</v>
      </c>
      <c r="BH56" s="2912"/>
      <c r="BI56" s="2912"/>
      <c r="BJ56" s="1071">
        <f>IF(BH56=0,0,(BI56-BH56)/BH56*100)</f>
        <v>0</v>
      </c>
      <c r="BK56" s="2912"/>
      <c r="BL56" s="2912"/>
      <c r="BM56" s="1071">
        <f>IF(BK56=0,0,(BL56-BK56)/BK56*100)</f>
        <v>0</v>
      </c>
      <c r="BN56" s="2912"/>
      <c r="BO56" s="2912"/>
      <c r="BP56" s="1071">
        <f>IF(BN56=0,0,(BO56-BN56)/BN56*100)</f>
        <v>0</v>
      </c>
      <c r="BQ56" s="2912"/>
      <c r="BR56" s="2912"/>
      <c r="BS56" s="1071">
        <f>IF(BQ56=0,0,(BR56-BQ56)/BQ56*100)</f>
        <v>0</v>
      </c>
      <c r="BT56" s="2912"/>
      <c r="BU56" s="2912"/>
      <c r="BV56" s="1071">
        <f>IF(BT56=0,0,(BU56-BT56)/BT56*100)</f>
        <v>0</v>
      </c>
      <c r="BW56" s="2912"/>
      <c r="BX56" s="2912"/>
      <c r="BY56" s="1071">
        <f>IF(BW56=0,0,(BX56-BW56)/BW56*100)</f>
        <v>0</v>
      </c>
      <c r="BZ56" s="2912"/>
      <c r="CA56" s="2912"/>
      <c r="CB56" s="1071">
        <f>IF(BZ56=0,0,(CA56-BZ56)/BZ56*100)</f>
        <v>0</v>
      </c>
      <c r="CC56" s="2912"/>
      <c r="CD56" s="2912"/>
      <c r="CE56" s="1071">
        <f>IF(CC56=0,0,(CD56-CC56)/CC56*100)</f>
        <v>0</v>
      </c>
      <c r="CF56" s="2912"/>
      <c r="CG56" s="2912"/>
      <c r="CH56" s="1071">
        <f>IF(CF56=0,0,(CG56-CF56)/CF56*100)</f>
        <v>0</v>
      </c>
      <c r="CI56" s="2912"/>
      <c r="CJ56" s="2912"/>
      <c r="CK56" s="1071">
        <f>IF(CI56=0,0,(CJ56-CI56)/CI56*100)</f>
        <v>0</v>
      </c>
      <c r="CL56" s="2912"/>
      <c r="CM56" s="2912"/>
      <c r="CN56" s="1071">
        <f>IF(CL56=0,0,(CM56-CL56)/CL56*100)</f>
        <v>0</v>
      </c>
      <c r="CO56" s="2912"/>
      <c r="CP56" s="2912"/>
      <c r="CQ56" s="1071">
        <f>IF(CO56=0,0,(CP56-CO56)/CO56*100)</f>
        <v>0</v>
      </c>
      <c r="CR56" s="2912"/>
      <c r="CS56" s="2912"/>
      <c r="CT56" s="1071">
        <f>IF(CR56=0,0,(CS56-CR56)/CR56*100)</f>
        <v>0</v>
      </c>
      <c r="CU56" s="2912"/>
      <c r="CV56" s="2912"/>
      <c r="CW56" s="1071">
        <f>IF(CU56=0,0,(CV56-CU56)/CU56*100)</f>
        <v>0</v>
      </c>
      <c r="CX56" s="2912"/>
      <c r="CY56" s="2912"/>
      <c r="CZ56" s="1071">
        <f>IF(CX56=0,0,(CY56-CX56)/CX56*100)</f>
        <v>0</v>
      </c>
      <c r="DA56" s="2912"/>
      <c r="DB56" s="2912"/>
      <c r="DC56" s="1071">
        <f>IF(DA56=0,0,(DB56-DA56)/DA56*100)</f>
        <v>0</v>
      </c>
      <c r="DD56" s="2912"/>
      <c r="DE56" s="2912"/>
      <c r="DF56" s="1071">
        <f>IF(DD56=0,0,(DE56-DD56)/DD56*100)</f>
        <v>0</v>
      </c>
      <c r="DG56" s="2912"/>
      <c r="DH56" s="2912"/>
      <c r="DI56" s="1071">
        <f>IF(DG56=0,0,(DH56-DG56)/DG56*100)</f>
        <v>0</v>
      </c>
      <c r="DJ56" s="2912"/>
      <c r="DK56" s="2912"/>
      <c r="DL56" s="1071">
        <f>IF(DJ56=0,0,(DK56-DJ56)/DJ56*100)</f>
        <v>0</v>
      </c>
      <c r="DM56" s="2912"/>
      <c r="DN56" s="2912"/>
      <c r="DO56" s="1071">
        <f>IF(DM56=0,0,(DN56-DM56)/DM56*100)</f>
        <v>0</v>
      </c>
      <c r="DP56" s="2912"/>
      <c r="DQ56" s="2912"/>
      <c r="DR56" s="1071">
        <f>IF(DP56=0,0,(DQ56-DP56)/DP56*100)</f>
        <v>0</v>
      </c>
      <c r="DS56" s="2912"/>
      <c r="DT56" s="2912"/>
      <c r="DU56" s="1071">
        <f>IF(DS56=0,0,(DT56-DS56)/DS56*100)</f>
        <v>0</v>
      </c>
      <c r="DV56" s="2912"/>
      <c r="DW56" s="2912"/>
      <c r="DX56" s="1071">
        <f>IF(DV56=0,0,(DW56-DV56)/DV56*100)</f>
        <v>0</v>
      </c>
      <c r="DY56" s="2912"/>
      <c r="DZ56" s="2912"/>
      <c r="EA56" s="1071">
        <f>IF(DY56=0,0,(DZ56-DY56)/DY56*100)</f>
        <v>0</v>
      </c>
      <c r="EB56" s="2912"/>
      <c r="EC56" s="2912"/>
      <c r="ED56" s="1071">
        <f>IF(EB56=0,0,(EC56-EB56)/EB56*100)</f>
        <v>0</v>
      </c>
      <c r="EE56" s="2912"/>
      <c r="EF56" s="2912"/>
      <c r="EG56" s="1071">
        <f>IF(EE56=0,0,(EF56-EE56)/EE56*100)</f>
        <v>0</v>
      </c>
      <c r="EH56" s="2912"/>
      <c r="EI56" s="2912"/>
      <c r="EJ56" s="1071">
        <f>IF(EH56=0,0,(EI56-EH56)/EH56*100)</f>
        <v>0</v>
      </c>
      <c r="EK56" s="2912"/>
      <c r="EL56" s="2912"/>
      <c r="EM56" s="1071">
        <f>IF(EK56=0,0,(EL56-EK56)/EK56*100)</f>
        <v>0</v>
      </c>
      <c r="EN56" s="2912"/>
      <c r="EO56" s="2912"/>
      <c r="EP56" s="1071">
        <f>IF(EN56=0,0,(EO56-EN56)/EN56*100)</f>
        <v>0</v>
      </c>
      <c r="EQ56" s="2912"/>
      <c r="ER56" s="2912"/>
      <c r="ES56" s="1071">
        <f>IF(EQ56=0,0,(ER56-EQ56)/EQ56*100)</f>
        <v>0</v>
      </c>
      <c r="ET56" s="2912"/>
      <c r="EU56" s="2912"/>
      <c r="EV56" s="1071">
        <f>IF(ET56=0,0,(EU56-ET56)/ET56*100)</f>
        <v>0</v>
      </c>
      <c r="EW56" s="2912"/>
      <c r="EX56" s="2912"/>
      <c r="EY56" s="1071">
        <f>IF(EW56=0,0,(EX56-EW56)/EW56*100)</f>
        <v>0</v>
      </c>
      <c r="EZ56" s="2912"/>
      <c r="FA56" s="2912"/>
      <c r="FB56" s="1071">
        <f>IF(EZ56=0,0,(FA56-EZ56)/EZ56*100)</f>
        <v>0</v>
      </c>
      <c r="FC56" s="2912"/>
      <c r="FD56" s="2912"/>
      <c r="FE56" s="1071">
        <f>IF(FC56=0,0,(FD56-FC56)/FC56*100)</f>
        <v>0</v>
      </c>
      <c r="FF56" s="2912"/>
      <c r="FG56" s="2912"/>
      <c r="FH56" s="1071">
        <f>IF(FF56=0,0,(FG56-FF56)/FF56*100)</f>
        <v>0</v>
      </c>
      <c r="FI56" s="2912"/>
      <c r="FJ56" s="2912"/>
      <c r="FK56" s="1071">
        <f>IF(FI56=0,0,(FJ56-FI56)/FI56*100)</f>
        <v>0</v>
      </c>
      <c r="FL56" s="2912"/>
      <c r="FM56" s="2912"/>
      <c r="FN56" s="1071">
        <f>IF(FL56=0,0,(FM56-FL56)/FL56*100)</f>
        <v>0</v>
      </c>
      <c r="FO56" s="2912"/>
      <c r="FP56" s="2912"/>
      <c r="FQ56" s="1071">
        <f>IF(FO56=0,0,(FP56-FO56)/FO56*100)</f>
        <v>0</v>
      </c>
      <c r="FR56" s="2912"/>
      <c r="FS56" s="2912"/>
      <c r="FT56" s="1071">
        <f>IF(FR56=0,0,(FS56-FR56)/FR56*100)</f>
        <v>0</v>
      </c>
      <c r="FU56" s="2912"/>
      <c r="FV56" s="2912"/>
      <c r="FW56" s="1071">
        <f>IF(FU56=0,0,(FV56-FU56)/FU56*100)</f>
        <v>0</v>
      </c>
      <c r="FX56" s="1282"/>
      <c r="FY56" s="1282"/>
      <c r="FZ56" s="1032" t="s">
        <v>1527</v>
      </c>
      <c r="GA56" s="1284"/>
      <c r="GB56" s="1284"/>
      <c r="GC56" s="1283"/>
      <c r="GD56" s="1283"/>
    </row>
    <row customHeight="1" ht="14.625" hidden="1">
      <c r="A57" s="466"/>
      <c r="B57" s="901" cm="1" t="str">
        <f t="array" ref="B57:B57">B56</f>
        <v>false</v>
      </c>
      <c r="C57" s="466"/>
      <c r="D57" s="466"/>
      <c r="E57" s="816">
        <v>15</v>
      </c>
      <c r="F57" s="50" cm="1" t="str">
        <f t="array" ref="F57:F57">OFFSET(E57,-1,1)</f>
        <v>0</v>
      </c>
      <c r="G57" s="466"/>
      <c r="H57" s="466" t="s">
        <v>1518</v>
      </c>
      <c r="I57" s="466" t="s">
        <v>1479</v>
      </c>
      <c r="J57" s="466"/>
      <c r="K57" s="466"/>
      <c r="L57" s="466"/>
      <c r="M57" s="466"/>
      <c r="N57" s="466"/>
      <c r="O57" s="466"/>
      <c r="P57" s="466"/>
      <c r="Q57" s="466"/>
      <c r="R57" s="466"/>
      <c r="S57" s="466"/>
      <c r="T57" s="438" cm="1" t="str">
        <f t="array" ref="T57:T57">T56</f>
        <v>false</v>
      </c>
      <c r="U57" s="466"/>
      <c r="V57" s="466"/>
      <c r="W57" s="466"/>
      <c r="X57" s="1541"/>
      <c r="Y57" s="466"/>
      <c r="Z57" s="1493"/>
      <c r="AA57" s="466"/>
      <c r="AB57" s="1069" t="s">
        <v>1519</v>
      </c>
      <c r="AC57" s="840" t="s">
        <v>1520</v>
      </c>
      <c r="AD57" s="2912"/>
      <c r="AE57" s="2912"/>
      <c r="AF57" s="1071">
        <f>IF(AD57=0,0,(AE57-AD57)/AD57*100)</f>
        <v>0</v>
      </c>
      <c r="AG57" s="2912"/>
      <c r="AH57" s="2912"/>
      <c r="AI57" s="1071">
        <f>IF(AG57=0,0,(AH57-AG57)/AG57*100)</f>
        <v>0</v>
      </c>
      <c r="AJ57" s="2912"/>
      <c r="AK57" s="2912"/>
      <c r="AL57" s="1071">
        <f>IF(AJ57=0,0,(AK57-AJ57)/AJ57*100)</f>
        <v>0</v>
      </c>
      <c r="AM57" s="2912"/>
      <c r="AN57" s="2912"/>
      <c r="AO57" s="1071">
        <f>IF(AM57=0,0,(AN57-AM57)/AM57*100)</f>
        <v>0</v>
      </c>
      <c r="AP57" s="2912"/>
      <c r="AQ57" s="2912"/>
      <c r="AR57" s="1071">
        <f>IF(AP57=0,0,(AQ57-AP57)/AP57*100)</f>
        <v>0</v>
      </c>
      <c r="AS57" s="2912"/>
      <c r="AT57" s="2912"/>
      <c r="AU57" s="1071">
        <f>IF(AS57=0,0,(AT57-AS57)/AS57*100)</f>
        <v>0</v>
      </c>
      <c r="AV57" s="2912"/>
      <c r="AW57" s="2912"/>
      <c r="AX57" s="1071">
        <f>IF(AV57=0,0,(AW57-AV57)/AV57*100)</f>
        <v>0</v>
      </c>
      <c r="AY57" s="2912"/>
      <c r="AZ57" s="2912"/>
      <c r="BA57" s="1071">
        <f>IF(AY57=0,0,(AZ57-AY57)/AY57*100)</f>
        <v>0</v>
      </c>
      <c r="BB57" s="2912"/>
      <c r="BC57" s="2912"/>
      <c r="BD57" s="1071">
        <f>IF(BB57=0,0,(BC57-BB57)/BB57*100)</f>
        <v>0</v>
      </c>
      <c r="BE57" s="2912"/>
      <c r="BF57" s="2912"/>
      <c r="BG57" s="1071">
        <f>IF(BE57=0,0,(BF57-BE57)/BE57*100)</f>
        <v>0</v>
      </c>
      <c r="BH57" s="2912"/>
      <c r="BI57" s="2912"/>
      <c r="BJ57" s="1071">
        <f>IF(BH57=0,0,(BI57-BH57)/BH57*100)</f>
        <v>0</v>
      </c>
      <c r="BK57" s="2912"/>
      <c r="BL57" s="2912"/>
      <c r="BM57" s="1071">
        <f>IF(BK57=0,0,(BL57-BK57)/BK57*100)</f>
        <v>0</v>
      </c>
      <c r="BN57" s="2912"/>
      <c r="BO57" s="2912"/>
      <c r="BP57" s="1071">
        <f>IF(BN57=0,0,(BO57-BN57)/BN57*100)</f>
        <v>0</v>
      </c>
      <c r="BQ57" s="2912"/>
      <c r="BR57" s="2912"/>
      <c r="BS57" s="1071">
        <f>IF(BQ57=0,0,(BR57-BQ57)/BQ57*100)</f>
        <v>0</v>
      </c>
      <c r="BT57" s="2912"/>
      <c r="BU57" s="2912"/>
      <c r="BV57" s="1071">
        <f>IF(BT57=0,0,(BU57-BT57)/BT57*100)</f>
        <v>0</v>
      </c>
      <c r="BW57" s="2912"/>
      <c r="BX57" s="2912"/>
      <c r="BY57" s="1071">
        <f>IF(BW57=0,0,(BX57-BW57)/BW57*100)</f>
        <v>0</v>
      </c>
      <c r="BZ57" s="2912"/>
      <c r="CA57" s="2912"/>
      <c r="CB57" s="1071">
        <f>IF(BZ57=0,0,(CA57-BZ57)/BZ57*100)</f>
        <v>0</v>
      </c>
      <c r="CC57" s="2912"/>
      <c r="CD57" s="2912"/>
      <c r="CE57" s="1071">
        <f>IF(CC57=0,0,(CD57-CC57)/CC57*100)</f>
        <v>0</v>
      </c>
      <c r="CF57" s="2912"/>
      <c r="CG57" s="2912"/>
      <c r="CH57" s="1071">
        <f>IF(CF57=0,0,(CG57-CF57)/CF57*100)</f>
        <v>0</v>
      </c>
      <c r="CI57" s="2912"/>
      <c r="CJ57" s="2912"/>
      <c r="CK57" s="1071">
        <f>IF(CI57=0,0,(CJ57-CI57)/CI57*100)</f>
        <v>0</v>
      </c>
      <c r="CL57" s="2912"/>
      <c r="CM57" s="2912"/>
      <c r="CN57" s="1071">
        <f>IF(CL57=0,0,(CM57-CL57)/CL57*100)</f>
        <v>0</v>
      </c>
      <c r="CO57" s="2912"/>
      <c r="CP57" s="2912"/>
      <c r="CQ57" s="1071">
        <f>IF(CO57=0,0,(CP57-CO57)/CO57*100)</f>
        <v>0</v>
      </c>
      <c r="CR57" s="2912"/>
      <c r="CS57" s="2912"/>
      <c r="CT57" s="1071">
        <f>IF(CR57=0,0,(CS57-CR57)/CR57*100)</f>
        <v>0</v>
      </c>
      <c r="CU57" s="2912"/>
      <c r="CV57" s="2912"/>
      <c r="CW57" s="1071">
        <f>IF(CU57=0,0,(CV57-CU57)/CU57*100)</f>
        <v>0</v>
      </c>
      <c r="CX57" s="2912"/>
      <c r="CY57" s="2912"/>
      <c r="CZ57" s="1071">
        <f>IF(CX57=0,0,(CY57-CX57)/CX57*100)</f>
        <v>0</v>
      </c>
      <c r="DA57" s="2912"/>
      <c r="DB57" s="2912"/>
      <c r="DC57" s="1071">
        <f>IF(DA57=0,0,(DB57-DA57)/DA57*100)</f>
        <v>0</v>
      </c>
      <c r="DD57" s="2912"/>
      <c r="DE57" s="2912"/>
      <c r="DF57" s="1071">
        <f>IF(DD57=0,0,(DE57-DD57)/DD57*100)</f>
        <v>0</v>
      </c>
      <c r="DG57" s="2912"/>
      <c r="DH57" s="2912"/>
      <c r="DI57" s="1071">
        <f>IF(DG57=0,0,(DH57-DG57)/DG57*100)</f>
        <v>0</v>
      </c>
      <c r="DJ57" s="2912"/>
      <c r="DK57" s="2912"/>
      <c r="DL57" s="1071">
        <f>IF(DJ57=0,0,(DK57-DJ57)/DJ57*100)</f>
        <v>0</v>
      </c>
      <c r="DM57" s="2912"/>
      <c r="DN57" s="2912"/>
      <c r="DO57" s="1071">
        <f>IF(DM57=0,0,(DN57-DM57)/DM57*100)</f>
        <v>0</v>
      </c>
      <c r="DP57" s="2912"/>
      <c r="DQ57" s="2912"/>
      <c r="DR57" s="1071">
        <f>IF(DP57=0,0,(DQ57-DP57)/DP57*100)</f>
        <v>0</v>
      </c>
      <c r="DS57" s="2912"/>
      <c r="DT57" s="2912"/>
      <c r="DU57" s="1071">
        <f>IF(DS57=0,0,(DT57-DS57)/DS57*100)</f>
        <v>0</v>
      </c>
      <c r="DV57" s="2912"/>
      <c r="DW57" s="2912"/>
      <c r="DX57" s="1071">
        <f>IF(DV57=0,0,(DW57-DV57)/DV57*100)</f>
        <v>0</v>
      </c>
      <c r="DY57" s="2912"/>
      <c r="DZ57" s="2912"/>
      <c r="EA57" s="1071">
        <f>IF(DY57=0,0,(DZ57-DY57)/DY57*100)</f>
        <v>0</v>
      </c>
      <c r="EB57" s="2912"/>
      <c r="EC57" s="2912"/>
      <c r="ED57" s="1071">
        <f>IF(EB57=0,0,(EC57-EB57)/EB57*100)</f>
        <v>0</v>
      </c>
      <c r="EE57" s="2912"/>
      <c r="EF57" s="2912"/>
      <c r="EG57" s="1071">
        <f>IF(EE57=0,0,(EF57-EE57)/EE57*100)</f>
        <v>0</v>
      </c>
      <c r="EH57" s="2912"/>
      <c r="EI57" s="2912"/>
      <c r="EJ57" s="1071">
        <f>IF(EH57=0,0,(EI57-EH57)/EH57*100)</f>
        <v>0</v>
      </c>
      <c r="EK57" s="2912"/>
      <c r="EL57" s="2912"/>
      <c r="EM57" s="1071">
        <f>IF(EK57=0,0,(EL57-EK57)/EK57*100)</f>
        <v>0</v>
      </c>
      <c r="EN57" s="2912"/>
      <c r="EO57" s="2912"/>
      <c r="EP57" s="1071">
        <f>IF(EN57=0,0,(EO57-EN57)/EN57*100)</f>
        <v>0</v>
      </c>
      <c r="EQ57" s="2912"/>
      <c r="ER57" s="2912"/>
      <c r="ES57" s="1071">
        <f>IF(EQ57=0,0,(ER57-EQ57)/EQ57*100)</f>
        <v>0</v>
      </c>
      <c r="ET57" s="2912"/>
      <c r="EU57" s="2912"/>
      <c r="EV57" s="1071">
        <f>IF(ET57=0,0,(EU57-ET57)/ET57*100)</f>
        <v>0</v>
      </c>
      <c r="EW57" s="2912"/>
      <c r="EX57" s="2912"/>
      <c r="EY57" s="1071">
        <f>IF(EW57=0,0,(EX57-EW57)/EW57*100)</f>
        <v>0</v>
      </c>
      <c r="EZ57" s="2912"/>
      <c r="FA57" s="2912"/>
      <c r="FB57" s="1071">
        <f>IF(EZ57=0,0,(FA57-EZ57)/EZ57*100)</f>
        <v>0</v>
      </c>
      <c r="FC57" s="2912"/>
      <c r="FD57" s="2912"/>
      <c r="FE57" s="1071">
        <f>IF(FC57=0,0,(FD57-FC57)/FC57*100)</f>
        <v>0</v>
      </c>
      <c r="FF57" s="2912"/>
      <c r="FG57" s="2912"/>
      <c r="FH57" s="1071">
        <f>IF(FF57=0,0,(FG57-FF57)/FF57*100)</f>
        <v>0</v>
      </c>
      <c r="FI57" s="2912"/>
      <c r="FJ57" s="2912"/>
      <c r="FK57" s="1071">
        <f>IF(FI57=0,0,(FJ57-FI57)/FI57*100)</f>
        <v>0</v>
      </c>
      <c r="FL57" s="2912"/>
      <c r="FM57" s="2912"/>
      <c r="FN57" s="1071">
        <f>IF(FL57=0,0,(FM57-FL57)/FL57*100)</f>
        <v>0</v>
      </c>
      <c r="FO57" s="2912"/>
      <c r="FP57" s="2912"/>
      <c r="FQ57" s="1071">
        <f>IF(FO57=0,0,(FP57-FO57)/FO57*100)</f>
        <v>0</v>
      </c>
      <c r="FR57" s="2912"/>
      <c r="FS57" s="2912"/>
      <c r="FT57" s="1071">
        <f>IF(FR57=0,0,(FS57-FR57)/FR57*100)</f>
        <v>0</v>
      </c>
      <c r="FU57" s="2912"/>
      <c r="FV57" s="2912"/>
      <c r="FW57" s="1071">
        <f>IF(FU57=0,0,(FV57-FU57)/FU57*100)</f>
        <v>0</v>
      </c>
      <c r="FX57" s="1282"/>
      <c r="FY57" s="1282"/>
      <c r="FZ57" s="1032" t="s">
        <v>1528</v>
      </c>
      <c r="GA57" s="1284"/>
      <c r="GB57" s="1284"/>
      <c r="GC57" s="1283"/>
      <c r="GD57" s="1283"/>
    </row>
    <row customHeight="1" ht="23.887500000000003" hidden="1">
      <c r="A58" s="466"/>
      <c r="B58" s="901" cm="1" t="str">
        <f t="array" ref="B58:B58">B57</f>
        <v>false</v>
      </c>
      <c r="C58" s="466"/>
      <c r="D58" s="466"/>
      <c r="E58" s="816">
        <v>24.5</v>
      </c>
      <c r="F58" s="50" cm="1" t="str">
        <f t="array" ref="F58:F58">OFFSET(E58,-1,1)</f>
        <v>0</v>
      </c>
      <c r="G58" s="466"/>
      <c r="H58" s="466"/>
      <c r="I58" s="466"/>
      <c r="J58" s="466"/>
      <c r="K58" s="466"/>
      <c r="L58" s="466"/>
      <c r="M58" s="466"/>
      <c r="N58" s="466"/>
      <c r="O58" s="466"/>
      <c r="P58" s="466"/>
      <c r="Q58" s="466"/>
      <c r="R58" s="466"/>
      <c r="S58" s="466"/>
      <c r="T58" s="438" cm="1" t="str">
        <f t="array" ref="T58:T58">T57</f>
        <v>false</v>
      </c>
      <c r="U58" s="466"/>
      <c r="V58" s="466"/>
      <c r="W58" s="466"/>
      <c r="X58" s="1541"/>
      <c r="Y58" s="466"/>
      <c r="Z58" s="1493"/>
      <c r="AA58" s="466"/>
      <c r="AB58" s="259" t="s">
        <v>1529</v>
      </c>
      <c r="AC58" s="879"/>
      <c r="AD58" s="1080"/>
      <c r="AE58" s="1080"/>
      <c r="AF58" s="1080"/>
      <c r="AG58" s="1080"/>
      <c r="AH58" s="1080"/>
      <c r="AI58" s="1080"/>
      <c r="AJ58" s="1080"/>
      <c r="AK58" s="1080"/>
      <c r="AL58" s="1080"/>
      <c r="AM58" s="1080"/>
      <c r="AN58" s="1080"/>
      <c r="AO58" s="1080"/>
      <c r="AP58" s="1080"/>
      <c r="AQ58" s="1080"/>
      <c r="AR58" s="1080"/>
      <c r="AS58" s="1080"/>
      <c r="AT58" s="1080"/>
      <c r="AU58" s="1080"/>
      <c r="AV58" s="1080"/>
      <c r="AW58" s="1080"/>
      <c r="AX58" s="1080"/>
      <c r="AY58" s="1080"/>
      <c r="AZ58" s="1080"/>
      <c r="BA58" s="1080"/>
      <c r="BB58" s="1080"/>
      <c r="BC58" s="1080"/>
      <c r="BD58" s="1080"/>
      <c r="BE58" s="1080"/>
      <c r="BF58" s="1080"/>
      <c r="BG58" s="1080"/>
      <c r="BH58" s="1080"/>
      <c r="BI58" s="1080"/>
      <c r="BJ58" s="1080"/>
      <c r="BK58" s="1080"/>
      <c r="BL58" s="1080"/>
      <c r="BM58" s="1080"/>
      <c r="BN58" s="1080"/>
      <c r="BO58" s="1080"/>
      <c r="BP58" s="1080"/>
      <c r="BQ58" s="1080"/>
      <c r="BR58" s="1080"/>
      <c r="BS58" s="1080"/>
      <c r="BT58" s="1080"/>
      <c r="BU58" s="1080"/>
      <c r="BV58" s="1080"/>
      <c r="BW58" s="1080"/>
      <c r="BX58" s="1080"/>
      <c r="BY58" s="1080"/>
      <c r="BZ58" s="1080"/>
      <c r="CA58" s="1080"/>
      <c r="CB58" s="1080"/>
      <c r="CC58" s="1080"/>
      <c r="CD58" s="1080"/>
      <c r="CE58" s="1080"/>
      <c r="CF58" s="1080"/>
      <c r="CG58" s="1080"/>
      <c r="CH58" s="1080"/>
      <c r="CI58" s="1080"/>
      <c r="CJ58" s="1080"/>
      <c r="CK58" s="1080"/>
      <c r="CL58" s="1080"/>
      <c r="CM58" s="1080"/>
      <c r="CN58" s="1080"/>
      <c r="CO58" s="1080"/>
      <c r="CP58" s="1080"/>
      <c r="CQ58" s="1080"/>
      <c r="CR58" s="1080"/>
      <c r="CS58" s="1080"/>
      <c r="CT58" s="1080"/>
      <c r="CU58" s="1080"/>
      <c r="CV58" s="1080"/>
      <c r="CW58" s="1080"/>
      <c r="CX58" s="1080"/>
      <c r="CY58" s="1080"/>
      <c r="CZ58" s="1080"/>
      <c r="DA58" s="1080"/>
      <c r="DB58" s="1080"/>
      <c r="DC58" s="1080"/>
      <c r="DD58" s="1080"/>
      <c r="DE58" s="1080"/>
      <c r="DF58" s="1080"/>
      <c r="DG58" s="1080"/>
      <c r="DH58" s="1080"/>
      <c r="DI58" s="1080"/>
      <c r="DJ58" s="1080"/>
      <c r="DK58" s="1080"/>
      <c r="DL58" s="1080"/>
      <c r="DM58" s="1080"/>
      <c r="DN58" s="1080"/>
      <c r="DO58" s="1080"/>
      <c r="DP58" s="1080"/>
      <c r="DQ58" s="1080"/>
      <c r="DR58" s="1080"/>
      <c r="DS58" s="1080"/>
      <c r="DT58" s="1080"/>
      <c r="DU58" s="1080"/>
      <c r="DV58" s="1080"/>
      <c r="DW58" s="1080"/>
      <c r="DX58" s="1080"/>
      <c r="DY58" s="1080"/>
      <c r="DZ58" s="1080"/>
      <c r="EA58" s="1080"/>
      <c r="EB58" s="1080"/>
      <c r="EC58" s="1080"/>
      <c r="ED58" s="1080"/>
      <c r="EE58" s="1080"/>
      <c r="EF58" s="1080"/>
      <c r="EG58" s="1080"/>
      <c r="EH58" s="1080"/>
      <c r="EI58" s="1080"/>
      <c r="EJ58" s="1080"/>
      <c r="EK58" s="1080"/>
      <c r="EL58" s="1080"/>
      <c r="EM58" s="1080"/>
      <c r="EN58" s="1080"/>
      <c r="EO58" s="1080"/>
      <c r="EP58" s="1080"/>
      <c r="EQ58" s="1080"/>
      <c r="ER58" s="1080"/>
      <c r="ES58" s="1080"/>
      <c r="ET58" s="1080"/>
      <c r="EU58" s="1080"/>
      <c r="EV58" s="1080"/>
      <c r="EW58" s="1080"/>
      <c r="EX58" s="1080"/>
      <c r="EY58" s="1080"/>
      <c r="EZ58" s="1080"/>
      <c r="FA58" s="1080"/>
      <c r="FB58" s="1080"/>
      <c r="FC58" s="1080"/>
      <c r="FD58" s="1080"/>
      <c r="FE58" s="1080"/>
      <c r="FF58" s="1080"/>
      <c r="FG58" s="1080"/>
      <c r="FH58" s="1080"/>
      <c r="FI58" s="1080"/>
      <c r="FJ58" s="1080"/>
      <c r="FK58" s="1080"/>
      <c r="FL58" s="1080"/>
      <c r="FM58" s="1080"/>
      <c r="FN58" s="1080"/>
      <c r="FO58" s="1080"/>
      <c r="FP58" s="1080"/>
      <c r="FQ58" s="1080"/>
      <c r="FR58" s="1080"/>
      <c r="FS58" s="1080"/>
      <c r="FT58" s="1080"/>
      <c r="FU58" s="1080"/>
      <c r="FV58" s="1080"/>
      <c r="FW58" s="1081"/>
      <c r="FX58" s="1282"/>
      <c r="FY58" s="1282"/>
      <c r="FZ58" s="1032"/>
      <c r="GA58" s="1284"/>
      <c r="GB58" s="1284"/>
      <c r="GC58" s="1283"/>
      <c r="GD58" s="1283"/>
    </row>
    <row customHeight="1" ht="14.625" hidden="1">
      <c r="A59" s="466"/>
      <c r="B59" s="901" cm="1" t="str">
        <f t="array" ref="B59:B59">B58</f>
        <v>false</v>
      </c>
      <c r="C59" s="466"/>
      <c r="D59" s="466"/>
      <c r="E59" s="816">
        <v>15</v>
      </c>
      <c r="F59" s="50" cm="1" t="str">
        <f t="array" ref="F59:F59">OFFSET(E59,-1,1)</f>
        <v>0</v>
      </c>
      <c r="G59" s="466"/>
      <c r="H59" s="466" t="s">
        <v>1434</v>
      </c>
      <c r="I59" s="466" t="s">
        <v>1489</v>
      </c>
      <c r="J59" s="466"/>
      <c r="K59" s="466"/>
      <c r="L59" s="466"/>
      <c r="M59" s="466"/>
      <c r="N59" s="466"/>
      <c r="O59" s="466"/>
      <c r="P59" s="466"/>
      <c r="Q59" s="466"/>
      <c r="R59" s="466"/>
      <c r="S59" s="466"/>
      <c r="T59" s="438" cm="1" t="str">
        <f t="array" ref="T59:T59">T58</f>
        <v>false</v>
      </c>
      <c r="U59" s="466"/>
      <c r="V59" s="466"/>
      <c r="W59" s="466"/>
      <c r="X59" s="1541"/>
      <c r="Y59" s="466"/>
      <c r="Z59" s="1493"/>
      <c r="AA59" s="466"/>
      <c r="AB59" s="1069" t="s">
        <v>1509</v>
      </c>
      <c r="AC59" s="840" t="s">
        <v>1476</v>
      </c>
      <c r="AD59" s="2912">
        <f>IF(AD61=0,0,(AD60*AD61+AD62*AD63*IF(god=2026,9,6))/AD61)</f>
        <v>0</v>
      </c>
      <c r="AE59" s="2912">
        <f>IF(AE61=0,0,(AE60*AE61+AE62*AE63*IF(god=2026,9,6))/AE61)</f>
        <v>0</v>
      </c>
      <c r="AF59" s="1071">
        <f>IF(AD59=0,0,(AE59-AD59)/AD59*100)</f>
        <v>0</v>
      </c>
      <c r="AG59" s="2912">
        <f>IF(AG61=0,0,(AG60*AG61+AG62*AG63*IF(god=2025,9,6))/AG61)</f>
        <v>0</v>
      </c>
      <c r="AH59" s="2912">
        <f>IF(AH61=0,0,(AH60*AH61+AH62*AH63*IF(god=2025,9,6))/AH61)</f>
        <v>0</v>
      </c>
      <c r="AI59" s="1071">
        <f>IF(AG59=0,0,(AH59-AG59)/AG59*100)</f>
        <v>0</v>
      </c>
      <c r="AJ59" s="2912">
        <f>IF(AJ61=0,0,(AJ60*AJ61+AJ62*AJ63*6)/AJ61)</f>
        <v>0</v>
      </c>
      <c r="AK59" s="2912">
        <f>IF(AK61=0,0,(AK60*AK61+AK62*AK63*6)/AK61)</f>
        <v>0</v>
      </c>
      <c r="AL59" s="1071">
        <f>IF(AJ59=0,0,(AK59-AJ59)/AJ59*100)</f>
        <v>0</v>
      </c>
      <c r="AM59" s="2912">
        <f>IF(AM61=0,0,(AM60*AM61+AM62*AM63*6)/AM61)</f>
        <v>0</v>
      </c>
      <c r="AN59" s="2912">
        <f>IF(AN61=0,0,(AN60*AN61+AN62*AN63*6)/AN61)</f>
        <v>0</v>
      </c>
      <c r="AO59" s="1071">
        <f>IF(AM59=0,0,(AN59-AM59)/AM59*100)</f>
        <v>0</v>
      </c>
      <c r="AP59" s="2912">
        <f>IF(AP61=0,0,(AP60*AP61+AP62*AP63*6)/AP61)</f>
        <v>0</v>
      </c>
      <c r="AQ59" s="2912">
        <f>IF(AQ61=0,0,(AQ60*AQ61+AQ62*AQ63*6)/AQ61)</f>
        <v>0</v>
      </c>
      <c r="AR59" s="1071">
        <f>IF(AP59=0,0,(AQ59-AP59)/AP59*100)</f>
        <v>0</v>
      </c>
      <c r="AS59" s="2912">
        <f>IF(AS61=0,0,(AS60*AS61+AS62*AS63*6)/AS61)</f>
        <v>0</v>
      </c>
      <c r="AT59" s="2912">
        <f>IF(AT61=0,0,(AT60*AT61+AT62*AT63*6)/AT61)</f>
        <v>0</v>
      </c>
      <c r="AU59" s="1071">
        <f>IF(AS59=0,0,(AT59-AS59)/AS59*100)</f>
        <v>0</v>
      </c>
      <c r="AV59" s="2912">
        <f>IF(AV61=0,0,(AV60*AV61+AV62*AV63*6)/AV61)</f>
        <v>0</v>
      </c>
      <c r="AW59" s="2912">
        <f>IF(AW61=0,0,(AW60*AW61+AW62*AW63*6)/AW61)</f>
        <v>0</v>
      </c>
      <c r="AX59" s="1071">
        <f>IF(AV59=0,0,(AW59-AV59)/AV59*100)</f>
        <v>0</v>
      </c>
      <c r="AY59" s="2912">
        <f>IF(AY61=0,0,(AY60*AY61+AY62*AY63*6)/AY61)</f>
        <v>0</v>
      </c>
      <c r="AZ59" s="2912">
        <f>IF(AZ61=0,0,(AZ60*AZ61+AZ62*AZ63*6)/AZ61)</f>
        <v>0</v>
      </c>
      <c r="BA59" s="1071">
        <f>IF(AY59=0,0,(AZ59-AY59)/AY59*100)</f>
        <v>0</v>
      </c>
      <c r="BB59" s="2912">
        <f>IF(BB61=0,0,(BB60*BB61+BB62*BB63*6)/BB61)</f>
        <v>0</v>
      </c>
      <c r="BC59" s="2912">
        <f>IF(BC61=0,0,(BC60*BC61+BC62*BC63*6)/BC61)</f>
        <v>0</v>
      </c>
      <c r="BD59" s="1071">
        <f>IF(BB59=0,0,(BC59-BB59)/BB59*100)</f>
        <v>0</v>
      </c>
      <c r="BE59" s="2912">
        <f>IF(BE61=0,0,(BE60*BE61+BE62*BE63*6)/BE61)</f>
        <v>0</v>
      </c>
      <c r="BF59" s="2912">
        <f>IF(BF61=0,0,(BF60*BF61+BF62*BF63*6)/BF61)</f>
        <v>0</v>
      </c>
      <c r="BG59" s="1071">
        <f>IF(BE59=0,0,(BF59-BE59)/BE59*100)</f>
        <v>0</v>
      </c>
      <c r="BH59" s="2912">
        <f>IF(BH61=0,0,(BH60*BH61+BH62*BH63*6)/BH61)</f>
        <v>0</v>
      </c>
      <c r="BI59" s="2912">
        <f>IF(BI61=0,0,(BI60*BI61+BI62*BI63*6)/BI61)</f>
        <v>0</v>
      </c>
      <c r="BJ59" s="1071">
        <f>IF(BH59=0,0,(BI59-BH59)/BH59*100)</f>
        <v>0</v>
      </c>
      <c r="BK59" s="2912">
        <f>IF(BK61=0,0,(BK60*BK61+BK62*BK63*6)/BK61)</f>
        <v>0</v>
      </c>
      <c r="BL59" s="2912">
        <f>IF(BL61=0,0,(BL60*BL61+BL62*BL63*6)/BL61)</f>
        <v>0</v>
      </c>
      <c r="BM59" s="1071">
        <f>IF(BK59=0,0,(BL59-BK59)/BK59*100)</f>
        <v>0</v>
      </c>
      <c r="BN59" s="2912">
        <f>IF(BN61=0,0,(BN60*BN61+BN62*BN63*6)/BN61)</f>
        <v>0</v>
      </c>
      <c r="BO59" s="2912">
        <f>IF(BO61=0,0,(BO60*BO61+BO62*BO63*6)/BO61)</f>
        <v>0</v>
      </c>
      <c r="BP59" s="1071">
        <f>IF(BN59=0,0,(BO59-BN59)/BN59*100)</f>
        <v>0</v>
      </c>
      <c r="BQ59" s="2912">
        <f>IF(BQ61=0,0,(BQ60*BQ61+BQ62*BQ63*6)/BQ61)</f>
        <v>0</v>
      </c>
      <c r="BR59" s="2912">
        <f>IF(BR61=0,0,(BR60*BR61+BR62*BR63*6)/BR61)</f>
        <v>0</v>
      </c>
      <c r="BS59" s="1071">
        <f>IF(BQ59=0,0,(BR59-BQ59)/BQ59*100)</f>
        <v>0</v>
      </c>
      <c r="BT59" s="2912">
        <f>IF(BT61=0,0,(BT60*BT61+BT62*BT63*6)/BT61)</f>
        <v>0</v>
      </c>
      <c r="BU59" s="2912">
        <f>IF(BU61=0,0,(BU60*BU61+BU62*BU63*6)/BU61)</f>
        <v>0</v>
      </c>
      <c r="BV59" s="1071">
        <f>IF(BT59=0,0,(BU59-BT59)/BT59*100)</f>
        <v>0</v>
      </c>
      <c r="BW59" s="2912">
        <f>IF(BW61=0,0,(BW60*BW61+BW62*BW63*6)/BW61)</f>
        <v>0</v>
      </c>
      <c r="BX59" s="2912">
        <f>IF(BX61=0,0,(BX60*BX61+BX62*BX63*6)/BX61)</f>
        <v>0</v>
      </c>
      <c r="BY59" s="1071">
        <f>IF(BW59=0,0,(BX59-BW59)/BW59*100)</f>
        <v>0</v>
      </c>
      <c r="BZ59" s="2912">
        <f>IF(BZ61=0,0,(BZ60*BZ61+BZ62*BZ63*6)/BZ61)</f>
        <v>0</v>
      </c>
      <c r="CA59" s="2912">
        <f>IF(CA61=0,0,(CA60*CA61+CA62*CA63*6)/CA61)</f>
        <v>0</v>
      </c>
      <c r="CB59" s="1071">
        <f>IF(BZ59=0,0,(CA59-BZ59)/BZ59*100)</f>
        <v>0</v>
      </c>
      <c r="CC59" s="2912">
        <f>IF(CC61=0,0,(CC60*CC61+CC62*CC63*6)/CC61)</f>
        <v>0</v>
      </c>
      <c r="CD59" s="2912">
        <f>IF(CD61=0,0,(CD60*CD61+CD62*CD63*6)/CD61)</f>
        <v>0</v>
      </c>
      <c r="CE59" s="1071">
        <f>IF(CC59=0,0,(CD59-CC59)/CC59*100)</f>
        <v>0</v>
      </c>
      <c r="CF59" s="2912">
        <f>IF(CF61=0,0,(CF60*CF61+CF62*CF63*6)/CF61)</f>
        <v>0</v>
      </c>
      <c r="CG59" s="2912">
        <f>IF(CG61=0,0,(CG60*CG61+CG62*CG63*6)/CG61)</f>
        <v>0</v>
      </c>
      <c r="CH59" s="1071">
        <f>IF(CF59=0,0,(CG59-CF59)/CF59*100)</f>
        <v>0</v>
      </c>
      <c r="CI59" s="2912">
        <f>IF(CI61=0,0,(CI60*CI61+CI62*CI63*6)/CI61)</f>
        <v>0</v>
      </c>
      <c r="CJ59" s="2912">
        <f>IF(CJ61=0,0,(CJ60*CJ61+CJ62*CJ63*6)/CJ61)</f>
        <v>0</v>
      </c>
      <c r="CK59" s="1071">
        <f>IF(CI59=0,0,(CJ59-CI59)/CI59*100)</f>
        <v>0</v>
      </c>
      <c r="CL59" s="2912">
        <f>IF(CL61=0,0,(CL60*CL61+CL62*CL63*6)/CL61)</f>
        <v>0</v>
      </c>
      <c r="CM59" s="2912">
        <f>IF(CM61=0,0,(CM60*CM61+CM62*CM63*6)/CM61)</f>
        <v>0</v>
      </c>
      <c r="CN59" s="1071">
        <f>IF(CL59=0,0,(CM59-CL59)/CL59*100)</f>
        <v>0</v>
      </c>
      <c r="CO59" s="2912">
        <f>IF(CO61=0,0,(CO60*CO61+CO62*CO63*6)/CO61)</f>
        <v>0</v>
      </c>
      <c r="CP59" s="2912">
        <f>IF(CP61=0,0,(CP60*CP61+CP62*CP63*6)/CP61)</f>
        <v>0</v>
      </c>
      <c r="CQ59" s="1071">
        <f>IF(CO59=0,0,(CP59-CO59)/CO59*100)</f>
        <v>0</v>
      </c>
      <c r="CR59" s="2912">
        <f>IF(CR61=0,0,(CR60*CR61+CR62*CR63*6)/CR61)</f>
        <v>0</v>
      </c>
      <c r="CS59" s="2912">
        <f>IF(CS61=0,0,(CS60*CS61+CS62*CS63*6)/CS61)</f>
        <v>0</v>
      </c>
      <c r="CT59" s="1071">
        <f>IF(CR59=0,0,(CS59-CR59)/CR59*100)</f>
        <v>0</v>
      </c>
      <c r="CU59" s="2912">
        <f>IF(CU61=0,0,(CU60*CU61+CU62*CU63*6)/CU61)</f>
        <v>0</v>
      </c>
      <c r="CV59" s="2912">
        <f>IF(CV61=0,0,(CV60*CV61+CV62*CV63*6)/CV61)</f>
        <v>0</v>
      </c>
      <c r="CW59" s="1071">
        <f>IF(CU59=0,0,(CV59-CU59)/CU59*100)</f>
        <v>0</v>
      </c>
      <c r="CX59" s="2912">
        <f>IF(CX61=0,0,(CX60*CX61+CX62*CX63*6)/CX61)</f>
        <v>0</v>
      </c>
      <c r="CY59" s="2912">
        <f>IF(CY61=0,0,(CY60*CY61+CY62*CY63*6)/CY61)</f>
        <v>0</v>
      </c>
      <c r="CZ59" s="1071">
        <f>IF(CX59=0,0,(CY59-CX59)/CX59*100)</f>
        <v>0</v>
      </c>
      <c r="DA59" s="2912">
        <f>IF(DA61=0,0,(DA60*DA61+DA62*DA63*6)/DA61)</f>
        <v>0</v>
      </c>
      <c r="DB59" s="2912">
        <f>IF(DB61=0,0,(DB60*DB61+DB62*DB63*6)/DB61)</f>
        <v>0</v>
      </c>
      <c r="DC59" s="1071">
        <f>IF(DA59=0,0,(DB59-DA59)/DA59*100)</f>
        <v>0</v>
      </c>
      <c r="DD59" s="2912">
        <f>IF(DD61=0,0,(DD60*DD61+DD62*DD63*6)/DD61)</f>
        <v>0</v>
      </c>
      <c r="DE59" s="2912">
        <f>IF(DE61=0,0,(DE60*DE61+DE62*DE63*6)/DE61)</f>
        <v>0</v>
      </c>
      <c r="DF59" s="1071">
        <f>IF(DD59=0,0,(DE59-DD59)/DD59*100)</f>
        <v>0</v>
      </c>
      <c r="DG59" s="2912">
        <f>IF(DG61=0,0,(DG60*DG61+DG62*DG63*6)/DG61)</f>
        <v>0</v>
      </c>
      <c r="DH59" s="2912">
        <f>IF(DH61=0,0,(DH60*DH61+DH62*DH63*6)/DH61)</f>
        <v>0</v>
      </c>
      <c r="DI59" s="1071">
        <f>IF(DG59=0,0,(DH59-DG59)/DG59*100)</f>
        <v>0</v>
      </c>
      <c r="DJ59" s="2912">
        <f>IF(DJ61=0,0,(DJ60*DJ61+DJ62*DJ63*6)/DJ61)</f>
        <v>0</v>
      </c>
      <c r="DK59" s="2912">
        <f>IF(DK61=0,0,(DK60*DK61+DK62*DK63*6)/DK61)</f>
        <v>0</v>
      </c>
      <c r="DL59" s="1071">
        <f>IF(DJ59=0,0,(DK59-DJ59)/DJ59*100)</f>
        <v>0</v>
      </c>
      <c r="DM59" s="2912">
        <f>IF(DM61=0,0,(DM60*DM61+DM62*DM63*6)/DM61)</f>
        <v>0</v>
      </c>
      <c r="DN59" s="2912">
        <f>IF(DN61=0,0,(DN60*DN61+DN62*DN63*6)/DN61)</f>
        <v>0</v>
      </c>
      <c r="DO59" s="1071">
        <f>IF(DM59=0,0,(DN59-DM59)/DM59*100)</f>
        <v>0</v>
      </c>
      <c r="DP59" s="2912">
        <f>IF(DP61=0,0,(DP60*DP61+DP62*DP63*6)/DP61)</f>
        <v>0</v>
      </c>
      <c r="DQ59" s="2912">
        <f>IF(DQ61=0,0,(DQ60*DQ61+DQ62*DQ63*6)/DQ61)</f>
        <v>0</v>
      </c>
      <c r="DR59" s="1071">
        <f>IF(DP59=0,0,(DQ59-DP59)/DP59*100)</f>
        <v>0</v>
      </c>
      <c r="DS59" s="2912">
        <f>IF(DS61=0,0,(DS60*DS61+DS62*DS63*6)/DS61)</f>
        <v>0</v>
      </c>
      <c r="DT59" s="2912">
        <f>IF(DT61=0,0,(DT60*DT61+DT62*DT63*6)/DT61)</f>
        <v>0</v>
      </c>
      <c r="DU59" s="1071">
        <f>IF(DS59=0,0,(DT59-DS59)/DS59*100)</f>
        <v>0</v>
      </c>
      <c r="DV59" s="2912">
        <f>IF(DV61=0,0,(DV60*DV61+DV62*DV63*6)/DV61)</f>
        <v>0</v>
      </c>
      <c r="DW59" s="2912">
        <f>IF(DW61=0,0,(DW60*DW61+DW62*DW63*6)/DW61)</f>
        <v>0</v>
      </c>
      <c r="DX59" s="1071">
        <f>IF(DV59=0,0,(DW59-DV59)/DV59*100)</f>
        <v>0</v>
      </c>
      <c r="DY59" s="2912">
        <f>IF(DY61=0,0,(DY60*DY61+DY62*DY63*6)/DY61)</f>
        <v>0</v>
      </c>
      <c r="DZ59" s="2912">
        <f>IF(DZ61=0,0,(DZ60*DZ61+DZ62*DZ63*6)/DZ61)</f>
        <v>0</v>
      </c>
      <c r="EA59" s="1071">
        <f>IF(DY59=0,0,(DZ59-DY59)/DY59*100)</f>
        <v>0</v>
      </c>
      <c r="EB59" s="2912">
        <f>IF(EB61=0,0,(EB60*EB61+EB62*EB63*6)/EB61)</f>
        <v>0</v>
      </c>
      <c r="EC59" s="2912">
        <f>IF(EC61=0,0,(EC60*EC61+EC62*EC63*6)/EC61)</f>
        <v>0</v>
      </c>
      <c r="ED59" s="1071">
        <f>IF(EB59=0,0,(EC59-EB59)/EB59*100)</f>
        <v>0</v>
      </c>
      <c r="EE59" s="2912">
        <f>IF(EE61=0,0,(EE60*EE61+EE62*EE63*6)/EE61)</f>
        <v>0</v>
      </c>
      <c r="EF59" s="2912">
        <f>IF(EF61=0,0,(EF60*EF61+EF62*EF63*6)/EF61)</f>
        <v>0</v>
      </c>
      <c r="EG59" s="1071">
        <f>IF(EE59=0,0,(EF59-EE59)/EE59*100)</f>
        <v>0</v>
      </c>
      <c r="EH59" s="2912">
        <f>IF(EH61=0,0,(EH60*EH61+EH62*EH63*6)/EH61)</f>
        <v>0</v>
      </c>
      <c r="EI59" s="2912">
        <f>IF(EI61=0,0,(EI60*EI61+EI62*EI63*6)/EI61)</f>
        <v>0</v>
      </c>
      <c r="EJ59" s="1071">
        <f>IF(EH59=0,0,(EI59-EH59)/EH59*100)</f>
        <v>0</v>
      </c>
      <c r="EK59" s="2912">
        <f>IF(EK61=0,0,(EK60*EK61+EK62*EK63*6)/EK61)</f>
        <v>0</v>
      </c>
      <c r="EL59" s="2912">
        <f>IF(EL61=0,0,(EL60*EL61+EL62*EL63*6)/EL61)</f>
        <v>0</v>
      </c>
      <c r="EM59" s="1071">
        <f>IF(EK59=0,0,(EL59-EK59)/EK59*100)</f>
        <v>0</v>
      </c>
      <c r="EN59" s="2912">
        <f>IF(EN61=0,0,(EN60*EN61+EN62*EN63*6)/EN61)</f>
        <v>0</v>
      </c>
      <c r="EO59" s="2912">
        <f>IF(EO61=0,0,(EO60*EO61+EO62*EO63*6)/EO61)</f>
        <v>0</v>
      </c>
      <c r="EP59" s="1071">
        <f>IF(EN59=0,0,(EO59-EN59)/EN59*100)</f>
        <v>0</v>
      </c>
      <c r="EQ59" s="2912">
        <f>IF(EQ61=0,0,(EQ60*EQ61+EQ62*EQ63*6)/EQ61)</f>
        <v>0</v>
      </c>
      <c r="ER59" s="2912">
        <f>IF(ER61=0,0,(ER60*ER61+ER62*ER63*6)/ER61)</f>
        <v>0</v>
      </c>
      <c r="ES59" s="1071">
        <f>IF(EQ59=0,0,(ER59-EQ59)/EQ59*100)</f>
        <v>0</v>
      </c>
      <c r="ET59" s="2912">
        <f>IF(ET61=0,0,(ET60*ET61+ET62*ET63*6)/ET61)</f>
        <v>0</v>
      </c>
      <c r="EU59" s="2912">
        <f>IF(EU61=0,0,(EU60*EU61+EU62*EU63*6)/EU61)</f>
        <v>0</v>
      </c>
      <c r="EV59" s="1071">
        <f>IF(ET59=0,0,(EU59-ET59)/ET59*100)</f>
        <v>0</v>
      </c>
      <c r="EW59" s="2912">
        <f>IF(EW61=0,0,(EW60*EW61+EW62*EW63*6)/EW61)</f>
        <v>0</v>
      </c>
      <c r="EX59" s="2912">
        <f>IF(EX61=0,0,(EX60*EX61+EX62*EX63*6)/EX61)</f>
        <v>0</v>
      </c>
      <c r="EY59" s="1071">
        <f>IF(EW59=0,0,(EX59-EW59)/EW59*100)</f>
        <v>0</v>
      </c>
      <c r="EZ59" s="2912">
        <f>IF(EZ61=0,0,(EZ60*EZ61+EZ62*EZ63*6)/EZ61)</f>
        <v>0</v>
      </c>
      <c r="FA59" s="2912">
        <f>IF(FA61=0,0,(FA60*FA61+FA62*FA63*6)/FA61)</f>
        <v>0</v>
      </c>
      <c r="FB59" s="1071">
        <f>IF(EZ59=0,0,(FA59-EZ59)/EZ59*100)</f>
        <v>0</v>
      </c>
      <c r="FC59" s="2912">
        <f>IF(FC61=0,0,(FC60*FC61+FC62*FC63*6)/FC61)</f>
        <v>0</v>
      </c>
      <c r="FD59" s="2912">
        <f>IF(FD61=0,0,(FD60*FD61+FD62*FD63*6)/FD61)</f>
        <v>0</v>
      </c>
      <c r="FE59" s="1071">
        <f>IF(FC59=0,0,(FD59-FC59)/FC59*100)</f>
        <v>0</v>
      </c>
      <c r="FF59" s="2912">
        <f>IF(FF61=0,0,(FF60*FF61+FF62*FF63*6)/FF61)</f>
        <v>0</v>
      </c>
      <c r="FG59" s="2912">
        <f>IF(FG61=0,0,(FG60*FG61+FG62*FG63*6)/FG61)</f>
        <v>0</v>
      </c>
      <c r="FH59" s="1071">
        <f>IF(FF59=0,0,(FG59-FF59)/FF59*100)</f>
        <v>0</v>
      </c>
      <c r="FI59" s="2912">
        <f>IF(FI61=0,0,(FI60*FI61+FI62*FI63*6)/FI61)</f>
        <v>0</v>
      </c>
      <c r="FJ59" s="2912">
        <f>IF(FJ61=0,0,(FJ60*FJ61+FJ62*FJ63*6)/FJ61)</f>
        <v>0</v>
      </c>
      <c r="FK59" s="1071">
        <f>IF(FI59=0,0,(FJ59-FI59)/FI59*100)</f>
        <v>0</v>
      </c>
      <c r="FL59" s="2912">
        <f>IF(FL61=0,0,(FL60*FL61+FL62*FL63*6)/FL61)</f>
        <v>0</v>
      </c>
      <c r="FM59" s="2912">
        <f>IF(FM61=0,0,(FM60*FM61+FM62*FM63*6)/FM61)</f>
        <v>0</v>
      </c>
      <c r="FN59" s="1071">
        <f>IF(FL59=0,0,(FM59-FL59)/FL59*100)</f>
        <v>0</v>
      </c>
      <c r="FO59" s="2912">
        <f>IF(FO61=0,0,(FO60*FO61+FO62*FO63*6)/FO61)</f>
        <v>0</v>
      </c>
      <c r="FP59" s="2912">
        <f>IF(FP61=0,0,(FP60*FP61+FP62*FP63*6)/FP61)</f>
        <v>0</v>
      </c>
      <c r="FQ59" s="1071">
        <f>IF(FO59=0,0,(FP59-FO59)/FO59*100)</f>
        <v>0</v>
      </c>
      <c r="FR59" s="2912">
        <f>IF(FR61=0,0,(FR60*FR61+FR62*FR63*6)/FR61)</f>
        <v>0</v>
      </c>
      <c r="FS59" s="2912">
        <f>IF(FS61=0,0,(FS60*FS61+FS62*FS63*6)/FS61)</f>
        <v>0</v>
      </c>
      <c r="FT59" s="1071">
        <f>IF(FR59=0,0,(FS59-FR59)/FR59*100)</f>
        <v>0</v>
      </c>
      <c r="FU59" s="2912">
        <f>IF(FU61=0,0,(FU60*FU61+FU62*FU63*6)/FU61)</f>
        <v>0</v>
      </c>
      <c r="FV59" s="2912">
        <f>IF(FV61=0,0,(FV60*FV61+FV62*FV63*6)/FV61)</f>
        <v>0</v>
      </c>
      <c r="FW59" s="1071">
        <f>IF(FU59=0,0,(FV59-FU59)/FU59*100)</f>
        <v>0</v>
      </c>
      <c r="FX59" s="1282"/>
      <c r="FY59" s="1282"/>
      <c r="FZ59" s="1032" t="s">
        <v>1530</v>
      </c>
      <c r="GA59" s="1284"/>
      <c r="GB59" s="1284"/>
      <c r="GC59" s="1283"/>
      <c r="GD59" s="1283"/>
    </row>
    <row customHeight="1" ht="14.625" hidden="1">
      <c r="A60" s="466"/>
      <c r="B60" s="901" cm="1" t="str">
        <f t="array" ref="B60:B60">B59</f>
        <v>false</v>
      </c>
      <c r="C60" s="466"/>
      <c r="D60" s="466"/>
      <c r="E60" s="816">
        <v>15</v>
      </c>
      <c r="F60" s="50" cm="1" t="str">
        <f t="array" ref="F60:F60">OFFSET(E60,-1,1)</f>
        <v>0</v>
      </c>
      <c r="G60" s="466"/>
      <c r="H60" s="466" t="s">
        <v>1438</v>
      </c>
      <c r="I60" s="466" t="s">
        <v>1489</v>
      </c>
      <c r="J60" s="466"/>
      <c r="K60" s="466"/>
      <c r="L60" s="466"/>
      <c r="M60" s="466"/>
      <c r="N60" s="466"/>
      <c r="O60" s="466"/>
      <c r="P60" s="466"/>
      <c r="Q60" s="466"/>
      <c r="R60" s="466"/>
      <c r="S60" s="466"/>
      <c r="T60" s="438" cm="1" t="str">
        <f t="array" ref="T60:T60">T59</f>
        <v>false</v>
      </c>
      <c r="U60" s="466"/>
      <c r="V60" s="466"/>
      <c r="W60" s="466"/>
      <c r="X60" s="1541"/>
      <c r="Y60" s="466"/>
      <c r="Z60" s="1493"/>
      <c r="AA60" s="466"/>
      <c r="AB60" s="1069" t="str">
        <f>"ставка платы за "&amp;IF(Q29="Водоснабжение","потребление 1 куб.м холодной воды","объем принятых сточных вод")</f>
        <v>ставка платы за объем принятых сточных вод</v>
      </c>
      <c r="AC60" s="840" t="s">
        <v>1476</v>
      </c>
      <c r="AD60" s="2912"/>
      <c r="AE60" s="2912"/>
      <c r="AF60" s="1071">
        <f>IF(AD60=0,0,(AE60-AD60)/AD60*100)</f>
        <v>0</v>
      </c>
      <c r="AG60" s="2912"/>
      <c r="AH60" s="2912"/>
      <c r="AI60" s="1071">
        <f>IF(AG60=0,0,(AH60-AG60)/AG60*100)</f>
        <v>0</v>
      </c>
      <c r="AJ60" s="2912"/>
      <c r="AK60" s="2912"/>
      <c r="AL60" s="1071">
        <f>IF(AJ60=0,0,(AK60-AJ60)/AJ60*100)</f>
        <v>0</v>
      </c>
      <c r="AM60" s="2912"/>
      <c r="AN60" s="2912"/>
      <c r="AO60" s="1071">
        <f>IF(AM60=0,0,(AN60-AM60)/AM60*100)</f>
        <v>0</v>
      </c>
      <c r="AP60" s="2912"/>
      <c r="AQ60" s="2912"/>
      <c r="AR60" s="1071">
        <f>IF(AP60=0,0,(AQ60-AP60)/AP60*100)</f>
        <v>0</v>
      </c>
      <c r="AS60" s="2912"/>
      <c r="AT60" s="2912"/>
      <c r="AU60" s="1071">
        <f>IF(AS60=0,0,(AT60-AS60)/AS60*100)</f>
        <v>0</v>
      </c>
      <c r="AV60" s="2912"/>
      <c r="AW60" s="2912"/>
      <c r="AX60" s="1071">
        <f>IF(AV60=0,0,(AW60-AV60)/AV60*100)</f>
        <v>0</v>
      </c>
      <c r="AY60" s="2912"/>
      <c r="AZ60" s="2912"/>
      <c r="BA60" s="1071">
        <f>IF(AY60=0,0,(AZ60-AY60)/AY60*100)</f>
        <v>0</v>
      </c>
      <c r="BB60" s="2912"/>
      <c r="BC60" s="2912"/>
      <c r="BD60" s="1071">
        <f>IF(BB60=0,0,(BC60-BB60)/BB60*100)</f>
        <v>0</v>
      </c>
      <c r="BE60" s="2912"/>
      <c r="BF60" s="2912"/>
      <c r="BG60" s="1071">
        <f>IF(BE60=0,0,(BF60-BE60)/BE60*100)</f>
        <v>0</v>
      </c>
      <c r="BH60" s="2912"/>
      <c r="BI60" s="2912"/>
      <c r="BJ60" s="1071">
        <f>IF(BH60=0,0,(BI60-BH60)/BH60*100)</f>
        <v>0</v>
      </c>
      <c r="BK60" s="2912"/>
      <c r="BL60" s="2912"/>
      <c r="BM60" s="1071">
        <f>IF(BK60=0,0,(BL60-BK60)/BK60*100)</f>
        <v>0</v>
      </c>
      <c r="BN60" s="2912"/>
      <c r="BO60" s="2912"/>
      <c r="BP60" s="1071">
        <f>IF(BN60=0,0,(BO60-BN60)/BN60*100)</f>
        <v>0</v>
      </c>
      <c r="BQ60" s="2912"/>
      <c r="BR60" s="2912"/>
      <c r="BS60" s="1071">
        <f>IF(BQ60=0,0,(BR60-BQ60)/BQ60*100)</f>
        <v>0</v>
      </c>
      <c r="BT60" s="2912"/>
      <c r="BU60" s="2912"/>
      <c r="BV60" s="1071">
        <f>IF(BT60=0,0,(BU60-BT60)/BT60*100)</f>
        <v>0</v>
      </c>
      <c r="BW60" s="2912"/>
      <c r="BX60" s="2912"/>
      <c r="BY60" s="1071">
        <f>IF(BW60=0,0,(BX60-BW60)/BW60*100)</f>
        <v>0</v>
      </c>
      <c r="BZ60" s="2912"/>
      <c r="CA60" s="2912"/>
      <c r="CB60" s="1071">
        <f>IF(BZ60=0,0,(CA60-BZ60)/BZ60*100)</f>
        <v>0</v>
      </c>
      <c r="CC60" s="2912"/>
      <c r="CD60" s="2912"/>
      <c r="CE60" s="1071">
        <f>IF(CC60=0,0,(CD60-CC60)/CC60*100)</f>
        <v>0</v>
      </c>
      <c r="CF60" s="2912"/>
      <c r="CG60" s="2912"/>
      <c r="CH60" s="1071">
        <f>IF(CF60=0,0,(CG60-CF60)/CF60*100)</f>
        <v>0</v>
      </c>
      <c r="CI60" s="2912"/>
      <c r="CJ60" s="2912"/>
      <c r="CK60" s="1071">
        <f>IF(CI60=0,0,(CJ60-CI60)/CI60*100)</f>
        <v>0</v>
      </c>
      <c r="CL60" s="2912"/>
      <c r="CM60" s="2912"/>
      <c r="CN60" s="1071">
        <f>IF(CL60=0,0,(CM60-CL60)/CL60*100)</f>
        <v>0</v>
      </c>
      <c r="CO60" s="2912"/>
      <c r="CP60" s="2912"/>
      <c r="CQ60" s="1071">
        <f>IF(CO60=0,0,(CP60-CO60)/CO60*100)</f>
        <v>0</v>
      </c>
      <c r="CR60" s="2912"/>
      <c r="CS60" s="2912"/>
      <c r="CT60" s="1071">
        <f>IF(CR60=0,0,(CS60-CR60)/CR60*100)</f>
        <v>0</v>
      </c>
      <c r="CU60" s="2912"/>
      <c r="CV60" s="2912"/>
      <c r="CW60" s="1071">
        <f>IF(CU60=0,0,(CV60-CU60)/CU60*100)</f>
        <v>0</v>
      </c>
      <c r="CX60" s="2912"/>
      <c r="CY60" s="2912"/>
      <c r="CZ60" s="1071">
        <f>IF(CX60=0,0,(CY60-CX60)/CX60*100)</f>
        <v>0</v>
      </c>
      <c r="DA60" s="2912"/>
      <c r="DB60" s="2912"/>
      <c r="DC60" s="1071">
        <f>IF(DA60=0,0,(DB60-DA60)/DA60*100)</f>
        <v>0</v>
      </c>
      <c r="DD60" s="2912"/>
      <c r="DE60" s="2912"/>
      <c r="DF60" s="1071">
        <f>IF(DD60=0,0,(DE60-DD60)/DD60*100)</f>
        <v>0</v>
      </c>
      <c r="DG60" s="2912"/>
      <c r="DH60" s="2912"/>
      <c r="DI60" s="1071">
        <f>IF(DG60=0,0,(DH60-DG60)/DG60*100)</f>
        <v>0</v>
      </c>
      <c r="DJ60" s="2912"/>
      <c r="DK60" s="2912"/>
      <c r="DL60" s="1071">
        <f>IF(DJ60=0,0,(DK60-DJ60)/DJ60*100)</f>
        <v>0</v>
      </c>
      <c r="DM60" s="2912"/>
      <c r="DN60" s="2912"/>
      <c r="DO60" s="1071">
        <f>IF(DM60=0,0,(DN60-DM60)/DM60*100)</f>
        <v>0</v>
      </c>
      <c r="DP60" s="2912"/>
      <c r="DQ60" s="2912"/>
      <c r="DR60" s="1071">
        <f>IF(DP60=0,0,(DQ60-DP60)/DP60*100)</f>
        <v>0</v>
      </c>
      <c r="DS60" s="2912"/>
      <c r="DT60" s="2912"/>
      <c r="DU60" s="1071">
        <f>IF(DS60=0,0,(DT60-DS60)/DS60*100)</f>
        <v>0</v>
      </c>
      <c r="DV60" s="2912"/>
      <c r="DW60" s="2912"/>
      <c r="DX60" s="1071">
        <f>IF(DV60=0,0,(DW60-DV60)/DV60*100)</f>
        <v>0</v>
      </c>
      <c r="DY60" s="2912"/>
      <c r="DZ60" s="2912"/>
      <c r="EA60" s="1071">
        <f>IF(DY60=0,0,(DZ60-DY60)/DY60*100)</f>
        <v>0</v>
      </c>
      <c r="EB60" s="2912"/>
      <c r="EC60" s="2912"/>
      <c r="ED60" s="1071">
        <f>IF(EB60=0,0,(EC60-EB60)/EB60*100)</f>
        <v>0</v>
      </c>
      <c r="EE60" s="2912"/>
      <c r="EF60" s="2912"/>
      <c r="EG60" s="1071">
        <f>IF(EE60=0,0,(EF60-EE60)/EE60*100)</f>
        <v>0</v>
      </c>
      <c r="EH60" s="2912"/>
      <c r="EI60" s="2912"/>
      <c r="EJ60" s="1071">
        <f>IF(EH60=0,0,(EI60-EH60)/EH60*100)</f>
        <v>0</v>
      </c>
      <c r="EK60" s="2912"/>
      <c r="EL60" s="2912"/>
      <c r="EM60" s="1071">
        <f>IF(EK60=0,0,(EL60-EK60)/EK60*100)</f>
        <v>0</v>
      </c>
      <c r="EN60" s="2912"/>
      <c r="EO60" s="2912"/>
      <c r="EP60" s="1071">
        <f>IF(EN60=0,0,(EO60-EN60)/EN60*100)</f>
        <v>0</v>
      </c>
      <c r="EQ60" s="2912"/>
      <c r="ER60" s="2912"/>
      <c r="ES60" s="1071">
        <f>IF(EQ60=0,0,(ER60-EQ60)/EQ60*100)</f>
        <v>0</v>
      </c>
      <c r="ET60" s="2912"/>
      <c r="EU60" s="2912"/>
      <c r="EV60" s="1071">
        <f>IF(ET60=0,0,(EU60-ET60)/ET60*100)</f>
        <v>0</v>
      </c>
      <c r="EW60" s="2912"/>
      <c r="EX60" s="2912"/>
      <c r="EY60" s="1071">
        <f>IF(EW60=0,0,(EX60-EW60)/EW60*100)</f>
        <v>0</v>
      </c>
      <c r="EZ60" s="2912"/>
      <c r="FA60" s="2912"/>
      <c r="FB60" s="1071">
        <f>IF(EZ60=0,0,(FA60-EZ60)/EZ60*100)</f>
        <v>0</v>
      </c>
      <c r="FC60" s="2912"/>
      <c r="FD60" s="2912"/>
      <c r="FE60" s="1071">
        <f>IF(FC60=0,0,(FD60-FC60)/FC60*100)</f>
        <v>0</v>
      </c>
      <c r="FF60" s="2912"/>
      <c r="FG60" s="2912"/>
      <c r="FH60" s="1071">
        <f>IF(FF60=0,0,(FG60-FF60)/FF60*100)</f>
        <v>0</v>
      </c>
      <c r="FI60" s="2912"/>
      <c r="FJ60" s="2912"/>
      <c r="FK60" s="1071">
        <f>IF(FI60=0,0,(FJ60-FI60)/FI60*100)</f>
        <v>0</v>
      </c>
      <c r="FL60" s="2912"/>
      <c r="FM60" s="2912"/>
      <c r="FN60" s="1071">
        <f>IF(FL60=0,0,(FM60-FL60)/FL60*100)</f>
        <v>0</v>
      </c>
      <c r="FO60" s="2912"/>
      <c r="FP60" s="2912"/>
      <c r="FQ60" s="1071">
        <f>IF(FO60=0,0,(FP60-FO60)/FO60*100)</f>
        <v>0</v>
      </c>
      <c r="FR60" s="2912"/>
      <c r="FS60" s="2912"/>
      <c r="FT60" s="1071">
        <f>IF(FR60=0,0,(FS60-FR60)/FR60*100)</f>
        <v>0</v>
      </c>
      <c r="FU60" s="2912"/>
      <c r="FV60" s="2912"/>
      <c r="FW60" s="1071">
        <f>IF(FU60=0,0,(FV60-FU60)/FU60*100)</f>
        <v>0</v>
      </c>
      <c r="FX60" s="1282"/>
      <c r="FY60" s="1282"/>
      <c r="FZ60" s="1032" t="s">
        <v>1531</v>
      </c>
      <c r="GA60" s="1284"/>
      <c r="GB60" s="1284"/>
      <c r="GC60" s="1283"/>
      <c r="GD60" s="1283"/>
    </row>
    <row customHeight="1" ht="14.625" hidden="1">
      <c r="A61" s="466"/>
      <c r="B61" s="901" cm="1" t="str">
        <f t="array" ref="B61:B61">B60</f>
        <v>false</v>
      </c>
      <c r="C61" s="466"/>
      <c r="D61" s="466"/>
      <c r="E61" s="816">
        <v>15</v>
      </c>
      <c r="F61" s="50" cm="1" t="str">
        <f t="array" ref="F61:F61">OFFSET(E61,-1,1)</f>
        <v>0</v>
      </c>
      <c r="G61" s="73" t="s">
        <v>1532</v>
      </c>
      <c r="H61" s="466" t="s">
        <v>1513</v>
      </c>
      <c r="I61" s="466" t="s">
        <v>1489</v>
      </c>
      <c r="J61" s="466"/>
      <c r="K61" s="466"/>
      <c r="L61" s="466"/>
      <c r="M61" s="466"/>
      <c r="N61" s="466"/>
      <c r="O61" s="466"/>
      <c r="P61" s="466"/>
      <c r="Q61" s="466"/>
      <c r="R61" s="466"/>
      <c r="S61" s="466"/>
      <c r="T61" s="438" cm="1" t="str">
        <f t="array" ref="T61:T61">T60</f>
        <v>false</v>
      </c>
      <c r="U61" s="466"/>
      <c r="V61" s="466"/>
      <c r="W61" s="466"/>
      <c r="X61" s="1541"/>
      <c r="Y61" s="466"/>
      <c r="Z61" s="1493"/>
      <c r="AA61" s="466"/>
      <c r="AB61" s="1069" t="str">
        <f>"объём "&amp;IF(Q29="Водоснабжение","потребления холодной воды","водоотведения")</f>
        <v>объём водоотведения</v>
      </c>
      <c r="AC61" s="840" t="s">
        <v>506</v>
      </c>
      <c r="AD61" s="2907">
        <f>IF(AND(method_reg="Метод индексации",god&lt;&gt;first_year),_xlfn.SUMIFS(INDEX('Калькуляция (МИ корр)'!$AJ$25:$BC$315,,MATCH(AD$8,'Калькуляция (МИ корр)'!$AJ$8:$BC$8,0)),'Калькуляция (МИ корр)'!$F$25:$F$315,$F61,'Калькуляция (МИ корр)'!$G$25:$G$315,$G61),IF(method_reg="Метод экономически обоснованных расходов",_xlfn.SUMIFS('Калькуляция (МЭОР)'!$AJ$25:$AJ$197,'Калькуляция (МЭОР)'!$F$25:$F$197,$F61,'Калькуляция (МЭОР)'!$G$25:$G$197,$G61),IF(method_reg="Метод сравнения аналогов",_xlfn.SUMIFS('Калькуляция (МСА)'!$AE$25:$AE$65,'Калькуляция (МСА)'!$F$25:$F$65,$F61,'Калькуляция (МСА)'!$G$25:$G$65,$G61),_xlfn.SUMIFS(INDEX('Калькуляция (МИ)'!$AJ$25:$BC$315,,MATCH(AD$8,'Калькуляция (МИ)'!$AJ$8:$BC$8,0)),'Калькуляция (МИ)'!$F$25:$F$315,$F61,'Калькуляция (МИ)'!$G$25:$G$315,$G61))))</f>
        <v>0</v>
      </c>
      <c r="AE61" s="2907">
        <f>IF(AND(method_reg="Метод индексации",god&lt;&gt;first_year),_xlfn.SUMIFS(INDEX('Калькуляция (МИ корр)'!$AJ$25:$BC$315,,MATCH(AE$8,'Калькуляция (МИ корр)'!$AJ$8:$BC$8,0)),'Калькуляция (МИ корр)'!$F$25:$F$315,$F61,'Калькуляция (МИ корр)'!$G$25:$G$315,$G61),IF(method_reg="Метод экономически обоснованных расходов",_xlfn.SUMIFS('Калькуляция (МЭОР)'!$AK$25:$AK$197,'Калькуляция (МЭОР)'!$F$25:$F$197,$F61,'Калькуляция (МЭОР)'!$G$25:$G$197,$G61),IF(method_reg="Метод сравнения аналогов",_xlfn.SUMIFS('Калькуляция (МСА)'!$AF$25:$AF$65,'Калькуляция (МСА)'!$F$25:$F$65,$F61,'Калькуляция (МСА)'!$G$25:$G$65,$G61),_xlfn.SUMIFS(INDEX('Калькуляция (МИ)'!$AJ$25:$BC$315,,MATCH(AE$8,'Калькуляция (МИ)'!$AJ$8:$BC$8,0)),'Калькуляция (МИ)'!$F$25:$F$315,$F61,'Калькуляция (МИ)'!$G$25:$G$315,$G61))))</f>
        <v>0</v>
      </c>
      <c r="AF61" s="1073">
        <f>IF(AD61=0,0,(AE61-AD61)/AD61*100)</f>
        <v>0</v>
      </c>
      <c r="AG61" s="2907">
        <f>IF(AND(method_reg="Метод индексации",god&lt;&gt;first_year),_xlfn.SUMIFS(INDEX('Калькуляция (МИ корр)'!$AJ$25:$BC$315,,MATCH(AG$8,'Калькуляция (МИ корр)'!$AJ$8:$BC$8,0)),'Калькуляция (МИ корр)'!$F$25:$F$315,$F61,'Калькуляция (МИ корр)'!$G$25:$G$315,$G61),IF(method_reg="Метод экономически обоснованных расходов",_xlfn.SUMIFS('Калькуляция (МЭОР)'!$AJ$25:$AJ$197,'Калькуляция (МЭОР)'!$F$25:$F$197,$F61,'Калькуляция (МЭОР)'!$G$25:$G$197,$G61),IF(method_reg="Метод сравнения аналогов",_xlfn.SUMIFS('Калькуляция (МСА)'!$AE$25:$AE$65,'Калькуляция (МСА)'!$F$25:$F$65,$F61,'Калькуляция (МСА)'!$G$25:$G$65,$G61),_xlfn.SUMIFS(INDEX('Калькуляция (МИ)'!$AJ$25:$BC$315,,MATCH(AG$8,'Калькуляция (МИ)'!$AJ$8:$BC$8,0)),'Калькуляция (МИ)'!$F$25:$F$315,$F61,'Калькуляция (МИ)'!$G$25:$G$315,$G61))))</f>
        <v>0</v>
      </c>
      <c r="AH61" s="2907">
        <f>IF(AND(method_reg="Метод индексации",god&lt;&gt;first_year),_xlfn.SUMIFS(INDEX('Калькуляция (МИ корр)'!$AJ$25:$BC$315,,MATCH(AH$8,'Калькуляция (МИ корр)'!$AJ$8:$BC$8,0)),'Калькуляция (МИ корр)'!$F$25:$F$315,$F61,'Калькуляция (МИ корр)'!$G$25:$G$315,$G61),IF(method_reg="Метод экономически обоснованных расходов",_xlfn.SUMIFS('Калькуляция (МЭОР)'!$AK$25:$AK$197,'Калькуляция (МЭОР)'!$F$25:$F$197,$F61,'Калькуляция (МЭОР)'!$G$25:$G$197,$G61),IF(method_reg="Метод сравнения аналогов",_xlfn.SUMIFS('Калькуляция (МСА)'!$AF$25:$AF$65,'Калькуляция (МСА)'!$F$25:$F$65,$F61,'Калькуляция (МСА)'!$G$25:$G$65,$G61),_xlfn.SUMIFS(INDEX('Калькуляция (МИ)'!$AJ$25:$BC$315,,MATCH(AH$8,'Калькуляция (МИ)'!$AJ$8:$BC$8,0)),'Калькуляция (МИ)'!$F$25:$F$315,$F61,'Калькуляция (МИ)'!$G$25:$G$315,$G61))))</f>
        <v>0</v>
      </c>
      <c r="AI61" s="1073">
        <f>IF(AG61=0,0,(AH61-AG61)/AG61*100)</f>
        <v>0</v>
      </c>
      <c r="AJ61" s="2907">
        <f>IF(AND(method_reg="Метод индексации",god&lt;&gt;first_year),_xlfn.SUMIFS(INDEX('Калькуляция (МИ корр)'!$AJ$25:$BC$315,,MATCH(AJ$8,'Калькуляция (МИ корр)'!$AJ$8:$BC$8,0)),'Калькуляция (МИ корр)'!$F$25:$F$315,$F61,'Калькуляция (МИ корр)'!$G$25:$G$315,$G61),IF(method_reg="Метод экономически обоснованных расходов",_xlfn.SUMIFS('Калькуляция (МЭОР)'!$AJ$25:$AJ$197,'Калькуляция (МЭОР)'!$F$25:$F$197,$F61,'Калькуляция (МЭОР)'!$G$25:$G$197,$G61),IF(method_reg="Метод сравнения аналогов",_xlfn.SUMIFS('Калькуляция (МСА)'!$AE$25:$AE$65,'Калькуляция (МСА)'!$F$25:$F$65,$F61,'Калькуляция (МСА)'!$G$25:$G$65,$G61),_xlfn.SUMIFS(INDEX('Калькуляция (МИ)'!$AJ$25:$BC$315,,MATCH(AJ$8,'Калькуляция (МИ)'!$AJ$8:$BC$8,0)),'Калькуляция (МИ)'!$F$25:$F$315,$F61,'Калькуляция (МИ)'!$G$25:$G$315,$G61))))</f>
        <v>0</v>
      </c>
      <c r="AK61" s="2907">
        <f>IF(AND(method_reg="Метод индексации",god&lt;&gt;first_year),_xlfn.SUMIFS(INDEX('Калькуляция (МИ корр)'!$AJ$25:$BC$315,,MATCH(AK$8,'Калькуляция (МИ корр)'!$AJ$8:$BC$8,0)),'Калькуляция (МИ корр)'!$F$25:$F$315,$F61,'Калькуляция (МИ корр)'!$G$25:$G$315,$G61),IF(method_reg="Метод экономически обоснованных расходов",_xlfn.SUMIFS('Калькуляция (МЭОР)'!$AK$25:$AK$197,'Калькуляция (МЭОР)'!$F$25:$F$197,$F61,'Калькуляция (МЭОР)'!$G$25:$G$197,$G61),IF(method_reg="Метод сравнения аналогов",_xlfn.SUMIFS('Калькуляция (МСА)'!$AF$25:$AF$65,'Калькуляция (МСА)'!$F$25:$F$65,$F61,'Калькуляция (МСА)'!$G$25:$G$65,$G61),_xlfn.SUMIFS(INDEX('Калькуляция (МИ)'!$AJ$25:$BC$315,,MATCH(AK$8,'Калькуляция (МИ)'!$AJ$8:$BC$8,0)),'Калькуляция (МИ)'!$F$25:$F$315,$F61,'Калькуляция (МИ)'!$G$25:$G$315,$G61))))</f>
        <v>0</v>
      </c>
      <c r="AL61" s="1073">
        <f>IF(AJ61=0,0,(AK61-AJ61)/AJ61*100)</f>
        <v>0</v>
      </c>
      <c r="AM61" s="2907">
        <f>IF(AND(method_reg="Метод индексации",god&lt;&gt;first_year),_xlfn.SUMIFS(INDEX('Калькуляция (МИ корр)'!$AJ$25:$BC$315,,MATCH(AM$8,'Калькуляция (МИ корр)'!$AJ$8:$BC$8,0)),'Калькуляция (МИ корр)'!$F$25:$F$315,$F61,'Калькуляция (МИ корр)'!$G$25:$G$315,$G61),IF(method_reg="Метод экономически обоснованных расходов",_xlfn.SUMIFS('Калькуляция (МЭОР)'!$AJ$25:$AJ$197,'Калькуляция (МЭОР)'!$F$25:$F$197,$F61,'Калькуляция (МЭОР)'!$G$25:$G$197,$G61),IF(method_reg="Метод сравнения аналогов",_xlfn.SUMIFS('Калькуляция (МСА)'!$AE$25:$AE$65,'Калькуляция (МСА)'!$F$25:$F$65,$F61,'Калькуляция (МСА)'!$G$25:$G$65,$G61),_xlfn.SUMIFS(INDEX('Калькуляция (МИ)'!$AJ$25:$BC$315,,MATCH(AM$8,'Калькуляция (МИ)'!$AJ$8:$BC$8,0)),'Калькуляция (МИ)'!$F$25:$F$315,$F61,'Калькуляция (МИ)'!$G$25:$G$315,$G61))))</f>
        <v>0</v>
      </c>
      <c r="AN61" s="2907">
        <f>IF(AND(method_reg="Метод индексации",god&lt;&gt;first_year),_xlfn.SUMIFS(INDEX('Калькуляция (МИ корр)'!$AJ$25:$BC$315,,MATCH(AN$8,'Калькуляция (МИ корр)'!$AJ$8:$BC$8,0)),'Калькуляция (МИ корр)'!$F$25:$F$315,$F61,'Калькуляция (МИ корр)'!$G$25:$G$315,$G61),IF(method_reg="Метод экономически обоснованных расходов",_xlfn.SUMIFS('Калькуляция (МЭОР)'!$AK$25:$AK$197,'Калькуляция (МЭОР)'!$F$25:$F$197,$F61,'Калькуляция (МЭОР)'!$G$25:$G$197,$G61),IF(method_reg="Метод сравнения аналогов",_xlfn.SUMIFS('Калькуляция (МСА)'!$AF$25:$AF$65,'Калькуляция (МСА)'!$F$25:$F$65,$F61,'Калькуляция (МСА)'!$G$25:$G$65,$G61),_xlfn.SUMIFS(INDEX('Калькуляция (МИ)'!$AJ$25:$BC$315,,MATCH(AN$8,'Калькуляция (МИ)'!$AJ$8:$BC$8,0)),'Калькуляция (МИ)'!$F$25:$F$315,$F61,'Калькуляция (МИ)'!$G$25:$G$315,$G61))))</f>
        <v>0</v>
      </c>
      <c r="AO61" s="1073">
        <f>IF(AM61=0,0,(AN61-AM61)/AM61*100)</f>
        <v>0</v>
      </c>
      <c r="AP61" s="2907">
        <f>IF(AND(method_reg="Метод индексации",god&lt;&gt;first_year),_xlfn.SUMIFS(INDEX('Калькуляция (МИ корр)'!$AJ$25:$BC$315,,MATCH(AP$8,'Калькуляция (МИ корр)'!$AJ$8:$BC$8,0)),'Калькуляция (МИ корр)'!$F$25:$F$315,$F61,'Калькуляция (МИ корр)'!$G$25:$G$315,$G61),IF(method_reg="Метод экономически обоснованных расходов",_xlfn.SUMIFS('Калькуляция (МЭОР)'!$AJ$25:$AJ$197,'Калькуляция (МЭОР)'!$F$25:$F$197,$F61,'Калькуляция (МЭОР)'!$G$25:$G$197,$G61),IF(method_reg="Метод сравнения аналогов",_xlfn.SUMIFS('Калькуляция (МСА)'!$AE$25:$AE$65,'Калькуляция (МСА)'!$F$25:$F$65,$F61,'Калькуляция (МСА)'!$G$25:$G$65,$G61),_xlfn.SUMIFS(INDEX('Калькуляция (МИ)'!$AJ$25:$BC$315,,MATCH(AP$8,'Калькуляция (МИ)'!$AJ$8:$BC$8,0)),'Калькуляция (МИ)'!$F$25:$F$315,$F61,'Калькуляция (МИ)'!$G$25:$G$315,$G61))))</f>
        <v>0</v>
      </c>
      <c r="AQ61" s="2907">
        <f>IF(AND(method_reg="Метод индексации",god&lt;&gt;first_year),_xlfn.SUMIFS(INDEX('Калькуляция (МИ корр)'!$AJ$25:$BC$315,,MATCH(AQ$8,'Калькуляция (МИ корр)'!$AJ$8:$BC$8,0)),'Калькуляция (МИ корр)'!$F$25:$F$315,$F61,'Калькуляция (МИ корр)'!$G$25:$G$315,$G61),IF(method_reg="Метод экономически обоснованных расходов",_xlfn.SUMIFS('Калькуляция (МЭОР)'!$AK$25:$AK$197,'Калькуляция (МЭОР)'!$F$25:$F$197,$F61,'Калькуляция (МЭОР)'!$G$25:$G$197,$G61),IF(method_reg="Метод сравнения аналогов",_xlfn.SUMIFS('Калькуляция (МСА)'!$AF$25:$AF$65,'Калькуляция (МСА)'!$F$25:$F$65,$F61,'Калькуляция (МСА)'!$G$25:$G$65,$G61),_xlfn.SUMIFS(INDEX('Калькуляция (МИ)'!$AJ$25:$BC$315,,MATCH(AQ$8,'Калькуляция (МИ)'!$AJ$8:$BC$8,0)),'Калькуляция (МИ)'!$F$25:$F$315,$F61,'Калькуляция (МИ)'!$G$25:$G$315,$G61))))</f>
        <v>0</v>
      </c>
      <c r="AR61" s="1073">
        <f>IF(AP61=0,0,(AQ61-AP61)/AP61*100)</f>
        <v>0</v>
      </c>
      <c r="AS61" s="2907">
        <f>IF(AND(method_reg="Метод индексации",god&lt;&gt;first_year),_xlfn.SUMIFS(INDEX('Калькуляция (МИ корр)'!$AJ$25:$BC$315,,MATCH(AS$8,'Калькуляция (МИ корр)'!$AJ$8:$BC$8,0)),'Калькуляция (МИ корр)'!$F$25:$F$315,$F61,'Калькуляция (МИ корр)'!$G$25:$G$315,$G61),IF(method_reg="Метод экономически обоснованных расходов",_xlfn.SUMIFS('Калькуляция (МЭОР)'!$AJ$25:$AJ$197,'Калькуляция (МЭОР)'!$F$25:$F$197,$F61,'Калькуляция (МЭОР)'!$G$25:$G$197,$G61),IF(method_reg="Метод сравнения аналогов",_xlfn.SUMIFS('Калькуляция (МСА)'!$AE$25:$AE$65,'Калькуляция (МСА)'!$F$25:$F$65,$F61,'Калькуляция (МСА)'!$G$25:$G$65,$G61),_xlfn.SUMIFS(INDEX('Калькуляция (МИ)'!$AJ$25:$BC$315,,MATCH(AS$8,'Калькуляция (МИ)'!$AJ$8:$BC$8,0)),'Калькуляция (МИ)'!$F$25:$F$315,$F61,'Калькуляция (МИ)'!$G$25:$G$315,$G61))))</f>
        <v>0</v>
      </c>
      <c r="AT61" s="2907">
        <f>IF(AND(method_reg="Метод индексации",god&lt;&gt;first_year),_xlfn.SUMIFS(INDEX('Калькуляция (МИ корр)'!$AJ$25:$BC$315,,MATCH(AT$8,'Калькуляция (МИ корр)'!$AJ$8:$BC$8,0)),'Калькуляция (МИ корр)'!$F$25:$F$315,$F61,'Калькуляция (МИ корр)'!$G$25:$G$315,$G61),IF(method_reg="Метод экономически обоснованных расходов",_xlfn.SUMIFS('Калькуляция (МЭОР)'!$AK$25:$AK$197,'Калькуляция (МЭОР)'!$F$25:$F$197,$F61,'Калькуляция (МЭОР)'!$G$25:$G$197,$G61),IF(method_reg="Метод сравнения аналогов",_xlfn.SUMIFS('Калькуляция (МСА)'!$AF$25:$AF$65,'Калькуляция (МСА)'!$F$25:$F$65,$F61,'Калькуляция (МСА)'!$G$25:$G$65,$G61),_xlfn.SUMIFS(INDEX('Калькуляция (МИ)'!$AJ$25:$BC$315,,MATCH(AT$8,'Калькуляция (МИ)'!$AJ$8:$BC$8,0)),'Калькуляция (МИ)'!$F$25:$F$315,$F61,'Калькуляция (МИ)'!$G$25:$G$315,$G61))))</f>
        <v>0</v>
      </c>
      <c r="AU61" s="1073">
        <f>IF(AS61=0,0,(AT61-AS61)/AS61*100)</f>
        <v>0</v>
      </c>
      <c r="AV61" s="2907">
        <f>IF(AND(method_reg="Метод индексации",god&lt;&gt;first_year),_xlfn.SUMIFS(INDEX('Калькуляция (МИ корр)'!$AJ$25:$BC$315,,MATCH(AV$8,'Калькуляция (МИ корр)'!$AJ$8:$BC$8,0)),'Калькуляция (МИ корр)'!$F$25:$F$315,$F61,'Калькуляция (МИ корр)'!$G$25:$G$315,$G61),IF(method_reg="Метод экономически обоснованных расходов",_xlfn.SUMIFS('Калькуляция (МЭОР)'!$AJ$25:$AJ$197,'Калькуляция (МЭОР)'!$F$25:$F$197,$F61,'Калькуляция (МЭОР)'!$G$25:$G$197,$G61),IF(method_reg="Метод сравнения аналогов",_xlfn.SUMIFS('Калькуляция (МСА)'!$AE$25:$AE$65,'Калькуляция (МСА)'!$F$25:$F$65,$F61,'Калькуляция (МСА)'!$G$25:$G$65,$G61),_xlfn.SUMIFS(INDEX('Калькуляция (МИ)'!$AJ$25:$BC$315,,MATCH(AV$8,'Калькуляция (МИ)'!$AJ$8:$BC$8,0)),'Калькуляция (МИ)'!$F$25:$F$315,$F61,'Калькуляция (МИ)'!$G$25:$G$315,$G61))))</f>
        <v>0</v>
      </c>
      <c r="AW61" s="2907">
        <f>IF(AND(method_reg="Метод индексации",god&lt;&gt;first_year),_xlfn.SUMIFS(INDEX('Калькуляция (МИ корр)'!$AJ$25:$BC$315,,MATCH(AW$8,'Калькуляция (МИ корр)'!$AJ$8:$BC$8,0)),'Калькуляция (МИ корр)'!$F$25:$F$315,$F61,'Калькуляция (МИ корр)'!$G$25:$G$315,$G61),IF(method_reg="Метод экономически обоснованных расходов",_xlfn.SUMIFS('Калькуляция (МЭОР)'!$AK$25:$AK$197,'Калькуляция (МЭОР)'!$F$25:$F$197,$F61,'Калькуляция (МЭОР)'!$G$25:$G$197,$G61),IF(method_reg="Метод сравнения аналогов",_xlfn.SUMIFS('Калькуляция (МСА)'!$AF$25:$AF$65,'Калькуляция (МСА)'!$F$25:$F$65,$F61,'Калькуляция (МСА)'!$G$25:$G$65,$G61),_xlfn.SUMIFS(INDEX('Калькуляция (МИ)'!$AJ$25:$BC$315,,MATCH(AW$8,'Калькуляция (МИ)'!$AJ$8:$BC$8,0)),'Калькуляция (МИ)'!$F$25:$F$315,$F61,'Калькуляция (МИ)'!$G$25:$G$315,$G61))))</f>
        <v>0</v>
      </c>
      <c r="AX61" s="1073">
        <f>IF(AV61=0,0,(AW61-AV61)/AV61*100)</f>
        <v>0</v>
      </c>
      <c r="AY61" s="2907">
        <f>IF(AND(method_reg="Метод индексации",god&lt;&gt;first_year),_xlfn.SUMIFS(INDEX('Калькуляция (МИ корр)'!$AJ$25:$BC$315,,MATCH(AY$8,'Калькуляция (МИ корр)'!$AJ$8:$BC$8,0)),'Калькуляция (МИ корр)'!$F$25:$F$315,$F61,'Калькуляция (МИ корр)'!$G$25:$G$315,$G61),IF(method_reg="Метод экономически обоснованных расходов",_xlfn.SUMIFS('Калькуляция (МЭОР)'!$AJ$25:$AJ$197,'Калькуляция (МЭОР)'!$F$25:$F$197,$F61,'Калькуляция (МЭОР)'!$G$25:$G$197,$G61),IF(method_reg="Метод сравнения аналогов",_xlfn.SUMIFS('Калькуляция (МСА)'!$AE$25:$AE$65,'Калькуляция (МСА)'!$F$25:$F$65,$F61,'Калькуляция (МСА)'!$G$25:$G$65,$G61),_xlfn.SUMIFS(INDEX('Калькуляция (МИ)'!$AJ$25:$BC$315,,MATCH(AY$8,'Калькуляция (МИ)'!$AJ$8:$BC$8,0)),'Калькуляция (МИ)'!$F$25:$F$315,$F61,'Калькуляция (МИ)'!$G$25:$G$315,$G61))))</f>
        <v>0</v>
      </c>
      <c r="AZ61" s="2907">
        <f>IF(AND(method_reg="Метод индексации",god&lt;&gt;first_year),_xlfn.SUMIFS(INDEX('Калькуляция (МИ корр)'!$AJ$25:$BC$315,,MATCH(AZ$8,'Калькуляция (МИ корр)'!$AJ$8:$BC$8,0)),'Калькуляция (МИ корр)'!$F$25:$F$315,$F61,'Калькуляция (МИ корр)'!$G$25:$G$315,$G61),IF(method_reg="Метод экономически обоснованных расходов",_xlfn.SUMIFS('Калькуляция (МЭОР)'!$AK$25:$AK$197,'Калькуляция (МЭОР)'!$F$25:$F$197,$F61,'Калькуляция (МЭОР)'!$G$25:$G$197,$G61),IF(method_reg="Метод сравнения аналогов",_xlfn.SUMIFS('Калькуляция (МСА)'!$AF$25:$AF$65,'Калькуляция (МСА)'!$F$25:$F$65,$F61,'Калькуляция (МСА)'!$G$25:$G$65,$G61),_xlfn.SUMIFS(INDEX('Калькуляция (МИ)'!$AJ$25:$BC$315,,MATCH(AZ$8,'Калькуляция (МИ)'!$AJ$8:$BC$8,0)),'Калькуляция (МИ)'!$F$25:$F$315,$F61,'Калькуляция (МИ)'!$G$25:$G$315,$G61))))</f>
        <v>0</v>
      </c>
      <c r="BA61" s="1073">
        <f>IF(AY61=0,0,(AZ61-AY61)/AY61*100)</f>
        <v>0</v>
      </c>
      <c r="BB61" s="2907">
        <f>IF(AND(method_reg="Метод индексации",god&lt;&gt;first_year),_xlfn.SUMIFS(INDEX('Калькуляция (МИ корр)'!$AJ$25:$BC$315,,MATCH(BB$8,'Калькуляция (МИ корр)'!$AJ$8:$BC$8,0)),'Калькуляция (МИ корр)'!$F$25:$F$315,$F61,'Калькуляция (МИ корр)'!$G$25:$G$315,$G61),IF(method_reg="Метод экономически обоснованных расходов",_xlfn.SUMIFS('Калькуляция (МЭОР)'!$AJ$25:$AJ$197,'Калькуляция (МЭОР)'!$F$25:$F$197,$F61,'Калькуляция (МЭОР)'!$G$25:$G$197,$G61),IF(method_reg="Метод сравнения аналогов",_xlfn.SUMIFS('Калькуляция (МСА)'!$AE$25:$AE$65,'Калькуляция (МСА)'!$F$25:$F$65,$F61,'Калькуляция (МСА)'!$G$25:$G$65,$G61),_xlfn.SUMIFS(INDEX('Калькуляция (МИ)'!$AJ$25:$BC$315,,MATCH(BB$8,'Калькуляция (МИ)'!$AJ$8:$BC$8,0)),'Калькуляция (МИ)'!$F$25:$F$315,$F61,'Калькуляция (МИ)'!$G$25:$G$315,$G61))))</f>
        <v>0</v>
      </c>
      <c r="BC61" s="2907">
        <f>IF(AND(method_reg="Метод индексации",god&lt;&gt;first_year),_xlfn.SUMIFS(INDEX('Калькуляция (МИ корр)'!$AJ$25:$BC$315,,MATCH(BC$8,'Калькуляция (МИ корр)'!$AJ$8:$BC$8,0)),'Калькуляция (МИ корр)'!$F$25:$F$315,$F61,'Калькуляция (МИ корр)'!$G$25:$G$315,$G61),IF(method_reg="Метод экономически обоснованных расходов",_xlfn.SUMIFS('Калькуляция (МЭОР)'!$AK$25:$AK$197,'Калькуляция (МЭОР)'!$F$25:$F$197,$F61,'Калькуляция (МЭОР)'!$G$25:$G$197,$G61),IF(method_reg="Метод сравнения аналогов",_xlfn.SUMIFS('Калькуляция (МСА)'!$AF$25:$AF$65,'Калькуляция (МСА)'!$F$25:$F$65,$F61,'Калькуляция (МСА)'!$G$25:$G$65,$G61),_xlfn.SUMIFS(INDEX('Калькуляция (МИ)'!$AJ$25:$BC$315,,MATCH(BC$8,'Калькуляция (МИ)'!$AJ$8:$BC$8,0)),'Калькуляция (МИ)'!$F$25:$F$315,$F61,'Калькуляция (МИ)'!$G$25:$G$315,$G61))))</f>
        <v>0</v>
      </c>
      <c r="BD61" s="1073">
        <f>IF(BB61=0,0,(BC61-BB61)/BB61*100)</f>
        <v>0</v>
      </c>
      <c r="BE61" s="2907">
        <f>IF(AND(method_reg="Метод индексации",god&lt;&gt;first_year),_xlfn.SUMIFS(INDEX('Калькуляция (МИ корр)'!$AJ$25:$BC$315,,MATCH(BE$8,'Калькуляция (МИ корр)'!$AJ$8:$BC$8,0)),'Калькуляция (МИ корр)'!$F$25:$F$315,$F61,'Калькуляция (МИ корр)'!$G$25:$G$315,$G61),IF(method_reg="Метод экономически обоснованных расходов",_xlfn.SUMIFS('Калькуляция (МЭОР)'!$AJ$25:$AJ$197,'Калькуляция (МЭОР)'!$F$25:$F$197,$F61,'Калькуляция (МЭОР)'!$G$25:$G$197,$G61),IF(method_reg="Метод сравнения аналогов",_xlfn.SUMIFS('Калькуляция (МСА)'!$AE$25:$AE$65,'Калькуляция (МСА)'!$F$25:$F$65,$F61,'Калькуляция (МСА)'!$G$25:$G$65,$G61),_xlfn.SUMIFS(INDEX('Калькуляция (МИ)'!$AJ$25:$BC$315,,MATCH(BE$8,'Калькуляция (МИ)'!$AJ$8:$BC$8,0)),'Калькуляция (МИ)'!$F$25:$F$315,$F61,'Калькуляция (МИ)'!$G$25:$G$315,$G61))))</f>
        <v>0</v>
      </c>
      <c r="BF61" s="2907">
        <f>IF(AND(method_reg="Метод индексации",god&lt;&gt;first_year),_xlfn.SUMIFS(INDEX('Калькуляция (МИ корр)'!$AJ$25:$BC$315,,MATCH(BF$8,'Калькуляция (МИ корр)'!$AJ$8:$BC$8,0)),'Калькуляция (МИ корр)'!$F$25:$F$315,$F61,'Калькуляция (МИ корр)'!$G$25:$G$315,$G61),IF(method_reg="Метод экономически обоснованных расходов",_xlfn.SUMIFS('Калькуляция (МЭОР)'!$AK$25:$AK$197,'Калькуляция (МЭОР)'!$F$25:$F$197,$F61,'Калькуляция (МЭОР)'!$G$25:$G$197,$G61),IF(method_reg="Метод сравнения аналогов",_xlfn.SUMIFS('Калькуляция (МСА)'!$AF$25:$AF$65,'Калькуляция (МСА)'!$F$25:$F$65,$F61,'Калькуляция (МСА)'!$G$25:$G$65,$G61),_xlfn.SUMIFS(INDEX('Калькуляция (МИ)'!$AJ$25:$BC$315,,MATCH(BF$8,'Калькуляция (МИ)'!$AJ$8:$BC$8,0)),'Калькуляция (МИ)'!$F$25:$F$315,$F61,'Калькуляция (МИ)'!$G$25:$G$315,$G61))))</f>
        <v>0</v>
      </c>
      <c r="BG61" s="1073">
        <f>IF(BE61=0,0,(BF61-BE61)/BE61*100)</f>
        <v>0</v>
      </c>
      <c r="BH61" s="2907"/>
      <c r="BI61" s="2907"/>
      <c r="BJ61" s="1073">
        <f>IF(BH61=0,0,(BI61-BH61)/BH61*100)</f>
        <v>0</v>
      </c>
      <c r="BK61" s="2907"/>
      <c r="BL61" s="2907"/>
      <c r="BM61" s="1073">
        <f>IF(BK61=0,0,(BL61-BK61)/BK61*100)</f>
        <v>0</v>
      </c>
      <c r="BN61" s="2907"/>
      <c r="BO61" s="2907"/>
      <c r="BP61" s="1073">
        <f>IF(BN61=0,0,(BO61-BN61)/BN61*100)</f>
        <v>0</v>
      </c>
      <c r="BQ61" s="2907"/>
      <c r="BR61" s="2907"/>
      <c r="BS61" s="1073">
        <f>IF(BQ61=0,0,(BR61-BQ61)/BQ61*100)</f>
        <v>0</v>
      </c>
      <c r="BT61" s="2907"/>
      <c r="BU61" s="2907"/>
      <c r="BV61" s="1073">
        <f>IF(BT61=0,0,(BU61-BT61)/BT61*100)</f>
        <v>0</v>
      </c>
      <c r="BW61" s="2907"/>
      <c r="BX61" s="2907"/>
      <c r="BY61" s="1073">
        <f>IF(BW61=0,0,(BX61-BW61)/BW61*100)</f>
        <v>0</v>
      </c>
      <c r="BZ61" s="2907"/>
      <c r="CA61" s="2907"/>
      <c r="CB61" s="1073">
        <f>IF(BZ61=0,0,(CA61-BZ61)/BZ61*100)</f>
        <v>0</v>
      </c>
      <c r="CC61" s="2907"/>
      <c r="CD61" s="2907"/>
      <c r="CE61" s="1073">
        <f>IF(CC61=0,0,(CD61-CC61)/CC61*100)</f>
        <v>0</v>
      </c>
      <c r="CF61" s="2907"/>
      <c r="CG61" s="2907"/>
      <c r="CH61" s="1073">
        <f>IF(CF61=0,0,(CG61-CF61)/CF61*100)</f>
        <v>0</v>
      </c>
      <c r="CI61" s="2907"/>
      <c r="CJ61" s="2907"/>
      <c r="CK61" s="1073">
        <f>IF(CI61=0,0,(CJ61-CI61)/CI61*100)</f>
        <v>0</v>
      </c>
      <c r="CL61" s="2907"/>
      <c r="CM61" s="2907"/>
      <c r="CN61" s="1073">
        <f>IF(CL61=0,0,(CM61-CL61)/CL61*100)</f>
        <v>0</v>
      </c>
      <c r="CO61" s="2907"/>
      <c r="CP61" s="2907"/>
      <c r="CQ61" s="1073">
        <f>IF(CO61=0,0,(CP61-CO61)/CO61*100)</f>
        <v>0</v>
      </c>
      <c r="CR61" s="2907"/>
      <c r="CS61" s="2907"/>
      <c r="CT61" s="1073">
        <f>IF(CR61=0,0,(CS61-CR61)/CR61*100)</f>
        <v>0</v>
      </c>
      <c r="CU61" s="2907"/>
      <c r="CV61" s="2907"/>
      <c r="CW61" s="1073">
        <f>IF(CU61=0,0,(CV61-CU61)/CU61*100)</f>
        <v>0</v>
      </c>
      <c r="CX61" s="2907"/>
      <c r="CY61" s="2907"/>
      <c r="CZ61" s="1073">
        <f>IF(CX61=0,0,(CY61-CX61)/CX61*100)</f>
        <v>0</v>
      </c>
      <c r="DA61" s="2907"/>
      <c r="DB61" s="2907"/>
      <c r="DC61" s="1073">
        <f>IF(DA61=0,0,(DB61-DA61)/DA61*100)</f>
        <v>0</v>
      </c>
      <c r="DD61" s="2907"/>
      <c r="DE61" s="2907"/>
      <c r="DF61" s="1073">
        <f>IF(DD61=0,0,(DE61-DD61)/DD61*100)</f>
        <v>0</v>
      </c>
      <c r="DG61" s="2907"/>
      <c r="DH61" s="2907"/>
      <c r="DI61" s="1073">
        <f>IF(DG61=0,0,(DH61-DG61)/DG61*100)</f>
        <v>0</v>
      </c>
      <c r="DJ61" s="2907"/>
      <c r="DK61" s="2907"/>
      <c r="DL61" s="1073">
        <f>IF(DJ61=0,0,(DK61-DJ61)/DJ61*100)</f>
        <v>0</v>
      </c>
      <c r="DM61" s="2907"/>
      <c r="DN61" s="2907"/>
      <c r="DO61" s="1073">
        <f>IF(DM61=0,0,(DN61-DM61)/DM61*100)</f>
        <v>0</v>
      </c>
      <c r="DP61" s="2907"/>
      <c r="DQ61" s="2907"/>
      <c r="DR61" s="1073">
        <f>IF(DP61=0,0,(DQ61-DP61)/DP61*100)</f>
        <v>0</v>
      </c>
      <c r="DS61" s="2907"/>
      <c r="DT61" s="2907"/>
      <c r="DU61" s="1073">
        <f>IF(DS61=0,0,(DT61-DS61)/DS61*100)</f>
        <v>0</v>
      </c>
      <c r="DV61" s="2907"/>
      <c r="DW61" s="2907"/>
      <c r="DX61" s="1073">
        <f>IF(DV61=0,0,(DW61-DV61)/DV61*100)</f>
        <v>0</v>
      </c>
      <c r="DY61" s="2907"/>
      <c r="DZ61" s="2907"/>
      <c r="EA61" s="1073">
        <f>IF(DY61=0,0,(DZ61-DY61)/DY61*100)</f>
        <v>0</v>
      </c>
      <c r="EB61" s="2907"/>
      <c r="EC61" s="2907"/>
      <c r="ED61" s="1073">
        <f>IF(EB61=0,0,(EC61-EB61)/EB61*100)</f>
        <v>0</v>
      </c>
      <c r="EE61" s="2907"/>
      <c r="EF61" s="2907"/>
      <c r="EG61" s="1073">
        <f>IF(EE61=0,0,(EF61-EE61)/EE61*100)</f>
        <v>0</v>
      </c>
      <c r="EH61" s="2907"/>
      <c r="EI61" s="2907"/>
      <c r="EJ61" s="1073">
        <f>IF(EH61=0,0,(EI61-EH61)/EH61*100)</f>
        <v>0</v>
      </c>
      <c r="EK61" s="2907"/>
      <c r="EL61" s="2907"/>
      <c r="EM61" s="1073">
        <f>IF(EK61=0,0,(EL61-EK61)/EK61*100)</f>
        <v>0</v>
      </c>
      <c r="EN61" s="2907"/>
      <c r="EO61" s="2907"/>
      <c r="EP61" s="1073">
        <f>IF(EN61=0,0,(EO61-EN61)/EN61*100)</f>
        <v>0</v>
      </c>
      <c r="EQ61" s="2907"/>
      <c r="ER61" s="2907"/>
      <c r="ES61" s="1073">
        <f>IF(EQ61=0,0,(ER61-EQ61)/EQ61*100)</f>
        <v>0</v>
      </c>
      <c r="ET61" s="2907"/>
      <c r="EU61" s="2907"/>
      <c r="EV61" s="1073">
        <f>IF(ET61=0,0,(EU61-ET61)/ET61*100)</f>
        <v>0</v>
      </c>
      <c r="EW61" s="2907"/>
      <c r="EX61" s="2907"/>
      <c r="EY61" s="1073">
        <f>IF(EW61=0,0,(EX61-EW61)/EW61*100)</f>
        <v>0</v>
      </c>
      <c r="EZ61" s="2907"/>
      <c r="FA61" s="2907"/>
      <c r="FB61" s="1073">
        <f>IF(EZ61=0,0,(FA61-EZ61)/EZ61*100)</f>
        <v>0</v>
      </c>
      <c r="FC61" s="2907"/>
      <c r="FD61" s="2907"/>
      <c r="FE61" s="1073">
        <f>IF(FC61=0,0,(FD61-FC61)/FC61*100)</f>
        <v>0</v>
      </c>
      <c r="FF61" s="2907"/>
      <c r="FG61" s="2907"/>
      <c r="FH61" s="1073">
        <f>IF(FF61=0,0,(FG61-FF61)/FF61*100)</f>
        <v>0</v>
      </c>
      <c r="FI61" s="2907"/>
      <c r="FJ61" s="2907"/>
      <c r="FK61" s="1073">
        <f>IF(FI61=0,0,(FJ61-FI61)/FI61*100)</f>
        <v>0</v>
      </c>
      <c r="FL61" s="2907"/>
      <c r="FM61" s="2907"/>
      <c r="FN61" s="1073">
        <f>IF(FL61=0,0,(FM61-FL61)/FL61*100)</f>
        <v>0</v>
      </c>
      <c r="FO61" s="2907"/>
      <c r="FP61" s="2907"/>
      <c r="FQ61" s="1073">
        <f>IF(FO61=0,0,(FP61-FO61)/FO61*100)</f>
        <v>0</v>
      </c>
      <c r="FR61" s="2907"/>
      <c r="FS61" s="2907"/>
      <c r="FT61" s="1073">
        <f>IF(FR61=0,0,(FS61-FR61)/FR61*100)</f>
        <v>0</v>
      </c>
      <c r="FU61" s="2907"/>
      <c r="FV61" s="2907"/>
      <c r="FW61" s="1073">
        <f>IF(FU61=0,0,(FV61-FU61)/FU61*100)</f>
        <v>0</v>
      </c>
      <c r="FX61" s="1282"/>
      <c r="FY61" s="1282"/>
      <c r="FZ61" s="1032" t="s">
        <v>1533</v>
      </c>
      <c r="GA61" s="1284"/>
      <c r="GB61" s="1284"/>
      <c r="GC61" s="1283"/>
      <c r="GD61" s="1283"/>
    </row>
    <row customHeight="1" ht="21.9375" hidden="1">
      <c r="A62" s="466"/>
      <c r="B62" s="901" cm="1" t="str">
        <f t="array" ref="B62:B62">B61</f>
        <v>false</v>
      </c>
      <c r="C62" s="466"/>
      <c r="D62" s="466"/>
      <c r="E62" s="816">
        <v>22.5</v>
      </c>
      <c r="F62" s="50" cm="1" t="str">
        <f t="array" ref="F62:F62">OFFSET(E62,-1,1)</f>
        <v>0</v>
      </c>
      <c r="G62" s="466"/>
      <c r="H62" s="466" t="s">
        <v>1515</v>
      </c>
      <c r="I62" s="466" t="s">
        <v>1489</v>
      </c>
      <c r="J62" s="466"/>
      <c r="K62" s="466"/>
      <c r="L62" s="466"/>
      <c r="M62" s="466"/>
      <c r="N62" s="466"/>
      <c r="O62" s="466"/>
      <c r="P62" s="466"/>
      <c r="Q62" s="466"/>
      <c r="R62" s="466"/>
      <c r="S62" s="466"/>
      <c r="T62" s="438" cm="1" t="str">
        <f t="array" ref="T62:T62">T61</f>
        <v>false</v>
      </c>
      <c r="U62" s="466"/>
      <c r="V62" s="466"/>
      <c r="W62" s="466"/>
      <c r="X62" s="1541"/>
      <c r="Y62" s="466"/>
      <c r="Z62" s="1493"/>
      <c r="AA62" s="466"/>
      <c r="AB62" s="1069"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2" s="840" t="s">
        <v>1516</v>
      </c>
      <c r="AD62" s="2912"/>
      <c r="AE62" s="2912"/>
      <c r="AF62" s="1071">
        <f>IF(AD62=0,0,(AE62-AD62)/AD62*100)</f>
        <v>0</v>
      </c>
      <c r="AG62" s="2912"/>
      <c r="AH62" s="2912"/>
      <c r="AI62" s="1071">
        <f>IF(AG62=0,0,(AH62-AG62)/AG62*100)</f>
        <v>0</v>
      </c>
      <c r="AJ62" s="2912"/>
      <c r="AK62" s="2912"/>
      <c r="AL62" s="1071">
        <f>IF(AJ62=0,0,(AK62-AJ62)/AJ62*100)</f>
        <v>0</v>
      </c>
      <c r="AM62" s="2912"/>
      <c r="AN62" s="2912"/>
      <c r="AO62" s="1071">
        <f>IF(AM62=0,0,(AN62-AM62)/AM62*100)</f>
        <v>0</v>
      </c>
      <c r="AP62" s="2912"/>
      <c r="AQ62" s="2912"/>
      <c r="AR62" s="1071">
        <f>IF(AP62=0,0,(AQ62-AP62)/AP62*100)</f>
        <v>0</v>
      </c>
      <c r="AS62" s="2912"/>
      <c r="AT62" s="2912"/>
      <c r="AU62" s="1071">
        <f>IF(AS62=0,0,(AT62-AS62)/AS62*100)</f>
        <v>0</v>
      </c>
      <c r="AV62" s="2912"/>
      <c r="AW62" s="2912"/>
      <c r="AX62" s="1071">
        <f>IF(AV62=0,0,(AW62-AV62)/AV62*100)</f>
        <v>0</v>
      </c>
      <c r="AY62" s="2912"/>
      <c r="AZ62" s="2912"/>
      <c r="BA62" s="1071">
        <f>IF(AY62=0,0,(AZ62-AY62)/AY62*100)</f>
        <v>0</v>
      </c>
      <c r="BB62" s="2912"/>
      <c r="BC62" s="2912"/>
      <c r="BD62" s="1071">
        <f>IF(BB62=0,0,(BC62-BB62)/BB62*100)</f>
        <v>0</v>
      </c>
      <c r="BE62" s="2912"/>
      <c r="BF62" s="2912"/>
      <c r="BG62" s="1071">
        <f>IF(BE62=0,0,(BF62-BE62)/BE62*100)</f>
        <v>0</v>
      </c>
      <c r="BH62" s="2912"/>
      <c r="BI62" s="2912"/>
      <c r="BJ62" s="1071">
        <f>IF(BH62=0,0,(BI62-BH62)/BH62*100)</f>
        <v>0</v>
      </c>
      <c r="BK62" s="2912"/>
      <c r="BL62" s="2912"/>
      <c r="BM62" s="1071">
        <f>IF(BK62=0,0,(BL62-BK62)/BK62*100)</f>
        <v>0</v>
      </c>
      <c r="BN62" s="2912"/>
      <c r="BO62" s="2912"/>
      <c r="BP62" s="1071">
        <f>IF(BN62=0,0,(BO62-BN62)/BN62*100)</f>
        <v>0</v>
      </c>
      <c r="BQ62" s="2912"/>
      <c r="BR62" s="2912"/>
      <c r="BS62" s="1071">
        <f>IF(BQ62=0,0,(BR62-BQ62)/BQ62*100)</f>
        <v>0</v>
      </c>
      <c r="BT62" s="2912"/>
      <c r="BU62" s="2912"/>
      <c r="BV62" s="1071">
        <f>IF(BT62=0,0,(BU62-BT62)/BT62*100)</f>
        <v>0</v>
      </c>
      <c r="BW62" s="2912"/>
      <c r="BX62" s="2912"/>
      <c r="BY62" s="1071">
        <f>IF(BW62=0,0,(BX62-BW62)/BW62*100)</f>
        <v>0</v>
      </c>
      <c r="BZ62" s="2912"/>
      <c r="CA62" s="2912"/>
      <c r="CB62" s="1071">
        <f>IF(BZ62=0,0,(CA62-BZ62)/BZ62*100)</f>
        <v>0</v>
      </c>
      <c r="CC62" s="2912"/>
      <c r="CD62" s="2912"/>
      <c r="CE62" s="1071">
        <f>IF(CC62=0,0,(CD62-CC62)/CC62*100)</f>
        <v>0</v>
      </c>
      <c r="CF62" s="2912"/>
      <c r="CG62" s="2912"/>
      <c r="CH62" s="1071">
        <f>IF(CF62=0,0,(CG62-CF62)/CF62*100)</f>
        <v>0</v>
      </c>
      <c r="CI62" s="2912"/>
      <c r="CJ62" s="2912"/>
      <c r="CK62" s="1071">
        <f>IF(CI62=0,0,(CJ62-CI62)/CI62*100)</f>
        <v>0</v>
      </c>
      <c r="CL62" s="2912"/>
      <c r="CM62" s="2912"/>
      <c r="CN62" s="1071">
        <f>IF(CL62=0,0,(CM62-CL62)/CL62*100)</f>
        <v>0</v>
      </c>
      <c r="CO62" s="2912"/>
      <c r="CP62" s="2912"/>
      <c r="CQ62" s="1071">
        <f>IF(CO62=0,0,(CP62-CO62)/CO62*100)</f>
        <v>0</v>
      </c>
      <c r="CR62" s="2912"/>
      <c r="CS62" s="2912"/>
      <c r="CT62" s="1071">
        <f>IF(CR62=0,0,(CS62-CR62)/CR62*100)</f>
        <v>0</v>
      </c>
      <c r="CU62" s="2912"/>
      <c r="CV62" s="2912"/>
      <c r="CW62" s="1071">
        <f>IF(CU62=0,0,(CV62-CU62)/CU62*100)</f>
        <v>0</v>
      </c>
      <c r="CX62" s="2912"/>
      <c r="CY62" s="2912"/>
      <c r="CZ62" s="1071">
        <f>IF(CX62=0,0,(CY62-CX62)/CX62*100)</f>
        <v>0</v>
      </c>
      <c r="DA62" s="2912"/>
      <c r="DB62" s="2912"/>
      <c r="DC62" s="1071">
        <f>IF(DA62=0,0,(DB62-DA62)/DA62*100)</f>
        <v>0</v>
      </c>
      <c r="DD62" s="2912"/>
      <c r="DE62" s="2912"/>
      <c r="DF62" s="1071">
        <f>IF(DD62=0,0,(DE62-DD62)/DD62*100)</f>
        <v>0</v>
      </c>
      <c r="DG62" s="2912"/>
      <c r="DH62" s="2912"/>
      <c r="DI62" s="1071">
        <f>IF(DG62=0,0,(DH62-DG62)/DG62*100)</f>
        <v>0</v>
      </c>
      <c r="DJ62" s="2912"/>
      <c r="DK62" s="2912"/>
      <c r="DL62" s="1071">
        <f>IF(DJ62=0,0,(DK62-DJ62)/DJ62*100)</f>
        <v>0</v>
      </c>
      <c r="DM62" s="2912"/>
      <c r="DN62" s="2912"/>
      <c r="DO62" s="1071">
        <f>IF(DM62=0,0,(DN62-DM62)/DM62*100)</f>
        <v>0</v>
      </c>
      <c r="DP62" s="2912"/>
      <c r="DQ62" s="2912"/>
      <c r="DR62" s="1071">
        <f>IF(DP62=0,0,(DQ62-DP62)/DP62*100)</f>
        <v>0</v>
      </c>
      <c r="DS62" s="2912"/>
      <c r="DT62" s="2912"/>
      <c r="DU62" s="1071">
        <f>IF(DS62=0,0,(DT62-DS62)/DS62*100)</f>
        <v>0</v>
      </c>
      <c r="DV62" s="2912"/>
      <c r="DW62" s="2912"/>
      <c r="DX62" s="1071">
        <f>IF(DV62=0,0,(DW62-DV62)/DV62*100)</f>
        <v>0</v>
      </c>
      <c r="DY62" s="2912"/>
      <c r="DZ62" s="2912"/>
      <c r="EA62" s="1071">
        <f>IF(DY62=0,0,(DZ62-DY62)/DY62*100)</f>
        <v>0</v>
      </c>
      <c r="EB62" s="2912"/>
      <c r="EC62" s="2912"/>
      <c r="ED62" s="1071">
        <f>IF(EB62=0,0,(EC62-EB62)/EB62*100)</f>
        <v>0</v>
      </c>
      <c r="EE62" s="2912"/>
      <c r="EF62" s="2912"/>
      <c r="EG62" s="1071">
        <f>IF(EE62=0,0,(EF62-EE62)/EE62*100)</f>
        <v>0</v>
      </c>
      <c r="EH62" s="2912"/>
      <c r="EI62" s="2912"/>
      <c r="EJ62" s="1071">
        <f>IF(EH62=0,0,(EI62-EH62)/EH62*100)</f>
        <v>0</v>
      </c>
      <c r="EK62" s="2912"/>
      <c r="EL62" s="2912"/>
      <c r="EM62" s="1071">
        <f>IF(EK62=0,0,(EL62-EK62)/EK62*100)</f>
        <v>0</v>
      </c>
      <c r="EN62" s="2912"/>
      <c r="EO62" s="2912"/>
      <c r="EP62" s="1071">
        <f>IF(EN62=0,0,(EO62-EN62)/EN62*100)</f>
        <v>0</v>
      </c>
      <c r="EQ62" s="2912"/>
      <c r="ER62" s="2912"/>
      <c r="ES62" s="1071">
        <f>IF(EQ62=0,0,(ER62-EQ62)/EQ62*100)</f>
        <v>0</v>
      </c>
      <c r="ET62" s="2912"/>
      <c r="EU62" s="2912"/>
      <c r="EV62" s="1071">
        <f>IF(ET62=0,0,(EU62-ET62)/ET62*100)</f>
        <v>0</v>
      </c>
      <c r="EW62" s="2912"/>
      <c r="EX62" s="2912"/>
      <c r="EY62" s="1071">
        <f>IF(EW62=0,0,(EX62-EW62)/EW62*100)</f>
        <v>0</v>
      </c>
      <c r="EZ62" s="2912"/>
      <c r="FA62" s="2912"/>
      <c r="FB62" s="1071">
        <f>IF(EZ62=0,0,(FA62-EZ62)/EZ62*100)</f>
        <v>0</v>
      </c>
      <c r="FC62" s="2912"/>
      <c r="FD62" s="2912"/>
      <c r="FE62" s="1071">
        <f>IF(FC62=0,0,(FD62-FC62)/FC62*100)</f>
        <v>0</v>
      </c>
      <c r="FF62" s="2912"/>
      <c r="FG62" s="2912"/>
      <c r="FH62" s="1071">
        <f>IF(FF62=0,0,(FG62-FF62)/FF62*100)</f>
        <v>0</v>
      </c>
      <c r="FI62" s="2912"/>
      <c r="FJ62" s="2912"/>
      <c r="FK62" s="1071">
        <f>IF(FI62=0,0,(FJ62-FI62)/FI62*100)</f>
        <v>0</v>
      </c>
      <c r="FL62" s="2912"/>
      <c r="FM62" s="2912"/>
      <c r="FN62" s="1071">
        <f>IF(FL62=0,0,(FM62-FL62)/FL62*100)</f>
        <v>0</v>
      </c>
      <c r="FO62" s="2912"/>
      <c r="FP62" s="2912"/>
      <c r="FQ62" s="1071">
        <f>IF(FO62=0,0,(FP62-FO62)/FO62*100)</f>
        <v>0</v>
      </c>
      <c r="FR62" s="2912"/>
      <c r="FS62" s="2912"/>
      <c r="FT62" s="1071">
        <f>IF(FR62=0,0,(FS62-FR62)/FR62*100)</f>
        <v>0</v>
      </c>
      <c r="FU62" s="2912"/>
      <c r="FV62" s="2912"/>
      <c r="FW62" s="1071">
        <f>IF(FU62=0,0,(FV62-FU62)/FU62*100)</f>
        <v>0</v>
      </c>
      <c r="FX62" s="1282"/>
      <c r="FY62" s="1282"/>
      <c r="FZ62" s="1032" t="s">
        <v>1534</v>
      </c>
      <c r="GA62" s="1284"/>
      <c r="GB62" s="1284"/>
      <c r="GC62" s="1283"/>
      <c r="GD62" s="1283"/>
    </row>
    <row customHeight="1" ht="14.625" hidden="1">
      <c r="A63" s="466"/>
      <c r="B63" s="901" cm="1" t="str">
        <f t="array" ref="B63:B63">B62</f>
        <v>false</v>
      </c>
      <c r="C63" s="466"/>
      <c r="D63" s="466"/>
      <c r="E63" s="816">
        <v>15</v>
      </c>
      <c r="F63" s="50" cm="1" t="str">
        <f t="array" ref="F63:F63">OFFSET(E63,-1,1)</f>
        <v>0</v>
      </c>
      <c r="G63" s="466"/>
      <c r="H63" s="466" t="s">
        <v>1518</v>
      </c>
      <c r="I63" s="466" t="s">
        <v>1489</v>
      </c>
      <c r="J63" s="466"/>
      <c r="K63" s="466"/>
      <c r="L63" s="466"/>
      <c r="M63" s="466"/>
      <c r="N63" s="466"/>
      <c r="O63" s="466"/>
      <c r="P63" s="466"/>
      <c r="Q63" s="466"/>
      <c r="R63" s="466"/>
      <c r="S63" s="466"/>
      <c r="T63" s="438" cm="1" t="str">
        <f t="array" ref="T63:T63">T62</f>
        <v>false</v>
      </c>
      <c r="U63" s="466"/>
      <c r="V63" s="466"/>
      <c r="W63" s="466"/>
      <c r="X63" s="1541"/>
      <c r="Y63" s="466"/>
      <c r="Z63" s="1493"/>
      <c r="AA63" s="466"/>
      <c r="AB63" s="1069" t="s">
        <v>1519</v>
      </c>
      <c r="AC63" s="840" t="s">
        <v>1520</v>
      </c>
      <c r="AD63" s="2912"/>
      <c r="AE63" s="2912"/>
      <c r="AF63" s="1071">
        <f>IF(AD63=0,0,(AE63-AD63)/AD63*100)</f>
        <v>0</v>
      </c>
      <c r="AG63" s="2912"/>
      <c r="AH63" s="2912"/>
      <c r="AI63" s="1071">
        <f>IF(AG63=0,0,(AH63-AG63)/AG63*100)</f>
        <v>0</v>
      </c>
      <c r="AJ63" s="2912"/>
      <c r="AK63" s="2912"/>
      <c r="AL63" s="1071">
        <f>IF(AJ63=0,0,(AK63-AJ63)/AJ63*100)</f>
        <v>0</v>
      </c>
      <c r="AM63" s="2912"/>
      <c r="AN63" s="2912"/>
      <c r="AO63" s="1071">
        <f>IF(AM63=0,0,(AN63-AM63)/AM63*100)</f>
        <v>0</v>
      </c>
      <c r="AP63" s="2912"/>
      <c r="AQ63" s="2912"/>
      <c r="AR63" s="1071">
        <f>IF(AP63=0,0,(AQ63-AP63)/AP63*100)</f>
        <v>0</v>
      </c>
      <c r="AS63" s="2912"/>
      <c r="AT63" s="2912"/>
      <c r="AU63" s="1071">
        <f>IF(AS63=0,0,(AT63-AS63)/AS63*100)</f>
        <v>0</v>
      </c>
      <c r="AV63" s="2912"/>
      <c r="AW63" s="2912"/>
      <c r="AX63" s="1071">
        <f>IF(AV63=0,0,(AW63-AV63)/AV63*100)</f>
        <v>0</v>
      </c>
      <c r="AY63" s="2912"/>
      <c r="AZ63" s="2912"/>
      <c r="BA63" s="1071">
        <f>IF(AY63=0,0,(AZ63-AY63)/AY63*100)</f>
        <v>0</v>
      </c>
      <c r="BB63" s="2912"/>
      <c r="BC63" s="2912"/>
      <c r="BD63" s="1071">
        <f>IF(BB63=0,0,(BC63-BB63)/BB63*100)</f>
        <v>0</v>
      </c>
      <c r="BE63" s="2912"/>
      <c r="BF63" s="2912"/>
      <c r="BG63" s="1071">
        <f>IF(BE63=0,0,(BF63-BE63)/BE63*100)</f>
        <v>0</v>
      </c>
      <c r="BH63" s="2912"/>
      <c r="BI63" s="2912"/>
      <c r="BJ63" s="1071">
        <f>IF(BH63=0,0,(BI63-BH63)/BH63*100)</f>
        <v>0</v>
      </c>
      <c r="BK63" s="2912"/>
      <c r="BL63" s="2912"/>
      <c r="BM63" s="1071">
        <f>IF(BK63=0,0,(BL63-BK63)/BK63*100)</f>
        <v>0</v>
      </c>
      <c r="BN63" s="2912"/>
      <c r="BO63" s="2912"/>
      <c r="BP63" s="1071">
        <f>IF(BN63=0,0,(BO63-BN63)/BN63*100)</f>
        <v>0</v>
      </c>
      <c r="BQ63" s="2912"/>
      <c r="BR63" s="2912"/>
      <c r="BS63" s="1071">
        <f>IF(BQ63=0,0,(BR63-BQ63)/BQ63*100)</f>
        <v>0</v>
      </c>
      <c r="BT63" s="2912"/>
      <c r="BU63" s="2912"/>
      <c r="BV63" s="1071">
        <f>IF(BT63=0,0,(BU63-BT63)/BT63*100)</f>
        <v>0</v>
      </c>
      <c r="BW63" s="2912"/>
      <c r="BX63" s="2912"/>
      <c r="BY63" s="1071">
        <f>IF(BW63=0,0,(BX63-BW63)/BW63*100)</f>
        <v>0</v>
      </c>
      <c r="BZ63" s="2912"/>
      <c r="CA63" s="2912"/>
      <c r="CB63" s="1071">
        <f>IF(BZ63=0,0,(CA63-BZ63)/BZ63*100)</f>
        <v>0</v>
      </c>
      <c r="CC63" s="2912"/>
      <c r="CD63" s="2912"/>
      <c r="CE63" s="1071">
        <f>IF(CC63=0,0,(CD63-CC63)/CC63*100)</f>
        <v>0</v>
      </c>
      <c r="CF63" s="2912"/>
      <c r="CG63" s="2912"/>
      <c r="CH63" s="1071">
        <f>IF(CF63=0,0,(CG63-CF63)/CF63*100)</f>
        <v>0</v>
      </c>
      <c r="CI63" s="2912"/>
      <c r="CJ63" s="2912"/>
      <c r="CK63" s="1071">
        <f>IF(CI63=0,0,(CJ63-CI63)/CI63*100)</f>
        <v>0</v>
      </c>
      <c r="CL63" s="2912"/>
      <c r="CM63" s="2912"/>
      <c r="CN63" s="1071">
        <f>IF(CL63=0,0,(CM63-CL63)/CL63*100)</f>
        <v>0</v>
      </c>
      <c r="CO63" s="2912"/>
      <c r="CP63" s="2912"/>
      <c r="CQ63" s="1071">
        <f>IF(CO63=0,0,(CP63-CO63)/CO63*100)</f>
        <v>0</v>
      </c>
      <c r="CR63" s="2912"/>
      <c r="CS63" s="2912"/>
      <c r="CT63" s="1071">
        <f>IF(CR63=0,0,(CS63-CR63)/CR63*100)</f>
        <v>0</v>
      </c>
      <c r="CU63" s="2912"/>
      <c r="CV63" s="2912"/>
      <c r="CW63" s="1071">
        <f>IF(CU63=0,0,(CV63-CU63)/CU63*100)</f>
        <v>0</v>
      </c>
      <c r="CX63" s="2912"/>
      <c r="CY63" s="2912"/>
      <c r="CZ63" s="1071">
        <f>IF(CX63=0,0,(CY63-CX63)/CX63*100)</f>
        <v>0</v>
      </c>
      <c r="DA63" s="2912"/>
      <c r="DB63" s="2912"/>
      <c r="DC63" s="1071">
        <f>IF(DA63=0,0,(DB63-DA63)/DA63*100)</f>
        <v>0</v>
      </c>
      <c r="DD63" s="2912"/>
      <c r="DE63" s="2912"/>
      <c r="DF63" s="1071">
        <f>IF(DD63=0,0,(DE63-DD63)/DD63*100)</f>
        <v>0</v>
      </c>
      <c r="DG63" s="2912"/>
      <c r="DH63" s="2912"/>
      <c r="DI63" s="1071">
        <f>IF(DG63=0,0,(DH63-DG63)/DG63*100)</f>
        <v>0</v>
      </c>
      <c r="DJ63" s="2912"/>
      <c r="DK63" s="2912"/>
      <c r="DL63" s="1071">
        <f>IF(DJ63=0,0,(DK63-DJ63)/DJ63*100)</f>
        <v>0</v>
      </c>
      <c r="DM63" s="2912"/>
      <c r="DN63" s="2912"/>
      <c r="DO63" s="1071">
        <f>IF(DM63=0,0,(DN63-DM63)/DM63*100)</f>
        <v>0</v>
      </c>
      <c r="DP63" s="2912"/>
      <c r="DQ63" s="2912"/>
      <c r="DR63" s="1071">
        <f>IF(DP63=0,0,(DQ63-DP63)/DP63*100)</f>
        <v>0</v>
      </c>
      <c r="DS63" s="2912"/>
      <c r="DT63" s="2912"/>
      <c r="DU63" s="1071">
        <f>IF(DS63=0,0,(DT63-DS63)/DS63*100)</f>
        <v>0</v>
      </c>
      <c r="DV63" s="2912"/>
      <c r="DW63" s="2912"/>
      <c r="DX63" s="1071">
        <f>IF(DV63=0,0,(DW63-DV63)/DV63*100)</f>
        <v>0</v>
      </c>
      <c r="DY63" s="2912"/>
      <c r="DZ63" s="2912"/>
      <c r="EA63" s="1071">
        <f>IF(DY63=0,0,(DZ63-DY63)/DY63*100)</f>
        <v>0</v>
      </c>
      <c r="EB63" s="2912"/>
      <c r="EC63" s="2912"/>
      <c r="ED63" s="1071">
        <f>IF(EB63=0,0,(EC63-EB63)/EB63*100)</f>
        <v>0</v>
      </c>
      <c r="EE63" s="2912"/>
      <c r="EF63" s="2912"/>
      <c r="EG63" s="1071">
        <f>IF(EE63=0,0,(EF63-EE63)/EE63*100)</f>
        <v>0</v>
      </c>
      <c r="EH63" s="2912"/>
      <c r="EI63" s="2912"/>
      <c r="EJ63" s="1071">
        <f>IF(EH63=0,0,(EI63-EH63)/EH63*100)</f>
        <v>0</v>
      </c>
      <c r="EK63" s="2912"/>
      <c r="EL63" s="2912"/>
      <c r="EM63" s="1071">
        <f>IF(EK63=0,0,(EL63-EK63)/EK63*100)</f>
        <v>0</v>
      </c>
      <c r="EN63" s="2912"/>
      <c r="EO63" s="2912"/>
      <c r="EP63" s="1071">
        <f>IF(EN63=0,0,(EO63-EN63)/EN63*100)</f>
        <v>0</v>
      </c>
      <c r="EQ63" s="2912"/>
      <c r="ER63" s="2912"/>
      <c r="ES63" s="1071">
        <f>IF(EQ63=0,0,(ER63-EQ63)/EQ63*100)</f>
        <v>0</v>
      </c>
      <c r="ET63" s="2912"/>
      <c r="EU63" s="2912"/>
      <c r="EV63" s="1071">
        <f>IF(ET63=0,0,(EU63-ET63)/ET63*100)</f>
        <v>0</v>
      </c>
      <c r="EW63" s="2912"/>
      <c r="EX63" s="2912"/>
      <c r="EY63" s="1071">
        <f>IF(EW63=0,0,(EX63-EW63)/EW63*100)</f>
        <v>0</v>
      </c>
      <c r="EZ63" s="2912"/>
      <c r="FA63" s="2912"/>
      <c r="FB63" s="1071">
        <f>IF(EZ63=0,0,(FA63-EZ63)/EZ63*100)</f>
        <v>0</v>
      </c>
      <c r="FC63" s="2912"/>
      <c r="FD63" s="2912"/>
      <c r="FE63" s="1071">
        <f>IF(FC63=0,0,(FD63-FC63)/FC63*100)</f>
        <v>0</v>
      </c>
      <c r="FF63" s="2912"/>
      <c r="FG63" s="2912"/>
      <c r="FH63" s="1071">
        <f>IF(FF63=0,0,(FG63-FF63)/FF63*100)</f>
        <v>0</v>
      </c>
      <c r="FI63" s="2912"/>
      <c r="FJ63" s="2912"/>
      <c r="FK63" s="1071">
        <f>IF(FI63=0,0,(FJ63-FI63)/FI63*100)</f>
        <v>0</v>
      </c>
      <c r="FL63" s="2912"/>
      <c r="FM63" s="2912"/>
      <c r="FN63" s="1071">
        <f>IF(FL63=0,0,(FM63-FL63)/FL63*100)</f>
        <v>0</v>
      </c>
      <c r="FO63" s="2912"/>
      <c r="FP63" s="2912"/>
      <c r="FQ63" s="1071">
        <f>IF(FO63=0,0,(FP63-FO63)/FO63*100)</f>
        <v>0</v>
      </c>
      <c r="FR63" s="2912"/>
      <c r="FS63" s="2912"/>
      <c r="FT63" s="1071">
        <f>IF(FR63=0,0,(FS63-FR63)/FR63*100)</f>
        <v>0</v>
      </c>
      <c r="FU63" s="2912"/>
      <c r="FV63" s="2912"/>
      <c r="FW63" s="1071">
        <f>IF(FU63=0,0,(FV63-FU63)/FU63*100)</f>
        <v>0</v>
      </c>
      <c r="FX63" s="1282"/>
      <c r="FY63" s="1282"/>
      <c r="FZ63" s="1032" t="s">
        <v>1535</v>
      </c>
      <c r="GA63" s="1284"/>
      <c r="GB63" s="1284"/>
      <c r="GC63" s="1283"/>
      <c r="GD63" s="1283"/>
    </row>
    <row customHeight="1" ht="23.887500000000003" hidden="1">
      <c r="A64" s="466"/>
      <c r="B64" s="901" cm="1" t="str">
        <f t="array" ref="B64:B64">B63</f>
        <v>false</v>
      </c>
      <c r="C64" s="466"/>
      <c r="D64" s="466"/>
      <c r="E64" s="816">
        <v>24.5</v>
      </c>
      <c r="F64" s="50" cm="1" t="str">
        <f t="array" ref="F64:F64">OFFSET(E64,-1,1)</f>
        <v>0</v>
      </c>
      <c r="G64" s="466"/>
      <c r="H64" s="466"/>
      <c r="I64" s="466"/>
      <c r="J64" s="466"/>
      <c r="K64" s="466"/>
      <c r="L64" s="466"/>
      <c r="M64" s="466"/>
      <c r="N64" s="466"/>
      <c r="O64" s="466"/>
      <c r="P64" s="466"/>
      <c r="Q64" s="466"/>
      <c r="R64" s="466"/>
      <c r="S64" s="466"/>
      <c r="T64" s="438" cm="1" t="str">
        <f t="array" ref="T64:T64">T63</f>
        <v>false</v>
      </c>
      <c r="U64" s="466"/>
      <c r="V64" s="466"/>
      <c r="W64" s="466"/>
      <c r="X64" s="1541"/>
      <c r="Y64" s="466"/>
      <c r="Z64" s="1493"/>
      <c r="AA64" s="466"/>
      <c r="AB64" s="259" t="s">
        <v>1536</v>
      </c>
      <c r="AC64" s="879"/>
      <c r="AD64" s="1080"/>
      <c r="AE64" s="1080"/>
      <c r="AF64" s="1080"/>
      <c r="AG64" s="1080"/>
      <c r="AH64" s="1080"/>
      <c r="AI64" s="1080"/>
      <c r="AJ64" s="1080"/>
      <c r="AK64" s="1080"/>
      <c r="AL64" s="1080"/>
      <c r="AM64" s="1080"/>
      <c r="AN64" s="1080"/>
      <c r="AO64" s="1080"/>
      <c r="AP64" s="1080"/>
      <c r="AQ64" s="1080"/>
      <c r="AR64" s="1080"/>
      <c r="AS64" s="1080"/>
      <c r="AT64" s="1080"/>
      <c r="AU64" s="1080"/>
      <c r="AV64" s="1080"/>
      <c r="AW64" s="1080"/>
      <c r="AX64" s="1080"/>
      <c r="AY64" s="1080"/>
      <c r="AZ64" s="1080"/>
      <c r="BA64" s="1080"/>
      <c r="BB64" s="1080"/>
      <c r="BC64" s="1080"/>
      <c r="BD64" s="1080"/>
      <c r="BE64" s="1080"/>
      <c r="BF64" s="1080"/>
      <c r="BG64" s="1080"/>
      <c r="BH64" s="1080"/>
      <c r="BI64" s="1080"/>
      <c r="BJ64" s="1080"/>
      <c r="BK64" s="1080"/>
      <c r="BL64" s="1080"/>
      <c r="BM64" s="1080"/>
      <c r="BN64" s="1080"/>
      <c r="BO64" s="1080"/>
      <c r="BP64" s="1080"/>
      <c r="BQ64" s="1080"/>
      <c r="BR64" s="1080"/>
      <c r="BS64" s="1080"/>
      <c r="BT64" s="1080"/>
      <c r="BU64" s="1080"/>
      <c r="BV64" s="1080"/>
      <c r="BW64" s="1080"/>
      <c r="BX64" s="1080"/>
      <c r="BY64" s="1080"/>
      <c r="BZ64" s="1080"/>
      <c r="CA64" s="1080"/>
      <c r="CB64" s="1080"/>
      <c r="CC64" s="1080"/>
      <c r="CD64" s="1080"/>
      <c r="CE64" s="1080"/>
      <c r="CF64" s="1080"/>
      <c r="CG64" s="1080"/>
      <c r="CH64" s="1080"/>
      <c r="CI64" s="1080"/>
      <c r="CJ64" s="1080"/>
      <c r="CK64" s="1080"/>
      <c r="CL64" s="1080"/>
      <c r="CM64" s="1080"/>
      <c r="CN64" s="1080"/>
      <c r="CO64" s="1080"/>
      <c r="CP64" s="1080"/>
      <c r="CQ64" s="1080"/>
      <c r="CR64" s="1080"/>
      <c r="CS64" s="1080"/>
      <c r="CT64" s="1080"/>
      <c r="CU64" s="1080"/>
      <c r="CV64" s="1080"/>
      <c r="CW64" s="1080"/>
      <c r="CX64" s="1080"/>
      <c r="CY64" s="1080"/>
      <c r="CZ64" s="1080"/>
      <c r="DA64" s="1080"/>
      <c r="DB64" s="1080"/>
      <c r="DC64" s="1080"/>
      <c r="DD64" s="1080"/>
      <c r="DE64" s="1080"/>
      <c r="DF64" s="1080"/>
      <c r="DG64" s="1080"/>
      <c r="DH64" s="1080"/>
      <c r="DI64" s="1080"/>
      <c r="DJ64" s="1080"/>
      <c r="DK64" s="1080"/>
      <c r="DL64" s="1080"/>
      <c r="DM64" s="1080"/>
      <c r="DN64" s="1080"/>
      <c r="DO64" s="1080"/>
      <c r="DP64" s="1080"/>
      <c r="DQ64" s="1080"/>
      <c r="DR64" s="1080"/>
      <c r="DS64" s="1080"/>
      <c r="DT64" s="1080"/>
      <c r="DU64" s="1080"/>
      <c r="DV64" s="1080"/>
      <c r="DW64" s="1080"/>
      <c r="DX64" s="1080"/>
      <c r="DY64" s="1080"/>
      <c r="DZ64" s="1080"/>
      <c r="EA64" s="1080"/>
      <c r="EB64" s="1080"/>
      <c r="EC64" s="1080"/>
      <c r="ED64" s="1080"/>
      <c r="EE64" s="1080"/>
      <c r="EF64" s="1080"/>
      <c r="EG64" s="1080"/>
      <c r="EH64" s="1080"/>
      <c r="EI64" s="1080"/>
      <c r="EJ64" s="1080"/>
      <c r="EK64" s="1080"/>
      <c r="EL64" s="1080"/>
      <c r="EM64" s="1080"/>
      <c r="EN64" s="1080"/>
      <c r="EO64" s="1080"/>
      <c r="EP64" s="1080"/>
      <c r="EQ64" s="1080"/>
      <c r="ER64" s="1080"/>
      <c r="ES64" s="1080"/>
      <c r="ET64" s="1080"/>
      <c r="EU64" s="1080"/>
      <c r="EV64" s="1080"/>
      <c r="EW64" s="1080"/>
      <c r="EX64" s="1080"/>
      <c r="EY64" s="1080"/>
      <c r="EZ64" s="1080"/>
      <c r="FA64" s="1080"/>
      <c r="FB64" s="1080"/>
      <c r="FC64" s="1080"/>
      <c r="FD64" s="1080"/>
      <c r="FE64" s="1080"/>
      <c r="FF64" s="1080"/>
      <c r="FG64" s="1080"/>
      <c r="FH64" s="1080"/>
      <c r="FI64" s="1080"/>
      <c r="FJ64" s="1080"/>
      <c r="FK64" s="1080"/>
      <c r="FL64" s="1080"/>
      <c r="FM64" s="1080"/>
      <c r="FN64" s="1080"/>
      <c r="FO64" s="1080"/>
      <c r="FP64" s="1080"/>
      <c r="FQ64" s="1080"/>
      <c r="FR64" s="1080"/>
      <c r="FS64" s="1080"/>
      <c r="FT64" s="1080"/>
      <c r="FU64" s="1080"/>
      <c r="FV64" s="1080"/>
      <c r="FW64" s="1081"/>
      <c r="FX64" s="1282"/>
      <c r="FY64" s="1282"/>
      <c r="FZ64" s="1032"/>
      <c r="GA64" s="1284"/>
      <c r="GB64" s="1284"/>
      <c r="GC64" s="1283"/>
      <c r="GD64" s="1283"/>
    </row>
    <row customHeight="1" ht="14.625" hidden="1">
      <c r="A65" s="466"/>
      <c r="B65" s="901" cm="1" t="str">
        <f t="array" ref="B65:B65">B64</f>
        <v>false</v>
      </c>
      <c r="C65" s="466"/>
      <c r="D65" s="466"/>
      <c r="E65" s="816">
        <v>15</v>
      </c>
      <c r="F65" s="50" cm="1" t="str">
        <f t="array" ref="F65:F65">OFFSET(E65,-1,1)</f>
        <v>0</v>
      </c>
      <c r="G65" s="466"/>
      <c r="H65" s="466" t="s">
        <v>1434</v>
      </c>
      <c r="I65" s="466" t="s">
        <v>1493</v>
      </c>
      <c r="J65" s="466"/>
      <c r="K65" s="466"/>
      <c r="L65" s="466"/>
      <c r="M65" s="466"/>
      <c r="N65" s="466"/>
      <c r="O65" s="466"/>
      <c r="P65" s="466"/>
      <c r="Q65" s="466"/>
      <c r="R65" s="466"/>
      <c r="S65" s="466"/>
      <c r="T65" s="438" cm="1" t="str">
        <f t="array" ref="T65:T65">T64</f>
        <v>false</v>
      </c>
      <c r="U65" s="466"/>
      <c r="V65" s="466"/>
      <c r="W65" s="466"/>
      <c r="X65" s="1541"/>
      <c r="Y65" s="466"/>
      <c r="Z65" s="1493"/>
      <c r="AA65" s="466"/>
      <c r="AB65" s="1069" t="s">
        <v>1509</v>
      </c>
      <c r="AC65" s="840" t="s">
        <v>1476</v>
      </c>
      <c r="AD65" s="2912">
        <f>IF(AD67=0,0,(AD66*AD67+AD68*AD69*IF(god=2026,3,6))/AD67)</f>
        <v>0</v>
      </c>
      <c r="AE65" s="2912">
        <f>IF(AE67=0,0,(AE66*AE67+AE68*AE69*IF(god=2026,3,6))/AE67)</f>
        <v>0</v>
      </c>
      <c r="AF65" s="1071">
        <f>IF(AD65=0,0,(AE65-AD65)/AD65*100)</f>
        <v>0</v>
      </c>
      <c r="AG65" s="2912">
        <f>IF(AG67=0,0,(AG66*AG67+AG68*AG69*IF(god=2025,3,6))/AG67)</f>
        <v>0</v>
      </c>
      <c r="AH65" s="2912">
        <f>IF(AH67=0,0,(AH66*AH67+AH68*AH69*IF(god=2025,3,6))/AH67)</f>
        <v>0</v>
      </c>
      <c r="AI65" s="1071">
        <f>IF(AG65=0,0,(AH65-AG65)/AG65*100)</f>
        <v>0</v>
      </c>
      <c r="AJ65" s="2912">
        <f>IF(AJ67=0,0,(AJ66*AJ67+AJ68*AJ69*6)/AJ67)</f>
        <v>0</v>
      </c>
      <c r="AK65" s="2912">
        <f>IF(AK67=0,0,(AK66*AK67+AK68*AK69*6)/AK67)</f>
        <v>0</v>
      </c>
      <c r="AL65" s="1071">
        <f>IF(AJ65=0,0,(AK65-AJ65)/AJ65*100)</f>
        <v>0</v>
      </c>
      <c r="AM65" s="2912">
        <f>IF(AM67=0,0,(AM66*AM67+AM68*AM69*6)/AM67)</f>
        <v>0</v>
      </c>
      <c r="AN65" s="2912">
        <f>IF(AN67=0,0,(AN66*AN67+AN68*AN69*6)/AN67)</f>
        <v>0</v>
      </c>
      <c r="AO65" s="1071">
        <f>IF(AM65=0,0,(AN65-AM65)/AM65*100)</f>
        <v>0</v>
      </c>
      <c r="AP65" s="2912">
        <f>IF(AP67=0,0,(AP66*AP67+AP68*AP69*6)/AP67)</f>
        <v>0</v>
      </c>
      <c r="AQ65" s="2912">
        <f>IF(AQ67=0,0,(AQ66*AQ67+AQ68*AQ69*6)/AQ67)</f>
        <v>0</v>
      </c>
      <c r="AR65" s="1071">
        <f>IF(AP65=0,0,(AQ65-AP65)/AP65*100)</f>
        <v>0</v>
      </c>
      <c r="AS65" s="2912">
        <f>IF(AS67=0,0,(AS66*AS67+AS68*AS69*6)/AS67)</f>
        <v>0</v>
      </c>
      <c r="AT65" s="2912">
        <f>IF(AT67=0,0,(AT66*AT67+AT68*AT69*6)/AT67)</f>
        <v>0</v>
      </c>
      <c r="AU65" s="1071">
        <f>IF(AS65=0,0,(AT65-AS65)/AS65*100)</f>
        <v>0</v>
      </c>
      <c r="AV65" s="2912">
        <f>IF(AV67=0,0,(AV66*AV67+AV68*AV69*6)/AV67)</f>
        <v>0</v>
      </c>
      <c r="AW65" s="2912">
        <f>IF(AW67=0,0,(AW66*AW67+AW68*AW69*6)/AW67)</f>
        <v>0</v>
      </c>
      <c r="AX65" s="1071">
        <f>IF(AV65=0,0,(AW65-AV65)/AV65*100)</f>
        <v>0</v>
      </c>
      <c r="AY65" s="2912">
        <f>IF(AY67=0,0,(AY66*AY67+AY68*AY69*6)/AY67)</f>
        <v>0</v>
      </c>
      <c r="AZ65" s="2912">
        <f>IF(AZ67=0,0,(AZ66*AZ67+AZ68*AZ69*6)/AZ67)</f>
        <v>0</v>
      </c>
      <c r="BA65" s="1071">
        <f>IF(AY65=0,0,(AZ65-AY65)/AY65*100)</f>
        <v>0</v>
      </c>
      <c r="BB65" s="2912">
        <f>IF(BB67=0,0,(BB66*BB67+BB68*BB69*6)/BB67)</f>
        <v>0</v>
      </c>
      <c r="BC65" s="2912">
        <f>IF(BC67=0,0,(BC66*BC67+BC68*BC69*6)/BC67)</f>
        <v>0</v>
      </c>
      <c r="BD65" s="1071">
        <f>IF(BB65=0,0,(BC65-BB65)/BB65*100)</f>
        <v>0</v>
      </c>
      <c r="BE65" s="2912">
        <f>IF(BE67=0,0,(BE66*BE67+BE68*BE69*6)/BE67)</f>
        <v>0</v>
      </c>
      <c r="BF65" s="2912">
        <f>IF(BF67=0,0,(BF66*BF67+BF68*BF69*6)/BF67)</f>
        <v>0</v>
      </c>
      <c r="BG65" s="1071">
        <f>IF(BE65=0,0,(BF65-BE65)/BE65*100)</f>
        <v>0</v>
      </c>
      <c r="BH65" s="2912">
        <f>IF(BH67=0,0,(BH66*BH67+BH68*BH69*6)/BH67)</f>
        <v>0</v>
      </c>
      <c r="BI65" s="2912">
        <f>IF(BI67=0,0,(BI66*BI67+BI68*BI69*6)/BI67)</f>
        <v>0</v>
      </c>
      <c r="BJ65" s="1071">
        <f>IF(BH65=0,0,(BI65-BH65)/BH65*100)</f>
        <v>0</v>
      </c>
      <c r="BK65" s="2912">
        <f>IF(BK67=0,0,(BK66*BK67+BK68*BK69*6)/BK67)</f>
        <v>0</v>
      </c>
      <c r="BL65" s="2912">
        <f>IF(BL67=0,0,(BL66*BL67+BL68*BL69*6)/BL67)</f>
        <v>0</v>
      </c>
      <c r="BM65" s="1071">
        <f>IF(BK65=0,0,(BL65-BK65)/BK65*100)</f>
        <v>0</v>
      </c>
      <c r="BN65" s="2912">
        <f>IF(BN67=0,0,(BN66*BN67+BN68*BN69*6)/BN67)</f>
        <v>0</v>
      </c>
      <c r="BO65" s="2912">
        <f>IF(BO67=0,0,(BO66*BO67+BO68*BO69*6)/BO67)</f>
        <v>0</v>
      </c>
      <c r="BP65" s="1071">
        <f>IF(BN65=0,0,(BO65-BN65)/BN65*100)</f>
        <v>0</v>
      </c>
      <c r="BQ65" s="2912">
        <f>IF(BQ67=0,0,(BQ66*BQ67+BQ68*BQ69*6)/BQ67)</f>
        <v>0</v>
      </c>
      <c r="BR65" s="2912">
        <f>IF(BR67=0,0,(BR66*BR67+BR68*BR69*6)/BR67)</f>
        <v>0</v>
      </c>
      <c r="BS65" s="1071">
        <f>IF(BQ65=0,0,(BR65-BQ65)/BQ65*100)</f>
        <v>0</v>
      </c>
      <c r="BT65" s="2912">
        <f>IF(BT67=0,0,(BT66*BT67+BT68*BT69*6)/BT67)</f>
        <v>0</v>
      </c>
      <c r="BU65" s="2912">
        <f>IF(BU67=0,0,(BU66*BU67+BU68*BU69*6)/BU67)</f>
        <v>0</v>
      </c>
      <c r="BV65" s="1071">
        <f>IF(BT65=0,0,(BU65-BT65)/BT65*100)</f>
        <v>0</v>
      </c>
      <c r="BW65" s="2912">
        <f>IF(BW67=0,0,(BW66*BW67+BW68*BW69*6)/BW67)</f>
        <v>0</v>
      </c>
      <c r="BX65" s="2912">
        <f>IF(BX67=0,0,(BX66*BX67+BX68*BX69*6)/BX67)</f>
        <v>0</v>
      </c>
      <c r="BY65" s="1071">
        <f>IF(BW65=0,0,(BX65-BW65)/BW65*100)</f>
        <v>0</v>
      </c>
      <c r="BZ65" s="2912">
        <f>IF(BZ67=0,0,(BZ66*BZ67+BZ68*BZ69*6)/BZ67)</f>
        <v>0</v>
      </c>
      <c r="CA65" s="2912">
        <f>IF(CA67=0,0,(CA66*CA67+CA68*CA69*6)/CA67)</f>
        <v>0</v>
      </c>
      <c r="CB65" s="1071">
        <f>IF(BZ65=0,0,(CA65-BZ65)/BZ65*100)</f>
        <v>0</v>
      </c>
      <c r="CC65" s="2912">
        <f>IF(CC67=0,0,(CC66*CC67+CC68*CC69*6)/CC67)</f>
        <v>0</v>
      </c>
      <c r="CD65" s="2912">
        <f>IF(CD67=0,0,(CD66*CD67+CD68*CD69*6)/CD67)</f>
        <v>0</v>
      </c>
      <c r="CE65" s="1071">
        <f>IF(CC65=0,0,(CD65-CC65)/CC65*100)</f>
        <v>0</v>
      </c>
      <c r="CF65" s="2912">
        <f>IF(CF67=0,0,(CF66*CF67+CF68*CF69*6)/CF67)</f>
        <v>0</v>
      </c>
      <c r="CG65" s="2912">
        <f>IF(CG67=0,0,(CG66*CG67+CG68*CG69*6)/CG67)</f>
        <v>0</v>
      </c>
      <c r="CH65" s="1071">
        <f>IF(CF65=0,0,(CG65-CF65)/CF65*100)</f>
        <v>0</v>
      </c>
      <c r="CI65" s="2912">
        <f>IF(CI67=0,0,(CI66*CI67+CI68*CI69*6)/CI67)</f>
        <v>0</v>
      </c>
      <c r="CJ65" s="2912">
        <f>IF(CJ67=0,0,(CJ66*CJ67+CJ68*CJ69*6)/CJ67)</f>
        <v>0</v>
      </c>
      <c r="CK65" s="1071">
        <f>IF(CI65=0,0,(CJ65-CI65)/CI65*100)</f>
        <v>0</v>
      </c>
      <c r="CL65" s="2912">
        <f>IF(CL67=0,0,(CL66*CL67+CL68*CL69*6)/CL67)</f>
        <v>0</v>
      </c>
      <c r="CM65" s="2912">
        <f>IF(CM67=0,0,(CM66*CM67+CM68*CM69*6)/CM67)</f>
        <v>0</v>
      </c>
      <c r="CN65" s="1071">
        <f>IF(CL65=0,0,(CM65-CL65)/CL65*100)</f>
        <v>0</v>
      </c>
      <c r="CO65" s="2912">
        <f>IF(CO67=0,0,(CO66*CO67+CO68*CO69*6)/CO67)</f>
        <v>0</v>
      </c>
      <c r="CP65" s="2912">
        <f>IF(CP67=0,0,(CP66*CP67+CP68*CP69*6)/CP67)</f>
        <v>0</v>
      </c>
      <c r="CQ65" s="1071">
        <f>IF(CO65=0,0,(CP65-CO65)/CO65*100)</f>
        <v>0</v>
      </c>
      <c r="CR65" s="2912">
        <f>IF(CR67=0,0,(CR66*CR67+CR68*CR69*6)/CR67)</f>
        <v>0</v>
      </c>
      <c r="CS65" s="2912">
        <f>IF(CS67=0,0,(CS66*CS67+CS68*CS69*6)/CS67)</f>
        <v>0</v>
      </c>
      <c r="CT65" s="1071">
        <f>IF(CR65=0,0,(CS65-CR65)/CR65*100)</f>
        <v>0</v>
      </c>
      <c r="CU65" s="2912">
        <f>IF(CU67=0,0,(CU66*CU67+CU68*CU69*6)/CU67)</f>
        <v>0</v>
      </c>
      <c r="CV65" s="2912">
        <f>IF(CV67=0,0,(CV66*CV67+CV68*CV69*6)/CV67)</f>
        <v>0</v>
      </c>
      <c r="CW65" s="1071">
        <f>IF(CU65=0,0,(CV65-CU65)/CU65*100)</f>
        <v>0</v>
      </c>
      <c r="CX65" s="2912">
        <f>IF(CX67=0,0,(CX66*CX67+CX68*CX69*6)/CX67)</f>
        <v>0</v>
      </c>
      <c r="CY65" s="2912">
        <f>IF(CY67=0,0,(CY66*CY67+CY68*CY69*6)/CY67)</f>
        <v>0</v>
      </c>
      <c r="CZ65" s="1071">
        <f>IF(CX65=0,0,(CY65-CX65)/CX65*100)</f>
        <v>0</v>
      </c>
      <c r="DA65" s="2912">
        <f>IF(DA67=0,0,(DA66*DA67+DA68*DA69*6)/DA67)</f>
        <v>0</v>
      </c>
      <c r="DB65" s="2912">
        <f>IF(DB67=0,0,(DB66*DB67+DB68*DB69*6)/DB67)</f>
        <v>0</v>
      </c>
      <c r="DC65" s="1071">
        <f>IF(DA65=0,0,(DB65-DA65)/DA65*100)</f>
        <v>0</v>
      </c>
      <c r="DD65" s="2912">
        <f>IF(DD67=0,0,(DD66*DD67+DD68*DD69*6)/DD67)</f>
        <v>0</v>
      </c>
      <c r="DE65" s="2912">
        <f>IF(DE67=0,0,(DE66*DE67+DE68*DE69*6)/DE67)</f>
        <v>0</v>
      </c>
      <c r="DF65" s="1071">
        <f>IF(DD65=0,0,(DE65-DD65)/DD65*100)</f>
        <v>0</v>
      </c>
      <c r="DG65" s="2912">
        <f>IF(DG67=0,0,(DG66*DG67+DG68*DG69*6)/DG67)</f>
        <v>0</v>
      </c>
      <c r="DH65" s="2912">
        <f>IF(DH67=0,0,(DH66*DH67+DH68*DH69*6)/DH67)</f>
        <v>0</v>
      </c>
      <c r="DI65" s="1071">
        <f>IF(DG65=0,0,(DH65-DG65)/DG65*100)</f>
        <v>0</v>
      </c>
      <c r="DJ65" s="2912">
        <f>IF(DJ67=0,0,(DJ66*DJ67+DJ68*DJ69*6)/DJ67)</f>
        <v>0</v>
      </c>
      <c r="DK65" s="2912">
        <f>IF(DK67=0,0,(DK66*DK67+DK68*DK69*6)/DK67)</f>
        <v>0</v>
      </c>
      <c r="DL65" s="1071">
        <f>IF(DJ65=0,0,(DK65-DJ65)/DJ65*100)</f>
        <v>0</v>
      </c>
      <c r="DM65" s="2912">
        <f>IF(DM67=0,0,(DM66*DM67+DM68*DM69*6)/DM67)</f>
        <v>0</v>
      </c>
      <c r="DN65" s="2912">
        <f>IF(DN67=0,0,(DN66*DN67+DN68*DN69*6)/DN67)</f>
        <v>0</v>
      </c>
      <c r="DO65" s="1071">
        <f>IF(DM65=0,0,(DN65-DM65)/DM65*100)</f>
        <v>0</v>
      </c>
      <c r="DP65" s="2912">
        <f>IF(DP67=0,0,(DP66*DP67+DP68*DP69*6)/DP67)</f>
        <v>0</v>
      </c>
      <c r="DQ65" s="2912">
        <f>IF(DQ67=0,0,(DQ66*DQ67+DQ68*DQ69*6)/DQ67)</f>
        <v>0</v>
      </c>
      <c r="DR65" s="1071">
        <f>IF(DP65=0,0,(DQ65-DP65)/DP65*100)</f>
        <v>0</v>
      </c>
      <c r="DS65" s="2912">
        <f>IF(DS67=0,0,(DS66*DS67+DS68*DS69*6)/DS67)</f>
        <v>0</v>
      </c>
      <c r="DT65" s="2912">
        <f>IF(DT67=0,0,(DT66*DT67+DT68*DT69*6)/DT67)</f>
        <v>0</v>
      </c>
      <c r="DU65" s="1071">
        <f>IF(DS65=0,0,(DT65-DS65)/DS65*100)</f>
        <v>0</v>
      </c>
      <c r="DV65" s="2912">
        <f>IF(DV67=0,0,(DV66*DV67+DV68*DV69*6)/DV67)</f>
        <v>0</v>
      </c>
      <c r="DW65" s="2912">
        <f>IF(DW67=0,0,(DW66*DW67+DW68*DW69*6)/DW67)</f>
        <v>0</v>
      </c>
      <c r="DX65" s="1071">
        <f>IF(DV65=0,0,(DW65-DV65)/DV65*100)</f>
        <v>0</v>
      </c>
      <c r="DY65" s="2912">
        <f>IF(DY67=0,0,(DY66*DY67+DY68*DY69*6)/DY67)</f>
        <v>0</v>
      </c>
      <c r="DZ65" s="2912">
        <f>IF(DZ67=0,0,(DZ66*DZ67+DZ68*DZ69*6)/DZ67)</f>
        <v>0</v>
      </c>
      <c r="EA65" s="1071">
        <f>IF(DY65=0,0,(DZ65-DY65)/DY65*100)</f>
        <v>0</v>
      </c>
      <c r="EB65" s="2912">
        <f>IF(EB67=0,0,(EB66*EB67+EB68*EB69*6)/EB67)</f>
        <v>0</v>
      </c>
      <c r="EC65" s="2912">
        <f>IF(EC67=0,0,(EC66*EC67+EC68*EC69*6)/EC67)</f>
        <v>0</v>
      </c>
      <c r="ED65" s="1071">
        <f>IF(EB65=0,0,(EC65-EB65)/EB65*100)</f>
        <v>0</v>
      </c>
      <c r="EE65" s="2912">
        <f>IF(EE67=0,0,(EE66*EE67+EE68*EE69*6)/EE67)</f>
        <v>0</v>
      </c>
      <c r="EF65" s="2912">
        <f>IF(EF67=0,0,(EF66*EF67+EF68*EF69*6)/EF67)</f>
        <v>0</v>
      </c>
      <c r="EG65" s="1071">
        <f>IF(EE65=0,0,(EF65-EE65)/EE65*100)</f>
        <v>0</v>
      </c>
      <c r="EH65" s="2912">
        <f>IF(EH67=0,0,(EH66*EH67+EH68*EH69*6)/EH67)</f>
        <v>0</v>
      </c>
      <c r="EI65" s="2912">
        <f>IF(EI67=0,0,(EI66*EI67+EI68*EI69*6)/EI67)</f>
        <v>0</v>
      </c>
      <c r="EJ65" s="1071">
        <f>IF(EH65=0,0,(EI65-EH65)/EH65*100)</f>
        <v>0</v>
      </c>
      <c r="EK65" s="2912">
        <f>IF(EK67=0,0,(EK66*EK67+EK68*EK69*6)/EK67)</f>
        <v>0</v>
      </c>
      <c r="EL65" s="2912">
        <f>IF(EL67=0,0,(EL66*EL67+EL68*EL69*6)/EL67)</f>
        <v>0</v>
      </c>
      <c r="EM65" s="1071">
        <f>IF(EK65=0,0,(EL65-EK65)/EK65*100)</f>
        <v>0</v>
      </c>
      <c r="EN65" s="2912">
        <f>IF(EN67=0,0,(EN66*EN67+EN68*EN69*6)/EN67)</f>
        <v>0</v>
      </c>
      <c r="EO65" s="2912">
        <f>IF(EO67=0,0,(EO66*EO67+EO68*EO69*6)/EO67)</f>
        <v>0</v>
      </c>
      <c r="EP65" s="1071">
        <f>IF(EN65=0,0,(EO65-EN65)/EN65*100)</f>
        <v>0</v>
      </c>
      <c r="EQ65" s="2912">
        <f>IF(EQ67=0,0,(EQ66*EQ67+EQ68*EQ69*6)/EQ67)</f>
        <v>0</v>
      </c>
      <c r="ER65" s="2912">
        <f>IF(ER67=0,0,(ER66*ER67+ER68*ER69*6)/ER67)</f>
        <v>0</v>
      </c>
      <c r="ES65" s="1071">
        <f>IF(EQ65=0,0,(ER65-EQ65)/EQ65*100)</f>
        <v>0</v>
      </c>
      <c r="ET65" s="2912">
        <f>IF(ET67=0,0,(ET66*ET67+ET68*ET69*6)/ET67)</f>
        <v>0</v>
      </c>
      <c r="EU65" s="2912">
        <f>IF(EU67=0,0,(EU66*EU67+EU68*EU69*6)/EU67)</f>
        <v>0</v>
      </c>
      <c r="EV65" s="1071">
        <f>IF(ET65=0,0,(EU65-ET65)/ET65*100)</f>
        <v>0</v>
      </c>
      <c r="EW65" s="2912">
        <f>IF(EW67=0,0,(EW66*EW67+EW68*EW69*6)/EW67)</f>
        <v>0</v>
      </c>
      <c r="EX65" s="2912">
        <f>IF(EX67=0,0,(EX66*EX67+EX68*EX69*6)/EX67)</f>
        <v>0</v>
      </c>
      <c r="EY65" s="1071">
        <f>IF(EW65=0,0,(EX65-EW65)/EW65*100)</f>
        <v>0</v>
      </c>
      <c r="EZ65" s="2912">
        <f>IF(EZ67=0,0,(EZ66*EZ67+EZ68*EZ69*6)/EZ67)</f>
        <v>0</v>
      </c>
      <c r="FA65" s="2912">
        <f>IF(FA67=0,0,(FA66*FA67+FA68*FA69*6)/FA67)</f>
        <v>0</v>
      </c>
      <c r="FB65" s="1071">
        <f>IF(EZ65=0,0,(FA65-EZ65)/EZ65*100)</f>
        <v>0</v>
      </c>
      <c r="FC65" s="2912">
        <f>IF(FC67=0,0,(FC66*FC67+FC68*FC69*6)/FC67)</f>
        <v>0</v>
      </c>
      <c r="FD65" s="2912">
        <f>IF(FD67=0,0,(FD66*FD67+FD68*FD69*6)/FD67)</f>
        <v>0</v>
      </c>
      <c r="FE65" s="1071">
        <f>IF(FC65=0,0,(FD65-FC65)/FC65*100)</f>
        <v>0</v>
      </c>
      <c r="FF65" s="2912">
        <f>IF(FF67=0,0,(FF66*FF67+FF68*FF69*6)/FF67)</f>
        <v>0</v>
      </c>
      <c r="FG65" s="2912">
        <f>IF(FG67=0,0,(FG66*FG67+FG68*FG69*6)/FG67)</f>
        <v>0</v>
      </c>
      <c r="FH65" s="1071">
        <f>IF(FF65=0,0,(FG65-FF65)/FF65*100)</f>
        <v>0</v>
      </c>
      <c r="FI65" s="2912">
        <f>IF(FI67=0,0,(FI66*FI67+FI68*FI69*6)/FI67)</f>
        <v>0</v>
      </c>
      <c r="FJ65" s="2912">
        <f>IF(FJ67=0,0,(FJ66*FJ67+FJ68*FJ69*6)/FJ67)</f>
        <v>0</v>
      </c>
      <c r="FK65" s="1071">
        <f>IF(FI65=0,0,(FJ65-FI65)/FI65*100)</f>
        <v>0</v>
      </c>
      <c r="FL65" s="2912">
        <f>IF(FL67=0,0,(FL66*FL67+FL68*FL69*6)/FL67)</f>
        <v>0</v>
      </c>
      <c r="FM65" s="2912">
        <f>IF(FM67=0,0,(FM66*FM67+FM68*FM69*6)/FM67)</f>
        <v>0</v>
      </c>
      <c r="FN65" s="1071">
        <f>IF(FL65=0,0,(FM65-FL65)/FL65*100)</f>
        <v>0</v>
      </c>
      <c r="FO65" s="2912">
        <f>IF(FO67=0,0,(FO66*FO67+FO68*FO69*6)/FO67)</f>
        <v>0</v>
      </c>
      <c r="FP65" s="2912">
        <f>IF(FP67=0,0,(FP66*FP67+FP68*FP69*6)/FP67)</f>
        <v>0</v>
      </c>
      <c r="FQ65" s="1071">
        <f>IF(FO65=0,0,(FP65-FO65)/FO65*100)</f>
        <v>0</v>
      </c>
      <c r="FR65" s="2912">
        <f>IF(FR67=0,0,(FR66*FR67+FR68*FR69*6)/FR67)</f>
        <v>0</v>
      </c>
      <c r="FS65" s="2912">
        <f>IF(FS67=0,0,(FS66*FS67+FS68*FS69*6)/FS67)</f>
        <v>0</v>
      </c>
      <c r="FT65" s="1071">
        <f>IF(FR65=0,0,(FS65-FR65)/FR65*100)</f>
        <v>0</v>
      </c>
      <c r="FU65" s="2912">
        <f>IF(FU67=0,0,(FU66*FU67+FU68*FU69*6)/FU67)</f>
        <v>0</v>
      </c>
      <c r="FV65" s="2912">
        <f>IF(FV67=0,0,(FV66*FV67+FV68*FV69*6)/FV67)</f>
        <v>0</v>
      </c>
      <c r="FW65" s="1071">
        <f>IF(FU65=0,0,(FV65-FU65)/FU65*100)</f>
        <v>0</v>
      </c>
      <c r="FX65" s="1282"/>
      <c r="FY65" s="1282"/>
      <c r="FZ65" s="1032" t="s">
        <v>1537</v>
      </c>
      <c r="GA65" s="1284"/>
      <c r="GB65" s="1284"/>
      <c r="GC65" s="1283"/>
      <c r="GD65" s="1283"/>
    </row>
    <row customHeight="1" ht="14.625" hidden="1">
      <c r="A66" s="466"/>
      <c r="B66" s="901" cm="1" t="str">
        <f t="array" ref="B66:B66">B65</f>
        <v>false</v>
      </c>
      <c r="C66" s="466"/>
      <c r="D66" s="466"/>
      <c r="E66" s="816">
        <v>15</v>
      </c>
      <c r="F66" s="50" cm="1" t="str">
        <f t="array" ref="F66:F66">OFFSET(E66,-1,1)</f>
        <v>0</v>
      </c>
      <c r="G66" s="466"/>
      <c r="H66" s="466" t="s">
        <v>1438</v>
      </c>
      <c r="I66" s="466" t="s">
        <v>1493</v>
      </c>
      <c r="J66" s="466"/>
      <c r="K66" s="466"/>
      <c r="L66" s="466"/>
      <c r="M66" s="466"/>
      <c r="N66" s="466"/>
      <c r="O66" s="466"/>
      <c r="P66" s="466"/>
      <c r="Q66" s="466"/>
      <c r="R66" s="466"/>
      <c r="S66" s="466"/>
      <c r="T66" s="438" cm="1" t="str">
        <f t="array" ref="T66:T66">T65</f>
        <v>false</v>
      </c>
      <c r="U66" s="466"/>
      <c r="V66" s="466"/>
      <c r="W66" s="466"/>
      <c r="X66" s="1541"/>
      <c r="Y66" s="466"/>
      <c r="Z66" s="1493"/>
      <c r="AA66" s="466"/>
      <c r="AB66" s="880" t="str">
        <f>"ставка платы за "&amp;IF(Q29="Водоснабжение","потребление 1 куб.м холодной воды","объем принятых сточных вод")</f>
        <v>ставка платы за объем принятых сточных вод</v>
      </c>
      <c r="AC66" s="840" t="s">
        <v>1476</v>
      </c>
      <c r="AD66" s="2912"/>
      <c r="AE66" s="2912"/>
      <c r="AF66" s="1071">
        <f>IF(AD66=0,0,(AE66-AD66)/AD66*100)</f>
        <v>0</v>
      </c>
      <c r="AG66" s="2912"/>
      <c r="AH66" s="2912"/>
      <c r="AI66" s="1071">
        <f>IF(AG66=0,0,(AH66-AG66)/AG66*100)</f>
        <v>0</v>
      </c>
      <c r="AJ66" s="2912"/>
      <c r="AK66" s="2912"/>
      <c r="AL66" s="1071">
        <f>IF(AJ66=0,0,(AK66-AJ66)/AJ66*100)</f>
        <v>0</v>
      </c>
      <c r="AM66" s="2912"/>
      <c r="AN66" s="2912"/>
      <c r="AO66" s="1071">
        <f>IF(AM66=0,0,(AN66-AM66)/AM66*100)</f>
        <v>0</v>
      </c>
      <c r="AP66" s="2912"/>
      <c r="AQ66" s="2912"/>
      <c r="AR66" s="1071">
        <f>IF(AP66=0,0,(AQ66-AP66)/AP66*100)</f>
        <v>0</v>
      </c>
      <c r="AS66" s="2912"/>
      <c r="AT66" s="2912"/>
      <c r="AU66" s="1071">
        <f>IF(AS66=0,0,(AT66-AS66)/AS66*100)</f>
        <v>0</v>
      </c>
      <c r="AV66" s="2912"/>
      <c r="AW66" s="2912"/>
      <c r="AX66" s="1071">
        <f>IF(AV66=0,0,(AW66-AV66)/AV66*100)</f>
        <v>0</v>
      </c>
      <c r="AY66" s="2912"/>
      <c r="AZ66" s="2912"/>
      <c r="BA66" s="1071">
        <f>IF(AY66=0,0,(AZ66-AY66)/AY66*100)</f>
        <v>0</v>
      </c>
      <c r="BB66" s="2912"/>
      <c r="BC66" s="2912"/>
      <c r="BD66" s="1071">
        <f>IF(BB66=0,0,(BC66-BB66)/BB66*100)</f>
        <v>0</v>
      </c>
      <c r="BE66" s="2912"/>
      <c r="BF66" s="2912"/>
      <c r="BG66" s="1071">
        <f>IF(BE66=0,0,(BF66-BE66)/BE66*100)</f>
        <v>0</v>
      </c>
      <c r="BH66" s="2912"/>
      <c r="BI66" s="2912"/>
      <c r="BJ66" s="1071">
        <f>IF(BH66=0,0,(BI66-BH66)/BH66*100)</f>
        <v>0</v>
      </c>
      <c r="BK66" s="2912"/>
      <c r="BL66" s="2912"/>
      <c r="BM66" s="1071">
        <f>IF(BK66=0,0,(BL66-BK66)/BK66*100)</f>
        <v>0</v>
      </c>
      <c r="BN66" s="2912"/>
      <c r="BO66" s="2912"/>
      <c r="BP66" s="1071">
        <f>IF(BN66=0,0,(BO66-BN66)/BN66*100)</f>
        <v>0</v>
      </c>
      <c r="BQ66" s="2912"/>
      <c r="BR66" s="2912"/>
      <c r="BS66" s="1071">
        <f>IF(BQ66=0,0,(BR66-BQ66)/BQ66*100)</f>
        <v>0</v>
      </c>
      <c r="BT66" s="2912"/>
      <c r="BU66" s="2912"/>
      <c r="BV66" s="1071">
        <f>IF(BT66=0,0,(BU66-BT66)/BT66*100)</f>
        <v>0</v>
      </c>
      <c r="BW66" s="2912"/>
      <c r="BX66" s="2912"/>
      <c r="BY66" s="1071">
        <f>IF(BW66=0,0,(BX66-BW66)/BW66*100)</f>
        <v>0</v>
      </c>
      <c r="BZ66" s="2912"/>
      <c r="CA66" s="2912"/>
      <c r="CB66" s="1071">
        <f>IF(BZ66=0,0,(CA66-BZ66)/BZ66*100)</f>
        <v>0</v>
      </c>
      <c r="CC66" s="2912"/>
      <c r="CD66" s="2912"/>
      <c r="CE66" s="1071">
        <f>IF(CC66=0,0,(CD66-CC66)/CC66*100)</f>
        <v>0</v>
      </c>
      <c r="CF66" s="2912"/>
      <c r="CG66" s="2912"/>
      <c r="CH66" s="1071">
        <f>IF(CF66=0,0,(CG66-CF66)/CF66*100)</f>
        <v>0</v>
      </c>
      <c r="CI66" s="2912"/>
      <c r="CJ66" s="2912"/>
      <c r="CK66" s="1071">
        <f>IF(CI66=0,0,(CJ66-CI66)/CI66*100)</f>
        <v>0</v>
      </c>
      <c r="CL66" s="2912"/>
      <c r="CM66" s="2912"/>
      <c r="CN66" s="1071">
        <f>IF(CL66=0,0,(CM66-CL66)/CL66*100)</f>
        <v>0</v>
      </c>
      <c r="CO66" s="2912"/>
      <c r="CP66" s="2912"/>
      <c r="CQ66" s="1071">
        <f>IF(CO66=0,0,(CP66-CO66)/CO66*100)</f>
        <v>0</v>
      </c>
      <c r="CR66" s="2912"/>
      <c r="CS66" s="2912"/>
      <c r="CT66" s="1071">
        <f>IF(CR66=0,0,(CS66-CR66)/CR66*100)</f>
        <v>0</v>
      </c>
      <c r="CU66" s="2912"/>
      <c r="CV66" s="2912"/>
      <c r="CW66" s="1071">
        <f>IF(CU66=0,0,(CV66-CU66)/CU66*100)</f>
        <v>0</v>
      </c>
      <c r="CX66" s="2912"/>
      <c r="CY66" s="2912"/>
      <c r="CZ66" s="1071">
        <f>IF(CX66=0,0,(CY66-CX66)/CX66*100)</f>
        <v>0</v>
      </c>
      <c r="DA66" s="2912"/>
      <c r="DB66" s="2912"/>
      <c r="DC66" s="1071">
        <f>IF(DA66=0,0,(DB66-DA66)/DA66*100)</f>
        <v>0</v>
      </c>
      <c r="DD66" s="2912"/>
      <c r="DE66" s="2912"/>
      <c r="DF66" s="1071">
        <f>IF(DD66=0,0,(DE66-DD66)/DD66*100)</f>
        <v>0</v>
      </c>
      <c r="DG66" s="2912"/>
      <c r="DH66" s="2912"/>
      <c r="DI66" s="1071">
        <f>IF(DG66=0,0,(DH66-DG66)/DG66*100)</f>
        <v>0</v>
      </c>
      <c r="DJ66" s="2912"/>
      <c r="DK66" s="2912"/>
      <c r="DL66" s="1071">
        <f>IF(DJ66=0,0,(DK66-DJ66)/DJ66*100)</f>
        <v>0</v>
      </c>
      <c r="DM66" s="2912"/>
      <c r="DN66" s="2912"/>
      <c r="DO66" s="1071">
        <f>IF(DM66=0,0,(DN66-DM66)/DM66*100)</f>
        <v>0</v>
      </c>
      <c r="DP66" s="2912"/>
      <c r="DQ66" s="2912"/>
      <c r="DR66" s="1071">
        <f>IF(DP66=0,0,(DQ66-DP66)/DP66*100)</f>
        <v>0</v>
      </c>
      <c r="DS66" s="2912"/>
      <c r="DT66" s="2912"/>
      <c r="DU66" s="1071">
        <f>IF(DS66=0,0,(DT66-DS66)/DS66*100)</f>
        <v>0</v>
      </c>
      <c r="DV66" s="2912"/>
      <c r="DW66" s="2912"/>
      <c r="DX66" s="1071">
        <f>IF(DV66=0,0,(DW66-DV66)/DV66*100)</f>
        <v>0</v>
      </c>
      <c r="DY66" s="2912"/>
      <c r="DZ66" s="2912"/>
      <c r="EA66" s="1071">
        <f>IF(DY66=0,0,(DZ66-DY66)/DY66*100)</f>
        <v>0</v>
      </c>
      <c r="EB66" s="2912"/>
      <c r="EC66" s="2912"/>
      <c r="ED66" s="1071">
        <f>IF(EB66=0,0,(EC66-EB66)/EB66*100)</f>
        <v>0</v>
      </c>
      <c r="EE66" s="2912"/>
      <c r="EF66" s="2912"/>
      <c r="EG66" s="1071">
        <f>IF(EE66=0,0,(EF66-EE66)/EE66*100)</f>
        <v>0</v>
      </c>
      <c r="EH66" s="2912"/>
      <c r="EI66" s="2912"/>
      <c r="EJ66" s="1071">
        <f>IF(EH66=0,0,(EI66-EH66)/EH66*100)</f>
        <v>0</v>
      </c>
      <c r="EK66" s="2912"/>
      <c r="EL66" s="2912"/>
      <c r="EM66" s="1071">
        <f>IF(EK66=0,0,(EL66-EK66)/EK66*100)</f>
        <v>0</v>
      </c>
      <c r="EN66" s="2912"/>
      <c r="EO66" s="2912"/>
      <c r="EP66" s="1071">
        <f>IF(EN66=0,0,(EO66-EN66)/EN66*100)</f>
        <v>0</v>
      </c>
      <c r="EQ66" s="2912"/>
      <c r="ER66" s="2912"/>
      <c r="ES66" s="1071">
        <f>IF(EQ66=0,0,(ER66-EQ66)/EQ66*100)</f>
        <v>0</v>
      </c>
      <c r="ET66" s="2912"/>
      <c r="EU66" s="2912"/>
      <c r="EV66" s="1071">
        <f>IF(ET66=0,0,(EU66-ET66)/ET66*100)</f>
        <v>0</v>
      </c>
      <c r="EW66" s="2912"/>
      <c r="EX66" s="2912"/>
      <c r="EY66" s="1071">
        <f>IF(EW66=0,0,(EX66-EW66)/EW66*100)</f>
        <v>0</v>
      </c>
      <c r="EZ66" s="2912"/>
      <c r="FA66" s="2912"/>
      <c r="FB66" s="1071">
        <f>IF(EZ66=0,0,(FA66-EZ66)/EZ66*100)</f>
        <v>0</v>
      </c>
      <c r="FC66" s="2912"/>
      <c r="FD66" s="2912"/>
      <c r="FE66" s="1071">
        <f>IF(FC66=0,0,(FD66-FC66)/FC66*100)</f>
        <v>0</v>
      </c>
      <c r="FF66" s="2912"/>
      <c r="FG66" s="2912"/>
      <c r="FH66" s="1071">
        <f>IF(FF66=0,0,(FG66-FF66)/FF66*100)</f>
        <v>0</v>
      </c>
      <c r="FI66" s="2912"/>
      <c r="FJ66" s="2912"/>
      <c r="FK66" s="1071">
        <f>IF(FI66=0,0,(FJ66-FI66)/FI66*100)</f>
        <v>0</v>
      </c>
      <c r="FL66" s="2912"/>
      <c r="FM66" s="2912"/>
      <c r="FN66" s="1071">
        <f>IF(FL66=0,0,(FM66-FL66)/FL66*100)</f>
        <v>0</v>
      </c>
      <c r="FO66" s="2912"/>
      <c r="FP66" s="2912"/>
      <c r="FQ66" s="1071">
        <f>IF(FO66=0,0,(FP66-FO66)/FO66*100)</f>
        <v>0</v>
      </c>
      <c r="FR66" s="2912"/>
      <c r="FS66" s="2912"/>
      <c r="FT66" s="1071">
        <f>IF(FR66=0,0,(FS66-FR66)/FR66*100)</f>
        <v>0</v>
      </c>
      <c r="FU66" s="2912"/>
      <c r="FV66" s="2912"/>
      <c r="FW66" s="1071">
        <f>IF(FU66=0,0,(FV66-FU66)/FU66*100)</f>
        <v>0</v>
      </c>
      <c r="FX66" s="1282"/>
      <c r="FY66" s="1282"/>
      <c r="FZ66" s="1032" t="s">
        <v>1538</v>
      </c>
      <c r="GA66" s="1284"/>
      <c r="GB66" s="1284"/>
      <c r="GC66" s="1283"/>
      <c r="GD66" s="1283"/>
    </row>
    <row customHeight="1" ht="14.625" hidden="1">
      <c r="A67" s="466"/>
      <c r="B67" s="901" cm="1" t="str">
        <f t="array" ref="B67:B67">B66</f>
        <v>false</v>
      </c>
      <c r="C67" s="466"/>
      <c r="D67" s="466"/>
      <c r="E67" s="816">
        <v>15</v>
      </c>
      <c r="F67" s="50" cm="1" t="str">
        <f t="array" ref="F67:F67">OFFSET(E67,-1,1)</f>
        <v>0</v>
      </c>
      <c r="G67" s="73" t="s">
        <v>1539</v>
      </c>
      <c r="H67" s="466" t="s">
        <v>1513</v>
      </c>
      <c r="I67" s="466" t="s">
        <v>1493</v>
      </c>
      <c r="J67" s="466"/>
      <c r="K67" s="466"/>
      <c r="L67" s="466"/>
      <c r="M67" s="466"/>
      <c r="N67" s="466"/>
      <c r="O67" s="466"/>
      <c r="P67" s="466"/>
      <c r="Q67" s="466"/>
      <c r="R67" s="466"/>
      <c r="S67" s="466"/>
      <c r="T67" s="438" cm="1" t="str">
        <f t="array" ref="T67:T67">T66</f>
        <v>false</v>
      </c>
      <c r="U67" s="466"/>
      <c r="V67" s="466"/>
      <c r="W67" s="466"/>
      <c r="X67" s="1541"/>
      <c r="Y67" s="466"/>
      <c r="Z67" s="1493"/>
      <c r="AA67" s="466"/>
      <c r="AB67" s="880" t="str">
        <f>"объём "&amp;IF(Q29="Водоснабжение","потребления холодной воды","водоотведения")</f>
        <v>объём водоотведения</v>
      </c>
      <c r="AC67" s="840" t="s">
        <v>506</v>
      </c>
      <c r="AD67" s="2907">
        <f>IF(AND(method_reg="Метод индексации",god&lt;&gt;first_year),_xlfn.SUMIFS(INDEX('Калькуляция (МИ корр)'!$AJ$25:$BC$315,,MATCH(AD$8,'Калькуляция (МИ корр)'!$AJ$8:$BC$8,0)),'Калькуляция (МИ корр)'!$F$25:$F$315,$F67,'Калькуляция (МИ корр)'!$G$25:$G$315,$G67),IF(method_reg="Метод экономически обоснованных расходов",_xlfn.SUMIFS('Калькуляция (МЭОР)'!$AJ$25:$AJ$197,'Калькуляция (МЭОР)'!$F$25:$F$197,$F67,'Калькуляция (МЭОР)'!$G$25:$G$197,$G67),IF(method_reg="Метод сравнения аналогов",_xlfn.SUMIFS('Калькуляция (МСА)'!$AE$25:$AE$65,'Калькуляция (МСА)'!$F$25:$F$65,$F67,'Калькуляция (МСА)'!$G$25:$G$65,$G67),_xlfn.SUMIFS(INDEX('Калькуляция (МИ)'!$AJ$25:$BC$315,,MATCH(AD$8,'Калькуляция (МИ)'!$AJ$8:$BC$8,0)),'Калькуляция (МИ)'!$F$25:$F$315,$F67,'Калькуляция (МИ)'!$G$25:$G$315,$G67))))</f>
        <v>0</v>
      </c>
      <c r="AE67" s="2907">
        <f>IF(AND(method_reg="Метод индексации",god&lt;&gt;first_year),_xlfn.SUMIFS(INDEX('Калькуляция (МИ корр)'!$AJ$25:$BC$315,,MATCH(AE$8,'Калькуляция (МИ корр)'!$AJ$8:$BC$8,0)),'Калькуляция (МИ корр)'!$F$25:$F$315,$F67,'Калькуляция (МИ корр)'!$G$25:$G$315,$G67),IF(method_reg="Метод экономически обоснованных расходов",_xlfn.SUMIFS('Калькуляция (МЭОР)'!$AK$25:$AK$197,'Калькуляция (МЭОР)'!$F$25:$F$197,$F67,'Калькуляция (МЭОР)'!$G$25:$G$197,$G67),IF(method_reg="Метод сравнения аналогов",_xlfn.SUMIFS('Калькуляция (МСА)'!$AF$25:$AF$65,'Калькуляция (МСА)'!$F$25:$F$65,$F67,'Калькуляция (МСА)'!$G$25:$G$65,$G67),_xlfn.SUMIFS(INDEX('Калькуляция (МИ)'!$AJ$25:$BC$315,,MATCH(AE$8,'Калькуляция (МИ)'!$AJ$8:$BC$8,0)),'Калькуляция (МИ)'!$F$25:$F$315,$F67,'Калькуляция (МИ)'!$G$25:$G$315,$G67))))</f>
        <v>0</v>
      </c>
      <c r="AF67" s="1073">
        <f>IF(AD67=0,0,(AE67-AD67)/AD67*100)</f>
        <v>0</v>
      </c>
      <c r="AG67" s="2907">
        <f>IF(AND(method_reg="Метод индексации",god&lt;&gt;first_year),_xlfn.SUMIFS(INDEX('Калькуляция (МИ корр)'!$AJ$25:$BC$315,,MATCH(AG$8,'Калькуляция (МИ корр)'!$AJ$8:$BC$8,0)),'Калькуляция (МИ корр)'!$F$25:$F$315,$F67,'Калькуляция (МИ корр)'!$G$25:$G$315,$G67),IF(method_reg="Метод экономически обоснованных расходов",_xlfn.SUMIFS('Калькуляция (МЭОР)'!$AJ$25:$AJ$197,'Калькуляция (МЭОР)'!$F$25:$F$197,$F67,'Калькуляция (МЭОР)'!$G$25:$G$197,$G67),IF(method_reg="Метод сравнения аналогов",_xlfn.SUMIFS('Калькуляция (МСА)'!$AE$25:$AE$65,'Калькуляция (МСА)'!$F$25:$F$65,$F67,'Калькуляция (МСА)'!$G$25:$G$65,$G67),_xlfn.SUMIFS(INDEX('Калькуляция (МИ)'!$AJ$25:$BC$315,,MATCH(AG$8,'Калькуляция (МИ)'!$AJ$8:$BC$8,0)),'Калькуляция (МИ)'!$F$25:$F$315,$F67,'Калькуляция (МИ)'!$G$25:$G$315,$G67))))</f>
        <v>0</v>
      </c>
      <c r="AH67" s="2907">
        <f>IF(AND(method_reg="Метод индексации",god&lt;&gt;first_year),_xlfn.SUMIFS(INDEX('Калькуляция (МИ корр)'!$AJ$25:$BC$315,,MATCH(AH$8,'Калькуляция (МИ корр)'!$AJ$8:$BC$8,0)),'Калькуляция (МИ корр)'!$F$25:$F$315,$F67,'Калькуляция (МИ корр)'!$G$25:$G$315,$G67),IF(method_reg="Метод экономически обоснованных расходов",_xlfn.SUMIFS('Калькуляция (МЭОР)'!$AK$25:$AK$197,'Калькуляция (МЭОР)'!$F$25:$F$197,$F67,'Калькуляция (МЭОР)'!$G$25:$G$197,$G67),IF(method_reg="Метод сравнения аналогов",_xlfn.SUMIFS('Калькуляция (МСА)'!$AF$25:$AF$65,'Калькуляция (МСА)'!$F$25:$F$65,$F67,'Калькуляция (МСА)'!$G$25:$G$65,$G67),_xlfn.SUMIFS(INDEX('Калькуляция (МИ)'!$AJ$25:$BC$315,,MATCH(AH$8,'Калькуляция (МИ)'!$AJ$8:$BC$8,0)),'Калькуляция (МИ)'!$F$25:$F$315,$F67,'Калькуляция (МИ)'!$G$25:$G$315,$G67))))</f>
        <v>0</v>
      </c>
      <c r="AI67" s="1073">
        <f>IF(AG67=0,0,(AH67-AG67)/AG67*100)</f>
        <v>0</v>
      </c>
      <c r="AJ67" s="2907">
        <f>IF(AND(method_reg="Метод индексации",god&lt;&gt;first_year),_xlfn.SUMIFS(INDEX('Калькуляция (МИ корр)'!$AJ$25:$BC$315,,MATCH(AJ$8,'Калькуляция (МИ корр)'!$AJ$8:$BC$8,0)),'Калькуляция (МИ корр)'!$F$25:$F$315,$F67,'Калькуляция (МИ корр)'!$G$25:$G$315,$G67),IF(method_reg="Метод экономически обоснованных расходов",_xlfn.SUMIFS('Калькуляция (МЭОР)'!$AJ$25:$AJ$197,'Калькуляция (МЭОР)'!$F$25:$F$197,$F67,'Калькуляция (МЭОР)'!$G$25:$G$197,$G67),IF(method_reg="Метод сравнения аналогов",_xlfn.SUMIFS('Калькуляция (МСА)'!$AE$25:$AE$65,'Калькуляция (МСА)'!$F$25:$F$65,$F67,'Калькуляция (МСА)'!$G$25:$G$65,$G67),_xlfn.SUMIFS(INDEX('Калькуляция (МИ)'!$AJ$25:$BC$315,,MATCH(AJ$8,'Калькуляция (МИ)'!$AJ$8:$BC$8,0)),'Калькуляция (МИ)'!$F$25:$F$315,$F67,'Калькуляция (МИ)'!$G$25:$G$315,$G67))))</f>
        <v>0</v>
      </c>
      <c r="AK67" s="2907">
        <f>IF(AND(method_reg="Метод индексации",god&lt;&gt;first_year),_xlfn.SUMIFS(INDEX('Калькуляция (МИ корр)'!$AJ$25:$BC$315,,MATCH(AK$8,'Калькуляция (МИ корр)'!$AJ$8:$BC$8,0)),'Калькуляция (МИ корр)'!$F$25:$F$315,$F67,'Калькуляция (МИ корр)'!$G$25:$G$315,$G67),IF(method_reg="Метод экономически обоснованных расходов",_xlfn.SUMIFS('Калькуляция (МЭОР)'!$AK$25:$AK$197,'Калькуляция (МЭОР)'!$F$25:$F$197,$F67,'Калькуляция (МЭОР)'!$G$25:$G$197,$G67),IF(method_reg="Метод сравнения аналогов",_xlfn.SUMIFS('Калькуляция (МСА)'!$AF$25:$AF$65,'Калькуляция (МСА)'!$F$25:$F$65,$F67,'Калькуляция (МСА)'!$G$25:$G$65,$G67),_xlfn.SUMIFS(INDEX('Калькуляция (МИ)'!$AJ$25:$BC$315,,MATCH(AK$8,'Калькуляция (МИ)'!$AJ$8:$BC$8,0)),'Калькуляция (МИ)'!$F$25:$F$315,$F67,'Калькуляция (МИ)'!$G$25:$G$315,$G67))))</f>
        <v>0</v>
      </c>
      <c r="AL67" s="1073">
        <f>IF(AJ67=0,0,(AK67-AJ67)/AJ67*100)</f>
        <v>0</v>
      </c>
      <c r="AM67" s="2907">
        <f>IF(AND(method_reg="Метод индексации",god&lt;&gt;first_year),_xlfn.SUMIFS(INDEX('Калькуляция (МИ корр)'!$AJ$25:$BC$315,,MATCH(AM$8,'Калькуляция (МИ корр)'!$AJ$8:$BC$8,0)),'Калькуляция (МИ корр)'!$F$25:$F$315,$F67,'Калькуляция (МИ корр)'!$G$25:$G$315,$G67),IF(method_reg="Метод экономически обоснованных расходов",_xlfn.SUMIFS('Калькуляция (МЭОР)'!$AJ$25:$AJ$197,'Калькуляция (МЭОР)'!$F$25:$F$197,$F67,'Калькуляция (МЭОР)'!$G$25:$G$197,$G67),IF(method_reg="Метод сравнения аналогов",_xlfn.SUMIFS('Калькуляция (МСА)'!$AE$25:$AE$65,'Калькуляция (МСА)'!$F$25:$F$65,$F67,'Калькуляция (МСА)'!$G$25:$G$65,$G67),_xlfn.SUMIFS(INDEX('Калькуляция (МИ)'!$AJ$25:$BC$315,,MATCH(AM$8,'Калькуляция (МИ)'!$AJ$8:$BC$8,0)),'Калькуляция (МИ)'!$F$25:$F$315,$F67,'Калькуляция (МИ)'!$G$25:$G$315,$G67))))</f>
        <v>0</v>
      </c>
      <c r="AN67" s="2907">
        <f>IF(AND(method_reg="Метод индексации",god&lt;&gt;first_year),_xlfn.SUMIFS(INDEX('Калькуляция (МИ корр)'!$AJ$25:$BC$315,,MATCH(AN$8,'Калькуляция (МИ корр)'!$AJ$8:$BC$8,0)),'Калькуляция (МИ корр)'!$F$25:$F$315,$F67,'Калькуляция (МИ корр)'!$G$25:$G$315,$G67),IF(method_reg="Метод экономически обоснованных расходов",_xlfn.SUMIFS('Калькуляция (МЭОР)'!$AK$25:$AK$197,'Калькуляция (МЭОР)'!$F$25:$F$197,$F67,'Калькуляция (МЭОР)'!$G$25:$G$197,$G67),IF(method_reg="Метод сравнения аналогов",_xlfn.SUMIFS('Калькуляция (МСА)'!$AF$25:$AF$65,'Калькуляция (МСА)'!$F$25:$F$65,$F67,'Калькуляция (МСА)'!$G$25:$G$65,$G67),_xlfn.SUMIFS(INDEX('Калькуляция (МИ)'!$AJ$25:$BC$315,,MATCH(AN$8,'Калькуляция (МИ)'!$AJ$8:$BC$8,0)),'Калькуляция (МИ)'!$F$25:$F$315,$F67,'Калькуляция (МИ)'!$G$25:$G$315,$G67))))</f>
        <v>0</v>
      </c>
      <c r="AO67" s="1073">
        <f>IF(AM67=0,0,(AN67-AM67)/AM67*100)</f>
        <v>0</v>
      </c>
      <c r="AP67" s="2907">
        <f>IF(AND(method_reg="Метод индексации",god&lt;&gt;first_year),_xlfn.SUMIFS(INDEX('Калькуляция (МИ корр)'!$AJ$25:$BC$315,,MATCH(AP$8,'Калькуляция (МИ корр)'!$AJ$8:$BC$8,0)),'Калькуляция (МИ корр)'!$F$25:$F$315,$F67,'Калькуляция (МИ корр)'!$G$25:$G$315,$G67),IF(method_reg="Метод экономически обоснованных расходов",_xlfn.SUMIFS('Калькуляция (МЭОР)'!$AJ$25:$AJ$197,'Калькуляция (МЭОР)'!$F$25:$F$197,$F67,'Калькуляция (МЭОР)'!$G$25:$G$197,$G67),IF(method_reg="Метод сравнения аналогов",_xlfn.SUMIFS('Калькуляция (МСА)'!$AE$25:$AE$65,'Калькуляция (МСА)'!$F$25:$F$65,$F67,'Калькуляция (МСА)'!$G$25:$G$65,$G67),_xlfn.SUMIFS(INDEX('Калькуляция (МИ)'!$AJ$25:$BC$315,,MATCH(AP$8,'Калькуляция (МИ)'!$AJ$8:$BC$8,0)),'Калькуляция (МИ)'!$F$25:$F$315,$F67,'Калькуляция (МИ)'!$G$25:$G$315,$G67))))</f>
        <v>0</v>
      </c>
      <c r="AQ67" s="2907">
        <f>IF(AND(method_reg="Метод индексации",god&lt;&gt;first_year),_xlfn.SUMIFS(INDEX('Калькуляция (МИ корр)'!$AJ$25:$BC$315,,MATCH(AQ$8,'Калькуляция (МИ корр)'!$AJ$8:$BC$8,0)),'Калькуляция (МИ корр)'!$F$25:$F$315,$F67,'Калькуляция (МИ корр)'!$G$25:$G$315,$G67),IF(method_reg="Метод экономически обоснованных расходов",_xlfn.SUMIFS('Калькуляция (МЭОР)'!$AK$25:$AK$197,'Калькуляция (МЭОР)'!$F$25:$F$197,$F67,'Калькуляция (МЭОР)'!$G$25:$G$197,$G67),IF(method_reg="Метод сравнения аналогов",_xlfn.SUMIFS('Калькуляция (МСА)'!$AF$25:$AF$65,'Калькуляция (МСА)'!$F$25:$F$65,$F67,'Калькуляция (МСА)'!$G$25:$G$65,$G67),_xlfn.SUMIFS(INDEX('Калькуляция (МИ)'!$AJ$25:$BC$315,,MATCH(AQ$8,'Калькуляция (МИ)'!$AJ$8:$BC$8,0)),'Калькуляция (МИ)'!$F$25:$F$315,$F67,'Калькуляция (МИ)'!$G$25:$G$315,$G67))))</f>
        <v>0</v>
      </c>
      <c r="AR67" s="1073">
        <f>IF(AP67=0,0,(AQ67-AP67)/AP67*100)</f>
        <v>0</v>
      </c>
      <c r="AS67" s="2907">
        <f>IF(AND(method_reg="Метод индексации",god&lt;&gt;first_year),_xlfn.SUMIFS(INDEX('Калькуляция (МИ корр)'!$AJ$25:$BC$315,,MATCH(AS$8,'Калькуляция (МИ корр)'!$AJ$8:$BC$8,0)),'Калькуляция (МИ корр)'!$F$25:$F$315,$F67,'Калькуляция (МИ корр)'!$G$25:$G$315,$G67),IF(method_reg="Метод экономически обоснованных расходов",_xlfn.SUMIFS('Калькуляция (МЭОР)'!$AJ$25:$AJ$197,'Калькуляция (МЭОР)'!$F$25:$F$197,$F67,'Калькуляция (МЭОР)'!$G$25:$G$197,$G67),IF(method_reg="Метод сравнения аналогов",_xlfn.SUMIFS('Калькуляция (МСА)'!$AE$25:$AE$65,'Калькуляция (МСА)'!$F$25:$F$65,$F67,'Калькуляция (МСА)'!$G$25:$G$65,$G67),_xlfn.SUMIFS(INDEX('Калькуляция (МИ)'!$AJ$25:$BC$315,,MATCH(AS$8,'Калькуляция (МИ)'!$AJ$8:$BC$8,0)),'Калькуляция (МИ)'!$F$25:$F$315,$F67,'Калькуляция (МИ)'!$G$25:$G$315,$G67))))</f>
        <v>0</v>
      </c>
      <c r="AT67" s="2907">
        <f>IF(AND(method_reg="Метод индексации",god&lt;&gt;first_year),_xlfn.SUMIFS(INDEX('Калькуляция (МИ корр)'!$AJ$25:$BC$315,,MATCH(AT$8,'Калькуляция (МИ корр)'!$AJ$8:$BC$8,0)),'Калькуляция (МИ корр)'!$F$25:$F$315,$F67,'Калькуляция (МИ корр)'!$G$25:$G$315,$G67),IF(method_reg="Метод экономически обоснованных расходов",_xlfn.SUMIFS('Калькуляция (МЭОР)'!$AK$25:$AK$197,'Калькуляция (МЭОР)'!$F$25:$F$197,$F67,'Калькуляция (МЭОР)'!$G$25:$G$197,$G67),IF(method_reg="Метод сравнения аналогов",_xlfn.SUMIFS('Калькуляция (МСА)'!$AF$25:$AF$65,'Калькуляция (МСА)'!$F$25:$F$65,$F67,'Калькуляция (МСА)'!$G$25:$G$65,$G67),_xlfn.SUMIFS(INDEX('Калькуляция (МИ)'!$AJ$25:$BC$315,,MATCH(AT$8,'Калькуляция (МИ)'!$AJ$8:$BC$8,0)),'Калькуляция (МИ)'!$F$25:$F$315,$F67,'Калькуляция (МИ)'!$G$25:$G$315,$G67))))</f>
        <v>0</v>
      </c>
      <c r="AU67" s="1073">
        <f>IF(AS67=0,0,(AT67-AS67)/AS67*100)</f>
        <v>0</v>
      </c>
      <c r="AV67" s="2907">
        <f>IF(AND(method_reg="Метод индексации",god&lt;&gt;first_year),_xlfn.SUMIFS(INDEX('Калькуляция (МИ корр)'!$AJ$25:$BC$315,,MATCH(AV$8,'Калькуляция (МИ корр)'!$AJ$8:$BC$8,0)),'Калькуляция (МИ корр)'!$F$25:$F$315,$F67,'Калькуляция (МИ корр)'!$G$25:$G$315,$G67),IF(method_reg="Метод экономически обоснованных расходов",_xlfn.SUMIFS('Калькуляция (МЭОР)'!$AJ$25:$AJ$197,'Калькуляция (МЭОР)'!$F$25:$F$197,$F67,'Калькуляция (МЭОР)'!$G$25:$G$197,$G67),IF(method_reg="Метод сравнения аналогов",_xlfn.SUMIFS('Калькуляция (МСА)'!$AE$25:$AE$65,'Калькуляция (МСА)'!$F$25:$F$65,$F67,'Калькуляция (МСА)'!$G$25:$G$65,$G67),_xlfn.SUMIFS(INDEX('Калькуляция (МИ)'!$AJ$25:$BC$315,,MATCH(AV$8,'Калькуляция (МИ)'!$AJ$8:$BC$8,0)),'Калькуляция (МИ)'!$F$25:$F$315,$F67,'Калькуляция (МИ)'!$G$25:$G$315,$G67))))</f>
        <v>0</v>
      </c>
      <c r="AW67" s="2907">
        <f>IF(AND(method_reg="Метод индексации",god&lt;&gt;first_year),_xlfn.SUMIFS(INDEX('Калькуляция (МИ корр)'!$AJ$25:$BC$315,,MATCH(AW$8,'Калькуляция (МИ корр)'!$AJ$8:$BC$8,0)),'Калькуляция (МИ корр)'!$F$25:$F$315,$F67,'Калькуляция (МИ корр)'!$G$25:$G$315,$G67),IF(method_reg="Метод экономически обоснованных расходов",_xlfn.SUMIFS('Калькуляция (МЭОР)'!$AK$25:$AK$197,'Калькуляция (МЭОР)'!$F$25:$F$197,$F67,'Калькуляция (МЭОР)'!$G$25:$G$197,$G67),IF(method_reg="Метод сравнения аналогов",_xlfn.SUMIFS('Калькуляция (МСА)'!$AF$25:$AF$65,'Калькуляция (МСА)'!$F$25:$F$65,$F67,'Калькуляция (МСА)'!$G$25:$G$65,$G67),_xlfn.SUMIFS(INDEX('Калькуляция (МИ)'!$AJ$25:$BC$315,,MATCH(AW$8,'Калькуляция (МИ)'!$AJ$8:$BC$8,0)),'Калькуляция (МИ)'!$F$25:$F$315,$F67,'Калькуляция (МИ)'!$G$25:$G$315,$G67))))</f>
        <v>0</v>
      </c>
      <c r="AX67" s="1073">
        <f>IF(AV67=0,0,(AW67-AV67)/AV67*100)</f>
        <v>0</v>
      </c>
      <c r="AY67" s="2907">
        <f>IF(AND(method_reg="Метод индексации",god&lt;&gt;first_year),_xlfn.SUMIFS(INDEX('Калькуляция (МИ корр)'!$AJ$25:$BC$315,,MATCH(AY$8,'Калькуляция (МИ корр)'!$AJ$8:$BC$8,0)),'Калькуляция (МИ корр)'!$F$25:$F$315,$F67,'Калькуляция (МИ корр)'!$G$25:$G$315,$G67),IF(method_reg="Метод экономически обоснованных расходов",_xlfn.SUMIFS('Калькуляция (МЭОР)'!$AJ$25:$AJ$197,'Калькуляция (МЭОР)'!$F$25:$F$197,$F67,'Калькуляция (МЭОР)'!$G$25:$G$197,$G67),IF(method_reg="Метод сравнения аналогов",_xlfn.SUMIFS('Калькуляция (МСА)'!$AE$25:$AE$65,'Калькуляция (МСА)'!$F$25:$F$65,$F67,'Калькуляция (МСА)'!$G$25:$G$65,$G67),_xlfn.SUMIFS(INDEX('Калькуляция (МИ)'!$AJ$25:$BC$315,,MATCH(AY$8,'Калькуляция (МИ)'!$AJ$8:$BC$8,0)),'Калькуляция (МИ)'!$F$25:$F$315,$F67,'Калькуляция (МИ)'!$G$25:$G$315,$G67))))</f>
        <v>0</v>
      </c>
      <c r="AZ67" s="2907">
        <f>IF(AND(method_reg="Метод индексации",god&lt;&gt;first_year),_xlfn.SUMIFS(INDEX('Калькуляция (МИ корр)'!$AJ$25:$BC$315,,MATCH(AZ$8,'Калькуляция (МИ корр)'!$AJ$8:$BC$8,0)),'Калькуляция (МИ корр)'!$F$25:$F$315,$F67,'Калькуляция (МИ корр)'!$G$25:$G$315,$G67),IF(method_reg="Метод экономически обоснованных расходов",_xlfn.SUMIFS('Калькуляция (МЭОР)'!$AK$25:$AK$197,'Калькуляция (МЭОР)'!$F$25:$F$197,$F67,'Калькуляция (МЭОР)'!$G$25:$G$197,$G67),IF(method_reg="Метод сравнения аналогов",_xlfn.SUMIFS('Калькуляция (МСА)'!$AF$25:$AF$65,'Калькуляция (МСА)'!$F$25:$F$65,$F67,'Калькуляция (МСА)'!$G$25:$G$65,$G67),_xlfn.SUMIFS(INDEX('Калькуляция (МИ)'!$AJ$25:$BC$315,,MATCH(AZ$8,'Калькуляция (МИ)'!$AJ$8:$BC$8,0)),'Калькуляция (МИ)'!$F$25:$F$315,$F67,'Калькуляция (МИ)'!$G$25:$G$315,$G67))))</f>
        <v>0</v>
      </c>
      <c r="BA67" s="1073">
        <f>IF(AY67=0,0,(AZ67-AY67)/AY67*100)</f>
        <v>0</v>
      </c>
      <c r="BB67" s="2907">
        <f>IF(AND(method_reg="Метод индексации",god&lt;&gt;first_year),_xlfn.SUMIFS(INDEX('Калькуляция (МИ корр)'!$AJ$25:$BC$315,,MATCH(BB$8,'Калькуляция (МИ корр)'!$AJ$8:$BC$8,0)),'Калькуляция (МИ корр)'!$F$25:$F$315,$F67,'Калькуляция (МИ корр)'!$G$25:$G$315,$G67),IF(method_reg="Метод экономически обоснованных расходов",_xlfn.SUMIFS('Калькуляция (МЭОР)'!$AJ$25:$AJ$197,'Калькуляция (МЭОР)'!$F$25:$F$197,$F67,'Калькуляция (МЭОР)'!$G$25:$G$197,$G67),IF(method_reg="Метод сравнения аналогов",_xlfn.SUMIFS('Калькуляция (МСА)'!$AE$25:$AE$65,'Калькуляция (МСА)'!$F$25:$F$65,$F67,'Калькуляция (МСА)'!$G$25:$G$65,$G67),_xlfn.SUMIFS(INDEX('Калькуляция (МИ)'!$AJ$25:$BC$315,,MATCH(BB$8,'Калькуляция (МИ)'!$AJ$8:$BC$8,0)),'Калькуляция (МИ)'!$F$25:$F$315,$F67,'Калькуляция (МИ)'!$G$25:$G$315,$G67))))</f>
        <v>0</v>
      </c>
      <c r="BC67" s="2907">
        <f>IF(AND(method_reg="Метод индексации",god&lt;&gt;first_year),_xlfn.SUMIFS(INDEX('Калькуляция (МИ корр)'!$AJ$25:$BC$315,,MATCH(BC$8,'Калькуляция (МИ корр)'!$AJ$8:$BC$8,0)),'Калькуляция (МИ корр)'!$F$25:$F$315,$F67,'Калькуляция (МИ корр)'!$G$25:$G$315,$G67),IF(method_reg="Метод экономически обоснованных расходов",_xlfn.SUMIFS('Калькуляция (МЭОР)'!$AK$25:$AK$197,'Калькуляция (МЭОР)'!$F$25:$F$197,$F67,'Калькуляция (МЭОР)'!$G$25:$G$197,$G67),IF(method_reg="Метод сравнения аналогов",_xlfn.SUMIFS('Калькуляция (МСА)'!$AF$25:$AF$65,'Калькуляция (МСА)'!$F$25:$F$65,$F67,'Калькуляция (МСА)'!$G$25:$G$65,$G67),_xlfn.SUMIFS(INDEX('Калькуляция (МИ)'!$AJ$25:$BC$315,,MATCH(BC$8,'Калькуляция (МИ)'!$AJ$8:$BC$8,0)),'Калькуляция (МИ)'!$F$25:$F$315,$F67,'Калькуляция (МИ)'!$G$25:$G$315,$G67))))</f>
        <v>0</v>
      </c>
      <c r="BD67" s="1073">
        <f>IF(BB67=0,0,(BC67-BB67)/BB67*100)</f>
        <v>0</v>
      </c>
      <c r="BE67" s="2907">
        <f>IF(AND(method_reg="Метод индексации",god&lt;&gt;first_year),_xlfn.SUMIFS(INDEX('Калькуляция (МИ корр)'!$AJ$25:$BC$315,,MATCH(BE$8,'Калькуляция (МИ корр)'!$AJ$8:$BC$8,0)),'Калькуляция (МИ корр)'!$F$25:$F$315,$F67,'Калькуляция (МИ корр)'!$G$25:$G$315,$G67),IF(method_reg="Метод экономически обоснованных расходов",_xlfn.SUMIFS('Калькуляция (МЭОР)'!$AJ$25:$AJ$197,'Калькуляция (МЭОР)'!$F$25:$F$197,$F67,'Калькуляция (МЭОР)'!$G$25:$G$197,$G67),IF(method_reg="Метод сравнения аналогов",_xlfn.SUMIFS('Калькуляция (МСА)'!$AE$25:$AE$65,'Калькуляция (МСА)'!$F$25:$F$65,$F67,'Калькуляция (МСА)'!$G$25:$G$65,$G67),_xlfn.SUMIFS(INDEX('Калькуляция (МИ)'!$AJ$25:$BC$315,,MATCH(BE$8,'Калькуляция (МИ)'!$AJ$8:$BC$8,0)),'Калькуляция (МИ)'!$F$25:$F$315,$F67,'Калькуляция (МИ)'!$G$25:$G$315,$G67))))</f>
        <v>0</v>
      </c>
      <c r="BF67" s="2907">
        <f>IF(AND(method_reg="Метод индексации",god&lt;&gt;first_year),_xlfn.SUMIFS(INDEX('Калькуляция (МИ корр)'!$AJ$25:$BC$315,,MATCH(BF$8,'Калькуляция (МИ корр)'!$AJ$8:$BC$8,0)),'Калькуляция (МИ корр)'!$F$25:$F$315,$F67,'Калькуляция (МИ корр)'!$G$25:$G$315,$G67),IF(method_reg="Метод экономически обоснованных расходов",_xlfn.SUMIFS('Калькуляция (МЭОР)'!$AK$25:$AK$197,'Калькуляция (МЭОР)'!$F$25:$F$197,$F67,'Калькуляция (МЭОР)'!$G$25:$G$197,$G67),IF(method_reg="Метод сравнения аналогов",_xlfn.SUMIFS('Калькуляция (МСА)'!$AF$25:$AF$65,'Калькуляция (МСА)'!$F$25:$F$65,$F67,'Калькуляция (МСА)'!$G$25:$G$65,$G67),_xlfn.SUMIFS(INDEX('Калькуляция (МИ)'!$AJ$25:$BC$315,,MATCH(BF$8,'Калькуляция (МИ)'!$AJ$8:$BC$8,0)),'Калькуляция (МИ)'!$F$25:$F$315,$F67,'Калькуляция (МИ)'!$G$25:$G$315,$G67))))</f>
        <v>0</v>
      </c>
      <c r="BG67" s="1073">
        <f>IF(BE67=0,0,(BF67-BE67)/BE67*100)</f>
        <v>0</v>
      </c>
      <c r="BH67" s="2907"/>
      <c r="BI67" s="2907"/>
      <c r="BJ67" s="1073">
        <f>IF(BH67=0,0,(BI67-BH67)/BH67*100)</f>
        <v>0</v>
      </c>
      <c r="BK67" s="2907"/>
      <c r="BL67" s="2907"/>
      <c r="BM67" s="1073">
        <f>IF(BK67=0,0,(BL67-BK67)/BK67*100)</f>
        <v>0</v>
      </c>
      <c r="BN67" s="2907"/>
      <c r="BO67" s="2907"/>
      <c r="BP67" s="1073">
        <f>IF(BN67=0,0,(BO67-BN67)/BN67*100)</f>
        <v>0</v>
      </c>
      <c r="BQ67" s="2907"/>
      <c r="BR67" s="2907"/>
      <c r="BS67" s="1073">
        <f>IF(BQ67=0,0,(BR67-BQ67)/BQ67*100)</f>
        <v>0</v>
      </c>
      <c r="BT67" s="2907"/>
      <c r="BU67" s="2907"/>
      <c r="BV67" s="1073">
        <f>IF(BT67=0,0,(BU67-BT67)/BT67*100)</f>
        <v>0</v>
      </c>
      <c r="BW67" s="2907"/>
      <c r="BX67" s="2907"/>
      <c r="BY67" s="1073">
        <f>IF(BW67=0,0,(BX67-BW67)/BW67*100)</f>
        <v>0</v>
      </c>
      <c r="BZ67" s="2907"/>
      <c r="CA67" s="2907"/>
      <c r="CB67" s="1073">
        <f>IF(BZ67=0,0,(CA67-BZ67)/BZ67*100)</f>
        <v>0</v>
      </c>
      <c r="CC67" s="2907"/>
      <c r="CD67" s="2907"/>
      <c r="CE67" s="1073">
        <f>IF(CC67=0,0,(CD67-CC67)/CC67*100)</f>
        <v>0</v>
      </c>
      <c r="CF67" s="2907"/>
      <c r="CG67" s="2907"/>
      <c r="CH67" s="1073">
        <f>IF(CF67=0,0,(CG67-CF67)/CF67*100)</f>
        <v>0</v>
      </c>
      <c r="CI67" s="2907"/>
      <c r="CJ67" s="2907"/>
      <c r="CK67" s="1073">
        <f>IF(CI67=0,0,(CJ67-CI67)/CI67*100)</f>
        <v>0</v>
      </c>
      <c r="CL67" s="2907"/>
      <c r="CM67" s="2907"/>
      <c r="CN67" s="1073">
        <f>IF(CL67=0,0,(CM67-CL67)/CL67*100)</f>
        <v>0</v>
      </c>
      <c r="CO67" s="2907"/>
      <c r="CP67" s="2907"/>
      <c r="CQ67" s="1073">
        <f>IF(CO67=0,0,(CP67-CO67)/CO67*100)</f>
        <v>0</v>
      </c>
      <c r="CR67" s="2907"/>
      <c r="CS67" s="2907"/>
      <c r="CT67" s="1073">
        <f>IF(CR67=0,0,(CS67-CR67)/CR67*100)</f>
        <v>0</v>
      </c>
      <c r="CU67" s="2907"/>
      <c r="CV67" s="2907"/>
      <c r="CW67" s="1073">
        <f>IF(CU67=0,0,(CV67-CU67)/CU67*100)</f>
        <v>0</v>
      </c>
      <c r="CX67" s="2907"/>
      <c r="CY67" s="2907"/>
      <c r="CZ67" s="1073">
        <f>IF(CX67=0,0,(CY67-CX67)/CX67*100)</f>
        <v>0</v>
      </c>
      <c r="DA67" s="2907"/>
      <c r="DB67" s="2907"/>
      <c r="DC67" s="1073">
        <f>IF(DA67=0,0,(DB67-DA67)/DA67*100)</f>
        <v>0</v>
      </c>
      <c r="DD67" s="2907"/>
      <c r="DE67" s="2907"/>
      <c r="DF67" s="1073">
        <f>IF(DD67=0,0,(DE67-DD67)/DD67*100)</f>
        <v>0</v>
      </c>
      <c r="DG67" s="2907"/>
      <c r="DH67" s="2907"/>
      <c r="DI67" s="1073">
        <f>IF(DG67=0,0,(DH67-DG67)/DG67*100)</f>
        <v>0</v>
      </c>
      <c r="DJ67" s="2907"/>
      <c r="DK67" s="2907"/>
      <c r="DL67" s="1073">
        <f>IF(DJ67=0,0,(DK67-DJ67)/DJ67*100)</f>
        <v>0</v>
      </c>
      <c r="DM67" s="2907"/>
      <c r="DN67" s="2907"/>
      <c r="DO67" s="1073">
        <f>IF(DM67=0,0,(DN67-DM67)/DM67*100)</f>
        <v>0</v>
      </c>
      <c r="DP67" s="2907"/>
      <c r="DQ67" s="2907"/>
      <c r="DR67" s="1073">
        <f>IF(DP67=0,0,(DQ67-DP67)/DP67*100)</f>
        <v>0</v>
      </c>
      <c r="DS67" s="2907"/>
      <c r="DT67" s="2907"/>
      <c r="DU67" s="1073">
        <f>IF(DS67=0,0,(DT67-DS67)/DS67*100)</f>
        <v>0</v>
      </c>
      <c r="DV67" s="2907"/>
      <c r="DW67" s="2907"/>
      <c r="DX67" s="1073">
        <f>IF(DV67=0,0,(DW67-DV67)/DV67*100)</f>
        <v>0</v>
      </c>
      <c r="DY67" s="2907"/>
      <c r="DZ67" s="2907"/>
      <c r="EA67" s="1073">
        <f>IF(DY67=0,0,(DZ67-DY67)/DY67*100)</f>
        <v>0</v>
      </c>
      <c r="EB67" s="2907"/>
      <c r="EC67" s="2907"/>
      <c r="ED67" s="1073">
        <f>IF(EB67=0,0,(EC67-EB67)/EB67*100)</f>
        <v>0</v>
      </c>
      <c r="EE67" s="2907"/>
      <c r="EF67" s="2907"/>
      <c r="EG67" s="1073">
        <f>IF(EE67=0,0,(EF67-EE67)/EE67*100)</f>
        <v>0</v>
      </c>
      <c r="EH67" s="2907"/>
      <c r="EI67" s="2907"/>
      <c r="EJ67" s="1073">
        <f>IF(EH67=0,0,(EI67-EH67)/EH67*100)</f>
        <v>0</v>
      </c>
      <c r="EK67" s="2907"/>
      <c r="EL67" s="2907"/>
      <c r="EM67" s="1073">
        <f>IF(EK67=0,0,(EL67-EK67)/EK67*100)</f>
        <v>0</v>
      </c>
      <c r="EN67" s="2907"/>
      <c r="EO67" s="2907"/>
      <c r="EP67" s="1073">
        <f>IF(EN67=0,0,(EO67-EN67)/EN67*100)</f>
        <v>0</v>
      </c>
      <c r="EQ67" s="2907"/>
      <c r="ER67" s="2907"/>
      <c r="ES67" s="1073">
        <f>IF(EQ67=0,0,(ER67-EQ67)/EQ67*100)</f>
        <v>0</v>
      </c>
      <c r="ET67" s="2907"/>
      <c r="EU67" s="2907"/>
      <c r="EV67" s="1073">
        <f>IF(ET67=0,0,(EU67-ET67)/ET67*100)</f>
        <v>0</v>
      </c>
      <c r="EW67" s="2907"/>
      <c r="EX67" s="2907"/>
      <c r="EY67" s="1073">
        <f>IF(EW67=0,0,(EX67-EW67)/EW67*100)</f>
        <v>0</v>
      </c>
      <c r="EZ67" s="2907"/>
      <c r="FA67" s="2907"/>
      <c r="FB67" s="1073">
        <f>IF(EZ67=0,0,(FA67-EZ67)/EZ67*100)</f>
        <v>0</v>
      </c>
      <c r="FC67" s="2907"/>
      <c r="FD67" s="2907"/>
      <c r="FE67" s="1073">
        <f>IF(FC67=0,0,(FD67-FC67)/FC67*100)</f>
        <v>0</v>
      </c>
      <c r="FF67" s="2907"/>
      <c r="FG67" s="2907"/>
      <c r="FH67" s="1073">
        <f>IF(FF67=0,0,(FG67-FF67)/FF67*100)</f>
        <v>0</v>
      </c>
      <c r="FI67" s="2907"/>
      <c r="FJ67" s="2907"/>
      <c r="FK67" s="1073">
        <f>IF(FI67=0,0,(FJ67-FI67)/FI67*100)</f>
        <v>0</v>
      </c>
      <c r="FL67" s="2907"/>
      <c r="FM67" s="2907"/>
      <c r="FN67" s="1073">
        <f>IF(FL67=0,0,(FM67-FL67)/FL67*100)</f>
        <v>0</v>
      </c>
      <c r="FO67" s="2907"/>
      <c r="FP67" s="2907"/>
      <c r="FQ67" s="1073">
        <f>IF(FO67=0,0,(FP67-FO67)/FO67*100)</f>
        <v>0</v>
      </c>
      <c r="FR67" s="2907"/>
      <c r="FS67" s="2907"/>
      <c r="FT67" s="1073">
        <f>IF(FR67=0,0,(FS67-FR67)/FR67*100)</f>
        <v>0</v>
      </c>
      <c r="FU67" s="2907"/>
      <c r="FV67" s="2907"/>
      <c r="FW67" s="1073">
        <f>IF(FU67=0,0,(FV67-FU67)/FU67*100)</f>
        <v>0</v>
      </c>
      <c r="FX67" s="1282"/>
      <c r="FY67" s="1282"/>
      <c r="FZ67" s="1032" t="s">
        <v>1540</v>
      </c>
      <c r="GA67" s="1284"/>
      <c r="GB67" s="1284"/>
      <c r="GC67" s="1283"/>
      <c r="GD67" s="1283"/>
    </row>
    <row customHeight="1" ht="21.9375" hidden="1">
      <c r="A68" s="466"/>
      <c r="B68" s="901" cm="1" t="str">
        <f t="array" ref="B68:B68">B67</f>
        <v>false</v>
      </c>
      <c r="C68" s="466"/>
      <c r="D68" s="466"/>
      <c r="E68" s="816">
        <v>22.5</v>
      </c>
      <c r="F68" s="50" cm="1" t="str">
        <f t="array" ref="F68:F68">OFFSET(E68,-1,1)</f>
        <v>0</v>
      </c>
      <c r="G68" s="466"/>
      <c r="H68" s="466" t="s">
        <v>1515</v>
      </c>
      <c r="I68" s="466" t="s">
        <v>1493</v>
      </c>
      <c r="J68" s="466"/>
      <c r="K68" s="466"/>
      <c r="L68" s="466"/>
      <c r="M68" s="466"/>
      <c r="N68" s="466"/>
      <c r="O68" s="466"/>
      <c r="P68" s="466"/>
      <c r="Q68" s="466"/>
      <c r="R68" s="466"/>
      <c r="S68" s="466"/>
      <c r="T68" s="438" cm="1" t="str">
        <f t="array" ref="T68:T68">T67</f>
        <v>false</v>
      </c>
      <c r="U68" s="466"/>
      <c r="V68" s="466"/>
      <c r="W68" s="466"/>
      <c r="X68" s="1541"/>
      <c r="Y68" s="466"/>
      <c r="Z68" s="1493"/>
      <c r="AA68" s="466"/>
      <c r="AB68" s="880"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8" s="840" t="s">
        <v>1516</v>
      </c>
      <c r="AD68" s="2912"/>
      <c r="AE68" s="2912"/>
      <c r="AF68" s="1071">
        <f>IF(AD68=0,0,(AE68-AD68)/AD68*100)</f>
        <v>0</v>
      </c>
      <c r="AG68" s="2912"/>
      <c r="AH68" s="2912"/>
      <c r="AI68" s="1071">
        <f>IF(AG68=0,0,(AH68-AG68)/AG68*100)</f>
        <v>0</v>
      </c>
      <c r="AJ68" s="2912"/>
      <c r="AK68" s="2912"/>
      <c r="AL68" s="1071">
        <f>IF(AJ68=0,0,(AK68-AJ68)/AJ68*100)</f>
        <v>0</v>
      </c>
      <c r="AM68" s="2912"/>
      <c r="AN68" s="2912"/>
      <c r="AO68" s="1071">
        <f>IF(AM68=0,0,(AN68-AM68)/AM68*100)</f>
        <v>0</v>
      </c>
      <c r="AP68" s="2912"/>
      <c r="AQ68" s="2912"/>
      <c r="AR68" s="1071">
        <f>IF(AP68=0,0,(AQ68-AP68)/AP68*100)</f>
        <v>0</v>
      </c>
      <c r="AS68" s="2912"/>
      <c r="AT68" s="2912"/>
      <c r="AU68" s="1071">
        <f>IF(AS68=0,0,(AT68-AS68)/AS68*100)</f>
        <v>0</v>
      </c>
      <c r="AV68" s="2912"/>
      <c r="AW68" s="2912"/>
      <c r="AX68" s="1071">
        <f>IF(AV68=0,0,(AW68-AV68)/AV68*100)</f>
        <v>0</v>
      </c>
      <c r="AY68" s="2912"/>
      <c r="AZ68" s="2912"/>
      <c r="BA68" s="1071">
        <f>IF(AY68=0,0,(AZ68-AY68)/AY68*100)</f>
        <v>0</v>
      </c>
      <c r="BB68" s="2912"/>
      <c r="BC68" s="2912"/>
      <c r="BD68" s="1071">
        <f>IF(BB68=0,0,(BC68-BB68)/BB68*100)</f>
        <v>0</v>
      </c>
      <c r="BE68" s="2912"/>
      <c r="BF68" s="2912"/>
      <c r="BG68" s="1071">
        <f>IF(BE68=0,0,(BF68-BE68)/BE68*100)</f>
        <v>0</v>
      </c>
      <c r="BH68" s="2912"/>
      <c r="BI68" s="2912"/>
      <c r="BJ68" s="1071">
        <f>IF(BH68=0,0,(BI68-BH68)/BH68*100)</f>
        <v>0</v>
      </c>
      <c r="BK68" s="2912"/>
      <c r="BL68" s="2912"/>
      <c r="BM68" s="1071">
        <f>IF(BK68=0,0,(BL68-BK68)/BK68*100)</f>
        <v>0</v>
      </c>
      <c r="BN68" s="2912"/>
      <c r="BO68" s="2912"/>
      <c r="BP68" s="1071">
        <f>IF(BN68=0,0,(BO68-BN68)/BN68*100)</f>
        <v>0</v>
      </c>
      <c r="BQ68" s="2912"/>
      <c r="BR68" s="2912"/>
      <c r="BS68" s="1071">
        <f>IF(BQ68=0,0,(BR68-BQ68)/BQ68*100)</f>
        <v>0</v>
      </c>
      <c r="BT68" s="2912"/>
      <c r="BU68" s="2912"/>
      <c r="BV68" s="1071">
        <f>IF(BT68=0,0,(BU68-BT68)/BT68*100)</f>
        <v>0</v>
      </c>
      <c r="BW68" s="2912"/>
      <c r="BX68" s="2912"/>
      <c r="BY68" s="1071">
        <f>IF(BW68=0,0,(BX68-BW68)/BW68*100)</f>
        <v>0</v>
      </c>
      <c r="BZ68" s="2912"/>
      <c r="CA68" s="2912"/>
      <c r="CB68" s="1071">
        <f>IF(BZ68=0,0,(CA68-BZ68)/BZ68*100)</f>
        <v>0</v>
      </c>
      <c r="CC68" s="2912"/>
      <c r="CD68" s="2912"/>
      <c r="CE68" s="1071">
        <f>IF(CC68=0,0,(CD68-CC68)/CC68*100)</f>
        <v>0</v>
      </c>
      <c r="CF68" s="2912"/>
      <c r="CG68" s="2912"/>
      <c r="CH68" s="1071">
        <f>IF(CF68=0,0,(CG68-CF68)/CF68*100)</f>
        <v>0</v>
      </c>
      <c r="CI68" s="2912"/>
      <c r="CJ68" s="2912"/>
      <c r="CK68" s="1071">
        <f>IF(CI68=0,0,(CJ68-CI68)/CI68*100)</f>
        <v>0</v>
      </c>
      <c r="CL68" s="2912"/>
      <c r="CM68" s="2912"/>
      <c r="CN68" s="1071">
        <f>IF(CL68=0,0,(CM68-CL68)/CL68*100)</f>
        <v>0</v>
      </c>
      <c r="CO68" s="2912"/>
      <c r="CP68" s="2912"/>
      <c r="CQ68" s="1071">
        <f>IF(CO68=0,0,(CP68-CO68)/CO68*100)</f>
        <v>0</v>
      </c>
      <c r="CR68" s="2912"/>
      <c r="CS68" s="2912"/>
      <c r="CT68" s="1071">
        <f>IF(CR68=0,0,(CS68-CR68)/CR68*100)</f>
        <v>0</v>
      </c>
      <c r="CU68" s="2912"/>
      <c r="CV68" s="2912"/>
      <c r="CW68" s="1071">
        <f>IF(CU68=0,0,(CV68-CU68)/CU68*100)</f>
        <v>0</v>
      </c>
      <c r="CX68" s="2912"/>
      <c r="CY68" s="2912"/>
      <c r="CZ68" s="1071">
        <f>IF(CX68=0,0,(CY68-CX68)/CX68*100)</f>
        <v>0</v>
      </c>
      <c r="DA68" s="2912"/>
      <c r="DB68" s="2912"/>
      <c r="DC68" s="1071">
        <f>IF(DA68=0,0,(DB68-DA68)/DA68*100)</f>
        <v>0</v>
      </c>
      <c r="DD68" s="2912"/>
      <c r="DE68" s="2912"/>
      <c r="DF68" s="1071">
        <f>IF(DD68=0,0,(DE68-DD68)/DD68*100)</f>
        <v>0</v>
      </c>
      <c r="DG68" s="2912"/>
      <c r="DH68" s="2912"/>
      <c r="DI68" s="1071">
        <f>IF(DG68=0,0,(DH68-DG68)/DG68*100)</f>
        <v>0</v>
      </c>
      <c r="DJ68" s="2912"/>
      <c r="DK68" s="2912"/>
      <c r="DL68" s="1071">
        <f>IF(DJ68=0,0,(DK68-DJ68)/DJ68*100)</f>
        <v>0</v>
      </c>
      <c r="DM68" s="2912"/>
      <c r="DN68" s="2912"/>
      <c r="DO68" s="1071">
        <f>IF(DM68=0,0,(DN68-DM68)/DM68*100)</f>
        <v>0</v>
      </c>
      <c r="DP68" s="2912"/>
      <c r="DQ68" s="2912"/>
      <c r="DR68" s="1071">
        <f>IF(DP68=0,0,(DQ68-DP68)/DP68*100)</f>
        <v>0</v>
      </c>
      <c r="DS68" s="2912"/>
      <c r="DT68" s="2912"/>
      <c r="DU68" s="1071">
        <f>IF(DS68=0,0,(DT68-DS68)/DS68*100)</f>
        <v>0</v>
      </c>
      <c r="DV68" s="2912"/>
      <c r="DW68" s="2912"/>
      <c r="DX68" s="1071">
        <f>IF(DV68=0,0,(DW68-DV68)/DV68*100)</f>
        <v>0</v>
      </c>
      <c r="DY68" s="2912"/>
      <c r="DZ68" s="2912"/>
      <c r="EA68" s="1071">
        <f>IF(DY68=0,0,(DZ68-DY68)/DY68*100)</f>
        <v>0</v>
      </c>
      <c r="EB68" s="2912"/>
      <c r="EC68" s="2912"/>
      <c r="ED68" s="1071">
        <f>IF(EB68=0,0,(EC68-EB68)/EB68*100)</f>
        <v>0</v>
      </c>
      <c r="EE68" s="2912"/>
      <c r="EF68" s="2912"/>
      <c r="EG68" s="1071">
        <f>IF(EE68=0,0,(EF68-EE68)/EE68*100)</f>
        <v>0</v>
      </c>
      <c r="EH68" s="2912"/>
      <c r="EI68" s="2912"/>
      <c r="EJ68" s="1071">
        <f>IF(EH68=0,0,(EI68-EH68)/EH68*100)</f>
        <v>0</v>
      </c>
      <c r="EK68" s="2912"/>
      <c r="EL68" s="2912"/>
      <c r="EM68" s="1071">
        <f>IF(EK68=0,0,(EL68-EK68)/EK68*100)</f>
        <v>0</v>
      </c>
      <c r="EN68" s="2912"/>
      <c r="EO68" s="2912"/>
      <c r="EP68" s="1071">
        <f>IF(EN68=0,0,(EO68-EN68)/EN68*100)</f>
        <v>0</v>
      </c>
      <c r="EQ68" s="2912"/>
      <c r="ER68" s="2912"/>
      <c r="ES68" s="1071">
        <f>IF(EQ68=0,0,(ER68-EQ68)/EQ68*100)</f>
        <v>0</v>
      </c>
      <c r="ET68" s="2912"/>
      <c r="EU68" s="2912"/>
      <c r="EV68" s="1071">
        <f>IF(ET68=0,0,(EU68-ET68)/ET68*100)</f>
        <v>0</v>
      </c>
      <c r="EW68" s="2912"/>
      <c r="EX68" s="2912"/>
      <c r="EY68" s="1071">
        <f>IF(EW68=0,0,(EX68-EW68)/EW68*100)</f>
        <v>0</v>
      </c>
      <c r="EZ68" s="2912"/>
      <c r="FA68" s="2912"/>
      <c r="FB68" s="1071">
        <f>IF(EZ68=0,0,(FA68-EZ68)/EZ68*100)</f>
        <v>0</v>
      </c>
      <c r="FC68" s="2912"/>
      <c r="FD68" s="2912"/>
      <c r="FE68" s="1071">
        <f>IF(FC68=0,0,(FD68-FC68)/FC68*100)</f>
        <v>0</v>
      </c>
      <c r="FF68" s="2912"/>
      <c r="FG68" s="2912"/>
      <c r="FH68" s="1071">
        <f>IF(FF68=0,0,(FG68-FF68)/FF68*100)</f>
        <v>0</v>
      </c>
      <c r="FI68" s="2912"/>
      <c r="FJ68" s="2912"/>
      <c r="FK68" s="1071">
        <f>IF(FI68=0,0,(FJ68-FI68)/FI68*100)</f>
        <v>0</v>
      </c>
      <c r="FL68" s="2912"/>
      <c r="FM68" s="2912"/>
      <c r="FN68" s="1071">
        <f>IF(FL68=0,0,(FM68-FL68)/FL68*100)</f>
        <v>0</v>
      </c>
      <c r="FO68" s="2912"/>
      <c r="FP68" s="2912"/>
      <c r="FQ68" s="1071">
        <f>IF(FO68=0,0,(FP68-FO68)/FO68*100)</f>
        <v>0</v>
      </c>
      <c r="FR68" s="2912"/>
      <c r="FS68" s="2912"/>
      <c r="FT68" s="1071">
        <f>IF(FR68=0,0,(FS68-FR68)/FR68*100)</f>
        <v>0</v>
      </c>
      <c r="FU68" s="2912"/>
      <c r="FV68" s="2912"/>
      <c r="FW68" s="1071">
        <f>IF(FU68=0,0,(FV68-FU68)/FU68*100)</f>
        <v>0</v>
      </c>
      <c r="FX68" s="1282"/>
      <c r="FY68" s="1282"/>
      <c r="FZ68" s="1032" t="s">
        <v>1541</v>
      </c>
      <c r="GA68" s="1284"/>
      <c r="GB68" s="1284"/>
      <c r="GC68" s="1283"/>
      <c r="GD68" s="1283"/>
    </row>
    <row customHeight="1" ht="14.625" hidden="1">
      <c r="A69" s="466"/>
      <c r="B69" s="901" cm="1" t="str">
        <f t="array" ref="B69:B69">B68</f>
        <v>false</v>
      </c>
      <c r="C69" s="466"/>
      <c r="D69" s="466"/>
      <c r="E69" s="816">
        <v>15</v>
      </c>
      <c r="F69" s="50" cm="1" t="str">
        <f t="array" ref="F69:F69">OFFSET(E69,-1,1)</f>
        <v>0</v>
      </c>
      <c r="G69" s="466"/>
      <c r="H69" s="466" t="s">
        <v>1518</v>
      </c>
      <c r="I69" s="466" t="s">
        <v>1493</v>
      </c>
      <c r="J69" s="466"/>
      <c r="K69" s="466"/>
      <c r="L69" s="466"/>
      <c r="M69" s="466"/>
      <c r="N69" s="466"/>
      <c r="O69" s="466"/>
      <c r="P69" s="466"/>
      <c r="Q69" s="466"/>
      <c r="R69" s="466"/>
      <c r="S69" s="466"/>
      <c r="T69" s="438" cm="1" t="str">
        <f t="array" ref="T69:T69">T68</f>
        <v>false</v>
      </c>
      <c r="U69" s="466"/>
      <c r="V69" s="466"/>
      <c r="W69" s="466"/>
      <c r="X69" s="1541"/>
      <c r="Y69" s="466"/>
      <c r="Z69" s="1493"/>
      <c r="AA69" s="466"/>
      <c r="AB69" s="880" t="s">
        <v>1519</v>
      </c>
      <c r="AC69" s="840" t="s">
        <v>1520</v>
      </c>
      <c r="AD69" s="2912"/>
      <c r="AE69" s="2912"/>
      <c r="AF69" s="1071">
        <f>IF(AD69=0,0,(AE69-AD69)/AD69*100)</f>
        <v>0</v>
      </c>
      <c r="AG69" s="2912"/>
      <c r="AH69" s="2912"/>
      <c r="AI69" s="1071">
        <f>IF(AG69=0,0,(AH69-AG69)/AG69*100)</f>
        <v>0</v>
      </c>
      <c r="AJ69" s="2912"/>
      <c r="AK69" s="2912"/>
      <c r="AL69" s="1071">
        <f>IF(AJ69=0,0,(AK69-AJ69)/AJ69*100)</f>
        <v>0</v>
      </c>
      <c r="AM69" s="2912"/>
      <c r="AN69" s="2912"/>
      <c r="AO69" s="1071">
        <f>IF(AM69=0,0,(AN69-AM69)/AM69*100)</f>
        <v>0</v>
      </c>
      <c r="AP69" s="2912"/>
      <c r="AQ69" s="2912"/>
      <c r="AR69" s="1071">
        <f>IF(AP69=0,0,(AQ69-AP69)/AP69*100)</f>
        <v>0</v>
      </c>
      <c r="AS69" s="2912"/>
      <c r="AT69" s="2912"/>
      <c r="AU69" s="1071">
        <f>IF(AS69=0,0,(AT69-AS69)/AS69*100)</f>
        <v>0</v>
      </c>
      <c r="AV69" s="2912"/>
      <c r="AW69" s="2912"/>
      <c r="AX69" s="1071">
        <f>IF(AV69=0,0,(AW69-AV69)/AV69*100)</f>
        <v>0</v>
      </c>
      <c r="AY69" s="2912"/>
      <c r="AZ69" s="2912"/>
      <c r="BA69" s="1071">
        <f>IF(AY69=0,0,(AZ69-AY69)/AY69*100)</f>
        <v>0</v>
      </c>
      <c r="BB69" s="2912"/>
      <c r="BC69" s="2912"/>
      <c r="BD69" s="1071">
        <f>IF(BB69=0,0,(BC69-BB69)/BB69*100)</f>
        <v>0</v>
      </c>
      <c r="BE69" s="2912"/>
      <c r="BF69" s="2912"/>
      <c r="BG69" s="1071">
        <f>IF(BE69=0,0,(BF69-BE69)/BE69*100)</f>
        <v>0</v>
      </c>
      <c r="BH69" s="2912"/>
      <c r="BI69" s="2912"/>
      <c r="BJ69" s="1071">
        <f>IF(BH69=0,0,(BI69-BH69)/BH69*100)</f>
        <v>0</v>
      </c>
      <c r="BK69" s="2912"/>
      <c r="BL69" s="2912"/>
      <c r="BM69" s="1071">
        <f>IF(BK69=0,0,(BL69-BK69)/BK69*100)</f>
        <v>0</v>
      </c>
      <c r="BN69" s="2912"/>
      <c r="BO69" s="2912"/>
      <c r="BP69" s="1071">
        <f>IF(BN69=0,0,(BO69-BN69)/BN69*100)</f>
        <v>0</v>
      </c>
      <c r="BQ69" s="2912"/>
      <c r="BR69" s="2912"/>
      <c r="BS69" s="1071">
        <f>IF(BQ69=0,0,(BR69-BQ69)/BQ69*100)</f>
        <v>0</v>
      </c>
      <c r="BT69" s="2912"/>
      <c r="BU69" s="2912"/>
      <c r="BV69" s="1071">
        <f>IF(BT69=0,0,(BU69-BT69)/BT69*100)</f>
        <v>0</v>
      </c>
      <c r="BW69" s="2912"/>
      <c r="BX69" s="2912"/>
      <c r="BY69" s="1071">
        <f>IF(BW69=0,0,(BX69-BW69)/BW69*100)</f>
        <v>0</v>
      </c>
      <c r="BZ69" s="2912"/>
      <c r="CA69" s="2912"/>
      <c r="CB69" s="1071">
        <f>IF(BZ69=0,0,(CA69-BZ69)/BZ69*100)</f>
        <v>0</v>
      </c>
      <c r="CC69" s="2912"/>
      <c r="CD69" s="2912"/>
      <c r="CE69" s="1071">
        <f>IF(CC69=0,0,(CD69-CC69)/CC69*100)</f>
        <v>0</v>
      </c>
      <c r="CF69" s="2912"/>
      <c r="CG69" s="2912"/>
      <c r="CH69" s="1071">
        <f>IF(CF69=0,0,(CG69-CF69)/CF69*100)</f>
        <v>0</v>
      </c>
      <c r="CI69" s="2912"/>
      <c r="CJ69" s="2912"/>
      <c r="CK69" s="1071">
        <f>IF(CI69=0,0,(CJ69-CI69)/CI69*100)</f>
        <v>0</v>
      </c>
      <c r="CL69" s="2912"/>
      <c r="CM69" s="2912"/>
      <c r="CN69" s="1071">
        <f>IF(CL69=0,0,(CM69-CL69)/CL69*100)</f>
        <v>0</v>
      </c>
      <c r="CO69" s="2912"/>
      <c r="CP69" s="2912"/>
      <c r="CQ69" s="1071">
        <f>IF(CO69=0,0,(CP69-CO69)/CO69*100)</f>
        <v>0</v>
      </c>
      <c r="CR69" s="2912"/>
      <c r="CS69" s="2912"/>
      <c r="CT69" s="1071">
        <f>IF(CR69=0,0,(CS69-CR69)/CR69*100)</f>
        <v>0</v>
      </c>
      <c r="CU69" s="2912"/>
      <c r="CV69" s="2912"/>
      <c r="CW69" s="1071">
        <f>IF(CU69=0,0,(CV69-CU69)/CU69*100)</f>
        <v>0</v>
      </c>
      <c r="CX69" s="2912"/>
      <c r="CY69" s="2912"/>
      <c r="CZ69" s="1071">
        <f>IF(CX69=0,0,(CY69-CX69)/CX69*100)</f>
        <v>0</v>
      </c>
      <c r="DA69" s="2912"/>
      <c r="DB69" s="2912"/>
      <c r="DC69" s="1071">
        <f>IF(DA69=0,0,(DB69-DA69)/DA69*100)</f>
        <v>0</v>
      </c>
      <c r="DD69" s="2912"/>
      <c r="DE69" s="2912"/>
      <c r="DF69" s="1071">
        <f>IF(DD69=0,0,(DE69-DD69)/DD69*100)</f>
        <v>0</v>
      </c>
      <c r="DG69" s="2912"/>
      <c r="DH69" s="2912"/>
      <c r="DI69" s="1071">
        <f>IF(DG69=0,0,(DH69-DG69)/DG69*100)</f>
        <v>0</v>
      </c>
      <c r="DJ69" s="2912"/>
      <c r="DK69" s="2912"/>
      <c r="DL69" s="1071">
        <f>IF(DJ69=0,0,(DK69-DJ69)/DJ69*100)</f>
        <v>0</v>
      </c>
      <c r="DM69" s="2912"/>
      <c r="DN69" s="2912"/>
      <c r="DO69" s="1071">
        <f>IF(DM69=0,0,(DN69-DM69)/DM69*100)</f>
        <v>0</v>
      </c>
      <c r="DP69" s="2912"/>
      <c r="DQ69" s="2912"/>
      <c r="DR69" s="1071">
        <f>IF(DP69=0,0,(DQ69-DP69)/DP69*100)</f>
        <v>0</v>
      </c>
      <c r="DS69" s="2912"/>
      <c r="DT69" s="2912"/>
      <c r="DU69" s="1071">
        <f>IF(DS69=0,0,(DT69-DS69)/DS69*100)</f>
        <v>0</v>
      </c>
      <c r="DV69" s="2912"/>
      <c r="DW69" s="2912"/>
      <c r="DX69" s="1071">
        <f>IF(DV69=0,0,(DW69-DV69)/DV69*100)</f>
        <v>0</v>
      </c>
      <c r="DY69" s="2912"/>
      <c r="DZ69" s="2912"/>
      <c r="EA69" s="1071">
        <f>IF(DY69=0,0,(DZ69-DY69)/DY69*100)</f>
        <v>0</v>
      </c>
      <c r="EB69" s="2912"/>
      <c r="EC69" s="2912"/>
      <c r="ED69" s="1071">
        <f>IF(EB69=0,0,(EC69-EB69)/EB69*100)</f>
        <v>0</v>
      </c>
      <c r="EE69" s="2912"/>
      <c r="EF69" s="2912"/>
      <c r="EG69" s="1071">
        <f>IF(EE69=0,0,(EF69-EE69)/EE69*100)</f>
        <v>0</v>
      </c>
      <c r="EH69" s="2912"/>
      <c r="EI69" s="2912"/>
      <c r="EJ69" s="1071">
        <f>IF(EH69=0,0,(EI69-EH69)/EH69*100)</f>
        <v>0</v>
      </c>
      <c r="EK69" s="2912"/>
      <c r="EL69" s="2912"/>
      <c r="EM69" s="1071">
        <f>IF(EK69=0,0,(EL69-EK69)/EK69*100)</f>
        <v>0</v>
      </c>
      <c r="EN69" s="2912"/>
      <c r="EO69" s="2912"/>
      <c r="EP69" s="1071">
        <f>IF(EN69=0,0,(EO69-EN69)/EN69*100)</f>
        <v>0</v>
      </c>
      <c r="EQ69" s="2912"/>
      <c r="ER69" s="2912"/>
      <c r="ES69" s="1071">
        <f>IF(EQ69=0,0,(ER69-EQ69)/EQ69*100)</f>
        <v>0</v>
      </c>
      <c r="ET69" s="2912"/>
      <c r="EU69" s="2912"/>
      <c r="EV69" s="1071">
        <f>IF(ET69=0,0,(EU69-ET69)/ET69*100)</f>
        <v>0</v>
      </c>
      <c r="EW69" s="2912"/>
      <c r="EX69" s="2912"/>
      <c r="EY69" s="1071">
        <f>IF(EW69=0,0,(EX69-EW69)/EW69*100)</f>
        <v>0</v>
      </c>
      <c r="EZ69" s="2912"/>
      <c r="FA69" s="2912"/>
      <c r="FB69" s="1071">
        <f>IF(EZ69=0,0,(FA69-EZ69)/EZ69*100)</f>
        <v>0</v>
      </c>
      <c r="FC69" s="2912"/>
      <c r="FD69" s="2912"/>
      <c r="FE69" s="1071">
        <f>IF(FC69=0,0,(FD69-FC69)/FC69*100)</f>
        <v>0</v>
      </c>
      <c r="FF69" s="2912"/>
      <c r="FG69" s="2912"/>
      <c r="FH69" s="1071">
        <f>IF(FF69=0,0,(FG69-FF69)/FF69*100)</f>
        <v>0</v>
      </c>
      <c r="FI69" s="2912"/>
      <c r="FJ69" s="2912"/>
      <c r="FK69" s="1071">
        <f>IF(FI69=0,0,(FJ69-FI69)/FI69*100)</f>
        <v>0</v>
      </c>
      <c r="FL69" s="2912"/>
      <c r="FM69" s="2912"/>
      <c r="FN69" s="1071">
        <f>IF(FL69=0,0,(FM69-FL69)/FL69*100)</f>
        <v>0</v>
      </c>
      <c r="FO69" s="2912"/>
      <c r="FP69" s="2912"/>
      <c r="FQ69" s="1071">
        <f>IF(FO69=0,0,(FP69-FO69)/FO69*100)</f>
        <v>0</v>
      </c>
      <c r="FR69" s="2912"/>
      <c r="FS69" s="2912"/>
      <c r="FT69" s="1071">
        <f>IF(FR69=0,0,(FS69-FR69)/FR69*100)</f>
        <v>0</v>
      </c>
      <c r="FU69" s="2912"/>
      <c r="FV69" s="2912"/>
      <c r="FW69" s="1071">
        <f>IF(FU69=0,0,(FV69-FU69)/FU69*100)</f>
        <v>0</v>
      </c>
      <c r="FX69" s="1282"/>
      <c r="FY69" s="1282"/>
      <c r="FZ69" s="1032" t="s">
        <v>1542</v>
      </c>
      <c r="GA69" s="1284"/>
      <c r="GB69" s="1284"/>
      <c r="GC69" s="1283"/>
      <c r="GD69" s="1283"/>
    </row>
    <row customHeight="1" ht="18.28125" hidden="1">
      <c r="A70" s="466"/>
      <c r="B70" s="901" cm="1" t="str">
        <f t="array" ref="B70:B70">B69</f>
        <v>false</v>
      </c>
      <c r="C70" s="466"/>
      <c r="D70" s="466"/>
      <c r="E70" s="816">
        <v>18.75</v>
      </c>
      <c r="F70" s="50" cm="1" t="str">
        <f t="array" ref="F70:F70">OFFSET(E70,-1,1)</f>
        <v>0</v>
      </c>
      <c r="G70" s="466"/>
      <c r="H70" s="466"/>
      <c r="I70" s="466"/>
      <c r="J70" s="466"/>
      <c r="K70" s="466"/>
      <c r="L70" s="466"/>
      <c r="M70" s="466"/>
      <c r="N70" s="466"/>
      <c r="O70" s="466"/>
      <c r="P70" s="466"/>
      <c r="Q70" s="466"/>
      <c r="R70" s="466"/>
      <c r="S70" s="466"/>
      <c r="T70" s="438">
        <f>AND(F70&gt;0,Y70&gt;0)</f>
        <v>0</v>
      </c>
      <c r="U70" s="466"/>
      <c r="V70" s="466"/>
      <c r="W70" s="466" t="s">
        <v>172</v>
      </c>
      <c r="X70" s="1541"/>
      <c r="Y70" s="1541">
        <v>0</v>
      </c>
      <c r="Z70" s="1493"/>
      <c r="AA70" s="1442" t="s">
        <v>173</v>
      </c>
      <c r="AB70" s="2911"/>
      <c r="AC70" s="841"/>
      <c r="AD70" s="1083"/>
      <c r="AE70" s="1084"/>
      <c r="AF70" s="1084"/>
      <c r="AG70" s="1083"/>
      <c r="AH70" s="1084"/>
      <c r="AI70" s="1084"/>
      <c r="AJ70" s="1083"/>
      <c r="AK70" s="1084"/>
      <c r="AL70" s="1084"/>
      <c r="AM70" s="1083"/>
      <c r="AN70" s="1084"/>
      <c r="AO70" s="1084"/>
      <c r="AP70" s="1083"/>
      <c r="AQ70" s="1084"/>
      <c r="AR70" s="1084"/>
      <c r="AS70" s="1083"/>
      <c r="AT70" s="1084"/>
      <c r="AU70" s="1084"/>
      <c r="AV70" s="1083"/>
      <c r="AW70" s="1084"/>
      <c r="AX70" s="1084"/>
      <c r="AY70" s="1083"/>
      <c r="AZ70" s="1084"/>
      <c r="BA70" s="1084"/>
      <c r="BB70" s="1083"/>
      <c r="BC70" s="1084"/>
      <c r="BD70" s="1084"/>
      <c r="BE70" s="1083"/>
      <c r="BF70" s="1084"/>
      <c r="BG70" s="1084"/>
      <c r="BH70" s="1083"/>
      <c r="BI70" s="1084"/>
      <c r="BJ70" s="1084"/>
      <c r="BK70" s="1083"/>
      <c r="BL70" s="1084"/>
      <c r="BM70" s="1084"/>
      <c r="BN70" s="1083"/>
      <c r="BO70" s="1084"/>
      <c r="BP70" s="1084"/>
      <c r="BQ70" s="1083"/>
      <c r="BR70" s="1084"/>
      <c r="BS70" s="1084"/>
      <c r="BT70" s="1083"/>
      <c r="BU70" s="1084"/>
      <c r="BV70" s="1084"/>
      <c r="BW70" s="1083"/>
      <c r="BX70" s="1084"/>
      <c r="BY70" s="1084"/>
      <c r="BZ70" s="1083"/>
      <c r="CA70" s="1084"/>
      <c r="CB70" s="1084"/>
      <c r="CC70" s="1083"/>
      <c r="CD70" s="1084"/>
      <c r="CE70" s="1084"/>
      <c r="CF70" s="1083"/>
      <c r="CG70" s="1084"/>
      <c r="CH70" s="1084"/>
      <c r="CI70" s="1083"/>
      <c r="CJ70" s="1084"/>
      <c r="CK70" s="1084"/>
      <c r="CL70" s="1083"/>
      <c r="CM70" s="1084"/>
      <c r="CN70" s="1084"/>
      <c r="CO70" s="1083"/>
      <c r="CP70" s="1084"/>
      <c r="CQ70" s="1084"/>
      <c r="CR70" s="1083"/>
      <c r="CS70" s="1084"/>
      <c r="CT70" s="1084"/>
      <c r="CU70" s="1083"/>
      <c r="CV70" s="1084"/>
      <c r="CW70" s="1084"/>
      <c r="CX70" s="1083"/>
      <c r="CY70" s="1084"/>
      <c r="CZ70" s="1084"/>
      <c r="DA70" s="1083"/>
      <c r="DB70" s="1084"/>
      <c r="DC70" s="1084"/>
      <c r="DD70" s="1083"/>
      <c r="DE70" s="1084"/>
      <c r="DF70" s="1084"/>
      <c r="DG70" s="1083"/>
      <c r="DH70" s="1084"/>
      <c r="DI70" s="1084"/>
      <c r="DJ70" s="1083"/>
      <c r="DK70" s="1084"/>
      <c r="DL70" s="1084"/>
      <c r="DM70" s="1083"/>
      <c r="DN70" s="1084"/>
      <c r="DO70" s="1084"/>
      <c r="DP70" s="1083"/>
      <c r="DQ70" s="1084"/>
      <c r="DR70" s="1084"/>
      <c r="DS70" s="1083"/>
      <c r="DT70" s="1084"/>
      <c r="DU70" s="1084"/>
      <c r="DV70" s="1083"/>
      <c r="DW70" s="1084"/>
      <c r="DX70" s="1084"/>
      <c r="DY70" s="1083"/>
      <c r="DZ70" s="1084"/>
      <c r="EA70" s="1084"/>
      <c r="EB70" s="1083"/>
      <c r="EC70" s="1084"/>
      <c r="ED70" s="1084"/>
      <c r="EE70" s="1083"/>
      <c r="EF70" s="1084"/>
      <c r="EG70" s="1084"/>
      <c r="EH70" s="1083"/>
      <c r="EI70" s="1084"/>
      <c r="EJ70" s="1084"/>
      <c r="EK70" s="1083"/>
      <c r="EL70" s="1084"/>
      <c r="EM70" s="1084"/>
      <c r="EN70" s="1083"/>
      <c r="EO70" s="1084"/>
      <c r="EP70" s="1084"/>
      <c r="EQ70" s="1083"/>
      <c r="ER70" s="1084"/>
      <c r="ES70" s="1084"/>
      <c r="ET70" s="1083"/>
      <c r="EU70" s="1084"/>
      <c r="EV70" s="1084"/>
      <c r="EW70" s="1083"/>
      <c r="EX70" s="1084"/>
      <c r="EY70" s="1084"/>
      <c r="EZ70" s="1083"/>
      <c r="FA70" s="1084"/>
      <c r="FB70" s="1084"/>
      <c r="FC70" s="1083"/>
      <c r="FD70" s="1084"/>
      <c r="FE70" s="1084"/>
      <c r="FF70" s="1083"/>
      <c r="FG70" s="1084"/>
      <c r="FH70" s="1084"/>
      <c r="FI70" s="1083"/>
      <c r="FJ70" s="1084"/>
      <c r="FK70" s="1084"/>
      <c r="FL70" s="1083"/>
      <c r="FM70" s="1084"/>
      <c r="FN70" s="1084"/>
      <c r="FO70" s="1083"/>
      <c r="FP70" s="1084"/>
      <c r="FQ70" s="1084"/>
      <c r="FR70" s="1083"/>
      <c r="FS70" s="1084"/>
      <c r="FT70" s="1084"/>
      <c r="FU70" s="1083"/>
      <c r="FV70" s="1084"/>
      <c r="FW70" s="1085"/>
      <c r="FX70" s="1282"/>
      <c r="FY70" s="1282"/>
      <c r="FZ70" s="1032"/>
      <c r="GA70" s="1284"/>
      <c r="GB70" s="1284"/>
      <c r="GC70" s="1283"/>
      <c r="GD70" s="607" t="b">
        <v>1</v>
      </c>
    </row>
    <row customHeight="1" ht="14.625" hidden="1">
      <c r="A71" s="466"/>
      <c r="B71" s="901" cm="1" t="str">
        <f t="array" ref="B71:B71">B70</f>
        <v>false</v>
      </c>
      <c r="C71" s="466"/>
      <c r="D71" s="466"/>
      <c r="E71" s="816">
        <v>15</v>
      </c>
      <c r="F71" s="50" cm="1" t="str">
        <f t="array" ref="F71:F71">OFFSET(E71,-1,1)</f>
        <v>0</v>
      </c>
      <c r="G71" s="466"/>
      <c r="H71" s="466" t="s">
        <v>1434</v>
      </c>
      <c r="I71" s="466" cm="1" t="str">
        <f t="array" ref="I71:I71">AB70</f>
        <v>0</v>
      </c>
      <c r="J71" s="466"/>
      <c r="K71" s="466"/>
      <c r="L71" s="466"/>
      <c r="M71" s="466"/>
      <c r="N71" s="466"/>
      <c r="O71" s="466"/>
      <c r="P71" s="466"/>
      <c r="Q71" s="466"/>
      <c r="R71" s="466"/>
      <c r="S71" s="466"/>
      <c r="T71" s="438" cm="1" t="str">
        <f t="array" ref="T71:T71">T70</f>
        <v>false</v>
      </c>
      <c r="U71" s="466"/>
      <c r="V71" s="466"/>
      <c r="W71" s="466"/>
      <c r="X71" s="1541"/>
      <c r="Y71" s="1541"/>
      <c r="Z71" s="1493"/>
      <c r="AA71" s="1442"/>
      <c r="AB71" s="880" t="s">
        <v>1509</v>
      </c>
      <c r="AC71" s="840" t="s">
        <v>1476</v>
      </c>
      <c r="AD71" s="2912">
        <f>IF(AD73=0,0,(AD72*AD73+AD74*AD75*IF(god=2026,3,6))/AD73)</f>
        <v>0</v>
      </c>
      <c r="AE71" s="2912">
        <f>IF(AE73=0,0,(AE72*AE73+AE74*AE75*IF(god=2026,3,6))/AE73)</f>
        <v>0</v>
      </c>
      <c r="AF71" s="1071">
        <f>IF(AD71=0,0,(AE71-AD71)/AD71*100)</f>
        <v>0</v>
      </c>
      <c r="AG71" s="2912">
        <f>IF(AG73=0,0,(AG72*AG73+AG74*AG75*IF(god=2025,3,6))/AG73)</f>
        <v>0</v>
      </c>
      <c r="AH71" s="2912">
        <f>IF(AH73=0,0,(AH72*AH73+AH74*AH75*IF(god=2025,3,6))/AH73)</f>
        <v>0</v>
      </c>
      <c r="AI71" s="1071">
        <f>IF(AG71=0,0,(AH71-AG71)/AG71*100)</f>
        <v>0</v>
      </c>
      <c r="AJ71" s="2912">
        <f>IF(AJ73=0,0,(AJ72*AJ73+AJ74*AJ75*6)/AJ73)</f>
        <v>0</v>
      </c>
      <c r="AK71" s="2912">
        <f>IF(AK73=0,0,(AK72*AK73+AK74*AK75*6)/AK73)</f>
        <v>0</v>
      </c>
      <c r="AL71" s="1071">
        <f>IF(AJ71=0,0,(AK71-AJ71)/AJ71*100)</f>
        <v>0</v>
      </c>
      <c r="AM71" s="2912">
        <f>IF(AM73=0,0,(AM72*AM73+AM74*AM75*6)/AM73)</f>
        <v>0</v>
      </c>
      <c r="AN71" s="2912">
        <f>IF(AN73=0,0,(AN72*AN73+AN74*AN75*6)/AN73)</f>
        <v>0</v>
      </c>
      <c r="AO71" s="1071">
        <f>IF(AM71=0,0,(AN71-AM71)/AM71*100)</f>
        <v>0</v>
      </c>
      <c r="AP71" s="2912">
        <f>IF(AP73=0,0,(AP72*AP73+AP74*AP75*6)/AP73)</f>
        <v>0</v>
      </c>
      <c r="AQ71" s="2912">
        <f>IF(AQ73=0,0,(AQ72*AQ73+AQ74*AQ75*6)/AQ73)</f>
        <v>0</v>
      </c>
      <c r="AR71" s="1071">
        <f>IF(AP71=0,0,(AQ71-AP71)/AP71*100)</f>
        <v>0</v>
      </c>
      <c r="AS71" s="2912">
        <f>IF(AS73=0,0,(AS72*AS73+AS74*AS75*6)/AS73)</f>
        <v>0</v>
      </c>
      <c r="AT71" s="2912">
        <f>IF(AT73=0,0,(AT72*AT73+AT74*AT75*6)/AT73)</f>
        <v>0</v>
      </c>
      <c r="AU71" s="1071">
        <f>IF(AS71=0,0,(AT71-AS71)/AS71*100)</f>
        <v>0</v>
      </c>
      <c r="AV71" s="2912">
        <f>IF(AV73=0,0,(AV72*AV73+AV74*AV75*6)/AV73)</f>
        <v>0</v>
      </c>
      <c r="AW71" s="2912">
        <f>IF(AW73=0,0,(AW72*AW73+AW74*AW75*6)/AW73)</f>
        <v>0</v>
      </c>
      <c r="AX71" s="1071">
        <f>IF(AV71=0,0,(AW71-AV71)/AV71*100)</f>
        <v>0</v>
      </c>
      <c r="AY71" s="2912">
        <f>IF(AY73=0,0,(AY72*AY73+AY74*AY75*6)/AY73)</f>
        <v>0</v>
      </c>
      <c r="AZ71" s="2912">
        <f>IF(AZ73=0,0,(AZ72*AZ73+AZ74*AZ75*6)/AZ73)</f>
        <v>0</v>
      </c>
      <c r="BA71" s="1071">
        <f>IF(AY71=0,0,(AZ71-AY71)/AY71*100)</f>
        <v>0</v>
      </c>
      <c r="BB71" s="2912">
        <f>IF(BB73=0,0,(BB72*BB73+BB74*BB75*6)/BB73)</f>
        <v>0</v>
      </c>
      <c r="BC71" s="2912">
        <f>IF(BC73=0,0,(BC72*BC73+BC74*BC75*6)/BC73)</f>
        <v>0</v>
      </c>
      <c r="BD71" s="1071">
        <f>IF(BB71=0,0,(BC71-BB71)/BB71*100)</f>
        <v>0</v>
      </c>
      <c r="BE71" s="2912">
        <f>IF(BE73=0,0,(BE72*BE73+BE74*BE75*6)/BE73)</f>
        <v>0</v>
      </c>
      <c r="BF71" s="2912">
        <f>IF(BF73=0,0,(BF72*BF73+BF74*BF75*6)/BF73)</f>
        <v>0</v>
      </c>
      <c r="BG71" s="1071">
        <f>IF(BE71=0,0,(BF71-BE71)/BE71*100)</f>
        <v>0</v>
      </c>
      <c r="BH71" s="2912">
        <f>IF(BH73=0,0,(BH72*BH73+BH74*BH75*6)/BH73)</f>
        <v>0</v>
      </c>
      <c r="BI71" s="2912">
        <f>IF(BI73=0,0,(BI72*BI73+BI74*BI75*6)/BI73)</f>
        <v>0</v>
      </c>
      <c r="BJ71" s="1071">
        <f>IF(BH71=0,0,(BI71-BH71)/BH71*100)</f>
        <v>0</v>
      </c>
      <c r="BK71" s="2912">
        <f>IF(BK73=0,0,(BK72*BK73+BK74*BK75*6)/BK73)</f>
        <v>0</v>
      </c>
      <c r="BL71" s="2912">
        <f>IF(BL73=0,0,(BL72*BL73+BL74*BL75*6)/BL73)</f>
        <v>0</v>
      </c>
      <c r="BM71" s="1071">
        <f>IF(BK71=0,0,(BL71-BK71)/BK71*100)</f>
        <v>0</v>
      </c>
      <c r="BN71" s="2912">
        <f>IF(BN73=0,0,(BN72*BN73+BN74*BN75*6)/BN73)</f>
        <v>0</v>
      </c>
      <c r="BO71" s="2912">
        <f>IF(BO73=0,0,(BO72*BO73+BO74*BO75*6)/BO73)</f>
        <v>0</v>
      </c>
      <c r="BP71" s="1071">
        <f>IF(BN71=0,0,(BO71-BN71)/BN71*100)</f>
        <v>0</v>
      </c>
      <c r="BQ71" s="2912">
        <f>IF(BQ73=0,0,(BQ72*BQ73+BQ74*BQ75*6)/BQ73)</f>
        <v>0</v>
      </c>
      <c r="BR71" s="2912">
        <f>IF(BR73=0,0,(BR72*BR73+BR74*BR75*6)/BR73)</f>
        <v>0</v>
      </c>
      <c r="BS71" s="1071">
        <f>IF(BQ71=0,0,(BR71-BQ71)/BQ71*100)</f>
        <v>0</v>
      </c>
      <c r="BT71" s="2912">
        <f>IF(BT73=0,0,(BT72*BT73+BT74*BT75*6)/BT73)</f>
        <v>0</v>
      </c>
      <c r="BU71" s="2912">
        <f>IF(BU73=0,0,(BU72*BU73+BU74*BU75*6)/BU73)</f>
        <v>0</v>
      </c>
      <c r="BV71" s="1071">
        <f>IF(BT71=0,0,(BU71-BT71)/BT71*100)</f>
        <v>0</v>
      </c>
      <c r="BW71" s="2912">
        <f>IF(BW73=0,0,(BW72*BW73+BW74*BW75*6)/BW73)</f>
        <v>0</v>
      </c>
      <c r="BX71" s="2912">
        <f>IF(BX73=0,0,(BX72*BX73+BX74*BX75*6)/BX73)</f>
        <v>0</v>
      </c>
      <c r="BY71" s="1071">
        <f>IF(BW71=0,0,(BX71-BW71)/BW71*100)</f>
        <v>0</v>
      </c>
      <c r="BZ71" s="2912">
        <f>IF(BZ73=0,0,(BZ72*BZ73+BZ74*BZ75*6)/BZ73)</f>
        <v>0</v>
      </c>
      <c r="CA71" s="2912">
        <f>IF(CA73=0,0,(CA72*CA73+CA74*CA75*6)/CA73)</f>
        <v>0</v>
      </c>
      <c r="CB71" s="1071">
        <f>IF(BZ71=0,0,(CA71-BZ71)/BZ71*100)</f>
        <v>0</v>
      </c>
      <c r="CC71" s="2912">
        <f>IF(CC73=0,0,(CC72*CC73+CC74*CC75*6)/CC73)</f>
        <v>0</v>
      </c>
      <c r="CD71" s="2912">
        <f>IF(CD73=0,0,(CD72*CD73+CD74*CD75*6)/CD73)</f>
        <v>0</v>
      </c>
      <c r="CE71" s="1071">
        <f>IF(CC71=0,0,(CD71-CC71)/CC71*100)</f>
        <v>0</v>
      </c>
      <c r="CF71" s="2912">
        <f>IF(CF73=0,0,(CF72*CF73+CF74*CF75*6)/CF73)</f>
        <v>0</v>
      </c>
      <c r="CG71" s="2912">
        <f>IF(CG73=0,0,(CG72*CG73+CG74*CG75*6)/CG73)</f>
        <v>0</v>
      </c>
      <c r="CH71" s="1071">
        <f>IF(CF71=0,0,(CG71-CF71)/CF71*100)</f>
        <v>0</v>
      </c>
      <c r="CI71" s="2912">
        <f>IF(CI73=0,0,(CI72*CI73+CI74*CI75*6)/CI73)</f>
        <v>0</v>
      </c>
      <c r="CJ71" s="2912">
        <f>IF(CJ73=0,0,(CJ72*CJ73+CJ74*CJ75*6)/CJ73)</f>
        <v>0</v>
      </c>
      <c r="CK71" s="1071">
        <f>IF(CI71=0,0,(CJ71-CI71)/CI71*100)</f>
        <v>0</v>
      </c>
      <c r="CL71" s="2912">
        <f>IF(CL73=0,0,(CL72*CL73+CL74*CL75*6)/CL73)</f>
        <v>0</v>
      </c>
      <c r="CM71" s="2912">
        <f>IF(CM73=0,0,(CM72*CM73+CM74*CM75*6)/CM73)</f>
        <v>0</v>
      </c>
      <c r="CN71" s="1071">
        <f>IF(CL71=0,0,(CM71-CL71)/CL71*100)</f>
        <v>0</v>
      </c>
      <c r="CO71" s="2912">
        <f>IF(CO73=0,0,(CO72*CO73+CO74*CO75*6)/CO73)</f>
        <v>0</v>
      </c>
      <c r="CP71" s="2912">
        <f>IF(CP73=0,0,(CP72*CP73+CP74*CP75*6)/CP73)</f>
        <v>0</v>
      </c>
      <c r="CQ71" s="1071">
        <f>IF(CO71=0,0,(CP71-CO71)/CO71*100)</f>
        <v>0</v>
      </c>
      <c r="CR71" s="2912">
        <f>IF(CR73=0,0,(CR72*CR73+CR74*CR75*6)/CR73)</f>
        <v>0</v>
      </c>
      <c r="CS71" s="2912">
        <f>IF(CS73=0,0,(CS72*CS73+CS74*CS75*6)/CS73)</f>
        <v>0</v>
      </c>
      <c r="CT71" s="1071">
        <f>IF(CR71=0,0,(CS71-CR71)/CR71*100)</f>
        <v>0</v>
      </c>
      <c r="CU71" s="2912">
        <f>IF(CU73=0,0,(CU72*CU73+CU74*CU75*6)/CU73)</f>
        <v>0</v>
      </c>
      <c r="CV71" s="2912">
        <f>IF(CV73=0,0,(CV72*CV73+CV74*CV75*6)/CV73)</f>
        <v>0</v>
      </c>
      <c r="CW71" s="1071">
        <f>IF(CU71=0,0,(CV71-CU71)/CU71*100)</f>
        <v>0</v>
      </c>
      <c r="CX71" s="2912">
        <f>IF(CX73=0,0,(CX72*CX73+CX74*CX75*6)/CX73)</f>
        <v>0</v>
      </c>
      <c r="CY71" s="2912">
        <f>IF(CY73=0,0,(CY72*CY73+CY74*CY75*6)/CY73)</f>
        <v>0</v>
      </c>
      <c r="CZ71" s="1071">
        <f>IF(CX71=0,0,(CY71-CX71)/CX71*100)</f>
        <v>0</v>
      </c>
      <c r="DA71" s="2912">
        <f>IF(DA73=0,0,(DA72*DA73+DA74*DA75*6)/DA73)</f>
        <v>0</v>
      </c>
      <c r="DB71" s="2912">
        <f>IF(DB73=0,0,(DB72*DB73+DB74*DB75*6)/DB73)</f>
        <v>0</v>
      </c>
      <c r="DC71" s="1071">
        <f>IF(DA71=0,0,(DB71-DA71)/DA71*100)</f>
        <v>0</v>
      </c>
      <c r="DD71" s="2912">
        <f>IF(DD73=0,0,(DD72*DD73+DD74*DD75*6)/DD73)</f>
        <v>0</v>
      </c>
      <c r="DE71" s="2912">
        <f>IF(DE73=0,0,(DE72*DE73+DE74*DE75*6)/DE73)</f>
        <v>0</v>
      </c>
      <c r="DF71" s="1071">
        <f>IF(DD71=0,0,(DE71-DD71)/DD71*100)</f>
        <v>0</v>
      </c>
      <c r="DG71" s="2912">
        <f>IF(DG73=0,0,(DG72*DG73+DG74*DG75*6)/DG73)</f>
        <v>0</v>
      </c>
      <c r="DH71" s="2912">
        <f>IF(DH73=0,0,(DH72*DH73+DH74*DH75*6)/DH73)</f>
        <v>0</v>
      </c>
      <c r="DI71" s="1071">
        <f>IF(DG71=0,0,(DH71-DG71)/DG71*100)</f>
        <v>0</v>
      </c>
      <c r="DJ71" s="2912">
        <f>IF(DJ73=0,0,(DJ72*DJ73+DJ74*DJ75*6)/DJ73)</f>
        <v>0</v>
      </c>
      <c r="DK71" s="2912">
        <f>IF(DK73=0,0,(DK72*DK73+DK74*DK75*6)/DK73)</f>
        <v>0</v>
      </c>
      <c r="DL71" s="1071">
        <f>IF(DJ71=0,0,(DK71-DJ71)/DJ71*100)</f>
        <v>0</v>
      </c>
      <c r="DM71" s="2912">
        <f>IF(DM73=0,0,(DM72*DM73+DM74*DM75*6)/DM73)</f>
        <v>0</v>
      </c>
      <c r="DN71" s="2912">
        <f>IF(DN73=0,0,(DN72*DN73+DN74*DN75*6)/DN73)</f>
        <v>0</v>
      </c>
      <c r="DO71" s="1071">
        <f>IF(DM71=0,0,(DN71-DM71)/DM71*100)</f>
        <v>0</v>
      </c>
      <c r="DP71" s="2912">
        <f>IF(DP73=0,0,(DP72*DP73+DP74*DP75*6)/DP73)</f>
        <v>0</v>
      </c>
      <c r="DQ71" s="2912">
        <f>IF(DQ73=0,0,(DQ72*DQ73+DQ74*DQ75*6)/DQ73)</f>
        <v>0</v>
      </c>
      <c r="DR71" s="1071">
        <f>IF(DP71=0,0,(DQ71-DP71)/DP71*100)</f>
        <v>0</v>
      </c>
      <c r="DS71" s="2912">
        <f>IF(DS73=0,0,(DS72*DS73+DS74*DS75*6)/DS73)</f>
        <v>0</v>
      </c>
      <c r="DT71" s="2912">
        <f>IF(DT73=0,0,(DT72*DT73+DT74*DT75*6)/DT73)</f>
        <v>0</v>
      </c>
      <c r="DU71" s="1071">
        <f>IF(DS71=0,0,(DT71-DS71)/DS71*100)</f>
        <v>0</v>
      </c>
      <c r="DV71" s="2912">
        <f>IF(DV73=0,0,(DV72*DV73+DV74*DV75*6)/DV73)</f>
        <v>0</v>
      </c>
      <c r="DW71" s="2912">
        <f>IF(DW73=0,0,(DW72*DW73+DW74*DW75*6)/DW73)</f>
        <v>0</v>
      </c>
      <c r="DX71" s="1071">
        <f>IF(DV71=0,0,(DW71-DV71)/DV71*100)</f>
        <v>0</v>
      </c>
      <c r="DY71" s="2912">
        <f>IF(DY73=0,0,(DY72*DY73+DY74*DY75*6)/DY73)</f>
        <v>0</v>
      </c>
      <c r="DZ71" s="2912">
        <f>IF(DZ73=0,0,(DZ72*DZ73+DZ74*DZ75*6)/DZ73)</f>
        <v>0</v>
      </c>
      <c r="EA71" s="1071">
        <f>IF(DY71=0,0,(DZ71-DY71)/DY71*100)</f>
        <v>0</v>
      </c>
      <c r="EB71" s="2912">
        <f>IF(EB73=0,0,(EB72*EB73+EB74*EB75*6)/EB73)</f>
        <v>0</v>
      </c>
      <c r="EC71" s="2912">
        <f>IF(EC73=0,0,(EC72*EC73+EC74*EC75*6)/EC73)</f>
        <v>0</v>
      </c>
      <c r="ED71" s="1071">
        <f>IF(EB71=0,0,(EC71-EB71)/EB71*100)</f>
        <v>0</v>
      </c>
      <c r="EE71" s="2912">
        <f>IF(EE73=0,0,(EE72*EE73+EE74*EE75*6)/EE73)</f>
        <v>0</v>
      </c>
      <c r="EF71" s="2912">
        <f>IF(EF73=0,0,(EF72*EF73+EF74*EF75*6)/EF73)</f>
        <v>0</v>
      </c>
      <c r="EG71" s="1071">
        <f>IF(EE71=0,0,(EF71-EE71)/EE71*100)</f>
        <v>0</v>
      </c>
      <c r="EH71" s="2912">
        <f>IF(EH73=0,0,(EH72*EH73+EH74*EH75*6)/EH73)</f>
        <v>0</v>
      </c>
      <c r="EI71" s="2912">
        <f>IF(EI73=0,0,(EI72*EI73+EI74*EI75*6)/EI73)</f>
        <v>0</v>
      </c>
      <c r="EJ71" s="1071">
        <f>IF(EH71=0,0,(EI71-EH71)/EH71*100)</f>
        <v>0</v>
      </c>
      <c r="EK71" s="2912">
        <f>IF(EK73=0,0,(EK72*EK73+EK74*EK75*6)/EK73)</f>
        <v>0</v>
      </c>
      <c r="EL71" s="2912">
        <f>IF(EL73=0,0,(EL72*EL73+EL74*EL75*6)/EL73)</f>
        <v>0</v>
      </c>
      <c r="EM71" s="1071">
        <f>IF(EK71=0,0,(EL71-EK71)/EK71*100)</f>
        <v>0</v>
      </c>
      <c r="EN71" s="2912">
        <f>IF(EN73=0,0,(EN72*EN73+EN74*EN75*6)/EN73)</f>
        <v>0</v>
      </c>
      <c r="EO71" s="2912">
        <f>IF(EO73=0,0,(EO72*EO73+EO74*EO75*6)/EO73)</f>
        <v>0</v>
      </c>
      <c r="EP71" s="1071">
        <f>IF(EN71=0,0,(EO71-EN71)/EN71*100)</f>
        <v>0</v>
      </c>
      <c r="EQ71" s="2912">
        <f>IF(EQ73=0,0,(EQ72*EQ73+EQ74*EQ75*6)/EQ73)</f>
        <v>0</v>
      </c>
      <c r="ER71" s="2912">
        <f>IF(ER73=0,0,(ER72*ER73+ER74*ER75*6)/ER73)</f>
        <v>0</v>
      </c>
      <c r="ES71" s="1071">
        <f>IF(EQ71=0,0,(ER71-EQ71)/EQ71*100)</f>
        <v>0</v>
      </c>
      <c r="ET71" s="2912">
        <f>IF(ET73=0,0,(ET72*ET73+ET74*ET75*6)/ET73)</f>
        <v>0</v>
      </c>
      <c r="EU71" s="2912">
        <f>IF(EU73=0,0,(EU72*EU73+EU74*EU75*6)/EU73)</f>
        <v>0</v>
      </c>
      <c r="EV71" s="1071">
        <f>IF(ET71=0,0,(EU71-ET71)/ET71*100)</f>
        <v>0</v>
      </c>
      <c r="EW71" s="2912">
        <f>IF(EW73=0,0,(EW72*EW73+EW74*EW75*6)/EW73)</f>
        <v>0</v>
      </c>
      <c r="EX71" s="2912">
        <f>IF(EX73=0,0,(EX72*EX73+EX74*EX75*6)/EX73)</f>
        <v>0</v>
      </c>
      <c r="EY71" s="1071">
        <f>IF(EW71=0,0,(EX71-EW71)/EW71*100)</f>
        <v>0</v>
      </c>
      <c r="EZ71" s="2912">
        <f>IF(EZ73=0,0,(EZ72*EZ73+EZ74*EZ75*6)/EZ73)</f>
        <v>0</v>
      </c>
      <c r="FA71" s="2912">
        <f>IF(FA73=0,0,(FA72*FA73+FA74*FA75*6)/FA73)</f>
        <v>0</v>
      </c>
      <c r="FB71" s="1071">
        <f>IF(EZ71=0,0,(FA71-EZ71)/EZ71*100)</f>
        <v>0</v>
      </c>
      <c r="FC71" s="2912">
        <f>IF(FC73=0,0,(FC72*FC73+FC74*FC75*6)/FC73)</f>
        <v>0</v>
      </c>
      <c r="FD71" s="2912">
        <f>IF(FD73=0,0,(FD72*FD73+FD74*FD75*6)/FD73)</f>
        <v>0</v>
      </c>
      <c r="FE71" s="1071">
        <f>IF(FC71=0,0,(FD71-FC71)/FC71*100)</f>
        <v>0</v>
      </c>
      <c r="FF71" s="2912">
        <f>IF(FF73=0,0,(FF72*FF73+FF74*FF75*6)/FF73)</f>
        <v>0</v>
      </c>
      <c r="FG71" s="2912">
        <f>IF(FG73=0,0,(FG72*FG73+FG74*FG75*6)/FG73)</f>
        <v>0</v>
      </c>
      <c r="FH71" s="1071">
        <f>IF(FF71=0,0,(FG71-FF71)/FF71*100)</f>
        <v>0</v>
      </c>
      <c r="FI71" s="2912">
        <f>IF(FI73=0,0,(FI72*FI73+FI74*FI75*6)/FI73)</f>
        <v>0</v>
      </c>
      <c r="FJ71" s="2912">
        <f>IF(FJ73=0,0,(FJ72*FJ73+FJ74*FJ75*6)/FJ73)</f>
        <v>0</v>
      </c>
      <c r="FK71" s="1071">
        <f>IF(FI71=0,0,(FJ71-FI71)/FI71*100)</f>
        <v>0</v>
      </c>
      <c r="FL71" s="2912">
        <f>IF(FL73=0,0,(FL72*FL73+FL74*FL75*6)/FL73)</f>
        <v>0</v>
      </c>
      <c r="FM71" s="2912">
        <f>IF(FM73=0,0,(FM72*FM73+FM74*FM75*6)/FM73)</f>
        <v>0</v>
      </c>
      <c r="FN71" s="1071">
        <f>IF(FL71=0,0,(FM71-FL71)/FL71*100)</f>
        <v>0</v>
      </c>
      <c r="FO71" s="2912">
        <f>IF(FO73=0,0,(FO72*FO73+FO74*FO75*6)/FO73)</f>
        <v>0</v>
      </c>
      <c r="FP71" s="2912">
        <f>IF(FP73=0,0,(FP72*FP73+FP74*FP75*6)/FP73)</f>
        <v>0</v>
      </c>
      <c r="FQ71" s="1071">
        <f>IF(FO71=0,0,(FP71-FO71)/FO71*100)</f>
        <v>0</v>
      </c>
      <c r="FR71" s="2912">
        <f>IF(FR73=0,0,(FR72*FR73+FR74*FR75*6)/FR73)</f>
        <v>0</v>
      </c>
      <c r="FS71" s="2912">
        <f>IF(FS73=0,0,(FS72*FS73+FS74*FS75*6)/FS73)</f>
        <v>0</v>
      </c>
      <c r="FT71" s="1071">
        <f>IF(FR71=0,0,(FS71-FR71)/FR71*100)</f>
        <v>0</v>
      </c>
      <c r="FU71" s="2912">
        <f>IF(FU73=0,0,(FU72*FU73+FU74*FU75*6)/FU73)</f>
        <v>0</v>
      </c>
      <c r="FV71" s="2912">
        <f>IF(FV73=0,0,(FV72*FV73+FV74*FV75*6)/FV73)</f>
        <v>0</v>
      </c>
      <c r="FW71" s="1071">
        <f>IF(FU71=0,0,(FV71-FU71)/FU71*100)</f>
        <v>0</v>
      </c>
      <c r="FX71" s="1282"/>
      <c r="FY71" s="1282"/>
      <c r="FZ71" s="1032" t="s">
        <v>1543</v>
      </c>
      <c r="GA71" s="992" t="s">
        <v>818</v>
      </c>
      <c r="GB71" s="1034" cm="1" t="str">
        <f t="array" ref="GB71:GB71">AB70</f>
        <v>0</v>
      </c>
      <c r="GC71" s="1283"/>
      <c r="GD71" s="1283"/>
    </row>
    <row customHeight="1" ht="14.625" hidden="1">
      <c r="A72" s="466"/>
      <c r="B72" s="901" cm="1" t="str">
        <f t="array" ref="B72:B72">B71</f>
        <v>false</v>
      </c>
      <c r="C72" s="466"/>
      <c r="D72" s="466"/>
      <c r="E72" s="816">
        <v>15</v>
      </c>
      <c r="F72" s="50" cm="1" t="str">
        <f t="array" ref="F72:F72">OFFSET(E72,-1,1)</f>
        <v>0</v>
      </c>
      <c r="G72" s="466"/>
      <c r="H72" s="466" t="s">
        <v>1438</v>
      </c>
      <c r="I72" s="466" cm="1" t="str">
        <f t="array" ref="I72:I72">I71</f>
        <v>0</v>
      </c>
      <c r="J72" s="466"/>
      <c r="K72" s="466"/>
      <c r="L72" s="466"/>
      <c r="M72" s="466"/>
      <c r="N72" s="466"/>
      <c r="O72" s="466"/>
      <c r="P72" s="466"/>
      <c r="Q72" s="466"/>
      <c r="R72" s="466"/>
      <c r="S72" s="466"/>
      <c r="T72" s="438" cm="1" t="str">
        <f t="array" ref="T72:T72">T71</f>
        <v>false</v>
      </c>
      <c r="U72" s="466"/>
      <c r="V72" s="466"/>
      <c r="W72" s="466"/>
      <c r="X72" s="1541"/>
      <c r="Y72" s="1541"/>
      <c r="Z72" s="1493"/>
      <c r="AA72" s="1442"/>
      <c r="AB72" s="880" t="str">
        <f>"ставка платы за "&amp;IF(Q29="Водоснабжение","потребление 1 куб.м холодной воды","объем принятых сточных вод")</f>
        <v>ставка платы за объем принятых сточных вод</v>
      </c>
      <c r="AC72" s="840" t="s">
        <v>1476</v>
      </c>
      <c r="AD72" s="2912"/>
      <c r="AE72" s="2912"/>
      <c r="AF72" s="1071">
        <f>IF(AD72=0,0,(AE72-AD72)/AD72*100)</f>
        <v>0</v>
      </c>
      <c r="AG72" s="2912"/>
      <c r="AH72" s="2912"/>
      <c r="AI72" s="1071">
        <f>IF(AG72=0,0,(AH72-AG72)/AG72*100)</f>
        <v>0</v>
      </c>
      <c r="AJ72" s="2912"/>
      <c r="AK72" s="2912"/>
      <c r="AL72" s="1071">
        <f>IF(AJ72=0,0,(AK72-AJ72)/AJ72*100)</f>
        <v>0</v>
      </c>
      <c r="AM72" s="2912"/>
      <c r="AN72" s="2912"/>
      <c r="AO72" s="1071">
        <f>IF(AM72=0,0,(AN72-AM72)/AM72*100)</f>
        <v>0</v>
      </c>
      <c r="AP72" s="2912"/>
      <c r="AQ72" s="2912"/>
      <c r="AR72" s="1071">
        <f>IF(AP72=0,0,(AQ72-AP72)/AP72*100)</f>
        <v>0</v>
      </c>
      <c r="AS72" s="2912"/>
      <c r="AT72" s="2912"/>
      <c r="AU72" s="1071">
        <f>IF(AS72=0,0,(AT72-AS72)/AS72*100)</f>
        <v>0</v>
      </c>
      <c r="AV72" s="2912"/>
      <c r="AW72" s="2912"/>
      <c r="AX72" s="1071">
        <f>IF(AV72=0,0,(AW72-AV72)/AV72*100)</f>
        <v>0</v>
      </c>
      <c r="AY72" s="2912"/>
      <c r="AZ72" s="2912"/>
      <c r="BA72" s="1071">
        <f>IF(AY72=0,0,(AZ72-AY72)/AY72*100)</f>
        <v>0</v>
      </c>
      <c r="BB72" s="2912"/>
      <c r="BC72" s="2912"/>
      <c r="BD72" s="1071">
        <f>IF(BB72=0,0,(BC72-BB72)/BB72*100)</f>
        <v>0</v>
      </c>
      <c r="BE72" s="2912"/>
      <c r="BF72" s="2912"/>
      <c r="BG72" s="1071">
        <f>IF(BE72=0,0,(BF72-BE72)/BE72*100)</f>
        <v>0</v>
      </c>
      <c r="BH72" s="2912"/>
      <c r="BI72" s="2912"/>
      <c r="BJ72" s="1071">
        <f>IF(BH72=0,0,(BI72-BH72)/BH72*100)</f>
        <v>0</v>
      </c>
      <c r="BK72" s="2912"/>
      <c r="BL72" s="2912"/>
      <c r="BM72" s="1071">
        <f>IF(BK72=0,0,(BL72-BK72)/BK72*100)</f>
        <v>0</v>
      </c>
      <c r="BN72" s="2912"/>
      <c r="BO72" s="2912"/>
      <c r="BP72" s="1071">
        <f>IF(BN72=0,0,(BO72-BN72)/BN72*100)</f>
        <v>0</v>
      </c>
      <c r="BQ72" s="2912"/>
      <c r="BR72" s="2912"/>
      <c r="BS72" s="1071">
        <f>IF(BQ72=0,0,(BR72-BQ72)/BQ72*100)</f>
        <v>0</v>
      </c>
      <c r="BT72" s="2912"/>
      <c r="BU72" s="2912"/>
      <c r="BV72" s="1071">
        <f>IF(BT72=0,0,(BU72-BT72)/BT72*100)</f>
        <v>0</v>
      </c>
      <c r="BW72" s="2912"/>
      <c r="BX72" s="2912"/>
      <c r="BY72" s="1071">
        <f>IF(BW72=0,0,(BX72-BW72)/BW72*100)</f>
        <v>0</v>
      </c>
      <c r="BZ72" s="2912"/>
      <c r="CA72" s="2912"/>
      <c r="CB72" s="1071">
        <f>IF(BZ72=0,0,(CA72-BZ72)/BZ72*100)</f>
        <v>0</v>
      </c>
      <c r="CC72" s="2912"/>
      <c r="CD72" s="2912"/>
      <c r="CE72" s="1071">
        <f>IF(CC72=0,0,(CD72-CC72)/CC72*100)</f>
        <v>0</v>
      </c>
      <c r="CF72" s="2912"/>
      <c r="CG72" s="2912"/>
      <c r="CH72" s="1071">
        <f>IF(CF72=0,0,(CG72-CF72)/CF72*100)</f>
        <v>0</v>
      </c>
      <c r="CI72" s="2912"/>
      <c r="CJ72" s="2912"/>
      <c r="CK72" s="1071">
        <f>IF(CI72=0,0,(CJ72-CI72)/CI72*100)</f>
        <v>0</v>
      </c>
      <c r="CL72" s="2912"/>
      <c r="CM72" s="2912"/>
      <c r="CN72" s="1071">
        <f>IF(CL72=0,0,(CM72-CL72)/CL72*100)</f>
        <v>0</v>
      </c>
      <c r="CO72" s="2912"/>
      <c r="CP72" s="2912"/>
      <c r="CQ72" s="1071">
        <f>IF(CO72=0,0,(CP72-CO72)/CO72*100)</f>
        <v>0</v>
      </c>
      <c r="CR72" s="2912"/>
      <c r="CS72" s="2912"/>
      <c r="CT72" s="1071">
        <f>IF(CR72=0,0,(CS72-CR72)/CR72*100)</f>
        <v>0</v>
      </c>
      <c r="CU72" s="2912"/>
      <c r="CV72" s="2912"/>
      <c r="CW72" s="1071">
        <f>IF(CU72=0,0,(CV72-CU72)/CU72*100)</f>
        <v>0</v>
      </c>
      <c r="CX72" s="2912"/>
      <c r="CY72" s="2912"/>
      <c r="CZ72" s="1071">
        <f>IF(CX72=0,0,(CY72-CX72)/CX72*100)</f>
        <v>0</v>
      </c>
      <c r="DA72" s="2912"/>
      <c r="DB72" s="2912"/>
      <c r="DC72" s="1071">
        <f>IF(DA72=0,0,(DB72-DA72)/DA72*100)</f>
        <v>0</v>
      </c>
      <c r="DD72" s="2912"/>
      <c r="DE72" s="2912"/>
      <c r="DF72" s="1071">
        <f>IF(DD72=0,0,(DE72-DD72)/DD72*100)</f>
        <v>0</v>
      </c>
      <c r="DG72" s="2912"/>
      <c r="DH72" s="2912"/>
      <c r="DI72" s="1071">
        <f>IF(DG72=0,0,(DH72-DG72)/DG72*100)</f>
        <v>0</v>
      </c>
      <c r="DJ72" s="2912"/>
      <c r="DK72" s="2912"/>
      <c r="DL72" s="1071">
        <f>IF(DJ72=0,0,(DK72-DJ72)/DJ72*100)</f>
        <v>0</v>
      </c>
      <c r="DM72" s="2912"/>
      <c r="DN72" s="2912"/>
      <c r="DO72" s="1071">
        <f>IF(DM72=0,0,(DN72-DM72)/DM72*100)</f>
        <v>0</v>
      </c>
      <c r="DP72" s="2912"/>
      <c r="DQ72" s="2912"/>
      <c r="DR72" s="1071">
        <f>IF(DP72=0,0,(DQ72-DP72)/DP72*100)</f>
        <v>0</v>
      </c>
      <c r="DS72" s="2912"/>
      <c r="DT72" s="2912"/>
      <c r="DU72" s="1071">
        <f>IF(DS72=0,0,(DT72-DS72)/DS72*100)</f>
        <v>0</v>
      </c>
      <c r="DV72" s="2912"/>
      <c r="DW72" s="2912"/>
      <c r="DX72" s="1071">
        <f>IF(DV72=0,0,(DW72-DV72)/DV72*100)</f>
        <v>0</v>
      </c>
      <c r="DY72" s="2912"/>
      <c r="DZ72" s="2912"/>
      <c r="EA72" s="1071">
        <f>IF(DY72=0,0,(DZ72-DY72)/DY72*100)</f>
        <v>0</v>
      </c>
      <c r="EB72" s="2912"/>
      <c r="EC72" s="2912"/>
      <c r="ED72" s="1071">
        <f>IF(EB72=0,0,(EC72-EB72)/EB72*100)</f>
        <v>0</v>
      </c>
      <c r="EE72" s="2912"/>
      <c r="EF72" s="2912"/>
      <c r="EG72" s="1071">
        <f>IF(EE72=0,0,(EF72-EE72)/EE72*100)</f>
        <v>0</v>
      </c>
      <c r="EH72" s="2912"/>
      <c r="EI72" s="2912"/>
      <c r="EJ72" s="1071">
        <f>IF(EH72=0,0,(EI72-EH72)/EH72*100)</f>
        <v>0</v>
      </c>
      <c r="EK72" s="2912"/>
      <c r="EL72" s="2912"/>
      <c r="EM72" s="1071">
        <f>IF(EK72=0,0,(EL72-EK72)/EK72*100)</f>
        <v>0</v>
      </c>
      <c r="EN72" s="2912"/>
      <c r="EO72" s="2912"/>
      <c r="EP72" s="1071">
        <f>IF(EN72=0,0,(EO72-EN72)/EN72*100)</f>
        <v>0</v>
      </c>
      <c r="EQ72" s="2912"/>
      <c r="ER72" s="2912"/>
      <c r="ES72" s="1071">
        <f>IF(EQ72=0,0,(ER72-EQ72)/EQ72*100)</f>
        <v>0</v>
      </c>
      <c r="ET72" s="2912"/>
      <c r="EU72" s="2912"/>
      <c r="EV72" s="1071">
        <f>IF(ET72=0,0,(EU72-ET72)/ET72*100)</f>
        <v>0</v>
      </c>
      <c r="EW72" s="2912"/>
      <c r="EX72" s="2912"/>
      <c r="EY72" s="1071">
        <f>IF(EW72=0,0,(EX72-EW72)/EW72*100)</f>
        <v>0</v>
      </c>
      <c r="EZ72" s="2912"/>
      <c r="FA72" s="2912"/>
      <c r="FB72" s="1071">
        <f>IF(EZ72=0,0,(FA72-EZ72)/EZ72*100)</f>
        <v>0</v>
      </c>
      <c r="FC72" s="2912"/>
      <c r="FD72" s="2912"/>
      <c r="FE72" s="1071">
        <f>IF(FC72=0,0,(FD72-FC72)/FC72*100)</f>
        <v>0</v>
      </c>
      <c r="FF72" s="2912"/>
      <c r="FG72" s="2912"/>
      <c r="FH72" s="1071">
        <f>IF(FF72=0,0,(FG72-FF72)/FF72*100)</f>
        <v>0</v>
      </c>
      <c r="FI72" s="2912"/>
      <c r="FJ72" s="2912"/>
      <c r="FK72" s="1071">
        <f>IF(FI72=0,0,(FJ72-FI72)/FI72*100)</f>
        <v>0</v>
      </c>
      <c r="FL72" s="2912"/>
      <c r="FM72" s="2912"/>
      <c r="FN72" s="1071">
        <f>IF(FL72=0,0,(FM72-FL72)/FL72*100)</f>
        <v>0</v>
      </c>
      <c r="FO72" s="2912"/>
      <c r="FP72" s="2912"/>
      <c r="FQ72" s="1071">
        <f>IF(FO72=0,0,(FP72-FO72)/FO72*100)</f>
        <v>0</v>
      </c>
      <c r="FR72" s="2912"/>
      <c r="FS72" s="2912"/>
      <c r="FT72" s="1071">
        <f>IF(FR72=0,0,(FS72-FR72)/FR72*100)</f>
        <v>0</v>
      </c>
      <c r="FU72" s="2912"/>
      <c r="FV72" s="2912"/>
      <c r="FW72" s="1071">
        <f>IF(FU72=0,0,(FV72-FU72)/FU72*100)</f>
        <v>0</v>
      </c>
      <c r="FX72" s="1282"/>
      <c r="FY72" s="1282"/>
      <c r="FZ72" s="1032" t="s">
        <v>1544</v>
      </c>
      <c r="GA72" s="992" t="s">
        <v>818</v>
      </c>
      <c r="GB72" s="992" cm="1" t="str">
        <f t="array" ref="GB72:GB72">GB71</f>
        <v>0</v>
      </c>
      <c r="GC72" s="1283"/>
      <c r="GD72" s="1283"/>
    </row>
    <row customHeight="1" ht="14.625" hidden="1">
      <c r="A73" s="466"/>
      <c r="B73" s="901" cm="1" t="str">
        <f t="array" ref="B73:B73">B72</f>
        <v>false</v>
      </c>
      <c r="C73" s="466"/>
      <c r="D73" s="466"/>
      <c r="E73" s="816">
        <v>15</v>
      </c>
      <c r="F73" s="50" cm="1" t="str">
        <f t="array" ref="F73:F73">OFFSET(E73,-1,1)</f>
        <v>0</v>
      </c>
      <c r="G73" s="466"/>
      <c r="H73" s="466" t="s">
        <v>1513</v>
      </c>
      <c r="I73" s="466" cm="1" t="str">
        <f t="array" ref="I73:I73">I72</f>
        <v>0</v>
      </c>
      <c r="J73" s="466"/>
      <c r="K73" s="466"/>
      <c r="L73" s="466"/>
      <c r="M73" s="466"/>
      <c r="N73" s="466"/>
      <c r="O73" s="466"/>
      <c r="P73" s="466"/>
      <c r="Q73" s="466"/>
      <c r="R73" s="466"/>
      <c r="S73" s="466"/>
      <c r="T73" s="438" cm="1" t="str">
        <f t="array" ref="T73:T73">T72</f>
        <v>false</v>
      </c>
      <c r="U73" s="466"/>
      <c r="V73" s="466"/>
      <c r="W73" s="466"/>
      <c r="X73" s="1541"/>
      <c r="Y73" s="1541"/>
      <c r="Z73" s="1493"/>
      <c r="AA73" s="1442"/>
      <c r="AB73" s="880" t="str">
        <f>"объём "&amp;IF(Q29="Водоснабжение","потребления холодной воды","водоотведения")</f>
        <v>объём водоотведения</v>
      </c>
      <c r="AC73" s="840" t="s">
        <v>506</v>
      </c>
      <c r="AD73" s="2907"/>
      <c r="AE73" s="2907"/>
      <c r="AF73" s="1073">
        <f>IF(AD73=0,0,(AE73-AD73)/AD73*100)</f>
        <v>0</v>
      </c>
      <c r="AG73" s="2907"/>
      <c r="AH73" s="2907"/>
      <c r="AI73" s="1073">
        <f>IF(AG73=0,0,(AH73-AG73)/AG73*100)</f>
        <v>0</v>
      </c>
      <c r="AJ73" s="2907"/>
      <c r="AK73" s="2907"/>
      <c r="AL73" s="1073">
        <f>IF(AJ73=0,0,(AK73-AJ73)/AJ73*100)</f>
        <v>0</v>
      </c>
      <c r="AM73" s="2907"/>
      <c r="AN73" s="2907"/>
      <c r="AO73" s="1073">
        <f>IF(AM73=0,0,(AN73-AM73)/AM73*100)</f>
        <v>0</v>
      </c>
      <c r="AP73" s="2907"/>
      <c r="AQ73" s="2907"/>
      <c r="AR73" s="1073">
        <f>IF(AP73=0,0,(AQ73-AP73)/AP73*100)</f>
        <v>0</v>
      </c>
      <c r="AS73" s="2907"/>
      <c r="AT73" s="2907"/>
      <c r="AU73" s="1073">
        <f>IF(AS73=0,0,(AT73-AS73)/AS73*100)</f>
        <v>0</v>
      </c>
      <c r="AV73" s="2907"/>
      <c r="AW73" s="2907"/>
      <c r="AX73" s="1073">
        <f>IF(AV73=0,0,(AW73-AV73)/AV73*100)</f>
        <v>0</v>
      </c>
      <c r="AY73" s="2907"/>
      <c r="AZ73" s="2907"/>
      <c r="BA73" s="1073">
        <f>IF(AY73=0,0,(AZ73-AY73)/AY73*100)</f>
        <v>0</v>
      </c>
      <c r="BB73" s="2907"/>
      <c r="BC73" s="2907"/>
      <c r="BD73" s="1073">
        <f>IF(BB73=0,0,(BC73-BB73)/BB73*100)</f>
        <v>0</v>
      </c>
      <c r="BE73" s="2907"/>
      <c r="BF73" s="2907"/>
      <c r="BG73" s="1073">
        <f>IF(BE73=0,0,(BF73-BE73)/BE73*100)</f>
        <v>0</v>
      </c>
      <c r="BH73" s="2907"/>
      <c r="BI73" s="2907"/>
      <c r="BJ73" s="1073">
        <f>IF(BH73=0,0,(BI73-BH73)/BH73*100)</f>
        <v>0</v>
      </c>
      <c r="BK73" s="2907"/>
      <c r="BL73" s="2907"/>
      <c r="BM73" s="1073">
        <f>IF(BK73=0,0,(BL73-BK73)/BK73*100)</f>
        <v>0</v>
      </c>
      <c r="BN73" s="2907"/>
      <c r="BO73" s="2907"/>
      <c r="BP73" s="1073">
        <f>IF(BN73=0,0,(BO73-BN73)/BN73*100)</f>
        <v>0</v>
      </c>
      <c r="BQ73" s="2907"/>
      <c r="BR73" s="2907"/>
      <c r="BS73" s="1073">
        <f>IF(BQ73=0,0,(BR73-BQ73)/BQ73*100)</f>
        <v>0</v>
      </c>
      <c r="BT73" s="2907"/>
      <c r="BU73" s="2907"/>
      <c r="BV73" s="1073">
        <f>IF(BT73=0,0,(BU73-BT73)/BT73*100)</f>
        <v>0</v>
      </c>
      <c r="BW73" s="2907"/>
      <c r="BX73" s="2907"/>
      <c r="BY73" s="1073">
        <f>IF(BW73=0,0,(BX73-BW73)/BW73*100)</f>
        <v>0</v>
      </c>
      <c r="BZ73" s="2907"/>
      <c r="CA73" s="2907"/>
      <c r="CB73" s="1073">
        <f>IF(BZ73=0,0,(CA73-BZ73)/BZ73*100)</f>
        <v>0</v>
      </c>
      <c r="CC73" s="2907"/>
      <c r="CD73" s="2907"/>
      <c r="CE73" s="1073">
        <f>IF(CC73=0,0,(CD73-CC73)/CC73*100)</f>
        <v>0</v>
      </c>
      <c r="CF73" s="2907"/>
      <c r="CG73" s="2907"/>
      <c r="CH73" s="1073">
        <f>IF(CF73=0,0,(CG73-CF73)/CF73*100)</f>
        <v>0</v>
      </c>
      <c r="CI73" s="2907"/>
      <c r="CJ73" s="2907"/>
      <c r="CK73" s="1073">
        <f>IF(CI73=0,0,(CJ73-CI73)/CI73*100)</f>
        <v>0</v>
      </c>
      <c r="CL73" s="2907"/>
      <c r="CM73" s="2907"/>
      <c r="CN73" s="1073">
        <f>IF(CL73=0,0,(CM73-CL73)/CL73*100)</f>
        <v>0</v>
      </c>
      <c r="CO73" s="2907"/>
      <c r="CP73" s="2907"/>
      <c r="CQ73" s="1073">
        <f>IF(CO73=0,0,(CP73-CO73)/CO73*100)</f>
        <v>0</v>
      </c>
      <c r="CR73" s="2907"/>
      <c r="CS73" s="2907"/>
      <c r="CT73" s="1073">
        <f>IF(CR73=0,0,(CS73-CR73)/CR73*100)</f>
        <v>0</v>
      </c>
      <c r="CU73" s="2907"/>
      <c r="CV73" s="2907"/>
      <c r="CW73" s="1073">
        <f>IF(CU73=0,0,(CV73-CU73)/CU73*100)</f>
        <v>0</v>
      </c>
      <c r="CX73" s="2907"/>
      <c r="CY73" s="2907"/>
      <c r="CZ73" s="1073">
        <f>IF(CX73=0,0,(CY73-CX73)/CX73*100)</f>
        <v>0</v>
      </c>
      <c r="DA73" s="2907"/>
      <c r="DB73" s="2907"/>
      <c r="DC73" s="1073">
        <f>IF(DA73=0,0,(DB73-DA73)/DA73*100)</f>
        <v>0</v>
      </c>
      <c r="DD73" s="2907"/>
      <c r="DE73" s="2907"/>
      <c r="DF73" s="1073">
        <f>IF(DD73=0,0,(DE73-DD73)/DD73*100)</f>
        <v>0</v>
      </c>
      <c r="DG73" s="2907"/>
      <c r="DH73" s="2907"/>
      <c r="DI73" s="1073">
        <f>IF(DG73=0,0,(DH73-DG73)/DG73*100)</f>
        <v>0</v>
      </c>
      <c r="DJ73" s="2907"/>
      <c r="DK73" s="2907"/>
      <c r="DL73" s="1073">
        <f>IF(DJ73=0,0,(DK73-DJ73)/DJ73*100)</f>
        <v>0</v>
      </c>
      <c r="DM73" s="2907"/>
      <c r="DN73" s="2907"/>
      <c r="DO73" s="1073">
        <f>IF(DM73=0,0,(DN73-DM73)/DM73*100)</f>
        <v>0</v>
      </c>
      <c r="DP73" s="2907"/>
      <c r="DQ73" s="2907"/>
      <c r="DR73" s="1073">
        <f>IF(DP73=0,0,(DQ73-DP73)/DP73*100)</f>
        <v>0</v>
      </c>
      <c r="DS73" s="2907"/>
      <c r="DT73" s="2907"/>
      <c r="DU73" s="1073">
        <f>IF(DS73=0,0,(DT73-DS73)/DS73*100)</f>
        <v>0</v>
      </c>
      <c r="DV73" s="2907"/>
      <c r="DW73" s="2907"/>
      <c r="DX73" s="1073">
        <f>IF(DV73=0,0,(DW73-DV73)/DV73*100)</f>
        <v>0</v>
      </c>
      <c r="DY73" s="2907"/>
      <c r="DZ73" s="2907"/>
      <c r="EA73" s="1073">
        <f>IF(DY73=0,0,(DZ73-DY73)/DY73*100)</f>
        <v>0</v>
      </c>
      <c r="EB73" s="2907"/>
      <c r="EC73" s="2907"/>
      <c r="ED73" s="1073">
        <f>IF(EB73=0,0,(EC73-EB73)/EB73*100)</f>
        <v>0</v>
      </c>
      <c r="EE73" s="2907"/>
      <c r="EF73" s="2907"/>
      <c r="EG73" s="1073">
        <f>IF(EE73=0,0,(EF73-EE73)/EE73*100)</f>
        <v>0</v>
      </c>
      <c r="EH73" s="2907"/>
      <c r="EI73" s="2907"/>
      <c r="EJ73" s="1073">
        <f>IF(EH73=0,0,(EI73-EH73)/EH73*100)</f>
        <v>0</v>
      </c>
      <c r="EK73" s="2907"/>
      <c r="EL73" s="2907"/>
      <c r="EM73" s="1073">
        <f>IF(EK73=0,0,(EL73-EK73)/EK73*100)</f>
        <v>0</v>
      </c>
      <c r="EN73" s="2907"/>
      <c r="EO73" s="2907"/>
      <c r="EP73" s="1073">
        <f>IF(EN73=0,0,(EO73-EN73)/EN73*100)</f>
        <v>0</v>
      </c>
      <c r="EQ73" s="2907"/>
      <c r="ER73" s="2907"/>
      <c r="ES73" s="1073">
        <f>IF(EQ73=0,0,(ER73-EQ73)/EQ73*100)</f>
        <v>0</v>
      </c>
      <c r="ET73" s="2907"/>
      <c r="EU73" s="2907"/>
      <c r="EV73" s="1073">
        <f>IF(ET73=0,0,(EU73-ET73)/ET73*100)</f>
        <v>0</v>
      </c>
      <c r="EW73" s="2907"/>
      <c r="EX73" s="2907"/>
      <c r="EY73" s="1073">
        <f>IF(EW73=0,0,(EX73-EW73)/EW73*100)</f>
        <v>0</v>
      </c>
      <c r="EZ73" s="2907"/>
      <c r="FA73" s="2907"/>
      <c r="FB73" s="1073">
        <f>IF(EZ73=0,0,(FA73-EZ73)/EZ73*100)</f>
        <v>0</v>
      </c>
      <c r="FC73" s="2907"/>
      <c r="FD73" s="2907"/>
      <c r="FE73" s="1073">
        <f>IF(FC73=0,0,(FD73-FC73)/FC73*100)</f>
        <v>0</v>
      </c>
      <c r="FF73" s="2907"/>
      <c r="FG73" s="2907"/>
      <c r="FH73" s="1073">
        <f>IF(FF73=0,0,(FG73-FF73)/FF73*100)</f>
        <v>0</v>
      </c>
      <c r="FI73" s="2907"/>
      <c r="FJ73" s="2907"/>
      <c r="FK73" s="1073">
        <f>IF(FI73=0,0,(FJ73-FI73)/FI73*100)</f>
        <v>0</v>
      </c>
      <c r="FL73" s="2907"/>
      <c r="FM73" s="2907"/>
      <c r="FN73" s="1073">
        <f>IF(FL73=0,0,(FM73-FL73)/FL73*100)</f>
        <v>0</v>
      </c>
      <c r="FO73" s="2907"/>
      <c r="FP73" s="2907"/>
      <c r="FQ73" s="1073">
        <f>IF(FO73=0,0,(FP73-FO73)/FO73*100)</f>
        <v>0</v>
      </c>
      <c r="FR73" s="2907"/>
      <c r="FS73" s="2907"/>
      <c r="FT73" s="1073">
        <f>IF(FR73=0,0,(FS73-FR73)/FR73*100)</f>
        <v>0</v>
      </c>
      <c r="FU73" s="2907"/>
      <c r="FV73" s="2907"/>
      <c r="FW73" s="1073">
        <f>IF(FU73=0,0,(FV73-FU73)/FU73*100)</f>
        <v>0</v>
      </c>
      <c r="FX73" s="1282"/>
      <c r="FY73" s="1282"/>
      <c r="FZ73" s="1032" t="s">
        <v>1545</v>
      </c>
      <c r="GA73" s="992" t="s">
        <v>818</v>
      </c>
      <c r="GB73" s="992" cm="1" t="str">
        <f t="array" ref="GB73:GB73">GB72</f>
        <v>0</v>
      </c>
      <c r="GC73" s="1283"/>
      <c r="GD73" s="1283"/>
    </row>
    <row customHeight="1" ht="21.9375" hidden="1">
      <c r="A74" s="466"/>
      <c r="B74" s="901" cm="1" t="str">
        <f t="array" ref="B74:B74">B73</f>
        <v>false</v>
      </c>
      <c r="C74" s="466"/>
      <c r="D74" s="466"/>
      <c r="E74" s="816">
        <v>22.5</v>
      </c>
      <c r="F74" s="50" cm="1" t="str">
        <f t="array" ref="F74:F74">OFFSET(E74,-1,1)</f>
        <v>0</v>
      </c>
      <c r="G74" s="466"/>
      <c r="H74" s="466" t="s">
        <v>1515</v>
      </c>
      <c r="I74" s="466" cm="1" t="str">
        <f t="array" ref="I74:I74">I73</f>
        <v>0</v>
      </c>
      <c r="J74" s="466"/>
      <c r="K74" s="466"/>
      <c r="L74" s="466"/>
      <c r="M74" s="466"/>
      <c r="N74" s="466"/>
      <c r="O74" s="466"/>
      <c r="P74" s="466"/>
      <c r="Q74" s="466"/>
      <c r="R74" s="466"/>
      <c r="S74" s="466"/>
      <c r="T74" s="438" cm="1" t="str">
        <f t="array" ref="T74:T74">T73</f>
        <v>false</v>
      </c>
      <c r="U74" s="466"/>
      <c r="V74" s="466"/>
      <c r="W74" s="466"/>
      <c r="X74" s="1541"/>
      <c r="Y74" s="1541"/>
      <c r="Z74" s="1493"/>
      <c r="AA74" s="1442"/>
      <c r="AB74" s="880"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74" s="840" t="s">
        <v>1516</v>
      </c>
      <c r="AD74" s="2912"/>
      <c r="AE74" s="2912"/>
      <c r="AF74" s="1071">
        <f>IF(AD74=0,0,(AE74-AD74)/AD74*100)</f>
        <v>0</v>
      </c>
      <c r="AG74" s="2912"/>
      <c r="AH74" s="2912"/>
      <c r="AI74" s="1071">
        <f>IF(AG74=0,0,(AH74-AG74)/AG74*100)</f>
        <v>0</v>
      </c>
      <c r="AJ74" s="2912"/>
      <c r="AK74" s="2912"/>
      <c r="AL74" s="1071">
        <f>IF(AJ74=0,0,(AK74-AJ74)/AJ74*100)</f>
        <v>0</v>
      </c>
      <c r="AM74" s="2912"/>
      <c r="AN74" s="2912"/>
      <c r="AO74" s="1071">
        <f>IF(AM74=0,0,(AN74-AM74)/AM74*100)</f>
        <v>0</v>
      </c>
      <c r="AP74" s="2912"/>
      <c r="AQ74" s="2912"/>
      <c r="AR74" s="1071">
        <f>IF(AP74=0,0,(AQ74-AP74)/AP74*100)</f>
        <v>0</v>
      </c>
      <c r="AS74" s="2912"/>
      <c r="AT74" s="2912"/>
      <c r="AU74" s="1071">
        <f>IF(AS74=0,0,(AT74-AS74)/AS74*100)</f>
        <v>0</v>
      </c>
      <c r="AV74" s="2912"/>
      <c r="AW74" s="2912"/>
      <c r="AX74" s="1071">
        <f>IF(AV74=0,0,(AW74-AV74)/AV74*100)</f>
        <v>0</v>
      </c>
      <c r="AY74" s="2912"/>
      <c r="AZ74" s="2912"/>
      <c r="BA74" s="1071">
        <f>IF(AY74=0,0,(AZ74-AY74)/AY74*100)</f>
        <v>0</v>
      </c>
      <c r="BB74" s="2912"/>
      <c r="BC74" s="2912"/>
      <c r="BD74" s="1071">
        <f>IF(BB74=0,0,(BC74-BB74)/BB74*100)</f>
        <v>0</v>
      </c>
      <c r="BE74" s="2912"/>
      <c r="BF74" s="2912"/>
      <c r="BG74" s="1071">
        <f>IF(BE74=0,0,(BF74-BE74)/BE74*100)</f>
        <v>0</v>
      </c>
      <c r="BH74" s="2912"/>
      <c r="BI74" s="2912"/>
      <c r="BJ74" s="1071">
        <f>IF(BH74=0,0,(BI74-BH74)/BH74*100)</f>
        <v>0</v>
      </c>
      <c r="BK74" s="2912"/>
      <c r="BL74" s="2912"/>
      <c r="BM74" s="1071">
        <f>IF(BK74=0,0,(BL74-BK74)/BK74*100)</f>
        <v>0</v>
      </c>
      <c r="BN74" s="2912"/>
      <c r="BO74" s="2912"/>
      <c r="BP74" s="1071">
        <f>IF(BN74=0,0,(BO74-BN74)/BN74*100)</f>
        <v>0</v>
      </c>
      <c r="BQ74" s="2912"/>
      <c r="BR74" s="2912"/>
      <c r="BS74" s="1071">
        <f>IF(BQ74=0,0,(BR74-BQ74)/BQ74*100)</f>
        <v>0</v>
      </c>
      <c r="BT74" s="2912"/>
      <c r="BU74" s="2912"/>
      <c r="BV74" s="1071">
        <f>IF(BT74=0,0,(BU74-BT74)/BT74*100)</f>
        <v>0</v>
      </c>
      <c r="BW74" s="2912"/>
      <c r="BX74" s="2912"/>
      <c r="BY74" s="1071">
        <f>IF(BW74=0,0,(BX74-BW74)/BW74*100)</f>
        <v>0</v>
      </c>
      <c r="BZ74" s="2912"/>
      <c r="CA74" s="2912"/>
      <c r="CB74" s="1071">
        <f>IF(BZ74=0,0,(CA74-BZ74)/BZ74*100)</f>
        <v>0</v>
      </c>
      <c r="CC74" s="2912"/>
      <c r="CD74" s="2912"/>
      <c r="CE74" s="1071">
        <f>IF(CC74=0,0,(CD74-CC74)/CC74*100)</f>
        <v>0</v>
      </c>
      <c r="CF74" s="2912"/>
      <c r="CG74" s="2912"/>
      <c r="CH74" s="1071">
        <f>IF(CF74=0,0,(CG74-CF74)/CF74*100)</f>
        <v>0</v>
      </c>
      <c r="CI74" s="2912"/>
      <c r="CJ74" s="2912"/>
      <c r="CK74" s="1071">
        <f>IF(CI74=0,0,(CJ74-CI74)/CI74*100)</f>
        <v>0</v>
      </c>
      <c r="CL74" s="2912"/>
      <c r="CM74" s="2912"/>
      <c r="CN74" s="1071">
        <f>IF(CL74=0,0,(CM74-CL74)/CL74*100)</f>
        <v>0</v>
      </c>
      <c r="CO74" s="2912"/>
      <c r="CP74" s="2912"/>
      <c r="CQ74" s="1071">
        <f>IF(CO74=0,0,(CP74-CO74)/CO74*100)</f>
        <v>0</v>
      </c>
      <c r="CR74" s="2912"/>
      <c r="CS74" s="2912"/>
      <c r="CT74" s="1071">
        <f>IF(CR74=0,0,(CS74-CR74)/CR74*100)</f>
        <v>0</v>
      </c>
      <c r="CU74" s="2912"/>
      <c r="CV74" s="2912"/>
      <c r="CW74" s="1071">
        <f>IF(CU74=0,0,(CV74-CU74)/CU74*100)</f>
        <v>0</v>
      </c>
      <c r="CX74" s="2912"/>
      <c r="CY74" s="2912"/>
      <c r="CZ74" s="1071">
        <f>IF(CX74=0,0,(CY74-CX74)/CX74*100)</f>
        <v>0</v>
      </c>
      <c r="DA74" s="2912"/>
      <c r="DB74" s="2912"/>
      <c r="DC74" s="1071">
        <f>IF(DA74=0,0,(DB74-DA74)/DA74*100)</f>
        <v>0</v>
      </c>
      <c r="DD74" s="2912"/>
      <c r="DE74" s="2912"/>
      <c r="DF74" s="1071">
        <f>IF(DD74=0,0,(DE74-DD74)/DD74*100)</f>
        <v>0</v>
      </c>
      <c r="DG74" s="2912"/>
      <c r="DH74" s="2912"/>
      <c r="DI74" s="1071">
        <f>IF(DG74=0,0,(DH74-DG74)/DG74*100)</f>
        <v>0</v>
      </c>
      <c r="DJ74" s="2912"/>
      <c r="DK74" s="2912"/>
      <c r="DL74" s="1071">
        <f>IF(DJ74=0,0,(DK74-DJ74)/DJ74*100)</f>
        <v>0</v>
      </c>
      <c r="DM74" s="2912"/>
      <c r="DN74" s="2912"/>
      <c r="DO74" s="1071">
        <f>IF(DM74=0,0,(DN74-DM74)/DM74*100)</f>
        <v>0</v>
      </c>
      <c r="DP74" s="2912"/>
      <c r="DQ74" s="2912"/>
      <c r="DR74" s="1071">
        <f>IF(DP74=0,0,(DQ74-DP74)/DP74*100)</f>
        <v>0</v>
      </c>
      <c r="DS74" s="2912"/>
      <c r="DT74" s="2912"/>
      <c r="DU74" s="1071">
        <f>IF(DS74=0,0,(DT74-DS74)/DS74*100)</f>
        <v>0</v>
      </c>
      <c r="DV74" s="2912"/>
      <c r="DW74" s="2912"/>
      <c r="DX74" s="1071">
        <f>IF(DV74=0,0,(DW74-DV74)/DV74*100)</f>
        <v>0</v>
      </c>
      <c r="DY74" s="2912"/>
      <c r="DZ74" s="2912"/>
      <c r="EA74" s="1071">
        <f>IF(DY74=0,0,(DZ74-DY74)/DY74*100)</f>
        <v>0</v>
      </c>
      <c r="EB74" s="2912"/>
      <c r="EC74" s="2912"/>
      <c r="ED74" s="1071">
        <f>IF(EB74=0,0,(EC74-EB74)/EB74*100)</f>
        <v>0</v>
      </c>
      <c r="EE74" s="2912"/>
      <c r="EF74" s="2912"/>
      <c r="EG74" s="1071">
        <f>IF(EE74=0,0,(EF74-EE74)/EE74*100)</f>
        <v>0</v>
      </c>
      <c r="EH74" s="2912"/>
      <c r="EI74" s="2912"/>
      <c r="EJ74" s="1071">
        <f>IF(EH74=0,0,(EI74-EH74)/EH74*100)</f>
        <v>0</v>
      </c>
      <c r="EK74" s="2912"/>
      <c r="EL74" s="2912"/>
      <c r="EM74" s="1071">
        <f>IF(EK74=0,0,(EL74-EK74)/EK74*100)</f>
        <v>0</v>
      </c>
      <c r="EN74" s="2912"/>
      <c r="EO74" s="2912"/>
      <c r="EP74" s="1071">
        <f>IF(EN74=0,0,(EO74-EN74)/EN74*100)</f>
        <v>0</v>
      </c>
      <c r="EQ74" s="2912"/>
      <c r="ER74" s="2912"/>
      <c r="ES74" s="1071">
        <f>IF(EQ74=0,0,(ER74-EQ74)/EQ74*100)</f>
        <v>0</v>
      </c>
      <c r="ET74" s="2912"/>
      <c r="EU74" s="2912"/>
      <c r="EV74" s="1071">
        <f>IF(ET74=0,0,(EU74-ET74)/ET74*100)</f>
        <v>0</v>
      </c>
      <c r="EW74" s="2912"/>
      <c r="EX74" s="2912"/>
      <c r="EY74" s="1071">
        <f>IF(EW74=0,0,(EX74-EW74)/EW74*100)</f>
        <v>0</v>
      </c>
      <c r="EZ74" s="2912"/>
      <c r="FA74" s="2912"/>
      <c r="FB74" s="1071">
        <f>IF(EZ74=0,0,(FA74-EZ74)/EZ74*100)</f>
        <v>0</v>
      </c>
      <c r="FC74" s="2912"/>
      <c r="FD74" s="2912"/>
      <c r="FE74" s="1071">
        <f>IF(FC74=0,0,(FD74-FC74)/FC74*100)</f>
        <v>0</v>
      </c>
      <c r="FF74" s="2912"/>
      <c r="FG74" s="2912"/>
      <c r="FH74" s="1071">
        <f>IF(FF74=0,0,(FG74-FF74)/FF74*100)</f>
        <v>0</v>
      </c>
      <c r="FI74" s="2912"/>
      <c r="FJ74" s="2912"/>
      <c r="FK74" s="1071">
        <f>IF(FI74=0,0,(FJ74-FI74)/FI74*100)</f>
        <v>0</v>
      </c>
      <c r="FL74" s="2912"/>
      <c r="FM74" s="2912"/>
      <c r="FN74" s="1071">
        <f>IF(FL74=0,0,(FM74-FL74)/FL74*100)</f>
        <v>0</v>
      </c>
      <c r="FO74" s="2912"/>
      <c r="FP74" s="2912"/>
      <c r="FQ74" s="1071">
        <f>IF(FO74=0,0,(FP74-FO74)/FO74*100)</f>
        <v>0</v>
      </c>
      <c r="FR74" s="2912"/>
      <c r="FS74" s="2912"/>
      <c r="FT74" s="1071">
        <f>IF(FR74=0,0,(FS74-FR74)/FR74*100)</f>
        <v>0</v>
      </c>
      <c r="FU74" s="2912"/>
      <c r="FV74" s="2912"/>
      <c r="FW74" s="1071">
        <f>IF(FU74=0,0,(FV74-FU74)/FU74*100)</f>
        <v>0</v>
      </c>
      <c r="FX74" s="1282"/>
      <c r="FY74" s="1282"/>
      <c r="FZ74" s="1032" t="s">
        <v>1546</v>
      </c>
      <c r="GA74" s="992" t="s">
        <v>818</v>
      </c>
      <c r="GB74" s="992" cm="1" t="str">
        <f t="array" ref="GB74:GB74">GB73</f>
        <v>0</v>
      </c>
      <c r="GC74" s="1283"/>
      <c r="GD74" s="1283"/>
    </row>
    <row customHeight="1" ht="14.625" hidden="1">
      <c r="A75" s="466"/>
      <c r="B75" s="901" cm="1" t="str">
        <f t="array" ref="B75:B75">B74</f>
        <v>false</v>
      </c>
      <c r="C75" s="466"/>
      <c r="D75" s="466"/>
      <c r="E75" s="816">
        <v>15</v>
      </c>
      <c r="F75" s="50" cm="1" t="str">
        <f t="array" ref="F75:F75">OFFSET(E75,-1,1)</f>
        <v>0</v>
      </c>
      <c r="G75" s="466"/>
      <c r="H75" s="466" t="s">
        <v>1518</v>
      </c>
      <c r="I75" s="466" cm="1" t="str">
        <f t="array" ref="I75:I75">I74</f>
        <v>0</v>
      </c>
      <c r="J75" s="466"/>
      <c r="K75" s="466"/>
      <c r="L75" s="466"/>
      <c r="M75" s="466"/>
      <c r="N75" s="466"/>
      <c r="O75" s="466"/>
      <c r="P75" s="466"/>
      <c r="Q75" s="466"/>
      <c r="R75" s="466"/>
      <c r="S75" s="466"/>
      <c r="T75" s="438" cm="1" t="str">
        <f t="array" ref="T75:T75">T74</f>
        <v>false</v>
      </c>
      <c r="U75" s="466"/>
      <c r="V75" s="466"/>
      <c r="W75" s="466"/>
      <c r="X75" s="1541"/>
      <c r="Y75" s="1541"/>
      <c r="Z75" s="1493"/>
      <c r="AA75" s="1442"/>
      <c r="AB75" s="880" t="s">
        <v>1519</v>
      </c>
      <c r="AC75" s="840" t="s">
        <v>1520</v>
      </c>
      <c r="AD75" s="2912"/>
      <c r="AE75" s="2912"/>
      <c r="AF75" s="1071">
        <f>IF(AD75=0,0,(AE75-AD75)/AD75*100)</f>
        <v>0</v>
      </c>
      <c r="AG75" s="2912"/>
      <c r="AH75" s="2912"/>
      <c r="AI75" s="1071">
        <f>IF(AG75=0,0,(AH75-AG75)/AG75*100)</f>
        <v>0</v>
      </c>
      <c r="AJ75" s="2912"/>
      <c r="AK75" s="2912"/>
      <c r="AL75" s="1071">
        <f>IF(AJ75=0,0,(AK75-AJ75)/AJ75*100)</f>
        <v>0</v>
      </c>
      <c r="AM75" s="2912"/>
      <c r="AN75" s="2912"/>
      <c r="AO75" s="1071">
        <f>IF(AM75=0,0,(AN75-AM75)/AM75*100)</f>
        <v>0</v>
      </c>
      <c r="AP75" s="2912"/>
      <c r="AQ75" s="2912"/>
      <c r="AR75" s="1071">
        <f>IF(AP75=0,0,(AQ75-AP75)/AP75*100)</f>
        <v>0</v>
      </c>
      <c r="AS75" s="2912"/>
      <c r="AT75" s="2912"/>
      <c r="AU75" s="1071">
        <f>IF(AS75=0,0,(AT75-AS75)/AS75*100)</f>
        <v>0</v>
      </c>
      <c r="AV75" s="2912"/>
      <c r="AW75" s="2912"/>
      <c r="AX75" s="1071">
        <f>IF(AV75=0,0,(AW75-AV75)/AV75*100)</f>
        <v>0</v>
      </c>
      <c r="AY75" s="2912"/>
      <c r="AZ75" s="2912"/>
      <c r="BA75" s="1071">
        <f>IF(AY75=0,0,(AZ75-AY75)/AY75*100)</f>
        <v>0</v>
      </c>
      <c r="BB75" s="2912"/>
      <c r="BC75" s="2912"/>
      <c r="BD75" s="1071">
        <f>IF(BB75=0,0,(BC75-BB75)/BB75*100)</f>
        <v>0</v>
      </c>
      <c r="BE75" s="2912"/>
      <c r="BF75" s="2912"/>
      <c r="BG75" s="1071">
        <f>IF(BE75=0,0,(BF75-BE75)/BE75*100)</f>
        <v>0</v>
      </c>
      <c r="BH75" s="2912"/>
      <c r="BI75" s="2912"/>
      <c r="BJ75" s="1071">
        <f>IF(BH75=0,0,(BI75-BH75)/BH75*100)</f>
        <v>0</v>
      </c>
      <c r="BK75" s="2912"/>
      <c r="BL75" s="2912"/>
      <c r="BM75" s="1071">
        <f>IF(BK75=0,0,(BL75-BK75)/BK75*100)</f>
        <v>0</v>
      </c>
      <c r="BN75" s="2912"/>
      <c r="BO75" s="2912"/>
      <c r="BP75" s="1071">
        <f>IF(BN75=0,0,(BO75-BN75)/BN75*100)</f>
        <v>0</v>
      </c>
      <c r="BQ75" s="2912"/>
      <c r="BR75" s="2912"/>
      <c r="BS75" s="1071">
        <f>IF(BQ75=0,0,(BR75-BQ75)/BQ75*100)</f>
        <v>0</v>
      </c>
      <c r="BT75" s="2912"/>
      <c r="BU75" s="2912"/>
      <c r="BV75" s="1071">
        <f>IF(BT75=0,0,(BU75-BT75)/BT75*100)</f>
        <v>0</v>
      </c>
      <c r="BW75" s="2912"/>
      <c r="BX75" s="2912"/>
      <c r="BY75" s="1071">
        <f>IF(BW75=0,0,(BX75-BW75)/BW75*100)</f>
        <v>0</v>
      </c>
      <c r="BZ75" s="2912"/>
      <c r="CA75" s="2912"/>
      <c r="CB75" s="1071">
        <f>IF(BZ75=0,0,(CA75-BZ75)/BZ75*100)</f>
        <v>0</v>
      </c>
      <c r="CC75" s="2912"/>
      <c r="CD75" s="2912"/>
      <c r="CE75" s="1071">
        <f>IF(CC75=0,0,(CD75-CC75)/CC75*100)</f>
        <v>0</v>
      </c>
      <c r="CF75" s="2912"/>
      <c r="CG75" s="2912"/>
      <c r="CH75" s="1071">
        <f>IF(CF75=0,0,(CG75-CF75)/CF75*100)</f>
        <v>0</v>
      </c>
      <c r="CI75" s="2912"/>
      <c r="CJ75" s="2912"/>
      <c r="CK75" s="1071">
        <f>IF(CI75=0,0,(CJ75-CI75)/CI75*100)</f>
        <v>0</v>
      </c>
      <c r="CL75" s="2912"/>
      <c r="CM75" s="2912"/>
      <c r="CN75" s="1071">
        <f>IF(CL75=0,0,(CM75-CL75)/CL75*100)</f>
        <v>0</v>
      </c>
      <c r="CO75" s="2912"/>
      <c r="CP75" s="2912"/>
      <c r="CQ75" s="1071">
        <f>IF(CO75=0,0,(CP75-CO75)/CO75*100)</f>
        <v>0</v>
      </c>
      <c r="CR75" s="2912"/>
      <c r="CS75" s="2912"/>
      <c r="CT75" s="1071">
        <f>IF(CR75=0,0,(CS75-CR75)/CR75*100)</f>
        <v>0</v>
      </c>
      <c r="CU75" s="2912"/>
      <c r="CV75" s="2912"/>
      <c r="CW75" s="1071">
        <f>IF(CU75=0,0,(CV75-CU75)/CU75*100)</f>
        <v>0</v>
      </c>
      <c r="CX75" s="2912"/>
      <c r="CY75" s="2912"/>
      <c r="CZ75" s="1071">
        <f>IF(CX75=0,0,(CY75-CX75)/CX75*100)</f>
        <v>0</v>
      </c>
      <c r="DA75" s="2912"/>
      <c r="DB75" s="2912"/>
      <c r="DC75" s="1071">
        <f>IF(DA75=0,0,(DB75-DA75)/DA75*100)</f>
        <v>0</v>
      </c>
      <c r="DD75" s="2912"/>
      <c r="DE75" s="2912"/>
      <c r="DF75" s="1071">
        <f>IF(DD75=0,0,(DE75-DD75)/DD75*100)</f>
        <v>0</v>
      </c>
      <c r="DG75" s="2912"/>
      <c r="DH75" s="2912"/>
      <c r="DI75" s="1071">
        <f>IF(DG75=0,0,(DH75-DG75)/DG75*100)</f>
        <v>0</v>
      </c>
      <c r="DJ75" s="2912"/>
      <c r="DK75" s="2912"/>
      <c r="DL75" s="1071">
        <f>IF(DJ75=0,0,(DK75-DJ75)/DJ75*100)</f>
        <v>0</v>
      </c>
      <c r="DM75" s="2912"/>
      <c r="DN75" s="2912"/>
      <c r="DO75" s="1071">
        <f>IF(DM75=0,0,(DN75-DM75)/DM75*100)</f>
        <v>0</v>
      </c>
      <c r="DP75" s="2912"/>
      <c r="DQ75" s="2912"/>
      <c r="DR75" s="1071">
        <f>IF(DP75=0,0,(DQ75-DP75)/DP75*100)</f>
        <v>0</v>
      </c>
      <c r="DS75" s="2912"/>
      <c r="DT75" s="2912"/>
      <c r="DU75" s="1071">
        <f>IF(DS75=0,0,(DT75-DS75)/DS75*100)</f>
        <v>0</v>
      </c>
      <c r="DV75" s="2912"/>
      <c r="DW75" s="2912"/>
      <c r="DX75" s="1071">
        <f>IF(DV75=0,0,(DW75-DV75)/DV75*100)</f>
        <v>0</v>
      </c>
      <c r="DY75" s="2912"/>
      <c r="DZ75" s="2912"/>
      <c r="EA75" s="1071">
        <f>IF(DY75=0,0,(DZ75-DY75)/DY75*100)</f>
        <v>0</v>
      </c>
      <c r="EB75" s="2912"/>
      <c r="EC75" s="2912"/>
      <c r="ED75" s="1071">
        <f>IF(EB75=0,0,(EC75-EB75)/EB75*100)</f>
        <v>0</v>
      </c>
      <c r="EE75" s="2912"/>
      <c r="EF75" s="2912"/>
      <c r="EG75" s="1071">
        <f>IF(EE75=0,0,(EF75-EE75)/EE75*100)</f>
        <v>0</v>
      </c>
      <c r="EH75" s="2912"/>
      <c r="EI75" s="2912"/>
      <c r="EJ75" s="1071">
        <f>IF(EH75=0,0,(EI75-EH75)/EH75*100)</f>
        <v>0</v>
      </c>
      <c r="EK75" s="2912"/>
      <c r="EL75" s="2912"/>
      <c r="EM75" s="1071">
        <f>IF(EK75=0,0,(EL75-EK75)/EK75*100)</f>
        <v>0</v>
      </c>
      <c r="EN75" s="2912"/>
      <c r="EO75" s="2912"/>
      <c r="EP75" s="1071">
        <f>IF(EN75=0,0,(EO75-EN75)/EN75*100)</f>
        <v>0</v>
      </c>
      <c r="EQ75" s="2912"/>
      <c r="ER75" s="2912"/>
      <c r="ES75" s="1071">
        <f>IF(EQ75=0,0,(ER75-EQ75)/EQ75*100)</f>
        <v>0</v>
      </c>
      <c r="ET75" s="2912"/>
      <c r="EU75" s="2912"/>
      <c r="EV75" s="1071">
        <f>IF(ET75=0,0,(EU75-ET75)/ET75*100)</f>
        <v>0</v>
      </c>
      <c r="EW75" s="2912"/>
      <c r="EX75" s="2912"/>
      <c r="EY75" s="1071">
        <f>IF(EW75=0,0,(EX75-EW75)/EW75*100)</f>
        <v>0</v>
      </c>
      <c r="EZ75" s="2912"/>
      <c r="FA75" s="2912"/>
      <c r="FB75" s="1071">
        <f>IF(EZ75=0,0,(FA75-EZ75)/EZ75*100)</f>
        <v>0</v>
      </c>
      <c r="FC75" s="2912"/>
      <c r="FD75" s="2912"/>
      <c r="FE75" s="1071">
        <f>IF(FC75=0,0,(FD75-FC75)/FC75*100)</f>
        <v>0</v>
      </c>
      <c r="FF75" s="2912"/>
      <c r="FG75" s="2912"/>
      <c r="FH75" s="1071">
        <f>IF(FF75=0,0,(FG75-FF75)/FF75*100)</f>
        <v>0</v>
      </c>
      <c r="FI75" s="2912"/>
      <c r="FJ75" s="2912"/>
      <c r="FK75" s="1071">
        <f>IF(FI75=0,0,(FJ75-FI75)/FI75*100)</f>
        <v>0</v>
      </c>
      <c r="FL75" s="2912"/>
      <c r="FM75" s="2912"/>
      <c r="FN75" s="1071">
        <f>IF(FL75=0,0,(FM75-FL75)/FL75*100)</f>
        <v>0</v>
      </c>
      <c r="FO75" s="2912"/>
      <c r="FP75" s="2912"/>
      <c r="FQ75" s="1071">
        <f>IF(FO75=0,0,(FP75-FO75)/FO75*100)</f>
        <v>0</v>
      </c>
      <c r="FR75" s="2912"/>
      <c r="FS75" s="2912"/>
      <c r="FT75" s="1071">
        <f>IF(FR75=0,0,(FS75-FR75)/FR75*100)</f>
        <v>0</v>
      </c>
      <c r="FU75" s="2912"/>
      <c r="FV75" s="2912"/>
      <c r="FW75" s="1071">
        <f>IF(FU75=0,0,(FV75-FU75)/FU75*100)</f>
        <v>0</v>
      </c>
      <c r="FX75" s="1282"/>
      <c r="FY75" s="1282"/>
      <c r="FZ75" s="1032" t="s">
        <v>1547</v>
      </c>
      <c r="GA75" s="992" t="s">
        <v>818</v>
      </c>
      <c r="GB75" s="992" cm="1" t="str">
        <f t="array" ref="GB75:GB75">GB74</f>
        <v>0</v>
      </c>
      <c r="GC75" s="1283"/>
      <c r="GD75" s="1283"/>
    </row>
    <row customHeight="1" ht="14.625" hidden="1">
      <c r="A76" s="466"/>
      <c r="B76" s="901" cm="1" t="str">
        <f t="array" ref="B76:B76">B75</f>
        <v>false</v>
      </c>
      <c r="C76" s="466"/>
      <c r="D76" s="466"/>
      <c r="E76" s="816">
        <v>15</v>
      </c>
      <c r="F76" s="50" cm="1" t="str">
        <f t="array" ref="F76:F76">OFFSET(E76,-1,1)</f>
        <v>0</v>
      </c>
      <c r="G76" s="466"/>
      <c r="H76" s="466"/>
      <c r="I76" s="64" t="s">
        <v>1548</v>
      </c>
      <c r="J76" s="466"/>
      <c r="K76" s="466"/>
      <c r="L76" s="466"/>
      <c r="M76" s="466"/>
      <c r="N76" s="466"/>
      <c r="O76" s="466"/>
      <c r="P76" s="466"/>
      <c r="Q76" s="466"/>
      <c r="R76" s="466"/>
      <c r="S76" s="466"/>
      <c r="T76" s="438">
        <f>F76&gt;0</f>
        <v>0</v>
      </c>
      <c r="U76" s="466"/>
      <c r="V76" s="1282"/>
      <c r="W76" s="733" t="s">
        <v>1506</v>
      </c>
      <c r="X76" s="1541"/>
      <c r="Y76" s="1282"/>
      <c r="Z76" s="1493"/>
      <c r="AA76" s="1282"/>
      <c r="AB76" s="226" t="s">
        <v>176</v>
      </c>
      <c r="AC76" s="230"/>
      <c r="AD76" s="1076"/>
      <c r="AE76" s="1076"/>
      <c r="AF76" s="1076"/>
      <c r="AG76" s="1076"/>
      <c r="AH76" s="1076"/>
      <c r="AI76" s="1076"/>
      <c r="AJ76" s="1076"/>
      <c r="AK76" s="1076"/>
      <c r="AL76" s="1076"/>
      <c r="AM76" s="1076"/>
      <c r="AN76" s="1076"/>
      <c r="AO76" s="1076"/>
      <c r="AP76" s="1076"/>
      <c r="AQ76" s="1076"/>
      <c r="AR76" s="1076"/>
      <c r="AS76" s="1076"/>
      <c r="AT76" s="1076"/>
      <c r="AU76" s="1076"/>
      <c r="AV76" s="1076"/>
      <c r="AW76" s="1076"/>
      <c r="AX76" s="1076"/>
      <c r="AY76" s="1076"/>
      <c r="AZ76" s="1076"/>
      <c r="BA76" s="1076"/>
      <c r="BB76" s="1076"/>
      <c r="BC76" s="1076"/>
      <c r="BD76" s="1076"/>
      <c r="BE76" s="1076"/>
      <c r="BF76" s="1076"/>
      <c r="BG76" s="1076"/>
      <c r="BH76" s="1076"/>
      <c r="BI76" s="1076"/>
      <c r="BJ76" s="1076"/>
      <c r="BK76" s="1076"/>
      <c r="BL76" s="1076"/>
      <c r="BM76" s="1076"/>
      <c r="BN76" s="1076"/>
      <c r="BO76" s="1076"/>
      <c r="BP76" s="1076"/>
      <c r="BQ76" s="1076"/>
      <c r="BR76" s="1076"/>
      <c r="BS76" s="1076"/>
      <c r="BT76" s="1076"/>
      <c r="BU76" s="1076"/>
      <c r="BV76" s="1076"/>
      <c r="BW76" s="1076"/>
      <c r="BX76" s="1076"/>
      <c r="BY76" s="1076"/>
      <c r="BZ76" s="1076"/>
      <c r="CA76" s="1076"/>
      <c r="CB76" s="1076"/>
      <c r="CC76" s="1076"/>
      <c r="CD76" s="1076"/>
      <c r="CE76" s="1076"/>
      <c r="CF76" s="1076"/>
      <c r="CG76" s="1076"/>
      <c r="CH76" s="1076"/>
      <c r="CI76" s="1076"/>
      <c r="CJ76" s="1076"/>
      <c r="CK76" s="1076"/>
      <c r="CL76" s="1076"/>
      <c r="CM76" s="1076"/>
      <c r="CN76" s="1076"/>
      <c r="CO76" s="1076"/>
      <c r="CP76" s="1076"/>
      <c r="CQ76" s="1076"/>
      <c r="CR76" s="1076"/>
      <c r="CS76" s="1076"/>
      <c r="CT76" s="1076"/>
      <c r="CU76" s="1076"/>
      <c r="CV76" s="1076"/>
      <c r="CW76" s="1076"/>
      <c r="CX76" s="1076"/>
      <c r="CY76" s="1076"/>
      <c r="CZ76" s="1076"/>
      <c r="DA76" s="1076"/>
      <c r="DB76" s="1076"/>
      <c r="DC76" s="1076"/>
      <c r="DD76" s="1076"/>
      <c r="DE76" s="1076"/>
      <c r="DF76" s="1076"/>
      <c r="DG76" s="1076"/>
      <c r="DH76" s="1076"/>
      <c r="DI76" s="1076"/>
      <c r="DJ76" s="1076"/>
      <c r="DK76" s="1076"/>
      <c r="DL76" s="1076"/>
      <c r="DM76" s="1076"/>
      <c r="DN76" s="1076"/>
      <c r="DO76" s="1076"/>
      <c r="DP76" s="1076"/>
      <c r="DQ76" s="1076"/>
      <c r="DR76" s="1076"/>
      <c r="DS76" s="1076"/>
      <c r="DT76" s="1076"/>
      <c r="DU76" s="1076"/>
      <c r="DV76" s="1076"/>
      <c r="DW76" s="1076"/>
      <c r="DX76" s="1076"/>
      <c r="DY76" s="1076"/>
      <c r="DZ76" s="1076"/>
      <c r="EA76" s="1076"/>
      <c r="EB76" s="1076"/>
      <c r="EC76" s="1076"/>
      <c r="ED76" s="1076"/>
      <c r="EE76" s="1076"/>
      <c r="EF76" s="1076"/>
      <c r="EG76" s="1076"/>
      <c r="EH76" s="1076"/>
      <c r="EI76" s="1076"/>
      <c r="EJ76" s="1076"/>
      <c r="EK76" s="1076"/>
      <c r="EL76" s="1076"/>
      <c r="EM76" s="1076"/>
      <c r="EN76" s="1076"/>
      <c r="EO76" s="1076"/>
      <c r="EP76" s="1076"/>
      <c r="EQ76" s="1076"/>
      <c r="ER76" s="1076"/>
      <c r="ES76" s="1076"/>
      <c r="ET76" s="1076"/>
      <c r="EU76" s="1076"/>
      <c r="EV76" s="1076"/>
      <c r="EW76" s="1076"/>
      <c r="EX76" s="1076"/>
      <c r="EY76" s="1076"/>
      <c r="EZ76" s="1076"/>
      <c r="FA76" s="1076"/>
      <c r="FB76" s="1076"/>
      <c r="FC76" s="1076"/>
      <c r="FD76" s="1076"/>
      <c r="FE76" s="1076"/>
      <c r="FF76" s="1076"/>
      <c r="FG76" s="1076"/>
      <c r="FH76" s="1076"/>
      <c r="FI76" s="1076"/>
      <c r="FJ76" s="1076"/>
      <c r="FK76" s="1076"/>
      <c r="FL76" s="1076"/>
      <c r="FM76" s="1076"/>
      <c r="FN76" s="1076"/>
      <c r="FO76" s="1076"/>
      <c r="FP76" s="1076"/>
      <c r="FQ76" s="1076"/>
      <c r="FR76" s="1076"/>
      <c r="FS76" s="1076"/>
      <c r="FT76" s="1076"/>
      <c r="FU76" s="1076"/>
      <c r="FV76" s="1076"/>
      <c r="FW76" s="1077"/>
      <c r="FX76" s="1282"/>
      <c r="FY76" s="1282"/>
      <c r="FZ76" s="1032" t="s">
        <v>228</v>
      </c>
      <c r="GA76" s="1284"/>
      <c r="GB76" s="1284"/>
      <c r="GC76" s="607" t="s">
        <v>818</v>
      </c>
      <c r="GD76" s="1283"/>
    </row>
    <row s="1624" customFormat="1" customHeight="1" ht="11.25" hidden="1">
      <c r="A77" s="455"/>
      <c r="B77" s="901"/>
      <c r="C77" s="455"/>
      <c r="D77" s="455"/>
      <c r="E77" s="842">
        <v>0</v>
      </c>
      <c r="F77" s="1153" cm="1" t="str">
        <f t="array" ref="F77:F77">OFFSET(E77,-1,1)</f>
        <v>0</v>
      </c>
      <c r="G77" s="455"/>
      <c r="H77" s="455"/>
      <c r="I77" s="455"/>
      <c r="J77" s="455"/>
      <c r="K77" s="455"/>
      <c r="L77" s="455"/>
      <c r="M77" s="455"/>
      <c r="N77" s="455"/>
      <c r="O77" s="455"/>
      <c r="P77" s="455"/>
      <c r="Q77" s="455"/>
      <c r="R77" s="455"/>
      <c r="S77" s="455"/>
      <c r="T77" s="438" t="b">
        <v>0</v>
      </c>
      <c r="U77" s="455"/>
      <c r="V77" s="455"/>
      <c r="W77" s="455"/>
      <c r="X77" s="1541"/>
      <c r="Y77" s="455"/>
      <c r="Z77" s="1493"/>
      <c r="AA77" s="455"/>
      <c r="AB77" s="0"/>
      <c r="AC77" s="455"/>
      <c r="AD77" s="1086"/>
      <c r="AE77" s="1086"/>
      <c r="AF77" s="1086"/>
      <c r="AG77" s="0"/>
      <c r="AH77" s="0"/>
      <c r="AI77" s="0"/>
      <c r="AJ77" s="0"/>
      <c r="AK77" s="0"/>
      <c r="AL77" s="0"/>
      <c r="AM77" s="0"/>
      <c r="AN77" s="0"/>
      <c r="AO77" s="0"/>
      <c r="AP77" s="0"/>
      <c r="AQ77" s="0"/>
      <c r="AR77" s="0"/>
      <c r="AS77" s="0"/>
      <c r="AT77" s="0"/>
      <c r="AU77" s="0"/>
      <c r="AV77" s="0"/>
      <c r="AW77" s="0"/>
      <c r="AX77" s="0"/>
      <c r="AY77" s="0"/>
      <c r="AZ77" s="0"/>
      <c r="BA77" s="0"/>
      <c r="BB77" s="0"/>
      <c r="BC77" s="0"/>
      <c r="BD77" s="0"/>
      <c r="BE77" s="0"/>
      <c r="BF77" s="0"/>
      <c r="BG77" s="0"/>
      <c r="BH77" s="0"/>
      <c r="BI77" s="0"/>
      <c r="BJ77" s="0"/>
      <c r="BK77" s="0"/>
      <c r="BL77" s="0"/>
      <c r="BM77" s="0"/>
      <c r="BN77" s="0"/>
      <c r="BO77" s="0"/>
      <c r="BP77" s="0"/>
      <c r="BQ77" s="0"/>
      <c r="BR77" s="0"/>
      <c r="BS77" s="0"/>
      <c r="BT77" s="0"/>
      <c r="BU77" s="0"/>
      <c r="BV77" s="0"/>
      <c r="BW77" s="0"/>
      <c r="BX77" s="0"/>
      <c r="BY77" s="0"/>
      <c r="BZ77" s="0"/>
      <c r="CA77" s="0"/>
      <c r="CB77" s="0"/>
      <c r="CC77" s="0"/>
      <c r="CD77" s="0"/>
      <c r="CE77" s="0"/>
      <c r="CF77" s="0"/>
      <c r="CG77" s="0"/>
      <c r="CH77" s="0"/>
      <c r="CI77" s="0"/>
      <c r="CJ77" s="0"/>
      <c r="CK77" s="0"/>
      <c r="CL77" s="0"/>
      <c r="CM77" s="0"/>
      <c r="CN77" s="0"/>
      <c r="CO77" s="0"/>
      <c r="CP77" s="0"/>
      <c r="CQ77" s="0"/>
      <c r="CR77" s="0"/>
      <c r="CS77" s="0"/>
      <c r="CT77" s="0"/>
      <c r="CU77" s="0"/>
      <c r="CV77" s="0"/>
      <c r="CW77" s="0"/>
      <c r="CX77" s="0"/>
      <c r="CY77" s="0"/>
      <c r="CZ77" s="0"/>
      <c r="DA77" s="0"/>
      <c r="DB77" s="0"/>
      <c r="DC77" s="0"/>
      <c r="DD77" s="0"/>
      <c r="DE77" s="0"/>
      <c r="DF77" s="0"/>
      <c r="DG77" s="0"/>
      <c r="DH77" s="0"/>
      <c r="DI77" s="0"/>
      <c r="DJ77" s="0"/>
      <c r="DK77" s="0"/>
      <c r="DL77" s="0"/>
      <c r="DM77" s="0"/>
      <c r="DN77" s="0"/>
      <c r="DO77" s="0"/>
      <c r="DP77" s="0"/>
      <c r="DQ77" s="0"/>
      <c r="DR77" s="0"/>
      <c r="DS77" s="0"/>
      <c r="DT77" s="0"/>
      <c r="DU77" s="0"/>
      <c r="DV77" s="0"/>
      <c r="DW77" s="0"/>
      <c r="DX77" s="0"/>
      <c r="DY77" s="0"/>
      <c r="DZ77" s="0"/>
      <c r="EA77" s="0"/>
      <c r="EB77" s="0"/>
      <c r="EC77" s="0"/>
      <c r="ED77" s="0"/>
      <c r="EE77" s="0"/>
      <c r="EF77" s="0"/>
      <c r="EG77" s="0"/>
      <c r="EH77" s="0"/>
      <c r="EI77" s="0"/>
      <c r="EJ77" s="0"/>
      <c r="EK77" s="0"/>
      <c r="EL77" s="0"/>
      <c r="EM77" s="0"/>
      <c r="EN77" s="0"/>
      <c r="EO77" s="0"/>
      <c r="EP77" s="0"/>
      <c r="EQ77" s="0"/>
      <c r="ER77" s="0"/>
      <c r="ES77" s="0"/>
      <c r="ET77" s="0"/>
      <c r="EU77" s="0"/>
      <c r="EV77" s="0"/>
      <c r="EW77" s="0"/>
      <c r="EX77" s="0"/>
      <c r="EY77" s="0"/>
      <c r="EZ77" s="0"/>
      <c r="FA77" s="0"/>
      <c r="FB77" s="0"/>
      <c r="FC77" s="0"/>
      <c r="FD77" s="0"/>
      <c r="FE77" s="0"/>
      <c r="FF77" s="0"/>
      <c r="FG77" s="0"/>
      <c r="FH77" s="0"/>
      <c r="FI77" s="0"/>
      <c r="FJ77" s="0"/>
      <c r="FK77" s="0"/>
      <c r="FL77" s="0"/>
      <c r="FM77" s="0"/>
      <c r="FN77" s="0"/>
      <c r="FO77" s="0"/>
      <c r="FP77" s="0"/>
      <c r="FQ77" s="0"/>
      <c r="FR77" s="0"/>
      <c r="FS77" s="0"/>
      <c r="FT77" s="0"/>
      <c r="FU77" s="0"/>
      <c r="FV77" s="0"/>
      <c r="FW77" s="0"/>
      <c r="FX77" s="1624"/>
      <c r="FY77" s="1624"/>
      <c r="FZ77" s="1032" t="s">
        <v>228</v>
      </c>
      <c r="GA77" s="996"/>
      <c r="GB77" s="1035"/>
      <c r="GC77" s="662"/>
      <c r="GD77" s="662"/>
    </row>
    <row s="258" customFormat="1" customHeight="1" ht="23.887500000000003" hidden="1">
      <c r="A78" s="873"/>
      <c r="B78" s="901" cm="1" t="str">
        <f t="array" ref="B78:B78">S29</f>
        <v>true</v>
      </c>
      <c r="C78" s="873"/>
      <c r="D78" s="873"/>
      <c r="E78" s="816">
        <v>24.5</v>
      </c>
      <c r="F78" s="50" cm="1" t="str">
        <f t="array" ref="F78:F78">OFFSET(E78,-1,1)</f>
        <v>0</v>
      </c>
      <c r="G78" s="73" t="s">
        <v>1473</v>
      </c>
      <c r="H78" s="466" t="s">
        <v>434</v>
      </c>
      <c r="I78" s="466" t="s">
        <v>1549</v>
      </c>
      <c r="J78" s="873"/>
      <c r="K78" s="873"/>
      <c r="L78" s="873"/>
      <c r="M78" s="873"/>
      <c r="N78" s="873"/>
      <c r="O78" s="873"/>
      <c r="P78" s="873"/>
      <c r="Q78" s="873"/>
      <c r="R78" s="873"/>
      <c r="S78" s="466"/>
      <c r="T78" s="438" cm="1" t="str">
        <f t="array" ref="T78:T78">T76</f>
        <v>false</v>
      </c>
      <c r="U78" s="873"/>
      <c r="V78" s="873"/>
      <c r="W78" s="873"/>
      <c r="X78" s="1541"/>
      <c r="Y78" s="873"/>
      <c r="Z78" s="1493"/>
      <c r="AA78" s="873"/>
      <c r="AB78" s="185" t="s">
        <v>1550</v>
      </c>
      <c r="AC78" s="200" t="s">
        <v>1476</v>
      </c>
      <c r="AD78" s="2932">
        <f>IF(AND(method_reg="Метод индексации",god&lt;&gt;first_year),_xlfn.SUMIFS(INDEX('Калькуляция (МИ корр)'!$AJ$25:$BC$315,,MATCH(AD$8,'Калькуляция (МИ корр)'!$AJ$8:$BC$8,0)),'Калькуляция (МИ корр)'!$F$25:$F$315,$F78,'Калькуляция (МИ корр)'!$G$25:$G$315,$G78),IF(method_reg="Метод экономически обоснованных расходов",_xlfn.SUMIFS('Калькуляция (МЭОР)'!$AJ$25:$AJ$197,'Калькуляция (МЭОР)'!$F$25:$F$197,$F78,'Калькуляция (МЭОР)'!$G$25:$G$197,$G78),IF(method_reg="Метод сравнения аналогов",_xlfn.SUMIFS('Калькуляция (МСА)'!$AE$25:$AE$65,'Калькуляция (МСА)'!$F$25:$F$65,$F78,'Калькуляция (МСА)'!$G$25:$G$65,$G78),_xlfn.SUMIFS(INDEX('Калькуляция (МИ)'!$AJ$25:$BC$315,,MATCH(AD$8,'Калькуляция (МИ)'!$AJ$8:$BC$8,0)),'Калькуляция (МИ)'!$F$25:$F$315,$F78,'Калькуляция (МИ)'!$G$25:$G$315,$G78))))</f>
        <v>0</v>
      </c>
      <c r="AE78" s="2932">
        <f>IF(AND(method_reg="Метод индексации",god&lt;&gt;first_year),_xlfn.SUMIFS(INDEX('Калькуляция (МИ корр)'!$AJ$25:$BC$315,,MATCH(AE$8,'Калькуляция (МИ корр)'!$AJ$8:$BC$8,0)),'Калькуляция (МИ корр)'!$F$25:$F$315,$F78,'Калькуляция (МИ корр)'!$G$25:$G$315,$G78),IF(method_reg="Метод экономически обоснованных расходов",_xlfn.SUMIFS('Калькуляция (МЭОР)'!$AK$25:$AK$197,'Калькуляция (МЭОР)'!$F$25:$F$197,$F78,'Калькуляция (МЭОР)'!$G$25:$G$197,$G78),IF(method_reg="Метод сравнения аналогов",_xlfn.SUMIFS('Калькуляция (МСА)'!$AF$25:$AF$65,'Калькуляция (МСА)'!$F$25:$F$65,$F78,'Калькуляция (МСА)'!$G$25:$G$65,$G78),_xlfn.SUMIFS(INDEX('Калькуляция (МИ)'!$AJ$25:$BC$315,,MATCH(AE$8,'Калькуляция (МИ)'!$AJ$8:$BC$8,0)),'Калькуляция (МИ)'!$F$25:$F$315,$F78,'Калькуляция (МИ)'!$G$25:$G$315,$G78))))</f>
        <v>0</v>
      </c>
      <c r="AF78" s="262">
        <f>IF(AD78=0,0,(AE78-AD78)/AD78*100)</f>
        <v>0</v>
      </c>
      <c r="AG78" s="2932">
        <f>IF(AND(method_reg="Метод индексации",god&lt;&gt;first_year),_xlfn.SUMIFS(INDEX('Калькуляция (МИ корр)'!$AJ$25:$BC$315,,MATCH(AG$8,'Калькуляция (МИ корр)'!$AJ$8:$BC$8,0)),'Калькуляция (МИ корр)'!$F$25:$F$315,$F78,'Калькуляция (МИ корр)'!$G$25:$G$315,$G78),IF(method_reg="Метод экономически обоснованных расходов",_xlfn.SUMIFS('Калькуляция (МЭОР)'!$AJ$25:$AJ$197,'Калькуляция (МЭОР)'!$F$25:$F$197,$F78,'Калькуляция (МЭОР)'!$G$25:$G$197,$G78),IF(method_reg="Метод сравнения аналогов",_xlfn.SUMIFS('Калькуляция (МСА)'!$AE$25:$AE$65,'Калькуляция (МСА)'!$F$25:$F$65,$F78,'Калькуляция (МСА)'!$G$25:$G$65,$G78),_xlfn.SUMIFS(INDEX('Калькуляция (МИ)'!$AJ$25:$BC$315,,MATCH(AG$8,'Калькуляция (МИ)'!$AJ$8:$BC$8,0)),'Калькуляция (МИ)'!$F$25:$F$315,$F78,'Калькуляция (МИ)'!$G$25:$G$315,$G78))))</f>
        <v>0</v>
      </c>
      <c r="AH78" s="2932">
        <f>IF(AND(method_reg="Метод индексации",god&lt;&gt;first_year),_xlfn.SUMIFS(INDEX('Калькуляция (МИ корр)'!$AJ$25:$BC$315,,MATCH(AH$8,'Калькуляция (МИ корр)'!$AJ$8:$BC$8,0)),'Калькуляция (МИ корр)'!$F$25:$F$315,$F78,'Калькуляция (МИ корр)'!$G$25:$G$315,$G78),IF(method_reg="Метод экономически обоснованных расходов",_xlfn.SUMIFS('Калькуляция (МЭОР)'!$AK$25:$AK$197,'Калькуляция (МЭОР)'!$F$25:$F$197,$F78,'Калькуляция (МЭОР)'!$G$25:$G$197,$G78),IF(method_reg="Метод сравнения аналогов",_xlfn.SUMIFS('Калькуляция (МСА)'!$AF$25:$AF$65,'Калькуляция (МСА)'!$F$25:$F$65,$F78,'Калькуляция (МСА)'!$G$25:$G$65,$G78),_xlfn.SUMIFS(INDEX('Калькуляция (МИ)'!$AJ$25:$BC$315,,MATCH(AH$8,'Калькуляция (МИ)'!$AJ$8:$BC$8,0)),'Калькуляция (МИ)'!$F$25:$F$315,$F78,'Калькуляция (МИ)'!$G$25:$G$315,$G78))))</f>
        <v>0</v>
      </c>
      <c r="AI78" s="262">
        <f>IF(AG78=0,0,(AH78-AG78)/AG78*100)</f>
        <v>0</v>
      </c>
      <c r="AJ78" s="2932">
        <f>IF(AND(method_reg="Метод индексации",god&lt;&gt;first_year),_xlfn.SUMIFS(INDEX('Калькуляция (МИ корр)'!$AJ$25:$BC$315,,MATCH(AJ$8,'Калькуляция (МИ корр)'!$AJ$8:$BC$8,0)),'Калькуляция (МИ корр)'!$F$25:$F$315,$F78,'Калькуляция (МИ корр)'!$G$25:$G$315,$G78),IF(method_reg="Метод экономически обоснованных расходов",_xlfn.SUMIFS('Калькуляция (МЭОР)'!$AJ$25:$AJ$197,'Калькуляция (МЭОР)'!$F$25:$F$197,$F78,'Калькуляция (МЭОР)'!$G$25:$G$197,$G78),IF(method_reg="Метод сравнения аналогов",_xlfn.SUMIFS('Калькуляция (МСА)'!$AE$25:$AE$65,'Калькуляция (МСА)'!$F$25:$F$65,$F78,'Калькуляция (МСА)'!$G$25:$G$65,$G78),_xlfn.SUMIFS(INDEX('Калькуляция (МИ)'!$AJ$25:$BC$315,,MATCH(AJ$8,'Калькуляция (МИ)'!$AJ$8:$BC$8,0)),'Калькуляция (МИ)'!$F$25:$F$315,$F78,'Калькуляция (МИ)'!$G$25:$G$315,$G78))))</f>
        <v>0</v>
      </c>
      <c r="AK78" s="2932">
        <f>IF(AND(method_reg="Метод индексации",god&lt;&gt;first_year),_xlfn.SUMIFS(INDEX('Калькуляция (МИ корр)'!$AJ$25:$BC$315,,MATCH(AK$8,'Калькуляция (МИ корр)'!$AJ$8:$BC$8,0)),'Калькуляция (МИ корр)'!$F$25:$F$315,$F78,'Калькуляция (МИ корр)'!$G$25:$G$315,$G78),IF(method_reg="Метод экономически обоснованных расходов",_xlfn.SUMIFS('Калькуляция (МЭОР)'!$AK$25:$AK$197,'Калькуляция (МЭОР)'!$F$25:$F$197,$F78,'Калькуляция (МЭОР)'!$G$25:$G$197,$G78),IF(method_reg="Метод сравнения аналогов",_xlfn.SUMIFS('Калькуляция (МСА)'!$AF$25:$AF$65,'Калькуляция (МСА)'!$F$25:$F$65,$F78,'Калькуляция (МСА)'!$G$25:$G$65,$G78),_xlfn.SUMIFS(INDEX('Калькуляция (МИ)'!$AJ$25:$BC$315,,MATCH(AK$8,'Калькуляция (МИ)'!$AJ$8:$BC$8,0)),'Калькуляция (МИ)'!$F$25:$F$315,$F78,'Калькуляция (МИ)'!$G$25:$G$315,$G78))))</f>
        <v>0</v>
      </c>
      <c r="AL78" s="262">
        <f>IF(AJ78=0,0,(AK78-AJ78)/AJ78*100)</f>
        <v>0</v>
      </c>
      <c r="AM78" s="2932">
        <f>IF(AND(method_reg="Метод индексации",god&lt;&gt;first_year),_xlfn.SUMIFS(INDEX('Калькуляция (МИ корр)'!$AJ$25:$BC$315,,MATCH(AM$8,'Калькуляция (МИ корр)'!$AJ$8:$BC$8,0)),'Калькуляция (МИ корр)'!$F$25:$F$315,$F78,'Калькуляция (МИ корр)'!$G$25:$G$315,$G78),IF(method_reg="Метод экономически обоснованных расходов",_xlfn.SUMIFS('Калькуляция (МЭОР)'!$AJ$25:$AJ$197,'Калькуляция (МЭОР)'!$F$25:$F$197,$F78,'Калькуляция (МЭОР)'!$G$25:$G$197,$G78),IF(method_reg="Метод сравнения аналогов",_xlfn.SUMIFS('Калькуляция (МСА)'!$AE$25:$AE$65,'Калькуляция (МСА)'!$F$25:$F$65,$F78,'Калькуляция (МСА)'!$G$25:$G$65,$G78),_xlfn.SUMIFS(INDEX('Калькуляция (МИ)'!$AJ$25:$BC$315,,MATCH(AM$8,'Калькуляция (МИ)'!$AJ$8:$BC$8,0)),'Калькуляция (МИ)'!$F$25:$F$315,$F78,'Калькуляция (МИ)'!$G$25:$G$315,$G78))))</f>
        <v>0</v>
      </c>
      <c r="AN78" s="2932">
        <f>IF(AND(method_reg="Метод индексации",god&lt;&gt;first_year),_xlfn.SUMIFS(INDEX('Калькуляция (МИ корр)'!$AJ$25:$BC$315,,MATCH(AN$8,'Калькуляция (МИ корр)'!$AJ$8:$BC$8,0)),'Калькуляция (МИ корр)'!$F$25:$F$315,$F78,'Калькуляция (МИ корр)'!$G$25:$G$315,$G78),IF(method_reg="Метод экономически обоснованных расходов",_xlfn.SUMIFS('Калькуляция (МЭОР)'!$AK$25:$AK$197,'Калькуляция (МЭОР)'!$F$25:$F$197,$F78,'Калькуляция (МЭОР)'!$G$25:$G$197,$G78),IF(method_reg="Метод сравнения аналогов",_xlfn.SUMIFS('Калькуляция (МСА)'!$AF$25:$AF$65,'Калькуляция (МСА)'!$F$25:$F$65,$F78,'Калькуляция (МСА)'!$G$25:$G$65,$G78),_xlfn.SUMIFS(INDEX('Калькуляция (МИ)'!$AJ$25:$BC$315,,MATCH(AN$8,'Калькуляция (МИ)'!$AJ$8:$BC$8,0)),'Калькуляция (МИ)'!$F$25:$F$315,$F78,'Калькуляция (МИ)'!$G$25:$G$315,$G78))))</f>
        <v>0</v>
      </c>
      <c r="AO78" s="262">
        <f>IF(AM78=0,0,(AN78-AM78)/AM78*100)</f>
        <v>0</v>
      </c>
      <c r="AP78" s="2932">
        <f>IF(AND(method_reg="Метод индексации",god&lt;&gt;first_year),_xlfn.SUMIFS(INDEX('Калькуляция (МИ корр)'!$AJ$25:$BC$315,,MATCH(AP$8,'Калькуляция (МИ корр)'!$AJ$8:$BC$8,0)),'Калькуляция (МИ корр)'!$F$25:$F$315,$F78,'Калькуляция (МИ корр)'!$G$25:$G$315,$G78),IF(method_reg="Метод экономически обоснованных расходов",_xlfn.SUMIFS('Калькуляция (МЭОР)'!$AJ$25:$AJ$197,'Калькуляция (МЭОР)'!$F$25:$F$197,$F78,'Калькуляция (МЭОР)'!$G$25:$G$197,$G78),IF(method_reg="Метод сравнения аналогов",_xlfn.SUMIFS('Калькуляция (МСА)'!$AE$25:$AE$65,'Калькуляция (МСА)'!$F$25:$F$65,$F78,'Калькуляция (МСА)'!$G$25:$G$65,$G78),_xlfn.SUMIFS(INDEX('Калькуляция (МИ)'!$AJ$25:$BC$315,,MATCH(AP$8,'Калькуляция (МИ)'!$AJ$8:$BC$8,0)),'Калькуляция (МИ)'!$F$25:$F$315,$F78,'Калькуляция (МИ)'!$G$25:$G$315,$G78))))</f>
        <v>0</v>
      </c>
      <c r="AQ78" s="2932">
        <f>IF(AND(method_reg="Метод индексации",god&lt;&gt;first_year),_xlfn.SUMIFS(INDEX('Калькуляция (МИ корр)'!$AJ$25:$BC$315,,MATCH(AQ$8,'Калькуляция (МИ корр)'!$AJ$8:$BC$8,0)),'Калькуляция (МИ корр)'!$F$25:$F$315,$F78,'Калькуляция (МИ корр)'!$G$25:$G$315,$G78),IF(method_reg="Метод экономически обоснованных расходов",_xlfn.SUMIFS('Калькуляция (МЭОР)'!$AK$25:$AK$197,'Калькуляция (МЭОР)'!$F$25:$F$197,$F78,'Калькуляция (МЭОР)'!$G$25:$G$197,$G78),IF(method_reg="Метод сравнения аналогов",_xlfn.SUMIFS('Калькуляция (МСА)'!$AF$25:$AF$65,'Калькуляция (МСА)'!$F$25:$F$65,$F78,'Калькуляция (МСА)'!$G$25:$G$65,$G78),_xlfn.SUMIFS(INDEX('Калькуляция (МИ)'!$AJ$25:$BC$315,,MATCH(AQ$8,'Калькуляция (МИ)'!$AJ$8:$BC$8,0)),'Калькуляция (МИ)'!$F$25:$F$315,$F78,'Калькуляция (МИ)'!$G$25:$G$315,$G78))))</f>
        <v>0</v>
      </c>
      <c r="AR78" s="262">
        <f>IF(AP78=0,0,(AQ78-AP78)/AP78*100)</f>
        <v>0</v>
      </c>
      <c r="AS78" s="2932">
        <f>IF(AND(method_reg="Метод индексации",god&lt;&gt;first_year),_xlfn.SUMIFS(INDEX('Калькуляция (МИ корр)'!$AJ$25:$BC$315,,MATCH(AS$8,'Калькуляция (МИ корр)'!$AJ$8:$BC$8,0)),'Калькуляция (МИ корр)'!$F$25:$F$315,$F78,'Калькуляция (МИ корр)'!$G$25:$G$315,$G78),IF(method_reg="Метод экономически обоснованных расходов",_xlfn.SUMIFS('Калькуляция (МЭОР)'!$AJ$25:$AJ$197,'Калькуляция (МЭОР)'!$F$25:$F$197,$F78,'Калькуляция (МЭОР)'!$G$25:$G$197,$G78),IF(method_reg="Метод сравнения аналогов",_xlfn.SUMIFS('Калькуляция (МСА)'!$AE$25:$AE$65,'Калькуляция (МСА)'!$F$25:$F$65,$F78,'Калькуляция (МСА)'!$G$25:$G$65,$G78),_xlfn.SUMIFS(INDEX('Калькуляция (МИ)'!$AJ$25:$BC$315,,MATCH(AS$8,'Калькуляция (МИ)'!$AJ$8:$BC$8,0)),'Калькуляция (МИ)'!$F$25:$F$315,$F78,'Калькуляция (МИ)'!$G$25:$G$315,$G78))))</f>
        <v>0</v>
      </c>
      <c r="AT78" s="2932">
        <f>IF(AND(method_reg="Метод индексации",god&lt;&gt;first_year),_xlfn.SUMIFS(INDEX('Калькуляция (МИ корр)'!$AJ$25:$BC$315,,MATCH(AT$8,'Калькуляция (МИ корр)'!$AJ$8:$BC$8,0)),'Калькуляция (МИ корр)'!$F$25:$F$315,$F78,'Калькуляция (МИ корр)'!$G$25:$G$315,$G78),IF(method_reg="Метод экономически обоснованных расходов",_xlfn.SUMIFS('Калькуляция (МЭОР)'!$AK$25:$AK$197,'Калькуляция (МЭОР)'!$F$25:$F$197,$F78,'Калькуляция (МЭОР)'!$G$25:$G$197,$G78),IF(method_reg="Метод сравнения аналогов",_xlfn.SUMIFS('Калькуляция (МСА)'!$AF$25:$AF$65,'Калькуляция (МСА)'!$F$25:$F$65,$F78,'Калькуляция (МСА)'!$G$25:$G$65,$G78),_xlfn.SUMIFS(INDEX('Калькуляция (МИ)'!$AJ$25:$BC$315,,MATCH(AT$8,'Калькуляция (МИ)'!$AJ$8:$BC$8,0)),'Калькуляция (МИ)'!$F$25:$F$315,$F78,'Калькуляция (МИ)'!$G$25:$G$315,$G78))))</f>
        <v>0</v>
      </c>
      <c r="AU78" s="262">
        <f>IF(AS78=0,0,(AT78-AS78)/AS78*100)</f>
        <v>0</v>
      </c>
      <c r="AV78" s="2932">
        <f>IF(AND(method_reg="Метод индексации",god&lt;&gt;first_year),_xlfn.SUMIFS(INDEX('Калькуляция (МИ корр)'!$AJ$25:$BC$315,,MATCH(AV$8,'Калькуляция (МИ корр)'!$AJ$8:$BC$8,0)),'Калькуляция (МИ корр)'!$F$25:$F$315,$F78,'Калькуляция (МИ корр)'!$G$25:$G$315,$G78),IF(method_reg="Метод экономически обоснованных расходов",_xlfn.SUMIFS('Калькуляция (МЭОР)'!$AJ$25:$AJ$197,'Калькуляция (МЭОР)'!$F$25:$F$197,$F78,'Калькуляция (МЭОР)'!$G$25:$G$197,$G78),IF(method_reg="Метод сравнения аналогов",_xlfn.SUMIFS('Калькуляция (МСА)'!$AE$25:$AE$65,'Калькуляция (МСА)'!$F$25:$F$65,$F78,'Калькуляция (МСА)'!$G$25:$G$65,$G78),_xlfn.SUMIFS(INDEX('Калькуляция (МИ)'!$AJ$25:$BC$315,,MATCH(AV$8,'Калькуляция (МИ)'!$AJ$8:$BC$8,0)),'Калькуляция (МИ)'!$F$25:$F$315,$F78,'Калькуляция (МИ)'!$G$25:$G$315,$G78))))</f>
        <v>0</v>
      </c>
      <c r="AW78" s="2932">
        <f>IF(AND(method_reg="Метод индексации",god&lt;&gt;first_year),_xlfn.SUMIFS(INDEX('Калькуляция (МИ корр)'!$AJ$25:$BC$315,,MATCH(AW$8,'Калькуляция (МИ корр)'!$AJ$8:$BC$8,0)),'Калькуляция (МИ корр)'!$F$25:$F$315,$F78,'Калькуляция (МИ корр)'!$G$25:$G$315,$G78),IF(method_reg="Метод экономически обоснованных расходов",_xlfn.SUMIFS('Калькуляция (МЭОР)'!$AK$25:$AK$197,'Калькуляция (МЭОР)'!$F$25:$F$197,$F78,'Калькуляция (МЭОР)'!$G$25:$G$197,$G78),IF(method_reg="Метод сравнения аналогов",_xlfn.SUMIFS('Калькуляция (МСА)'!$AF$25:$AF$65,'Калькуляция (МСА)'!$F$25:$F$65,$F78,'Калькуляция (МСА)'!$G$25:$G$65,$G78),_xlfn.SUMIFS(INDEX('Калькуляция (МИ)'!$AJ$25:$BC$315,,MATCH(AW$8,'Калькуляция (МИ)'!$AJ$8:$BC$8,0)),'Калькуляция (МИ)'!$F$25:$F$315,$F78,'Калькуляция (МИ)'!$G$25:$G$315,$G78))))</f>
        <v>0</v>
      </c>
      <c r="AX78" s="262">
        <f>IF(AV78=0,0,(AW78-AV78)/AV78*100)</f>
        <v>0</v>
      </c>
      <c r="AY78" s="2932">
        <f>IF(AND(method_reg="Метод индексации",god&lt;&gt;first_year),_xlfn.SUMIFS(INDEX('Калькуляция (МИ корр)'!$AJ$25:$BC$315,,MATCH(AY$8,'Калькуляция (МИ корр)'!$AJ$8:$BC$8,0)),'Калькуляция (МИ корр)'!$F$25:$F$315,$F78,'Калькуляция (МИ корр)'!$G$25:$G$315,$G78),IF(method_reg="Метод экономически обоснованных расходов",_xlfn.SUMIFS('Калькуляция (МЭОР)'!$AJ$25:$AJ$197,'Калькуляция (МЭОР)'!$F$25:$F$197,$F78,'Калькуляция (МЭОР)'!$G$25:$G$197,$G78),IF(method_reg="Метод сравнения аналогов",_xlfn.SUMIFS('Калькуляция (МСА)'!$AE$25:$AE$65,'Калькуляция (МСА)'!$F$25:$F$65,$F78,'Калькуляция (МСА)'!$G$25:$G$65,$G78),_xlfn.SUMIFS(INDEX('Калькуляция (МИ)'!$AJ$25:$BC$315,,MATCH(AY$8,'Калькуляция (МИ)'!$AJ$8:$BC$8,0)),'Калькуляция (МИ)'!$F$25:$F$315,$F78,'Калькуляция (МИ)'!$G$25:$G$315,$G78))))</f>
        <v>0</v>
      </c>
      <c r="AZ78" s="2932">
        <f>IF(AND(method_reg="Метод индексации",god&lt;&gt;first_year),_xlfn.SUMIFS(INDEX('Калькуляция (МИ корр)'!$AJ$25:$BC$315,,MATCH(AZ$8,'Калькуляция (МИ корр)'!$AJ$8:$BC$8,0)),'Калькуляция (МИ корр)'!$F$25:$F$315,$F78,'Калькуляция (МИ корр)'!$G$25:$G$315,$G78),IF(method_reg="Метод экономически обоснованных расходов",_xlfn.SUMIFS('Калькуляция (МЭОР)'!$AK$25:$AK$197,'Калькуляция (МЭОР)'!$F$25:$F$197,$F78,'Калькуляция (МЭОР)'!$G$25:$G$197,$G78),IF(method_reg="Метод сравнения аналогов",_xlfn.SUMIFS('Калькуляция (МСА)'!$AF$25:$AF$65,'Калькуляция (МСА)'!$F$25:$F$65,$F78,'Калькуляция (МСА)'!$G$25:$G$65,$G78),_xlfn.SUMIFS(INDEX('Калькуляция (МИ)'!$AJ$25:$BC$315,,MATCH(AZ$8,'Калькуляция (МИ)'!$AJ$8:$BC$8,0)),'Калькуляция (МИ)'!$F$25:$F$315,$F78,'Калькуляция (МИ)'!$G$25:$G$315,$G78))))</f>
        <v>0</v>
      </c>
      <c r="BA78" s="262">
        <f>IF(AY78=0,0,(AZ78-AY78)/AY78*100)</f>
        <v>0</v>
      </c>
      <c r="BB78" s="2932">
        <f>IF(AND(method_reg="Метод индексации",god&lt;&gt;first_year),_xlfn.SUMIFS(INDEX('Калькуляция (МИ корр)'!$AJ$25:$BC$315,,MATCH(BB$8,'Калькуляция (МИ корр)'!$AJ$8:$BC$8,0)),'Калькуляция (МИ корр)'!$F$25:$F$315,$F78,'Калькуляция (МИ корр)'!$G$25:$G$315,$G78),IF(method_reg="Метод экономически обоснованных расходов",_xlfn.SUMIFS('Калькуляция (МЭОР)'!$AJ$25:$AJ$197,'Калькуляция (МЭОР)'!$F$25:$F$197,$F78,'Калькуляция (МЭОР)'!$G$25:$G$197,$G78),IF(method_reg="Метод сравнения аналогов",_xlfn.SUMIFS('Калькуляция (МСА)'!$AE$25:$AE$65,'Калькуляция (МСА)'!$F$25:$F$65,$F78,'Калькуляция (МСА)'!$G$25:$G$65,$G78),_xlfn.SUMIFS(INDEX('Калькуляция (МИ)'!$AJ$25:$BC$315,,MATCH(BB$8,'Калькуляция (МИ)'!$AJ$8:$BC$8,0)),'Калькуляция (МИ)'!$F$25:$F$315,$F78,'Калькуляция (МИ)'!$G$25:$G$315,$G78))))</f>
        <v>0</v>
      </c>
      <c r="BC78" s="2932">
        <f>IF(AND(method_reg="Метод индексации",god&lt;&gt;first_year),_xlfn.SUMIFS(INDEX('Калькуляция (МИ корр)'!$AJ$25:$BC$315,,MATCH(BC$8,'Калькуляция (МИ корр)'!$AJ$8:$BC$8,0)),'Калькуляция (МИ корр)'!$F$25:$F$315,$F78,'Калькуляция (МИ корр)'!$G$25:$G$315,$G78),IF(method_reg="Метод экономически обоснованных расходов",_xlfn.SUMIFS('Калькуляция (МЭОР)'!$AK$25:$AK$197,'Калькуляция (МЭОР)'!$F$25:$F$197,$F78,'Калькуляция (МЭОР)'!$G$25:$G$197,$G78),IF(method_reg="Метод сравнения аналогов",_xlfn.SUMIFS('Калькуляция (МСА)'!$AF$25:$AF$65,'Калькуляция (МСА)'!$F$25:$F$65,$F78,'Калькуляция (МСА)'!$G$25:$G$65,$G78),_xlfn.SUMIFS(INDEX('Калькуляция (МИ)'!$AJ$25:$BC$315,,MATCH(BC$8,'Калькуляция (МИ)'!$AJ$8:$BC$8,0)),'Калькуляция (МИ)'!$F$25:$F$315,$F78,'Калькуляция (МИ)'!$G$25:$G$315,$G78))))</f>
        <v>0</v>
      </c>
      <c r="BD78" s="262">
        <f>IF(BB78=0,0,(BC78-BB78)/BB78*100)</f>
        <v>0</v>
      </c>
      <c r="BE78" s="2932">
        <f>IF(AND(method_reg="Метод индексации",god&lt;&gt;first_year),_xlfn.SUMIFS(INDEX('Калькуляция (МИ корр)'!$AJ$25:$BC$315,,MATCH(BE$8,'Калькуляция (МИ корр)'!$AJ$8:$BC$8,0)),'Калькуляция (МИ корр)'!$F$25:$F$315,$F78,'Калькуляция (МИ корр)'!$G$25:$G$315,$G78),IF(method_reg="Метод экономически обоснованных расходов",_xlfn.SUMIFS('Калькуляция (МЭОР)'!$AJ$25:$AJ$197,'Калькуляция (МЭОР)'!$F$25:$F$197,$F78,'Калькуляция (МЭОР)'!$G$25:$G$197,$G78),IF(method_reg="Метод сравнения аналогов",_xlfn.SUMIFS('Калькуляция (МСА)'!$AE$25:$AE$65,'Калькуляция (МСА)'!$F$25:$F$65,$F78,'Калькуляция (МСА)'!$G$25:$G$65,$G78),_xlfn.SUMIFS(INDEX('Калькуляция (МИ)'!$AJ$25:$BC$315,,MATCH(BE$8,'Калькуляция (МИ)'!$AJ$8:$BC$8,0)),'Калькуляция (МИ)'!$F$25:$F$315,$F78,'Калькуляция (МИ)'!$G$25:$G$315,$G78))))</f>
        <v>0</v>
      </c>
      <c r="BF78" s="2932">
        <f>IF(AND(method_reg="Метод индексации",god&lt;&gt;first_year),_xlfn.SUMIFS(INDEX('Калькуляция (МИ корр)'!$AJ$25:$BC$315,,MATCH(BF$8,'Калькуляция (МИ корр)'!$AJ$8:$BC$8,0)),'Калькуляция (МИ корр)'!$F$25:$F$315,$F78,'Калькуляция (МИ корр)'!$G$25:$G$315,$G78),IF(method_reg="Метод экономически обоснованных расходов",_xlfn.SUMIFS('Калькуляция (МЭОР)'!$AK$25:$AK$197,'Калькуляция (МЭОР)'!$F$25:$F$197,$F78,'Калькуляция (МЭОР)'!$G$25:$G$197,$G78),IF(method_reg="Метод сравнения аналогов",_xlfn.SUMIFS('Калькуляция (МСА)'!$AF$25:$AF$65,'Калькуляция (МСА)'!$F$25:$F$65,$F78,'Калькуляция (МСА)'!$G$25:$G$65,$G78),_xlfn.SUMIFS(INDEX('Калькуляция (МИ)'!$AJ$25:$BC$315,,MATCH(BF$8,'Калькуляция (МИ)'!$AJ$8:$BC$8,0)),'Калькуляция (МИ)'!$F$25:$F$315,$F78,'Калькуляция (МИ)'!$G$25:$G$315,$G78))))</f>
        <v>0</v>
      </c>
      <c r="BG78" s="262">
        <f>IF(BE78=0,0,(BF78-BE78)/BE78*100)</f>
        <v>0</v>
      </c>
      <c r="BH78" s="2932"/>
      <c r="BI78" s="2932"/>
      <c r="BJ78" s="262">
        <f>IF(BH78=0,0,(BI78-BH78)/BH78*100)</f>
        <v>0</v>
      </c>
      <c r="BK78" s="2932"/>
      <c r="BL78" s="2932"/>
      <c r="BM78" s="262">
        <f>IF(BK78=0,0,(BL78-BK78)/BK78*100)</f>
        <v>0</v>
      </c>
      <c r="BN78" s="2932"/>
      <c r="BO78" s="2932"/>
      <c r="BP78" s="262">
        <f>IF(BN78=0,0,(BO78-BN78)/BN78*100)</f>
        <v>0</v>
      </c>
      <c r="BQ78" s="2932"/>
      <c r="BR78" s="2932"/>
      <c r="BS78" s="262">
        <f>IF(BQ78=0,0,(BR78-BQ78)/BQ78*100)</f>
        <v>0</v>
      </c>
      <c r="BT78" s="2932"/>
      <c r="BU78" s="2932"/>
      <c r="BV78" s="262">
        <f>IF(BT78=0,0,(BU78-BT78)/BT78*100)</f>
        <v>0</v>
      </c>
      <c r="BW78" s="2932"/>
      <c r="BX78" s="2932"/>
      <c r="BY78" s="262">
        <f>IF(BW78=0,0,(BX78-BW78)/BW78*100)</f>
        <v>0</v>
      </c>
      <c r="BZ78" s="2932"/>
      <c r="CA78" s="2932"/>
      <c r="CB78" s="262">
        <f>IF(BZ78=0,0,(CA78-BZ78)/BZ78*100)</f>
        <v>0</v>
      </c>
      <c r="CC78" s="2932"/>
      <c r="CD78" s="2932"/>
      <c r="CE78" s="262">
        <f>IF(CC78=0,0,(CD78-CC78)/CC78*100)</f>
        <v>0</v>
      </c>
      <c r="CF78" s="2932"/>
      <c r="CG78" s="2932"/>
      <c r="CH78" s="262">
        <f>IF(CF78=0,0,(CG78-CF78)/CF78*100)</f>
        <v>0</v>
      </c>
      <c r="CI78" s="2932"/>
      <c r="CJ78" s="2932"/>
      <c r="CK78" s="262">
        <f>IF(CI78=0,0,(CJ78-CI78)/CI78*100)</f>
        <v>0</v>
      </c>
      <c r="CL78" s="2932"/>
      <c r="CM78" s="2932"/>
      <c r="CN78" s="262">
        <f>IF(CL78=0,0,(CM78-CL78)/CL78*100)</f>
        <v>0</v>
      </c>
      <c r="CO78" s="2932"/>
      <c r="CP78" s="2932"/>
      <c r="CQ78" s="262">
        <f>IF(CO78=0,0,(CP78-CO78)/CO78*100)</f>
        <v>0</v>
      </c>
      <c r="CR78" s="2932"/>
      <c r="CS78" s="2932"/>
      <c r="CT78" s="262">
        <f>IF(CR78=0,0,(CS78-CR78)/CR78*100)</f>
        <v>0</v>
      </c>
      <c r="CU78" s="2932"/>
      <c r="CV78" s="2932"/>
      <c r="CW78" s="262">
        <f>IF(CU78=0,0,(CV78-CU78)/CU78*100)</f>
        <v>0</v>
      </c>
      <c r="CX78" s="2932"/>
      <c r="CY78" s="2932"/>
      <c r="CZ78" s="262">
        <f>IF(CX78=0,0,(CY78-CX78)/CX78*100)</f>
        <v>0</v>
      </c>
      <c r="DA78" s="2932"/>
      <c r="DB78" s="2932"/>
      <c r="DC78" s="262">
        <f>IF(DA78=0,0,(DB78-DA78)/DA78*100)</f>
        <v>0</v>
      </c>
      <c r="DD78" s="2932"/>
      <c r="DE78" s="2932"/>
      <c r="DF78" s="262">
        <f>IF(DD78=0,0,(DE78-DD78)/DD78*100)</f>
        <v>0</v>
      </c>
      <c r="DG78" s="2932"/>
      <c r="DH78" s="2932"/>
      <c r="DI78" s="262">
        <f>IF(DG78=0,0,(DH78-DG78)/DG78*100)</f>
        <v>0</v>
      </c>
      <c r="DJ78" s="2932"/>
      <c r="DK78" s="2932"/>
      <c r="DL78" s="262">
        <f>IF(DJ78=0,0,(DK78-DJ78)/DJ78*100)</f>
        <v>0</v>
      </c>
      <c r="DM78" s="2932"/>
      <c r="DN78" s="2932"/>
      <c r="DO78" s="262">
        <f>IF(DM78=0,0,(DN78-DM78)/DM78*100)</f>
        <v>0</v>
      </c>
      <c r="DP78" s="2932"/>
      <c r="DQ78" s="2932"/>
      <c r="DR78" s="262">
        <f>IF(DP78=0,0,(DQ78-DP78)/DP78*100)</f>
        <v>0</v>
      </c>
      <c r="DS78" s="2932"/>
      <c r="DT78" s="2932"/>
      <c r="DU78" s="262">
        <f>IF(DS78=0,0,(DT78-DS78)/DS78*100)</f>
        <v>0</v>
      </c>
      <c r="DV78" s="2932"/>
      <c r="DW78" s="2932"/>
      <c r="DX78" s="262">
        <f>IF(DV78=0,0,(DW78-DV78)/DV78*100)</f>
        <v>0</v>
      </c>
      <c r="DY78" s="2932"/>
      <c r="DZ78" s="2932"/>
      <c r="EA78" s="262">
        <f>IF(DY78=0,0,(DZ78-DY78)/DY78*100)</f>
        <v>0</v>
      </c>
      <c r="EB78" s="2932"/>
      <c r="EC78" s="2932"/>
      <c r="ED78" s="262">
        <f>IF(EB78=0,0,(EC78-EB78)/EB78*100)</f>
        <v>0</v>
      </c>
      <c r="EE78" s="2932"/>
      <c r="EF78" s="2932"/>
      <c r="EG78" s="262">
        <f>IF(EE78=0,0,(EF78-EE78)/EE78*100)</f>
        <v>0</v>
      </c>
      <c r="EH78" s="2932"/>
      <c r="EI78" s="2932"/>
      <c r="EJ78" s="262">
        <f>IF(EH78=0,0,(EI78-EH78)/EH78*100)</f>
        <v>0</v>
      </c>
      <c r="EK78" s="2932"/>
      <c r="EL78" s="2932"/>
      <c r="EM78" s="262">
        <f>IF(EK78=0,0,(EL78-EK78)/EK78*100)</f>
        <v>0</v>
      </c>
      <c r="EN78" s="2932"/>
      <c r="EO78" s="2932"/>
      <c r="EP78" s="262">
        <f>IF(EN78=0,0,(EO78-EN78)/EN78*100)</f>
        <v>0</v>
      </c>
      <c r="EQ78" s="2932"/>
      <c r="ER78" s="2932"/>
      <c r="ES78" s="262">
        <f>IF(EQ78=0,0,(ER78-EQ78)/EQ78*100)</f>
        <v>0</v>
      </c>
      <c r="ET78" s="2932"/>
      <c r="EU78" s="2932"/>
      <c r="EV78" s="262">
        <f>IF(ET78=0,0,(EU78-ET78)/ET78*100)</f>
        <v>0</v>
      </c>
      <c r="EW78" s="2932"/>
      <c r="EX78" s="2932"/>
      <c r="EY78" s="262">
        <f>IF(EW78=0,0,(EX78-EW78)/EW78*100)</f>
        <v>0</v>
      </c>
      <c r="EZ78" s="2932"/>
      <c r="FA78" s="2932"/>
      <c r="FB78" s="262">
        <f>IF(EZ78=0,0,(FA78-EZ78)/EZ78*100)</f>
        <v>0</v>
      </c>
      <c r="FC78" s="2932"/>
      <c r="FD78" s="2932"/>
      <c r="FE78" s="262">
        <f>IF(FC78=0,0,(FD78-FC78)/FC78*100)</f>
        <v>0</v>
      </c>
      <c r="FF78" s="2932"/>
      <c r="FG78" s="2932"/>
      <c r="FH78" s="262">
        <f>IF(FF78=0,0,(FG78-FF78)/FF78*100)</f>
        <v>0</v>
      </c>
      <c r="FI78" s="2932"/>
      <c r="FJ78" s="2932"/>
      <c r="FK78" s="262">
        <f>IF(FI78=0,0,(FJ78-FI78)/FI78*100)</f>
        <v>0</v>
      </c>
      <c r="FL78" s="2932"/>
      <c r="FM78" s="2932"/>
      <c r="FN78" s="262">
        <f>IF(FL78=0,0,(FM78-FL78)/FL78*100)</f>
        <v>0</v>
      </c>
      <c r="FO78" s="2932"/>
      <c r="FP78" s="2932"/>
      <c r="FQ78" s="262">
        <f>IF(FO78=0,0,(FP78-FO78)/FO78*100)</f>
        <v>0</v>
      </c>
      <c r="FR78" s="2932"/>
      <c r="FS78" s="2932"/>
      <c r="FT78" s="262">
        <f>IF(FR78=0,0,(FS78-FR78)/FR78*100)</f>
        <v>0</v>
      </c>
      <c r="FU78" s="2932"/>
      <c r="FV78" s="2932"/>
      <c r="FW78" s="262">
        <f>IF(FU78=0,0,(FV78-FU78)/FU78*100)</f>
        <v>0</v>
      </c>
      <c r="FX78" s="258"/>
      <c r="FY78" s="258"/>
      <c r="FZ78" s="1032" t="s">
        <v>1551</v>
      </c>
      <c r="GA78" s="1032"/>
      <c r="GB78" s="1032"/>
      <c r="GC78" s="1033"/>
      <c r="GD78" s="1033"/>
    </row>
    <row s="258" customFormat="1" customHeight="1" ht="23.887500000000003" hidden="1">
      <c r="A79" s="873"/>
      <c r="B79" s="901" cm="1" t="str">
        <f t="array" ref="B79:B79">B78</f>
        <v>true</v>
      </c>
      <c r="C79" s="873"/>
      <c r="D79" s="873"/>
      <c r="E79" s="816">
        <v>24.5</v>
      </c>
      <c r="F79" s="50" cm="1" t="str">
        <f t="array" ref="F79:F79">OFFSET(E79,-1,1)</f>
        <v>0</v>
      </c>
      <c r="G79" s="73" t="s">
        <v>1478</v>
      </c>
      <c r="H79" s="466" t="s">
        <v>434</v>
      </c>
      <c r="I79" s="466" t="s">
        <v>1552</v>
      </c>
      <c r="J79" s="873"/>
      <c r="K79" s="873"/>
      <c r="L79" s="873"/>
      <c r="M79" s="873"/>
      <c r="N79" s="873"/>
      <c r="O79" s="873"/>
      <c r="P79" s="873"/>
      <c r="Q79" s="873"/>
      <c r="R79" s="873"/>
      <c r="S79" s="466"/>
      <c r="T79" s="438" cm="1" t="str">
        <f t="array" ref="T79:T79">T78</f>
        <v>false</v>
      </c>
      <c r="U79" s="873"/>
      <c r="V79" s="873"/>
      <c r="W79" s="873"/>
      <c r="X79" s="1541"/>
      <c r="Y79" s="873"/>
      <c r="Z79" s="1493"/>
      <c r="AA79" s="873"/>
      <c r="AB79" s="185" t="s">
        <v>1553</v>
      </c>
      <c r="AC79" s="200" t="s">
        <v>1476</v>
      </c>
      <c r="AD79" s="2932">
        <f>IF(AND(method_reg="Метод индексации",god&lt;&gt;first_year),_xlfn.SUMIFS(INDEX('Калькуляция (МИ корр)'!$AJ$25:$BC$315,,MATCH(AD$8,'Калькуляция (МИ корр)'!$AJ$8:$BC$8,0)),'Калькуляция (МИ корр)'!$F$25:$F$315,$F79,'Калькуляция (МИ корр)'!$G$25:$G$315,$G79),IF(method_reg="Метод экономически обоснованных расходов",_xlfn.SUMIFS('Калькуляция (МЭОР)'!$AJ$25:$AJ$197,'Калькуляция (МЭОР)'!$F$25:$F$197,$F79,'Калькуляция (МЭОР)'!$G$25:$G$197,$G79),IF(method_reg="Метод сравнения аналогов",_xlfn.SUMIFS('Калькуляция (МСА)'!$AE$25:$AE$65,'Калькуляция (МСА)'!$F$25:$F$65,$F79,'Калькуляция (МСА)'!$G$25:$G$65,$G79),_xlfn.SUMIFS(INDEX('Калькуляция (МИ)'!$AJ$25:$BC$315,,MATCH(AD$8,'Калькуляция (МИ)'!$AJ$8:$BC$8,0)),'Калькуляция (МИ)'!$F$25:$F$315,$F79,'Калькуляция (МИ)'!$G$25:$G$315,$G79))))</f>
        <v>0</v>
      </c>
      <c r="AE79" s="2932">
        <f>IF(AND(method_reg="Метод индексации",god&lt;&gt;first_year),_xlfn.SUMIFS(INDEX('Калькуляция (МИ корр)'!$AJ$25:$BC$315,,MATCH(AE$8,'Калькуляция (МИ корр)'!$AJ$8:$BC$8,0)),'Калькуляция (МИ корр)'!$F$25:$F$315,$F79,'Калькуляция (МИ корр)'!$G$25:$G$315,$G79),IF(method_reg="Метод экономически обоснованных расходов",_xlfn.SUMIFS('Калькуляция (МЭОР)'!$AK$25:$AK$197,'Калькуляция (МЭОР)'!$F$25:$F$197,$F79,'Калькуляция (МЭОР)'!$G$25:$G$197,$G79),IF(method_reg="Метод сравнения аналогов",_xlfn.SUMIFS('Калькуляция (МСА)'!$AF$25:$AF$65,'Калькуляция (МСА)'!$F$25:$F$65,$F79,'Калькуляция (МСА)'!$G$25:$G$65,$G79),_xlfn.SUMIFS(INDEX('Калькуляция (МИ)'!$AJ$25:$BC$315,,MATCH(AE$8,'Калькуляция (МИ)'!$AJ$8:$BC$8,0)),'Калькуляция (МИ)'!$F$25:$F$315,$F79,'Калькуляция (МИ)'!$G$25:$G$315,$G79))))</f>
        <v>0</v>
      </c>
      <c r="AF79" s="262">
        <f>IF(AD79=0,0,(AE79-AD79)/AD79*100)</f>
        <v>0</v>
      </c>
      <c r="AG79" s="2932">
        <f>IF(AND(method_reg="Метод индексации",god&lt;&gt;first_year),_xlfn.SUMIFS(INDEX('Калькуляция (МИ корр)'!$AJ$25:$BC$315,,MATCH(AG$8,'Калькуляция (МИ корр)'!$AJ$8:$BC$8,0)),'Калькуляция (МИ корр)'!$F$25:$F$315,$F79,'Калькуляция (МИ корр)'!$G$25:$G$315,$G79),IF(method_reg="Метод экономически обоснованных расходов",_xlfn.SUMIFS('Калькуляция (МЭОР)'!$AJ$25:$AJ$197,'Калькуляция (МЭОР)'!$F$25:$F$197,$F79,'Калькуляция (МЭОР)'!$G$25:$G$197,$G79),IF(method_reg="Метод сравнения аналогов",_xlfn.SUMIFS('Калькуляция (МСА)'!$AE$25:$AE$65,'Калькуляция (МСА)'!$F$25:$F$65,$F79,'Калькуляция (МСА)'!$G$25:$G$65,$G79),_xlfn.SUMIFS(INDEX('Калькуляция (МИ)'!$AJ$25:$BC$315,,MATCH(AG$8,'Калькуляция (МИ)'!$AJ$8:$BC$8,0)),'Калькуляция (МИ)'!$F$25:$F$315,$F79,'Калькуляция (МИ)'!$G$25:$G$315,$G79))))</f>
        <v>0</v>
      </c>
      <c r="AH79" s="2932">
        <f>IF(AND(method_reg="Метод индексации",god&lt;&gt;first_year),_xlfn.SUMIFS(INDEX('Калькуляция (МИ корр)'!$AJ$25:$BC$315,,MATCH(AH$8,'Калькуляция (МИ корр)'!$AJ$8:$BC$8,0)),'Калькуляция (МИ корр)'!$F$25:$F$315,$F79,'Калькуляция (МИ корр)'!$G$25:$G$315,$G79),IF(method_reg="Метод экономически обоснованных расходов",_xlfn.SUMIFS('Калькуляция (МЭОР)'!$AK$25:$AK$197,'Калькуляция (МЭОР)'!$F$25:$F$197,$F79,'Калькуляция (МЭОР)'!$G$25:$G$197,$G79),IF(method_reg="Метод сравнения аналогов",_xlfn.SUMIFS('Калькуляция (МСА)'!$AF$25:$AF$65,'Калькуляция (МСА)'!$F$25:$F$65,$F79,'Калькуляция (МСА)'!$G$25:$G$65,$G79),_xlfn.SUMIFS(INDEX('Калькуляция (МИ)'!$AJ$25:$BC$315,,MATCH(AH$8,'Калькуляция (МИ)'!$AJ$8:$BC$8,0)),'Калькуляция (МИ)'!$F$25:$F$315,$F79,'Калькуляция (МИ)'!$G$25:$G$315,$G79))))</f>
        <v>0</v>
      </c>
      <c r="AI79" s="262">
        <f>IF(AG79=0,0,(AH79-AG79)/AG79*100)</f>
        <v>0</v>
      </c>
      <c r="AJ79" s="2932">
        <f>IF(AND(method_reg="Метод индексации",god&lt;&gt;first_year),_xlfn.SUMIFS(INDEX('Калькуляция (МИ корр)'!$AJ$25:$BC$315,,MATCH(AJ$8,'Калькуляция (МИ корр)'!$AJ$8:$BC$8,0)),'Калькуляция (МИ корр)'!$F$25:$F$315,$F79,'Калькуляция (МИ корр)'!$G$25:$G$315,$G79),IF(method_reg="Метод экономически обоснованных расходов",_xlfn.SUMIFS('Калькуляция (МЭОР)'!$AJ$25:$AJ$197,'Калькуляция (МЭОР)'!$F$25:$F$197,$F79,'Калькуляция (МЭОР)'!$G$25:$G$197,$G79),IF(method_reg="Метод сравнения аналогов",_xlfn.SUMIFS('Калькуляция (МСА)'!$AE$25:$AE$65,'Калькуляция (МСА)'!$F$25:$F$65,$F79,'Калькуляция (МСА)'!$G$25:$G$65,$G79),_xlfn.SUMIFS(INDEX('Калькуляция (МИ)'!$AJ$25:$BC$315,,MATCH(AJ$8,'Калькуляция (МИ)'!$AJ$8:$BC$8,0)),'Калькуляция (МИ)'!$F$25:$F$315,$F79,'Калькуляция (МИ)'!$G$25:$G$315,$G79))))</f>
        <v>0</v>
      </c>
      <c r="AK79" s="2932">
        <f>IF(AND(method_reg="Метод индексации",god&lt;&gt;first_year),_xlfn.SUMIFS(INDEX('Калькуляция (МИ корр)'!$AJ$25:$BC$315,,MATCH(AK$8,'Калькуляция (МИ корр)'!$AJ$8:$BC$8,0)),'Калькуляция (МИ корр)'!$F$25:$F$315,$F79,'Калькуляция (МИ корр)'!$G$25:$G$315,$G79),IF(method_reg="Метод экономически обоснованных расходов",_xlfn.SUMIFS('Калькуляция (МЭОР)'!$AK$25:$AK$197,'Калькуляция (МЭОР)'!$F$25:$F$197,$F79,'Калькуляция (МЭОР)'!$G$25:$G$197,$G79),IF(method_reg="Метод сравнения аналогов",_xlfn.SUMIFS('Калькуляция (МСА)'!$AF$25:$AF$65,'Калькуляция (МСА)'!$F$25:$F$65,$F79,'Калькуляция (МСА)'!$G$25:$G$65,$G79),_xlfn.SUMIFS(INDEX('Калькуляция (МИ)'!$AJ$25:$BC$315,,MATCH(AK$8,'Калькуляция (МИ)'!$AJ$8:$BC$8,0)),'Калькуляция (МИ)'!$F$25:$F$315,$F79,'Калькуляция (МИ)'!$G$25:$G$315,$G79))))</f>
        <v>0</v>
      </c>
      <c r="AL79" s="262">
        <f>IF(AJ79=0,0,(AK79-AJ79)/AJ79*100)</f>
        <v>0</v>
      </c>
      <c r="AM79" s="2932">
        <f>IF(AND(method_reg="Метод индексации",god&lt;&gt;first_year),_xlfn.SUMIFS(INDEX('Калькуляция (МИ корр)'!$AJ$25:$BC$315,,MATCH(AM$8,'Калькуляция (МИ корр)'!$AJ$8:$BC$8,0)),'Калькуляция (МИ корр)'!$F$25:$F$315,$F79,'Калькуляция (МИ корр)'!$G$25:$G$315,$G79),IF(method_reg="Метод экономически обоснованных расходов",_xlfn.SUMIFS('Калькуляция (МЭОР)'!$AJ$25:$AJ$197,'Калькуляция (МЭОР)'!$F$25:$F$197,$F79,'Калькуляция (МЭОР)'!$G$25:$G$197,$G79),IF(method_reg="Метод сравнения аналогов",_xlfn.SUMIFS('Калькуляция (МСА)'!$AE$25:$AE$65,'Калькуляция (МСА)'!$F$25:$F$65,$F79,'Калькуляция (МСА)'!$G$25:$G$65,$G79),_xlfn.SUMIFS(INDEX('Калькуляция (МИ)'!$AJ$25:$BC$315,,MATCH(AM$8,'Калькуляция (МИ)'!$AJ$8:$BC$8,0)),'Калькуляция (МИ)'!$F$25:$F$315,$F79,'Калькуляция (МИ)'!$G$25:$G$315,$G79))))</f>
        <v>0</v>
      </c>
      <c r="AN79" s="2932">
        <f>IF(AND(method_reg="Метод индексации",god&lt;&gt;first_year),_xlfn.SUMIFS(INDEX('Калькуляция (МИ корр)'!$AJ$25:$BC$315,,MATCH(AN$8,'Калькуляция (МИ корр)'!$AJ$8:$BC$8,0)),'Калькуляция (МИ корр)'!$F$25:$F$315,$F79,'Калькуляция (МИ корр)'!$G$25:$G$315,$G79),IF(method_reg="Метод экономически обоснованных расходов",_xlfn.SUMIFS('Калькуляция (МЭОР)'!$AK$25:$AK$197,'Калькуляция (МЭОР)'!$F$25:$F$197,$F79,'Калькуляция (МЭОР)'!$G$25:$G$197,$G79),IF(method_reg="Метод сравнения аналогов",_xlfn.SUMIFS('Калькуляция (МСА)'!$AF$25:$AF$65,'Калькуляция (МСА)'!$F$25:$F$65,$F79,'Калькуляция (МСА)'!$G$25:$G$65,$G79),_xlfn.SUMIFS(INDEX('Калькуляция (МИ)'!$AJ$25:$BC$315,,MATCH(AN$8,'Калькуляция (МИ)'!$AJ$8:$BC$8,0)),'Калькуляция (МИ)'!$F$25:$F$315,$F79,'Калькуляция (МИ)'!$G$25:$G$315,$G79))))</f>
        <v>0</v>
      </c>
      <c r="AO79" s="262">
        <f>IF(AM79=0,0,(AN79-AM79)/AM79*100)</f>
        <v>0</v>
      </c>
      <c r="AP79" s="2932">
        <f>IF(AND(method_reg="Метод индексации",god&lt;&gt;first_year),_xlfn.SUMIFS(INDEX('Калькуляция (МИ корр)'!$AJ$25:$BC$315,,MATCH(AP$8,'Калькуляция (МИ корр)'!$AJ$8:$BC$8,0)),'Калькуляция (МИ корр)'!$F$25:$F$315,$F79,'Калькуляция (МИ корр)'!$G$25:$G$315,$G79),IF(method_reg="Метод экономически обоснованных расходов",_xlfn.SUMIFS('Калькуляция (МЭОР)'!$AJ$25:$AJ$197,'Калькуляция (МЭОР)'!$F$25:$F$197,$F79,'Калькуляция (МЭОР)'!$G$25:$G$197,$G79),IF(method_reg="Метод сравнения аналогов",_xlfn.SUMIFS('Калькуляция (МСА)'!$AE$25:$AE$65,'Калькуляция (МСА)'!$F$25:$F$65,$F79,'Калькуляция (МСА)'!$G$25:$G$65,$G79),_xlfn.SUMIFS(INDEX('Калькуляция (МИ)'!$AJ$25:$BC$315,,MATCH(AP$8,'Калькуляция (МИ)'!$AJ$8:$BC$8,0)),'Калькуляция (МИ)'!$F$25:$F$315,$F79,'Калькуляция (МИ)'!$G$25:$G$315,$G79))))</f>
        <v>0</v>
      </c>
      <c r="AQ79" s="2932">
        <f>IF(AND(method_reg="Метод индексации",god&lt;&gt;first_year),_xlfn.SUMIFS(INDEX('Калькуляция (МИ корр)'!$AJ$25:$BC$315,,MATCH(AQ$8,'Калькуляция (МИ корр)'!$AJ$8:$BC$8,0)),'Калькуляция (МИ корр)'!$F$25:$F$315,$F79,'Калькуляция (МИ корр)'!$G$25:$G$315,$G79),IF(method_reg="Метод экономически обоснованных расходов",_xlfn.SUMIFS('Калькуляция (МЭОР)'!$AK$25:$AK$197,'Калькуляция (МЭОР)'!$F$25:$F$197,$F79,'Калькуляция (МЭОР)'!$G$25:$G$197,$G79),IF(method_reg="Метод сравнения аналогов",_xlfn.SUMIFS('Калькуляция (МСА)'!$AF$25:$AF$65,'Калькуляция (МСА)'!$F$25:$F$65,$F79,'Калькуляция (МСА)'!$G$25:$G$65,$G79),_xlfn.SUMIFS(INDEX('Калькуляция (МИ)'!$AJ$25:$BC$315,,MATCH(AQ$8,'Калькуляция (МИ)'!$AJ$8:$BC$8,0)),'Калькуляция (МИ)'!$F$25:$F$315,$F79,'Калькуляция (МИ)'!$G$25:$G$315,$G79))))</f>
        <v>0</v>
      </c>
      <c r="AR79" s="262">
        <f>IF(AP79=0,0,(AQ79-AP79)/AP79*100)</f>
        <v>0</v>
      </c>
      <c r="AS79" s="2932">
        <f>IF(AND(method_reg="Метод индексации",god&lt;&gt;first_year),_xlfn.SUMIFS(INDEX('Калькуляция (МИ корр)'!$AJ$25:$BC$315,,MATCH(AS$8,'Калькуляция (МИ корр)'!$AJ$8:$BC$8,0)),'Калькуляция (МИ корр)'!$F$25:$F$315,$F79,'Калькуляция (МИ корр)'!$G$25:$G$315,$G79),IF(method_reg="Метод экономически обоснованных расходов",_xlfn.SUMIFS('Калькуляция (МЭОР)'!$AJ$25:$AJ$197,'Калькуляция (МЭОР)'!$F$25:$F$197,$F79,'Калькуляция (МЭОР)'!$G$25:$G$197,$G79),IF(method_reg="Метод сравнения аналогов",_xlfn.SUMIFS('Калькуляция (МСА)'!$AE$25:$AE$65,'Калькуляция (МСА)'!$F$25:$F$65,$F79,'Калькуляция (МСА)'!$G$25:$G$65,$G79),_xlfn.SUMIFS(INDEX('Калькуляция (МИ)'!$AJ$25:$BC$315,,MATCH(AS$8,'Калькуляция (МИ)'!$AJ$8:$BC$8,0)),'Калькуляция (МИ)'!$F$25:$F$315,$F79,'Калькуляция (МИ)'!$G$25:$G$315,$G79))))</f>
        <v>0</v>
      </c>
      <c r="AT79" s="2932">
        <f>IF(AND(method_reg="Метод индексации",god&lt;&gt;first_year),_xlfn.SUMIFS(INDEX('Калькуляция (МИ корр)'!$AJ$25:$BC$315,,MATCH(AT$8,'Калькуляция (МИ корр)'!$AJ$8:$BC$8,0)),'Калькуляция (МИ корр)'!$F$25:$F$315,$F79,'Калькуляция (МИ корр)'!$G$25:$G$315,$G79),IF(method_reg="Метод экономически обоснованных расходов",_xlfn.SUMIFS('Калькуляция (МЭОР)'!$AK$25:$AK$197,'Калькуляция (МЭОР)'!$F$25:$F$197,$F79,'Калькуляция (МЭОР)'!$G$25:$G$197,$G79),IF(method_reg="Метод сравнения аналогов",_xlfn.SUMIFS('Калькуляция (МСА)'!$AF$25:$AF$65,'Калькуляция (МСА)'!$F$25:$F$65,$F79,'Калькуляция (МСА)'!$G$25:$G$65,$G79),_xlfn.SUMIFS(INDEX('Калькуляция (МИ)'!$AJ$25:$BC$315,,MATCH(AT$8,'Калькуляция (МИ)'!$AJ$8:$BC$8,0)),'Калькуляция (МИ)'!$F$25:$F$315,$F79,'Калькуляция (МИ)'!$G$25:$G$315,$G79))))</f>
        <v>0</v>
      </c>
      <c r="AU79" s="262">
        <f>IF(AS79=0,0,(AT79-AS79)/AS79*100)</f>
        <v>0</v>
      </c>
      <c r="AV79" s="2932">
        <f>IF(AND(method_reg="Метод индексации",god&lt;&gt;first_year),_xlfn.SUMIFS(INDEX('Калькуляция (МИ корр)'!$AJ$25:$BC$315,,MATCH(AV$8,'Калькуляция (МИ корр)'!$AJ$8:$BC$8,0)),'Калькуляция (МИ корр)'!$F$25:$F$315,$F79,'Калькуляция (МИ корр)'!$G$25:$G$315,$G79),IF(method_reg="Метод экономически обоснованных расходов",_xlfn.SUMIFS('Калькуляция (МЭОР)'!$AJ$25:$AJ$197,'Калькуляция (МЭОР)'!$F$25:$F$197,$F79,'Калькуляция (МЭОР)'!$G$25:$G$197,$G79),IF(method_reg="Метод сравнения аналогов",_xlfn.SUMIFS('Калькуляция (МСА)'!$AE$25:$AE$65,'Калькуляция (МСА)'!$F$25:$F$65,$F79,'Калькуляция (МСА)'!$G$25:$G$65,$G79),_xlfn.SUMIFS(INDEX('Калькуляция (МИ)'!$AJ$25:$BC$315,,MATCH(AV$8,'Калькуляция (МИ)'!$AJ$8:$BC$8,0)),'Калькуляция (МИ)'!$F$25:$F$315,$F79,'Калькуляция (МИ)'!$G$25:$G$315,$G79))))</f>
        <v>0</v>
      </c>
      <c r="AW79" s="2932">
        <f>IF(AND(method_reg="Метод индексации",god&lt;&gt;first_year),_xlfn.SUMIFS(INDEX('Калькуляция (МИ корр)'!$AJ$25:$BC$315,,MATCH(AW$8,'Калькуляция (МИ корр)'!$AJ$8:$BC$8,0)),'Калькуляция (МИ корр)'!$F$25:$F$315,$F79,'Калькуляция (МИ корр)'!$G$25:$G$315,$G79),IF(method_reg="Метод экономически обоснованных расходов",_xlfn.SUMIFS('Калькуляция (МЭОР)'!$AK$25:$AK$197,'Калькуляция (МЭОР)'!$F$25:$F$197,$F79,'Калькуляция (МЭОР)'!$G$25:$G$197,$G79),IF(method_reg="Метод сравнения аналогов",_xlfn.SUMIFS('Калькуляция (МСА)'!$AF$25:$AF$65,'Калькуляция (МСА)'!$F$25:$F$65,$F79,'Калькуляция (МСА)'!$G$25:$G$65,$G79),_xlfn.SUMIFS(INDEX('Калькуляция (МИ)'!$AJ$25:$BC$315,,MATCH(AW$8,'Калькуляция (МИ)'!$AJ$8:$BC$8,0)),'Калькуляция (МИ)'!$F$25:$F$315,$F79,'Калькуляция (МИ)'!$G$25:$G$315,$G79))))</f>
        <v>0</v>
      </c>
      <c r="AX79" s="262">
        <f>IF(AV79=0,0,(AW79-AV79)/AV79*100)</f>
        <v>0</v>
      </c>
      <c r="AY79" s="2932">
        <f>IF(AND(method_reg="Метод индексации",god&lt;&gt;first_year),_xlfn.SUMIFS(INDEX('Калькуляция (МИ корр)'!$AJ$25:$BC$315,,MATCH(AY$8,'Калькуляция (МИ корр)'!$AJ$8:$BC$8,0)),'Калькуляция (МИ корр)'!$F$25:$F$315,$F79,'Калькуляция (МИ корр)'!$G$25:$G$315,$G79),IF(method_reg="Метод экономически обоснованных расходов",_xlfn.SUMIFS('Калькуляция (МЭОР)'!$AJ$25:$AJ$197,'Калькуляция (МЭОР)'!$F$25:$F$197,$F79,'Калькуляция (МЭОР)'!$G$25:$G$197,$G79),IF(method_reg="Метод сравнения аналогов",_xlfn.SUMIFS('Калькуляция (МСА)'!$AE$25:$AE$65,'Калькуляция (МСА)'!$F$25:$F$65,$F79,'Калькуляция (МСА)'!$G$25:$G$65,$G79),_xlfn.SUMIFS(INDEX('Калькуляция (МИ)'!$AJ$25:$BC$315,,MATCH(AY$8,'Калькуляция (МИ)'!$AJ$8:$BC$8,0)),'Калькуляция (МИ)'!$F$25:$F$315,$F79,'Калькуляция (МИ)'!$G$25:$G$315,$G79))))</f>
        <v>0</v>
      </c>
      <c r="AZ79" s="2932">
        <f>IF(AND(method_reg="Метод индексации",god&lt;&gt;first_year),_xlfn.SUMIFS(INDEX('Калькуляция (МИ корр)'!$AJ$25:$BC$315,,MATCH(AZ$8,'Калькуляция (МИ корр)'!$AJ$8:$BC$8,0)),'Калькуляция (МИ корр)'!$F$25:$F$315,$F79,'Калькуляция (МИ корр)'!$G$25:$G$315,$G79),IF(method_reg="Метод экономически обоснованных расходов",_xlfn.SUMIFS('Калькуляция (МЭОР)'!$AK$25:$AK$197,'Калькуляция (МЭОР)'!$F$25:$F$197,$F79,'Калькуляция (МЭОР)'!$G$25:$G$197,$G79),IF(method_reg="Метод сравнения аналогов",_xlfn.SUMIFS('Калькуляция (МСА)'!$AF$25:$AF$65,'Калькуляция (МСА)'!$F$25:$F$65,$F79,'Калькуляция (МСА)'!$G$25:$G$65,$G79),_xlfn.SUMIFS(INDEX('Калькуляция (МИ)'!$AJ$25:$BC$315,,MATCH(AZ$8,'Калькуляция (МИ)'!$AJ$8:$BC$8,0)),'Калькуляция (МИ)'!$F$25:$F$315,$F79,'Калькуляция (МИ)'!$G$25:$G$315,$G79))))</f>
        <v>0</v>
      </c>
      <c r="BA79" s="262">
        <f>IF(AY79=0,0,(AZ79-AY79)/AY79*100)</f>
        <v>0</v>
      </c>
      <c r="BB79" s="2932">
        <f>IF(AND(method_reg="Метод индексации",god&lt;&gt;first_year),_xlfn.SUMIFS(INDEX('Калькуляция (МИ корр)'!$AJ$25:$BC$315,,MATCH(BB$8,'Калькуляция (МИ корр)'!$AJ$8:$BC$8,0)),'Калькуляция (МИ корр)'!$F$25:$F$315,$F79,'Калькуляция (МИ корр)'!$G$25:$G$315,$G79),IF(method_reg="Метод экономически обоснованных расходов",_xlfn.SUMIFS('Калькуляция (МЭОР)'!$AJ$25:$AJ$197,'Калькуляция (МЭОР)'!$F$25:$F$197,$F79,'Калькуляция (МЭОР)'!$G$25:$G$197,$G79),IF(method_reg="Метод сравнения аналогов",_xlfn.SUMIFS('Калькуляция (МСА)'!$AE$25:$AE$65,'Калькуляция (МСА)'!$F$25:$F$65,$F79,'Калькуляция (МСА)'!$G$25:$G$65,$G79),_xlfn.SUMIFS(INDEX('Калькуляция (МИ)'!$AJ$25:$BC$315,,MATCH(BB$8,'Калькуляция (МИ)'!$AJ$8:$BC$8,0)),'Калькуляция (МИ)'!$F$25:$F$315,$F79,'Калькуляция (МИ)'!$G$25:$G$315,$G79))))</f>
        <v>0</v>
      </c>
      <c r="BC79" s="2932">
        <f>IF(AND(method_reg="Метод индексации",god&lt;&gt;first_year),_xlfn.SUMIFS(INDEX('Калькуляция (МИ корр)'!$AJ$25:$BC$315,,MATCH(BC$8,'Калькуляция (МИ корр)'!$AJ$8:$BC$8,0)),'Калькуляция (МИ корр)'!$F$25:$F$315,$F79,'Калькуляция (МИ корр)'!$G$25:$G$315,$G79),IF(method_reg="Метод экономически обоснованных расходов",_xlfn.SUMIFS('Калькуляция (МЭОР)'!$AK$25:$AK$197,'Калькуляция (МЭОР)'!$F$25:$F$197,$F79,'Калькуляция (МЭОР)'!$G$25:$G$197,$G79),IF(method_reg="Метод сравнения аналогов",_xlfn.SUMIFS('Калькуляция (МСА)'!$AF$25:$AF$65,'Калькуляция (МСА)'!$F$25:$F$65,$F79,'Калькуляция (МСА)'!$G$25:$G$65,$G79),_xlfn.SUMIFS(INDEX('Калькуляция (МИ)'!$AJ$25:$BC$315,,MATCH(BC$8,'Калькуляция (МИ)'!$AJ$8:$BC$8,0)),'Калькуляция (МИ)'!$F$25:$F$315,$F79,'Калькуляция (МИ)'!$G$25:$G$315,$G79))))</f>
        <v>0</v>
      </c>
      <c r="BD79" s="262">
        <f>IF(BB79=0,0,(BC79-BB79)/BB79*100)</f>
        <v>0</v>
      </c>
      <c r="BE79" s="2932">
        <f>IF(AND(method_reg="Метод индексации",god&lt;&gt;first_year),_xlfn.SUMIFS(INDEX('Калькуляция (МИ корр)'!$AJ$25:$BC$315,,MATCH(BE$8,'Калькуляция (МИ корр)'!$AJ$8:$BC$8,0)),'Калькуляция (МИ корр)'!$F$25:$F$315,$F79,'Калькуляция (МИ корр)'!$G$25:$G$315,$G79),IF(method_reg="Метод экономически обоснованных расходов",_xlfn.SUMIFS('Калькуляция (МЭОР)'!$AJ$25:$AJ$197,'Калькуляция (МЭОР)'!$F$25:$F$197,$F79,'Калькуляция (МЭОР)'!$G$25:$G$197,$G79),IF(method_reg="Метод сравнения аналогов",_xlfn.SUMIFS('Калькуляция (МСА)'!$AE$25:$AE$65,'Калькуляция (МСА)'!$F$25:$F$65,$F79,'Калькуляция (МСА)'!$G$25:$G$65,$G79),_xlfn.SUMIFS(INDEX('Калькуляция (МИ)'!$AJ$25:$BC$315,,MATCH(BE$8,'Калькуляция (МИ)'!$AJ$8:$BC$8,0)),'Калькуляция (МИ)'!$F$25:$F$315,$F79,'Калькуляция (МИ)'!$G$25:$G$315,$G79))))</f>
        <v>0</v>
      </c>
      <c r="BF79" s="2932">
        <f>IF(AND(method_reg="Метод индексации",god&lt;&gt;first_year),_xlfn.SUMIFS(INDEX('Калькуляция (МИ корр)'!$AJ$25:$BC$315,,MATCH(BF$8,'Калькуляция (МИ корр)'!$AJ$8:$BC$8,0)),'Калькуляция (МИ корр)'!$F$25:$F$315,$F79,'Калькуляция (МИ корр)'!$G$25:$G$315,$G79),IF(method_reg="Метод экономически обоснованных расходов",_xlfn.SUMIFS('Калькуляция (МЭОР)'!$AK$25:$AK$197,'Калькуляция (МЭОР)'!$F$25:$F$197,$F79,'Калькуляция (МЭОР)'!$G$25:$G$197,$G79),IF(method_reg="Метод сравнения аналогов",_xlfn.SUMIFS('Калькуляция (МСА)'!$AF$25:$AF$65,'Калькуляция (МСА)'!$F$25:$F$65,$F79,'Калькуляция (МСА)'!$G$25:$G$65,$G79),_xlfn.SUMIFS(INDEX('Калькуляция (МИ)'!$AJ$25:$BC$315,,MATCH(BF$8,'Калькуляция (МИ)'!$AJ$8:$BC$8,0)),'Калькуляция (МИ)'!$F$25:$F$315,$F79,'Калькуляция (МИ)'!$G$25:$G$315,$G79))))</f>
        <v>0</v>
      </c>
      <c r="BG79" s="262">
        <f>IF(BE79=0,0,(BF79-BE79)/BE79*100)</f>
        <v>0</v>
      </c>
      <c r="BH79" s="2932"/>
      <c r="BI79" s="2932"/>
      <c r="BJ79" s="262">
        <f>IF(BH79=0,0,(BI79-BH79)/BH79*100)</f>
        <v>0</v>
      </c>
      <c r="BK79" s="2932"/>
      <c r="BL79" s="2932"/>
      <c r="BM79" s="262">
        <f>IF(BK79=0,0,(BL79-BK79)/BK79*100)</f>
        <v>0</v>
      </c>
      <c r="BN79" s="2932"/>
      <c r="BO79" s="2932"/>
      <c r="BP79" s="262">
        <f>IF(BN79=0,0,(BO79-BN79)/BN79*100)</f>
        <v>0</v>
      </c>
      <c r="BQ79" s="2932"/>
      <c r="BR79" s="2932"/>
      <c r="BS79" s="262">
        <f>IF(BQ79=0,0,(BR79-BQ79)/BQ79*100)</f>
        <v>0</v>
      </c>
      <c r="BT79" s="2932"/>
      <c r="BU79" s="2932"/>
      <c r="BV79" s="262">
        <f>IF(BT79=0,0,(BU79-BT79)/BT79*100)</f>
        <v>0</v>
      </c>
      <c r="BW79" s="2932"/>
      <c r="BX79" s="2932"/>
      <c r="BY79" s="262">
        <f>IF(BW79=0,0,(BX79-BW79)/BW79*100)</f>
        <v>0</v>
      </c>
      <c r="BZ79" s="2932"/>
      <c r="CA79" s="2932"/>
      <c r="CB79" s="262">
        <f>IF(BZ79=0,0,(CA79-BZ79)/BZ79*100)</f>
        <v>0</v>
      </c>
      <c r="CC79" s="2932"/>
      <c r="CD79" s="2932"/>
      <c r="CE79" s="262">
        <f>IF(CC79=0,0,(CD79-CC79)/CC79*100)</f>
        <v>0</v>
      </c>
      <c r="CF79" s="2932"/>
      <c r="CG79" s="2932"/>
      <c r="CH79" s="262">
        <f>IF(CF79=0,0,(CG79-CF79)/CF79*100)</f>
        <v>0</v>
      </c>
      <c r="CI79" s="2932"/>
      <c r="CJ79" s="2932"/>
      <c r="CK79" s="262">
        <f>IF(CI79=0,0,(CJ79-CI79)/CI79*100)</f>
        <v>0</v>
      </c>
      <c r="CL79" s="2932"/>
      <c r="CM79" s="2932"/>
      <c r="CN79" s="262">
        <f>IF(CL79=0,0,(CM79-CL79)/CL79*100)</f>
        <v>0</v>
      </c>
      <c r="CO79" s="2932"/>
      <c r="CP79" s="2932"/>
      <c r="CQ79" s="262">
        <f>IF(CO79=0,0,(CP79-CO79)/CO79*100)</f>
        <v>0</v>
      </c>
      <c r="CR79" s="2932"/>
      <c r="CS79" s="2932"/>
      <c r="CT79" s="262">
        <f>IF(CR79=0,0,(CS79-CR79)/CR79*100)</f>
        <v>0</v>
      </c>
      <c r="CU79" s="2932"/>
      <c r="CV79" s="2932"/>
      <c r="CW79" s="262">
        <f>IF(CU79=0,0,(CV79-CU79)/CU79*100)</f>
        <v>0</v>
      </c>
      <c r="CX79" s="2932"/>
      <c r="CY79" s="2932"/>
      <c r="CZ79" s="262">
        <f>IF(CX79=0,0,(CY79-CX79)/CX79*100)</f>
        <v>0</v>
      </c>
      <c r="DA79" s="2932"/>
      <c r="DB79" s="2932"/>
      <c r="DC79" s="262">
        <f>IF(DA79=0,0,(DB79-DA79)/DA79*100)</f>
        <v>0</v>
      </c>
      <c r="DD79" s="2932"/>
      <c r="DE79" s="2932"/>
      <c r="DF79" s="262">
        <f>IF(DD79=0,0,(DE79-DD79)/DD79*100)</f>
        <v>0</v>
      </c>
      <c r="DG79" s="2932"/>
      <c r="DH79" s="2932"/>
      <c r="DI79" s="262">
        <f>IF(DG79=0,0,(DH79-DG79)/DG79*100)</f>
        <v>0</v>
      </c>
      <c r="DJ79" s="2932"/>
      <c r="DK79" s="2932"/>
      <c r="DL79" s="262">
        <f>IF(DJ79=0,0,(DK79-DJ79)/DJ79*100)</f>
        <v>0</v>
      </c>
      <c r="DM79" s="2932"/>
      <c r="DN79" s="2932"/>
      <c r="DO79" s="262">
        <f>IF(DM79=0,0,(DN79-DM79)/DM79*100)</f>
        <v>0</v>
      </c>
      <c r="DP79" s="2932"/>
      <c r="DQ79" s="2932"/>
      <c r="DR79" s="262">
        <f>IF(DP79=0,0,(DQ79-DP79)/DP79*100)</f>
        <v>0</v>
      </c>
      <c r="DS79" s="2932"/>
      <c r="DT79" s="2932"/>
      <c r="DU79" s="262">
        <f>IF(DS79=0,0,(DT79-DS79)/DS79*100)</f>
        <v>0</v>
      </c>
      <c r="DV79" s="2932"/>
      <c r="DW79" s="2932"/>
      <c r="DX79" s="262">
        <f>IF(DV79=0,0,(DW79-DV79)/DV79*100)</f>
        <v>0</v>
      </c>
      <c r="DY79" s="2932"/>
      <c r="DZ79" s="2932"/>
      <c r="EA79" s="262">
        <f>IF(DY79=0,0,(DZ79-DY79)/DY79*100)</f>
        <v>0</v>
      </c>
      <c r="EB79" s="2932"/>
      <c r="EC79" s="2932"/>
      <c r="ED79" s="262">
        <f>IF(EB79=0,0,(EC79-EB79)/EB79*100)</f>
        <v>0</v>
      </c>
      <c r="EE79" s="2932"/>
      <c r="EF79" s="2932"/>
      <c r="EG79" s="262">
        <f>IF(EE79=0,0,(EF79-EE79)/EE79*100)</f>
        <v>0</v>
      </c>
      <c r="EH79" s="2932"/>
      <c r="EI79" s="2932"/>
      <c r="EJ79" s="262">
        <f>IF(EH79=0,0,(EI79-EH79)/EH79*100)</f>
        <v>0</v>
      </c>
      <c r="EK79" s="2932"/>
      <c r="EL79" s="2932"/>
      <c r="EM79" s="262">
        <f>IF(EK79=0,0,(EL79-EK79)/EK79*100)</f>
        <v>0</v>
      </c>
      <c r="EN79" s="2932"/>
      <c r="EO79" s="2932"/>
      <c r="EP79" s="262">
        <f>IF(EN79=0,0,(EO79-EN79)/EN79*100)</f>
        <v>0</v>
      </c>
      <c r="EQ79" s="2932"/>
      <c r="ER79" s="2932"/>
      <c r="ES79" s="262">
        <f>IF(EQ79=0,0,(ER79-EQ79)/EQ79*100)</f>
        <v>0</v>
      </c>
      <c r="ET79" s="2932"/>
      <c r="EU79" s="2932"/>
      <c r="EV79" s="262">
        <f>IF(ET79=0,0,(EU79-ET79)/ET79*100)</f>
        <v>0</v>
      </c>
      <c r="EW79" s="2932"/>
      <c r="EX79" s="2932"/>
      <c r="EY79" s="262">
        <f>IF(EW79=0,0,(EX79-EW79)/EW79*100)</f>
        <v>0</v>
      </c>
      <c r="EZ79" s="2932"/>
      <c r="FA79" s="2932"/>
      <c r="FB79" s="262">
        <f>IF(EZ79=0,0,(FA79-EZ79)/EZ79*100)</f>
        <v>0</v>
      </c>
      <c r="FC79" s="2932"/>
      <c r="FD79" s="2932"/>
      <c r="FE79" s="262">
        <f>IF(FC79=0,0,(FD79-FC79)/FC79*100)</f>
        <v>0</v>
      </c>
      <c r="FF79" s="2932"/>
      <c r="FG79" s="2932"/>
      <c r="FH79" s="262">
        <f>IF(FF79=0,0,(FG79-FF79)/FF79*100)</f>
        <v>0</v>
      </c>
      <c r="FI79" s="2932"/>
      <c r="FJ79" s="2932"/>
      <c r="FK79" s="262">
        <f>IF(FI79=0,0,(FJ79-FI79)/FI79*100)</f>
        <v>0</v>
      </c>
      <c r="FL79" s="2932"/>
      <c r="FM79" s="2932"/>
      <c r="FN79" s="262">
        <f>IF(FL79=0,0,(FM79-FL79)/FL79*100)</f>
        <v>0</v>
      </c>
      <c r="FO79" s="2932"/>
      <c r="FP79" s="2932"/>
      <c r="FQ79" s="262">
        <f>IF(FO79=0,0,(FP79-FO79)/FO79*100)</f>
        <v>0</v>
      </c>
      <c r="FR79" s="2932"/>
      <c r="FS79" s="2932"/>
      <c r="FT79" s="262">
        <f>IF(FR79=0,0,(FS79-FR79)/FR79*100)</f>
        <v>0</v>
      </c>
      <c r="FU79" s="2932"/>
      <c r="FV79" s="2932"/>
      <c r="FW79" s="262">
        <f>IF(FU79=0,0,(FV79-FU79)/FU79*100)</f>
        <v>0</v>
      </c>
      <c r="FX79" s="258"/>
      <c r="FY79" s="258"/>
      <c r="FZ79" s="1032" t="s">
        <v>1554</v>
      </c>
      <c r="GA79" s="1032"/>
      <c r="GB79" s="1032"/>
      <c r="GC79" s="1033"/>
      <c r="GD79" s="1033"/>
    </row>
    <row customHeight="1" ht="14.625" hidden="1">
      <c r="A80" s="466"/>
      <c r="B80" s="901" cm="1" t="str">
        <f t="array" ref="B80:B80">B79</f>
        <v>true</v>
      </c>
      <c r="C80" s="466"/>
      <c r="D80" s="466"/>
      <c r="E80" s="816">
        <v>15</v>
      </c>
      <c r="F80" s="50" cm="1" t="str">
        <f t="array" ref="F80:F80">OFFSET(E80,-1,1)</f>
        <v>0</v>
      </c>
      <c r="G80" s="466"/>
      <c r="H80" s="466" t="s">
        <v>438</v>
      </c>
      <c r="I80" s="466"/>
      <c r="J80" s="466"/>
      <c r="K80" s="466"/>
      <c r="L80" s="466"/>
      <c r="M80" s="466"/>
      <c r="N80" s="466"/>
      <c r="O80" s="466"/>
      <c r="P80" s="466"/>
      <c r="Q80" s="466"/>
      <c r="R80" s="466"/>
      <c r="S80" s="466"/>
      <c r="T80" s="438" cm="1" t="str">
        <f t="array" ref="T80:T80">T79</f>
        <v>false</v>
      </c>
      <c r="U80" s="466"/>
      <c r="V80" s="466"/>
      <c r="W80" s="466"/>
      <c r="X80" s="1541"/>
      <c r="Y80" s="466"/>
      <c r="Z80" s="1493"/>
      <c r="AA80" s="466"/>
      <c r="AB80" s="1066" t="s">
        <v>1555</v>
      </c>
      <c r="AC80" s="742" t="s">
        <v>430</v>
      </c>
      <c r="AD80" s="1070">
        <f>IF(AD78=0,0,AD79/AD78)*100</f>
        <v>0</v>
      </c>
      <c r="AE80" s="1070">
        <f>IF(AE78=0,0,AE79/AE78)*100</f>
        <v>0</v>
      </c>
      <c r="AF80" s="1087"/>
      <c r="AG80" s="1070">
        <f>IF(AG78=0,0,AG79/AG78)*100</f>
        <v>0</v>
      </c>
      <c r="AH80" s="1070">
        <f>IF(AH78=0,0,AH79/AH78)*100</f>
        <v>0</v>
      </c>
      <c r="AI80" s="1087"/>
      <c r="AJ80" s="1070">
        <f>IF(AJ78=0,0,AJ79/AJ78)*100</f>
        <v>0</v>
      </c>
      <c r="AK80" s="1070">
        <f>IF(AK78=0,0,AK79/AK78)*100</f>
        <v>0</v>
      </c>
      <c r="AL80" s="1087"/>
      <c r="AM80" s="1070">
        <f>IF(AM78=0,0,AM79/AM78)*100</f>
        <v>0</v>
      </c>
      <c r="AN80" s="1070">
        <f>IF(AN78=0,0,AN79/AN78)*100</f>
        <v>0</v>
      </c>
      <c r="AO80" s="1087"/>
      <c r="AP80" s="1070">
        <f>IF(AP78=0,0,AP79/AP78)*100</f>
        <v>0</v>
      </c>
      <c r="AQ80" s="1070">
        <f>IF(AQ78=0,0,AQ79/AQ78)*100</f>
        <v>0</v>
      </c>
      <c r="AR80" s="1087"/>
      <c r="AS80" s="1070">
        <f>IF(AS78=0,0,AS79/AS78)*100</f>
        <v>0</v>
      </c>
      <c r="AT80" s="1070">
        <f>IF(AT78=0,0,AT79/AT78)*100</f>
        <v>0</v>
      </c>
      <c r="AU80" s="1087"/>
      <c r="AV80" s="1070">
        <f>IF(AV78=0,0,AV79/AV78)*100</f>
        <v>0</v>
      </c>
      <c r="AW80" s="1070">
        <f>IF(AW78=0,0,AW79/AW78)*100</f>
        <v>0</v>
      </c>
      <c r="AX80" s="1087"/>
      <c r="AY80" s="1070">
        <f>IF(AY78=0,0,AY79/AY78)*100</f>
        <v>0</v>
      </c>
      <c r="AZ80" s="1070">
        <f>IF(AZ78=0,0,AZ79/AZ78)*100</f>
        <v>0</v>
      </c>
      <c r="BA80" s="1087"/>
      <c r="BB80" s="1070">
        <f>IF(BB78=0,0,BB79/BB78)*100</f>
        <v>0</v>
      </c>
      <c r="BC80" s="1070">
        <f>IF(BC78=0,0,BC79/BC78)*100</f>
        <v>0</v>
      </c>
      <c r="BD80" s="1087"/>
      <c r="BE80" s="1070">
        <f>IF(BE78=0,0,BE79/BE78)*100</f>
        <v>0</v>
      </c>
      <c r="BF80" s="1070">
        <f>IF(BF78=0,0,BF79/BF78)*100</f>
        <v>0</v>
      </c>
      <c r="BG80" s="1087"/>
      <c r="BH80" s="1070">
        <f>IF(BH78=0,0,BH79/BH78)*100</f>
        <v>0</v>
      </c>
      <c r="BI80" s="1070">
        <f>IF(BI78=0,0,BI79/BI78)*100</f>
        <v>0</v>
      </c>
      <c r="BJ80" s="1087"/>
      <c r="BK80" s="1070">
        <f>IF(BK78=0,0,BK79/BK78)*100</f>
        <v>0</v>
      </c>
      <c r="BL80" s="1070">
        <f>IF(BL78=0,0,BL79/BL78)*100</f>
        <v>0</v>
      </c>
      <c r="BM80" s="1087"/>
      <c r="BN80" s="1070">
        <f>IF(BN78=0,0,BN79/BN78)*100</f>
        <v>0</v>
      </c>
      <c r="BO80" s="1070">
        <f>IF(BO78=0,0,BO79/BO78)*100</f>
        <v>0</v>
      </c>
      <c r="BP80" s="1087"/>
      <c r="BQ80" s="1070">
        <f>IF(BQ78=0,0,BQ79/BQ78)*100</f>
        <v>0</v>
      </c>
      <c r="BR80" s="1070">
        <f>IF(BR78=0,0,BR79/BR78)*100</f>
        <v>0</v>
      </c>
      <c r="BS80" s="1087"/>
      <c r="BT80" s="1070">
        <f>IF(BT78=0,0,BT79/BT78)*100</f>
        <v>0</v>
      </c>
      <c r="BU80" s="1070">
        <f>IF(BU78=0,0,BU79/BU78)*100</f>
        <v>0</v>
      </c>
      <c r="BV80" s="1087"/>
      <c r="BW80" s="1070">
        <f>IF(BW78=0,0,BW79/BW78)*100</f>
        <v>0</v>
      </c>
      <c r="BX80" s="1070">
        <f>IF(BX78=0,0,BX79/BX78)*100</f>
        <v>0</v>
      </c>
      <c r="BY80" s="1087"/>
      <c r="BZ80" s="1070">
        <f>IF(BZ78=0,0,BZ79/BZ78)*100</f>
        <v>0</v>
      </c>
      <c r="CA80" s="1070">
        <f>IF(CA78=0,0,CA79/CA78)*100</f>
        <v>0</v>
      </c>
      <c r="CB80" s="1087"/>
      <c r="CC80" s="1070">
        <f>IF(CC78=0,0,CC79/CC78)*100</f>
        <v>0</v>
      </c>
      <c r="CD80" s="1070">
        <f>IF(CD78=0,0,CD79/CD78)*100</f>
        <v>0</v>
      </c>
      <c r="CE80" s="1087"/>
      <c r="CF80" s="1070">
        <f>IF(CF78=0,0,CF79/CF78)*100</f>
        <v>0</v>
      </c>
      <c r="CG80" s="1070">
        <f>IF(CG78=0,0,CG79/CG78)*100</f>
        <v>0</v>
      </c>
      <c r="CH80" s="1087"/>
      <c r="CI80" s="1070">
        <f>IF(CI78=0,0,CI79/CI78)*100</f>
        <v>0</v>
      </c>
      <c r="CJ80" s="1070">
        <f>IF(CJ78=0,0,CJ79/CJ78)*100</f>
        <v>0</v>
      </c>
      <c r="CK80" s="1087"/>
      <c r="CL80" s="1070">
        <f>IF(CL78=0,0,CL79/CL78)*100</f>
        <v>0</v>
      </c>
      <c r="CM80" s="1070">
        <f>IF(CM78=0,0,CM79/CM78)*100</f>
        <v>0</v>
      </c>
      <c r="CN80" s="1087"/>
      <c r="CO80" s="1070">
        <f>IF(CO78=0,0,CO79/CO78)*100</f>
        <v>0</v>
      </c>
      <c r="CP80" s="1070">
        <f>IF(CP78=0,0,CP79/CP78)*100</f>
        <v>0</v>
      </c>
      <c r="CQ80" s="1087"/>
      <c r="CR80" s="1070">
        <f>IF(CR78=0,0,CR79/CR78)*100</f>
        <v>0</v>
      </c>
      <c r="CS80" s="1070">
        <f>IF(CS78=0,0,CS79/CS78)*100</f>
        <v>0</v>
      </c>
      <c r="CT80" s="1087"/>
      <c r="CU80" s="1070">
        <f>IF(CU78=0,0,CU79/CU78)*100</f>
        <v>0</v>
      </c>
      <c r="CV80" s="1070">
        <f>IF(CV78=0,0,CV79/CV78)*100</f>
        <v>0</v>
      </c>
      <c r="CW80" s="1087"/>
      <c r="CX80" s="1070">
        <f>IF(CX78=0,0,CX79/CX78)*100</f>
        <v>0</v>
      </c>
      <c r="CY80" s="1070">
        <f>IF(CY78=0,0,CY79/CY78)*100</f>
        <v>0</v>
      </c>
      <c r="CZ80" s="1087"/>
      <c r="DA80" s="1070">
        <f>IF(DA78=0,0,DA79/DA78)*100</f>
        <v>0</v>
      </c>
      <c r="DB80" s="1070">
        <f>IF(DB78=0,0,DB79/DB78)*100</f>
        <v>0</v>
      </c>
      <c r="DC80" s="1087"/>
      <c r="DD80" s="1070">
        <f>IF(DD78=0,0,DD79/DD78)*100</f>
        <v>0</v>
      </c>
      <c r="DE80" s="1070">
        <f>IF(DE78=0,0,DE79/DE78)*100</f>
        <v>0</v>
      </c>
      <c r="DF80" s="1087"/>
      <c r="DG80" s="1070">
        <f>IF(DG78=0,0,DG79/DG78)*100</f>
        <v>0</v>
      </c>
      <c r="DH80" s="1070">
        <f>IF(DH78=0,0,DH79/DH78)*100</f>
        <v>0</v>
      </c>
      <c r="DI80" s="1087"/>
      <c r="DJ80" s="1070">
        <f>IF(DJ78=0,0,DJ79/DJ78)*100</f>
        <v>0</v>
      </c>
      <c r="DK80" s="1070">
        <f>IF(DK78=0,0,DK79/DK78)*100</f>
        <v>0</v>
      </c>
      <c r="DL80" s="1087"/>
      <c r="DM80" s="1070">
        <f>IF(DM78=0,0,DM79/DM78)*100</f>
        <v>0</v>
      </c>
      <c r="DN80" s="1070">
        <f>IF(DN78=0,0,DN79/DN78)*100</f>
        <v>0</v>
      </c>
      <c r="DO80" s="1087"/>
      <c r="DP80" s="1070">
        <f>IF(DP78=0,0,DP79/DP78)*100</f>
        <v>0</v>
      </c>
      <c r="DQ80" s="1070">
        <f>IF(DQ78=0,0,DQ79/DQ78)*100</f>
        <v>0</v>
      </c>
      <c r="DR80" s="1087"/>
      <c r="DS80" s="1070">
        <f>IF(DS78=0,0,DS79/DS78)*100</f>
        <v>0</v>
      </c>
      <c r="DT80" s="1070">
        <f>IF(DT78=0,0,DT79/DT78)*100</f>
        <v>0</v>
      </c>
      <c r="DU80" s="1087"/>
      <c r="DV80" s="1070">
        <f>IF(DV78=0,0,DV79/DV78)*100</f>
        <v>0</v>
      </c>
      <c r="DW80" s="1070">
        <f>IF(DW78=0,0,DW79/DW78)*100</f>
        <v>0</v>
      </c>
      <c r="DX80" s="1087"/>
      <c r="DY80" s="1070">
        <f>IF(DY78=0,0,DY79/DY78)*100</f>
        <v>0</v>
      </c>
      <c r="DZ80" s="1070">
        <f>IF(DZ78=0,0,DZ79/DZ78)*100</f>
        <v>0</v>
      </c>
      <c r="EA80" s="1087"/>
      <c r="EB80" s="1070">
        <f>IF(EB78=0,0,EB79/EB78)*100</f>
        <v>0</v>
      </c>
      <c r="EC80" s="1070">
        <f>IF(EC78=0,0,EC79/EC78)*100</f>
        <v>0</v>
      </c>
      <c r="ED80" s="1087"/>
      <c r="EE80" s="1070">
        <f>IF(EE78=0,0,EE79/EE78)*100</f>
        <v>0</v>
      </c>
      <c r="EF80" s="1070">
        <f>IF(EF78=0,0,EF79/EF78)*100</f>
        <v>0</v>
      </c>
      <c r="EG80" s="1087"/>
      <c r="EH80" s="1070">
        <f>IF(EH78=0,0,EH79/EH78)*100</f>
        <v>0</v>
      </c>
      <c r="EI80" s="1070">
        <f>IF(EI78=0,0,EI79/EI78)*100</f>
        <v>0</v>
      </c>
      <c r="EJ80" s="1087"/>
      <c r="EK80" s="1070">
        <f>IF(EK78=0,0,EK79/EK78)*100</f>
        <v>0</v>
      </c>
      <c r="EL80" s="1070">
        <f>IF(EL78=0,0,EL79/EL78)*100</f>
        <v>0</v>
      </c>
      <c r="EM80" s="1087"/>
      <c r="EN80" s="1070">
        <f>IF(EN78=0,0,EN79/EN78)*100</f>
        <v>0</v>
      </c>
      <c r="EO80" s="1070">
        <f>IF(EO78=0,0,EO79/EO78)*100</f>
        <v>0</v>
      </c>
      <c r="EP80" s="1087"/>
      <c r="EQ80" s="1070">
        <f>IF(EQ78=0,0,EQ79/EQ78)*100</f>
        <v>0</v>
      </c>
      <c r="ER80" s="1070">
        <f>IF(ER78=0,0,ER79/ER78)*100</f>
        <v>0</v>
      </c>
      <c r="ES80" s="1087"/>
      <c r="ET80" s="1070">
        <f>IF(ET78=0,0,ET79/ET78)*100</f>
        <v>0</v>
      </c>
      <c r="EU80" s="1070">
        <f>IF(EU78=0,0,EU79/EU78)*100</f>
        <v>0</v>
      </c>
      <c r="EV80" s="1087"/>
      <c r="EW80" s="1070">
        <f>IF(EW78=0,0,EW79/EW78)*100</f>
        <v>0</v>
      </c>
      <c r="EX80" s="1070">
        <f>IF(EX78=0,0,EX79/EX78)*100</f>
        <v>0</v>
      </c>
      <c r="EY80" s="1087"/>
      <c r="EZ80" s="1070">
        <f>IF(EZ78=0,0,EZ79/EZ78)*100</f>
        <v>0</v>
      </c>
      <c r="FA80" s="1070">
        <f>IF(FA78=0,0,FA79/FA78)*100</f>
        <v>0</v>
      </c>
      <c r="FB80" s="1087"/>
      <c r="FC80" s="1070">
        <f>IF(FC78=0,0,FC79/FC78)*100</f>
        <v>0</v>
      </c>
      <c r="FD80" s="1070">
        <f>IF(FD78=0,0,FD79/FD78)*100</f>
        <v>0</v>
      </c>
      <c r="FE80" s="1087"/>
      <c r="FF80" s="1070">
        <f>IF(FF78=0,0,FF79/FF78)*100</f>
        <v>0</v>
      </c>
      <c r="FG80" s="1070">
        <f>IF(FG78=0,0,FG79/FG78)*100</f>
        <v>0</v>
      </c>
      <c r="FH80" s="1087"/>
      <c r="FI80" s="1070">
        <f>IF(FI78=0,0,FI79/FI78)*100</f>
        <v>0</v>
      </c>
      <c r="FJ80" s="1070">
        <f>IF(FJ78=0,0,FJ79/FJ78)*100</f>
        <v>0</v>
      </c>
      <c r="FK80" s="1087"/>
      <c r="FL80" s="1070">
        <f>IF(FL78=0,0,FL79/FL78)*100</f>
        <v>0</v>
      </c>
      <c r="FM80" s="1070">
        <f>IF(FM78=0,0,FM79/FM78)*100</f>
        <v>0</v>
      </c>
      <c r="FN80" s="1087"/>
      <c r="FO80" s="1070">
        <f>IF(FO78=0,0,FO79/FO78)*100</f>
        <v>0</v>
      </c>
      <c r="FP80" s="1070">
        <f>IF(FP78=0,0,FP79/FP78)*100</f>
        <v>0</v>
      </c>
      <c r="FQ80" s="1087"/>
      <c r="FR80" s="1070">
        <f>IF(FR78=0,0,FR79/FR78)*100</f>
        <v>0</v>
      </c>
      <c r="FS80" s="1070">
        <f>IF(FS78=0,0,FS79/FS78)*100</f>
        <v>0</v>
      </c>
      <c r="FT80" s="1087"/>
      <c r="FU80" s="1070">
        <f>IF(FU78=0,0,FU79/FU78)*100</f>
        <v>0</v>
      </c>
      <c r="FV80" s="1070">
        <f>IF(FV78=0,0,FV79/FV78)*100</f>
        <v>0</v>
      </c>
      <c r="FW80" s="1088"/>
      <c r="FX80" s="258"/>
      <c r="FY80" s="1282"/>
      <c r="FZ80" s="1032" t="s">
        <v>1556</v>
      </c>
      <c r="GA80" s="1284"/>
      <c r="GB80" s="1284"/>
      <c r="GC80" s="1283"/>
      <c r="GD80" s="1283"/>
    </row>
    <row customHeight="1" ht="14.625" hidden="1">
      <c r="A81" s="466"/>
      <c r="B81" s="901" cm="1" t="str">
        <f t="array" ref="B81:B81">B80</f>
        <v>true</v>
      </c>
      <c r="C81" s="466"/>
      <c r="D81" s="466"/>
      <c r="E81" s="816">
        <v>15</v>
      </c>
      <c r="F81" s="50" cm="1" t="str">
        <f t="array" ref="F81:F81">OFFSET(E81,-1,1)</f>
        <v>0</v>
      </c>
      <c r="G81" s="73" t="s">
        <v>1485</v>
      </c>
      <c r="H81" s="466"/>
      <c r="I81" s="466"/>
      <c r="J81" s="466"/>
      <c r="K81" s="466"/>
      <c r="L81" s="466"/>
      <c r="M81" s="466"/>
      <c r="N81" s="466"/>
      <c r="O81" s="466"/>
      <c r="P81" s="466"/>
      <c r="Q81" s="466"/>
      <c r="R81" s="466"/>
      <c r="S81" s="466"/>
      <c r="T81" s="438" cm="1" t="str">
        <f t="array" ref="T81:T81">T80</f>
        <v>false</v>
      </c>
      <c r="U81" s="466"/>
      <c r="V81" s="466"/>
      <c r="W81" s="466"/>
      <c r="X81" s="1541"/>
      <c r="Y81" s="466"/>
      <c r="Z81" s="1493"/>
      <c r="AA81" s="466"/>
      <c r="AB81" s="876" t="s">
        <v>1486</v>
      </c>
      <c r="AC81" s="840" t="s">
        <v>506</v>
      </c>
      <c r="AD81" s="2907">
        <f>IF(AND(method_reg="Метод индексации",god&lt;&gt;first_year),_xlfn.SUMIFS(INDEX('Калькуляция (МИ корр)'!$AJ$25:$BC$315,,MATCH(AD$8,'Калькуляция (МИ корр)'!$AJ$8:$BC$8,0)),'Калькуляция (МИ корр)'!$F$25:$F$315,$F81,'Калькуляция (МИ корр)'!$G$25:$G$315,$G81),IF(method_reg="Метод экономически обоснованных расходов",_xlfn.SUMIFS('Калькуляция (МЭОР)'!$AJ$25:$AJ$197,'Калькуляция (МЭОР)'!$F$25:$F$197,$F81,'Калькуляция (МЭОР)'!$G$25:$G$197,$G81),IF(method_reg="Метод сравнения аналогов",_xlfn.SUMIFS('Калькуляция (МСА)'!$AE$25:$AE$65,'Калькуляция (МСА)'!$F$25:$F$65,$F81,'Калькуляция (МСА)'!$G$25:$G$65,$G81),_xlfn.SUMIFS(INDEX('Калькуляция (МИ)'!$AJ$25:$BC$315,,MATCH(AD$8,'Калькуляция (МИ)'!$AJ$8:$BC$8,0)),'Калькуляция (МИ)'!$F$25:$F$315,$F81,'Калькуляция (МИ)'!$G$25:$G$315,$G81))))</f>
        <v>0</v>
      </c>
      <c r="AE81" s="2907">
        <f>IF(AND(method_reg="Метод индексации",god&lt;&gt;first_year),_xlfn.SUMIFS(INDEX('Калькуляция (МИ корр)'!$AJ$25:$BC$315,,MATCH(AE$8,'Калькуляция (МИ корр)'!$AJ$8:$BC$8,0)),'Калькуляция (МИ корр)'!$F$25:$F$315,$F81,'Калькуляция (МИ корр)'!$G$25:$G$315,$G81),IF(method_reg="Метод экономически обоснованных расходов",_xlfn.SUMIFS('Калькуляция (МЭОР)'!$AK$25:$AK$197,'Калькуляция (МЭОР)'!$F$25:$F$197,$F81,'Калькуляция (МЭОР)'!$G$25:$G$197,$G81),IF(method_reg="Метод сравнения аналогов",_xlfn.SUMIFS('Калькуляция (МСА)'!$AF$25:$AF$65,'Калькуляция (МСА)'!$F$25:$F$65,$F81,'Калькуляция (МСА)'!$G$25:$G$65,$G81),_xlfn.SUMIFS(INDEX('Калькуляция (МИ)'!$AJ$25:$BC$315,,MATCH(AE$8,'Калькуляция (МИ)'!$AJ$8:$BC$8,0)),'Калькуляция (МИ)'!$F$25:$F$315,$F81,'Калькуляция (МИ)'!$G$25:$G$315,$G81))))</f>
        <v>0</v>
      </c>
      <c r="AF81" s="1073">
        <f>IF(AD81=0,0,(AE81-AD81)/AD81*100)</f>
        <v>0</v>
      </c>
      <c r="AG81" s="2907">
        <f>IF(AND(method_reg="Метод индексации",god&lt;&gt;first_year),_xlfn.SUMIFS(INDEX('Калькуляция (МИ корр)'!$AJ$25:$BC$315,,MATCH(AG$8,'Калькуляция (МИ корр)'!$AJ$8:$BC$8,0)),'Калькуляция (МИ корр)'!$F$25:$F$315,$F81,'Калькуляция (МИ корр)'!$G$25:$G$315,$G81),IF(method_reg="Метод экономически обоснованных расходов",_xlfn.SUMIFS('Калькуляция (МЭОР)'!$AJ$25:$AJ$197,'Калькуляция (МЭОР)'!$F$25:$F$197,$F81,'Калькуляция (МЭОР)'!$G$25:$G$197,$G81),IF(method_reg="Метод сравнения аналогов",_xlfn.SUMIFS('Калькуляция (МСА)'!$AE$25:$AE$65,'Калькуляция (МСА)'!$F$25:$F$65,$F81,'Калькуляция (МСА)'!$G$25:$G$65,$G81),_xlfn.SUMIFS(INDEX('Калькуляция (МИ)'!$AJ$25:$BC$315,,MATCH(AG$8,'Калькуляция (МИ)'!$AJ$8:$BC$8,0)),'Калькуляция (МИ)'!$F$25:$F$315,$F81,'Калькуляция (МИ)'!$G$25:$G$315,$G81))))</f>
        <v>0</v>
      </c>
      <c r="AH81" s="2907">
        <f>IF(AND(method_reg="Метод индексации",god&lt;&gt;first_year),_xlfn.SUMIFS(INDEX('Калькуляция (МИ корр)'!$AJ$25:$BC$315,,MATCH(AH$8,'Калькуляция (МИ корр)'!$AJ$8:$BC$8,0)),'Калькуляция (МИ корр)'!$F$25:$F$315,$F81,'Калькуляция (МИ корр)'!$G$25:$G$315,$G81),IF(method_reg="Метод экономически обоснованных расходов",_xlfn.SUMIFS('Калькуляция (МЭОР)'!$AK$25:$AK$197,'Калькуляция (МЭОР)'!$F$25:$F$197,$F81,'Калькуляция (МЭОР)'!$G$25:$G$197,$G81),IF(method_reg="Метод сравнения аналогов",_xlfn.SUMIFS('Калькуляция (МСА)'!$AF$25:$AF$65,'Калькуляция (МСА)'!$F$25:$F$65,$F81,'Калькуляция (МСА)'!$G$25:$G$65,$G81),_xlfn.SUMIFS(INDEX('Калькуляция (МИ)'!$AJ$25:$BC$315,,MATCH(AH$8,'Калькуляция (МИ)'!$AJ$8:$BC$8,0)),'Калькуляция (МИ)'!$F$25:$F$315,$F81,'Калькуляция (МИ)'!$G$25:$G$315,$G81))))</f>
        <v>0</v>
      </c>
      <c r="AI81" s="1073">
        <f>IF(AG81=0,0,(AH81-AG81)/AG81*100)</f>
        <v>0</v>
      </c>
      <c r="AJ81" s="2907">
        <f>IF(AND(method_reg="Метод индексации",god&lt;&gt;first_year),_xlfn.SUMIFS(INDEX('Калькуляция (МИ корр)'!$AJ$25:$BC$315,,MATCH(AJ$8,'Калькуляция (МИ корр)'!$AJ$8:$BC$8,0)),'Калькуляция (МИ корр)'!$F$25:$F$315,$F81,'Калькуляция (МИ корр)'!$G$25:$G$315,$G81),IF(method_reg="Метод экономически обоснованных расходов",_xlfn.SUMIFS('Калькуляция (МЭОР)'!$AJ$25:$AJ$197,'Калькуляция (МЭОР)'!$F$25:$F$197,$F81,'Калькуляция (МЭОР)'!$G$25:$G$197,$G81),IF(method_reg="Метод сравнения аналогов",_xlfn.SUMIFS('Калькуляция (МСА)'!$AE$25:$AE$65,'Калькуляция (МСА)'!$F$25:$F$65,$F81,'Калькуляция (МСА)'!$G$25:$G$65,$G81),_xlfn.SUMIFS(INDEX('Калькуляция (МИ)'!$AJ$25:$BC$315,,MATCH(AJ$8,'Калькуляция (МИ)'!$AJ$8:$BC$8,0)),'Калькуляция (МИ)'!$F$25:$F$315,$F81,'Калькуляция (МИ)'!$G$25:$G$315,$G81))))</f>
        <v>0</v>
      </c>
      <c r="AK81" s="2907">
        <f>IF(AND(method_reg="Метод индексации",god&lt;&gt;first_year),_xlfn.SUMIFS(INDEX('Калькуляция (МИ корр)'!$AJ$25:$BC$315,,MATCH(AK$8,'Калькуляция (МИ корр)'!$AJ$8:$BC$8,0)),'Калькуляция (МИ корр)'!$F$25:$F$315,$F81,'Калькуляция (МИ корр)'!$G$25:$G$315,$G81),IF(method_reg="Метод экономически обоснованных расходов",_xlfn.SUMIFS('Калькуляция (МЭОР)'!$AK$25:$AK$197,'Калькуляция (МЭОР)'!$F$25:$F$197,$F81,'Калькуляция (МЭОР)'!$G$25:$G$197,$G81),IF(method_reg="Метод сравнения аналогов",_xlfn.SUMIFS('Калькуляция (МСА)'!$AF$25:$AF$65,'Калькуляция (МСА)'!$F$25:$F$65,$F81,'Калькуляция (МСА)'!$G$25:$G$65,$G81),_xlfn.SUMIFS(INDEX('Калькуляция (МИ)'!$AJ$25:$BC$315,,MATCH(AK$8,'Калькуляция (МИ)'!$AJ$8:$BC$8,0)),'Калькуляция (МИ)'!$F$25:$F$315,$F81,'Калькуляция (МИ)'!$G$25:$G$315,$G81))))</f>
        <v>0</v>
      </c>
      <c r="AL81" s="1073">
        <f>IF(AJ81=0,0,(AK81-AJ81)/AJ81*100)</f>
        <v>0</v>
      </c>
      <c r="AM81" s="2907">
        <f>IF(AND(method_reg="Метод индексации",god&lt;&gt;first_year),_xlfn.SUMIFS(INDEX('Калькуляция (МИ корр)'!$AJ$25:$BC$315,,MATCH(AM$8,'Калькуляция (МИ корр)'!$AJ$8:$BC$8,0)),'Калькуляция (МИ корр)'!$F$25:$F$315,$F81,'Калькуляция (МИ корр)'!$G$25:$G$315,$G81),IF(method_reg="Метод экономически обоснованных расходов",_xlfn.SUMIFS('Калькуляция (МЭОР)'!$AJ$25:$AJ$197,'Калькуляция (МЭОР)'!$F$25:$F$197,$F81,'Калькуляция (МЭОР)'!$G$25:$G$197,$G81),IF(method_reg="Метод сравнения аналогов",_xlfn.SUMIFS('Калькуляция (МСА)'!$AE$25:$AE$65,'Калькуляция (МСА)'!$F$25:$F$65,$F81,'Калькуляция (МСА)'!$G$25:$G$65,$G81),_xlfn.SUMIFS(INDEX('Калькуляция (МИ)'!$AJ$25:$BC$315,,MATCH(AM$8,'Калькуляция (МИ)'!$AJ$8:$BC$8,0)),'Калькуляция (МИ)'!$F$25:$F$315,$F81,'Калькуляция (МИ)'!$G$25:$G$315,$G81))))</f>
        <v>0</v>
      </c>
      <c r="AN81" s="2907">
        <f>IF(AND(method_reg="Метод индексации",god&lt;&gt;first_year),_xlfn.SUMIFS(INDEX('Калькуляция (МИ корр)'!$AJ$25:$BC$315,,MATCH(AN$8,'Калькуляция (МИ корр)'!$AJ$8:$BC$8,0)),'Калькуляция (МИ корр)'!$F$25:$F$315,$F81,'Калькуляция (МИ корр)'!$G$25:$G$315,$G81),IF(method_reg="Метод экономически обоснованных расходов",_xlfn.SUMIFS('Калькуляция (МЭОР)'!$AK$25:$AK$197,'Калькуляция (МЭОР)'!$F$25:$F$197,$F81,'Калькуляция (МЭОР)'!$G$25:$G$197,$G81),IF(method_reg="Метод сравнения аналогов",_xlfn.SUMIFS('Калькуляция (МСА)'!$AF$25:$AF$65,'Калькуляция (МСА)'!$F$25:$F$65,$F81,'Калькуляция (МСА)'!$G$25:$G$65,$G81),_xlfn.SUMIFS(INDEX('Калькуляция (МИ)'!$AJ$25:$BC$315,,MATCH(AN$8,'Калькуляция (МИ)'!$AJ$8:$BC$8,0)),'Калькуляция (МИ)'!$F$25:$F$315,$F81,'Калькуляция (МИ)'!$G$25:$G$315,$G81))))</f>
        <v>0</v>
      </c>
      <c r="AO81" s="1073">
        <f>IF(AM81=0,0,(AN81-AM81)/AM81*100)</f>
        <v>0</v>
      </c>
      <c r="AP81" s="2907">
        <f>IF(AND(method_reg="Метод индексации",god&lt;&gt;first_year),_xlfn.SUMIFS(INDEX('Калькуляция (МИ корр)'!$AJ$25:$BC$315,,MATCH(AP$8,'Калькуляция (МИ корр)'!$AJ$8:$BC$8,0)),'Калькуляция (МИ корр)'!$F$25:$F$315,$F81,'Калькуляция (МИ корр)'!$G$25:$G$315,$G81),IF(method_reg="Метод экономически обоснованных расходов",_xlfn.SUMIFS('Калькуляция (МЭОР)'!$AJ$25:$AJ$197,'Калькуляция (МЭОР)'!$F$25:$F$197,$F81,'Калькуляция (МЭОР)'!$G$25:$G$197,$G81),IF(method_reg="Метод сравнения аналогов",_xlfn.SUMIFS('Калькуляция (МСА)'!$AE$25:$AE$65,'Калькуляция (МСА)'!$F$25:$F$65,$F81,'Калькуляция (МСА)'!$G$25:$G$65,$G81),_xlfn.SUMIFS(INDEX('Калькуляция (МИ)'!$AJ$25:$BC$315,,MATCH(AP$8,'Калькуляция (МИ)'!$AJ$8:$BC$8,0)),'Калькуляция (МИ)'!$F$25:$F$315,$F81,'Калькуляция (МИ)'!$G$25:$G$315,$G81))))</f>
        <v>0</v>
      </c>
      <c r="AQ81" s="2907">
        <f>IF(AND(method_reg="Метод индексации",god&lt;&gt;first_year),_xlfn.SUMIFS(INDEX('Калькуляция (МИ корр)'!$AJ$25:$BC$315,,MATCH(AQ$8,'Калькуляция (МИ корр)'!$AJ$8:$BC$8,0)),'Калькуляция (МИ корр)'!$F$25:$F$315,$F81,'Калькуляция (МИ корр)'!$G$25:$G$315,$G81),IF(method_reg="Метод экономически обоснованных расходов",_xlfn.SUMIFS('Калькуляция (МЭОР)'!$AK$25:$AK$197,'Калькуляция (МЭОР)'!$F$25:$F$197,$F81,'Калькуляция (МЭОР)'!$G$25:$G$197,$G81),IF(method_reg="Метод сравнения аналогов",_xlfn.SUMIFS('Калькуляция (МСА)'!$AF$25:$AF$65,'Калькуляция (МСА)'!$F$25:$F$65,$F81,'Калькуляция (МСА)'!$G$25:$G$65,$G81),_xlfn.SUMIFS(INDEX('Калькуляция (МИ)'!$AJ$25:$BC$315,,MATCH(AQ$8,'Калькуляция (МИ)'!$AJ$8:$BC$8,0)),'Калькуляция (МИ)'!$F$25:$F$315,$F81,'Калькуляция (МИ)'!$G$25:$G$315,$G81))))</f>
        <v>0</v>
      </c>
      <c r="AR81" s="1073">
        <f>IF(AP81=0,0,(AQ81-AP81)/AP81*100)</f>
        <v>0</v>
      </c>
      <c r="AS81" s="2907">
        <f>IF(AND(method_reg="Метод индексации",god&lt;&gt;first_year),_xlfn.SUMIFS(INDEX('Калькуляция (МИ корр)'!$AJ$25:$BC$315,,MATCH(AS$8,'Калькуляция (МИ корр)'!$AJ$8:$BC$8,0)),'Калькуляция (МИ корр)'!$F$25:$F$315,$F81,'Калькуляция (МИ корр)'!$G$25:$G$315,$G81),IF(method_reg="Метод экономически обоснованных расходов",_xlfn.SUMIFS('Калькуляция (МЭОР)'!$AJ$25:$AJ$197,'Калькуляция (МЭОР)'!$F$25:$F$197,$F81,'Калькуляция (МЭОР)'!$G$25:$G$197,$G81),IF(method_reg="Метод сравнения аналогов",_xlfn.SUMIFS('Калькуляция (МСА)'!$AE$25:$AE$65,'Калькуляция (МСА)'!$F$25:$F$65,$F81,'Калькуляция (МСА)'!$G$25:$G$65,$G81),_xlfn.SUMIFS(INDEX('Калькуляция (МИ)'!$AJ$25:$BC$315,,MATCH(AS$8,'Калькуляция (МИ)'!$AJ$8:$BC$8,0)),'Калькуляция (МИ)'!$F$25:$F$315,$F81,'Калькуляция (МИ)'!$G$25:$G$315,$G81))))</f>
        <v>0</v>
      </c>
      <c r="AT81" s="2907">
        <f>IF(AND(method_reg="Метод индексации",god&lt;&gt;first_year),_xlfn.SUMIFS(INDEX('Калькуляция (МИ корр)'!$AJ$25:$BC$315,,MATCH(AT$8,'Калькуляция (МИ корр)'!$AJ$8:$BC$8,0)),'Калькуляция (МИ корр)'!$F$25:$F$315,$F81,'Калькуляция (МИ корр)'!$G$25:$G$315,$G81),IF(method_reg="Метод экономически обоснованных расходов",_xlfn.SUMIFS('Калькуляция (МЭОР)'!$AK$25:$AK$197,'Калькуляция (МЭОР)'!$F$25:$F$197,$F81,'Калькуляция (МЭОР)'!$G$25:$G$197,$G81),IF(method_reg="Метод сравнения аналогов",_xlfn.SUMIFS('Калькуляция (МСА)'!$AF$25:$AF$65,'Калькуляция (МСА)'!$F$25:$F$65,$F81,'Калькуляция (МСА)'!$G$25:$G$65,$G81),_xlfn.SUMIFS(INDEX('Калькуляция (МИ)'!$AJ$25:$BC$315,,MATCH(AT$8,'Калькуляция (МИ)'!$AJ$8:$BC$8,0)),'Калькуляция (МИ)'!$F$25:$F$315,$F81,'Калькуляция (МИ)'!$G$25:$G$315,$G81))))</f>
        <v>0</v>
      </c>
      <c r="AU81" s="1073">
        <f>IF(AS81=0,0,(AT81-AS81)/AS81*100)</f>
        <v>0</v>
      </c>
      <c r="AV81" s="2907">
        <f>IF(AND(method_reg="Метод индексации",god&lt;&gt;first_year),_xlfn.SUMIFS(INDEX('Калькуляция (МИ корр)'!$AJ$25:$BC$315,,MATCH(AV$8,'Калькуляция (МИ корр)'!$AJ$8:$BC$8,0)),'Калькуляция (МИ корр)'!$F$25:$F$315,$F81,'Калькуляция (МИ корр)'!$G$25:$G$315,$G81),IF(method_reg="Метод экономически обоснованных расходов",_xlfn.SUMIFS('Калькуляция (МЭОР)'!$AJ$25:$AJ$197,'Калькуляция (МЭОР)'!$F$25:$F$197,$F81,'Калькуляция (МЭОР)'!$G$25:$G$197,$G81),IF(method_reg="Метод сравнения аналогов",_xlfn.SUMIFS('Калькуляция (МСА)'!$AE$25:$AE$65,'Калькуляция (МСА)'!$F$25:$F$65,$F81,'Калькуляция (МСА)'!$G$25:$G$65,$G81),_xlfn.SUMIFS(INDEX('Калькуляция (МИ)'!$AJ$25:$BC$315,,MATCH(AV$8,'Калькуляция (МИ)'!$AJ$8:$BC$8,0)),'Калькуляция (МИ)'!$F$25:$F$315,$F81,'Калькуляция (МИ)'!$G$25:$G$315,$G81))))</f>
        <v>0</v>
      </c>
      <c r="AW81" s="2907">
        <f>IF(AND(method_reg="Метод индексации",god&lt;&gt;first_year),_xlfn.SUMIFS(INDEX('Калькуляция (МИ корр)'!$AJ$25:$BC$315,,MATCH(AW$8,'Калькуляция (МИ корр)'!$AJ$8:$BC$8,0)),'Калькуляция (МИ корр)'!$F$25:$F$315,$F81,'Калькуляция (МИ корр)'!$G$25:$G$315,$G81),IF(method_reg="Метод экономически обоснованных расходов",_xlfn.SUMIFS('Калькуляция (МЭОР)'!$AK$25:$AK$197,'Калькуляция (МЭОР)'!$F$25:$F$197,$F81,'Калькуляция (МЭОР)'!$G$25:$G$197,$G81),IF(method_reg="Метод сравнения аналогов",_xlfn.SUMIFS('Калькуляция (МСА)'!$AF$25:$AF$65,'Калькуляция (МСА)'!$F$25:$F$65,$F81,'Калькуляция (МСА)'!$G$25:$G$65,$G81),_xlfn.SUMIFS(INDEX('Калькуляция (МИ)'!$AJ$25:$BC$315,,MATCH(AW$8,'Калькуляция (МИ)'!$AJ$8:$BC$8,0)),'Калькуляция (МИ)'!$F$25:$F$315,$F81,'Калькуляция (МИ)'!$G$25:$G$315,$G81))))</f>
        <v>0</v>
      </c>
      <c r="AX81" s="1073">
        <f>IF(AV81=0,0,(AW81-AV81)/AV81*100)</f>
        <v>0</v>
      </c>
      <c r="AY81" s="2907">
        <f>IF(AND(method_reg="Метод индексации",god&lt;&gt;first_year),_xlfn.SUMIFS(INDEX('Калькуляция (МИ корр)'!$AJ$25:$BC$315,,MATCH(AY$8,'Калькуляция (МИ корр)'!$AJ$8:$BC$8,0)),'Калькуляция (МИ корр)'!$F$25:$F$315,$F81,'Калькуляция (МИ корр)'!$G$25:$G$315,$G81),IF(method_reg="Метод экономически обоснованных расходов",_xlfn.SUMIFS('Калькуляция (МЭОР)'!$AJ$25:$AJ$197,'Калькуляция (МЭОР)'!$F$25:$F$197,$F81,'Калькуляция (МЭОР)'!$G$25:$G$197,$G81),IF(method_reg="Метод сравнения аналогов",_xlfn.SUMIFS('Калькуляция (МСА)'!$AE$25:$AE$65,'Калькуляция (МСА)'!$F$25:$F$65,$F81,'Калькуляция (МСА)'!$G$25:$G$65,$G81),_xlfn.SUMIFS(INDEX('Калькуляция (МИ)'!$AJ$25:$BC$315,,MATCH(AY$8,'Калькуляция (МИ)'!$AJ$8:$BC$8,0)),'Калькуляция (МИ)'!$F$25:$F$315,$F81,'Калькуляция (МИ)'!$G$25:$G$315,$G81))))</f>
        <v>0</v>
      </c>
      <c r="AZ81" s="2907">
        <f>IF(AND(method_reg="Метод индексации",god&lt;&gt;first_year),_xlfn.SUMIFS(INDEX('Калькуляция (МИ корр)'!$AJ$25:$BC$315,,MATCH(AZ$8,'Калькуляция (МИ корр)'!$AJ$8:$BC$8,0)),'Калькуляция (МИ корр)'!$F$25:$F$315,$F81,'Калькуляция (МИ корр)'!$G$25:$G$315,$G81),IF(method_reg="Метод экономически обоснованных расходов",_xlfn.SUMIFS('Калькуляция (МЭОР)'!$AK$25:$AK$197,'Калькуляция (МЭОР)'!$F$25:$F$197,$F81,'Калькуляция (МЭОР)'!$G$25:$G$197,$G81),IF(method_reg="Метод сравнения аналогов",_xlfn.SUMIFS('Калькуляция (МСА)'!$AF$25:$AF$65,'Калькуляция (МСА)'!$F$25:$F$65,$F81,'Калькуляция (МСА)'!$G$25:$G$65,$G81),_xlfn.SUMIFS(INDEX('Калькуляция (МИ)'!$AJ$25:$BC$315,,MATCH(AZ$8,'Калькуляция (МИ)'!$AJ$8:$BC$8,0)),'Калькуляция (МИ)'!$F$25:$F$315,$F81,'Калькуляция (МИ)'!$G$25:$G$315,$G81))))</f>
        <v>0</v>
      </c>
      <c r="BA81" s="1073">
        <f>IF(AY81=0,0,(AZ81-AY81)/AY81*100)</f>
        <v>0</v>
      </c>
      <c r="BB81" s="2907">
        <f>IF(AND(method_reg="Метод индексации",god&lt;&gt;first_year),_xlfn.SUMIFS(INDEX('Калькуляция (МИ корр)'!$AJ$25:$BC$315,,MATCH(BB$8,'Калькуляция (МИ корр)'!$AJ$8:$BC$8,0)),'Калькуляция (МИ корр)'!$F$25:$F$315,$F81,'Калькуляция (МИ корр)'!$G$25:$G$315,$G81),IF(method_reg="Метод экономически обоснованных расходов",_xlfn.SUMIFS('Калькуляция (МЭОР)'!$AJ$25:$AJ$197,'Калькуляция (МЭОР)'!$F$25:$F$197,$F81,'Калькуляция (МЭОР)'!$G$25:$G$197,$G81),IF(method_reg="Метод сравнения аналогов",_xlfn.SUMIFS('Калькуляция (МСА)'!$AE$25:$AE$65,'Калькуляция (МСА)'!$F$25:$F$65,$F81,'Калькуляция (МСА)'!$G$25:$G$65,$G81),_xlfn.SUMIFS(INDEX('Калькуляция (МИ)'!$AJ$25:$BC$315,,MATCH(BB$8,'Калькуляция (МИ)'!$AJ$8:$BC$8,0)),'Калькуляция (МИ)'!$F$25:$F$315,$F81,'Калькуляция (МИ)'!$G$25:$G$315,$G81))))</f>
        <v>0</v>
      </c>
      <c r="BC81" s="2907">
        <f>IF(AND(method_reg="Метод индексации",god&lt;&gt;first_year),_xlfn.SUMIFS(INDEX('Калькуляция (МИ корр)'!$AJ$25:$BC$315,,MATCH(BC$8,'Калькуляция (МИ корр)'!$AJ$8:$BC$8,0)),'Калькуляция (МИ корр)'!$F$25:$F$315,$F81,'Калькуляция (МИ корр)'!$G$25:$G$315,$G81),IF(method_reg="Метод экономически обоснованных расходов",_xlfn.SUMIFS('Калькуляция (МЭОР)'!$AK$25:$AK$197,'Калькуляция (МЭОР)'!$F$25:$F$197,$F81,'Калькуляция (МЭОР)'!$G$25:$G$197,$G81),IF(method_reg="Метод сравнения аналогов",_xlfn.SUMIFS('Калькуляция (МСА)'!$AF$25:$AF$65,'Калькуляция (МСА)'!$F$25:$F$65,$F81,'Калькуляция (МСА)'!$G$25:$G$65,$G81),_xlfn.SUMIFS(INDEX('Калькуляция (МИ)'!$AJ$25:$BC$315,,MATCH(BC$8,'Калькуляция (МИ)'!$AJ$8:$BC$8,0)),'Калькуляция (МИ)'!$F$25:$F$315,$F81,'Калькуляция (МИ)'!$G$25:$G$315,$G81))))</f>
        <v>0</v>
      </c>
      <c r="BD81" s="1073">
        <f>IF(BB81=0,0,(BC81-BB81)/BB81*100)</f>
        <v>0</v>
      </c>
      <c r="BE81" s="2907">
        <f>IF(AND(method_reg="Метод индексации",god&lt;&gt;first_year),_xlfn.SUMIFS(INDEX('Калькуляция (МИ корр)'!$AJ$25:$BC$315,,MATCH(BE$8,'Калькуляция (МИ корр)'!$AJ$8:$BC$8,0)),'Калькуляция (МИ корр)'!$F$25:$F$315,$F81,'Калькуляция (МИ корр)'!$G$25:$G$315,$G81),IF(method_reg="Метод экономически обоснованных расходов",_xlfn.SUMIFS('Калькуляция (МЭОР)'!$AJ$25:$AJ$197,'Калькуляция (МЭОР)'!$F$25:$F$197,$F81,'Калькуляция (МЭОР)'!$G$25:$G$197,$G81),IF(method_reg="Метод сравнения аналогов",_xlfn.SUMIFS('Калькуляция (МСА)'!$AE$25:$AE$65,'Калькуляция (МСА)'!$F$25:$F$65,$F81,'Калькуляция (МСА)'!$G$25:$G$65,$G81),_xlfn.SUMIFS(INDEX('Калькуляция (МИ)'!$AJ$25:$BC$315,,MATCH(BE$8,'Калькуляция (МИ)'!$AJ$8:$BC$8,0)),'Калькуляция (МИ)'!$F$25:$F$315,$F81,'Калькуляция (МИ)'!$G$25:$G$315,$G81))))</f>
        <v>0</v>
      </c>
      <c r="BF81" s="2907">
        <f>IF(AND(method_reg="Метод индексации",god&lt;&gt;first_year),_xlfn.SUMIFS(INDEX('Калькуляция (МИ корр)'!$AJ$25:$BC$315,,MATCH(BF$8,'Калькуляция (МИ корр)'!$AJ$8:$BC$8,0)),'Калькуляция (МИ корр)'!$F$25:$F$315,$F81,'Калькуляция (МИ корр)'!$G$25:$G$315,$G81),IF(method_reg="Метод экономически обоснованных расходов",_xlfn.SUMIFS('Калькуляция (МЭОР)'!$AK$25:$AK$197,'Калькуляция (МЭОР)'!$F$25:$F$197,$F81,'Калькуляция (МЭОР)'!$G$25:$G$197,$G81),IF(method_reg="Метод сравнения аналогов",_xlfn.SUMIFS('Калькуляция (МСА)'!$AF$25:$AF$65,'Калькуляция (МСА)'!$F$25:$F$65,$F81,'Калькуляция (МСА)'!$G$25:$G$65,$G81),_xlfn.SUMIFS(INDEX('Калькуляция (МИ)'!$AJ$25:$BC$315,,MATCH(BF$8,'Калькуляция (МИ)'!$AJ$8:$BC$8,0)),'Калькуляция (МИ)'!$F$25:$F$315,$F81,'Калькуляция (МИ)'!$G$25:$G$315,$G81))))</f>
        <v>0</v>
      </c>
      <c r="BG81" s="1073">
        <f>IF(BE81=0,0,(BF81-BE81)/BE81*100)</f>
        <v>0</v>
      </c>
      <c r="BH81" s="2907"/>
      <c r="BI81" s="2907"/>
      <c r="BJ81" s="1073">
        <f>IF(BH81=0,0,(BI81-BH81)/BH81*100)</f>
        <v>0</v>
      </c>
      <c r="BK81" s="2907"/>
      <c r="BL81" s="2907"/>
      <c r="BM81" s="1073">
        <f>IF(BK81=0,0,(BL81-BK81)/BK81*100)</f>
        <v>0</v>
      </c>
      <c r="BN81" s="2907"/>
      <c r="BO81" s="2907"/>
      <c r="BP81" s="1073">
        <f>IF(BN81=0,0,(BO81-BN81)/BN81*100)</f>
        <v>0</v>
      </c>
      <c r="BQ81" s="2907"/>
      <c r="BR81" s="2907"/>
      <c r="BS81" s="1073">
        <f>IF(BQ81=0,0,(BR81-BQ81)/BQ81*100)</f>
        <v>0</v>
      </c>
      <c r="BT81" s="2907"/>
      <c r="BU81" s="2907"/>
      <c r="BV81" s="1073">
        <f>IF(BT81=0,0,(BU81-BT81)/BT81*100)</f>
        <v>0</v>
      </c>
      <c r="BW81" s="2907"/>
      <c r="BX81" s="2907"/>
      <c r="BY81" s="1073">
        <f>IF(BW81=0,0,(BX81-BW81)/BW81*100)</f>
        <v>0</v>
      </c>
      <c r="BZ81" s="2907"/>
      <c r="CA81" s="2907"/>
      <c r="CB81" s="1073">
        <f>IF(BZ81=0,0,(CA81-BZ81)/BZ81*100)</f>
        <v>0</v>
      </c>
      <c r="CC81" s="2907"/>
      <c r="CD81" s="2907"/>
      <c r="CE81" s="1073">
        <f>IF(CC81=0,0,(CD81-CC81)/CC81*100)</f>
        <v>0</v>
      </c>
      <c r="CF81" s="2907"/>
      <c r="CG81" s="2907"/>
      <c r="CH81" s="1073">
        <f>IF(CF81=0,0,(CG81-CF81)/CF81*100)</f>
        <v>0</v>
      </c>
      <c r="CI81" s="2907"/>
      <c r="CJ81" s="2907"/>
      <c r="CK81" s="1073">
        <f>IF(CI81=0,0,(CJ81-CI81)/CI81*100)</f>
        <v>0</v>
      </c>
      <c r="CL81" s="2907"/>
      <c r="CM81" s="2907"/>
      <c r="CN81" s="1073">
        <f>IF(CL81=0,0,(CM81-CL81)/CL81*100)</f>
        <v>0</v>
      </c>
      <c r="CO81" s="2907"/>
      <c r="CP81" s="2907"/>
      <c r="CQ81" s="1073">
        <f>IF(CO81=0,0,(CP81-CO81)/CO81*100)</f>
        <v>0</v>
      </c>
      <c r="CR81" s="2907"/>
      <c r="CS81" s="2907"/>
      <c r="CT81" s="1073">
        <f>IF(CR81=0,0,(CS81-CR81)/CR81*100)</f>
        <v>0</v>
      </c>
      <c r="CU81" s="2907"/>
      <c r="CV81" s="2907"/>
      <c r="CW81" s="1073">
        <f>IF(CU81=0,0,(CV81-CU81)/CU81*100)</f>
        <v>0</v>
      </c>
      <c r="CX81" s="2907"/>
      <c r="CY81" s="2907"/>
      <c r="CZ81" s="1073">
        <f>IF(CX81=0,0,(CY81-CX81)/CX81*100)</f>
        <v>0</v>
      </c>
      <c r="DA81" s="2907"/>
      <c r="DB81" s="2907"/>
      <c r="DC81" s="1073">
        <f>IF(DA81=0,0,(DB81-DA81)/DA81*100)</f>
        <v>0</v>
      </c>
      <c r="DD81" s="2907"/>
      <c r="DE81" s="2907"/>
      <c r="DF81" s="1073">
        <f>IF(DD81=0,0,(DE81-DD81)/DD81*100)</f>
        <v>0</v>
      </c>
      <c r="DG81" s="2907"/>
      <c r="DH81" s="2907"/>
      <c r="DI81" s="1073">
        <f>IF(DG81=0,0,(DH81-DG81)/DG81*100)</f>
        <v>0</v>
      </c>
      <c r="DJ81" s="2907"/>
      <c r="DK81" s="2907"/>
      <c r="DL81" s="1073">
        <f>IF(DJ81=0,0,(DK81-DJ81)/DJ81*100)</f>
        <v>0</v>
      </c>
      <c r="DM81" s="2907"/>
      <c r="DN81" s="2907"/>
      <c r="DO81" s="1073">
        <f>IF(DM81=0,0,(DN81-DM81)/DM81*100)</f>
        <v>0</v>
      </c>
      <c r="DP81" s="2907"/>
      <c r="DQ81" s="2907"/>
      <c r="DR81" s="1073">
        <f>IF(DP81=0,0,(DQ81-DP81)/DP81*100)</f>
        <v>0</v>
      </c>
      <c r="DS81" s="2907"/>
      <c r="DT81" s="2907"/>
      <c r="DU81" s="1073">
        <f>IF(DS81=0,0,(DT81-DS81)/DS81*100)</f>
        <v>0</v>
      </c>
      <c r="DV81" s="2907"/>
      <c r="DW81" s="2907"/>
      <c r="DX81" s="1073">
        <f>IF(DV81=0,0,(DW81-DV81)/DV81*100)</f>
        <v>0</v>
      </c>
      <c r="DY81" s="2907"/>
      <c r="DZ81" s="2907"/>
      <c r="EA81" s="1073">
        <f>IF(DY81=0,0,(DZ81-DY81)/DY81*100)</f>
        <v>0</v>
      </c>
      <c r="EB81" s="2907"/>
      <c r="EC81" s="2907"/>
      <c r="ED81" s="1073">
        <f>IF(EB81=0,0,(EC81-EB81)/EB81*100)</f>
        <v>0</v>
      </c>
      <c r="EE81" s="2907"/>
      <c r="EF81" s="2907"/>
      <c r="EG81" s="1073">
        <f>IF(EE81=0,0,(EF81-EE81)/EE81*100)</f>
        <v>0</v>
      </c>
      <c r="EH81" s="2907"/>
      <c r="EI81" s="2907"/>
      <c r="EJ81" s="1073">
        <f>IF(EH81=0,0,(EI81-EH81)/EH81*100)</f>
        <v>0</v>
      </c>
      <c r="EK81" s="2907"/>
      <c r="EL81" s="2907"/>
      <c r="EM81" s="1073">
        <f>IF(EK81=0,0,(EL81-EK81)/EK81*100)</f>
        <v>0</v>
      </c>
      <c r="EN81" s="2907"/>
      <c r="EO81" s="2907"/>
      <c r="EP81" s="1073">
        <f>IF(EN81=0,0,(EO81-EN81)/EN81*100)</f>
        <v>0</v>
      </c>
      <c r="EQ81" s="2907"/>
      <c r="ER81" s="2907"/>
      <c r="ES81" s="1073">
        <f>IF(EQ81=0,0,(ER81-EQ81)/EQ81*100)</f>
        <v>0</v>
      </c>
      <c r="ET81" s="2907"/>
      <c r="EU81" s="2907"/>
      <c r="EV81" s="1073">
        <f>IF(ET81=0,0,(EU81-ET81)/ET81*100)</f>
        <v>0</v>
      </c>
      <c r="EW81" s="2907"/>
      <c r="EX81" s="2907"/>
      <c r="EY81" s="1073">
        <f>IF(EW81=0,0,(EX81-EW81)/EW81*100)</f>
        <v>0</v>
      </c>
      <c r="EZ81" s="2907"/>
      <c r="FA81" s="2907"/>
      <c r="FB81" s="1073">
        <f>IF(EZ81=0,0,(FA81-EZ81)/EZ81*100)</f>
        <v>0</v>
      </c>
      <c r="FC81" s="2907"/>
      <c r="FD81" s="2907"/>
      <c r="FE81" s="1073">
        <f>IF(FC81=0,0,(FD81-FC81)/FC81*100)</f>
        <v>0</v>
      </c>
      <c r="FF81" s="2907"/>
      <c r="FG81" s="2907"/>
      <c r="FH81" s="1073">
        <f>IF(FF81=0,0,(FG81-FF81)/FF81*100)</f>
        <v>0</v>
      </c>
      <c r="FI81" s="2907"/>
      <c r="FJ81" s="2907"/>
      <c r="FK81" s="1073">
        <f>IF(FI81=0,0,(FJ81-FI81)/FI81*100)</f>
        <v>0</v>
      </c>
      <c r="FL81" s="2907"/>
      <c r="FM81" s="2907"/>
      <c r="FN81" s="1073">
        <f>IF(FL81=0,0,(FM81-FL81)/FL81*100)</f>
        <v>0</v>
      </c>
      <c r="FO81" s="2907"/>
      <c r="FP81" s="2907"/>
      <c r="FQ81" s="1073">
        <f>IF(FO81=0,0,(FP81-FO81)/FO81*100)</f>
        <v>0</v>
      </c>
      <c r="FR81" s="2907"/>
      <c r="FS81" s="2907"/>
      <c r="FT81" s="1073">
        <f>IF(FR81=0,0,(FS81-FR81)/FR81*100)</f>
        <v>0</v>
      </c>
      <c r="FU81" s="2907"/>
      <c r="FV81" s="2907"/>
      <c r="FW81" s="1073">
        <f>IF(FU81=0,0,(FV81-FU81)/FU81*100)</f>
        <v>0</v>
      </c>
      <c r="FX81" s="258"/>
      <c r="FY81" s="1282"/>
      <c r="FZ81" s="1032" t="s">
        <v>1557</v>
      </c>
      <c r="GA81" s="1284"/>
      <c r="GB81" s="1284"/>
      <c r="GC81" s="1283"/>
      <c r="GD81" s="1283"/>
    </row>
    <row customHeight="1" ht="18.28125" hidden="1">
      <c r="A82" s="466"/>
      <c r="B82" s="901" cm="1" t="str">
        <f t="array" ref="B82:B82">B81</f>
        <v>true</v>
      </c>
      <c r="C82" s="466"/>
      <c r="D82" s="466"/>
      <c r="E82" s="816">
        <v>18.75</v>
      </c>
      <c r="F82" s="50" cm="1" t="str">
        <f t="array" ref="F82:F82">OFFSET(E82,-1,1)</f>
        <v>0</v>
      </c>
      <c r="G82" s="466"/>
      <c r="H82" s="466" t="s">
        <v>434</v>
      </c>
      <c r="I82" s="466" cm="1" t="str">
        <f t="array" ref="I82:I82">AB82</f>
        <v>0</v>
      </c>
      <c r="J82" s="466"/>
      <c r="K82" s="466"/>
      <c r="L82" s="466"/>
      <c r="M82" s="466"/>
      <c r="N82" s="466"/>
      <c r="O82" s="466"/>
      <c r="P82" s="466"/>
      <c r="Q82" s="466"/>
      <c r="R82" s="466"/>
      <c r="S82" s="466"/>
      <c r="T82" s="438">
        <f>AND(F82&gt;0,Y82&gt;0)</f>
        <v>0</v>
      </c>
      <c r="U82" s="466"/>
      <c r="V82" s="466"/>
      <c r="W82" s="466" t="s">
        <v>172</v>
      </c>
      <c r="X82" s="1541"/>
      <c r="Y82" s="466">
        <v>0</v>
      </c>
      <c r="Z82" s="1493"/>
      <c r="AA82" s="638" t="s">
        <v>173</v>
      </c>
      <c r="AB82" s="2936"/>
      <c r="AC82" s="840" t="s">
        <v>1476</v>
      </c>
      <c r="AD82" s="2912"/>
      <c r="AE82" s="2913"/>
      <c r="AF82" s="1071">
        <f>IF(AD82=0,0,(AE82-AD82)/AD82*100)</f>
        <v>0</v>
      </c>
      <c r="AG82" s="2913"/>
      <c r="AH82" s="2913"/>
      <c r="AI82" s="1071">
        <f>IF(AG82=0,0,(AH82-AG82)/AG82*100)</f>
        <v>0</v>
      </c>
      <c r="AJ82" s="2913"/>
      <c r="AK82" s="2913"/>
      <c r="AL82" s="1071">
        <f>IF(AJ82=0,0,(AK82-AJ82)/AJ82*100)</f>
        <v>0</v>
      </c>
      <c r="AM82" s="2913"/>
      <c r="AN82" s="2913"/>
      <c r="AO82" s="1071">
        <f>IF(AM82=0,0,(AN82-AM82)/AM82*100)</f>
        <v>0</v>
      </c>
      <c r="AP82" s="2913"/>
      <c r="AQ82" s="2913"/>
      <c r="AR82" s="1071">
        <f>IF(AP82=0,0,(AQ82-AP82)/AP82*100)</f>
        <v>0</v>
      </c>
      <c r="AS82" s="2913"/>
      <c r="AT82" s="2913"/>
      <c r="AU82" s="1071">
        <f>IF(AS82=0,0,(AT82-AS82)/AS82*100)</f>
        <v>0</v>
      </c>
      <c r="AV82" s="2913"/>
      <c r="AW82" s="2913"/>
      <c r="AX82" s="1071">
        <f>IF(AV82=0,0,(AW82-AV82)/AV82*100)</f>
        <v>0</v>
      </c>
      <c r="AY82" s="2913"/>
      <c r="AZ82" s="2913"/>
      <c r="BA82" s="1071">
        <f>IF(AY82=0,0,(AZ82-AY82)/AY82*100)</f>
        <v>0</v>
      </c>
      <c r="BB82" s="2913"/>
      <c r="BC82" s="2913"/>
      <c r="BD82" s="1071">
        <f>IF(BB82=0,0,(BC82-BB82)/BB82*100)</f>
        <v>0</v>
      </c>
      <c r="BE82" s="2913"/>
      <c r="BF82" s="2913"/>
      <c r="BG82" s="1071">
        <f>IF(BE82=0,0,(BF82-BE82)/BE82*100)</f>
        <v>0</v>
      </c>
      <c r="BH82" s="2913"/>
      <c r="BI82" s="2913"/>
      <c r="BJ82" s="1071">
        <f>IF(BH82=0,0,(BI82-BH82)/BH82*100)</f>
        <v>0</v>
      </c>
      <c r="BK82" s="2913"/>
      <c r="BL82" s="2913"/>
      <c r="BM82" s="1071">
        <f>IF(BK82=0,0,(BL82-BK82)/BK82*100)</f>
        <v>0</v>
      </c>
      <c r="BN82" s="2913"/>
      <c r="BO82" s="2913"/>
      <c r="BP82" s="1071">
        <f>IF(BN82=0,0,(BO82-BN82)/BN82*100)</f>
        <v>0</v>
      </c>
      <c r="BQ82" s="2913"/>
      <c r="BR82" s="2913"/>
      <c r="BS82" s="1071">
        <f>IF(BQ82=0,0,(BR82-BQ82)/BQ82*100)</f>
        <v>0</v>
      </c>
      <c r="BT82" s="2913"/>
      <c r="BU82" s="2913"/>
      <c r="BV82" s="1071">
        <f>IF(BT82=0,0,(BU82-BT82)/BT82*100)</f>
        <v>0</v>
      </c>
      <c r="BW82" s="2913"/>
      <c r="BX82" s="2913"/>
      <c r="BY82" s="1071">
        <f>IF(BW82=0,0,(BX82-BW82)/BW82*100)</f>
        <v>0</v>
      </c>
      <c r="BZ82" s="2913"/>
      <c r="CA82" s="2913"/>
      <c r="CB82" s="1071">
        <f>IF(BZ82=0,0,(CA82-BZ82)/BZ82*100)</f>
        <v>0</v>
      </c>
      <c r="CC82" s="2913"/>
      <c r="CD82" s="2913"/>
      <c r="CE82" s="1071">
        <f>IF(CC82=0,0,(CD82-CC82)/CC82*100)</f>
        <v>0</v>
      </c>
      <c r="CF82" s="2913"/>
      <c r="CG82" s="2913"/>
      <c r="CH82" s="1071">
        <f>IF(CF82=0,0,(CG82-CF82)/CF82*100)</f>
        <v>0</v>
      </c>
      <c r="CI82" s="2913"/>
      <c r="CJ82" s="2913"/>
      <c r="CK82" s="1071">
        <f>IF(CI82=0,0,(CJ82-CI82)/CI82*100)</f>
        <v>0</v>
      </c>
      <c r="CL82" s="2913"/>
      <c r="CM82" s="2913"/>
      <c r="CN82" s="1071">
        <f>IF(CL82=0,0,(CM82-CL82)/CL82*100)</f>
        <v>0</v>
      </c>
      <c r="CO82" s="2913"/>
      <c r="CP82" s="2913"/>
      <c r="CQ82" s="1071">
        <f>IF(CO82=0,0,(CP82-CO82)/CO82*100)</f>
        <v>0</v>
      </c>
      <c r="CR82" s="2913"/>
      <c r="CS82" s="2913"/>
      <c r="CT82" s="1071">
        <f>IF(CR82=0,0,(CS82-CR82)/CR82*100)</f>
        <v>0</v>
      </c>
      <c r="CU82" s="2913"/>
      <c r="CV82" s="2913"/>
      <c r="CW82" s="1071">
        <f>IF(CU82=0,0,(CV82-CU82)/CU82*100)</f>
        <v>0</v>
      </c>
      <c r="CX82" s="2913"/>
      <c r="CY82" s="2913"/>
      <c r="CZ82" s="1071">
        <f>IF(CX82=0,0,(CY82-CX82)/CX82*100)</f>
        <v>0</v>
      </c>
      <c r="DA82" s="2913"/>
      <c r="DB82" s="2913"/>
      <c r="DC82" s="1071">
        <f>IF(DA82=0,0,(DB82-DA82)/DA82*100)</f>
        <v>0</v>
      </c>
      <c r="DD82" s="2913"/>
      <c r="DE82" s="2913"/>
      <c r="DF82" s="1071">
        <f>IF(DD82=0,0,(DE82-DD82)/DD82*100)</f>
        <v>0</v>
      </c>
      <c r="DG82" s="2913"/>
      <c r="DH82" s="2913"/>
      <c r="DI82" s="1071">
        <f>IF(DG82=0,0,(DH82-DG82)/DG82*100)</f>
        <v>0</v>
      </c>
      <c r="DJ82" s="2913"/>
      <c r="DK82" s="2913"/>
      <c r="DL82" s="1071">
        <f>IF(DJ82=0,0,(DK82-DJ82)/DJ82*100)</f>
        <v>0</v>
      </c>
      <c r="DM82" s="2913"/>
      <c r="DN82" s="2913"/>
      <c r="DO82" s="1071">
        <f>IF(DM82=0,0,(DN82-DM82)/DM82*100)</f>
        <v>0</v>
      </c>
      <c r="DP82" s="2913"/>
      <c r="DQ82" s="2913"/>
      <c r="DR82" s="1071">
        <f>IF(DP82=0,0,(DQ82-DP82)/DP82*100)</f>
        <v>0</v>
      </c>
      <c r="DS82" s="2913"/>
      <c r="DT82" s="2913"/>
      <c r="DU82" s="1071">
        <f>IF(DS82=0,0,(DT82-DS82)/DS82*100)</f>
        <v>0</v>
      </c>
      <c r="DV82" s="2913"/>
      <c r="DW82" s="2913"/>
      <c r="DX82" s="1071">
        <f>IF(DV82=0,0,(DW82-DV82)/DV82*100)</f>
        <v>0</v>
      </c>
      <c r="DY82" s="2913"/>
      <c r="DZ82" s="2913"/>
      <c r="EA82" s="1071">
        <f>IF(DY82=0,0,(DZ82-DY82)/DY82*100)</f>
        <v>0</v>
      </c>
      <c r="EB82" s="2913"/>
      <c r="EC82" s="2913"/>
      <c r="ED82" s="1071">
        <f>IF(EB82=0,0,(EC82-EB82)/EB82*100)</f>
        <v>0</v>
      </c>
      <c r="EE82" s="2913"/>
      <c r="EF82" s="2913"/>
      <c r="EG82" s="1071">
        <f>IF(EE82=0,0,(EF82-EE82)/EE82*100)</f>
        <v>0</v>
      </c>
      <c r="EH82" s="2913"/>
      <c r="EI82" s="2913"/>
      <c r="EJ82" s="1071">
        <f>IF(EH82=0,0,(EI82-EH82)/EH82*100)</f>
        <v>0</v>
      </c>
      <c r="EK82" s="2913"/>
      <c r="EL82" s="2913"/>
      <c r="EM82" s="1071">
        <f>IF(EK82=0,0,(EL82-EK82)/EK82*100)</f>
        <v>0</v>
      </c>
      <c r="EN82" s="2913"/>
      <c r="EO82" s="2913"/>
      <c r="EP82" s="1071">
        <f>IF(EN82=0,0,(EO82-EN82)/EN82*100)</f>
        <v>0</v>
      </c>
      <c r="EQ82" s="2913"/>
      <c r="ER82" s="2913"/>
      <c r="ES82" s="1071">
        <f>IF(EQ82=0,0,(ER82-EQ82)/EQ82*100)</f>
        <v>0</v>
      </c>
      <c r="ET82" s="2913"/>
      <c r="EU82" s="2913"/>
      <c r="EV82" s="1071">
        <f>IF(ET82=0,0,(EU82-ET82)/ET82*100)</f>
        <v>0</v>
      </c>
      <c r="EW82" s="2913"/>
      <c r="EX82" s="2913"/>
      <c r="EY82" s="1071">
        <f>IF(EW82=0,0,(EX82-EW82)/EW82*100)</f>
        <v>0</v>
      </c>
      <c r="EZ82" s="2913"/>
      <c r="FA82" s="2913"/>
      <c r="FB82" s="1071">
        <f>IF(EZ82=0,0,(FA82-EZ82)/EZ82*100)</f>
        <v>0</v>
      </c>
      <c r="FC82" s="2913"/>
      <c r="FD82" s="2913"/>
      <c r="FE82" s="1071">
        <f>IF(FC82=0,0,(FD82-FC82)/FC82*100)</f>
        <v>0</v>
      </c>
      <c r="FF82" s="2913"/>
      <c r="FG82" s="2913"/>
      <c r="FH82" s="1071">
        <f>IF(FF82=0,0,(FG82-FF82)/FF82*100)</f>
        <v>0</v>
      </c>
      <c r="FI82" s="2913"/>
      <c r="FJ82" s="2913"/>
      <c r="FK82" s="1071">
        <f>IF(FI82=0,0,(FJ82-FI82)/FI82*100)</f>
        <v>0</v>
      </c>
      <c r="FL82" s="2913"/>
      <c r="FM82" s="2913"/>
      <c r="FN82" s="1071">
        <f>IF(FL82=0,0,(FM82-FL82)/FL82*100)</f>
        <v>0</v>
      </c>
      <c r="FO82" s="2913"/>
      <c r="FP82" s="2913"/>
      <c r="FQ82" s="1071">
        <f>IF(FO82=0,0,(FP82-FO82)/FO82*100)</f>
        <v>0</v>
      </c>
      <c r="FR82" s="2913"/>
      <c r="FS82" s="2913"/>
      <c r="FT82" s="1071">
        <f>IF(FR82=0,0,(FS82-FR82)/FR82*100)</f>
        <v>0</v>
      </c>
      <c r="FU82" s="2913"/>
      <c r="FV82" s="2913"/>
      <c r="FW82" s="1071">
        <f>IF(FU82=0,0,(FV82-FU82)/FU82*100)</f>
        <v>0</v>
      </c>
      <c r="FX82" s="258"/>
      <c r="FY82" s="1282"/>
      <c r="FZ82" s="1032" t="s">
        <v>1558</v>
      </c>
      <c r="GA82" s="992" t="s">
        <v>1559</v>
      </c>
      <c r="GB82" s="992" cm="1" t="str">
        <f t="array" ref="GB82:GB82">AB82</f>
        <v>0</v>
      </c>
      <c r="GC82" s="1283"/>
      <c r="GD82" s="607" t="b">
        <v>1</v>
      </c>
    </row>
    <row customHeight="1" ht="14.625" hidden="1">
      <c r="A83" s="1282"/>
      <c r="B83" s="901" cm="1" t="str">
        <f t="array" ref="B83:B83">B82</f>
        <v>true</v>
      </c>
      <c r="C83" s="1282"/>
      <c r="D83" s="466"/>
      <c r="E83" s="816">
        <v>15</v>
      </c>
      <c r="F83" s="50" cm="1" t="str">
        <f t="array" ref="F83:F83">OFFSET(E83,-1,1)</f>
        <v>0</v>
      </c>
      <c r="G83" s="466"/>
      <c r="H83" s="1282"/>
      <c r="I83" s="64" t="s">
        <v>1560</v>
      </c>
      <c r="J83" s="1282"/>
      <c r="K83" s="1282"/>
      <c r="L83" s="1282"/>
      <c r="M83" s="1282"/>
      <c r="N83" s="1282"/>
      <c r="O83" s="1282"/>
      <c r="P83" s="1282"/>
      <c r="Q83" s="1282"/>
      <c r="R83" s="1282"/>
      <c r="S83" s="1282"/>
      <c r="T83" s="438">
        <f>F83&gt;0</f>
        <v>0</v>
      </c>
      <c r="U83" s="1282"/>
      <c r="V83" s="1282"/>
      <c r="W83" s="733" t="s">
        <v>1506</v>
      </c>
      <c r="X83" s="1541"/>
      <c r="Y83" s="1282"/>
      <c r="Z83" s="1493"/>
      <c r="AA83" s="1282"/>
      <c r="AB83" s="226" t="s">
        <v>176</v>
      </c>
      <c r="AC83" s="230"/>
      <c r="AD83" s="228"/>
      <c r="AE83" s="228"/>
      <c r="AF83" s="228"/>
      <c r="AG83" s="228"/>
      <c r="AH83" s="228"/>
      <c r="AI83" s="228"/>
      <c r="AJ83" s="228"/>
      <c r="AK83" s="228"/>
      <c r="AL83" s="228"/>
      <c r="AM83" s="228"/>
      <c r="AN83" s="228"/>
      <c r="AO83" s="228"/>
      <c r="AP83" s="228"/>
      <c r="AQ83" s="228"/>
      <c r="AR83" s="228"/>
      <c r="AS83" s="228"/>
      <c r="AT83" s="228"/>
      <c r="AU83" s="228"/>
      <c r="AV83" s="228"/>
      <c r="AW83" s="228"/>
      <c r="AX83" s="228"/>
      <c r="AY83" s="228"/>
      <c r="AZ83" s="228"/>
      <c r="BA83" s="228"/>
      <c r="BB83" s="228"/>
      <c r="BC83" s="228"/>
      <c r="BD83" s="228"/>
      <c r="BE83" s="228"/>
      <c r="BF83" s="228"/>
      <c r="BG83" s="228"/>
      <c r="BH83" s="228"/>
      <c r="BI83" s="228"/>
      <c r="BJ83" s="228"/>
      <c r="BK83" s="228"/>
      <c r="BL83" s="228"/>
      <c r="BM83" s="228"/>
      <c r="BN83" s="228"/>
      <c r="BO83" s="228"/>
      <c r="BP83" s="228"/>
      <c r="BQ83" s="228"/>
      <c r="BR83" s="228"/>
      <c r="BS83" s="228"/>
      <c r="BT83" s="228"/>
      <c r="BU83" s="228"/>
      <c r="BV83" s="228"/>
      <c r="BW83" s="228"/>
      <c r="BX83" s="228"/>
      <c r="BY83" s="228"/>
      <c r="BZ83" s="228"/>
      <c r="CA83" s="228"/>
      <c r="CB83" s="228"/>
      <c r="CC83" s="228"/>
      <c r="CD83" s="228"/>
      <c r="CE83" s="228"/>
      <c r="CF83" s="228"/>
      <c r="CG83" s="228"/>
      <c r="CH83" s="228"/>
      <c r="CI83" s="228"/>
      <c r="CJ83" s="228"/>
      <c r="CK83" s="228"/>
      <c r="CL83" s="228"/>
      <c r="CM83" s="228"/>
      <c r="CN83" s="228"/>
      <c r="CO83" s="228"/>
      <c r="CP83" s="228"/>
      <c r="CQ83" s="228"/>
      <c r="CR83" s="228"/>
      <c r="CS83" s="228"/>
      <c r="CT83" s="228"/>
      <c r="CU83" s="228"/>
      <c r="CV83" s="228"/>
      <c r="CW83" s="228"/>
      <c r="CX83" s="228"/>
      <c r="CY83" s="228"/>
      <c r="CZ83" s="228"/>
      <c r="DA83" s="228"/>
      <c r="DB83" s="228"/>
      <c r="DC83" s="228"/>
      <c r="DD83" s="228"/>
      <c r="DE83" s="228"/>
      <c r="DF83" s="228"/>
      <c r="DG83" s="228"/>
      <c r="DH83" s="228"/>
      <c r="DI83" s="228"/>
      <c r="DJ83" s="228"/>
      <c r="DK83" s="228"/>
      <c r="DL83" s="228"/>
      <c r="DM83" s="228"/>
      <c r="DN83" s="228"/>
      <c r="DO83" s="228"/>
      <c r="DP83" s="228"/>
      <c r="DQ83" s="228"/>
      <c r="DR83" s="228"/>
      <c r="DS83" s="228"/>
      <c r="DT83" s="228"/>
      <c r="DU83" s="228"/>
      <c r="DV83" s="228"/>
      <c r="DW83" s="228"/>
      <c r="DX83" s="228"/>
      <c r="DY83" s="228"/>
      <c r="DZ83" s="228"/>
      <c r="EA83" s="228"/>
      <c r="EB83" s="228"/>
      <c r="EC83" s="228"/>
      <c r="ED83" s="228"/>
      <c r="EE83" s="228"/>
      <c r="EF83" s="228"/>
      <c r="EG83" s="228"/>
      <c r="EH83" s="228"/>
      <c r="EI83" s="228"/>
      <c r="EJ83" s="228"/>
      <c r="EK83" s="228"/>
      <c r="EL83" s="228"/>
      <c r="EM83" s="228"/>
      <c r="EN83" s="228"/>
      <c r="EO83" s="228"/>
      <c r="EP83" s="228"/>
      <c r="EQ83" s="228"/>
      <c r="ER83" s="228"/>
      <c r="ES83" s="228"/>
      <c r="ET83" s="228"/>
      <c r="EU83" s="228"/>
      <c r="EV83" s="228"/>
      <c r="EW83" s="228"/>
      <c r="EX83" s="228"/>
      <c r="EY83" s="228"/>
      <c r="EZ83" s="228"/>
      <c r="FA83" s="228"/>
      <c r="FB83" s="228"/>
      <c r="FC83" s="228"/>
      <c r="FD83" s="228"/>
      <c r="FE83" s="228"/>
      <c r="FF83" s="228"/>
      <c r="FG83" s="228"/>
      <c r="FH83" s="228"/>
      <c r="FI83" s="228"/>
      <c r="FJ83" s="228"/>
      <c r="FK83" s="228"/>
      <c r="FL83" s="228"/>
      <c r="FM83" s="228"/>
      <c r="FN83" s="228"/>
      <c r="FO83" s="228"/>
      <c r="FP83" s="228"/>
      <c r="FQ83" s="228"/>
      <c r="FR83" s="228"/>
      <c r="FS83" s="228"/>
      <c r="FT83" s="228"/>
      <c r="FU83" s="228"/>
      <c r="FV83" s="228"/>
      <c r="FW83" s="229"/>
      <c r="FX83" s="1282"/>
      <c r="FY83" s="1282"/>
      <c r="FZ83" s="1284"/>
      <c r="GA83" s="1284"/>
      <c r="GB83" s="1284"/>
      <c r="GC83" s="607" t="s">
        <v>1559</v>
      </c>
      <c r="GD83" s="1283"/>
    </row>
    <row customHeight="1" ht="11.2125" hidden="1">
      <c r="A84" s="64"/>
      <c r="B84" s="881"/>
      <c r="C84" s="64"/>
      <c r="D84" s="466"/>
      <c r="E84" s="816">
        <v>11.5</v>
      </c>
      <c r="F84" s="1315"/>
      <c r="G84" s="466"/>
      <c r="H84" s="64"/>
      <c r="I84" s="64"/>
      <c r="J84" s="64"/>
      <c r="K84" s="64"/>
      <c r="L84" s="64"/>
      <c r="M84" s="64"/>
      <c r="N84" s="64"/>
      <c r="O84" s="64"/>
      <c r="P84" s="64"/>
      <c r="Q84" s="64"/>
      <c r="R84" s="64"/>
      <c r="S84" s="64"/>
      <c r="T84" s="438" cm="1" t="str">
        <f t="array" ref="T84:T84">T83</f>
        <v>false</v>
      </c>
      <c r="U84" s="64"/>
      <c r="V84" s="64"/>
      <c r="W84" s="733"/>
      <c r="X84" s="1541"/>
      <c r="Y84" s="64"/>
      <c r="Z84" s="1493"/>
      <c r="AA84" s="64"/>
      <c r="AB84" s="173"/>
      <c r="AC84" s="1399"/>
      <c r="AD84" s="1282"/>
      <c r="AE84" s="1282"/>
      <c r="AF84" s="1282"/>
      <c r="AG84" s="1282"/>
      <c r="AH84" s="1282"/>
      <c r="AI84" s="1282"/>
      <c r="AJ84" s="1282"/>
      <c r="AK84" s="1282"/>
      <c r="AL84" s="1282"/>
      <c r="AM84" s="1282"/>
      <c r="AN84" s="1282"/>
      <c r="AO84" s="1282"/>
      <c r="AP84" s="1282"/>
      <c r="AQ84" s="1282"/>
      <c r="AR84" s="1282"/>
      <c r="AS84" s="1282"/>
      <c r="AT84" s="1282"/>
      <c r="AU84" s="1282"/>
      <c r="AV84" s="1282"/>
      <c r="AW84" s="1282"/>
      <c r="AX84" s="1282"/>
      <c r="AY84" s="1282"/>
      <c r="AZ84" s="1282"/>
      <c r="BA84" s="1282"/>
      <c r="BB84" s="1282"/>
      <c r="BC84" s="1282"/>
      <c r="BD84" s="1282"/>
      <c r="BE84" s="1282"/>
      <c r="BF84" s="1282"/>
      <c r="BG84" s="1282"/>
      <c r="BH84" s="1282"/>
      <c r="BI84" s="1282"/>
      <c r="BJ84" s="1282"/>
      <c r="BK84" s="1282"/>
      <c r="BL84" s="1282"/>
      <c r="BM84" s="1282"/>
      <c r="BN84" s="1282"/>
      <c r="BO84" s="1282"/>
      <c r="BP84" s="1282"/>
      <c r="BQ84" s="1282"/>
      <c r="BR84" s="1282"/>
      <c r="BS84" s="1282"/>
      <c r="BT84" s="1282"/>
      <c r="BU84" s="1282"/>
      <c r="BV84" s="1282"/>
      <c r="BW84" s="1282"/>
      <c r="BX84" s="1282"/>
      <c r="BY84" s="1282"/>
      <c r="BZ84" s="1282"/>
      <c r="CA84" s="1282"/>
      <c r="CB84" s="1282"/>
      <c r="CC84" s="1282"/>
      <c r="CD84" s="1282"/>
      <c r="CE84" s="1282"/>
      <c r="CF84" s="1282"/>
      <c r="CG84" s="1282"/>
      <c r="CH84" s="1282"/>
      <c r="CI84" s="1282"/>
      <c r="CJ84" s="1282"/>
      <c r="CK84" s="1282"/>
      <c r="CL84" s="1282"/>
      <c r="CM84" s="1282"/>
      <c r="CN84" s="1282"/>
      <c r="CO84" s="1282"/>
      <c r="CP84" s="1282"/>
      <c r="CQ84" s="1282"/>
      <c r="CR84" s="1282"/>
      <c r="CS84" s="1282"/>
      <c r="CT84" s="1282"/>
      <c r="CU84" s="1282"/>
      <c r="CV84" s="1282"/>
      <c r="CW84" s="1282"/>
      <c r="CX84" s="1282"/>
      <c r="CY84" s="1282"/>
      <c r="CZ84" s="1282"/>
      <c r="DA84" s="1282"/>
      <c r="DB84" s="1282"/>
      <c r="DC84" s="1282"/>
      <c r="DD84" s="1282"/>
      <c r="DE84" s="1282"/>
      <c r="DF84" s="1282"/>
      <c r="DG84" s="1282"/>
      <c r="DH84" s="1282"/>
      <c r="DI84" s="1282"/>
      <c r="DJ84" s="1282"/>
      <c r="DK84" s="1282"/>
      <c r="DL84" s="1282"/>
      <c r="DM84" s="1282"/>
      <c r="DN84" s="1282"/>
      <c r="DO84" s="1282"/>
      <c r="DP84" s="1282"/>
      <c r="DQ84" s="1282"/>
      <c r="DR84" s="1282"/>
      <c r="DS84" s="1282"/>
      <c r="DT84" s="1282"/>
      <c r="DU84" s="1282"/>
      <c r="DV84" s="1282"/>
      <c r="DW84" s="1282"/>
      <c r="DX84" s="1282"/>
      <c r="DY84" s="1282"/>
      <c r="DZ84" s="1282"/>
      <c r="EA84" s="1282"/>
      <c r="EB84" s="1282"/>
      <c r="EC84" s="1282"/>
      <c r="ED84" s="1282"/>
      <c r="EE84" s="1282"/>
      <c r="EF84" s="1282"/>
      <c r="EG84" s="1282"/>
      <c r="EH84" s="1282"/>
      <c r="EI84" s="1282"/>
      <c r="EJ84" s="1282"/>
      <c r="EK84" s="1282"/>
      <c r="EL84" s="1282"/>
      <c r="EM84" s="1282"/>
      <c r="EN84" s="1282"/>
      <c r="EO84" s="1282"/>
      <c r="EP84" s="1282"/>
      <c r="EQ84" s="1282"/>
      <c r="ER84" s="1282"/>
      <c r="ES84" s="1282"/>
      <c r="ET84" s="1282"/>
      <c r="EU84" s="1282"/>
      <c r="EV84" s="1282"/>
      <c r="EW84" s="1282"/>
      <c r="EX84" s="1282"/>
      <c r="EY84" s="1282"/>
      <c r="EZ84" s="1282"/>
      <c r="FA84" s="1282"/>
      <c r="FB84" s="1282"/>
      <c r="FC84" s="1282"/>
      <c r="FD84" s="1282"/>
      <c r="FE84" s="1282"/>
      <c r="FF84" s="1282"/>
      <c r="FG84" s="1282"/>
      <c r="FH84" s="1282"/>
      <c r="FI84" s="1282"/>
      <c r="FJ84" s="1282"/>
      <c r="FK84" s="1282"/>
      <c r="FL84" s="1282"/>
      <c r="FM84" s="1282"/>
      <c r="FN84" s="1282"/>
      <c r="FO84" s="1282"/>
      <c r="FP84" s="1282"/>
      <c r="FQ84" s="1282"/>
      <c r="FR84" s="1282"/>
      <c r="FS84" s="1282"/>
      <c r="FT84" s="1282"/>
      <c r="FU84" s="1282"/>
      <c r="FV84" s="1282"/>
      <c r="FW84" s="1282"/>
      <c r="FX84" s="1282"/>
      <c r="FY84" s="1282"/>
      <c r="FZ84" s="983"/>
      <c r="GA84" s="983"/>
      <c r="GB84" s="978"/>
      <c r="GC84" s="651"/>
      <c r="GD84" s="651"/>
    </row>
    <row s="1624" customFormat="1" customHeight="1" ht="14.25">
      <c r="A85" s="466"/>
      <c r="B85" s="848"/>
      <c r="C85" s="466"/>
      <c r="D85" s="466"/>
      <c r="E85" s="816">
        <v>15</v>
      </c>
      <c r="F85" s="467" cm="1" t="str">
        <f t="array" ref="F85:F85">X85</f>
        <v>1</v>
      </c>
      <c r="G85" s="466" cm="1" t="str">
        <f t="array" ref="G85:G85">INDEX('Общие сведения'!$AK$179:$AK$208,MATCH($X85,'Общие сведения'!$Z$179:$Z$208,0))</f>
        <v>одноставочный</v>
      </c>
      <c r="H85" s="466"/>
      <c r="I85" s="466"/>
      <c r="J85" s="466"/>
      <c r="K85" s="466"/>
      <c r="L85" s="466"/>
      <c r="M85" s="466"/>
      <c r="N85" s="466"/>
      <c r="O85" s="466"/>
      <c r="P85" s="466"/>
      <c r="Q85" s="466" cm="1" t="str">
        <f t="array" ref="Q85:Q85">INDEX('Общие сведения'!$AE$179:$AE$208,MATCH($X85,'Общие сведения'!$Z$179:$Z$208,0))</f>
        <v>Водоотведение</v>
      </c>
      <c r="R85" s="457" cm="1" t="str">
        <f t="array" ref="R85:R85">INDEX('Общие сведения'!$AK$179:$AK$208,MATCH($X85,'Общие сведения'!$Z$179:$Z$208,0))</f>
        <v>одноставочный</v>
      </c>
      <c r="S85" s="466" cm="1" t="str">
        <f t="array" ref="S85:S85">INDEX('Общие сведения'!$AN$179:$AN$208,MATCH($X85,'Общие сведения'!$Z$179:$Z$208,0))</f>
        <v>true</v>
      </c>
      <c r="T85" s="438">
        <f>X85&gt;0</f>
        <v>1</v>
      </c>
      <c r="U85" s="466"/>
      <c r="V85" s="466" cm="1" t="str">
        <f t="array" ref="V85:V85">'Корректировка НВВ'!$AB$78</f>
        <v>Тариф 1 (Водоотведение) - тариф на транспортировку сточных вод</v>
      </c>
      <c r="W85" s="466"/>
      <c r="X85" s="1541" t="s">
        <v>281</v>
      </c>
      <c r="Y85" s="466"/>
      <c r="Z85" s="1493"/>
      <c r="AA85" s="466"/>
      <c r="AB85" s="1581" t="s">
        <v>21</v>
      </c>
      <c r="AC85" s="1582"/>
      <c r="AD85" s="869" cm="1" t="str">
        <f t="array" ref="AD85:AD85">'Корректировка НВВ'!$AB$78</f>
        <v>Тариф 1 (Водоотведение) - тариф на транспортировку сточных вод</v>
      </c>
      <c r="AE85" s="252"/>
      <c r="AF85" s="252"/>
      <c r="AG85" s="252"/>
      <c r="AH85" s="252"/>
      <c r="AI85" s="252"/>
      <c r="AJ85" s="252"/>
      <c r="AK85" s="252"/>
      <c r="AL85" s="252"/>
      <c r="AM85" s="252"/>
      <c r="AN85" s="252"/>
      <c r="AO85" s="252"/>
      <c r="AP85" s="252"/>
      <c r="AQ85" s="252"/>
      <c r="AR85" s="252"/>
      <c r="AS85" s="252"/>
      <c r="AT85" s="252"/>
      <c r="AU85" s="252"/>
      <c r="AV85" s="252"/>
      <c r="AW85" s="252"/>
      <c r="AX85" s="252"/>
      <c r="AY85" s="252"/>
      <c r="AZ85" s="252"/>
      <c r="BA85" s="252"/>
      <c r="BB85" s="252"/>
      <c r="BC85" s="252"/>
      <c r="BD85" s="252"/>
      <c r="BE85" s="252"/>
      <c r="BF85" s="252"/>
      <c r="BG85" s="252"/>
      <c r="BH85" s="252"/>
      <c r="BI85" s="252"/>
      <c r="BJ85" s="252"/>
      <c r="BK85" s="252"/>
      <c r="BL85" s="252"/>
      <c r="BM85" s="252"/>
      <c r="BN85" s="252"/>
      <c r="BO85" s="252"/>
      <c r="BP85" s="252"/>
      <c r="BQ85" s="252"/>
      <c r="BR85" s="252"/>
      <c r="BS85" s="252"/>
      <c r="BT85" s="252"/>
      <c r="BU85" s="252"/>
      <c r="BV85" s="252"/>
      <c r="BW85" s="252"/>
      <c r="BX85" s="252"/>
      <c r="BY85" s="252"/>
      <c r="BZ85" s="252"/>
      <c r="CA85" s="252"/>
      <c r="CB85" s="252"/>
      <c r="CC85" s="252"/>
      <c r="CD85" s="252"/>
      <c r="CE85" s="252"/>
      <c r="CF85" s="252"/>
      <c r="CG85" s="252"/>
      <c r="CH85" s="252"/>
      <c r="CI85" s="252"/>
      <c r="CJ85" s="252"/>
      <c r="CK85" s="252"/>
      <c r="CL85" s="252"/>
      <c r="CM85" s="252"/>
      <c r="CN85" s="252"/>
      <c r="CO85" s="252"/>
      <c r="CP85" s="252"/>
      <c r="CQ85" s="252"/>
      <c r="CR85" s="252"/>
      <c r="CS85" s="252"/>
      <c r="CT85" s="252"/>
      <c r="CU85" s="252"/>
      <c r="CV85" s="252"/>
      <c r="CW85" s="252"/>
      <c r="CX85" s="252"/>
      <c r="CY85" s="252"/>
      <c r="CZ85" s="252"/>
      <c r="DA85" s="252"/>
      <c r="DB85" s="252"/>
      <c r="DC85" s="252"/>
      <c r="DD85" s="252"/>
      <c r="DE85" s="252"/>
      <c r="DF85" s="252"/>
      <c r="DG85" s="252"/>
      <c r="DH85" s="252"/>
      <c r="DI85" s="252"/>
      <c r="DJ85" s="252"/>
      <c r="DK85" s="252"/>
      <c r="DL85" s="252"/>
      <c r="DM85" s="252"/>
      <c r="DN85" s="252"/>
      <c r="DO85" s="252"/>
      <c r="DP85" s="252"/>
      <c r="DQ85" s="252"/>
      <c r="DR85" s="252"/>
      <c r="DS85" s="252"/>
      <c r="DT85" s="252"/>
      <c r="DU85" s="252"/>
      <c r="DV85" s="252"/>
      <c r="DW85" s="252"/>
      <c r="DX85" s="252"/>
      <c r="DY85" s="252"/>
      <c r="DZ85" s="252"/>
      <c r="EA85" s="252"/>
      <c r="EB85" s="252"/>
      <c r="EC85" s="252"/>
      <c r="ED85" s="252"/>
      <c r="EE85" s="252"/>
      <c r="EF85" s="252"/>
      <c r="EG85" s="252"/>
      <c r="EH85" s="252"/>
      <c r="EI85" s="252"/>
      <c r="EJ85" s="252"/>
      <c r="EK85" s="252"/>
      <c r="EL85" s="252"/>
      <c r="EM85" s="252"/>
      <c r="EN85" s="252"/>
      <c r="EO85" s="252"/>
      <c r="EP85" s="252"/>
      <c r="EQ85" s="252"/>
      <c r="ER85" s="252"/>
      <c r="ES85" s="252"/>
      <c r="ET85" s="252"/>
      <c r="EU85" s="252"/>
      <c r="EV85" s="252"/>
      <c r="EW85" s="252"/>
      <c r="EX85" s="252"/>
      <c r="EY85" s="252"/>
      <c r="EZ85" s="252"/>
      <c r="FA85" s="252"/>
      <c r="FB85" s="252"/>
      <c r="FC85" s="252"/>
      <c r="FD85" s="252"/>
      <c r="FE85" s="252"/>
      <c r="FF85" s="252"/>
      <c r="FG85" s="252"/>
      <c r="FH85" s="252"/>
      <c r="FI85" s="252"/>
      <c r="FJ85" s="252"/>
      <c r="FK85" s="252"/>
      <c r="FL85" s="252"/>
      <c r="FM85" s="252"/>
      <c r="FN85" s="252"/>
      <c r="FO85" s="252"/>
      <c r="FP85" s="252"/>
      <c r="FQ85" s="252"/>
      <c r="FR85" s="252"/>
      <c r="FS85" s="252"/>
      <c r="FT85" s="252"/>
      <c r="FU85" s="252"/>
      <c r="FV85" s="252"/>
      <c r="FW85" s="253"/>
      <c r="FX85" s="1282"/>
      <c r="FY85" s="1282"/>
      <c r="FZ85" s="1284"/>
      <c r="GA85" s="1284"/>
      <c r="GB85" s="1284"/>
      <c r="GC85" s="1283"/>
      <c r="GD85" s="1283"/>
    </row>
    <row s="1624" customFormat="1" customHeight="1" ht="14.25">
      <c r="A86" s="466"/>
      <c r="B86" s="848"/>
      <c r="C86" s="466"/>
      <c r="D86" s="466"/>
      <c r="E86" s="816">
        <v>15</v>
      </c>
      <c r="F86" s="50" cm="1" t="str">
        <f t="array" ref="F86:F86">OFFSET(E86,-1,1)</f>
        <v>1</v>
      </c>
      <c r="G86" s="466"/>
      <c r="H86" s="466"/>
      <c r="I86" s="466"/>
      <c r="J86" s="466"/>
      <c r="K86" s="466"/>
      <c r="L86" s="466"/>
      <c r="M86" s="466"/>
      <c r="N86" s="466"/>
      <c r="O86" s="466"/>
      <c r="P86" s="466"/>
      <c r="Q86" s="466"/>
      <c r="R86" s="457"/>
      <c r="S86" s="457"/>
      <c r="T86" s="438" cm="1" t="str">
        <f t="array" ref="T86:T86">T85</f>
        <v>true</v>
      </c>
      <c r="U86" s="466"/>
      <c r="V86" s="466"/>
      <c r="W86" s="466"/>
      <c r="X86" s="1541"/>
      <c r="Y86" s="466"/>
      <c r="Z86" s="1493"/>
      <c r="AA86" s="466"/>
      <c r="AB86" s="1451" t="str">
        <f>"Вид "&amp;IF(ISERROR(SEARCH("Водоснабжение",AD85)),"сточных вод","воды")</f>
        <v>Вид сточных вод</v>
      </c>
      <c r="AC86" s="1453"/>
      <c r="AD86" s="869" cm="1" t="str">
        <f t="array" ref="AD86:AD86">INDEX('Общие сведения'!$AH$179:$AH$208,MATCH($X85,'Общие сведения'!$Z$179:$Z$208,0))</f>
        <v>без дифференциации</v>
      </c>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c r="BC86" s="254"/>
      <c r="BD86" s="254"/>
      <c r="BE86" s="254"/>
      <c r="BF86" s="254"/>
      <c r="BG86" s="254"/>
      <c r="BH86" s="254"/>
      <c r="BI86" s="254"/>
      <c r="BJ86" s="254"/>
      <c r="BK86" s="254"/>
      <c r="BL86" s="254"/>
      <c r="BM86" s="254"/>
      <c r="BN86" s="254"/>
      <c r="BO86" s="254"/>
      <c r="BP86" s="254"/>
      <c r="BQ86" s="254"/>
      <c r="BR86" s="254"/>
      <c r="BS86" s="254"/>
      <c r="BT86" s="254"/>
      <c r="BU86" s="254"/>
      <c r="BV86" s="254"/>
      <c r="BW86" s="254"/>
      <c r="BX86" s="254"/>
      <c r="BY86" s="254"/>
      <c r="BZ86" s="254"/>
      <c r="CA86" s="254"/>
      <c r="CB86" s="254"/>
      <c r="CC86" s="254"/>
      <c r="CD86" s="254"/>
      <c r="CE86" s="254"/>
      <c r="CF86" s="254"/>
      <c r="CG86" s="254"/>
      <c r="CH86" s="254"/>
      <c r="CI86" s="254"/>
      <c r="CJ86" s="254"/>
      <c r="CK86" s="254"/>
      <c r="CL86" s="254"/>
      <c r="CM86" s="254"/>
      <c r="CN86" s="254"/>
      <c r="CO86" s="254"/>
      <c r="CP86" s="254"/>
      <c r="CQ86" s="254"/>
      <c r="CR86" s="254"/>
      <c r="CS86" s="254"/>
      <c r="CT86" s="254"/>
      <c r="CU86" s="254"/>
      <c r="CV86" s="254"/>
      <c r="CW86" s="254"/>
      <c r="CX86" s="254"/>
      <c r="CY86" s="254"/>
      <c r="CZ86" s="254"/>
      <c r="DA86" s="254"/>
      <c r="DB86" s="254"/>
      <c r="DC86" s="254"/>
      <c r="DD86" s="254"/>
      <c r="DE86" s="254"/>
      <c r="DF86" s="254"/>
      <c r="DG86" s="254"/>
      <c r="DH86" s="254"/>
      <c r="DI86" s="254"/>
      <c r="DJ86" s="254"/>
      <c r="DK86" s="254"/>
      <c r="DL86" s="254"/>
      <c r="DM86" s="254"/>
      <c r="DN86" s="254"/>
      <c r="DO86" s="254"/>
      <c r="DP86" s="254"/>
      <c r="DQ86" s="254"/>
      <c r="DR86" s="254"/>
      <c r="DS86" s="254"/>
      <c r="DT86" s="254"/>
      <c r="DU86" s="254"/>
      <c r="DV86" s="254"/>
      <c r="DW86" s="254"/>
      <c r="DX86" s="254"/>
      <c r="DY86" s="254"/>
      <c r="DZ86" s="254"/>
      <c r="EA86" s="254"/>
      <c r="EB86" s="254"/>
      <c r="EC86" s="254"/>
      <c r="ED86" s="254"/>
      <c r="EE86" s="254"/>
      <c r="EF86" s="254"/>
      <c r="EG86" s="254"/>
      <c r="EH86" s="254"/>
      <c r="EI86" s="254"/>
      <c r="EJ86" s="254"/>
      <c r="EK86" s="254"/>
      <c r="EL86" s="254"/>
      <c r="EM86" s="254"/>
      <c r="EN86" s="254"/>
      <c r="EO86" s="254"/>
      <c r="EP86" s="254"/>
      <c r="EQ86" s="254"/>
      <c r="ER86" s="254"/>
      <c r="ES86" s="254"/>
      <c r="ET86" s="254"/>
      <c r="EU86" s="254"/>
      <c r="EV86" s="254"/>
      <c r="EW86" s="254"/>
      <c r="EX86" s="254"/>
      <c r="EY86" s="254"/>
      <c r="EZ86" s="254"/>
      <c r="FA86" s="254"/>
      <c r="FB86" s="254"/>
      <c r="FC86" s="254"/>
      <c r="FD86" s="254"/>
      <c r="FE86" s="254"/>
      <c r="FF86" s="254"/>
      <c r="FG86" s="254"/>
      <c r="FH86" s="254"/>
      <c r="FI86" s="254"/>
      <c r="FJ86" s="254"/>
      <c r="FK86" s="254"/>
      <c r="FL86" s="254"/>
      <c r="FM86" s="254"/>
      <c r="FN86" s="254"/>
      <c r="FO86" s="254"/>
      <c r="FP86" s="254"/>
      <c r="FQ86" s="254"/>
      <c r="FR86" s="254"/>
      <c r="FS86" s="254"/>
      <c r="FT86" s="254"/>
      <c r="FU86" s="254"/>
      <c r="FV86" s="254"/>
      <c r="FW86" s="255"/>
      <c r="FX86" s="1282"/>
      <c r="FY86" s="1282"/>
      <c r="FZ86" s="1284"/>
      <c r="GA86" s="1284"/>
      <c r="GB86" s="1284"/>
      <c r="GC86" s="1283"/>
      <c r="GD86" s="1283"/>
    </row>
    <row s="1624" customFormat="1" customHeight="1" ht="14.25">
      <c r="A87" s="466"/>
      <c r="B87" s="848"/>
      <c r="C87" s="466"/>
      <c r="D87" s="466"/>
      <c r="E87" s="816">
        <v>15</v>
      </c>
      <c r="F87" s="50" cm="1" t="str">
        <f t="array" ref="F87:F87">OFFSET(E87,-1,1)</f>
        <v>1</v>
      </c>
      <c r="G87" s="466"/>
      <c r="H87" s="466"/>
      <c r="I87" s="466"/>
      <c r="J87" s="466"/>
      <c r="K87" s="466"/>
      <c r="L87" s="466"/>
      <c r="M87" s="466"/>
      <c r="N87" s="466"/>
      <c r="O87" s="466"/>
      <c r="P87" s="466"/>
      <c r="Q87" s="466"/>
      <c r="R87" s="457"/>
      <c r="S87" s="457"/>
      <c r="T87" s="438" cm="1" t="str">
        <f t="array" ref="T87:T87">T86</f>
        <v>true</v>
      </c>
      <c r="U87" s="466"/>
      <c r="V87" s="466"/>
      <c r="W87" s="466"/>
      <c r="X87" s="1541"/>
      <c r="Y87" s="466"/>
      <c r="Z87" s="1493"/>
      <c r="AA87" s="466"/>
      <c r="AB87" s="1451" t="s">
        <v>1470</v>
      </c>
      <c r="AC87" s="1453"/>
      <c r="AD87" s="869" cm="1" t="str">
        <f t="array" ref="AD87:AD87">INDEX('Общие сведения'!$AI$179:$AI$208,MATCH($X85,'Общие сведения'!$Z$179:$Z$208,0))</f>
        <v>тариф на транспортировку сточных вод</v>
      </c>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c r="BB87" s="254"/>
      <c r="BC87" s="254"/>
      <c r="BD87" s="254"/>
      <c r="BE87" s="254"/>
      <c r="BF87" s="254"/>
      <c r="BG87" s="254"/>
      <c r="BH87" s="254"/>
      <c r="BI87" s="254"/>
      <c r="BJ87" s="254"/>
      <c r="BK87" s="254"/>
      <c r="BL87" s="254"/>
      <c r="BM87" s="254"/>
      <c r="BN87" s="254"/>
      <c r="BO87" s="254"/>
      <c r="BP87" s="254"/>
      <c r="BQ87" s="254"/>
      <c r="BR87" s="254"/>
      <c r="BS87" s="254"/>
      <c r="BT87" s="254"/>
      <c r="BU87" s="254"/>
      <c r="BV87" s="254"/>
      <c r="BW87" s="254"/>
      <c r="BX87" s="254"/>
      <c r="BY87" s="254"/>
      <c r="BZ87" s="254"/>
      <c r="CA87" s="254"/>
      <c r="CB87" s="254"/>
      <c r="CC87" s="254"/>
      <c r="CD87" s="254"/>
      <c r="CE87" s="254"/>
      <c r="CF87" s="254"/>
      <c r="CG87" s="254"/>
      <c r="CH87" s="254"/>
      <c r="CI87" s="254"/>
      <c r="CJ87" s="254"/>
      <c r="CK87" s="254"/>
      <c r="CL87" s="254"/>
      <c r="CM87" s="254"/>
      <c r="CN87" s="254"/>
      <c r="CO87" s="254"/>
      <c r="CP87" s="254"/>
      <c r="CQ87" s="254"/>
      <c r="CR87" s="254"/>
      <c r="CS87" s="254"/>
      <c r="CT87" s="254"/>
      <c r="CU87" s="254"/>
      <c r="CV87" s="254"/>
      <c r="CW87" s="254"/>
      <c r="CX87" s="254"/>
      <c r="CY87" s="254"/>
      <c r="CZ87" s="254"/>
      <c r="DA87" s="254"/>
      <c r="DB87" s="254"/>
      <c r="DC87" s="254"/>
      <c r="DD87" s="254"/>
      <c r="DE87" s="254"/>
      <c r="DF87" s="254"/>
      <c r="DG87" s="254"/>
      <c r="DH87" s="254"/>
      <c r="DI87" s="254"/>
      <c r="DJ87" s="254"/>
      <c r="DK87" s="254"/>
      <c r="DL87" s="254"/>
      <c r="DM87" s="254"/>
      <c r="DN87" s="254"/>
      <c r="DO87" s="254"/>
      <c r="DP87" s="254"/>
      <c r="DQ87" s="254"/>
      <c r="DR87" s="254"/>
      <c r="DS87" s="254"/>
      <c r="DT87" s="254"/>
      <c r="DU87" s="254"/>
      <c r="DV87" s="254"/>
      <c r="DW87" s="254"/>
      <c r="DX87" s="254"/>
      <c r="DY87" s="254"/>
      <c r="DZ87" s="254"/>
      <c r="EA87" s="254"/>
      <c r="EB87" s="254"/>
      <c r="EC87" s="254"/>
      <c r="ED87" s="254"/>
      <c r="EE87" s="254"/>
      <c r="EF87" s="254"/>
      <c r="EG87" s="254"/>
      <c r="EH87" s="254"/>
      <c r="EI87" s="254"/>
      <c r="EJ87" s="254"/>
      <c r="EK87" s="254"/>
      <c r="EL87" s="254"/>
      <c r="EM87" s="254"/>
      <c r="EN87" s="254"/>
      <c r="EO87" s="254"/>
      <c r="EP87" s="254"/>
      <c r="EQ87" s="254"/>
      <c r="ER87" s="254"/>
      <c r="ES87" s="254"/>
      <c r="ET87" s="254"/>
      <c r="EU87" s="254"/>
      <c r="EV87" s="254"/>
      <c r="EW87" s="254"/>
      <c r="EX87" s="254"/>
      <c r="EY87" s="254"/>
      <c r="EZ87" s="254"/>
      <c r="FA87" s="254"/>
      <c r="FB87" s="254"/>
      <c r="FC87" s="254"/>
      <c r="FD87" s="254"/>
      <c r="FE87" s="254"/>
      <c r="FF87" s="254"/>
      <c r="FG87" s="254"/>
      <c r="FH87" s="254"/>
      <c r="FI87" s="254"/>
      <c r="FJ87" s="254"/>
      <c r="FK87" s="254"/>
      <c r="FL87" s="254"/>
      <c r="FM87" s="254"/>
      <c r="FN87" s="254"/>
      <c r="FO87" s="254"/>
      <c r="FP87" s="254"/>
      <c r="FQ87" s="254"/>
      <c r="FR87" s="254"/>
      <c r="FS87" s="254"/>
      <c r="FT87" s="254"/>
      <c r="FU87" s="254"/>
      <c r="FV87" s="254"/>
      <c r="FW87" s="255"/>
      <c r="FX87" s="1282"/>
      <c r="FY87" s="1282"/>
      <c r="FZ87" s="1284"/>
      <c r="GA87" s="1284"/>
      <c r="GB87" s="1284"/>
      <c r="GC87" s="1283"/>
      <c r="GD87" s="1283"/>
    </row>
    <row s="1624" customFormat="1" customHeight="1" ht="14.25">
      <c r="A88" s="466"/>
      <c r="B88" s="848"/>
      <c r="C88" s="466"/>
      <c r="D88" s="466"/>
      <c r="E88" s="816">
        <v>15</v>
      </c>
      <c r="F88" s="50" cm="1" t="str">
        <f t="array" ref="F88:F88">OFFSET(E88,-1,1)</f>
        <v>1</v>
      </c>
      <c r="G88" s="466"/>
      <c r="H88" s="466"/>
      <c r="I88" s="466"/>
      <c r="J88" s="466"/>
      <c r="K88" s="466"/>
      <c r="L88" s="466"/>
      <c r="M88" s="466"/>
      <c r="N88" s="466"/>
      <c r="O88" s="466"/>
      <c r="P88" s="466"/>
      <c r="Q88" s="904"/>
      <c r="R88" s="466"/>
      <c r="S88" s="457"/>
      <c r="T88" s="438" cm="1" t="str">
        <f t="array" ref="T88:T88">T87</f>
        <v>true</v>
      </c>
      <c r="U88" s="466"/>
      <c r="V88" s="466"/>
      <c r="W88" s="466"/>
      <c r="X88" s="1541"/>
      <c r="Y88" s="466"/>
      <c r="Z88" s="1493"/>
      <c r="AA88" s="466"/>
      <c r="AB88" s="1451" t="s">
        <v>1471</v>
      </c>
      <c r="AC88" s="1453"/>
      <c r="AD88" s="869" cm="1" t="str">
        <f t="array" ref="AD88:AD88">INDEX('Общие сведения'!$AJ$179:$AJ$208,MATCH($X85,'Общие сведения'!$Z$179:$Z$208,0))</f>
        <v>0</v>
      </c>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c r="BB88" s="254"/>
      <c r="BC88" s="254"/>
      <c r="BD88" s="254"/>
      <c r="BE88" s="254"/>
      <c r="BF88" s="254"/>
      <c r="BG88" s="254"/>
      <c r="BH88" s="254"/>
      <c r="BI88" s="254"/>
      <c r="BJ88" s="254"/>
      <c r="BK88" s="254"/>
      <c r="BL88" s="254"/>
      <c r="BM88" s="254"/>
      <c r="BN88" s="254"/>
      <c r="BO88" s="254"/>
      <c r="BP88" s="254"/>
      <c r="BQ88" s="254"/>
      <c r="BR88" s="254"/>
      <c r="BS88" s="254"/>
      <c r="BT88" s="254"/>
      <c r="BU88" s="254"/>
      <c r="BV88" s="254"/>
      <c r="BW88" s="254"/>
      <c r="BX88" s="254"/>
      <c r="BY88" s="254"/>
      <c r="BZ88" s="254"/>
      <c r="CA88" s="254"/>
      <c r="CB88" s="254"/>
      <c r="CC88" s="254"/>
      <c r="CD88" s="254"/>
      <c r="CE88" s="254"/>
      <c r="CF88" s="254"/>
      <c r="CG88" s="254"/>
      <c r="CH88" s="254"/>
      <c r="CI88" s="254"/>
      <c r="CJ88" s="254"/>
      <c r="CK88" s="254"/>
      <c r="CL88" s="254"/>
      <c r="CM88" s="254"/>
      <c r="CN88" s="254"/>
      <c r="CO88" s="254"/>
      <c r="CP88" s="254"/>
      <c r="CQ88" s="254"/>
      <c r="CR88" s="254"/>
      <c r="CS88" s="254"/>
      <c r="CT88" s="254"/>
      <c r="CU88" s="254"/>
      <c r="CV88" s="254"/>
      <c r="CW88" s="254"/>
      <c r="CX88" s="254"/>
      <c r="CY88" s="254"/>
      <c r="CZ88" s="254"/>
      <c r="DA88" s="254"/>
      <c r="DB88" s="254"/>
      <c r="DC88" s="254"/>
      <c r="DD88" s="254"/>
      <c r="DE88" s="254"/>
      <c r="DF88" s="254"/>
      <c r="DG88" s="254"/>
      <c r="DH88" s="254"/>
      <c r="DI88" s="254"/>
      <c r="DJ88" s="254"/>
      <c r="DK88" s="254"/>
      <c r="DL88" s="254"/>
      <c r="DM88" s="254"/>
      <c r="DN88" s="254"/>
      <c r="DO88" s="254"/>
      <c r="DP88" s="254"/>
      <c r="DQ88" s="254"/>
      <c r="DR88" s="254"/>
      <c r="DS88" s="254"/>
      <c r="DT88" s="254"/>
      <c r="DU88" s="254"/>
      <c r="DV88" s="254"/>
      <c r="DW88" s="254"/>
      <c r="DX88" s="254"/>
      <c r="DY88" s="254"/>
      <c r="DZ88" s="254"/>
      <c r="EA88" s="254"/>
      <c r="EB88" s="254"/>
      <c r="EC88" s="254"/>
      <c r="ED88" s="254"/>
      <c r="EE88" s="254"/>
      <c r="EF88" s="254"/>
      <c r="EG88" s="254"/>
      <c r="EH88" s="254"/>
      <c r="EI88" s="254"/>
      <c r="EJ88" s="254"/>
      <c r="EK88" s="254"/>
      <c r="EL88" s="254"/>
      <c r="EM88" s="254"/>
      <c r="EN88" s="254"/>
      <c r="EO88" s="254"/>
      <c r="EP88" s="254"/>
      <c r="EQ88" s="254"/>
      <c r="ER88" s="254"/>
      <c r="ES88" s="254"/>
      <c r="ET88" s="254"/>
      <c r="EU88" s="254"/>
      <c r="EV88" s="254"/>
      <c r="EW88" s="254"/>
      <c r="EX88" s="254"/>
      <c r="EY88" s="254"/>
      <c r="EZ88" s="254"/>
      <c r="FA88" s="254"/>
      <c r="FB88" s="254"/>
      <c r="FC88" s="254"/>
      <c r="FD88" s="254"/>
      <c r="FE88" s="254"/>
      <c r="FF88" s="254"/>
      <c r="FG88" s="254"/>
      <c r="FH88" s="254"/>
      <c r="FI88" s="254"/>
      <c r="FJ88" s="254"/>
      <c r="FK88" s="254"/>
      <c r="FL88" s="254"/>
      <c r="FM88" s="254"/>
      <c r="FN88" s="254"/>
      <c r="FO88" s="254"/>
      <c r="FP88" s="254"/>
      <c r="FQ88" s="254"/>
      <c r="FR88" s="254"/>
      <c r="FS88" s="254"/>
      <c r="FT88" s="254"/>
      <c r="FU88" s="254"/>
      <c r="FV88" s="254"/>
      <c r="FW88" s="255"/>
      <c r="FX88" s="1282"/>
      <c r="FY88" s="1282"/>
      <c r="FZ88" s="1284"/>
      <c r="GA88" s="1284"/>
      <c r="GB88" s="1284"/>
      <c r="GC88" s="1283"/>
      <c r="GD88" s="1283"/>
    </row>
    <row s="1624" customFormat="1" customHeight="1" ht="14.25" hidden="1">
      <c r="A89" s="466"/>
      <c r="B89" s="901">
        <f>AND(R85="одноставочный",NOT(S85))</f>
        <v>0</v>
      </c>
      <c r="C89" s="466"/>
      <c r="D89" s="466"/>
      <c r="E89" s="816">
        <v>15</v>
      </c>
      <c r="F89" s="50" cm="1" t="str">
        <f t="array" ref="F89:F89">OFFSET(E89,-1,1)</f>
        <v>1</v>
      </c>
      <c r="G89" s="466"/>
      <c r="H89" s="466"/>
      <c r="I89" s="466"/>
      <c r="J89" s="466"/>
      <c r="K89" s="466"/>
      <c r="L89" s="466"/>
      <c r="M89" s="466"/>
      <c r="N89" s="466"/>
      <c r="O89" s="466"/>
      <c r="P89" s="466"/>
      <c r="Q89" s="466"/>
      <c r="R89" s="466"/>
      <c r="S89" s="466"/>
      <c r="T89" s="438" cm="1" t="str">
        <f t="array" ref="T89:T89">T88</f>
        <v>true</v>
      </c>
      <c r="U89" s="466"/>
      <c r="V89" s="466"/>
      <c r="W89" s="466"/>
      <c r="X89" s="1541"/>
      <c r="Y89" s="466"/>
      <c r="Z89" s="1493"/>
      <c r="AA89" s="466"/>
      <c r="AB89" s="870" t="s">
        <v>1472</v>
      </c>
      <c r="AC89" s="871"/>
      <c r="AD89" s="872"/>
      <c r="AE89" s="872"/>
      <c r="AF89" s="872"/>
      <c r="AG89" s="872"/>
      <c r="AH89" s="872"/>
      <c r="AI89" s="872"/>
      <c r="AJ89" s="872"/>
      <c r="AK89" s="872"/>
      <c r="AL89" s="872"/>
      <c r="AM89" s="872"/>
      <c r="AN89" s="872"/>
      <c r="AO89" s="872"/>
      <c r="AP89" s="872"/>
      <c r="AQ89" s="872"/>
      <c r="AR89" s="872"/>
      <c r="AS89" s="872"/>
      <c r="AT89" s="872"/>
      <c r="AU89" s="872"/>
      <c r="AV89" s="872"/>
      <c r="AW89" s="872"/>
      <c r="AX89" s="872"/>
      <c r="AY89" s="872"/>
      <c r="AZ89" s="872"/>
      <c r="BA89" s="872"/>
      <c r="BB89" s="872"/>
      <c r="BC89" s="872"/>
      <c r="BD89" s="872"/>
      <c r="BE89" s="872"/>
      <c r="BF89" s="872"/>
      <c r="BG89" s="872"/>
      <c r="BH89" s="872"/>
      <c r="BI89" s="872"/>
      <c r="BJ89" s="883"/>
      <c r="BK89" s="872"/>
      <c r="BL89" s="872"/>
      <c r="BM89" s="883"/>
      <c r="BN89" s="872"/>
      <c r="BO89" s="872"/>
      <c r="BP89" s="883"/>
      <c r="BQ89" s="872"/>
      <c r="BR89" s="872"/>
      <c r="BS89" s="883"/>
      <c r="BT89" s="872"/>
      <c r="BU89" s="872"/>
      <c r="BV89" s="883"/>
      <c r="BW89" s="872"/>
      <c r="BX89" s="872"/>
      <c r="BY89" s="883"/>
      <c r="BZ89" s="872"/>
      <c r="CA89" s="872"/>
      <c r="CB89" s="883"/>
      <c r="CC89" s="872"/>
      <c r="CD89" s="872"/>
      <c r="CE89" s="883"/>
      <c r="CF89" s="872"/>
      <c r="CG89" s="872"/>
      <c r="CH89" s="883"/>
      <c r="CI89" s="872"/>
      <c r="CJ89" s="872"/>
      <c r="CK89" s="883"/>
      <c r="CL89" s="872"/>
      <c r="CM89" s="872"/>
      <c r="CN89" s="883"/>
      <c r="CO89" s="872"/>
      <c r="CP89" s="872"/>
      <c r="CQ89" s="883"/>
      <c r="CR89" s="872"/>
      <c r="CS89" s="872"/>
      <c r="CT89" s="883"/>
      <c r="CU89" s="872"/>
      <c r="CV89" s="872"/>
      <c r="CW89" s="883"/>
      <c r="CX89" s="872"/>
      <c r="CY89" s="872"/>
      <c r="CZ89" s="883"/>
      <c r="DA89" s="872"/>
      <c r="DB89" s="872"/>
      <c r="DC89" s="883"/>
      <c r="DD89" s="872"/>
      <c r="DE89" s="872"/>
      <c r="DF89" s="257"/>
      <c r="DG89" s="256"/>
      <c r="DH89" s="256"/>
      <c r="DI89" s="257"/>
      <c r="DJ89" s="256"/>
      <c r="DK89" s="256"/>
      <c r="DL89" s="257"/>
      <c r="DM89" s="256"/>
      <c r="DN89" s="256"/>
      <c r="DO89" s="257"/>
      <c r="DP89" s="256"/>
      <c r="DQ89" s="256"/>
      <c r="DR89" s="257"/>
      <c r="DS89" s="256"/>
      <c r="DT89" s="256"/>
      <c r="DU89" s="257"/>
      <c r="DV89" s="256"/>
      <c r="DW89" s="256"/>
      <c r="DX89" s="257"/>
      <c r="DY89" s="256"/>
      <c r="DZ89" s="256"/>
      <c r="EA89" s="257"/>
      <c r="EB89" s="256"/>
      <c r="EC89" s="256"/>
      <c r="ED89" s="257"/>
      <c r="EE89" s="256"/>
      <c r="EF89" s="256"/>
      <c r="EG89" s="257"/>
      <c r="EH89" s="256"/>
      <c r="EI89" s="256"/>
      <c r="EJ89" s="257"/>
      <c r="EK89" s="256"/>
      <c r="EL89" s="256"/>
      <c r="EM89" s="257"/>
      <c r="EN89" s="256"/>
      <c r="EO89" s="256"/>
      <c r="EP89" s="257"/>
      <c r="EQ89" s="256"/>
      <c r="ER89" s="256"/>
      <c r="ES89" s="257"/>
      <c r="ET89" s="256"/>
      <c r="EU89" s="256"/>
      <c r="EV89" s="257"/>
      <c r="EW89" s="256"/>
      <c r="EX89" s="256"/>
      <c r="EY89" s="257"/>
      <c r="EZ89" s="256"/>
      <c r="FA89" s="256"/>
      <c r="FB89" s="257"/>
      <c r="FC89" s="256"/>
      <c r="FD89" s="256"/>
      <c r="FE89" s="257"/>
      <c r="FF89" s="256"/>
      <c r="FG89" s="256"/>
      <c r="FH89" s="257"/>
      <c r="FI89" s="256"/>
      <c r="FJ89" s="256"/>
      <c r="FK89" s="257"/>
      <c r="FL89" s="256"/>
      <c r="FM89" s="256"/>
      <c r="FN89" s="257"/>
      <c r="FO89" s="256"/>
      <c r="FP89" s="256"/>
      <c r="FQ89" s="257"/>
      <c r="FR89" s="256"/>
      <c r="FS89" s="256"/>
      <c r="FT89" s="257"/>
      <c r="FU89" s="256"/>
      <c r="FV89" s="256"/>
      <c r="FW89" s="257"/>
      <c r="FX89" s="1282"/>
      <c r="FY89" s="1282"/>
      <c r="FZ89" s="1284"/>
      <c r="GA89" s="1284"/>
      <c r="GB89" s="1284"/>
      <c r="GC89" s="1283"/>
      <c r="GD89" s="1283"/>
    </row>
    <row s="2940" customFormat="1" customHeight="1" ht="23.25" hidden="1">
      <c r="A90" s="873"/>
      <c r="B90" s="901" cm="1" t="str">
        <f t="array" ref="B90:B90">B89</f>
        <v>false</v>
      </c>
      <c r="C90" s="873"/>
      <c r="D90" s="873"/>
      <c r="E90" s="874">
        <v>24.5</v>
      </c>
      <c r="F90" s="50" cm="1" t="str">
        <f t="array" ref="F90:F90">OFFSET(E90,-1,1)</f>
        <v>1</v>
      </c>
      <c r="G90" s="466" t="s">
        <v>1473</v>
      </c>
      <c r="H90" s="466" t="s">
        <v>434</v>
      </c>
      <c r="I90" s="466" t="s">
        <v>1474</v>
      </c>
      <c r="J90" s="873"/>
      <c r="K90" s="873"/>
      <c r="L90" s="466"/>
      <c r="M90" s="873"/>
      <c r="N90" s="873"/>
      <c r="O90" s="873"/>
      <c r="P90" s="873"/>
      <c r="Q90" s="873"/>
      <c r="R90" s="873"/>
      <c r="S90" s="466"/>
      <c r="T90" s="438" cm="1" t="str">
        <f t="array" ref="T90:T90">T89</f>
        <v>true</v>
      </c>
      <c r="U90" s="873"/>
      <c r="V90" s="873"/>
      <c r="W90" s="873"/>
      <c r="X90" s="1541"/>
      <c r="Y90" s="873"/>
      <c r="Z90" s="1493"/>
      <c r="AA90" s="873"/>
      <c r="AB90" s="259" t="s">
        <v>1475</v>
      </c>
      <c r="AC90" s="260" t="s">
        <v>1476</v>
      </c>
      <c r="AD90" s="2898">
        <f>IF(AND(method_reg="Метод индексации",god&lt;&gt;first_year),_xlfn.SUMIFS(INDEX('Калькуляция (МИ корр)'!$AJ$25:$BC$315,,MATCH(AD$8,'Калькуляция (МИ корр)'!$AJ$8:$BC$8,0)),'Калькуляция (МИ корр)'!$F$25:$F$315,$F90,'Калькуляция (МИ корр)'!$G$25:$G$315,$G90),IF(method_reg="Метод экономически обоснованных расходов",_xlfn.SUMIFS('Калькуляция (МЭОР)'!$AJ$25:$AJ$197,'Калькуляция (МЭОР)'!$F$25:$F$197,$F90,'Калькуляция (МЭОР)'!$G$25:$G$197,$G90),IF(method_reg="Метод сравнения аналогов",_xlfn.SUMIFS('Калькуляция (МСА)'!$AE$25:$AE$65,'Калькуляция (МСА)'!$F$25:$F$65,$F90,'Калькуляция (МСА)'!$G$25:$G$65,$G90),_xlfn.SUMIFS(INDEX('Калькуляция (МИ)'!$AJ$25:$BC$315,,MATCH(AD$8,'Калькуляция (МИ)'!$AJ$8:$BC$8,0)),'Калькуляция (МИ)'!$F$25:$F$315,$F90,'Калькуляция (МИ)'!$G$25:$G$315,$G90))))</f>
        <v>2.88</v>
      </c>
      <c r="AE90" s="2898">
        <f>IF(AND(method_reg="Метод индексации",god&lt;&gt;first_year),_xlfn.SUMIFS(INDEX('Калькуляция (МИ корр)'!$AJ$25:$BC$315,,MATCH(AE$8,'Калькуляция (МИ корр)'!$AJ$8:$BC$8,0)),'Калькуляция (МИ корр)'!$F$25:$F$315,$F90,'Калькуляция (МИ корр)'!$G$25:$G$315,$G90),IF(method_reg="Метод экономически обоснованных расходов",_xlfn.SUMIFS('Калькуляция (МЭОР)'!$AK$25:$AK$197,'Калькуляция (МЭОР)'!$F$25:$F$197,$F90,'Калькуляция (МЭОР)'!$G$25:$G$197,$G90),IF(method_reg="Метод сравнения аналогов",_xlfn.SUMIFS('Калькуляция (МСА)'!$AF$25:$AF$65,'Калькуляция (МСА)'!$F$25:$F$65,$F90,'Калькуляция (МСА)'!$G$25:$G$65,$G90),_xlfn.SUMIFS(INDEX('Калькуляция (МИ)'!$AJ$25:$BC$315,,MATCH(AE$8,'Калькуляция (МИ)'!$AJ$8:$BC$8,0)),'Калькуляция (МИ)'!$F$25:$F$315,$F90,'Калькуляция (МИ)'!$G$25:$G$315,$G90))))</f>
        <v>2.78</v>
      </c>
      <c r="AF90" s="262">
        <f>IF(AD90=0,0,(AE90-AD90)/AD90*100)</f>
        <v>-3.47222222222222</v>
      </c>
      <c r="AG90" s="2898">
        <f>IF(AND(method_reg="Метод индексации",god&lt;&gt;first_year),_xlfn.SUMIFS(INDEX('Калькуляция (МИ корр)'!$AJ$25:$BC$315,,MATCH(AG$8,'Калькуляция (МИ корр)'!$AJ$8:$BC$8,0)),'Калькуляция (МИ корр)'!$F$25:$F$315,$F90,'Калькуляция (МИ корр)'!$G$25:$G$315,$G90),IF(method_reg="Метод экономически обоснованных расходов",_xlfn.SUMIFS('Калькуляция (МЭОР)'!$AJ$25:$AJ$197,'Калькуляция (МЭОР)'!$F$25:$F$197,$F90,'Калькуляция (МЭОР)'!$G$25:$G$197,$G90),IF(method_reg="Метод сравнения аналогов",_xlfn.SUMIFS('Калькуляция (МСА)'!$AE$25:$AE$65,'Калькуляция (МСА)'!$F$25:$F$65,$F90,'Калькуляция (МСА)'!$G$25:$G$65,$G90),_xlfn.SUMIFS(INDEX('Калькуляция (МИ)'!$AJ$25:$BC$315,,MATCH(AG$8,'Калькуляция (МИ)'!$AJ$8:$BC$8,0)),'Калькуляция (МИ)'!$F$25:$F$315,$F90,'Калькуляция (МИ)'!$G$25:$G$315,$G90))))</f>
        <v>2.88</v>
      </c>
      <c r="AH90" s="2898">
        <f>IF(AND(method_reg="Метод индексации",god&lt;&gt;first_year),_xlfn.SUMIFS(INDEX('Калькуляция (МИ корр)'!$AJ$25:$BC$315,,MATCH(AH$8,'Калькуляция (МИ корр)'!$AJ$8:$BC$8,0)),'Калькуляция (МИ корр)'!$F$25:$F$315,$F90,'Калькуляция (МИ корр)'!$G$25:$G$315,$G90),IF(method_reg="Метод экономически обоснованных расходов",_xlfn.SUMIFS('Калькуляция (МЭОР)'!$AK$25:$AK$197,'Калькуляция (МЭОР)'!$F$25:$F$197,$F90,'Калькуляция (МЭОР)'!$G$25:$G$197,$G90),IF(method_reg="Метод сравнения аналогов",_xlfn.SUMIFS('Калькуляция (МСА)'!$AF$25:$AF$65,'Калькуляция (МСА)'!$F$25:$F$65,$F90,'Калькуляция (МСА)'!$G$25:$G$65,$G90),_xlfn.SUMIFS(INDEX('Калькуляция (МИ)'!$AJ$25:$BC$315,,MATCH(AH$8,'Калькуляция (МИ)'!$AJ$8:$BC$8,0)),'Калькуляция (МИ)'!$F$25:$F$315,$F90,'Калькуляция (МИ)'!$G$25:$G$315,$G90))))</f>
        <v>2.78</v>
      </c>
      <c r="AI90" s="262">
        <f>IF(AG90=0,0,(AH90-AG90)/AG90*100)</f>
        <v>-3.47222222222222</v>
      </c>
      <c r="AJ90" s="2898">
        <f>IF(AND(method_reg="Метод индексации",god&lt;&gt;first_year),_xlfn.SUMIFS(INDEX('Калькуляция (МИ корр)'!$AJ$25:$BC$315,,MATCH(AJ$8,'Калькуляция (МИ корр)'!$AJ$8:$BC$8,0)),'Калькуляция (МИ корр)'!$F$25:$F$315,$F90,'Калькуляция (МИ корр)'!$G$25:$G$315,$G90),IF(method_reg="Метод экономически обоснованных расходов",_xlfn.SUMIFS('Калькуляция (МЭОР)'!$AJ$25:$AJ$197,'Калькуляция (МЭОР)'!$F$25:$F$197,$F90,'Калькуляция (МЭОР)'!$G$25:$G$197,$G90),IF(method_reg="Метод сравнения аналогов",_xlfn.SUMIFS('Калькуляция (МСА)'!$AE$25:$AE$65,'Калькуляция (МСА)'!$F$25:$F$65,$F90,'Калькуляция (МСА)'!$G$25:$G$65,$G90),_xlfn.SUMIFS(INDEX('Калькуляция (МИ)'!$AJ$25:$BC$315,,MATCH(AJ$8,'Калькуляция (МИ)'!$AJ$8:$BC$8,0)),'Калькуляция (МИ)'!$F$25:$F$315,$F90,'Калькуляция (МИ)'!$G$25:$G$315,$G90))))</f>
        <v>2.88</v>
      </c>
      <c r="AK90" s="2898">
        <f>IF(AND(method_reg="Метод индексации",god&lt;&gt;first_year),_xlfn.SUMIFS(INDEX('Калькуляция (МИ корр)'!$AJ$25:$BC$315,,MATCH(AK$8,'Калькуляция (МИ корр)'!$AJ$8:$BC$8,0)),'Калькуляция (МИ корр)'!$F$25:$F$315,$F90,'Калькуляция (МИ корр)'!$G$25:$G$315,$G90),IF(method_reg="Метод экономически обоснованных расходов",_xlfn.SUMIFS('Калькуляция (МЭОР)'!$AK$25:$AK$197,'Калькуляция (МЭОР)'!$F$25:$F$197,$F90,'Калькуляция (МЭОР)'!$G$25:$G$197,$G90),IF(method_reg="Метод сравнения аналогов",_xlfn.SUMIFS('Калькуляция (МСА)'!$AF$25:$AF$65,'Калькуляция (МСА)'!$F$25:$F$65,$F90,'Калькуляция (МСА)'!$G$25:$G$65,$G90),_xlfn.SUMIFS(INDEX('Калькуляция (МИ)'!$AJ$25:$BC$315,,MATCH(AK$8,'Калькуляция (МИ)'!$AJ$8:$BC$8,0)),'Калькуляция (МИ)'!$F$25:$F$315,$F90,'Калькуляция (МИ)'!$G$25:$G$315,$G90))))</f>
        <v>2.78</v>
      </c>
      <c r="AL90" s="262">
        <f>IF(AJ90=0,0,(AK90-AJ90)/AJ90*100)</f>
        <v>-3.47222222222222</v>
      </c>
      <c r="AM90" s="2898">
        <f>IF(AND(method_reg="Метод индексации",god&lt;&gt;first_year),_xlfn.SUMIFS(INDEX('Калькуляция (МИ корр)'!$AJ$25:$BC$315,,MATCH(AM$8,'Калькуляция (МИ корр)'!$AJ$8:$BC$8,0)),'Калькуляция (МИ корр)'!$F$25:$F$315,$F90,'Калькуляция (МИ корр)'!$G$25:$G$315,$G90),IF(method_reg="Метод экономически обоснованных расходов",_xlfn.SUMIFS('Калькуляция (МЭОР)'!$AJ$25:$AJ$197,'Калькуляция (МЭОР)'!$F$25:$F$197,$F90,'Калькуляция (МЭОР)'!$G$25:$G$197,$G90),IF(method_reg="Метод сравнения аналогов",_xlfn.SUMIFS('Калькуляция (МСА)'!$AE$25:$AE$65,'Калькуляция (МСА)'!$F$25:$F$65,$F90,'Калькуляция (МСА)'!$G$25:$G$65,$G90),_xlfn.SUMIFS(INDEX('Калькуляция (МИ)'!$AJ$25:$BC$315,,MATCH(AM$8,'Калькуляция (МИ)'!$AJ$8:$BC$8,0)),'Калькуляция (МИ)'!$F$25:$F$315,$F90,'Калькуляция (МИ)'!$G$25:$G$315,$G90))))</f>
        <v>2.88</v>
      </c>
      <c r="AN90" s="2898">
        <f>IF(AND(method_reg="Метод индексации",god&lt;&gt;first_year),_xlfn.SUMIFS(INDEX('Калькуляция (МИ корр)'!$AJ$25:$BC$315,,MATCH(AN$8,'Калькуляция (МИ корр)'!$AJ$8:$BC$8,0)),'Калькуляция (МИ корр)'!$F$25:$F$315,$F90,'Калькуляция (МИ корр)'!$G$25:$G$315,$G90),IF(method_reg="Метод экономически обоснованных расходов",_xlfn.SUMIFS('Калькуляция (МЭОР)'!$AK$25:$AK$197,'Калькуляция (МЭОР)'!$F$25:$F$197,$F90,'Калькуляция (МЭОР)'!$G$25:$G$197,$G90),IF(method_reg="Метод сравнения аналогов",_xlfn.SUMIFS('Калькуляция (МСА)'!$AF$25:$AF$65,'Калькуляция (МСА)'!$F$25:$F$65,$F90,'Калькуляция (МСА)'!$G$25:$G$65,$G90),_xlfn.SUMIFS(INDEX('Калькуляция (МИ)'!$AJ$25:$BC$315,,MATCH(AN$8,'Калькуляция (МИ)'!$AJ$8:$BC$8,0)),'Калькуляция (МИ)'!$F$25:$F$315,$F90,'Калькуляция (МИ)'!$G$25:$G$315,$G90))))</f>
        <v>2.78</v>
      </c>
      <c r="AO90" s="262">
        <f>IF(AM90=0,0,(AN90-AM90)/AM90*100)</f>
        <v>-3.47222222222222</v>
      </c>
      <c r="AP90" s="2898">
        <f>IF(AND(method_reg="Метод индексации",god&lt;&gt;first_year),_xlfn.SUMIFS(INDEX('Калькуляция (МИ корр)'!$AJ$25:$BC$315,,MATCH(AP$8,'Калькуляция (МИ корр)'!$AJ$8:$BC$8,0)),'Калькуляция (МИ корр)'!$F$25:$F$315,$F90,'Калькуляция (МИ корр)'!$G$25:$G$315,$G90),IF(method_reg="Метод экономически обоснованных расходов",_xlfn.SUMIFS('Калькуляция (МЭОР)'!$AJ$25:$AJ$197,'Калькуляция (МЭОР)'!$F$25:$F$197,$F90,'Калькуляция (МЭОР)'!$G$25:$G$197,$G90),IF(method_reg="Метод сравнения аналогов",_xlfn.SUMIFS('Калькуляция (МСА)'!$AE$25:$AE$65,'Калькуляция (МСА)'!$F$25:$F$65,$F90,'Калькуляция (МСА)'!$G$25:$G$65,$G90),_xlfn.SUMIFS(INDEX('Калькуляция (МИ)'!$AJ$25:$BC$315,,MATCH(AP$8,'Калькуляция (МИ)'!$AJ$8:$BC$8,0)),'Калькуляция (МИ)'!$F$25:$F$315,$F90,'Калькуляция (МИ)'!$G$25:$G$315,$G90))))</f>
        <v>2.88</v>
      </c>
      <c r="AQ90" s="2898">
        <f>IF(AND(method_reg="Метод индексации",god&lt;&gt;first_year),_xlfn.SUMIFS(INDEX('Калькуляция (МИ корр)'!$AJ$25:$BC$315,,MATCH(AQ$8,'Калькуляция (МИ корр)'!$AJ$8:$BC$8,0)),'Калькуляция (МИ корр)'!$F$25:$F$315,$F90,'Калькуляция (МИ корр)'!$G$25:$G$315,$G90),IF(method_reg="Метод экономически обоснованных расходов",_xlfn.SUMIFS('Калькуляция (МЭОР)'!$AK$25:$AK$197,'Калькуляция (МЭОР)'!$F$25:$F$197,$F90,'Калькуляция (МЭОР)'!$G$25:$G$197,$G90),IF(method_reg="Метод сравнения аналогов",_xlfn.SUMIFS('Калькуляция (МСА)'!$AF$25:$AF$65,'Калькуляция (МСА)'!$F$25:$F$65,$F90,'Калькуляция (МСА)'!$G$25:$G$65,$G90),_xlfn.SUMIFS(INDEX('Калькуляция (МИ)'!$AJ$25:$BC$315,,MATCH(AQ$8,'Калькуляция (МИ)'!$AJ$8:$BC$8,0)),'Калькуляция (МИ)'!$F$25:$F$315,$F90,'Калькуляция (МИ)'!$G$25:$G$315,$G90))))</f>
        <v>2.78</v>
      </c>
      <c r="AR90" s="262">
        <f>IF(AP90=0,0,(AQ90-AP90)/AP90*100)</f>
        <v>-3.47222222222222</v>
      </c>
      <c r="AS90" s="2898">
        <f>IF(AND(method_reg="Метод индексации",god&lt;&gt;first_year),_xlfn.SUMIFS(INDEX('Калькуляция (МИ корр)'!$AJ$25:$BC$315,,MATCH(AS$8,'Калькуляция (МИ корр)'!$AJ$8:$BC$8,0)),'Калькуляция (МИ корр)'!$F$25:$F$315,$F90,'Калькуляция (МИ корр)'!$G$25:$G$315,$G90),IF(method_reg="Метод экономически обоснованных расходов",_xlfn.SUMIFS('Калькуляция (МЭОР)'!$AJ$25:$AJ$197,'Калькуляция (МЭОР)'!$F$25:$F$197,$F90,'Калькуляция (МЭОР)'!$G$25:$G$197,$G90),IF(method_reg="Метод сравнения аналогов",_xlfn.SUMIFS('Калькуляция (МСА)'!$AE$25:$AE$65,'Калькуляция (МСА)'!$F$25:$F$65,$F90,'Калькуляция (МСА)'!$G$25:$G$65,$G90),_xlfn.SUMIFS(INDEX('Калькуляция (МИ)'!$AJ$25:$BC$315,,MATCH(AS$8,'Калькуляция (МИ)'!$AJ$8:$BC$8,0)),'Калькуляция (МИ)'!$F$25:$F$315,$F90,'Калькуляция (МИ)'!$G$25:$G$315,$G90))))</f>
        <v>2.88</v>
      </c>
      <c r="AT90" s="2898">
        <f>IF(AND(method_reg="Метод индексации",god&lt;&gt;first_year),_xlfn.SUMIFS(INDEX('Калькуляция (МИ корр)'!$AJ$25:$BC$315,,MATCH(AT$8,'Калькуляция (МИ корр)'!$AJ$8:$BC$8,0)),'Калькуляция (МИ корр)'!$F$25:$F$315,$F90,'Калькуляция (МИ корр)'!$G$25:$G$315,$G90),IF(method_reg="Метод экономически обоснованных расходов",_xlfn.SUMIFS('Калькуляция (МЭОР)'!$AK$25:$AK$197,'Калькуляция (МЭОР)'!$F$25:$F$197,$F90,'Калькуляция (МЭОР)'!$G$25:$G$197,$G90),IF(method_reg="Метод сравнения аналогов",_xlfn.SUMIFS('Калькуляция (МСА)'!$AF$25:$AF$65,'Калькуляция (МСА)'!$F$25:$F$65,$F90,'Калькуляция (МСА)'!$G$25:$G$65,$G90),_xlfn.SUMIFS(INDEX('Калькуляция (МИ)'!$AJ$25:$BC$315,,MATCH(AT$8,'Калькуляция (МИ)'!$AJ$8:$BC$8,0)),'Калькуляция (МИ)'!$F$25:$F$315,$F90,'Калькуляция (МИ)'!$G$25:$G$315,$G90))))</f>
        <v>2.78</v>
      </c>
      <c r="AU90" s="262">
        <f>IF(AS90=0,0,(AT90-AS90)/AS90*100)</f>
        <v>-3.47222222222222</v>
      </c>
      <c r="AV90" s="2898">
        <f>IF(AND(method_reg="Метод индексации",god&lt;&gt;first_year),_xlfn.SUMIFS(INDEX('Калькуляция (МИ корр)'!$AJ$25:$BC$315,,MATCH(AV$8,'Калькуляция (МИ корр)'!$AJ$8:$BC$8,0)),'Калькуляция (МИ корр)'!$F$25:$F$315,$F90,'Калькуляция (МИ корр)'!$G$25:$G$315,$G90),IF(method_reg="Метод экономически обоснованных расходов",_xlfn.SUMIFS('Калькуляция (МЭОР)'!$AJ$25:$AJ$197,'Калькуляция (МЭОР)'!$F$25:$F$197,$F90,'Калькуляция (МЭОР)'!$G$25:$G$197,$G90),IF(method_reg="Метод сравнения аналогов",_xlfn.SUMIFS('Калькуляция (МСА)'!$AE$25:$AE$65,'Калькуляция (МСА)'!$F$25:$F$65,$F90,'Калькуляция (МСА)'!$G$25:$G$65,$G90),_xlfn.SUMIFS(INDEX('Калькуляция (МИ)'!$AJ$25:$BC$315,,MATCH(AV$8,'Калькуляция (МИ)'!$AJ$8:$BC$8,0)),'Калькуляция (МИ)'!$F$25:$F$315,$F90,'Калькуляция (МИ)'!$G$25:$G$315,$G90))))</f>
        <v>2.88</v>
      </c>
      <c r="AW90" s="2898">
        <f>IF(AND(method_reg="Метод индексации",god&lt;&gt;first_year),_xlfn.SUMIFS(INDEX('Калькуляция (МИ корр)'!$AJ$25:$BC$315,,MATCH(AW$8,'Калькуляция (МИ корр)'!$AJ$8:$BC$8,0)),'Калькуляция (МИ корр)'!$F$25:$F$315,$F90,'Калькуляция (МИ корр)'!$G$25:$G$315,$G90),IF(method_reg="Метод экономически обоснованных расходов",_xlfn.SUMIFS('Калькуляция (МЭОР)'!$AK$25:$AK$197,'Калькуляция (МЭОР)'!$F$25:$F$197,$F90,'Калькуляция (МЭОР)'!$G$25:$G$197,$G90),IF(method_reg="Метод сравнения аналогов",_xlfn.SUMIFS('Калькуляция (МСА)'!$AF$25:$AF$65,'Калькуляция (МСА)'!$F$25:$F$65,$F90,'Калькуляция (МСА)'!$G$25:$G$65,$G90),_xlfn.SUMIFS(INDEX('Калькуляция (МИ)'!$AJ$25:$BC$315,,MATCH(AW$8,'Калькуляция (МИ)'!$AJ$8:$BC$8,0)),'Калькуляция (МИ)'!$F$25:$F$315,$F90,'Калькуляция (МИ)'!$G$25:$G$315,$G90))))</f>
        <v>2.78</v>
      </c>
      <c r="AX90" s="262">
        <f>IF(AV90=0,0,(AW90-AV90)/AV90*100)</f>
        <v>-3.47222222222222</v>
      </c>
      <c r="AY90" s="2898">
        <f>IF(AND(method_reg="Метод индексации",god&lt;&gt;first_year),_xlfn.SUMIFS(INDEX('Калькуляция (МИ корр)'!$AJ$25:$BC$315,,MATCH(AY$8,'Калькуляция (МИ корр)'!$AJ$8:$BC$8,0)),'Калькуляция (МИ корр)'!$F$25:$F$315,$F90,'Калькуляция (МИ корр)'!$G$25:$G$315,$G90),IF(method_reg="Метод экономически обоснованных расходов",_xlfn.SUMIFS('Калькуляция (МЭОР)'!$AJ$25:$AJ$197,'Калькуляция (МЭОР)'!$F$25:$F$197,$F90,'Калькуляция (МЭОР)'!$G$25:$G$197,$G90),IF(method_reg="Метод сравнения аналогов",_xlfn.SUMIFS('Калькуляция (МСА)'!$AE$25:$AE$65,'Калькуляция (МСА)'!$F$25:$F$65,$F90,'Калькуляция (МСА)'!$G$25:$G$65,$G90),_xlfn.SUMIFS(INDEX('Калькуляция (МИ)'!$AJ$25:$BC$315,,MATCH(AY$8,'Калькуляция (МИ)'!$AJ$8:$BC$8,0)),'Калькуляция (МИ)'!$F$25:$F$315,$F90,'Калькуляция (МИ)'!$G$25:$G$315,$G90))))</f>
        <v>2.88</v>
      </c>
      <c r="AZ90" s="2898">
        <f>IF(AND(method_reg="Метод индексации",god&lt;&gt;first_year),_xlfn.SUMIFS(INDEX('Калькуляция (МИ корр)'!$AJ$25:$BC$315,,MATCH(AZ$8,'Калькуляция (МИ корр)'!$AJ$8:$BC$8,0)),'Калькуляция (МИ корр)'!$F$25:$F$315,$F90,'Калькуляция (МИ корр)'!$G$25:$G$315,$G90),IF(method_reg="Метод экономически обоснованных расходов",_xlfn.SUMIFS('Калькуляция (МЭОР)'!$AK$25:$AK$197,'Калькуляция (МЭОР)'!$F$25:$F$197,$F90,'Калькуляция (МЭОР)'!$G$25:$G$197,$G90),IF(method_reg="Метод сравнения аналогов",_xlfn.SUMIFS('Калькуляция (МСА)'!$AF$25:$AF$65,'Калькуляция (МСА)'!$F$25:$F$65,$F90,'Калькуляция (МСА)'!$G$25:$G$65,$G90),_xlfn.SUMIFS(INDEX('Калькуляция (МИ)'!$AJ$25:$BC$315,,MATCH(AZ$8,'Калькуляция (МИ)'!$AJ$8:$BC$8,0)),'Калькуляция (МИ)'!$F$25:$F$315,$F90,'Калькуляция (МИ)'!$G$25:$G$315,$G90))))</f>
        <v>2.78</v>
      </c>
      <c r="BA90" s="262">
        <f>IF(AY90=0,0,(AZ90-AY90)/AY90*100)</f>
        <v>-3.47222222222222</v>
      </c>
      <c r="BB90" s="2898">
        <f>IF(AND(method_reg="Метод индексации",god&lt;&gt;first_year),_xlfn.SUMIFS(INDEX('Калькуляция (МИ корр)'!$AJ$25:$BC$315,,MATCH(BB$8,'Калькуляция (МИ корр)'!$AJ$8:$BC$8,0)),'Калькуляция (МИ корр)'!$F$25:$F$315,$F90,'Калькуляция (МИ корр)'!$G$25:$G$315,$G90),IF(method_reg="Метод экономически обоснованных расходов",_xlfn.SUMIFS('Калькуляция (МЭОР)'!$AJ$25:$AJ$197,'Калькуляция (МЭОР)'!$F$25:$F$197,$F90,'Калькуляция (МЭОР)'!$G$25:$G$197,$G90),IF(method_reg="Метод сравнения аналогов",_xlfn.SUMIFS('Калькуляция (МСА)'!$AE$25:$AE$65,'Калькуляция (МСА)'!$F$25:$F$65,$F90,'Калькуляция (МСА)'!$G$25:$G$65,$G90),_xlfn.SUMIFS(INDEX('Калькуляция (МИ)'!$AJ$25:$BC$315,,MATCH(BB$8,'Калькуляция (МИ)'!$AJ$8:$BC$8,0)),'Калькуляция (МИ)'!$F$25:$F$315,$F90,'Калькуляция (МИ)'!$G$25:$G$315,$G90))))</f>
        <v>2.88</v>
      </c>
      <c r="BC90" s="2898">
        <f>IF(AND(method_reg="Метод индексации",god&lt;&gt;first_year),_xlfn.SUMIFS(INDEX('Калькуляция (МИ корр)'!$AJ$25:$BC$315,,MATCH(BC$8,'Калькуляция (МИ корр)'!$AJ$8:$BC$8,0)),'Калькуляция (МИ корр)'!$F$25:$F$315,$F90,'Калькуляция (МИ корр)'!$G$25:$G$315,$G90),IF(method_reg="Метод экономически обоснованных расходов",_xlfn.SUMIFS('Калькуляция (МЭОР)'!$AK$25:$AK$197,'Калькуляция (МЭОР)'!$F$25:$F$197,$F90,'Калькуляция (МЭОР)'!$G$25:$G$197,$G90),IF(method_reg="Метод сравнения аналогов",_xlfn.SUMIFS('Калькуляция (МСА)'!$AF$25:$AF$65,'Калькуляция (МСА)'!$F$25:$F$65,$F90,'Калькуляция (МСА)'!$G$25:$G$65,$G90),_xlfn.SUMIFS(INDEX('Калькуляция (МИ)'!$AJ$25:$BC$315,,MATCH(BC$8,'Калькуляция (МИ)'!$AJ$8:$BC$8,0)),'Калькуляция (МИ)'!$F$25:$F$315,$F90,'Калькуляция (МИ)'!$G$25:$G$315,$G90))))</f>
        <v>2.78</v>
      </c>
      <c r="BD90" s="262">
        <f>IF(BB90=0,0,(BC90-BB90)/BB90*100)</f>
        <v>-3.47222222222222</v>
      </c>
      <c r="BE90" s="2898">
        <f>IF(AND(method_reg="Метод индексации",god&lt;&gt;first_year),_xlfn.SUMIFS(INDEX('Калькуляция (МИ корр)'!$AJ$25:$BC$315,,MATCH(BE$8,'Калькуляция (МИ корр)'!$AJ$8:$BC$8,0)),'Калькуляция (МИ корр)'!$F$25:$F$315,$F90,'Калькуляция (МИ корр)'!$G$25:$G$315,$G90),IF(method_reg="Метод экономически обоснованных расходов",_xlfn.SUMIFS('Калькуляция (МЭОР)'!$AJ$25:$AJ$197,'Калькуляция (МЭОР)'!$F$25:$F$197,$F90,'Калькуляция (МЭОР)'!$G$25:$G$197,$G90),IF(method_reg="Метод сравнения аналогов",_xlfn.SUMIFS('Калькуляция (МСА)'!$AE$25:$AE$65,'Калькуляция (МСА)'!$F$25:$F$65,$F90,'Калькуляция (МСА)'!$G$25:$G$65,$G90),_xlfn.SUMIFS(INDEX('Калькуляция (МИ)'!$AJ$25:$BC$315,,MATCH(BE$8,'Калькуляция (МИ)'!$AJ$8:$BC$8,0)),'Калькуляция (МИ)'!$F$25:$F$315,$F90,'Калькуляция (МИ)'!$G$25:$G$315,$G90))))</f>
        <v>2.88</v>
      </c>
      <c r="BF90" s="2898">
        <f>IF(AND(method_reg="Метод индексации",god&lt;&gt;first_year),_xlfn.SUMIFS(INDEX('Калькуляция (МИ корр)'!$AJ$25:$BC$315,,MATCH(BF$8,'Калькуляция (МИ корр)'!$AJ$8:$BC$8,0)),'Калькуляция (МИ корр)'!$F$25:$F$315,$F90,'Калькуляция (МИ корр)'!$G$25:$G$315,$G90),IF(method_reg="Метод экономически обоснованных расходов",_xlfn.SUMIFS('Калькуляция (МЭОР)'!$AK$25:$AK$197,'Калькуляция (МЭОР)'!$F$25:$F$197,$F90,'Калькуляция (МЭОР)'!$G$25:$G$197,$G90),IF(method_reg="Метод сравнения аналогов",_xlfn.SUMIFS('Калькуляция (МСА)'!$AF$25:$AF$65,'Калькуляция (МСА)'!$F$25:$F$65,$F90,'Калькуляция (МСА)'!$G$25:$G$65,$G90),_xlfn.SUMIFS(INDEX('Калькуляция (МИ)'!$AJ$25:$BC$315,,MATCH(BF$8,'Калькуляция (МИ)'!$AJ$8:$BC$8,0)),'Калькуляция (МИ)'!$F$25:$F$315,$F90,'Калькуляция (МИ)'!$G$25:$G$315,$G90))))</f>
        <v>2.78</v>
      </c>
      <c r="BG90" s="262">
        <f>IF(BE90=0,0,(BF90-BE90)/BE90*100)</f>
        <v>-3.47222222222222</v>
      </c>
      <c r="BH90" s="2898"/>
      <c r="BI90" s="2898"/>
      <c r="BJ90" s="262">
        <f>IF(BH90=0,0,(BI90-BH90)/BH90*100)</f>
        <v>0</v>
      </c>
      <c r="BK90" s="2898"/>
      <c r="BL90" s="2898"/>
      <c r="BM90" s="262">
        <f>IF(BK90=0,0,(BL90-BK90)/BK90*100)</f>
        <v>0</v>
      </c>
      <c r="BN90" s="2898"/>
      <c r="BO90" s="2898"/>
      <c r="BP90" s="262">
        <f>IF(BN90=0,0,(BO90-BN90)/BN90*100)</f>
        <v>0</v>
      </c>
      <c r="BQ90" s="2898"/>
      <c r="BR90" s="2898"/>
      <c r="BS90" s="262">
        <f>IF(BQ90=0,0,(BR90-BQ90)/BQ90*100)</f>
        <v>0</v>
      </c>
      <c r="BT90" s="2898"/>
      <c r="BU90" s="2898"/>
      <c r="BV90" s="262">
        <f>IF(BT90=0,0,(BU90-BT90)/BT90*100)</f>
        <v>0</v>
      </c>
      <c r="BW90" s="2898"/>
      <c r="BX90" s="2898"/>
      <c r="BY90" s="262">
        <f>IF(BW90=0,0,(BX90-BW90)/BW90*100)</f>
        <v>0</v>
      </c>
      <c r="BZ90" s="2898"/>
      <c r="CA90" s="2898"/>
      <c r="CB90" s="262">
        <f>IF(BZ90=0,0,(CA90-BZ90)/BZ90*100)</f>
        <v>0</v>
      </c>
      <c r="CC90" s="2898"/>
      <c r="CD90" s="2898"/>
      <c r="CE90" s="262">
        <f>IF(CC90=0,0,(CD90-CC90)/CC90*100)</f>
        <v>0</v>
      </c>
      <c r="CF90" s="2898"/>
      <c r="CG90" s="2898"/>
      <c r="CH90" s="262">
        <f>IF(CF90=0,0,(CG90-CF90)/CF90*100)</f>
        <v>0</v>
      </c>
      <c r="CI90" s="2898"/>
      <c r="CJ90" s="2898"/>
      <c r="CK90" s="262">
        <f>IF(CI90=0,0,(CJ90-CI90)/CI90*100)</f>
        <v>0</v>
      </c>
      <c r="CL90" s="2898"/>
      <c r="CM90" s="2898"/>
      <c r="CN90" s="262">
        <f>IF(CL90=0,0,(CM90-CL90)/CL90*100)</f>
        <v>0</v>
      </c>
      <c r="CO90" s="2898"/>
      <c r="CP90" s="2898"/>
      <c r="CQ90" s="262">
        <f>IF(CO90=0,0,(CP90-CO90)/CO90*100)</f>
        <v>0</v>
      </c>
      <c r="CR90" s="2898"/>
      <c r="CS90" s="2898"/>
      <c r="CT90" s="262">
        <f>IF(CR90=0,0,(CS90-CR90)/CR90*100)</f>
        <v>0</v>
      </c>
      <c r="CU90" s="2898"/>
      <c r="CV90" s="2898"/>
      <c r="CW90" s="262">
        <f>IF(CU90=0,0,(CV90-CU90)/CU90*100)</f>
        <v>0</v>
      </c>
      <c r="CX90" s="2898"/>
      <c r="CY90" s="2898"/>
      <c r="CZ90" s="262">
        <f>IF(CX90=0,0,(CY90-CX90)/CX90*100)</f>
        <v>0</v>
      </c>
      <c r="DA90" s="2898"/>
      <c r="DB90" s="2898"/>
      <c r="DC90" s="262">
        <f>IF(DA90=0,0,(DB90-DA90)/DA90*100)</f>
        <v>0</v>
      </c>
      <c r="DD90" s="2898"/>
      <c r="DE90" s="2898"/>
      <c r="DF90" s="262">
        <f>IF(DD90=0,0,(DE90-DD90)/DD90*100)</f>
        <v>0</v>
      </c>
      <c r="DG90" s="2900"/>
      <c r="DH90" s="2900"/>
      <c r="DI90" s="262">
        <f>IF(DG90=0,0,(DH90-DG90)/DG90*100)</f>
        <v>0</v>
      </c>
      <c r="DJ90" s="2900"/>
      <c r="DK90" s="2900"/>
      <c r="DL90" s="262">
        <f>IF(DJ90=0,0,(DK90-DJ90)/DJ90*100)</f>
        <v>0</v>
      </c>
      <c r="DM90" s="2900"/>
      <c r="DN90" s="2900"/>
      <c r="DO90" s="262">
        <f>IF(DM90=0,0,(DN90-DM90)/DM90*100)</f>
        <v>0</v>
      </c>
      <c r="DP90" s="2900"/>
      <c r="DQ90" s="2900"/>
      <c r="DR90" s="262">
        <f>IF(DP90=0,0,(DQ90-DP90)/DP90*100)</f>
        <v>0</v>
      </c>
      <c r="DS90" s="2900"/>
      <c r="DT90" s="2900"/>
      <c r="DU90" s="262">
        <f>IF(DS90=0,0,(DT90-DS90)/DS90*100)</f>
        <v>0</v>
      </c>
      <c r="DV90" s="2900"/>
      <c r="DW90" s="2900"/>
      <c r="DX90" s="262">
        <f>IF(DV90=0,0,(DW90-DV90)/DV90*100)</f>
        <v>0</v>
      </c>
      <c r="DY90" s="2900"/>
      <c r="DZ90" s="2900"/>
      <c r="EA90" s="262">
        <f>IF(DY90=0,0,(DZ90-DY90)/DY90*100)</f>
        <v>0</v>
      </c>
      <c r="EB90" s="2900"/>
      <c r="EC90" s="2900"/>
      <c r="ED90" s="262">
        <f>IF(EB90=0,0,(EC90-EB90)/EB90*100)</f>
        <v>0</v>
      </c>
      <c r="EE90" s="2900"/>
      <c r="EF90" s="2900"/>
      <c r="EG90" s="262">
        <f>IF(EE90=0,0,(EF90-EE90)/EE90*100)</f>
        <v>0</v>
      </c>
      <c r="EH90" s="2900"/>
      <c r="EI90" s="2900"/>
      <c r="EJ90" s="262">
        <f>IF(EH90=0,0,(EI90-EH90)/EH90*100)</f>
        <v>0</v>
      </c>
      <c r="EK90" s="2900"/>
      <c r="EL90" s="2900"/>
      <c r="EM90" s="262">
        <f>IF(EK90=0,0,(EL90-EK90)/EK90*100)</f>
        <v>0</v>
      </c>
      <c r="EN90" s="2900"/>
      <c r="EO90" s="2900"/>
      <c r="EP90" s="262">
        <f>IF(EN90=0,0,(EO90-EN90)/EN90*100)</f>
        <v>0</v>
      </c>
      <c r="EQ90" s="2900"/>
      <c r="ER90" s="2900"/>
      <c r="ES90" s="262">
        <f>IF(EQ90=0,0,(ER90-EQ90)/EQ90*100)</f>
        <v>0</v>
      </c>
      <c r="ET90" s="2900"/>
      <c r="EU90" s="2900"/>
      <c r="EV90" s="262">
        <f>IF(ET90=0,0,(EU90-ET90)/ET90*100)</f>
        <v>0</v>
      </c>
      <c r="EW90" s="2900"/>
      <c r="EX90" s="2900"/>
      <c r="EY90" s="262">
        <f>IF(EW90=0,0,(EX90-EW90)/EW90*100)</f>
        <v>0</v>
      </c>
      <c r="EZ90" s="2900"/>
      <c r="FA90" s="2900"/>
      <c r="FB90" s="262">
        <f>IF(EZ90=0,0,(FA90-EZ90)/EZ90*100)</f>
        <v>0</v>
      </c>
      <c r="FC90" s="2900"/>
      <c r="FD90" s="2900"/>
      <c r="FE90" s="262">
        <f>IF(FC90=0,0,(FD90-FC90)/FC90*100)</f>
        <v>0</v>
      </c>
      <c r="FF90" s="2900"/>
      <c r="FG90" s="2900"/>
      <c r="FH90" s="262">
        <f>IF(FF90=0,0,(FG90-FF90)/FF90*100)</f>
        <v>0</v>
      </c>
      <c r="FI90" s="2900"/>
      <c r="FJ90" s="2900"/>
      <c r="FK90" s="262">
        <f>IF(FI90=0,0,(FJ90-FI90)/FI90*100)</f>
        <v>0</v>
      </c>
      <c r="FL90" s="2900"/>
      <c r="FM90" s="2900"/>
      <c r="FN90" s="262">
        <f>IF(FL90=0,0,(FM90-FL90)/FL90*100)</f>
        <v>0</v>
      </c>
      <c r="FO90" s="2900"/>
      <c r="FP90" s="2900"/>
      <c r="FQ90" s="262">
        <f>IF(FO90=0,0,(FP90-FO90)/FO90*100)</f>
        <v>0</v>
      </c>
      <c r="FR90" s="2900"/>
      <c r="FS90" s="2900"/>
      <c r="FT90" s="262">
        <f>IF(FR90=0,0,(FS90-FR90)/FR90*100)</f>
        <v>0</v>
      </c>
      <c r="FU90" s="2900"/>
      <c r="FV90" s="2900"/>
      <c r="FW90" s="262">
        <f>IF(FU90=0,0,(FV90-FU90)/FU90*100)</f>
        <v>0</v>
      </c>
      <c r="FX90" s="258"/>
      <c r="FY90" s="258"/>
      <c r="FZ90" s="1032" t="s">
        <v>1477</v>
      </c>
      <c r="GA90" s="1032"/>
      <c r="GB90" s="1032"/>
      <c r="GC90" s="1033"/>
      <c r="GD90" s="1033"/>
    </row>
    <row s="2941" customFormat="1" customHeight="1" ht="23.25" hidden="1">
      <c r="A91" s="873"/>
      <c r="B91" s="901" cm="1" t="str">
        <f t="array" ref="B91:B91">B90</f>
        <v>false</v>
      </c>
      <c r="C91" s="873"/>
      <c r="D91" s="873"/>
      <c r="E91" s="874">
        <v>24.5</v>
      </c>
      <c r="F91" s="50" cm="1" t="str">
        <f t="array" ref="F91:F91">OFFSET(E91,-1,1)</f>
        <v>1</v>
      </c>
      <c r="G91" s="466" t="s">
        <v>1478</v>
      </c>
      <c r="H91" s="466" t="s">
        <v>434</v>
      </c>
      <c r="I91" s="466" t="s">
        <v>1479</v>
      </c>
      <c r="J91" s="873"/>
      <c r="K91" s="873"/>
      <c r="L91" s="466"/>
      <c r="M91" s="873"/>
      <c r="N91" s="873"/>
      <c r="O91" s="873"/>
      <c r="P91" s="873"/>
      <c r="Q91" s="873"/>
      <c r="R91" s="873"/>
      <c r="S91" s="466"/>
      <c r="T91" s="438" cm="1" t="str">
        <f t="array" ref="T91:T91">T90</f>
        <v>true</v>
      </c>
      <c r="U91" s="873"/>
      <c r="V91" s="873"/>
      <c r="W91" s="873"/>
      <c r="X91" s="1541"/>
      <c r="Y91" s="873"/>
      <c r="Z91" s="1493"/>
      <c r="AA91" s="873"/>
      <c r="AB91" s="259" t="s">
        <v>1480</v>
      </c>
      <c r="AC91" s="260" t="s">
        <v>1476</v>
      </c>
      <c r="AD91" s="2898">
        <f>IF(AND(method_reg="Метод индексации",god&lt;&gt;first_year),_xlfn.SUMIFS(INDEX('Калькуляция (МИ корр)'!$AJ$25:$BC$315,,MATCH(AD$8,'Калькуляция (МИ корр)'!$AJ$8:$BC$8,0)),'Калькуляция (МИ корр)'!$F$25:$F$315,$F91,'Калькуляция (МИ корр)'!$G$25:$G$315,$G91),IF(method_reg="Метод экономически обоснованных расходов",_xlfn.SUMIFS('Калькуляция (МЭОР)'!$AJ$25:$AJ$197,'Калькуляция (МЭОР)'!$F$25:$F$197,$F91,'Калькуляция (МЭОР)'!$G$25:$G$197,$G91),IF(method_reg="Метод сравнения аналогов",_xlfn.SUMIFS('Калькуляция (МСА)'!$AE$25:$AE$65,'Калькуляция (МСА)'!$F$25:$F$65,$F91,'Калькуляция (МСА)'!$G$25:$G$65,$G91),_xlfn.SUMIFS(INDEX('Калькуляция (МИ)'!$AJ$25:$BC$315,,MATCH(AD$8,'Калькуляция (МИ)'!$AJ$8:$BC$8,0)),'Калькуляция (МИ)'!$F$25:$F$315,$F91,'Калькуляция (МИ)'!$G$25:$G$315,$G91))))</f>
        <v>4.01249561691584</v>
      </c>
      <c r="AE91" s="2898">
        <f>IF(AND(method_reg="Метод индексации",god&lt;&gt;first_year),_xlfn.SUMIFS(INDEX('Калькуляция (МИ корр)'!$AJ$25:$BC$315,,MATCH(AE$8,'Калькуляция (МИ корр)'!$AJ$8:$BC$8,0)),'Калькуляция (МИ корр)'!$F$25:$F$315,$F91,'Калькуляция (МИ корр)'!$G$25:$G$315,$G91),IF(method_reg="Метод экономически обоснованных расходов",_xlfn.SUMIFS('Калькуляция (МЭОР)'!$AK$25:$AK$197,'Калькуляция (МЭОР)'!$F$25:$F$197,$F91,'Калькуляция (МЭОР)'!$G$25:$G$197,$G91),IF(method_reg="Метод сравнения аналогов",_xlfn.SUMIFS('Калькуляция (МСА)'!$AF$25:$AF$65,'Калькуляция (МСА)'!$F$25:$F$65,$F91,'Калькуляция (МСА)'!$G$25:$G$65,$G91),_xlfn.SUMIFS(INDEX('Калькуляция (МИ)'!$AJ$25:$BC$315,,MATCH(AE$8,'Калькуляция (МИ)'!$AJ$8:$BC$8,0)),'Калькуляция (МИ)'!$F$25:$F$315,$F91,'Калькуляция (МИ)'!$G$25:$G$315,$G91))))</f>
        <v>2.77733310308477</v>
      </c>
      <c r="AF91" s="262">
        <f>IF(AD91=0,0,(AE91-AD91)/AD91*100)</f>
        <v>-30.7829000142426</v>
      </c>
      <c r="AG91" s="2898">
        <f>IF(AND(method_reg="Метод индексации",god&lt;&gt;first_year),_xlfn.SUMIFS(INDEX('Калькуляция (МИ корр)'!$AJ$25:$BC$315,,MATCH(AG$8,'Калькуляция (МИ корр)'!$AJ$8:$BC$8,0)),'Калькуляция (МИ корр)'!$F$25:$F$315,$F91,'Калькуляция (МИ корр)'!$G$25:$G$315,$G91),IF(method_reg="Метод экономически обоснованных расходов",_xlfn.SUMIFS('Калькуляция (МЭОР)'!$AJ$25:$AJ$197,'Калькуляция (МЭОР)'!$F$25:$F$197,$F91,'Калькуляция (МЭОР)'!$G$25:$G$197,$G91),IF(method_reg="Метод сравнения аналогов",_xlfn.SUMIFS('Калькуляция (МСА)'!$AE$25:$AE$65,'Калькуляция (МСА)'!$F$25:$F$65,$F91,'Калькуляция (МСА)'!$G$25:$G$65,$G91),_xlfn.SUMIFS(INDEX('Калькуляция (МИ)'!$AJ$25:$BC$315,,MATCH(AG$8,'Калькуляция (МИ)'!$AJ$8:$BC$8,0)),'Калькуляция (МИ)'!$F$25:$F$315,$F91,'Калькуляция (МИ)'!$G$25:$G$315,$G91))))</f>
        <v>4.01249561691584</v>
      </c>
      <c r="AH91" s="2898">
        <f>IF(AND(method_reg="Метод индексации",god&lt;&gt;first_year),_xlfn.SUMIFS(INDEX('Калькуляция (МИ корр)'!$AJ$25:$BC$315,,MATCH(AH$8,'Калькуляция (МИ корр)'!$AJ$8:$BC$8,0)),'Калькуляция (МИ корр)'!$F$25:$F$315,$F91,'Калькуляция (МИ корр)'!$G$25:$G$315,$G91),IF(method_reg="Метод экономически обоснованных расходов",_xlfn.SUMIFS('Калькуляция (МЭОР)'!$AK$25:$AK$197,'Калькуляция (МЭОР)'!$F$25:$F$197,$F91,'Калькуляция (МЭОР)'!$G$25:$G$197,$G91),IF(method_reg="Метод сравнения аналогов",_xlfn.SUMIFS('Калькуляция (МСА)'!$AF$25:$AF$65,'Калькуляция (МСА)'!$F$25:$F$65,$F91,'Калькуляция (МСА)'!$G$25:$G$65,$G91),_xlfn.SUMIFS(INDEX('Калькуляция (МИ)'!$AJ$25:$BC$315,,MATCH(AH$8,'Калькуляция (МИ)'!$AJ$8:$BC$8,0)),'Калькуляция (МИ)'!$F$25:$F$315,$F91,'Калькуляция (МИ)'!$G$25:$G$315,$G91))))</f>
        <v>2.77733310308477</v>
      </c>
      <c r="AI91" s="262">
        <f>IF(AG91=0,0,(AH91-AG91)/AG91*100)</f>
        <v>-30.7829000142426</v>
      </c>
      <c r="AJ91" s="2898">
        <f>IF(AND(method_reg="Метод индексации",god&lt;&gt;first_year),_xlfn.SUMIFS(INDEX('Калькуляция (МИ корр)'!$AJ$25:$BC$315,,MATCH(AJ$8,'Калькуляция (МИ корр)'!$AJ$8:$BC$8,0)),'Калькуляция (МИ корр)'!$F$25:$F$315,$F91,'Калькуляция (МИ корр)'!$G$25:$G$315,$G91),IF(method_reg="Метод экономически обоснованных расходов",_xlfn.SUMIFS('Калькуляция (МЭОР)'!$AJ$25:$AJ$197,'Калькуляция (МЭОР)'!$F$25:$F$197,$F91,'Калькуляция (МЭОР)'!$G$25:$G$197,$G91),IF(method_reg="Метод сравнения аналогов",_xlfn.SUMIFS('Калькуляция (МСА)'!$AE$25:$AE$65,'Калькуляция (МСА)'!$F$25:$F$65,$F91,'Калькуляция (МСА)'!$G$25:$G$65,$G91),_xlfn.SUMIFS(INDEX('Калькуляция (МИ)'!$AJ$25:$BC$315,,MATCH(AJ$8,'Калькуляция (МИ)'!$AJ$8:$BC$8,0)),'Калькуляция (МИ)'!$F$25:$F$315,$F91,'Калькуляция (МИ)'!$G$25:$G$315,$G91))))</f>
        <v>4.01249561691584</v>
      </c>
      <c r="AK91" s="2898">
        <f>IF(AND(method_reg="Метод индексации",god&lt;&gt;first_year),_xlfn.SUMIFS(INDEX('Калькуляция (МИ корр)'!$AJ$25:$BC$315,,MATCH(AK$8,'Калькуляция (МИ корр)'!$AJ$8:$BC$8,0)),'Калькуляция (МИ корр)'!$F$25:$F$315,$F91,'Калькуляция (МИ корр)'!$G$25:$G$315,$G91),IF(method_reg="Метод экономически обоснованных расходов",_xlfn.SUMIFS('Калькуляция (МЭОР)'!$AK$25:$AK$197,'Калькуляция (МЭОР)'!$F$25:$F$197,$F91,'Калькуляция (МЭОР)'!$G$25:$G$197,$G91),IF(method_reg="Метод сравнения аналогов",_xlfn.SUMIFS('Калькуляция (МСА)'!$AF$25:$AF$65,'Калькуляция (МСА)'!$F$25:$F$65,$F91,'Калькуляция (МСА)'!$G$25:$G$65,$G91),_xlfn.SUMIFS(INDEX('Калькуляция (МИ)'!$AJ$25:$BC$315,,MATCH(AK$8,'Калькуляция (МИ)'!$AJ$8:$BC$8,0)),'Калькуляция (МИ)'!$F$25:$F$315,$F91,'Калькуляция (МИ)'!$G$25:$G$315,$G91))))</f>
        <v>2.77733310308477</v>
      </c>
      <c r="AL91" s="262">
        <f>IF(AJ91=0,0,(AK91-AJ91)/AJ91*100)</f>
        <v>-30.7829000142426</v>
      </c>
      <c r="AM91" s="2898">
        <f>IF(AND(method_reg="Метод индексации",god&lt;&gt;first_year),_xlfn.SUMIFS(INDEX('Калькуляция (МИ корр)'!$AJ$25:$BC$315,,MATCH(AM$8,'Калькуляция (МИ корр)'!$AJ$8:$BC$8,0)),'Калькуляция (МИ корр)'!$F$25:$F$315,$F91,'Калькуляция (МИ корр)'!$G$25:$G$315,$G91),IF(method_reg="Метод экономически обоснованных расходов",_xlfn.SUMIFS('Калькуляция (МЭОР)'!$AJ$25:$AJ$197,'Калькуляция (МЭОР)'!$F$25:$F$197,$F91,'Калькуляция (МЭОР)'!$G$25:$G$197,$G91),IF(method_reg="Метод сравнения аналогов",_xlfn.SUMIFS('Калькуляция (МСА)'!$AE$25:$AE$65,'Калькуляция (МСА)'!$F$25:$F$65,$F91,'Калькуляция (МСА)'!$G$25:$G$65,$G91),_xlfn.SUMIFS(INDEX('Калькуляция (МИ)'!$AJ$25:$BC$315,,MATCH(AM$8,'Калькуляция (МИ)'!$AJ$8:$BC$8,0)),'Калькуляция (МИ)'!$F$25:$F$315,$F91,'Калькуляция (МИ)'!$G$25:$G$315,$G91))))</f>
        <v>4.01249561691584</v>
      </c>
      <c r="AN91" s="2898">
        <f>IF(AND(method_reg="Метод индексации",god&lt;&gt;first_year),_xlfn.SUMIFS(INDEX('Калькуляция (МИ корр)'!$AJ$25:$BC$315,,MATCH(AN$8,'Калькуляция (МИ корр)'!$AJ$8:$BC$8,0)),'Калькуляция (МИ корр)'!$F$25:$F$315,$F91,'Калькуляция (МИ корр)'!$G$25:$G$315,$G91),IF(method_reg="Метод экономически обоснованных расходов",_xlfn.SUMIFS('Калькуляция (МЭОР)'!$AK$25:$AK$197,'Калькуляция (МЭОР)'!$F$25:$F$197,$F91,'Калькуляция (МЭОР)'!$G$25:$G$197,$G91),IF(method_reg="Метод сравнения аналогов",_xlfn.SUMIFS('Калькуляция (МСА)'!$AF$25:$AF$65,'Калькуляция (МСА)'!$F$25:$F$65,$F91,'Калькуляция (МСА)'!$G$25:$G$65,$G91),_xlfn.SUMIFS(INDEX('Калькуляция (МИ)'!$AJ$25:$BC$315,,MATCH(AN$8,'Калькуляция (МИ)'!$AJ$8:$BC$8,0)),'Калькуляция (МИ)'!$F$25:$F$315,$F91,'Калькуляция (МИ)'!$G$25:$G$315,$G91))))</f>
        <v>2.77733310308477</v>
      </c>
      <c r="AO91" s="262">
        <f>IF(AM91=0,0,(AN91-AM91)/AM91*100)</f>
        <v>-30.7829000142426</v>
      </c>
      <c r="AP91" s="2898">
        <f>IF(AND(method_reg="Метод индексации",god&lt;&gt;first_year),_xlfn.SUMIFS(INDEX('Калькуляция (МИ корр)'!$AJ$25:$BC$315,,MATCH(AP$8,'Калькуляция (МИ корр)'!$AJ$8:$BC$8,0)),'Калькуляция (МИ корр)'!$F$25:$F$315,$F91,'Калькуляция (МИ корр)'!$G$25:$G$315,$G91),IF(method_reg="Метод экономически обоснованных расходов",_xlfn.SUMIFS('Калькуляция (МЭОР)'!$AJ$25:$AJ$197,'Калькуляция (МЭОР)'!$F$25:$F$197,$F91,'Калькуляция (МЭОР)'!$G$25:$G$197,$G91),IF(method_reg="Метод сравнения аналогов",_xlfn.SUMIFS('Калькуляция (МСА)'!$AE$25:$AE$65,'Калькуляция (МСА)'!$F$25:$F$65,$F91,'Калькуляция (МСА)'!$G$25:$G$65,$G91),_xlfn.SUMIFS(INDEX('Калькуляция (МИ)'!$AJ$25:$BC$315,,MATCH(AP$8,'Калькуляция (МИ)'!$AJ$8:$BC$8,0)),'Калькуляция (МИ)'!$F$25:$F$315,$F91,'Калькуляция (МИ)'!$G$25:$G$315,$G91))))</f>
        <v>4.01249561691584</v>
      </c>
      <c r="AQ91" s="2898">
        <f>IF(AND(method_reg="Метод индексации",god&lt;&gt;first_year),_xlfn.SUMIFS(INDEX('Калькуляция (МИ корр)'!$AJ$25:$BC$315,,MATCH(AQ$8,'Калькуляция (МИ корр)'!$AJ$8:$BC$8,0)),'Калькуляция (МИ корр)'!$F$25:$F$315,$F91,'Калькуляция (МИ корр)'!$G$25:$G$315,$G91),IF(method_reg="Метод экономически обоснованных расходов",_xlfn.SUMIFS('Калькуляция (МЭОР)'!$AK$25:$AK$197,'Калькуляция (МЭОР)'!$F$25:$F$197,$F91,'Калькуляция (МЭОР)'!$G$25:$G$197,$G91),IF(method_reg="Метод сравнения аналогов",_xlfn.SUMIFS('Калькуляция (МСА)'!$AF$25:$AF$65,'Калькуляция (МСА)'!$F$25:$F$65,$F91,'Калькуляция (МСА)'!$G$25:$G$65,$G91),_xlfn.SUMIFS(INDEX('Калькуляция (МИ)'!$AJ$25:$BC$315,,MATCH(AQ$8,'Калькуляция (МИ)'!$AJ$8:$BC$8,0)),'Калькуляция (МИ)'!$F$25:$F$315,$F91,'Калькуляция (МИ)'!$G$25:$G$315,$G91))))</f>
        <v>2.77733310308477</v>
      </c>
      <c r="AR91" s="262">
        <f>IF(AP91=0,0,(AQ91-AP91)/AP91*100)</f>
        <v>-30.7829000142426</v>
      </c>
      <c r="AS91" s="2898">
        <f>IF(AND(method_reg="Метод индексации",god&lt;&gt;first_year),_xlfn.SUMIFS(INDEX('Калькуляция (МИ корр)'!$AJ$25:$BC$315,,MATCH(AS$8,'Калькуляция (МИ корр)'!$AJ$8:$BC$8,0)),'Калькуляция (МИ корр)'!$F$25:$F$315,$F91,'Калькуляция (МИ корр)'!$G$25:$G$315,$G91),IF(method_reg="Метод экономически обоснованных расходов",_xlfn.SUMIFS('Калькуляция (МЭОР)'!$AJ$25:$AJ$197,'Калькуляция (МЭОР)'!$F$25:$F$197,$F91,'Калькуляция (МЭОР)'!$G$25:$G$197,$G91),IF(method_reg="Метод сравнения аналогов",_xlfn.SUMIFS('Калькуляция (МСА)'!$AE$25:$AE$65,'Калькуляция (МСА)'!$F$25:$F$65,$F91,'Калькуляция (МСА)'!$G$25:$G$65,$G91),_xlfn.SUMIFS(INDEX('Калькуляция (МИ)'!$AJ$25:$BC$315,,MATCH(AS$8,'Калькуляция (МИ)'!$AJ$8:$BC$8,0)),'Калькуляция (МИ)'!$F$25:$F$315,$F91,'Калькуляция (МИ)'!$G$25:$G$315,$G91))))</f>
        <v>4.01249561691584</v>
      </c>
      <c r="AT91" s="2898">
        <f>IF(AND(method_reg="Метод индексации",god&lt;&gt;first_year),_xlfn.SUMIFS(INDEX('Калькуляция (МИ корр)'!$AJ$25:$BC$315,,MATCH(AT$8,'Калькуляция (МИ корр)'!$AJ$8:$BC$8,0)),'Калькуляция (МИ корр)'!$F$25:$F$315,$F91,'Калькуляция (МИ корр)'!$G$25:$G$315,$G91),IF(method_reg="Метод экономически обоснованных расходов",_xlfn.SUMIFS('Калькуляция (МЭОР)'!$AK$25:$AK$197,'Калькуляция (МЭОР)'!$F$25:$F$197,$F91,'Калькуляция (МЭОР)'!$G$25:$G$197,$G91),IF(method_reg="Метод сравнения аналогов",_xlfn.SUMIFS('Калькуляция (МСА)'!$AF$25:$AF$65,'Калькуляция (МСА)'!$F$25:$F$65,$F91,'Калькуляция (МСА)'!$G$25:$G$65,$G91),_xlfn.SUMIFS(INDEX('Калькуляция (МИ)'!$AJ$25:$BC$315,,MATCH(AT$8,'Калькуляция (МИ)'!$AJ$8:$BC$8,0)),'Калькуляция (МИ)'!$F$25:$F$315,$F91,'Калькуляция (МИ)'!$G$25:$G$315,$G91))))</f>
        <v>2.77733310308477</v>
      </c>
      <c r="AU91" s="262">
        <f>IF(AS91=0,0,(AT91-AS91)/AS91*100)</f>
        <v>-30.7829000142426</v>
      </c>
      <c r="AV91" s="2898">
        <f>IF(AND(method_reg="Метод индексации",god&lt;&gt;first_year),_xlfn.SUMIFS(INDEX('Калькуляция (МИ корр)'!$AJ$25:$BC$315,,MATCH(AV$8,'Калькуляция (МИ корр)'!$AJ$8:$BC$8,0)),'Калькуляция (МИ корр)'!$F$25:$F$315,$F91,'Калькуляция (МИ корр)'!$G$25:$G$315,$G91),IF(method_reg="Метод экономически обоснованных расходов",_xlfn.SUMIFS('Калькуляция (МЭОР)'!$AJ$25:$AJ$197,'Калькуляция (МЭОР)'!$F$25:$F$197,$F91,'Калькуляция (МЭОР)'!$G$25:$G$197,$G91),IF(method_reg="Метод сравнения аналогов",_xlfn.SUMIFS('Калькуляция (МСА)'!$AE$25:$AE$65,'Калькуляция (МСА)'!$F$25:$F$65,$F91,'Калькуляция (МСА)'!$G$25:$G$65,$G91),_xlfn.SUMIFS(INDEX('Калькуляция (МИ)'!$AJ$25:$BC$315,,MATCH(AV$8,'Калькуляция (МИ)'!$AJ$8:$BC$8,0)),'Калькуляция (МИ)'!$F$25:$F$315,$F91,'Калькуляция (МИ)'!$G$25:$G$315,$G91))))</f>
        <v>4.01249561691584</v>
      </c>
      <c r="AW91" s="2898">
        <f>IF(AND(method_reg="Метод индексации",god&lt;&gt;first_year),_xlfn.SUMIFS(INDEX('Калькуляция (МИ корр)'!$AJ$25:$BC$315,,MATCH(AW$8,'Калькуляция (МИ корр)'!$AJ$8:$BC$8,0)),'Калькуляция (МИ корр)'!$F$25:$F$315,$F91,'Калькуляция (МИ корр)'!$G$25:$G$315,$G91),IF(method_reg="Метод экономически обоснованных расходов",_xlfn.SUMIFS('Калькуляция (МЭОР)'!$AK$25:$AK$197,'Калькуляция (МЭОР)'!$F$25:$F$197,$F91,'Калькуляция (МЭОР)'!$G$25:$G$197,$G91),IF(method_reg="Метод сравнения аналогов",_xlfn.SUMIFS('Калькуляция (МСА)'!$AF$25:$AF$65,'Калькуляция (МСА)'!$F$25:$F$65,$F91,'Калькуляция (МСА)'!$G$25:$G$65,$G91),_xlfn.SUMIFS(INDEX('Калькуляция (МИ)'!$AJ$25:$BC$315,,MATCH(AW$8,'Калькуляция (МИ)'!$AJ$8:$BC$8,0)),'Калькуляция (МИ)'!$F$25:$F$315,$F91,'Калькуляция (МИ)'!$G$25:$G$315,$G91))))</f>
        <v>2.77733310308477</v>
      </c>
      <c r="AX91" s="262">
        <f>IF(AV91=0,0,(AW91-AV91)/AV91*100)</f>
        <v>-30.7829000142426</v>
      </c>
      <c r="AY91" s="2898">
        <f>IF(AND(method_reg="Метод индексации",god&lt;&gt;first_year),_xlfn.SUMIFS(INDEX('Калькуляция (МИ корр)'!$AJ$25:$BC$315,,MATCH(AY$8,'Калькуляция (МИ корр)'!$AJ$8:$BC$8,0)),'Калькуляция (МИ корр)'!$F$25:$F$315,$F91,'Калькуляция (МИ корр)'!$G$25:$G$315,$G91),IF(method_reg="Метод экономически обоснованных расходов",_xlfn.SUMIFS('Калькуляция (МЭОР)'!$AJ$25:$AJ$197,'Калькуляция (МЭОР)'!$F$25:$F$197,$F91,'Калькуляция (МЭОР)'!$G$25:$G$197,$G91),IF(method_reg="Метод сравнения аналогов",_xlfn.SUMIFS('Калькуляция (МСА)'!$AE$25:$AE$65,'Калькуляция (МСА)'!$F$25:$F$65,$F91,'Калькуляция (МСА)'!$G$25:$G$65,$G91),_xlfn.SUMIFS(INDEX('Калькуляция (МИ)'!$AJ$25:$BC$315,,MATCH(AY$8,'Калькуляция (МИ)'!$AJ$8:$BC$8,0)),'Калькуляция (МИ)'!$F$25:$F$315,$F91,'Калькуляция (МИ)'!$G$25:$G$315,$G91))))</f>
        <v>4.01249561691584</v>
      </c>
      <c r="AZ91" s="2898">
        <f>IF(AND(method_reg="Метод индексации",god&lt;&gt;first_year),_xlfn.SUMIFS(INDEX('Калькуляция (МИ корр)'!$AJ$25:$BC$315,,MATCH(AZ$8,'Калькуляция (МИ корр)'!$AJ$8:$BC$8,0)),'Калькуляция (МИ корр)'!$F$25:$F$315,$F91,'Калькуляция (МИ корр)'!$G$25:$G$315,$G91),IF(method_reg="Метод экономически обоснованных расходов",_xlfn.SUMIFS('Калькуляция (МЭОР)'!$AK$25:$AK$197,'Калькуляция (МЭОР)'!$F$25:$F$197,$F91,'Калькуляция (МЭОР)'!$G$25:$G$197,$G91),IF(method_reg="Метод сравнения аналогов",_xlfn.SUMIFS('Калькуляция (МСА)'!$AF$25:$AF$65,'Калькуляция (МСА)'!$F$25:$F$65,$F91,'Калькуляция (МСА)'!$G$25:$G$65,$G91),_xlfn.SUMIFS(INDEX('Калькуляция (МИ)'!$AJ$25:$BC$315,,MATCH(AZ$8,'Калькуляция (МИ)'!$AJ$8:$BC$8,0)),'Калькуляция (МИ)'!$F$25:$F$315,$F91,'Калькуляция (МИ)'!$G$25:$G$315,$G91))))</f>
        <v>2.77733310308477</v>
      </c>
      <c r="BA91" s="262">
        <f>IF(AY91=0,0,(AZ91-AY91)/AY91*100)</f>
        <v>-30.7829000142426</v>
      </c>
      <c r="BB91" s="2898">
        <f>IF(AND(method_reg="Метод индексации",god&lt;&gt;first_year),_xlfn.SUMIFS(INDEX('Калькуляция (МИ корр)'!$AJ$25:$BC$315,,MATCH(BB$8,'Калькуляция (МИ корр)'!$AJ$8:$BC$8,0)),'Калькуляция (МИ корр)'!$F$25:$F$315,$F91,'Калькуляция (МИ корр)'!$G$25:$G$315,$G91),IF(method_reg="Метод экономически обоснованных расходов",_xlfn.SUMIFS('Калькуляция (МЭОР)'!$AJ$25:$AJ$197,'Калькуляция (МЭОР)'!$F$25:$F$197,$F91,'Калькуляция (МЭОР)'!$G$25:$G$197,$G91),IF(method_reg="Метод сравнения аналогов",_xlfn.SUMIFS('Калькуляция (МСА)'!$AE$25:$AE$65,'Калькуляция (МСА)'!$F$25:$F$65,$F91,'Калькуляция (МСА)'!$G$25:$G$65,$G91),_xlfn.SUMIFS(INDEX('Калькуляция (МИ)'!$AJ$25:$BC$315,,MATCH(BB$8,'Калькуляция (МИ)'!$AJ$8:$BC$8,0)),'Калькуляция (МИ)'!$F$25:$F$315,$F91,'Калькуляция (МИ)'!$G$25:$G$315,$G91))))</f>
        <v>4.01249561691584</v>
      </c>
      <c r="BC91" s="2898">
        <f>IF(AND(method_reg="Метод индексации",god&lt;&gt;first_year),_xlfn.SUMIFS(INDEX('Калькуляция (МИ корр)'!$AJ$25:$BC$315,,MATCH(BC$8,'Калькуляция (МИ корр)'!$AJ$8:$BC$8,0)),'Калькуляция (МИ корр)'!$F$25:$F$315,$F91,'Калькуляция (МИ корр)'!$G$25:$G$315,$G91),IF(method_reg="Метод экономически обоснованных расходов",_xlfn.SUMIFS('Калькуляция (МЭОР)'!$AK$25:$AK$197,'Калькуляция (МЭОР)'!$F$25:$F$197,$F91,'Калькуляция (МЭОР)'!$G$25:$G$197,$G91),IF(method_reg="Метод сравнения аналогов",_xlfn.SUMIFS('Калькуляция (МСА)'!$AF$25:$AF$65,'Калькуляция (МСА)'!$F$25:$F$65,$F91,'Калькуляция (МСА)'!$G$25:$G$65,$G91),_xlfn.SUMIFS(INDEX('Калькуляция (МИ)'!$AJ$25:$BC$315,,MATCH(BC$8,'Калькуляция (МИ)'!$AJ$8:$BC$8,0)),'Калькуляция (МИ)'!$F$25:$F$315,$F91,'Калькуляция (МИ)'!$G$25:$G$315,$G91))))</f>
        <v>2.77733310308477</v>
      </c>
      <c r="BD91" s="262">
        <f>IF(BB91=0,0,(BC91-BB91)/BB91*100)</f>
        <v>-30.7829000142426</v>
      </c>
      <c r="BE91" s="2898">
        <f>IF(AND(method_reg="Метод индексации",god&lt;&gt;first_year),_xlfn.SUMIFS(INDEX('Калькуляция (МИ корр)'!$AJ$25:$BC$315,,MATCH(BE$8,'Калькуляция (МИ корр)'!$AJ$8:$BC$8,0)),'Калькуляция (МИ корр)'!$F$25:$F$315,$F91,'Калькуляция (МИ корр)'!$G$25:$G$315,$G91),IF(method_reg="Метод экономически обоснованных расходов",_xlfn.SUMIFS('Калькуляция (МЭОР)'!$AJ$25:$AJ$197,'Калькуляция (МЭОР)'!$F$25:$F$197,$F91,'Калькуляция (МЭОР)'!$G$25:$G$197,$G91),IF(method_reg="Метод сравнения аналогов",_xlfn.SUMIFS('Калькуляция (МСА)'!$AE$25:$AE$65,'Калькуляция (МСА)'!$F$25:$F$65,$F91,'Калькуляция (МСА)'!$G$25:$G$65,$G91),_xlfn.SUMIFS(INDEX('Калькуляция (МИ)'!$AJ$25:$BC$315,,MATCH(BE$8,'Калькуляция (МИ)'!$AJ$8:$BC$8,0)),'Калькуляция (МИ)'!$F$25:$F$315,$F91,'Калькуляция (МИ)'!$G$25:$G$315,$G91))))</f>
        <v>4.01249561691584</v>
      </c>
      <c r="BF91" s="2898">
        <f>IF(AND(method_reg="Метод индексации",god&lt;&gt;first_year),_xlfn.SUMIFS(INDEX('Калькуляция (МИ корр)'!$AJ$25:$BC$315,,MATCH(BF$8,'Калькуляция (МИ корр)'!$AJ$8:$BC$8,0)),'Калькуляция (МИ корр)'!$F$25:$F$315,$F91,'Калькуляция (МИ корр)'!$G$25:$G$315,$G91),IF(method_reg="Метод экономически обоснованных расходов",_xlfn.SUMIFS('Калькуляция (МЭОР)'!$AK$25:$AK$197,'Калькуляция (МЭОР)'!$F$25:$F$197,$F91,'Калькуляция (МЭОР)'!$G$25:$G$197,$G91),IF(method_reg="Метод сравнения аналогов",_xlfn.SUMIFS('Калькуляция (МСА)'!$AF$25:$AF$65,'Калькуляция (МСА)'!$F$25:$F$65,$F91,'Калькуляция (МСА)'!$G$25:$G$65,$G91),_xlfn.SUMIFS(INDEX('Калькуляция (МИ)'!$AJ$25:$BC$315,,MATCH(BF$8,'Калькуляция (МИ)'!$AJ$8:$BC$8,0)),'Калькуляция (МИ)'!$F$25:$F$315,$F91,'Калькуляция (МИ)'!$G$25:$G$315,$G91))))</f>
        <v>2.77733310308477</v>
      </c>
      <c r="BG91" s="262">
        <f>IF(BE91=0,0,(BF91-BE91)/BE91*100)</f>
        <v>-30.7829000142426</v>
      </c>
      <c r="BH91" s="2898"/>
      <c r="BI91" s="2898"/>
      <c r="BJ91" s="262">
        <f>IF(BH91=0,0,(BI91-BH91)/BH91*100)</f>
        <v>0</v>
      </c>
      <c r="BK91" s="2898"/>
      <c r="BL91" s="2898"/>
      <c r="BM91" s="262">
        <f>IF(BK91=0,0,(BL91-BK91)/BK91*100)</f>
        <v>0</v>
      </c>
      <c r="BN91" s="2898"/>
      <c r="BO91" s="2898"/>
      <c r="BP91" s="262">
        <f>IF(BN91=0,0,(BO91-BN91)/BN91*100)</f>
        <v>0</v>
      </c>
      <c r="BQ91" s="2898"/>
      <c r="BR91" s="2898"/>
      <c r="BS91" s="262">
        <f>IF(BQ91=0,0,(BR91-BQ91)/BQ91*100)</f>
        <v>0</v>
      </c>
      <c r="BT91" s="2898"/>
      <c r="BU91" s="2898"/>
      <c r="BV91" s="262">
        <f>IF(BT91=0,0,(BU91-BT91)/BT91*100)</f>
        <v>0</v>
      </c>
      <c r="BW91" s="2898"/>
      <c r="BX91" s="2898"/>
      <c r="BY91" s="262">
        <f>IF(BW91=0,0,(BX91-BW91)/BW91*100)</f>
        <v>0</v>
      </c>
      <c r="BZ91" s="2898"/>
      <c r="CA91" s="2898"/>
      <c r="CB91" s="262">
        <f>IF(BZ91=0,0,(CA91-BZ91)/BZ91*100)</f>
        <v>0</v>
      </c>
      <c r="CC91" s="2898"/>
      <c r="CD91" s="2898"/>
      <c r="CE91" s="262">
        <f>IF(CC91=0,0,(CD91-CC91)/CC91*100)</f>
        <v>0</v>
      </c>
      <c r="CF91" s="2898"/>
      <c r="CG91" s="2898"/>
      <c r="CH91" s="262">
        <f>IF(CF91=0,0,(CG91-CF91)/CF91*100)</f>
        <v>0</v>
      </c>
      <c r="CI91" s="2898"/>
      <c r="CJ91" s="2898"/>
      <c r="CK91" s="262">
        <f>IF(CI91=0,0,(CJ91-CI91)/CI91*100)</f>
        <v>0</v>
      </c>
      <c r="CL91" s="2898"/>
      <c r="CM91" s="2898"/>
      <c r="CN91" s="262">
        <f>IF(CL91=0,0,(CM91-CL91)/CL91*100)</f>
        <v>0</v>
      </c>
      <c r="CO91" s="2898"/>
      <c r="CP91" s="2898"/>
      <c r="CQ91" s="262">
        <f>IF(CO91=0,0,(CP91-CO91)/CO91*100)</f>
        <v>0</v>
      </c>
      <c r="CR91" s="2898"/>
      <c r="CS91" s="2898"/>
      <c r="CT91" s="262">
        <f>IF(CR91=0,0,(CS91-CR91)/CR91*100)</f>
        <v>0</v>
      </c>
      <c r="CU91" s="2898"/>
      <c r="CV91" s="2898"/>
      <c r="CW91" s="262">
        <f>IF(CU91=0,0,(CV91-CU91)/CU91*100)</f>
        <v>0</v>
      </c>
      <c r="CX91" s="2898"/>
      <c r="CY91" s="2898"/>
      <c r="CZ91" s="262">
        <f>IF(CX91=0,0,(CY91-CX91)/CX91*100)</f>
        <v>0</v>
      </c>
      <c r="DA91" s="2898"/>
      <c r="DB91" s="2898"/>
      <c r="DC91" s="262">
        <f>IF(DA91=0,0,(DB91-DA91)/DA91*100)</f>
        <v>0</v>
      </c>
      <c r="DD91" s="2898"/>
      <c r="DE91" s="2898"/>
      <c r="DF91" s="262">
        <f>IF(DD91=0,0,(DE91-DD91)/DD91*100)</f>
        <v>0</v>
      </c>
      <c r="DG91" s="2900"/>
      <c r="DH91" s="2900"/>
      <c r="DI91" s="262">
        <f>IF(DG91=0,0,(DH91-DG91)/DG91*100)</f>
        <v>0</v>
      </c>
      <c r="DJ91" s="2900"/>
      <c r="DK91" s="2900"/>
      <c r="DL91" s="262">
        <f>IF(DJ91=0,0,(DK91-DJ91)/DJ91*100)</f>
        <v>0</v>
      </c>
      <c r="DM91" s="2900"/>
      <c r="DN91" s="2900"/>
      <c r="DO91" s="262">
        <f>IF(DM91=0,0,(DN91-DM91)/DM91*100)</f>
        <v>0</v>
      </c>
      <c r="DP91" s="2900"/>
      <c r="DQ91" s="2900"/>
      <c r="DR91" s="262">
        <f>IF(DP91=0,0,(DQ91-DP91)/DP91*100)</f>
        <v>0</v>
      </c>
      <c r="DS91" s="2900"/>
      <c r="DT91" s="2900"/>
      <c r="DU91" s="262">
        <f>IF(DS91=0,0,(DT91-DS91)/DS91*100)</f>
        <v>0</v>
      </c>
      <c r="DV91" s="2900"/>
      <c r="DW91" s="2900"/>
      <c r="DX91" s="262">
        <f>IF(DV91=0,0,(DW91-DV91)/DV91*100)</f>
        <v>0</v>
      </c>
      <c r="DY91" s="2900"/>
      <c r="DZ91" s="2900"/>
      <c r="EA91" s="262">
        <f>IF(DY91=0,0,(DZ91-DY91)/DY91*100)</f>
        <v>0</v>
      </c>
      <c r="EB91" s="2900"/>
      <c r="EC91" s="2900"/>
      <c r="ED91" s="262">
        <f>IF(EB91=0,0,(EC91-EB91)/EB91*100)</f>
        <v>0</v>
      </c>
      <c r="EE91" s="2900"/>
      <c r="EF91" s="2900"/>
      <c r="EG91" s="262">
        <f>IF(EE91=0,0,(EF91-EE91)/EE91*100)</f>
        <v>0</v>
      </c>
      <c r="EH91" s="2900"/>
      <c r="EI91" s="2900"/>
      <c r="EJ91" s="262">
        <f>IF(EH91=0,0,(EI91-EH91)/EH91*100)</f>
        <v>0</v>
      </c>
      <c r="EK91" s="2900"/>
      <c r="EL91" s="2900"/>
      <c r="EM91" s="262">
        <f>IF(EK91=0,0,(EL91-EK91)/EK91*100)</f>
        <v>0</v>
      </c>
      <c r="EN91" s="2900"/>
      <c r="EO91" s="2900"/>
      <c r="EP91" s="262">
        <f>IF(EN91=0,0,(EO91-EN91)/EN91*100)</f>
        <v>0</v>
      </c>
      <c r="EQ91" s="2900"/>
      <c r="ER91" s="2900"/>
      <c r="ES91" s="262">
        <f>IF(EQ91=0,0,(ER91-EQ91)/EQ91*100)</f>
        <v>0</v>
      </c>
      <c r="ET91" s="2900"/>
      <c r="EU91" s="2900"/>
      <c r="EV91" s="262">
        <f>IF(ET91=0,0,(EU91-ET91)/ET91*100)</f>
        <v>0</v>
      </c>
      <c r="EW91" s="2900"/>
      <c r="EX91" s="2900"/>
      <c r="EY91" s="262">
        <f>IF(EW91=0,0,(EX91-EW91)/EW91*100)</f>
        <v>0</v>
      </c>
      <c r="EZ91" s="2900"/>
      <c r="FA91" s="2900"/>
      <c r="FB91" s="262">
        <f>IF(EZ91=0,0,(FA91-EZ91)/EZ91*100)</f>
        <v>0</v>
      </c>
      <c r="FC91" s="2900"/>
      <c r="FD91" s="2900"/>
      <c r="FE91" s="262">
        <f>IF(FC91=0,0,(FD91-FC91)/FC91*100)</f>
        <v>0</v>
      </c>
      <c r="FF91" s="2900"/>
      <c r="FG91" s="2900"/>
      <c r="FH91" s="262">
        <f>IF(FF91=0,0,(FG91-FF91)/FF91*100)</f>
        <v>0</v>
      </c>
      <c r="FI91" s="2900"/>
      <c r="FJ91" s="2900"/>
      <c r="FK91" s="262">
        <f>IF(FI91=0,0,(FJ91-FI91)/FI91*100)</f>
        <v>0</v>
      </c>
      <c r="FL91" s="2900"/>
      <c r="FM91" s="2900"/>
      <c r="FN91" s="262">
        <f>IF(FL91=0,0,(FM91-FL91)/FL91*100)</f>
        <v>0</v>
      </c>
      <c r="FO91" s="2900"/>
      <c r="FP91" s="2900"/>
      <c r="FQ91" s="262">
        <f>IF(FO91=0,0,(FP91-FO91)/FO91*100)</f>
        <v>0</v>
      </c>
      <c r="FR91" s="2900"/>
      <c r="FS91" s="2900"/>
      <c r="FT91" s="262">
        <f>IF(FR91=0,0,(FS91-FR91)/FR91*100)</f>
        <v>0</v>
      </c>
      <c r="FU91" s="2900"/>
      <c r="FV91" s="2900"/>
      <c r="FW91" s="262">
        <f>IF(FU91=0,0,(FV91-FU91)/FU91*100)</f>
        <v>0</v>
      </c>
      <c r="FX91" s="258"/>
      <c r="FY91" s="258"/>
      <c r="FZ91" s="1032" t="s">
        <v>1481</v>
      </c>
      <c r="GA91" s="1032"/>
      <c r="GB91" s="1032"/>
      <c r="GC91" s="1033"/>
      <c r="GD91" s="1033"/>
    </row>
    <row s="1624" customFormat="1" customHeight="1" ht="14.25" hidden="1">
      <c r="A92" s="466"/>
      <c r="B92" s="901" cm="1" t="str">
        <f t="array" ref="B92:B92">B91</f>
        <v>false</v>
      </c>
      <c r="C92" s="466"/>
      <c r="D92" s="466"/>
      <c r="E92" s="816">
        <v>15</v>
      </c>
      <c r="F92" s="50" cm="1" t="str">
        <f t="array" ref="F92:F92">OFFSET(E92,-1,1)</f>
        <v>1</v>
      </c>
      <c r="G92" s="466"/>
      <c r="H92" s="466" t="s">
        <v>438</v>
      </c>
      <c r="I92" s="466" t="s">
        <v>1482</v>
      </c>
      <c r="J92" s="466"/>
      <c r="K92" s="466"/>
      <c r="L92" s="466"/>
      <c r="M92" s="466"/>
      <c r="N92" s="466"/>
      <c r="O92" s="466"/>
      <c r="P92" s="466"/>
      <c r="Q92" s="466"/>
      <c r="R92" s="466"/>
      <c r="S92" s="466"/>
      <c r="T92" s="438" cm="1" t="str">
        <f t="array" ref="T92:T92">T91</f>
        <v>true</v>
      </c>
      <c r="U92" s="466"/>
      <c r="V92" s="466"/>
      <c r="W92" s="466"/>
      <c r="X92" s="1541"/>
      <c r="Y92" s="466"/>
      <c r="Z92" s="1493"/>
      <c r="AA92" s="466"/>
      <c r="AB92" s="1067" t="s">
        <v>1483</v>
      </c>
      <c r="AC92" s="840" t="s">
        <v>430</v>
      </c>
      <c r="AD92" s="1070">
        <f>IF(AD90=0,0,AD91/AD90)*100</f>
        <v>139.322764476244</v>
      </c>
      <c r="AE92" s="1070">
        <f>IF(AE90=0,0,AE91/AE90)*100</f>
        <v>99.9040684562867</v>
      </c>
      <c r="AF92" s="1071"/>
      <c r="AG92" s="1070">
        <f>IF(AG90=0,0,AG91/AG90)*100</f>
        <v>139.322764476244</v>
      </c>
      <c r="AH92" s="1070">
        <f>IF(AH90=0,0,AH91/AH90)*100</f>
        <v>99.9040684562867</v>
      </c>
      <c r="AI92" s="1071"/>
      <c r="AJ92" s="1070">
        <f>IF(AJ90=0,0,AJ91/AJ90)*100</f>
        <v>139.322764476244</v>
      </c>
      <c r="AK92" s="1070">
        <f>IF(AK90=0,0,AK91/AK90)*100</f>
        <v>99.9040684562867</v>
      </c>
      <c r="AL92" s="1071"/>
      <c r="AM92" s="1070">
        <f>IF(AM90=0,0,AM91/AM90)*100</f>
        <v>139.322764476244</v>
      </c>
      <c r="AN92" s="1070">
        <f>IF(AN90=0,0,AN91/AN90)*100</f>
        <v>99.9040684562867</v>
      </c>
      <c r="AO92" s="1071"/>
      <c r="AP92" s="1070">
        <f>IF(AP90=0,0,AP91/AP90)*100</f>
        <v>139.322764476244</v>
      </c>
      <c r="AQ92" s="1070">
        <f>IF(AQ90=0,0,AQ91/AQ90)*100</f>
        <v>99.9040684562867</v>
      </c>
      <c r="AR92" s="1071"/>
      <c r="AS92" s="1070">
        <f>IF(AS90=0,0,AS91/AS90)*100</f>
        <v>139.322764476244</v>
      </c>
      <c r="AT92" s="1070">
        <f>IF(AT90=0,0,AT91/AT90)*100</f>
        <v>99.9040684562867</v>
      </c>
      <c r="AU92" s="1071"/>
      <c r="AV92" s="1070">
        <f>IF(AV90=0,0,AV91/AV90)*100</f>
        <v>139.322764476244</v>
      </c>
      <c r="AW92" s="1070">
        <f>IF(AW90=0,0,AW91/AW90)*100</f>
        <v>99.9040684562867</v>
      </c>
      <c r="AX92" s="1071"/>
      <c r="AY92" s="1070">
        <f>IF(AY90=0,0,AY91/AY90)*100</f>
        <v>139.322764476244</v>
      </c>
      <c r="AZ92" s="1070">
        <f>IF(AZ90=0,0,AZ91/AZ90)*100</f>
        <v>99.9040684562867</v>
      </c>
      <c r="BA92" s="1071"/>
      <c r="BB92" s="1070">
        <f>IF(BB90=0,0,BB91/BB90)*100</f>
        <v>139.322764476244</v>
      </c>
      <c r="BC92" s="1070">
        <f>IF(BC90=0,0,BC91/BC90)*100</f>
        <v>99.9040684562867</v>
      </c>
      <c r="BD92" s="1071"/>
      <c r="BE92" s="1070">
        <f>IF(BE90=0,0,BE91/BE90)*100</f>
        <v>139.322764476244</v>
      </c>
      <c r="BF92" s="1070">
        <f>IF(BF90=0,0,BF91/BF90)*100</f>
        <v>99.9040684562867</v>
      </c>
      <c r="BG92" s="1071"/>
      <c r="BH92" s="1070">
        <f>IF(BH90=0,0,BH91/BH90)*100</f>
        <v>0</v>
      </c>
      <c r="BI92" s="1070">
        <f>IF(BI90=0,0,BI91/BI90)*100</f>
        <v>0</v>
      </c>
      <c r="BJ92" s="1071"/>
      <c r="BK92" s="1070">
        <f>IF(BK90=0,0,BK91/BK90)*100</f>
        <v>0</v>
      </c>
      <c r="BL92" s="1070">
        <f>IF(BL90=0,0,BL91/BL90)*100</f>
        <v>0</v>
      </c>
      <c r="BM92" s="1071"/>
      <c r="BN92" s="1070">
        <f>IF(BN90=0,0,BN91/BN90)*100</f>
        <v>0</v>
      </c>
      <c r="BO92" s="1070">
        <f>IF(BO90=0,0,BO91/BO90)*100</f>
        <v>0</v>
      </c>
      <c r="BP92" s="1071"/>
      <c r="BQ92" s="1070">
        <f>IF(BQ90=0,0,BQ91/BQ90)*100</f>
        <v>0</v>
      </c>
      <c r="BR92" s="1070">
        <f>IF(BR90=0,0,BR91/BR90)*100</f>
        <v>0</v>
      </c>
      <c r="BS92" s="1071"/>
      <c r="BT92" s="1070">
        <f>IF(BT90=0,0,BT91/BT90)*100</f>
        <v>0</v>
      </c>
      <c r="BU92" s="1070">
        <f>IF(BU90=0,0,BU91/BU90)*100</f>
        <v>0</v>
      </c>
      <c r="BV92" s="1071"/>
      <c r="BW92" s="1070">
        <f>IF(BW90=0,0,BW91/BW90)*100</f>
        <v>0</v>
      </c>
      <c r="BX92" s="1070">
        <f>IF(BX90=0,0,BX91/BX90)*100</f>
        <v>0</v>
      </c>
      <c r="BY92" s="1071"/>
      <c r="BZ92" s="1070">
        <f>IF(BZ90=0,0,BZ91/BZ90)*100</f>
        <v>0</v>
      </c>
      <c r="CA92" s="1070">
        <f>IF(CA90=0,0,CA91/CA90)*100</f>
        <v>0</v>
      </c>
      <c r="CB92" s="1071"/>
      <c r="CC92" s="1070">
        <f>IF(CC90=0,0,CC91/CC90)*100</f>
        <v>0</v>
      </c>
      <c r="CD92" s="1070">
        <f>IF(CD90=0,0,CD91/CD90)*100</f>
        <v>0</v>
      </c>
      <c r="CE92" s="1071"/>
      <c r="CF92" s="1070">
        <f>IF(CF90=0,0,CF91/CF90)*100</f>
        <v>0</v>
      </c>
      <c r="CG92" s="1070">
        <f>IF(CG90=0,0,CG91/CG90)*100</f>
        <v>0</v>
      </c>
      <c r="CH92" s="1071"/>
      <c r="CI92" s="1070">
        <f>IF(CI90=0,0,CI91/CI90)*100</f>
        <v>0</v>
      </c>
      <c r="CJ92" s="1070">
        <f>IF(CJ90=0,0,CJ91/CJ90)*100</f>
        <v>0</v>
      </c>
      <c r="CK92" s="1071"/>
      <c r="CL92" s="1070">
        <f>IF(CL90=0,0,CL91/CL90)*100</f>
        <v>0</v>
      </c>
      <c r="CM92" s="1070">
        <f>IF(CM90=0,0,CM91/CM90)*100</f>
        <v>0</v>
      </c>
      <c r="CN92" s="1071"/>
      <c r="CO92" s="1070">
        <f>IF(CO90=0,0,CO91/CO90)*100</f>
        <v>0</v>
      </c>
      <c r="CP92" s="1070">
        <f>IF(CP90=0,0,CP91/CP90)*100</f>
        <v>0</v>
      </c>
      <c r="CQ92" s="1071"/>
      <c r="CR92" s="1070">
        <f>IF(CR90=0,0,CR91/CR90)*100</f>
        <v>0</v>
      </c>
      <c r="CS92" s="1070">
        <f>IF(CS90=0,0,CS91/CS90)*100</f>
        <v>0</v>
      </c>
      <c r="CT92" s="1071"/>
      <c r="CU92" s="1070">
        <f>IF(CU90=0,0,CU91/CU90)*100</f>
        <v>0</v>
      </c>
      <c r="CV92" s="1070">
        <f>IF(CV90=0,0,CV91/CV90)*100</f>
        <v>0</v>
      </c>
      <c r="CW92" s="1071"/>
      <c r="CX92" s="1070">
        <f>IF(CX90=0,0,CX91/CX90)*100</f>
        <v>0</v>
      </c>
      <c r="CY92" s="1070">
        <f>IF(CY90=0,0,CY91/CY90)*100</f>
        <v>0</v>
      </c>
      <c r="CZ92" s="1071"/>
      <c r="DA92" s="1070">
        <f>IF(DA90=0,0,DA91/DA90)*100</f>
        <v>0</v>
      </c>
      <c r="DB92" s="1070">
        <f>IF(DB90=0,0,DB91/DB90)*100</f>
        <v>0</v>
      </c>
      <c r="DC92" s="1071"/>
      <c r="DD92" s="1070">
        <f>IF(DD90=0,0,DD91/DD90)*100</f>
        <v>0</v>
      </c>
      <c r="DE92" s="1070">
        <f>IF(DE90=0,0,DE91/DE90)*100</f>
        <v>0</v>
      </c>
      <c r="DF92" s="1071"/>
      <c r="DG92" s="1070">
        <f>IF(DG90=0,0,DG91/DG90)*100</f>
        <v>0</v>
      </c>
      <c r="DH92" s="1070">
        <f>IF(DH90=0,0,DH91/DH90)*100</f>
        <v>0</v>
      </c>
      <c r="DI92" s="1071"/>
      <c r="DJ92" s="1070">
        <f>IF(DJ90=0,0,DJ91/DJ90)*100</f>
        <v>0</v>
      </c>
      <c r="DK92" s="1070">
        <f>IF(DK90=0,0,DK91/DK90)*100</f>
        <v>0</v>
      </c>
      <c r="DL92" s="1071"/>
      <c r="DM92" s="1070">
        <f>IF(DM90=0,0,DM91/DM90)*100</f>
        <v>0</v>
      </c>
      <c r="DN92" s="1070">
        <f>IF(DN90=0,0,DN91/DN90)*100</f>
        <v>0</v>
      </c>
      <c r="DO92" s="1071"/>
      <c r="DP92" s="1070">
        <f>IF(DP90=0,0,DP91/DP90)*100</f>
        <v>0</v>
      </c>
      <c r="DQ92" s="1070">
        <f>IF(DQ90=0,0,DQ91/DQ90)*100</f>
        <v>0</v>
      </c>
      <c r="DR92" s="1071"/>
      <c r="DS92" s="1070">
        <f>IF(DS90=0,0,DS91/DS90)*100</f>
        <v>0</v>
      </c>
      <c r="DT92" s="1070">
        <f>IF(DT90=0,0,DT91/DT90)*100</f>
        <v>0</v>
      </c>
      <c r="DU92" s="1071"/>
      <c r="DV92" s="1070">
        <f>IF(DV90=0,0,DV91/DV90)*100</f>
        <v>0</v>
      </c>
      <c r="DW92" s="1070">
        <f>IF(DW90=0,0,DW91/DW90)*100</f>
        <v>0</v>
      </c>
      <c r="DX92" s="1071"/>
      <c r="DY92" s="1070">
        <f>IF(DY90=0,0,DY91/DY90)*100</f>
        <v>0</v>
      </c>
      <c r="DZ92" s="1070">
        <f>IF(DZ90=0,0,DZ91/DZ90)*100</f>
        <v>0</v>
      </c>
      <c r="EA92" s="1071"/>
      <c r="EB92" s="1070">
        <f>IF(EB90=0,0,EB91/EB90)*100</f>
        <v>0</v>
      </c>
      <c r="EC92" s="1070">
        <f>IF(EC90=0,0,EC91/EC90)*100</f>
        <v>0</v>
      </c>
      <c r="ED92" s="1071"/>
      <c r="EE92" s="1070">
        <f>IF(EE90=0,0,EE91/EE90)*100</f>
        <v>0</v>
      </c>
      <c r="EF92" s="1070">
        <f>IF(EF90=0,0,EF91/EF90)*100</f>
        <v>0</v>
      </c>
      <c r="EG92" s="1071"/>
      <c r="EH92" s="1070">
        <f>IF(EH90=0,0,EH91/EH90)*100</f>
        <v>0</v>
      </c>
      <c r="EI92" s="1070">
        <f>IF(EI90=0,0,EI91/EI90)*100</f>
        <v>0</v>
      </c>
      <c r="EJ92" s="1071"/>
      <c r="EK92" s="1070">
        <f>IF(EK90=0,0,EK91/EK90)*100</f>
        <v>0</v>
      </c>
      <c r="EL92" s="1070">
        <f>IF(EL90=0,0,EL91/EL90)*100</f>
        <v>0</v>
      </c>
      <c r="EM92" s="1071"/>
      <c r="EN92" s="1070">
        <f>IF(EN90=0,0,EN91/EN90)*100</f>
        <v>0</v>
      </c>
      <c r="EO92" s="1070">
        <f>IF(EO90=0,0,EO91/EO90)*100</f>
        <v>0</v>
      </c>
      <c r="EP92" s="1071"/>
      <c r="EQ92" s="1070">
        <f>IF(EQ90=0,0,EQ91/EQ90)*100</f>
        <v>0</v>
      </c>
      <c r="ER92" s="1070">
        <f>IF(ER90=0,0,ER91/ER90)*100</f>
        <v>0</v>
      </c>
      <c r="ES92" s="1071"/>
      <c r="ET92" s="1070">
        <f>IF(ET90=0,0,ET91/ET90)*100</f>
        <v>0</v>
      </c>
      <c r="EU92" s="1070">
        <f>IF(EU90=0,0,EU91/EU90)*100</f>
        <v>0</v>
      </c>
      <c r="EV92" s="1071"/>
      <c r="EW92" s="1070">
        <f>IF(EW90=0,0,EW91/EW90)*100</f>
        <v>0</v>
      </c>
      <c r="EX92" s="1070">
        <f>IF(EX90=0,0,EX91/EX90)*100</f>
        <v>0</v>
      </c>
      <c r="EY92" s="1071"/>
      <c r="EZ92" s="1070">
        <f>IF(EZ90=0,0,EZ91/EZ90)*100</f>
        <v>0</v>
      </c>
      <c r="FA92" s="1070">
        <f>IF(FA90=0,0,FA91/FA90)*100</f>
        <v>0</v>
      </c>
      <c r="FB92" s="1071"/>
      <c r="FC92" s="1070">
        <f>IF(FC90=0,0,FC91/FC90)*100</f>
        <v>0</v>
      </c>
      <c r="FD92" s="1070">
        <f>IF(FD90=0,0,FD91/FD90)*100</f>
        <v>0</v>
      </c>
      <c r="FE92" s="1071"/>
      <c r="FF92" s="1070">
        <f>IF(FF90=0,0,FF91/FF90)*100</f>
        <v>0</v>
      </c>
      <c r="FG92" s="1070">
        <f>IF(FG90=0,0,FG91/FG90)*100</f>
        <v>0</v>
      </c>
      <c r="FH92" s="1071"/>
      <c r="FI92" s="1070">
        <f>IF(FI90=0,0,FI91/FI90)*100</f>
        <v>0</v>
      </c>
      <c r="FJ92" s="1070">
        <f>IF(FJ90=0,0,FJ91/FJ90)*100</f>
        <v>0</v>
      </c>
      <c r="FK92" s="1071"/>
      <c r="FL92" s="1070">
        <f>IF(FL90=0,0,FL91/FL90)*100</f>
        <v>0</v>
      </c>
      <c r="FM92" s="1070">
        <f>IF(FM90=0,0,FM91/FM90)*100</f>
        <v>0</v>
      </c>
      <c r="FN92" s="1071"/>
      <c r="FO92" s="1070">
        <f>IF(FO90=0,0,FO91/FO90)*100</f>
        <v>0</v>
      </c>
      <c r="FP92" s="1070">
        <f>IF(FP90=0,0,FP91/FP90)*100</f>
        <v>0</v>
      </c>
      <c r="FQ92" s="1071"/>
      <c r="FR92" s="1070">
        <f>IF(FR90=0,0,FR91/FR90)*100</f>
        <v>0</v>
      </c>
      <c r="FS92" s="1070">
        <f>IF(FS90=0,0,FS91/FS90)*100</f>
        <v>0</v>
      </c>
      <c r="FT92" s="1071"/>
      <c r="FU92" s="1070">
        <f>IF(FU90=0,0,FU91/FU90)*100</f>
        <v>0</v>
      </c>
      <c r="FV92" s="1070">
        <f>IF(FV90=0,0,FV91/FV90)*100</f>
        <v>0</v>
      </c>
      <c r="FW92" s="1071"/>
      <c r="FX92" s="258"/>
      <c r="FY92" s="1282"/>
      <c r="FZ92" s="1032" t="s">
        <v>1484</v>
      </c>
      <c r="GA92" s="1284"/>
      <c r="GB92" s="1284"/>
      <c r="GC92" s="1283"/>
      <c r="GD92" s="1283"/>
    </row>
    <row s="1624" customFormat="1" customHeight="1" ht="14.25" hidden="1">
      <c r="A93" s="466"/>
      <c r="B93" s="901" cm="1" t="str">
        <f t="array" ref="B93:B93">B92</f>
        <v>false</v>
      </c>
      <c r="C93" s="466"/>
      <c r="D93" s="466"/>
      <c r="E93" s="816">
        <v>15</v>
      </c>
      <c r="F93" s="50" cm="1" t="str">
        <f t="array" ref="F93:F93">OFFSET(E93,-1,1)</f>
        <v>1</v>
      </c>
      <c r="G93" s="73" t="s">
        <v>1485</v>
      </c>
      <c r="H93" s="466" t="s">
        <v>441</v>
      </c>
      <c r="I93" s="466" t="s">
        <v>1482</v>
      </c>
      <c r="J93" s="466"/>
      <c r="K93" s="466"/>
      <c r="L93" s="466"/>
      <c r="M93" s="466"/>
      <c r="N93" s="466"/>
      <c r="O93" s="466"/>
      <c r="P93" s="466"/>
      <c r="Q93" s="466"/>
      <c r="R93" s="466"/>
      <c r="S93" s="466"/>
      <c r="T93" s="438" cm="1" t="str">
        <f t="array" ref="T93:T93">T92</f>
        <v>true</v>
      </c>
      <c r="U93" s="466"/>
      <c r="V93" s="466"/>
      <c r="W93" s="466"/>
      <c r="X93" s="1541"/>
      <c r="Y93" s="466"/>
      <c r="Z93" s="1493"/>
      <c r="AA93" s="466"/>
      <c r="AB93" s="1067" t="s">
        <v>1486</v>
      </c>
      <c r="AC93" s="840" t="s">
        <v>506</v>
      </c>
      <c r="AD93" s="2907">
        <f>IF(AND(method_reg="Метод индексации",god&lt;&gt;first_year),_xlfn.SUMIFS(INDEX('Калькуляция (МИ корр)'!$AJ$25:$BC$315,,MATCH(AD$8,'Калькуляция (МИ корр)'!$AJ$8:$BC$8,0)),'Калькуляция (МИ корр)'!$F$25:$F$315,$F93,'Калькуляция (МИ корр)'!$G$25:$G$315,$G93),IF(method_reg="Метод экономически обоснованных расходов",_xlfn.SUMIFS('Калькуляция (МЭОР)'!$AJ$25:$AJ$197,'Калькуляция (МЭОР)'!$F$25:$F$197,$F93,'Калькуляция (МЭОР)'!$G$25:$G$197,$G93),IF(method_reg="Метод сравнения аналогов",_xlfn.SUMIFS('Калькуляция (МСА)'!$AE$25:$AE$65,'Калькуляция (МСА)'!$F$25:$F$65,$F93,'Калькуляция (МСА)'!$G$25:$G$65,$G93),_xlfn.SUMIFS(INDEX('Калькуляция (МИ)'!$AJ$25:$BC$315,,MATCH(AD$8,'Калькуляция (МИ)'!$AJ$8:$BC$8,0)),'Калькуляция (МИ)'!$F$25:$F$315,$F93,'Калькуляция (МИ)'!$G$25:$G$315,$G93))))</f>
        <v>36.311</v>
      </c>
      <c r="AE93" s="2907">
        <f>IF(AND(method_reg="Метод индексации",god&lt;&gt;first_year),_xlfn.SUMIFS(INDEX('Калькуляция (МИ корр)'!$AJ$25:$BC$315,,MATCH(AE$8,'Калькуляция (МИ корр)'!$AJ$8:$BC$8,0)),'Калькуляция (МИ корр)'!$F$25:$F$315,$F93,'Калькуляция (МИ корр)'!$G$25:$G$315,$G93),IF(method_reg="Метод экономически обоснованных расходов",_xlfn.SUMIFS('Калькуляция (МЭОР)'!$AK$25:$AK$197,'Калькуляция (МЭОР)'!$F$25:$F$197,$F93,'Калькуляция (МЭОР)'!$G$25:$G$197,$G93),IF(method_reg="Метод сравнения аналогов",_xlfn.SUMIFS('Калькуляция (МСА)'!$AF$25:$AF$65,'Калькуляция (МСА)'!$F$25:$F$65,$F93,'Калькуляция (МСА)'!$G$25:$G$65,$G93),_xlfn.SUMIFS(INDEX('Калькуляция (МИ)'!$AJ$25:$BC$315,,MATCH(AE$8,'Калькуляция (МИ)'!$AJ$8:$BC$8,0)),'Калькуляция (МИ)'!$F$25:$F$315,$F93,'Калькуляция (МИ)'!$G$25:$G$315,$G93))))</f>
        <v>35.62504</v>
      </c>
      <c r="AF93" s="1073">
        <f>IF(AD93=0,0,(AE93-AD93)/AD93*100)</f>
        <v>-1.88912450772494</v>
      </c>
      <c r="AG93" s="2907">
        <f>IF(AND(method_reg="Метод индексации",god&lt;&gt;first_year),_xlfn.SUMIFS(INDEX('Калькуляция (МИ корр)'!$AJ$25:$BC$315,,MATCH(AG$8,'Калькуляция (МИ корр)'!$AJ$8:$BC$8,0)),'Калькуляция (МИ корр)'!$F$25:$F$315,$F93,'Калькуляция (МИ корр)'!$G$25:$G$315,$G93),IF(method_reg="Метод экономически обоснованных расходов",_xlfn.SUMIFS('Калькуляция (МЭОР)'!$AJ$25:$AJ$197,'Калькуляция (МЭОР)'!$F$25:$F$197,$F93,'Калькуляция (МЭОР)'!$G$25:$G$197,$G93),IF(method_reg="Метод сравнения аналогов",_xlfn.SUMIFS('Калькуляция (МСА)'!$AE$25:$AE$65,'Калькуляция (МСА)'!$F$25:$F$65,$F93,'Калькуляция (МСА)'!$G$25:$G$65,$G93),_xlfn.SUMIFS(INDEX('Калькуляция (МИ)'!$AJ$25:$BC$315,,MATCH(AG$8,'Калькуляция (МИ)'!$AJ$8:$BC$8,0)),'Калькуляция (МИ)'!$F$25:$F$315,$F93,'Калькуляция (МИ)'!$G$25:$G$315,$G93))))</f>
        <v>36.311</v>
      </c>
      <c r="AH93" s="2907">
        <f>IF(AND(method_reg="Метод индексации",god&lt;&gt;first_year),_xlfn.SUMIFS(INDEX('Калькуляция (МИ корр)'!$AJ$25:$BC$315,,MATCH(AH$8,'Калькуляция (МИ корр)'!$AJ$8:$BC$8,0)),'Калькуляция (МИ корр)'!$F$25:$F$315,$F93,'Калькуляция (МИ корр)'!$G$25:$G$315,$G93),IF(method_reg="Метод экономически обоснованных расходов",_xlfn.SUMIFS('Калькуляция (МЭОР)'!$AK$25:$AK$197,'Калькуляция (МЭОР)'!$F$25:$F$197,$F93,'Калькуляция (МЭОР)'!$G$25:$G$197,$G93),IF(method_reg="Метод сравнения аналогов",_xlfn.SUMIFS('Калькуляция (МСА)'!$AF$25:$AF$65,'Калькуляция (МСА)'!$F$25:$F$65,$F93,'Калькуляция (МСА)'!$G$25:$G$65,$G93),_xlfn.SUMIFS(INDEX('Калькуляция (МИ)'!$AJ$25:$BC$315,,MATCH(AH$8,'Калькуляция (МИ)'!$AJ$8:$BC$8,0)),'Калькуляция (МИ)'!$F$25:$F$315,$F93,'Калькуляция (МИ)'!$G$25:$G$315,$G93))))</f>
        <v>35.62504</v>
      </c>
      <c r="AI93" s="1073">
        <f>IF(AG93=0,0,(AH93-AG93)/AG93*100)</f>
        <v>-1.88912450772494</v>
      </c>
      <c r="AJ93" s="2907">
        <f>IF(AND(method_reg="Метод индексации",god&lt;&gt;first_year),_xlfn.SUMIFS(INDEX('Калькуляция (МИ корр)'!$AJ$25:$BC$315,,MATCH(AJ$8,'Калькуляция (МИ корр)'!$AJ$8:$BC$8,0)),'Калькуляция (МИ корр)'!$F$25:$F$315,$F93,'Калькуляция (МИ корр)'!$G$25:$G$315,$G93),IF(method_reg="Метод экономически обоснованных расходов",_xlfn.SUMIFS('Калькуляция (МЭОР)'!$AJ$25:$AJ$197,'Калькуляция (МЭОР)'!$F$25:$F$197,$F93,'Калькуляция (МЭОР)'!$G$25:$G$197,$G93),IF(method_reg="Метод сравнения аналогов",_xlfn.SUMIFS('Калькуляция (МСА)'!$AE$25:$AE$65,'Калькуляция (МСА)'!$F$25:$F$65,$F93,'Калькуляция (МСА)'!$G$25:$G$65,$G93),_xlfn.SUMIFS(INDEX('Калькуляция (МИ)'!$AJ$25:$BC$315,,MATCH(AJ$8,'Калькуляция (МИ)'!$AJ$8:$BC$8,0)),'Калькуляция (МИ)'!$F$25:$F$315,$F93,'Калькуляция (МИ)'!$G$25:$G$315,$G93))))</f>
        <v>36.311</v>
      </c>
      <c r="AK93" s="2907">
        <f>IF(AND(method_reg="Метод индексации",god&lt;&gt;first_year),_xlfn.SUMIFS(INDEX('Калькуляция (МИ корр)'!$AJ$25:$BC$315,,MATCH(AK$8,'Калькуляция (МИ корр)'!$AJ$8:$BC$8,0)),'Калькуляция (МИ корр)'!$F$25:$F$315,$F93,'Калькуляция (МИ корр)'!$G$25:$G$315,$G93),IF(method_reg="Метод экономически обоснованных расходов",_xlfn.SUMIFS('Калькуляция (МЭОР)'!$AK$25:$AK$197,'Калькуляция (МЭОР)'!$F$25:$F$197,$F93,'Калькуляция (МЭОР)'!$G$25:$G$197,$G93),IF(method_reg="Метод сравнения аналогов",_xlfn.SUMIFS('Калькуляция (МСА)'!$AF$25:$AF$65,'Калькуляция (МСА)'!$F$25:$F$65,$F93,'Калькуляция (МСА)'!$G$25:$G$65,$G93),_xlfn.SUMIFS(INDEX('Калькуляция (МИ)'!$AJ$25:$BC$315,,MATCH(AK$8,'Калькуляция (МИ)'!$AJ$8:$BC$8,0)),'Калькуляция (МИ)'!$F$25:$F$315,$F93,'Калькуляция (МИ)'!$G$25:$G$315,$G93))))</f>
        <v>35.62504</v>
      </c>
      <c r="AL93" s="1073">
        <f>IF(AJ93=0,0,(AK93-AJ93)/AJ93*100)</f>
        <v>-1.88912450772494</v>
      </c>
      <c r="AM93" s="2907">
        <f>IF(AND(method_reg="Метод индексации",god&lt;&gt;first_year),_xlfn.SUMIFS(INDEX('Калькуляция (МИ корр)'!$AJ$25:$BC$315,,MATCH(AM$8,'Калькуляция (МИ корр)'!$AJ$8:$BC$8,0)),'Калькуляция (МИ корр)'!$F$25:$F$315,$F93,'Калькуляция (МИ корр)'!$G$25:$G$315,$G93),IF(method_reg="Метод экономически обоснованных расходов",_xlfn.SUMIFS('Калькуляция (МЭОР)'!$AJ$25:$AJ$197,'Калькуляция (МЭОР)'!$F$25:$F$197,$F93,'Калькуляция (МЭОР)'!$G$25:$G$197,$G93),IF(method_reg="Метод сравнения аналогов",_xlfn.SUMIFS('Калькуляция (МСА)'!$AE$25:$AE$65,'Калькуляция (МСА)'!$F$25:$F$65,$F93,'Калькуляция (МСА)'!$G$25:$G$65,$G93),_xlfn.SUMIFS(INDEX('Калькуляция (МИ)'!$AJ$25:$BC$315,,MATCH(AM$8,'Калькуляция (МИ)'!$AJ$8:$BC$8,0)),'Калькуляция (МИ)'!$F$25:$F$315,$F93,'Калькуляция (МИ)'!$G$25:$G$315,$G93))))</f>
        <v>36.311</v>
      </c>
      <c r="AN93" s="2907">
        <f>IF(AND(method_reg="Метод индексации",god&lt;&gt;first_year),_xlfn.SUMIFS(INDEX('Калькуляция (МИ корр)'!$AJ$25:$BC$315,,MATCH(AN$8,'Калькуляция (МИ корр)'!$AJ$8:$BC$8,0)),'Калькуляция (МИ корр)'!$F$25:$F$315,$F93,'Калькуляция (МИ корр)'!$G$25:$G$315,$G93),IF(method_reg="Метод экономически обоснованных расходов",_xlfn.SUMIFS('Калькуляция (МЭОР)'!$AK$25:$AK$197,'Калькуляция (МЭОР)'!$F$25:$F$197,$F93,'Калькуляция (МЭОР)'!$G$25:$G$197,$G93),IF(method_reg="Метод сравнения аналогов",_xlfn.SUMIFS('Калькуляция (МСА)'!$AF$25:$AF$65,'Калькуляция (МСА)'!$F$25:$F$65,$F93,'Калькуляция (МСА)'!$G$25:$G$65,$G93),_xlfn.SUMIFS(INDEX('Калькуляция (МИ)'!$AJ$25:$BC$315,,MATCH(AN$8,'Калькуляция (МИ)'!$AJ$8:$BC$8,0)),'Калькуляция (МИ)'!$F$25:$F$315,$F93,'Калькуляция (МИ)'!$G$25:$G$315,$G93))))</f>
        <v>35.62504</v>
      </c>
      <c r="AO93" s="1073">
        <f>IF(AM93=0,0,(AN93-AM93)/AM93*100)</f>
        <v>-1.88912450772494</v>
      </c>
      <c r="AP93" s="2907">
        <f>IF(AND(method_reg="Метод индексации",god&lt;&gt;first_year),_xlfn.SUMIFS(INDEX('Калькуляция (МИ корр)'!$AJ$25:$BC$315,,MATCH(AP$8,'Калькуляция (МИ корр)'!$AJ$8:$BC$8,0)),'Калькуляция (МИ корр)'!$F$25:$F$315,$F93,'Калькуляция (МИ корр)'!$G$25:$G$315,$G93),IF(method_reg="Метод экономически обоснованных расходов",_xlfn.SUMIFS('Калькуляция (МЭОР)'!$AJ$25:$AJ$197,'Калькуляция (МЭОР)'!$F$25:$F$197,$F93,'Калькуляция (МЭОР)'!$G$25:$G$197,$G93),IF(method_reg="Метод сравнения аналогов",_xlfn.SUMIFS('Калькуляция (МСА)'!$AE$25:$AE$65,'Калькуляция (МСА)'!$F$25:$F$65,$F93,'Калькуляция (МСА)'!$G$25:$G$65,$G93),_xlfn.SUMIFS(INDEX('Калькуляция (МИ)'!$AJ$25:$BC$315,,MATCH(AP$8,'Калькуляция (МИ)'!$AJ$8:$BC$8,0)),'Калькуляция (МИ)'!$F$25:$F$315,$F93,'Калькуляция (МИ)'!$G$25:$G$315,$G93))))</f>
        <v>36.311</v>
      </c>
      <c r="AQ93" s="2907">
        <f>IF(AND(method_reg="Метод индексации",god&lt;&gt;first_year),_xlfn.SUMIFS(INDEX('Калькуляция (МИ корр)'!$AJ$25:$BC$315,,MATCH(AQ$8,'Калькуляция (МИ корр)'!$AJ$8:$BC$8,0)),'Калькуляция (МИ корр)'!$F$25:$F$315,$F93,'Калькуляция (МИ корр)'!$G$25:$G$315,$G93),IF(method_reg="Метод экономически обоснованных расходов",_xlfn.SUMIFS('Калькуляция (МЭОР)'!$AK$25:$AK$197,'Калькуляция (МЭОР)'!$F$25:$F$197,$F93,'Калькуляция (МЭОР)'!$G$25:$G$197,$G93),IF(method_reg="Метод сравнения аналогов",_xlfn.SUMIFS('Калькуляция (МСА)'!$AF$25:$AF$65,'Калькуляция (МСА)'!$F$25:$F$65,$F93,'Калькуляция (МСА)'!$G$25:$G$65,$G93),_xlfn.SUMIFS(INDEX('Калькуляция (МИ)'!$AJ$25:$BC$315,,MATCH(AQ$8,'Калькуляция (МИ)'!$AJ$8:$BC$8,0)),'Калькуляция (МИ)'!$F$25:$F$315,$F93,'Калькуляция (МИ)'!$G$25:$G$315,$G93))))</f>
        <v>35.62504</v>
      </c>
      <c r="AR93" s="1073">
        <f>IF(AP93=0,0,(AQ93-AP93)/AP93*100)</f>
        <v>-1.88912450772494</v>
      </c>
      <c r="AS93" s="2907">
        <f>IF(AND(method_reg="Метод индексации",god&lt;&gt;first_year),_xlfn.SUMIFS(INDEX('Калькуляция (МИ корр)'!$AJ$25:$BC$315,,MATCH(AS$8,'Калькуляция (МИ корр)'!$AJ$8:$BC$8,0)),'Калькуляция (МИ корр)'!$F$25:$F$315,$F93,'Калькуляция (МИ корр)'!$G$25:$G$315,$G93),IF(method_reg="Метод экономически обоснованных расходов",_xlfn.SUMIFS('Калькуляция (МЭОР)'!$AJ$25:$AJ$197,'Калькуляция (МЭОР)'!$F$25:$F$197,$F93,'Калькуляция (МЭОР)'!$G$25:$G$197,$G93),IF(method_reg="Метод сравнения аналогов",_xlfn.SUMIFS('Калькуляция (МСА)'!$AE$25:$AE$65,'Калькуляция (МСА)'!$F$25:$F$65,$F93,'Калькуляция (МСА)'!$G$25:$G$65,$G93),_xlfn.SUMIFS(INDEX('Калькуляция (МИ)'!$AJ$25:$BC$315,,MATCH(AS$8,'Калькуляция (МИ)'!$AJ$8:$BC$8,0)),'Калькуляция (МИ)'!$F$25:$F$315,$F93,'Калькуляция (МИ)'!$G$25:$G$315,$G93))))</f>
        <v>36.311</v>
      </c>
      <c r="AT93" s="2907">
        <f>IF(AND(method_reg="Метод индексации",god&lt;&gt;first_year),_xlfn.SUMIFS(INDEX('Калькуляция (МИ корр)'!$AJ$25:$BC$315,,MATCH(AT$8,'Калькуляция (МИ корр)'!$AJ$8:$BC$8,0)),'Калькуляция (МИ корр)'!$F$25:$F$315,$F93,'Калькуляция (МИ корр)'!$G$25:$G$315,$G93),IF(method_reg="Метод экономически обоснованных расходов",_xlfn.SUMIFS('Калькуляция (МЭОР)'!$AK$25:$AK$197,'Калькуляция (МЭОР)'!$F$25:$F$197,$F93,'Калькуляция (МЭОР)'!$G$25:$G$197,$G93),IF(method_reg="Метод сравнения аналогов",_xlfn.SUMIFS('Калькуляция (МСА)'!$AF$25:$AF$65,'Калькуляция (МСА)'!$F$25:$F$65,$F93,'Калькуляция (МСА)'!$G$25:$G$65,$G93),_xlfn.SUMIFS(INDEX('Калькуляция (МИ)'!$AJ$25:$BC$315,,MATCH(AT$8,'Калькуляция (МИ)'!$AJ$8:$BC$8,0)),'Калькуляция (МИ)'!$F$25:$F$315,$F93,'Калькуляция (МИ)'!$G$25:$G$315,$G93))))</f>
        <v>35.62504</v>
      </c>
      <c r="AU93" s="1073">
        <f>IF(AS93=0,0,(AT93-AS93)/AS93*100)</f>
        <v>-1.88912450772494</v>
      </c>
      <c r="AV93" s="2907">
        <f>IF(AND(method_reg="Метод индексации",god&lt;&gt;first_year),_xlfn.SUMIFS(INDEX('Калькуляция (МИ корр)'!$AJ$25:$BC$315,,MATCH(AV$8,'Калькуляция (МИ корр)'!$AJ$8:$BC$8,0)),'Калькуляция (МИ корр)'!$F$25:$F$315,$F93,'Калькуляция (МИ корр)'!$G$25:$G$315,$G93),IF(method_reg="Метод экономически обоснованных расходов",_xlfn.SUMIFS('Калькуляция (МЭОР)'!$AJ$25:$AJ$197,'Калькуляция (МЭОР)'!$F$25:$F$197,$F93,'Калькуляция (МЭОР)'!$G$25:$G$197,$G93),IF(method_reg="Метод сравнения аналогов",_xlfn.SUMIFS('Калькуляция (МСА)'!$AE$25:$AE$65,'Калькуляция (МСА)'!$F$25:$F$65,$F93,'Калькуляция (МСА)'!$G$25:$G$65,$G93),_xlfn.SUMIFS(INDEX('Калькуляция (МИ)'!$AJ$25:$BC$315,,MATCH(AV$8,'Калькуляция (МИ)'!$AJ$8:$BC$8,0)),'Калькуляция (МИ)'!$F$25:$F$315,$F93,'Калькуляция (МИ)'!$G$25:$G$315,$G93))))</f>
        <v>36.311</v>
      </c>
      <c r="AW93" s="2907">
        <f>IF(AND(method_reg="Метод индексации",god&lt;&gt;first_year),_xlfn.SUMIFS(INDEX('Калькуляция (МИ корр)'!$AJ$25:$BC$315,,MATCH(AW$8,'Калькуляция (МИ корр)'!$AJ$8:$BC$8,0)),'Калькуляция (МИ корр)'!$F$25:$F$315,$F93,'Калькуляция (МИ корр)'!$G$25:$G$315,$G93),IF(method_reg="Метод экономически обоснованных расходов",_xlfn.SUMIFS('Калькуляция (МЭОР)'!$AK$25:$AK$197,'Калькуляция (МЭОР)'!$F$25:$F$197,$F93,'Калькуляция (МЭОР)'!$G$25:$G$197,$G93),IF(method_reg="Метод сравнения аналогов",_xlfn.SUMIFS('Калькуляция (МСА)'!$AF$25:$AF$65,'Калькуляция (МСА)'!$F$25:$F$65,$F93,'Калькуляция (МСА)'!$G$25:$G$65,$G93),_xlfn.SUMIFS(INDEX('Калькуляция (МИ)'!$AJ$25:$BC$315,,MATCH(AW$8,'Калькуляция (МИ)'!$AJ$8:$BC$8,0)),'Калькуляция (МИ)'!$F$25:$F$315,$F93,'Калькуляция (МИ)'!$G$25:$G$315,$G93))))</f>
        <v>35.62504</v>
      </c>
      <c r="AX93" s="1073">
        <f>IF(AV93=0,0,(AW93-AV93)/AV93*100)</f>
        <v>-1.88912450772494</v>
      </c>
      <c r="AY93" s="2907">
        <f>IF(AND(method_reg="Метод индексации",god&lt;&gt;first_year),_xlfn.SUMIFS(INDEX('Калькуляция (МИ корр)'!$AJ$25:$BC$315,,MATCH(AY$8,'Калькуляция (МИ корр)'!$AJ$8:$BC$8,0)),'Калькуляция (МИ корр)'!$F$25:$F$315,$F93,'Калькуляция (МИ корр)'!$G$25:$G$315,$G93),IF(method_reg="Метод экономически обоснованных расходов",_xlfn.SUMIFS('Калькуляция (МЭОР)'!$AJ$25:$AJ$197,'Калькуляция (МЭОР)'!$F$25:$F$197,$F93,'Калькуляция (МЭОР)'!$G$25:$G$197,$G93),IF(method_reg="Метод сравнения аналогов",_xlfn.SUMIFS('Калькуляция (МСА)'!$AE$25:$AE$65,'Калькуляция (МСА)'!$F$25:$F$65,$F93,'Калькуляция (МСА)'!$G$25:$G$65,$G93),_xlfn.SUMIFS(INDEX('Калькуляция (МИ)'!$AJ$25:$BC$315,,MATCH(AY$8,'Калькуляция (МИ)'!$AJ$8:$BC$8,0)),'Калькуляция (МИ)'!$F$25:$F$315,$F93,'Калькуляция (МИ)'!$G$25:$G$315,$G93))))</f>
        <v>36.311</v>
      </c>
      <c r="AZ93" s="2907">
        <f>IF(AND(method_reg="Метод индексации",god&lt;&gt;first_year),_xlfn.SUMIFS(INDEX('Калькуляция (МИ корр)'!$AJ$25:$BC$315,,MATCH(AZ$8,'Калькуляция (МИ корр)'!$AJ$8:$BC$8,0)),'Калькуляция (МИ корр)'!$F$25:$F$315,$F93,'Калькуляция (МИ корр)'!$G$25:$G$315,$G93),IF(method_reg="Метод экономически обоснованных расходов",_xlfn.SUMIFS('Калькуляция (МЭОР)'!$AK$25:$AK$197,'Калькуляция (МЭОР)'!$F$25:$F$197,$F93,'Калькуляция (МЭОР)'!$G$25:$G$197,$G93),IF(method_reg="Метод сравнения аналогов",_xlfn.SUMIFS('Калькуляция (МСА)'!$AF$25:$AF$65,'Калькуляция (МСА)'!$F$25:$F$65,$F93,'Калькуляция (МСА)'!$G$25:$G$65,$G93),_xlfn.SUMIFS(INDEX('Калькуляция (МИ)'!$AJ$25:$BC$315,,MATCH(AZ$8,'Калькуляция (МИ)'!$AJ$8:$BC$8,0)),'Калькуляция (МИ)'!$F$25:$F$315,$F93,'Калькуляция (МИ)'!$G$25:$G$315,$G93))))</f>
        <v>35.62504</v>
      </c>
      <c r="BA93" s="1073">
        <f>IF(AY93=0,0,(AZ93-AY93)/AY93*100)</f>
        <v>-1.88912450772494</v>
      </c>
      <c r="BB93" s="2907">
        <f>IF(AND(method_reg="Метод индексации",god&lt;&gt;first_year),_xlfn.SUMIFS(INDEX('Калькуляция (МИ корр)'!$AJ$25:$BC$315,,MATCH(BB$8,'Калькуляция (МИ корр)'!$AJ$8:$BC$8,0)),'Калькуляция (МИ корр)'!$F$25:$F$315,$F93,'Калькуляция (МИ корр)'!$G$25:$G$315,$G93),IF(method_reg="Метод экономически обоснованных расходов",_xlfn.SUMIFS('Калькуляция (МЭОР)'!$AJ$25:$AJ$197,'Калькуляция (МЭОР)'!$F$25:$F$197,$F93,'Калькуляция (МЭОР)'!$G$25:$G$197,$G93),IF(method_reg="Метод сравнения аналогов",_xlfn.SUMIFS('Калькуляция (МСА)'!$AE$25:$AE$65,'Калькуляция (МСА)'!$F$25:$F$65,$F93,'Калькуляция (МСА)'!$G$25:$G$65,$G93),_xlfn.SUMIFS(INDEX('Калькуляция (МИ)'!$AJ$25:$BC$315,,MATCH(BB$8,'Калькуляция (МИ)'!$AJ$8:$BC$8,0)),'Калькуляция (МИ)'!$F$25:$F$315,$F93,'Калькуляция (МИ)'!$G$25:$G$315,$G93))))</f>
        <v>36.311</v>
      </c>
      <c r="BC93" s="2907">
        <f>IF(AND(method_reg="Метод индексации",god&lt;&gt;first_year),_xlfn.SUMIFS(INDEX('Калькуляция (МИ корр)'!$AJ$25:$BC$315,,MATCH(BC$8,'Калькуляция (МИ корр)'!$AJ$8:$BC$8,0)),'Калькуляция (МИ корр)'!$F$25:$F$315,$F93,'Калькуляция (МИ корр)'!$G$25:$G$315,$G93),IF(method_reg="Метод экономически обоснованных расходов",_xlfn.SUMIFS('Калькуляция (МЭОР)'!$AK$25:$AK$197,'Калькуляция (МЭОР)'!$F$25:$F$197,$F93,'Калькуляция (МЭОР)'!$G$25:$G$197,$G93),IF(method_reg="Метод сравнения аналогов",_xlfn.SUMIFS('Калькуляция (МСА)'!$AF$25:$AF$65,'Калькуляция (МСА)'!$F$25:$F$65,$F93,'Калькуляция (МСА)'!$G$25:$G$65,$G93),_xlfn.SUMIFS(INDEX('Калькуляция (МИ)'!$AJ$25:$BC$315,,MATCH(BC$8,'Калькуляция (МИ)'!$AJ$8:$BC$8,0)),'Калькуляция (МИ)'!$F$25:$F$315,$F93,'Калькуляция (МИ)'!$G$25:$G$315,$G93))))</f>
        <v>35.62504</v>
      </c>
      <c r="BD93" s="1073">
        <f>IF(BB93=0,0,(BC93-BB93)/BB93*100)</f>
        <v>-1.88912450772494</v>
      </c>
      <c r="BE93" s="2907">
        <f>IF(AND(method_reg="Метод индексации",god&lt;&gt;first_year),_xlfn.SUMIFS(INDEX('Калькуляция (МИ корр)'!$AJ$25:$BC$315,,MATCH(BE$8,'Калькуляция (МИ корр)'!$AJ$8:$BC$8,0)),'Калькуляция (МИ корр)'!$F$25:$F$315,$F93,'Калькуляция (МИ корр)'!$G$25:$G$315,$G93),IF(method_reg="Метод экономически обоснованных расходов",_xlfn.SUMIFS('Калькуляция (МЭОР)'!$AJ$25:$AJ$197,'Калькуляция (МЭОР)'!$F$25:$F$197,$F93,'Калькуляция (МЭОР)'!$G$25:$G$197,$G93),IF(method_reg="Метод сравнения аналогов",_xlfn.SUMIFS('Калькуляция (МСА)'!$AE$25:$AE$65,'Калькуляция (МСА)'!$F$25:$F$65,$F93,'Калькуляция (МСА)'!$G$25:$G$65,$G93),_xlfn.SUMIFS(INDEX('Калькуляция (МИ)'!$AJ$25:$BC$315,,MATCH(BE$8,'Калькуляция (МИ)'!$AJ$8:$BC$8,0)),'Калькуляция (МИ)'!$F$25:$F$315,$F93,'Калькуляция (МИ)'!$G$25:$G$315,$G93))))</f>
        <v>36.311</v>
      </c>
      <c r="BF93" s="2907">
        <f>IF(AND(method_reg="Метод индексации",god&lt;&gt;first_year),_xlfn.SUMIFS(INDEX('Калькуляция (МИ корр)'!$AJ$25:$BC$315,,MATCH(BF$8,'Калькуляция (МИ корр)'!$AJ$8:$BC$8,0)),'Калькуляция (МИ корр)'!$F$25:$F$315,$F93,'Калькуляция (МИ корр)'!$G$25:$G$315,$G93),IF(method_reg="Метод экономически обоснованных расходов",_xlfn.SUMIFS('Калькуляция (МЭОР)'!$AK$25:$AK$197,'Калькуляция (МЭОР)'!$F$25:$F$197,$F93,'Калькуляция (МЭОР)'!$G$25:$G$197,$G93),IF(method_reg="Метод сравнения аналогов",_xlfn.SUMIFS('Калькуляция (МСА)'!$AF$25:$AF$65,'Калькуляция (МСА)'!$F$25:$F$65,$F93,'Калькуляция (МСА)'!$G$25:$G$65,$G93),_xlfn.SUMIFS(INDEX('Калькуляция (МИ)'!$AJ$25:$BC$315,,MATCH(BF$8,'Калькуляция (МИ)'!$AJ$8:$BC$8,0)),'Калькуляция (МИ)'!$F$25:$F$315,$F93,'Калькуляция (МИ)'!$G$25:$G$315,$G93))))</f>
        <v>35.62504</v>
      </c>
      <c r="BG93" s="1073">
        <f>IF(BE93=0,0,(BF93-BE93)/BE93*100)</f>
        <v>-1.88912450772494</v>
      </c>
      <c r="BH93" s="2907"/>
      <c r="BI93" s="2907"/>
      <c r="BJ93" s="1073">
        <f>IF(BH93=0,0,(BI93-BH93)/BH93*100)</f>
        <v>0</v>
      </c>
      <c r="BK93" s="2907"/>
      <c r="BL93" s="2907"/>
      <c r="BM93" s="1073">
        <f>IF(BK93=0,0,(BL93-BK93)/BK93*100)</f>
        <v>0</v>
      </c>
      <c r="BN93" s="2907"/>
      <c r="BO93" s="2907"/>
      <c r="BP93" s="1073">
        <f>IF(BN93=0,0,(BO93-BN93)/BN93*100)</f>
        <v>0</v>
      </c>
      <c r="BQ93" s="2907"/>
      <c r="BR93" s="2907"/>
      <c r="BS93" s="1073">
        <f>IF(BQ93=0,0,(BR93-BQ93)/BQ93*100)</f>
        <v>0</v>
      </c>
      <c r="BT93" s="2907"/>
      <c r="BU93" s="2907"/>
      <c r="BV93" s="1073">
        <f>IF(BT93=0,0,(BU93-BT93)/BT93*100)</f>
        <v>0</v>
      </c>
      <c r="BW93" s="2907"/>
      <c r="BX93" s="2907"/>
      <c r="BY93" s="1073">
        <f>IF(BW93=0,0,(BX93-BW93)/BW93*100)</f>
        <v>0</v>
      </c>
      <c r="BZ93" s="2907"/>
      <c r="CA93" s="2907"/>
      <c r="CB93" s="1073">
        <f>IF(BZ93=0,0,(CA93-BZ93)/BZ93*100)</f>
        <v>0</v>
      </c>
      <c r="CC93" s="2907"/>
      <c r="CD93" s="2907"/>
      <c r="CE93" s="1073">
        <f>IF(CC93=0,0,(CD93-CC93)/CC93*100)</f>
        <v>0</v>
      </c>
      <c r="CF93" s="2907"/>
      <c r="CG93" s="2907"/>
      <c r="CH93" s="1073">
        <f>IF(CF93=0,0,(CG93-CF93)/CF93*100)</f>
        <v>0</v>
      </c>
      <c r="CI93" s="2907"/>
      <c r="CJ93" s="2907"/>
      <c r="CK93" s="1073">
        <f>IF(CI93=0,0,(CJ93-CI93)/CI93*100)</f>
        <v>0</v>
      </c>
      <c r="CL93" s="2907"/>
      <c r="CM93" s="2907"/>
      <c r="CN93" s="1073">
        <f>IF(CL93=0,0,(CM93-CL93)/CL93*100)</f>
        <v>0</v>
      </c>
      <c r="CO93" s="2907"/>
      <c r="CP93" s="2907"/>
      <c r="CQ93" s="1073">
        <f>IF(CO93=0,0,(CP93-CO93)/CO93*100)</f>
        <v>0</v>
      </c>
      <c r="CR93" s="2907"/>
      <c r="CS93" s="2907"/>
      <c r="CT93" s="1073">
        <f>IF(CR93=0,0,(CS93-CR93)/CR93*100)</f>
        <v>0</v>
      </c>
      <c r="CU93" s="2907"/>
      <c r="CV93" s="2907"/>
      <c r="CW93" s="1073">
        <f>IF(CU93=0,0,(CV93-CU93)/CU93*100)</f>
        <v>0</v>
      </c>
      <c r="CX93" s="2907"/>
      <c r="CY93" s="2907"/>
      <c r="CZ93" s="1073">
        <f>IF(CX93=0,0,(CY93-CX93)/CX93*100)</f>
        <v>0</v>
      </c>
      <c r="DA93" s="2907"/>
      <c r="DB93" s="2907"/>
      <c r="DC93" s="1073">
        <f>IF(DA93=0,0,(DB93-DA93)/DA93*100)</f>
        <v>0</v>
      </c>
      <c r="DD93" s="2907"/>
      <c r="DE93" s="2907"/>
      <c r="DF93" s="1073">
        <f>IF(DD93=0,0,(DE93-DD93)/DD93*100)</f>
        <v>0</v>
      </c>
      <c r="DG93" s="2907"/>
      <c r="DH93" s="2907"/>
      <c r="DI93" s="1073">
        <f>IF(DG93=0,0,(DH93-DG93)/DG93*100)</f>
        <v>0</v>
      </c>
      <c r="DJ93" s="2907"/>
      <c r="DK93" s="2907"/>
      <c r="DL93" s="1073">
        <f>IF(DJ93=0,0,(DK93-DJ93)/DJ93*100)</f>
        <v>0</v>
      </c>
      <c r="DM93" s="2907"/>
      <c r="DN93" s="2907"/>
      <c r="DO93" s="1073">
        <f>IF(DM93=0,0,(DN93-DM93)/DM93*100)</f>
        <v>0</v>
      </c>
      <c r="DP93" s="2907"/>
      <c r="DQ93" s="2907"/>
      <c r="DR93" s="1073">
        <f>IF(DP93=0,0,(DQ93-DP93)/DP93*100)</f>
        <v>0</v>
      </c>
      <c r="DS93" s="2907"/>
      <c r="DT93" s="2907"/>
      <c r="DU93" s="1073">
        <f>IF(DS93=0,0,(DT93-DS93)/DS93*100)</f>
        <v>0</v>
      </c>
      <c r="DV93" s="2907"/>
      <c r="DW93" s="2907"/>
      <c r="DX93" s="1073">
        <f>IF(DV93=0,0,(DW93-DV93)/DV93*100)</f>
        <v>0</v>
      </c>
      <c r="DY93" s="2907"/>
      <c r="DZ93" s="2907"/>
      <c r="EA93" s="1073">
        <f>IF(DY93=0,0,(DZ93-DY93)/DY93*100)</f>
        <v>0</v>
      </c>
      <c r="EB93" s="2907"/>
      <c r="EC93" s="2907"/>
      <c r="ED93" s="1073">
        <f>IF(EB93=0,0,(EC93-EB93)/EB93*100)</f>
        <v>0</v>
      </c>
      <c r="EE93" s="2907"/>
      <c r="EF93" s="2907"/>
      <c r="EG93" s="1073">
        <f>IF(EE93=0,0,(EF93-EE93)/EE93*100)</f>
        <v>0</v>
      </c>
      <c r="EH93" s="2907"/>
      <c r="EI93" s="2907"/>
      <c r="EJ93" s="1073">
        <f>IF(EH93=0,0,(EI93-EH93)/EH93*100)</f>
        <v>0</v>
      </c>
      <c r="EK93" s="2907"/>
      <c r="EL93" s="2907"/>
      <c r="EM93" s="1073">
        <f>IF(EK93=0,0,(EL93-EK93)/EK93*100)</f>
        <v>0</v>
      </c>
      <c r="EN93" s="2907"/>
      <c r="EO93" s="2907"/>
      <c r="EP93" s="1073">
        <f>IF(EN93=0,0,(EO93-EN93)/EN93*100)</f>
        <v>0</v>
      </c>
      <c r="EQ93" s="2907"/>
      <c r="ER93" s="2907"/>
      <c r="ES93" s="1073">
        <f>IF(EQ93=0,0,(ER93-EQ93)/EQ93*100)</f>
        <v>0</v>
      </c>
      <c r="ET93" s="2907"/>
      <c r="EU93" s="2907"/>
      <c r="EV93" s="1073">
        <f>IF(ET93=0,0,(EU93-ET93)/ET93*100)</f>
        <v>0</v>
      </c>
      <c r="EW93" s="2907"/>
      <c r="EX93" s="2907"/>
      <c r="EY93" s="1073">
        <f>IF(EW93=0,0,(EX93-EW93)/EW93*100)</f>
        <v>0</v>
      </c>
      <c r="EZ93" s="2907"/>
      <c r="FA93" s="2907"/>
      <c r="FB93" s="1073">
        <f>IF(EZ93=0,0,(FA93-EZ93)/EZ93*100)</f>
        <v>0</v>
      </c>
      <c r="FC93" s="2907"/>
      <c r="FD93" s="2907"/>
      <c r="FE93" s="1073">
        <f>IF(FC93=0,0,(FD93-FC93)/FC93*100)</f>
        <v>0</v>
      </c>
      <c r="FF93" s="2907"/>
      <c r="FG93" s="2907"/>
      <c r="FH93" s="1073">
        <f>IF(FF93=0,0,(FG93-FF93)/FF93*100)</f>
        <v>0</v>
      </c>
      <c r="FI93" s="2907"/>
      <c r="FJ93" s="2907"/>
      <c r="FK93" s="1073">
        <f>IF(FI93=0,0,(FJ93-FI93)/FI93*100)</f>
        <v>0</v>
      </c>
      <c r="FL93" s="2907"/>
      <c r="FM93" s="2907"/>
      <c r="FN93" s="1073">
        <f>IF(FL93=0,0,(FM93-FL93)/FL93*100)</f>
        <v>0</v>
      </c>
      <c r="FO93" s="2907"/>
      <c r="FP93" s="2907"/>
      <c r="FQ93" s="1073">
        <f>IF(FO93=0,0,(FP93-FO93)/FO93*100)</f>
        <v>0</v>
      </c>
      <c r="FR93" s="2907"/>
      <c r="FS93" s="2907"/>
      <c r="FT93" s="1073">
        <f>IF(FR93=0,0,(FS93-FR93)/FR93*100)</f>
        <v>0</v>
      </c>
      <c r="FU93" s="2907"/>
      <c r="FV93" s="2907"/>
      <c r="FW93" s="1073">
        <f>IF(FU93=0,0,(FV93-FU93)/FU93*100)</f>
        <v>0</v>
      </c>
      <c r="FX93" s="258"/>
      <c r="FY93" s="1282"/>
      <c r="FZ93" s="1032" t="s">
        <v>1487</v>
      </c>
      <c r="GA93" s="1284"/>
      <c r="GB93" s="1284"/>
      <c r="GC93" s="1283"/>
      <c r="GD93" s="1283"/>
    </row>
    <row s="2942" customFormat="1" customHeight="1" ht="23.25" hidden="1">
      <c r="A94" s="873"/>
      <c r="B94" s="901" cm="1" t="str">
        <f t="array" ref="B94:B94">B93</f>
        <v>false</v>
      </c>
      <c r="C94" s="873"/>
      <c r="D94" s="873"/>
      <c r="E94" s="874">
        <v>24.5</v>
      </c>
      <c r="F94" s="50" cm="1" t="str">
        <f t="array" ref="F94:F94">OFFSET(E94,-1,1)</f>
        <v>1</v>
      </c>
      <c r="G94" s="73" t="s">
        <v>1488</v>
      </c>
      <c r="H94" s="466" t="s">
        <v>434</v>
      </c>
      <c r="I94" s="466" t="s">
        <v>1489</v>
      </c>
      <c r="J94" s="873"/>
      <c r="K94" s="873"/>
      <c r="L94" s="466"/>
      <c r="M94" s="873"/>
      <c r="N94" s="873"/>
      <c r="O94" s="873"/>
      <c r="P94" s="873"/>
      <c r="Q94" s="873"/>
      <c r="R94" s="466"/>
      <c r="S94" s="466"/>
      <c r="T94" s="438" cm="1" t="str">
        <f t="array" ref="T94:T94">T93</f>
        <v>true</v>
      </c>
      <c r="U94" s="873"/>
      <c r="V94" s="873"/>
      <c r="W94" s="873"/>
      <c r="X94" s="1541"/>
      <c r="Y94" s="873"/>
      <c r="Z94" s="1493"/>
      <c r="AA94" s="873"/>
      <c r="AB94" s="259" t="s">
        <v>1490</v>
      </c>
      <c r="AC94" s="260" t="s">
        <v>1476</v>
      </c>
      <c r="AD94" s="2898">
        <f>IF(AND(method_reg="Метод индексации",god&lt;&gt;first_year),_xlfn.SUMIFS(INDEX('Калькуляция (МИ корр)'!$AJ$25:$BC$315,,MATCH(AD$8,'Калькуляция (МИ корр)'!$AJ$8:$BC$8,0)),'Калькуляция (МИ корр)'!$F$25:$F$315,$F94,'Калькуляция (МИ корр)'!$G$25:$G$315,$G94),IF(method_reg="Метод экономически обоснованных расходов",_xlfn.SUMIFS('Калькуляция (МЭОР)'!$AJ$25:$AJ$197,'Калькуляция (МЭОР)'!$F$25:$F$197,$F94,'Калькуляция (МЭОР)'!$G$25:$G$197,$G94),IF(method_reg="Метод сравнения аналогов",_xlfn.SUMIFS('Калькуляция (МСА)'!$AE$25:$AE$65,'Калькуляция (МСА)'!$F$25:$F$65,$F94,'Калькуляция (МСА)'!$G$25:$G$65,$G94),_xlfn.SUMIFS(INDEX('Калькуляция (МИ)'!$AJ$25:$BC$315,,MATCH(AD$8,'Калькуляция (МИ)'!$AJ$8:$BC$8,0)),'Калькуляция (МИ)'!$F$25:$F$315,$F94,'Калькуляция (МИ)'!$G$25:$G$315,$G94))))</f>
        <v>0</v>
      </c>
      <c r="AE94" s="2898">
        <f>IF(AND(method_reg="Метод индексации",god&lt;&gt;first_year),_xlfn.SUMIFS(INDEX('Калькуляция (МИ корр)'!$AJ$25:$BC$315,,MATCH(AE$8,'Калькуляция (МИ корр)'!$AJ$8:$BC$8,0)),'Калькуляция (МИ корр)'!$F$25:$F$315,$F94,'Калькуляция (МИ корр)'!$G$25:$G$315,$G94),IF(method_reg="Метод экономически обоснованных расходов",_xlfn.SUMIFS('Калькуляция (МЭОР)'!$AK$25:$AK$197,'Калькуляция (МЭОР)'!$F$25:$F$197,$F94,'Калькуляция (МЭОР)'!$G$25:$G$197,$G94),IF(method_reg="Метод сравнения аналогов",_xlfn.SUMIFS('Калькуляция (МСА)'!$AF$25:$AF$65,'Калькуляция (МСА)'!$F$25:$F$65,$F94,'Калькуляция (МСА)'!$G$25:$G$65,$G94),_xlfn.SUMIFS(INDEX('Калькуляция (МИ)'!$AJ$25:$BC$315,,MATCH(AE$8,'Калькуляция (МИ)'!$AJ$8:$BC$8,0)),'Калькуляция (МИ)'!$F$25:$F$315,$F94,'Калькуляция (МИ)'!$G$25:$G$315,$G94))))</f>
        <v>0</v>
      </c>
      <c r="AF94" s="262">
        <f>IF(AD94=0,0,(AE94-AD94)/AD94*100)</f>
        <v>0</v>
      </c>
      <c r="AG94" s="2898">
        <f>IF(AND(method_reg="Метод индексации",god&lt;&gt;first_year),_xlfn.SUMIFS(INDEX('Калькуляция (МИ корр)'!$AJ$25:$BC$315,,MATCH(AG$8,'Калькуляция (МИ корр)'!$AJ$8:$BC$8,0)),'Калькуляция (МИ корр)'!$F$25:$F$315,$F94,'Калькуляция (МИ корр)'!$G$25:$G$315,$G94),IF(method_reg="Метод экономически обоснованных расходов",_xlfn.SUMIFS('Калькуляция (МЭОР)'!$AJ$25:$AJ$197,'Калькуляция (МЭОР)'!$F$25:$F$197,$F94,'Калькуляция (МЭОР)'!$G$25:$G$197,$G94),IF(method_reg="Метод сравнения аналогов",_xlfn.SUMIFS('Калькуляция (МСА)'!$AE$25:$AE$65,'Калькуляция (МСА)'!$F$25:$F$65,$F94,'Калькуляция (МСА)'!$G$25:$G$65,$G94),_xlfn.SUMIFS(INDEX('Калькуляция (МИ)'!$AJ$25:$BC$315,,MATCH(AG$8,'Калькуляция (МИ)'!$AJ$8:$BC$8,0)),'Калькуляция (МИ)'!$F$25:$F$315,$F94,'Калькуляция (МИ)'!$G$25:$G$315,$G94))))</f>
        <v>0</v>
      </c>
      <c r="AH94" s="2898">
        <f>IF(AND(method_reg="Метод индексации",god&lt;&gt;first_year),_xlfn.SUMIFS(INDEX('Калькуляция (МИ корр)'!$AJ$25:$BC$315,,MATCH(AH$8,'Калькуляция (МИ корр)'!$AJ$8:$BC$8,0)),'Калькуляция (МИ корр)'!$F$25:$F$315,$F94,'Калькуляция (МИ корр)'!$G$25:$G$315,$G94),IF(method_reg="Метод экономически обоснованных расходов",_xlfn.SUMIFS('Калькуляция (МЭОР)'!$AK$25:$AK$197,'Калькуляция (МЭОР)'!$F$25:$F$197,$F94,'Калькуляция (МЭОР)'!$G$25:$G$197,$G94),IF(method_reg="Метод сравнения аналогов",_xlfn.SUMIFS('Калькуляция (МСА)'!$AF$25:$AF$65,'Калькуляция (МСА)'!$F$25:$F$65,$F94,'Калькуляция (МСА)'!$G$25:$G$65,$G94),_xlfn.SUMIFS(INDEX('Калькуляция (МИ)'!$AJ$25:$BC$315,,MATCH(AH$8,'Калькуляция (МИ)'!$AJ$8:$BC$8,0)),'Калькуляция (МИ)'!$F$25:$F$315,$F94,'Калькуляция (МИ)'!$G$25:$G$315,$G94))))</f>
        <v>0</v>
      </c>
      <c r="AI94" s="262">
        <f>IF(AG94=0,0,(AH94-AG94)/AG94*100)</f>
        <v>0</v>
      </c>
      <c r="AJ94" s="2898">
        <f>IF(AND(method_reg="Метод индексации",god&lt;&gt;first_year),_xlfn.SUMIFS(INDEX('Калькуляция (МИ корр)'!$AJ$25:$BC$315,,MATCH(AJ$8,'Калькуляция (МИ корр)'!$AJ$8:$BC$8,0)),'Калькуляция (МИ корр)'!$F$25:$F$315,$F94,'Калькуляция (МИ корр)'!$G$25:$G$315,$G94),IF(method_reg="Метод экономически обоснованных расходов",_xlfn.SUMIFS('Калькуляция (МЭОР)'!$AJ$25:$AJ$197,'Калькуляция (МЭОР)'!$F$25:$F$197,$F94,'Калькуляция (МЭОР)'!$G$25:$G$197,$G94),IF(method_reg="Метод сравнения аналогов",_xlfn.SUMIFS('Калькуляция (МСА)'!$AE$25:$AE$65,'Калькуляция (МСА)'!$F$25:$F$65,$F94,'Калькуляция (МСА)'!$G$25:$G$65,$G94),_xlfn.SUMIFS(INDEX('Калькуляция (МИ)'!$AJ$25:$BC$315,,MATCH(AJ$8,'Калькуляция (МИ)'!$AJ$8:$BC$8,0)),'Калькуляция (МИ)'!$F$25:$F$315,$F94,'Калькуляция (МИ)'!$G$25:$G$315,$G94))))</f>
        <v>0</v>
      </c>
      <c r="AK94" s="2898">
        <f>IF(AND(method_reg="Метод индексации",god&lt;&gt;first_year),_xlfn.SUMIFS(INDEX('Калькуляция (МИ корр)'!$AJ$25:$BC$315,,MATCH(AK$8,'Калькуляция (МИ корр)'!$AJ$8:$BC$8,0)),'Калькуляция (МИ корр)'!$F$25:$F$315,$F94,'Калькуляция (МИ корр)'!$G$25:$G$315,$G94),IF(method_reg="Метод экономически обоснованных расходов",_xlfn.SUMIFS('Калькуляция (МЭОР)'!$AK$25:$AK$197,'Калькуляция (МЭОР)'!$F$25:$F$197,$F94,'Калькуляция (МЭОР)'!$G$25:$G$197,$G94),IF(method_reg="Метод сравнения аналогов",_xlfn.SUMIFS('Калькуляция (МСА)'!$AF$25:$AF$65,'Калькуляция (МСА)'!$F$25:$F$65,$F94,'Калькуляция (МСА)'!$G$25:$G$65,$G94),_xlfn.SUMIFS(INDEX('Калькуляция (МИ)'!$AJ$25:$BC$315,,MATCH(AK$8,'Калькуляция (МИ)'!$AJ$8:$BC$8,0)),'Калькуляция (МИ)'!$F$25:$F$315,$F94,'Калькуляция (МИ)'!$G$25:$G$315,$G94))))</f>
        <v>0</v>
      </c>
      <c r="AL94" s="262">
        <f>IF(AJ94=0,0,(AK94-AJ94)/AJ94*100)</f>
        <v>0</v>
      </c>
      <c r="AM94" s="2898">
        <f>IF(AND(method_reg="Метод индексации",god&lt;&gt;first_year),_xlfn.SUMIFS(INDEX('Калькуляция (МИ корр)'!$AJ$25:$BC$315,,MATCH(AM$8,'Калькуляция (МИ корр)'!$AJ$8:$BC$8,0)),'Калькуляция (МИ корр)'!$F$25:$F$315,$F94,'Калькуляция (МИ корр)'!$G$25:$G$315,$G94),IF(method_reg="Метод экономически обоснованных расходов",_xlfn.SUMIFS('Калькуляция (МЭОР)'!$AJ$25:$AJ$197,'Калькуляция (МЭОР)'!$F$25:$F$197,$F94,'Калькуляция (МЭОР)'!$G$25:$G$197,$G94),IF(method_reg="Метод сравнения аналогов",_xlfn.SUMIFS('Калькуляция (МСА)'!$AE$25:$AE$65,'Калькуляция (МСА)'!$F$25:$F$65,$F94,'Калькуляция (МСА)'!$G$25:$G$65,$G94),_xlfn.SUMIFS(INDEX('Калькуляция (МИ)'!$AJ$25:$BC$315,,MATCH(AM$8,'Калькуляция (МИ)'!$AJ$8:$BC$8,0)),'Калькуляция (МИ)'!$F$25:$F$315,$F94,'Калькуляция (МИ)'!$G$25:$G$315,$G94))))</f>
        <v>0</v>
      </c>
      <c r="AN94" s="2898">
        <f>IF(AND(method_reg="Метод индексации",god&lt;&gt;first_year),_xlfn.SUMIFS(INDEX('Калькуляция (МИ корр)'!$AJ$25:$BC$315,,MATCH(AN$8,'Калькуляция (МИ корр)'!$AJ$8:$BC$8,0)),'Калькуляция (МИ корр)'!$F$25:$F$315,$F94,'Калькуляция (МИ корр)'!$G$25:$G$315,$G94),IF(method_reg="Метод экономически обоснованных расходов",_xlfn.SUMIFS('Калькуляция (МЭОР)'!$AK$25:$AK$197,'Калькуляция (МЭОР)'!$F$25:$F$197,$F94,'Калькуляция (МЭОР)'!$G$25:$G$197,$G94),IF(method_reg="Метод сравнения аналогов",_xlfn.SUMIFS('Калькуляция (МСА)'!$AF$25:$AF$65,'Калькуляция (МСА)'!$F$25:$F$65,$F94,'Калькуляция (МСА)'!$G$25:$G$65,$G94),_xlfn.SUMIFS(INDEX('Калькуляция (МИ)'!$AJ$25:$BC$315,,MATCH(AN$8,'Калькуляция (МИ)'!$AJ$8:$BC$8,0)),'Калькуляция (МИ)'!$F$25:$F$315,$F94,'Калькуляция (МИ)'!$G$25:$G$315,$G94))))</f>
        <v>0</v>
      </c>
      <c r="AO94" s="262">
        <f>IF(AM94=0,0,(AN94-AM94)/AM94*100)</f>
        <v>0</v>
      </c>
      <c r="AP94" s="2898">
        <f>IF(AND(method_reg="Метод индексации",god&lt;&gt;first_year),_xlfn.SUMIFS(INDEX('Калькуляция (МИ корр)'!$AJ$25:$BC$315,,MATCH(AP$8,'Калькуляция (МИ корр)'!$AJ$8:$BC$8,0)),'Калькуляция (МИ корр)'!$F$25:$F$315,$F94,'Калькуляция (МИ корр)'!$G$25:$G$315,$G94),IF(method_reg="Метод экономически обоснованных расходов",_xlfn.SUMIFS('Калькуляция (МЭОР)'!$AJ$25:$AJ$197,'Калькуляция (МЭОР)'!$F$25:$F$197,$F94,'Калькуляция (МЭОР)'!$G$25:$G$197,$G94),IF(method_reg="Метод сравнения аналогов",_xlfn.SUMIFS('Калькуляция (МСА)'!$AE$25:$AE$65,'Калькуляция (МСА)'!$F$25:$F$65,$F94,'Калькуляция (МСА)'!$G$25:$G$65,$G94),_xlfn.SUMIFS(INDEX('Калькуляция (МИ)'!$AJ$25:$BC$315,,MATCH(AP$8,'Калькуляция (МИ)'!$AJ$8:$BC$8,0)),'Калькуляция (МИ)'!$F$25:$F$315,$F94,'Калькуляция (МИ)'!$G$25:$G$315,$G94))))</f>
        <v>0</v>
      </c>
      <c r="AQ94" s="2898">
        <f>IF(AND(method_reg="Метод индексации",god&lt;&gt;first_year),_xlfn.SUMIFS(INDEX('Калькуляция (МИ корр)'!$AJ$25:$BC$315,,MATCH(AQ$8,'Калькуляция (МИ корр)'!$AJ$8:$BC$8,0)),'Калькуляция (МИ корр)'!$F$25:$F$315,$F94,'Калькуляция (МИ корр)'!$G$25:$G$315,$G94),IF(method_reg="Метод экономически обоснованных расходов",_xlfn.SUMIFS('Калькуляция (МЭОР)'!$AK$25:$AK$197,'Калькуляция (МЭОР)'!$F$25:$F$197,$F94,'Калькуляция (МЭОР)'!$G$25:$G$197,$G94),IF(method_reg="Метод сравнения аналогов",_xlfn.SUMIFS('Калькуляция (МСА)'!$AF$25:$AF$65,'Калькуляция (МСА)'!$F$25:$F$65,$F94,'Калькуляция (МСА)'!$G$25:$G$65,$G94),_xlfn.SUMIFS(INDEX('Калькуляция (МИ)'!$AJ$25:$BC$315,,MATCH(AQ$8,'Калькуляция (МИ)'!$AJ$8:$BC$8,0)),'Калькуляция (МИ)'!$F$25:$F$315,$F94,'Калькуляция (МИ)'!$G$25:$G$315,$G94))))</f>
        <v>0</v>
      </c>
      <c r="AR94" s="262">
        <f>IF(AP94=0,0,(AQ94-AP94)/AP94*100)</f>
        <v>0</v>
      </c>
      <c r="AS94" s="2898">
        <f>IF(AND(method_reg="Метод индексации",god&lt;&gt;first_year),_xlfn.SUMIFS(INDEX('Калькуляция (МИ корр)'!$AJ$25:$BC$315,,MATCH(AS$8,'Калькуляция (МИ корр)'!$AJ$8:$BC$8,0)),'Калькуляция (МИ корр)'!$F$25:$F$315,$F94,'Калькуляция (МИ корр)'!$G$25:$G$315,$G94),IF(method_reg="Метод экономически обоснованных расходов",_xlfn.SUMIFS('Калькуляция (МЭОР)'!$AJ$25:$AJ$197,'Калькуляция (МЭОР)'!$F$25:$F$197,$F94,'Калькуляция (МЭОР)'!$G$25:$G$197,$G94),IF(method_reg="Метод сравнения аналогов",_xlfn.SUMIFS('Калькуляция (МСА)'!$AE$25:$AE$65,'Калькуляция (МСА)'!$F$25:$F$65,$F94,'Калькуляция (МСА)'!$G$25:$G$65,$G94),_xlfn.SUMIFS(INDEX('Калькуляция (МИ)'!$AJ$25:$BC$315,,MATCH(AS$8,'Калькуляция (МИ)'!$AJ$8:$BC$8,0)),'Калькуляция (МИ)'!$F$25:$F$315,$F94,'Калькуляция (МИ)'!$G$25:$G$315,$G94))))</f>
        <v>0</v>
      </c>
      <c r="AT94" s="2898">
        <f>IF(AND(method_reg="Метод индексации",god&lt;&gt;first_year),_xlfn.SUMIFS(INDEX('Калькуляция (МИ корр)'!$AJ$25:$BC$315,,MATCH(AT$8,'Калькуляция (МИ корр)'!$AJ$8:$BC$8,0)),'Калькуляция (МИ корр)'!$F$25:$F$315,$F94,'Калькуляция (МИ корр)'!$G$25:$G$315,$G94),IF(method_reg="Метод экономически обоснованных расходов",_xlfn.SUMIFS('Калькуляция (МЭОР)'!$AK$25:$AK$197,'Калькуляция (МЭОР)'!$F$25:$F$197,$F94,'Калькуляция (МЭОР)'!$G$25:$G$197,$G94),IF(method_reg="Метод сравнения аналогов",_xlfn.SUMIFS('Калькуляция (МСА)'!$AF$25:$AF$65,'Калькуляция (МСА)'!$F$25:$F$65,$F94,'Калькуляция (МСА)'!$G$25:$G$65,$G94),_xlfn.SUMIFS(INDEX('Калькуляция (МИ)'!$AJ$25:$BC$315,,MATCH(AT$8,'Калькуляция (МИ)'!$AJ$8:$BC$8,0)),'Калькуляция (МИ)'!$F$25:$F$315,$F94,'Калькуляция (МИ)'!$G$25:$G$315,$G94))))</f>
        <v>0</v>
      </c>
      <c r="AU94" s="262">
        <f>IF(AS94=0,0,(AT94-AS94)/AS94*100)</f>
        <v>0</v>
      </c>
      <c r="AV94" s="2898">
        <f>IF(AND(method_reg="Метод индексации",god&lt;&gt;first_year),_xlfn.SUMIFS(INDEX('Калькуляция (МИ корр)'!$AJ$25:$BC$315,,MATCH(AV$8,'Калькуляция (МИ корр)'!$AJ$8:$BC$8,0)),'Калькуляция (МИ корр)'!$F$25:$F$315,$F94,'Калькуляция (МИ корр)'!$G$25:$G$315,$G94),IF(method_reg="Метод экономически обоснованных расходов",_xlfn.SUMIFS('Калькуляция (МЭОР)'!$AJ$25:$AJ$197,'Калькуляция (МЭОР)'!$F$25:$F$197,$F94,'Калькуляция (МЭОР)'!$G$25:$G$197,$G94),IF(method_reg="Метод сравнения аналогов",_xlfn.SUMIFS('Калькуляция (МСА)'!$AE$25:$AE$65,'Калькуляция (МСА)'!$F$25:$F$65,$F94,'Калькуляция (МСА)'!$G$25:$G$65,$G94),_xlfn.SUMIFS(INDEX('Калькуляция (МИ)'!$AJ$25:$BC$315,,MATCH(AV$8,'Калькуляция (МИ)'!$AJ$8:$BC$8,0)),'Калькуляция (МИ)'!$F$25:$F$315,$F94,'Калькуляция (МИ)'!$G$25:$G$315,$G94))))</f>
        <v>0</v>
      </c>
      <c r="AW94" s="2898">
        <f>IF(AND(method_reg="Метод индексации",god&lt;&gt;first_year),_xlfn.SUMIFS(INDEX('Калькуляция (МИ корр)'!$AJ$25:$BC$315,,MATCH(AW$8,'Калькуляция (МИ корр)'!$AJ$8:$BC$8,0)),'Калькуляция (МИ корр)'!$F$25:$F$315,$F94,'Калькуляция (МИ корр)'!$G$25:$G$315,$G94),IF(method_reg="Метод экономически обоснованных расходов",_xlfn.SUMIFS('Калькуляция (МЭОР)'!$AK$25:$AK$197,'Калькуляция (МЭОР)'!$F$25:$F$197,$F94,'Калькуляция (МЭОР)'!$G$25:$G$197,$G94),IF(method_reg="Метод сравнения аналогов",_xlfn.SUMIFS('Калькуляция (МСА)'!$AF$25:$AF$65,'Калькуляция (МСА)'!$F$25:$F$65,$F94,'Калькуляция (МСА)'!$G$25:$G$65,$G94),_xlfn.SUMIFS(INDEX('Калькуляция (МИ)'!$AJ$25:$BC$315,,MATCH(AW$8,'Калькуляция (МИ)'!$AJ$8:$BC$8,0)),'Калькуляция (МИ)'!$F$25:$F$315,$F94,'Калькуляция (МИ)'!$G$25:$G$315,$G94))))</f>
        <v>0</v>
      </c>
      <c r="AX94" s="262">
        <f>IF(AV94=0,0,(AW94-AV94)/AV94*100)</f>
        <v>0</v>
      </c>
      <c r="AY94" s="2898">
        <f>IF(AND(method_reg="Метод индексации",god&lt;&gt;first_year),_xlfn.SUMIFS(INDEX('Калькуляция (МИ корр)'!$AJ$25:$BC$315,,MATCH(AY$8,'Калькуляция (МИ корр)'!$AJ$8:$BC$8,0)),'Калькуляция (МИ корр)'!$F$25:$F$315,$F94,'Калькуляция (МИ корр)'!$G$25:$G$315,$G94),IF(method_reg="Метод экономически обоснованных расходов",_xlfn.SUMIFS('Калькуляция (МЭОР)'!$AJ$25:$AJ$197,'Калькуляция (МЭОР)'!$F$25:$F$197,$F94,'Калькуляция (МЭОР)'!$G$25:$G$197,$G94),IF(method_reg="Метод сравнения аналогов",_xlfn.SUMIFS('Калькуляция (МСА)'!$AE$25:$AE$65,'Калькуляция (МСА)'!$F$25:$F$65,$F94,'Калькуляция (МСА)'!$G$25:$G$65,$G94),_xlfn.SUMIFS(INDEX('Калькуляция (МИ)'!$AJ$25:$BC$315,,MATCH(AY$8,'Калькуляция (МИ)'!$AJ$8:$BC$8,0)),'Калькуляция (МИ)'!$F$25:$F$315,$F94,'Калькуляция (МИ)'!$G$25:$G$315,$G94))))</f>
        <v>0</v>
      </c>
      <c r="AZ94" s="2898">
        <f>IF(AND(method_reg="Метод индексации",god&lt;&gt;first_year),_xlfn.SUMIFS(INDEX('Калькуляция (МИ корр)'!$AJ$25:$BC$315,,MATCH(AZ$8,'Калькуляция (МИ корр)'!$AJ$8:$BC$8,0)),'Калькуляция (МИ корр)'!$F$25:$F$315,$F94,'Калькуляция (МИ корр)'!$G$25:$G$315,$G94),IF(method_reg="Метод экономически обоснованных расходов",_xlfn.SUMIFS('Калькуляция (МЭОР)'!$AK$25:$AK$197,'Калькуляция (МЭОР)'!$F$25:$F$197,$F94,'Калькуляция (МЭОР)'!$G$25:$G$197,$G94),IF(method_reg="Метод сравнения аналогов",_xlfn.SUMIFS('Калькуляция (МСА)'!$AF$25:$AF$65,'Калькуляция (МСА)'!$F$25:$F$65,$F94,'Калькуляция (МСА)'!$G$25:$G$65,$G94),_xlfn.SUMIFS(INDEX('Калькуляция (МИ)'!$AJ$25:$BC$315,,MATCH(AZ$8,'Калькуляция (МИ)'!$AJ$8:$BC$8,0)),'Калькуляция (МИ)'!$F$25:$F$315,$F94,'Калькуляция (МИ)'!$G$25:$G$315,$G94))))</f>
        <v>0</v>
      </c>
      <c r="BA94" s="262">
        <f>IF(AY94=0,0,(AZ94-AY94)/AY94*100)</f>
        <v>0</v>
      </c>
      <c r="BB94" s="2898">
        <f>IF(AND(method_reg="Метод индексации",god&lt;&gt;first_year),_xlfn.SUMIFS(INDEX('Калькуляция (МИ корр)'!$AJ$25:$BC$315,,MATCH(BB$8,'Калькуляция (МИ корр)'!$AJ$8:$BC$8,0)),'Калькуляция (МИ корр)'!$F$25:$F$315,$F94,'Калькуляция (МИ корр)'!$G$25:$G$315,$G94),IF(method_reg="Метод экономически обоснованных расходов",_xlfn.SUMIFS('Калькуляция (МЭОР)'!$AJ$25:$AJ$197,'Калькуляция (МЭОР)'!$F$25:$F$197,$F94,'Калькуляция (МЭОР)'!$G$25:$G$197,$G94),IF(method_reg="Метод сравнения аналогов",_xlfn.SUMIFS('Калькуляция (МСА)'!$AE$25:$AE$65,'Калькуляция (МСА)'!$F$25:$F$65,$F94,'Калькуляция (МСА)'!$G$25:$G$65,$G94),_xlfn.SUMIFS(INDEX('Калькуляция (МИ)'!$AJ$25:$BC$315,,MATCH(BB$8,'Калькуляция (МИ)'!$AJ$8:$BC$8,0)),'Калькуляция (МИ)'!$F$25:$F$315,$F94,'Калькуляция (МИ)'!$G$25:$G$315,$G94))))</f>
        <v>0</v>
      </c>
      <c r="BC94" s="2898">
        <f>IF(AND(method_reg="Метод индексации",god&lt;&gt;first_year),_xlfn.SUMIFS(INDEX('Калькуляция (МИ корр)'!$AJ$25:$BC$315,,MATCH(BC$8,'Калькуляция (МИ корр)'!$AJ$8:$BC$8,0)),'Калькуляция (МИ корр)'!$F$25:$F$315,$F94,'Калькуляция (МИ корр)'!$G$25:$G$315,$G94),IF(method_reg="Метод экономически обоснованных расходов",_xlfn.SUMIFS('Калькуляция (МЭОР)'!$AK$25:$AK$197,'Калькуляция (МЭОР)'!$F$25:$F$197,$F94,'Калькуляция (МЭОР)'!$G$25:$G$197,$G94),IF(method_reg="Метод сравнения аналогов",_xlfn.SUMIFS('Калькуляция (МСА)'!$AF$25:$AF$65,'Калькуляция (МСА)'!$F$25:$F$65,$F94,'Калькуляция (МСА)'!$G$25:$G$65,$G94),_xlfn.SUMIFS(INDEX('Калькуляция (МИ)'!$AJ$25:$BC$315,,MATCH(BC$8,'Калькуляция (МИ)'!$AJ$8:$BC$8,0)),'Калькуляция (МИ)'!$F$25:$F$315,$F94,'Калькуляция (МИ)'!$G$25:$G$315,$G94))))</f>
        <v>0</v>
      </c>
      <c r="BD94" s="262">
        <f>IF(BB94=0,0,(BC94-BB94)/BB94*100)</f>
        <v>0</v>
      </c>
      <c r="BE94" s="2898">
        <f>IF(AND(method_reg="Метод индексации",god&lt;&gt;first_year),_xlfn.SUMIFS(INDEX('Калькуляция (МИ корр)'!$AJ$25:$BC$315,,MATCH(BE$8,'Калькуляция (МИ корр)'!$AJ$8:$BC$8,0)),'Калькуляция (МИ корр)'!$F$25:$F$315,$F94,'Калькуляция (МИ корр)'!$G$25:$G$315,$G94),IF(method_reg="Метод экономически обоснованных расходов",_xlfn.SUMIFS('Калькуляция (МЭОР)'!$AJ$25:$AJ$197,'Калькуляция (МЭОР)'!$F$25:$F$197,$F94,'Калькуляция (МЭОР)'!$G$25:$G$197,$G94),IF(method_reg="Метод сравнения аналогов",_xlfn.SUMIFS('Калькуляция (МСА)'!$AE$25:$AE$65,'Калькуляция (МСА)'!$F$25:$F$65,$F94,'Калькуляция (МСА)'!$G$25:$G$65,$G94),_xlfn.SUMIFS(INDEX('Калькуляция (МИ)'!$AJ$25:$BC$315,,MATCH(BE$8,'Калькуляция (МИ)'!$AJ$8:$BC$8,0)),'Калькуляция (МИ)'!$F$25:$F$315,$F94,'Калькуляция (МИ)'!$G$25:$G$315,$G94))))</f>
        <v>0</v>
      </c>
      <c r="BF94" s="2898">
        <f>IF(AND(method_reg="Метод индексации",god&lt;&gt;first_year),_xlfn.SUMIFS(INDEX('Калькуляция (МИ корр)'!$AJ$25:$BC$315,,MATCH(BF$8,'Калькуляция (МИ корр)'!$AJ$8:$BC$8,0)),'Калькуляция (МИ корр)'!$F$25:$F$315,$F94,'Калькуляция (МИ корр)'!$G$25:$G$315,$G94),IF(method_reg="Метод экономически обоснованных расходов",_xlfn.SUMIFS('Калькуляция (МЭОР)'!$AK$25:$AK$197,'Калькуляция (МЭОР)'!$F$25:$F$197,$F94,'Калькуляция (МЭОР)'!$G$25:$G$197,$G94),IF(method_reg="Метод сравнения аналогов",_xlfn.SUMIFS('Калькуляция (МСА)'!$AF$25:$AF$65,'Калькуляция (МСА)'!$F$25:$F$65,$F94,'Калькуляция (МСА)'!$G$25:$G$65,$G94),_xlfn.SUMIFS(INDEX('Калькуляция (МИ)'!$AJ$25:$BC$315,,MATCH(BF$8,'Калькуляция (МИ)'!$AJ$8:$BC$8,0)),'Калькуляция (МИ)'!$F$25:$F$315,$F94,'Калькуляция (МИ)'!$G$25:$G$315,$G94))))</f>
        <v>0</v>
      </c>
      <c r="BG94" s="262">
        <f>IF(BE94=0,0,(BF94-BE94)/BE94*100)</f>
        <v>0</v>
      </c>
      <c r="BH94" s="2898"/>
      <c r="BI94" s="2898"/>
      <c r="BJ94" s="262">
        <f>IF(BH94=0,0,(BI94-BH94)/BH94*100)</f>
        <v>0</v>
      </c>
      <c r="BK94" s="2898"/>
      <c r="BL94" s="2898"/>
      <c r="BM94" s="262">
        <f>IF(BK94=0,0,(BL94-BK94)/BK94*100)</f>
        <v>0</v>
      </c>
      <c r="BN94" s="2898"/>
      <c r="BO94" s="2898"/>
      <c r="BP94" s="262">
        <f>IF(BN94=0,0,(BO94-BN94)/BN94*100)</f>
        <v>0</v>
      </c>
      <c r="BQ94" s="2898"/>
      <c r="BR94" s="2898"/>
      <c r="BS94" s="262">
        <f>IF(BQ94=0,0,(BR94-BQ94)/BQ94*100)</f>
        <v>0</v>
      </c>
      <c r="BT94" s="2898"/>
      <c r="BU94" s="2898"/>
      <c r="BV94" s="262">
        <f>IF(BT94=0,0,(BU94-BT94)/BT94*100)</f>
        <v>0</v>
      </c>
      <c r="BW94" s="2898"/>
      <c r="BX94" s="2898"/>
      <c r="BY94" s="262">
        <f>IF(BW94=0,0,(BX94-BW94)/BW94*100)</f>
        <v>0</v>
      </c>
      <c r="BZ94" s="2898"/>
      <c r="CA94" s="2898"/>
      <c r="CB94" s="262">
        <f>IF(BZ94=0,0,(CA94-BZ94)/BZ94*100)</f>
        <v>0</v>
      </c>
      <c r="CC94" s="2898"/>
      <c r="CD94" s="2898"/>
      <c r="CE94" s="262">
        <f>IF(CC94=0,0,(CD94-CC94)/CC94*100)</f>
        <v>0</v>
      </c>
      <c r="CF94" s="2898"/>
      <c r="CG94" s="2898"/>
      <c r="CH94" s="262">
        <f>IF(CF94=0,0,(CG94-CF94)/CF94*100)</f>
        <v>0</v>
      </c>
      <c r="CI94" s="2898"/>
      <c r="CJ94" s="2898"/>
      <c r="CK94" s="262">
        <f>IF(CI94=0,0,(CJ94-CI94)/CI94*100)</f>
        <v>0</v>
      </c>
      <c r="CL94" s="2898"/>
      <c r="CM94" s="2898"/>
      <c r="CN94" s="262">
        <f>IF(CL94=0,0,(CM94-CL94)/CL94*100)</f>
        <v>0</v>
      </c>
      <c r="CO94" s="2898"/>
      <c r="CP94" s="2898"/>
      <c r="CQ94" s="262">
        <f>IF(CO94=0,0,(CP94-CO94)/CO94*100)</f>
        <v>0</v>
      </c>
      <c r="CR94" s="2898"/>
      <c r="CS94" s="2898"/>
      <c r="CT94" s="262">
        <f>IF(CR94=0,0,(CS94-CR94)/CR94*100)</f>
        <v>0</v>
      </c>
      <c r="CU94" s="2898"/>
      <c r="CV94" s="2898"/>
      <c r="CW94" s="262">
        <f>IF(CU94=0,0,(CV94-CU94)/CU94*100)</f>
        <v>0</v>
      </c>
      <c r="CX94" s="2898"/>
      <c r="CY94" s="2898"/>
      <c r="CZ94" s="262">
        <f>IF(CX94=0,0,(CY94-CX94)/CX94*100)</f>
        <v>0</v>
      </c>
      <c r="DA94" s="2898"/>
      <c r="DB94" s="2898"/>
      <c r="DC94" s="262">
        <f>IF(DA94=0,0,(DB94-DA94)/DA94*100)</f>
        <v>0</v>
      </c>
      <c r="DD94" s="2898"/>
      <c r="DE94" s="2898"/>
      <c r="DF94" s="262">
        <f>IF(DD94=0,0,(DE94-DD94)/DD94*100)</f>
        <v>0</v>
      </c>
      <c r="DG94" s="2898"/>
      <c r="DH94" s="2898"/>
      <c r="DI94" s="262">
        <f>IF(DG94=0,0,(DH94-DG94)/DG94*100)</f>
        <v>0</v>
      </c>
      <c r="DJ94" s="2898"/>
      <c r="DK94" s="2898"/>
      <c r="DL94" s="262">
        <f>IF(DJ94=0,0,(DK94-DJ94)/DJ94*100)</f>
        <v>0</v>
      </c>
      <c r="DM94" s="2898"/>
      <c r="DN94" s="2898"/>
      <c r="DO94" s="262">
        <f>IF(DM94=0,0,(DN94-DM94)/DM94*100)</f>
        <v>0</v>
      </c>
      <c r="DP94" s="2898"/>
      <c r="DQ94" s="2898"/>
      <c r="DR94" s="262">
        <f>IF(DP94=0,0,(DQ94-DP94)/DP94*100)</f>
        <v>0</v>
      </c>
      <c r="DS94" s="2898"/>
      <c r="DT94" s="2898"/>
      <c r="DU94" s="262">
        <f>IF(DS94=0,0,(DT94-DS94)/DS94*100)</f>
        <v>0</v>
      </c>
      <c r="DV94" s="2898"/>
      <c r="DW94" s="2898"/>
      <c r="DX94" s="262">
        <f>IF(DV94=0,0,(DW94-DV94)/DV94*100)</f>
        <v>0</v>
      </c>
      <c r="DY94" s="2898"/>
      <c r="DZ94" s="2898"/>
      <c r="EA94" s="262">
        <f>IF(DY94=0,0,(DZ94-DY94)/DY94*100)</f>
        <v>0</v>
      </c>
      <c r="EB94" s="2898"/>
      <c r="EC94" s="2898"/>
      <c r="ED94" s="262">
        <f>IF(EB94=0,0,(EC94-EB94)/EB94*100)</f>
        <v>0</v>
      </c>
      <c r="EE94" s="2898"/>
      <c r="EF94" s="2898"/>
      <c r="EG94" s="262">
        <f>IF(EE94=0,0,(EF94-EE94)/EE94*100)</f>
        <v>0</v>
      </c>
      <c r="EH94" s="2898"/>
      <c r="EI94" s="2898"/>
      <c r="EJ94" s="262">
        <f>IF(EH94=0,0,(EI94-EH94)/EH94*100)</f>
        <v>0</v>
      </c>
      <c r="EK94" s="2898"/>
      <c r="EL94" s="2898"/>
      <c r="EM94" s="262">
        <f>IF(EK94=0,0,(EL94-EK94)/EK94*100)</f>
        <v>0</v>
      </c>
      <c r="EN94" s="2898"/>
      <c r="EO94" s="2898"/>
      <c r="EP94" s="262">
        <f>IF(EN94=0,0,(EO94-EN94)/EN94*100)</f>
        <v>0</v>
      </c>
      <c r="EQ94" s="2898"/>
      <c r="ER94" s="2898"/>
      <c r="ES94" s="262">
        <f>IF(EQ94=0,0,(ER94-EQ94)/EQ94*100)</f>
        <v>0</v>
      </c>
      <c r="ET94" s="2898"/>
      <c r="EU94" s="2898"/>
      <c r="EV94" s="262">
        <f>IF(ET94=0,0,(EU94-ET94)/ET94*100)</f>
        <v>0</v>
      </c>
      <c r="EW94" s="2898"/>
      <c r="EX94" s="2898"/>
      <c r="EY94" s="262">
        <f>IF(EW94=0,0,(EX94-EW94)/EW94*100)</f>
        <v>0</v>
      </c>
      <c r="EZ94" s="2898"/>
      <c r="FA94" s="2898"/>
      <c r="FB94" s="262">
        <f>IF(EZ94=0,0,(FA94-EZ94)/EZ94*100)</f>
        <v>0</v>
      </c>
      <c r="FC94" s="2898"/>
      <c r="FD94" s="2898"/>
      <c r="FE94" s="262">
        <f>IF(FC94=0,0,(FD94-FC94)/FC94*100)</f>
        <v>0</v>
      </c>
      <c r="FF94" s="2898"/>
      <c r="FG94" s="2898"/>
      <c r="FH94" s="262">
        <f>IF(FF94=0,0,(FG94-FF94)/FF94*100)</f>
        <v>0</v>
      </c>
      <c r="FI94" s="2898"/>
      <c r="FJ94" s="2898"/>
      <c r="FK94" s="262">
        <f>IF(FI94=0,0,(FJ94-FI94)/FI94*100)</f>
        <v>0</v>
      </c>
      <c r="FL94" s="2898"/>
      <c r="FM94" s="2898"/>
      <c r="FN94" s="262">
        <f>IF(FL94=0,0,(FM94-FL94)/FL94*100)</f>
        <v>0</v>
      </c>
      <c r="FO94" s="2898"/>
      <c r="FP94" s="2898"/>
      <c r="FQ94" s="262">
        <f>IF(FO94=0,0,(FP94-FO94)/FO94*100)</f>
        <v>0</v>
      </c>
      <c r="FR94" s="2898"/>
      <c r="FS94" s="2898"/>
      <c r="FT94" s="262">
        <f>IF(FR94=0,0,(FS94-FR94)/FR94*100)</f>
        <v>0</v>
      </c>
      <c r="FU94" s="2898"/>
      <c r="FV94" s="2898"/>
      <c r="FW94" s="262">
        <f>IF(FU94=0,0,(FV94-FU94)/FU94*100)</f>
        <v>0</v>
      </c>
      <c r="FX94" s="258"/>
      <c r="FY94" s="258"/>
      <c r="FZ94" s="1032" t="s">
        <v>1491</v>
      </c>
      <c r="GA94" s="1032"/>
      <c r="GB94" s="1032"/>
      <c r="GC94" s="1033"/>
      <c r="GD94" s="1033"/>
    </row>
    <row s="2943" customFormat="1" customHeight="1" ht="23.25" hidden="1">
      <c r="A95" s="873"/>
      <c r="B95" s="901" cm="1" t="str">
        <f t="array" ref="B95:B95">B94</f>
        <v>false</v>
      </c>
      <c r="C95" s="873"/>
      <c r="D95" s="873"/>
      <c r="E95" s="874">
        <v>24.5</v>
      </c>
      <c r="F95" s="50" cm="1" t="str">
        <f t="array" ref="F95:F95">OFFSET(E95,-1,1)</f>
        <v>1</v>
      </c>
      <c r="G95" s="73" t="s">
        <v>1492</v>
      </c>
      <c r="H95" s="466" t="s">
        <v>434</v>
      </c>
      <c r="I95" s="466" t="s">
        <v>1493</v>
      </c>
      <c r="J95" s="873"/>
      <c r="K95" s="873"/>
      <c r="L95" s="466"/>
      <c r="M95" s="873"/>
      <c r="N95" s="873"/>
      <c r="O95" s="873"/>
      <c r="P95" s="873"/>
      <c r="Q95" s="873"/>
      <c r="R95" s="466"/>
      <c r="S95" s="466"/>
      <c r="T95" s="438" cm="1" t="str">
        <f t="array" ref="T95:T95">T94</f>
        <v>true</v>
      </c>
      <c r="U95" s="873"/>
      <c r="V95" s="873"/>
      <c r="W95" s="873"/>
      <c r="X95" s="1541"/>
      <c r="Y95" s="873"/>
      <c r="Z95" s="1493"/>
      <c r="AA95" s="873"/>
      <c r="AB95" s="1068" t="s">
        <v>1494</v>
      </c>
      <c r="AC95" s="260" t="s">
        <v>1476</v>
      </c>
      <c r="AD95" s="2898">
        <f>IF(AND(method_reg="Метод индексации",god&lt;&gt;first_year),_xlfn.SUMIFS(INDEX('Калькуляция (МИ корр)'!$AJ$25:$BC$315,,MATCH(AD$8,'Калькуляция (МИ корр)'!$AJ$8:$BC$8,0)),'Калькуляция (МИ корр)'!$F$25:$F$315,$F95,'Калькуляция (МИ корр)'!$G$25:$G$315,$G95),IF(method_reg="Метод экономически обоснованных расходов",_xlfn.SUMIFS('Калькуляция (МЭОР)'!$AJ$25:$AJ$197,'Калькуляция (МЭОР)'!$F$25:$F$197,$F95,'Калькуляция (МЭОР)'!$G$25:$G$197,$G95),IF(method_reg="Метод сравнения аналогов",_xlfn.SUMIFS('Калькуляция (МСА)'!$AE$25:$AE$65,'Калькуляция (МСА)'!$F$25:$F$65,$F95,'Калькуляция (МСА)'!$G$25:$G$65,$G95),_xlfn.SUMIFS(INDEX('Калькуляция (МИ)'!$AJ$25:$BC$315,,MATCH(AD$8,'Калькуляция (МИ)'!$AJ$8:$BC$8,0)),'Калькуляция (МИ)'!$F$25:$F$315,$F95,'Калькуляция (МИ)'!$G$25:$G$315,$G95))))</f>
        <v>0</v>
      </c>
      <c r="AE95" s="2898">
        <f>IF(AND(method_reg="Метод индексации",god&lt;&gt;first_year),_xlfn.SUMIFS(INDEX('Калькуляция (МИ корр)'!$AJ$25:$BC$315,,MATCH(AE$8,'Калькуляция (МИ корр)'!$AJ$8:$BC$8,0)),'Калькуляция (МИ корр)'!$F$25:$F$315,$F95,'Калькуляция (МИ корр)'!$G$25:$G$315,$G95),IF(method_reg="Метод экономически обоснованных расходов",_xlfn.SUMIFS('Калькуляция (МЭОР)'!$AK$25:$AK$197,'Калькуляция (МЭОР)'!$F$25:$F$197,$F95,'Калькуляция (МЭОР)'!$G$25:$G$197,$G95),IF(method_reg="Метод сравнения аналогов",_xlfn.SUMIFS('Калькуляция (МСА)'!$AF$25:$AF$65,'Калькуляция (МСА)'!$F$25:$F$65,$F95,'Калькуляция (МСА)'!$G$25:$G$65,$G95),_xlfn.SUMIFS(INDEX('Калькуляция (МИ)'!$AJ$25:$BC$315,,MATCH(AE$8,'Калькуляция (МИ)'!$AJ$8:$BC$8,0)),'Калькуляция (МИ)'!$F$25:$F$315,$F95,'Калькуляция (МИ)'!$G$25:$G$315,$G95))))</f>
        <v>0</v>
      </c>
      <c r="AF95" s="262">
        <f>IF(AD95=0,0,(AE95-AD95)/AD95*100)</f>
        <v>0</v>
      </c>
      <c r="AG95" s="2898">
        <f>IF(AND(method_reg="Метод индексации",god&lt;&gt;first_year),_xlfn.SUMIFS(INDEX('Калькуляция (МИ корр)'!$AJ$25:$BC$315,,MATCH(AG$8,'Калькуляция (МИ корр)'!$AJ$8:$BC$8,0)),'Калькуляция (МИ корр)'!$F$25:$F$315,$F95,'Калькуляция (МИ корр)'!$G$25:$G$315,$G95),IF(method_reg="Метод экономически обоснованных расходов",_xlfn.SUMIFS('Калькуляция (МЭОР)'!$AJ$25:$AJ$197,'Калькуляция (МЭОР)'!$F$25:$F$197,$F95,'Калькуляция (МЭОР)'!$G$25:$G$197,$G95),IF(method_reg="Метод сравнения аналогов",_xlfn.SUMIFS('Калькуляция (МСА)'!$AE$25:$AE$65,'Калькуляция (МСА)'!$F$25:$F$65,$F95,'Калькуляция (МСА)'!$G$25:$G$65,$G95),_xlfn.SUMIFS(INDEX('Калькуляция (МИ)'!$AJ$25:$BC$315,,MATCH(AG$8,'Калькуляция (МИ)'!$AJ$8:$BC$8,0)),'Калькуляция (МИ)'!$F$25:$F$315,$F95,'Калькуляция (МИ)'!$G$25:$G$315,$G95))))</f>
        <v>0</v>
      </c>
      <c r="AH95" s="2898">
        <f>IF(AND(method_reg="Метод индексации",god&lt;&gt;first_year),_xlfn.SUMIFS(INDEX('Калькуляция (МИ корр)'!$AJ$25:$BC$315,,MATCH(AH$8,'Калькуляция (МИ корр)'!$AJ$8:$BC$8,0)),'Калькуляция (МИ корр)'!$F$25:$F$315,$F95,'Калькуляция (МИ корр)'!$G$25:$G$315,$G95),IF(method_reg="Метод экономически обоснованных расходов",_xlfn.SUMIFS('Калькуляция (МЭОР)'!$AK$25:$AK$197,'Калькуляция (МЭОР)'!$F$25:$F$197,$F95,'Калькуляция (МЭОР)'!$G$25:$G$197,$G95),IF(method_reg="Метод сравнения аналогов",_xlfn.SUMIFS('Калькуляция (МСА)'!$AF$25:$AF$65,'Калькуляция (МСА)'!$F$25:$F$65,$F95,'Калькуляция (МСА)'!$G$25:$G$65,$G95),_xlfn.SUMIFS(INDEX('Калькуляция (МИ)'!$AJ$25:$BC$315,,MATCH(AH$8,'Калькуляция (МИ)'!$AJ$8:$BC$8,0)),'Калькуляция (МИ)'!$F$25:$F$315,$F95,'Калькуляция (МИ)'!$G$25:$G$315,$G95))))</f>
        <v>0</v>
      </c>
      <c r="AI95" s="262">
        <f>IF(AG95=0,0,(AH95-AG95)/AG95*100)</f>
        <v>0</v>
      </c>
      <c r="AJ95" s="2898">
        <f>IF(AND(method_reg="Метод индексации",god&lt;&gt;first_year),_xlfn.SUMIFS(INDEX('Калькуляция (МИ корр)'!$AJ$25:$BC$315,,MATCH(AJ$8,'Калькуляция (МИ корр)'!$AJ$8:$BC$8,0)),'Калькуляция (МИ корр)'!$F$25:$F$315,$F95,'Калькуляция (МИ корр)'!$G$25:$G$315,$G95),IF(method_reg="Метод экономически обоснованных расходов",_xlfn.SUMIFS('Калькуляция (МЭОР)'!$AJ$25:$AJ$197,'Калькуляция (МЭОР)'!$F$25:$F$197,$F95,'Калькуляция (МЭОР)'!$G$25:$G$197,$G95),IF(method_reg="Метод сравнения аналогов",_xlfn.SUMIFS('Калькуляция (МСА)'!$AE$25:$AE$65,'Калькуляция (МСА)'!$F$25:$F$65,$F95,'Калькуляция (МСА)'!$G$25:$G$65,$G95),_xlfn.SUMIFS(INDEX('Калькуляция (МИ)'!$AJ$25:$BC$315,,MATCH(AJ$8,'Калькуляция (МИ)'!$AJ$8:$BC$8,0)),'Калькуляция (МИ)'!$F$25:$F$315,$F95,'Калькуляция (МИ)'!$G$25:$G$315,$G95))))</f>
        <v>0</v>
      </c>
      <c r="AK95" s="2898">
        <f>IF(AND(method_reg="Метод индексации",god&lt;&gt;first_year),_xlfn.SUMIFS(INDEX('Калькуляция (МИ корр)'!$AJ$25:$BC$315,,MATCH(AK$8,'Калькуляция (МИ корр)'!$AJ$8:$BC$8,0)),'Калькуляция (МИ корр)'!$F$25:$F$315,$F95,'Калькуляция (МИ корр)'!$G$25:$G$315,$G95),IF(method_reg="Метод экономически обоснованных расходов",_xlfn.SUMIFS('Калькуляция (МЭОР)'!$AK$25:$AK$197,'Калькуляция (МЭОР)'!$F$25:$F$197,$F95,'Калькуляция (МЭОР)'!$G$25:$G$197,$G95),IF(method_reg="Метод сравнения аналогов",_xlfn.SUMIFS('Калькуляция (МСА)'!$AF$25:$AF$65,'Калькуляция (МСА)'!$F$25:$F$65,$F95,'Калькуляция (МСА)'!$G$25:$G$65,$G95),_xlfn.SUMIFS(INDEX('Калькуляция (МИ)'!$AJ$25:$BC$315,,MATCH(AK$8,'Калькуляция (МИ)'!$AJ$8:$BC$8,0)),'Калькуляция (МИ)'!$F$25:$F$315,$F95,'Калькуляция (МИ)'!$G$25:$G$315,$G95))))</f>
        <v>0</v>
      </c>
      <c r="AL95" s="262">
        <f>IF(AJ95=0,0,(AK95-AJ95)/AJ95*100)</f>
        <v>0</v>
      </c>
      <c r="AM95" s="2898">
        <f>IF(AND(method_reg="Метод индексации",god&lt;&gt;first_year),_xlfn.SUMIFS(INDEX('Калькуляция (МИ корр)'!$AJ$25:$BC$315,,MATCH(AM$8,'Калькуляция (МИ корр)'!$AJ$8:$BC$8,0)),'Калькуляция (МИ корр)'!$F$25:$F$315,$F95,'Калькуляция (МИ корр)'!$G$25:$G$315,$G95),IF(method_reg="Метод экономически обоснованных расходов",_xlfn.SUMIFS('Калькуляция (МЭОР)'!$AJ$25:$AJ$197,'Калькуляция (МЭОР)'!$F$25:$F$197,$F95,'Калькуляция (МЭОР)'!$G$25:$G$197,$G95),IF(method_reg="Метод сравнения аналогов",_xlfn.SUMIFS('Калькуляция (МСА)'!$AE$25:$AE$65,'Калькуляция (МСА)'!$F$25:$F$65,$F95,'Калькуляция (МСА)'!$G$25:$G$65,$G95),_xlfn.SUMIFS(INDEX('Калькуляция (МИ)'!$AJ$25:$BC$315,,MATCH(AM$8,'Калькуляция (МИ)'!$AJ$8:$BC$8,0)),'Калькуляция (МИ)'!$F$25:$F$315,$F95,'Калькуляция (МИ)'!$G$25:$G$315,$G95))))</f>
        <v>0</v>
      </c>
      <c r="AN95" s="2898">
        <f>IF(AND(method_reg="Метод индексации",god&lt;&gt;first_year),_xlfn.SUMIFS(INDEX('Калькуляция (МИ корр)'!$AJ$25:$BC$315,,MATCH(AN$8,'Калькуляция (МИ корр)'!$AJ$8:$BC$8,0)),'Калькуляция (МИ корр)'!$F$25:$F$315,$F95,'Калькуляция (МИ корр)'!$G$25:$G$315,$G95),IF(method_reg="Метод экономически обоснованных расходов",_xlfn.SUMIFS('Калькуляция (МЭОР)'!$AK$25:$AK$197,'Калькуляция (МЭОР)'!$F$25:$F$197,$F95,'Калькуляция (МЭОР)'!$G$25:$G$197,$G95),IF(method_reg="Метод сравнения аналогов",_xlfn.SUMIFS('Калькуляция (МСА)'!$AF$25:$AF$65,'Калькуляция (МСА)'!$F$25:$F$65,$F95,'Калькуляция (МСА)'!$G$25:$G$65,$G95),_xlfn.SUMIFS(INDEX('Калькуляция (МИ)'!$AJ$25:$BC$315,,MATCH(AN$8,'Калькуляция (МИ)'!$AJ$8:$BC$8,0)),'Калькуляция (МИ)'!$F$25:$F$315,$F95,'Калькуляция (МИ)'!$G$25:$G$315,$G95))))</f>
        <v>0</v>
      </c>
      <c r="AO95" s="262">
        <f>IF(AM95=0,0,(AN95-AM95)/AM95*100)</f>
        <v>0</v>
      </c>
      <c r="AP95" s="2898">
        <f>IF(AND(method_reg="Метод индексации",god&lt;&gt;first_year),_xlfn.SUMIFS(INDEX('Калькуляция (МИ корр)'!$AJ$25:$BC$315,,MATCH(AP$8,'Калькуляция (МИ корр)'!$AJ$8:$BC$8,0)),'Калькуляция (МИ корр)'!$F$25:$F$315,$F95,'Калькуляция (МИ корр)'!$G$25:$G$315,$G95),IF(method_reg="Метод экономически обоснованных расходов",_xlfn.SUMIFS('Калькуляция (МЭОР)'!$AJ$25:$AJ$197,'Калькуляция (МЭОР)'!$F$25:$F$197,$F95,'Калькуляция (МЭОР)'!$G$25:$G$197,$G95),IF(method_reg="Метод сравнения аналогов",_xlfn.SUMIFS('Калькуляция (МСА)'!$AE$25:$AE$65,'Калькуляция (МСА)'!$F$25:$F$65,$F95,'Калькуляция (МСА)'!$G$25:$G$65,$G95),_xlfn.SUMIFS(INDEX('Калькуляция (МИ)'!$AJ$25:$BC$315,,MATCH(AP$8,'Калькуляция (МИ)'!$AJ$8:$BC$8,0)),'Калькуляция (МИ)'!$F$25:$F$315,$F95,'Калькуляция (МИ)'!$G$25:$G$315,$G95))))</f>
        <v>0</v>
      </c>
      <c r="AQ95" s="2898">
        <f>IF(AND(method_reg="Метод индексации",god&lt;&gt;first_year),_xlfn.SUMIFS(INDEX('Калькуляция (МИ корр)'!$AJ$25:$BC$315,,MATCH(AQ$8,'Калькуляция (МИ корр)'!$AJ$8:$BC$8,0)),'Калькуляция (МИ корр)'!$F$25:$F$315,$F95,'Калькуляция (МИ корр)'!$G$25:$G$315,$G95),IF(method_reg="Метод экономически обоснованных расходов",_xlfn.SUMIFS('Калькуляция (МЭОР)'!$AK$25:$AK$197,'Калькуляция (МЭОР)'!$F$25:$F$197,$F95,'Калькуляция (МЭОР)'!$G$25:$G$197,$G95),IF(method_reg="Метод сравнения аналогов",_xlfn.SUMIFS('Калькуляция (МСА)'!$AF$25:$AF$65,'Калькуляция (МСА)'!$F$25:$F$65,$F95,'Калькуляция (МСА)'!$G$25:$G$65,$G95),_xlfn.SUMIFS(INDEX('Калькуляция (МИ)'!$AJ$25:$BC$315,,MATCH(AQ$8,'Калькуляция (МИ)'!$AJ$8:$BC$8,0)),'Калькуляция (МИ)'!$F$25:$F$315,$F95,'Калькуляция (МИ)'!$G$25:$G$315,$G95))))</f>
        <v>0</v>
      </c>
      <c r="AR95" s="262">
        <f>IF(AP95=0,0,(AQ95-AP95)/AP95*100)</f>
        <v>0</v>
      </c>
      <c r="AS95" s="2898">
        <f>IF(AND(method_reg="Метод индексации",god&lt;&gt;first_year),_xlfn.SUMIFS(INDEX('Калькуляция (МИ корр)'!$AJ$25:$BC$315,,MATCH(AS$8,'Калькуляция (МИ корр)'!$AJ$8:$BC$8,0)),'Калькуляция (МИ корр)'!$F$25:$F$315,$F95,'Калькуляция (МИ корр)'!$G$25:$G$315,$G95),IF(method_reg="Метод экономически обоснованных расходов",_xlfn.SUMIFS('Калькуляция (МЭОР)'!$AJ$25:$AJ$197,'Калькуляция (МЭОР)'!$F$25:$F$197,$F95,'Калькуляция (МЭОР)'!$G$25:$G$197,$G95),IF(method_reg="Метод сравнения аналогов",_xlfn.SUMIFS('Калькуляция (МСА)'!$AE$25:$AE$65,'Калькуляция (МСА)'!$F$25:$F$65,$F95,'Калькуляция (МСА)'!$G$25:$G$65,$G95),_xlfn.SUMIFS(INDEX('Калькуляция (МИ)'!$AJ$25:$BC$315,,MATCH(AS$8,'Калькуляция (МИ)'!$AJ$8:$BC$8,0)),'Калькуляция (МИ)'!$F$25:$F$315,$F95,'Калькуляция (МИ)'!$G$25:$G$315,$G95))))</f>
        <v>0</v>
      </c>
      <c r="AT95" s="2898">
        <f>IF(AND(method_reg="Метод индексации",god&lt;&gt;first_year),_xlfn.SUMIFS(INDEX('Калькуляция (МИ корр)'!$AJ$25:$BC$315,,MATCH(AT$8,'Калькуляция (МИ корр)'!$AJ$8:$BC$8,0)),'Калькуляция (МИ корр)'!$F$25:$F$315,$F95,'Калькуляция (МИ корр)'!$G$25:$G$315,$G95),IF(method_reg="Метод экономически обоснованных расходов",_xlfn.SUMIFS('Калькуляция (МЭОР)'!$AK$25:$AK$197,'Калькуляция (МЭОР)'!$F$25:$F$197,$F95,'Калькуляция (МЭОР)'!$G$25:$G$197,$G95),IF(method_reg="Метод сравнения аналогов",_xlfn.SUMIFS('Калькуляция (МСА)'!$AF$25:$AF$65,'Калькуляция (МСА)'!$F$25:$F$65,$F95,'Калькуляция (МСА)'!$G$25:$G$65,$G95),_xlfn.SUMIFS(INDEX('Калькуляция (МИ)'!$AJ$25:$BC$315,,MATCH(AT$8,'Калькуляция (МИ)'!$AJ$8:$BC$8,0)),'Калькуляция (МИ)'!$F$25:$F$315,$F95,'Калькуляция (МИ)'!$G$25:$G$315,$G95))))</f>
        <v>0</v>
      </c>
      <c r="AU95" s="262">
        <f>IF(AS95=0,0,(AT95-AS95)/AS95*100)</f>
        <v>0</v>
      </c>
      <c r="AV95" s="2898">
        <f>IF(AND(method_reg="Метод индексации",god&lt;&gt;first_year),_xlfn.SUMIFS(INDEX('Калькуляция (МИ корр)'!$AJ$25:$BC$315,,MATCH(AV$8,'Калькуляция (МИ корр)'!$AJ$8:$BC$8,0)),'Калькуляция (МИ корр)'!$F$25:$F$315,$F95,'Калькуляция (МИ корр)'!$G$25:$G$315,$G95),IF(method_reg="Метод экономически обоснованных расходов",_xlfn.SUMIFS('Калькуляция (МЭОР)'!$AJ$25:$AJ$197,'Калькуляция (МЭОР)'!$F$25:$F$197,$F95,'Калькуляция (МЭОР)'!$G$25:$G$197,$G95),IF(method_reg="Метод сравнения аналогов",_xlfn.SUMIFS('Калькуляция (МСА)'!$AE$25:$AE$65,'Калькуляция (МСА)'!$F$25:$F$65,$F95,'Калькуляция (МСА)'!$G$25:$G$65,$G95),_xlfn.SUMIFS(INDEX('Калькуляция (МИ)'!$AJ$25:$BC$315,,MATCH(AV$8,'Калькуляция (МИ)'!$AJ$8:$BC$8,0)),'Калькуляция (МИ)'!$F$25:$F$315,$F95,'Калькуляция (МИ)'!$G$25:$G$315,$G95))))</f>
        <v>0</v>
      </c>
      <c r="AW95" s="2898">
        <f>IF(AND(method_reg="Метод индексации",god&lt;&gt;first_year),_xlfn.SUMIFS(INDEX('Калькуляция (МИ корр)'!$AJ$25:$BC$315,,MATCH(AW$8,'Калькуляция (МИ корр)'!$AJ$8:$BC$8,0)),'Калькуляция (МИ корр)'!$F$25:$F$315,$F95,'Калькуляция (МИ корр)'!$G$25:$G$315,$G95),IF(method_reg="Метод экономически обоснованных расходов",_xlfn.SUMIFS('Калькуляция (МЭОР)'!$AK$25:$AK$197,'Калькуляция (МЭОР)'!$F$25:$F$197,$F95,'Калькуляция (МЭОР)'!$G$25:$G$197,$G95),IF(method_reg="Метод сравнения аналогов",_xlfn.SUMIFS('Калькуляция (МСА)'!$AF$25:$AF$65,'Калькуляция (МСА)'!$F$25:$F$65,$F95,'Калькуляция (МСА)'!$G$25:$G$65,$G95),_xlfn.SUMIFS(INDEX('Калькуляция (МИ)'!$AJ$25:$BC$315,,MATCH(AW$8,'Калькуляция (МИ)'!$AJ$8:$BC$8,0)),'Калькуляция (МИ)'!$F$25:$F$315,$F95,'Калькуляция (МИ)'!$G$25:$G$315,$G95))))</f>
        <v>0</v>
      </c>
      <c r="AX95" s="262">
        <f>IF(AV95=0,0,(AW95-AV95)/AV95*100)</f>
        <v>0</v>
      </c>
      <c r="AY95" s="2898">
        <f>IF(AND(method_reg="Метод индексации",god&lt;&gt;first_year),_xlfn.SUMIFS(INDEX('Калькуляция (МИ корр)'!$AJ$25:$BC$315,,MATCH(AY$8,'Калькуляция (МИ корр)'!$AJ$8:$BC$8,0)),'Калькуляция (МИ корр)'!$F$25:$F$315,$F95,'Калькуляция (МИ корр)'!$G$25:$G$315,$G95),IF(method_reg="Метод экономически обоснованных расходов",_xlfn.SUMIFS('Калькуляция (МЭОР)'!$AJ$25:$AJ$197,'Калькуляция (МЭОР)'!$F$25:$F$197,$F95,'Калькуляция (МЭОР)'!$G$25:$G$197,$G95),IF(method_reg="Метод сравнения аналогов",_xlfn.SUMIFS('Калькуляция (МСА)'!$AE$25:$AE$65,'Калькуляция (МСА)'!$F$25:$F$65,$F95,'Калькуляция (МСА)'!$G$25:$G$65,$G95),_xlfn.SUMIFS(INDEX('Калькуляция (МИ)'!$AJ$25:$BC$315,,MATCH(AY$8,'Калькуляция (МИ)'!$AJ$8:$BC$8,0)),'Калькуляция (МИ)'!$F$25:$F$315,$F95,'Калькуляция (МИ)'!$G$25:$G$315,$G95))))</f>
        <v>0</v>
      </c>
      <c r="AZ95" s="2898">
        <f>IF(AND(method_reg="Метод индексации",god&lt;&gt;first_year),_xlfn.SUMIFS(INDEX('Калькуляция (МИ корр)'!$AJ$25:$BC$315,,MATCH(AZ$8,'Калькуляция (МИ корр)'!$AJ$8:$BC$8,0)),'Калькуляция (МИ корр)'!$F$25:$F$315,$F95,'Калькуляция (МИ корр)'!$G$25:$G$315,$G95),IF(method_reg="Метод экономически обоснованных расходов",_xlfn.SUMIFS('Калькуляция (МЭОР)'!$AK$25:$AK$197,'Калькуляция (МЭОР)'!$F$25:$F$197,$F95,'Калькуляция (МЭОР)'!$G$25:$G$197,$G95),IF(method_reg="Метод сравнения аналогов",_xlfn.SUMIFS('Калькуляция (МСА)'!$AF$25:$AF$65,'Калькуляция (МСА)'!$F$25:$F$65,$F95,'Калькуляция (МСА)'!$G$25:$G$65,$G95),_xlfn.SUMIFS(INDEX('Калькуляция (МИ)'!$AJ$25:$BC$315,,MATCH(AZ$8,'Калькуляция (МИ)'!$AJ$8:$BC$8,0)),'Калькуляция (МИ)'!$F$25:$F$315,$F95,'Калькуляция (МИ)'!$G$25:$G$315,$G95))))</f>
        <v>0</v>
      </c>
      <c r="BA95" s="262">
        <f>IF(AY95=0,0,(AZ95-AY95)/AY95*100)</f>
        <v>0</v>
      </c>
      <c r="BB95" s="2898">
        <f>IF(AND(method_reg="Метод индексации",god&lt;&gt;first_year),_xlfn.SUMIFS(INDEX('Калькуляция (МИ корр)'!$AJ$25:$BC$315,,MATCH(BB$8,'Калькуляция (МИ корр)'!$AJ$8:$BC$8,0)),'Калькуляция (МИ корр)'!$F$25:$F$315,$F95,'Калькуляция (МИ корр)'!$G$25:$G$315,$G95),IF(method_reg="Метод экономически обоснованных расходов",_xlfn.SUMIFS('Калькуляция (МЭОР)'!$AJ$25:$AJ$197,'Калькуляция (МЭОР)'!$F$25:$F$197,$F95,'Калькуляция (МЭОР)'!$G$25:$G$197,$G95),IF(method_reg="Метод сравнения аналогов",_xlfn.SUMIFS('Калькуляция (МСА)'!$AE$25:$AE$65,'Калькуляция (МСА)'!$F$25:$F$65,$F95,'Калькуляция (МСА)'!$G$25:$G$65,$G95),_xlfn.SUMIFS(INDEX('Калькуляция (МИ)'!$AJ$25:$BC$315,,MATCH(BB$8,'Калькуляция (МИ)'!$AJ$8:$BC$8,0)),'Калькуляция (МИ)'!$F$25:$F$315,$F95,'Калькуляция (МИ)'!$G$25:$G$315,$G95))))</f>
        <v>0</v>
      </c>
      <c r="BC95" s="2898">
        <f>IF(AND(method_reg="Метод индексации",god&lt;&gt;first_year),_xlfn.SUMIFS(INDEX('Калькуляция (МИ корр)'!$AJ$25:$BC$315,,MATCH(BC$8,'Калькуляция (МИ корр)'!$AJ$8:$BC$8,0)),'Калькуляция (МИ корр)'!$F$25:$F$315,$F95,'Калькуляция (МИ корр)'!$G$25:$G$315,$G95),IF(method_reg="Метод экономически обоснованных расходов",_xlfn.SUMIFS('Калькуляция (МЭОР)'!$AK$25:$AK$197,'Калькуляция (МЭОР)'!$F$25:$F$197,$F95,'Калькуляция (МЭОР)'!$G$25:$G$197,$G95),IF(method_reg="Метод сравнения аналогов",_xlfn.SUMIFS('Калькуляция (МСА)'!$AF$25:$AF$65,'Калькуляция (МСА)'!$F$25:$F$65,$F95,'Калькуляция (МСА)'!$G$25:$G$65,$G95),_xlfn.SUMIFS(INDEX('Калькуляция (МИ)'!$AJ$25:$BC$315,,MATCH(BC$8,'Калькуляция (МИ)'!$AJ$8:$BC$8,0)),'Калькуляция (МИ)'!$F$25:$F$315,$F95,'Калькуляция (МИ)'!$G$25:$G$315,$G95))))</f>
        <v>0</v>
      </c>
      <c r="BD95" s="262">
        <f>IF(BB95=0,0,(BC95-BB95)/BB95*100)</f>
        <v>0</v>
      </c>
      <c r="BE95" s="2898">
        <f>IF(AND(method_reg="Метод индексации",god&lt;&gt;first_year),_xlfn.SUMIFS(INDEX('Калькуляция (МИ корр)'!$AJ$25:$BC$315,,MATCH(BE$8,'Калькуляция (МИ корр)'!$AJ$8:$BC$8,0)),'Калькуляция (МИ корр)'!$F$25:$F$315,$F95,'Калькуляция (МИ корр)'!$G$25:$G$315,$G95),IF(method_reg="Метод экономически обоснованных расходов",_xlfn.SUMIFS('Калькуляция (МЭОР)'!$AJ$25:$AJ$197,'Калькуляция (МЭОР)'!$F$25:$F$197,$F95,'Калькуляция (МЭОР)'!$G$25:$G$197,$G95),IF(method_reg="Метод сравнения аналогов",_xlfn.SUMIFS('Калькуляция (МСА)'!$AE$25:$AE$65,'Калькуляция (МСА)'!$F$25:$F$65,$F95,'Калькуляция (МСА)'!$G$25:$G$65,$G95),_xlfn.SUMIFS(INDEX('Калькуляция (МИ)'!$AJ$25:$BC$315,,MATCH(BE$8,'Калькуляция (МИ)'!$AJ$8:$BC$8,0)),'Калькуляция (МИ)'!$F$25:$F$315,$F95,'Калькуляция (МИ)'!$G$25:$G$315,$G95))))</f>
        <v>0</v>
      </c>
      <c r="BF95" s="2898">
        <f>IF(AND(method_reg="Метод индексации",god&lt;&gt;first_year),_xlfn.SUMIFS(INDEX('Калькуляция (МИ корр)'!$AJ$25:$BC$315,,MATCH(BF$8,'Калькуляция (МИ корр)'!$AJ$8:$BC$8,0)),'Калькуляция (МИ корр)'!$F$25:$F$315,$F95,'Калькуляция (МИ корр)'!$G$25:$G$315,$G95),IF(method_reg="Метод экономически обоснованных расходов",_xlfn.SUMIFS('Калькуляция (МЭОР)'!$AK$25:$AK$197,'Калькуляция (МЭОР)'!$F$25:$F$197,$F95,'Калькуляция (МЭОР)'!$G$25:$G$197,$G95),IF(method_reg="Метод сравнения аналогов",_xlfn.SUMIFS('Калькуляция (МСА)'!$AF$25:$AF$65,'Калькуляция (МСА)'!$F$25:$F$65,$F95,'Калькуляция (МСА)'!$G$25:$G$65,$G95),_xlfn.SUMIFS(INDEX('Калькуляция (МИ)'!$AJ$25:$BC$315,,MATCH(BF$8,'Калькуляция (МИ)'!$AJ$8:$BC$8,0)),'Калькуляция (МИ)'!$F$25:$F$315,$F95,'Калькуляция (МИ)'!$G$25:$G$315,$G95))))</f>
        <v>0</v>
      </c>
      <c r="BG95" s="262">
        <f>IF(BE95=0,0,(BF95-BE95)/BE95*100)</f>
        <v>0</v>
      </c>
      <c r="BH95" s="2898"/>
      <c r="BI95" s="2898"/>
      <c r="BJ95" s="262">
        <f>IF(BH95=0,0,(BI95-BH95)/BH95*100)</f>
        <v>0</v>
      </c>
      <c r="BK95" s="2898"/>
      <c r="BL95" s="2898"/>
      <c r="BM95" s="262">
        <f>IF(BK95=0,0,(BL95-BK95)/BK95*100)</f>
        <v>0</v>
      </c>
      <c r="BN95" s="2898"/>
      <c r="BO95" s="2898"/>
      <c r="BP95" s="262">
        <f>IF(BN95=0,0,(BO95-BN95)/BN95*100)</f>
        <v>0</v>
      </c>
      <c r="BQ95" s="2898"/>
      <c r="BR95" s="2898"/>
      <c r="BS95" s="262">
        <f>IF(BQ95=0,0,(BR95-BQ95)/BQ95*100)</f>
        <v>0</v>
      </c>
      <c r="BT95" s="2898"/>
      <c r="BU95" s="2898"/>
      <c r="BV95" s="262">
        <f>IF(BT95=0,0,(BU95-BT95)/BT95*100)</f>
        <v>0</v>
      </c>
      <c r="BW95" s="2898"/>
      <c r="BX95" s="2898"/>
      <c r="BY95" s="262">
        <f>IF(BW95=0,0,(BX95-BW95)/BW95*100)</f>
        <v>0</v>
      </c>
      <c r="BZ95" s="2898"/>
      <c r="CA95" s="2898"/>
      <c r="CB95" s="262">
        <f>IF(BZ95=0,0,(CA95-BZ95)/BZ95*100)</f>
        <v>0</v>
      </c>
      <c r="CC95" s="2898"/>
      <c r="CD95" s="2898"/>
      <c r="CE95" s="262">
        <f>IF(CC95=0,0,(CD95-CC95)/CC95*100)</f>
        <v>0</v>
      </c>
      <c r="CF95" s="2898"/>
      <c r="CG95" s="2898"/>
      <c r="CH95" s="262">
        <f>IF(CF95=0,0,(CG95-CF95)/CF95*100)</f>
        <v>0</v>
      </c>
      <c r="CI95" s="2898"/>
      <c r="CJ95" s="2898"/>
      <c r="CK95" s="262">
        <f>IF(CI95=0,0,(CJ95-CI95)/CI95*100)</f>
        <v>0</v>
      </c>
      <c r="CL95" s="2898"/>
      <c r="CM95" s="2898"/>
      <c r="CN95" s="262">
        <f>IF(CL95=0,0,(CM95-CL95)/CL95*100)</f>
        <v>0</v>
      </c>
      <c r="CO95" s="2898"/>
      <c r="CP95" s="2898"/>
      <c r="CQ95" s="262">
        <f>IF(CO95=0,0,(CP95-CO95)/CO95*100)</f>
        <v>0</v>
      </c>
      <c r="CR95" s="2898"/>
      <c r="CS95" s="2898"/>
      <c r="CT95" s="262">
        <f>IF(CR95=0,0,(CS95-CR95)/CR95*100)</f>
        <v>0</v>
      </c>
      <c r="CU95" s="2898"/>
      <c r="CV95" s="2898"/>
      <c r="CW95" s="262">
        <f>IF(CU95=0,0,(CV95-CU95)/CU95*100)</f>
        <v>0</v>
      </c>
      <c r="CX95" s="2898"/>
      <c r="CY95" s="2898"/>
      <c r="CZ95" s="262">
        <f>IF(CX95=0,0,(CY95-CX95)/CX95*100)</f>
        <v>0</v>
      </c>
      <c r="DA95" s="2898"/>
      <c r="DB95" s="2898"/>
      <c r="DC95" s="262">
        <f>IF(DA95=0,0,(DB95-DA95)/DA95*100)</f>
        <v>0</v>
      </c>
      <c r="DD95" s="2898"/>
      <c r="DE95" s="2898"/>
      <c r="DF95" s="262">
        <f>IF(DD95=0,0,(DE95-DD95)/DD95*100)</f>
        <v>0</v>
      </c>
      <c r="DG95" s="2898"/>
      <c r="DH95" s="2898"/>
      <c r="DI95" s="262">
        <f>IF(DG95=0,0,(DH95-DG95)/DG95*100)</f>
        <v>0</v>
      </c>
      <c r="DJ95" s="2898"/>
      <c r="DK95" s="2898"/>
      <c r="DL95" s="262">
        <f>IF(DJ95=0,0,(DK95-DJ95)/DJ95*100)</f>
        <v>0</v>
      </c>
      <c r="DM95" s="2898"/>
      <c r="DN95" s="2898"/>
      <c r="DO95" s="262">
        <f>IF(DM95=0,0,(DN95-DM95)/DM95*100)</f>
        <v>0</v>
      </c>
      <c r="DP95" s="2898"/>
      <c r="DQ95" s="2898"/>
      <c r="DR95" s="262">
        <f>IF(DP95=0,0,(DQ95-DP95)/DP95*100)</f>
        <v>0</v>
      </c>
      <c r="DS95" s="2898"/>
      <c r="DT95" s="2898"/>
      <c r="DU95" s="262">
        <f>IF(DS95=0,0,(DT95-DS95)/DS95*100)</f>
        <v>0</v>
      </c>
      <c r="DV95" s="2898"/>
      <c r="DW95" s="2898"/>
      <c r="DX95" s="262">
        <f>IF(DV95=0,0,(DW95-DV95)/DV95*100)</f>
        <v>0</v>
      </c>
      <c r="DY95" s="2898"/>
      <c r="DZ95" s="2898"/>
      <c r="EA95" s="262">
        <f>IF(DY95=0,0,(DZ95-DY95)/DY95*100)</f>
        <v>0</v>
      </c>
      <c r="EB95" s="2898"/>
      <c r="EC95" s="2898"/>
      <c r="ED95" s="262">
        <f>IF(EB95=0,0,(EC95-EB95)/EB95*100)</f>
        <v>0</v>
      </c>
      <c r="EE95" s="2898"/>
      <c r="EF95" s="2898"/>
      <c r="EG95" s="262">
        <f>IF(EE95=0,0,(EF95-EE95)/EE95*100)</f>
        <v>0</v>
      </c>
      <c r="EH95" s="2898"/>
      <c r="EI95" s="2898"/>
      <c r="EJ95" s="262">
        <f>IF(EH95=0,0,(EI95-EH95)/EH95*100)</f>
        <v>0</v>
      </c>
      <c r="EK95" s="2898"/>
      <c r="EL95" s="2898"/>
      <c r="EM95" s="262">
        <f>IF(EK95=0,0,(EL95-EK95)/EK95*100)</f>
        <v>0</v>
      </c>
      <c r="EN95" s="2898"/>
      <c r="EO95" s="2898"/>
      <c r="EP95" s="262">
        <f>IF(EN95=0,0,(EO95-EN95)/EN95*100)</f>
        <v>0</v>
      </c>
      <c r="EQ95" s="2898"/>
      <c r="ER95" s="2898"/>
      <c r="ES95" s="262">
        <f>IF(EQ95=0,0,(ER95-EQ95)/EQ95*100)</f>
        <v>0</v>
      </c>
      <c r="ET95" s="2898"/>
      <c r="EU95" s="2898"/>
      <c r="EV95" s="262">
        <f>IF(ET95=0,0,(EU95-ET95)/ET95*100)</f>
        <v>0</v>
      </c>
      <c r="EW95" s="2898"/>
      <c r="EX95" s="2898"/>
      <c r="EY95" s="262">
        <f>IF(EW95=0,0,(EX95-EW95)/EW95*100)</f>
        <v>0</v>
      </c>
      <c r="EZ95" s="2898"/>
      <c r="FA95" s="2898"/>
      <c r="FB95" s="262">
        <f>IF(EZ95=0,0,(FA95-EZ95)/EZ95*100)</f>
        <v>0</v>
      </c>
      <c r="FC95" s="2898"/>
      <c r="FD95" s="2898"/>
      <c r="FE95" s="262">
        <f>IF(FC95=0,0,(FD95-FC95)/FC95*100)</f>
        <v>0</v>
      </c>
      <c r="FF95" s="2898"/>
      <c r="FG95" s="2898"/>
      <c r="FH95" s="262">
        <f>IF(FF95=0,0,(FG95-FF95)/FF95*100)</f>
        <v>0</v>
      </c>
      <c r="FI95" s="2898"/>
      <c r="FJ95" s="2898"/>
      <c r="FK95" s="262">
        <f>IF(FI95=0,0,(FJ95-FI95)/FI95*100)</f>
        <v>0</v>
      </c>
      <c r="FL95" s="2898"/>
      <c r="FM95" s="2898"/>
      <c r="FN95" s="262">
        <f>IF(FL95=0,0,(FM95-FL95)/FL95*100)</f>
        <v>0</v>
      </c>
      <c r="FO95" s="2898"/>
      <c r="FP95" s="2898"/>
      <c r="FQ95" s="262">
        <f>IF(FO95=0,0,(FP95-FO95)/FO95*100)</f>
        <v>0</v>
      </c>
      <c r="FR95" s="2898"/>
      <c r="FS95" s="2898"/>
      <c r="FT95" s="262">
        <f>IF(FR95=0,0,(FS95-FR95)/FR95*100)</f>
        <v>0</v>
      </c>
      <c r="FU95" s="2898"/>
      <c r="FV95" s="2898"/>
      <c r="FW95" s="262">
        <f>IF(FU95=0,0,(FV95-FU95)/FU95*100)</f>
        <v>0</v>
      </c>
      <c r="FX95" s="258"/>
      <c r="FY95" s="258"/>
      <c r="FZ95" s="1032" t="s">
        <v>1495</v>
      </c>
      <c r="GA95" s="1032"/>
      <c r="GB95" s="1032"/>
      <c r="GC95" s="1033"/>
      <c r="GD95" s="1033"/>
    </row>
    <row s="1624" customFormat="1" customHeight="1" ht="14.25" hidden="1">
      <c r="A96" s="466"/>
      <c r="B96" s="901" cm="1" t="str">
        <f t="array" ref="B96:B96">B95</f>
        <v>false</v>
      </c>
      <c r="C96" s="466"/>
      <c r="D96" s="466"/>
      <c r="E96" s="816">
        <v>15</v>
      </c>
      <c r="F96" s="50" cm="1" t="str">
        <f t="array" ref="F96:F96">OFFSET(E96,-1,1)</f>
        <v>1</v>
      </c>
      <c r="G96" s="73"/>
      <c r="H96" s="466" t="s">
        <v>438</v>
      </c>
      <c r="I96" s="466" t="s">
        <v>1496</v>
      </c>
      <c r="J96" s="466"/>
      <c r="K96" s="466"/>
      <c r="L96" s="466"/>
      <c r="M96" s="466"/>
      <c r="N96" s="466"/>
      <c r="O96" s="466"/>
      <c r="P96" s="466"/>
      <c r="Q96" s="873"/>
      <c r="R96" s="466"/>
      <c r="S96" s="466"/>
      <c r="T96" s="438" cm="1" t="str">
        <f t="array" ref="T96:T96">T95</f>
        <v>true</v>
      </c>
      <c r="U96" s="466"/>
      <c r="V96" s="466"/>
      <c r="W96" s="466"/>
      <c r="X96" s="1541"/>
      <c r="Y96" s="466"/>
      <c r="Z96" s="1493"/>
      <c r="AA96" s="466"/>
      <c r="AB96" s="1067" t="s">
        <v>1483</v>
      </c>
      <c r="AC96" s="840" t="s">
        <v>430</v>
      </c>
      <c r="AD96" s="1070">
        <f>IF(AD94=0,0,AD95/AD94)*100</f>
        <v>0</v>
      </c>
      <c r="AE96" s="1070">
        <f>IF(AE94=0,0,AE95/AE94)*100</f>
        <v>0</v>
      </c>
      <c r="AF96" s="1071"/>
      <c r="AG96" s="1070">
        <f>IF(AG94=0,0,AG95/AG94)*100</f>
        <v>0</v>
      </c>
      <c r="AH96" s="1070">
        <f>IF(AH94=0,0,AH95/AH94)*100</f>
        <v>0</v>
      </c>
      <c r="AI96" s="1071"/>
      <c r="AJ96" s="1070">
        <f>IF(AJ94=0,0,AJ95/AJ94)*100</f>
        <v>0</v>
      </c>
      <c r="AK96" s="1070">
        <f>IF(AK94=0,0,AK95/AK94)*100</f>
        <v>0</v>
      </c>
      <c r="AL96" s="1071"/>
      <c r="AM96" s="1070">
        <f>IF(AM94=0,0,AM95/AM94)*100</f>
        <v>0</v>
      </c>
      <c r="AN96" s="1070">
        <f>IF(AN94=0,0,AN95/AN94)*100</f>
        <v>0</v>
      </c>
      <c r="AO96" s="1071"/>
      <c r="AP96" s="1070">
        <f>IF(AP94=0,0,AP95/AP94)*100</f>
        <v>0</v>
      </c>
      <c r="AQ96" s="1070">
        <f>IF(AQ94=0,0,AQ95/AQ94)*100</f>
        <v>0</v>
      </c>
      <c r="AR96" s="1071"/>
      <c r="AS96" s="1070">
        <f>IF(AS94=0,0,AS95/AS94)*100</f>
        <v>0</v>
      </c>
      <c r="AT96" s="1070">
        <f>IF(AT94=0,0,AT95/AT94)*100</f>
        <v>0</v>
      </c>
      <c r="AU96" s="1071"/>
      <c r="AV96" s="1070">
        <f>IF(AV94=0,0,AV95/AV94)*100</f>
        <v>0</v>
      </c>
      <c r="AW96" s="1070">
        <f>IF(AW94=0,0,AW95/AW94)*100</f>
        <v>0</v>
      </c>
      <c r="AX96" s="1071"/>
      <c r="AY96" s="1070">
        <f>IF(AY94=0,0,AY95/AY94)*100</f>
        <v>0</v>
      </c>
      <c r="AZ96" s="1070">
        <f>IF(AZ94=0,0,AZ95/AZ94)*100</f>
        <v>0</v>
      </c>
      <c r="BA96" s="1071"/>
      <c r="BB96" s="1070">
        <f>IF(BB94=0,0,BB95/BB94)*100</f>
        <v>0</v>
      </c>
      <c r="BC96" s="1070">
        <f>IF(BC94=0,0,BC95/BC94)*100</f>
        <v>0</v>
      </c>
      <c r="BD96" s="1071"/>
      <c r="BE96" s="1070">
        <f>IF(BE94=0,0,BE95/BE94)*100</f>
        <v>0</v>
      </c>
      <c r="BF96" s="1070">
        <f>IF(BF94=0,0,BF95/BF94)*100</f>
        <v>0</v>
      </c>
      <c r="BG96" s="1071"/>
      <c r="BH96" s="1070">
        <f>IF(BH94=0,0,BH95/BH94)*100</f>
        <v>0</v>
      </c>
      <c r="BI96" s="1070">
        <f>IF(BI94=0,0,BI95/BI94)*100</f>
        <v>0</v>
      </c>
      <c r="BJ96" s="1071"/>
      <c r="BK96" s="1070">
        <f>IF(BK94=0,0,BK95/BK94)*100</f>
        <v>0</v>
      </c>
      <c r="BL96" s="1070">
        <f>IF(BL94=0,0,BL95/BL94)*100</f>
        <v>0</v>
      </c>
      <c r="BM96" s="1071"/>
      <c r="BN96" s="1070">
        <f>IF(BN94=0,0,BN95/BN94)*100</f>
        <v>0</v>
      </c>
      <c r="BO96" s="1070">
        <f>IF(BO94=0,0,BO95/BO94)*100</f>
        <v>0</v>
      </c>
      <c r="BP96" s="1071"/>
      <c r="BQ96" s="1070">
        <f>IF(BQ94=0,0,BQ95/BQ94)*100</f>
        <v>0</v>
      </c>
      <c r="BR96" s="1070">
        <f>IF(BR94=0,0,BR95/BR94)*100</f>
        <v>0</v>
      </c>
      <c r="BS96" s="1071"/>
      <c r="BT96" s="1070">
        <f>IF(BT94=0,0,BT95/BT94)*100</f>
        <v>0</v>
      </c>
      <c r="BU96" s="1070">
        <f>IF(BU94=0,0,BU95/BU94)*100</f>
        <v>0</v>
      </c>
      <c r="BV96" s="1071"/>
      <c r="BW96" s="1070">
        <f>IF(BW94=0,0,BW95/BW94)*100</f>
        <v>0</v>
      </c>
      <c r="BX96" s="1070">
        <f>IF(BX94=0,0,BX95/BX94)*100</f>
        <v>0</v>
      </c>
      <c r="BY96" s="1071"/>
      <c r="BZ96" s="1070">
        <f>IF(BZ94=0,0,BZ95/BZ94)*100</f>
        <v>0</v>
      </c>
      <c r="CA96" s="1070">
        <f>IF(CA94=0,0,CA95/CA94)*100</f>
        <v>0</v>
      </c>
      <c r="CB96" s="1071"/>
      <c r="CC96" s="1070">
        <f>IF(CC94=0,0,CC95/CC94)*100</f>
        <v>0</v>
      </c>
      <c r="CD96" s="1070">
        <f>IF(CD94=0,0,CD95/CD94)*100</f>
        <v>0</v>
      </c>
      <c r="CE96" s="1071"/>
      <c r="CF96" s="1070">
        <f>IF(CF94=0,0,CF95/CF94)*100</f>
        <v>0</v>
      </c>
      <c r="CG96" s="1070">
        <f>IF(CG94=0,0,CG95/CG94)*100</f>
        <v>0</v>
      </c>
      <c r="CH96" s="1071"/>
      <c r="CI96" s="1070">
        <f>IF(CI94=0,0,CI95/CI94)*100</f>
        <v>0</v>
      </c>
      <c r="CJ96" s="1070">
        <f>IF(CJ94=0,0,CJ95/CJ94)*100</f>
        <v>0</v>
      </c>
      <c r="CK96" s="1071"/>
      <c r="CL96" s="1070">
        <f>IF(CL94=0,0,CL95/CL94)*100</f>
        <v>0</v>
      </c>
      <c r="CM96" s="1070">
        <f>IF(CM94=0,0,CM95/CM94)*100</f>
        <v>0</v>
      </c>
      <c r="CN96" s="1071"/>
      <c r="CO96" s="1070">
        <f>IF(CO94=0,0,CO95/CO94)*100</f>
        <v>0</v>
      </c>
      <c r="CP96" s="1070">
        <f>IF(CP94=0,0,CP95/CP94)*100</f>
        <v>0</v>
      </c>
      <c r="CQ96" s="1071"/>
      <c r="CR96" s="1070">
        <f>IF(CR94=0,0,CR95/CR94)*100</f>
        <v>0</v>
      </c>
      <c r="CS96" s="1070">
        <f>IF(CS94=0,0,CS95/CS94)*100</f>
        <v>0</v>
      </c>
      <c r="CT96" s="1071"/>
      <c r="CU96" s="1070">
        <f>IF(CU94=0,0,CU95/CU94)*100</f>
        <v>0</v>
      </c>
      <c r="CV96" s="1070">
        <f>IF(CV94=0,0,CV95/CV94)*100</f>
        <v>0</v>
      </c>
      <c r="CW96" s="1071"/>
      <c r="CX96" s="1070">
        <f>IF(CX94=0,0,CX95/CX94)*100</f>
        <v>0</v>
      </c>
      <c r="CY96" s="1070">
        <f>IF(CY94=0,0,CY95/CY94)*100</f>
        <v>0</v>
      </c>
      <c r="CZ96" s="1071"/>
      <c r="DA96" s="1070">
        <f>IF(DA94=0,0,DA95/DA94)*100</f>
        <v>0</v>
      </c>
      <c r="DB96" s="1070">
        <f>IF(DB94=0,0,DB95/DB94)*100</f>
        <v>0</v>
      </c>
      <c r="DC96" s="1071"/>
      <c r="DD96" s="1070">
        <f>IF(DD94=0,0,DD95/DD94)*100</f>
        <v>0</v>
      </c>
      <c r="DE96" s="1070">
        <f>IF(DE94=0,0,DE95/DE94)*100</f>
        <v>0</v>
      </c>
      <c r="DF96" s="1071"/>
      <c r="DG96" s="1070">
        <f>IF(DG94=0,0,DG95/DG94)*100</f>
        <v>0</v>
      </c>
      <c r="DH96" s="1070">
        <f>IF(DH94=0,0,DH95/DH94)*100</f>
        <v>0</v>
      </c>
      <c r="DI96" s="1071"/>
      <c r="DJ96" s="1070">
        <f>IF(DJ94=0,0,DJ95/DJ94)*100</f>
        <v>0</v>
      </c>
      <c r="DK96" s="1070">
        <f>IF(DK94=0,0,DK95/DK94)*100</f>
        <v>0</v>
      </c>
      <c r="DL96" s="1071"/>
      <c r="DM96" s="1070">
        <f>IF(DM94=0,0,DM95/DM94)*100</f>
        <v>0</v>
      </c>
      <c r="DN96" s="1070">
        <f>IF(DN94=0,0,DN95/DN94)*100</f>
        <v>0</v>
      </c>
      <c r="DO96" s="1071"/>
      <c r="DP96" s="1070">
        <f>IF(DP94=0,0,DP95/DP94)*100</f>
        <v>0</v>
      </c>
      <c r="DQ96" s="1070">
        <f>IF(DQ94=0,0,DQ95/DQ94)*100</f>
        <v>0</v>
      </c>
      <c r="DR96" s="1071"/>
      <c r="DS96" s="1070">
        <f>IF(DS94=0,0,DS95/DS94)*100</f>
        <v>0</v>
      </c>
      <c r="DT96" s="1070">
        <f>IF(DT94=0,0,DT95/DT94)*100</f>
        <v>0</v>
      </c>
      <c r="DU96" s="1071"/>
      <c r="DV96" s="1070">
        <f>IF(DV94=0,0,DV95/DV94)*100</f>
        <v>0</v>
      </c>
      <c r="DW96" s="1070">
        <f>IF(DW94=0,0,DW95/DW94)*100</f>
        <v>0</v>
      </c>
      <c r="DX96" s="1071"/>
      <c r="DY96" s="1070">
        <f>IF(DY94=0,0,DY95/DY94)*100</f>
        <v>0</v>
      </c>
      <c r="DZ96" s="1070">
        <f>IF(DZ94=0,0,DZ95/DZ94)*100</f>
        <v>0</v>
      </c>
      <c r="EA96" s="1071"/>
      <c r="EB96" s="1070">
        <f>IF(EB94=0,0,EB95/EB94)*100</f>
        <v>0</v>
      </c>
      <c r="EC96" s="1070">
        <f>IF(EC94=0,0,EC95/EC94)*100</f>
        <v>0</v>
      </c>
      <c r="ED96" s="1071"/>
      <c r="EE96" s="1070">
        <f>IF(EE94=0,0,EE95/EE94)*100</f>
        <v>0</v>
      </c>
      <c r="EF96" s="1070">
        <f>IF(EF94=0,0,EF95/EF94)*100</f>
        <v>0</v>
      </c>
      <c r="EG96" s="1071"/>
      <c r="EH96" s="1070">
        <f>IF(EH94=0,0,EH95/EH94)*100</f>
        <v>0</v>
      </c>
      <c r="EI96" s="1070">
        <f>IF(EI94=0,0,EI95/EI94)*100</f>
        <v>0</v>
      </c>
      <c r="EJ96" s="1071"/>
      <c r="EK96" s="1070">
        <f>IF(EK94=0,0,EK95/EK94)*100</f>
        <v>0</v>
      </c>
      <c r="EL96" s="1070">
        <f>IF(EL94=0,0,EL95/EL94)*100</f>
        <v>0</v>
      </c>
      <c r="EM96" s="1071"/>
      <c r="EN96" s="1070">
        <f>IF(EN94=0,0,EN95/EN94)*100</f>
        <v>0</v>
      </c>
      <c r="EO96" s="1070">
        <f>IF(EO94=0,0,EO95/EO94)*100</f>
        <v>0</v>
      </c>
      <c r="EP96" s="1071"/>
      <c r="EQ96" s="1070">
        <f>IF(EQ94=0,0,EQ95/EQ94)*100</f>
        <v>0</v>
      </c>
      <c r="ER96" s="1070">
        <f>IF(ER94=0,0,ER95/ER94)*100</f>
        <v>0</v>
      </c>
      <c r="ES96" s="1071"/>
      <c r="ET96" s="1070">
        <f>IF(ET94=0,0,ET95/ET94)*100</f>
        <v>0</v>
      </c>
      <c r="EU96" s="1070">
        <f>IF(EU94=0,0,EU95/EU94)*100</f>
        <v>0</v>
      </c>
      <c r="EV96" s="1071"/>
      <c r="EW96" s="1070">
        <f>IF(EW94=0,0,EW95/EW94)*100</f>
        <v>0</v>
      </c>
      <c r="EX96" s="1070">
        <f>IF(EX94=0,0,EX95/EX94)*100</f>
        <v>0</v>
      </c>
      <c r="EY96" s="1071"/>
      <c r="EZ96" s="1070">
        <f>IF(EZ94=0,0,EZ95/EZ94)*100</f>
        <v>0</v>
      </c>
      <c r="FA96" s="1070">
        <f>IF(FA94=0,0,FA95/FA94)*100</f>
        <v>0</v>
      </c>
      <c r="FB96" s="1071"/>
      <c r="FC96" s="1070">
        <f>IF(FC94=0,0,FC95/FC94)*100</f>
        <v>0</v>
      </c>
      <c r="FD96" s="1070">
        <f>IF(FD94=0,0,FD95/FD94)*100</f>
        <v>0</v>
      </c>
      <c r="FE96" s="1071"/>
      <c r="FF96" s="1070">
        <f>IF(FF94=0,0,FF95/FF94)*100</f>
        <v>0</v>
      </c>
      <c r="FG96" s="1070">
        <f>IF(FG94=0,0,FG95/FG94)*100</f>
        <v>0</v>
      </c>
      <c r="FH96" s="1071"/>
      <c r="FI96" s="1070">
        <f>IF(FI94=0,0,FI95/FI94)*100</f>
        <v>0</v>
      </c>
      <c r="FJ96" s="1070">
        <f>IF(FJ94=0,0,FJ95/FJ94)*100</f>
        <v>0</v>
      </c>
      <c r="FK96" s="1071"/>
      <c r="FL96" s="1070">
        <f>IF(FL94=0,0,FL95/FL94)*100</f>
        <v>0</v>
      </c>
      <c r="FM96" s="1070">
        <f>IF(FM94=0,0,FM95/FM94)*100</f>
        <v>0</v>
      </c>
      <c r="FN96" s="1071"/>
      <c r="FO96" s="1070">
        <f>IF(FO94=0,0,FO95/FO94)*100</f>
        <v>0</v>
      </c>
      <c r="FP96" s="1070">
        <f>IF(FP94=0,0,FP95/FP94)*100</f>
        <v>0</v>
      </c>
      <c r="FQ96" s="1071"/>
      <c r="FR96" s="1070">
        <f>IF(FR94=0,0,FR95/FR94)*100</f>
        <v>0</v>
      </c>
      <c r="FS96" s="1070">
        <f>IF(FS94=0,0,FS95/FS94)*100</f>
        <v>0</v>
      </c>
      <c r="FT96" s="1071"/>
      <c r="FU96" s="1070">
        <f>IF(FU94=0,0,FU95/FU94)*100</f>
        <v>0</v>
      </c>
      <c r="FV96" s="1070">
        <f>IF(FV94=0,0,FV95/FV94)*100</f>
        <v>0</v>
      </c>
      <c r="FW96" s="1071"/>
      <c r="FX96" s="258"/>
      <c r="FY96" s="1282"/>
      <c r="FZ96" s="1032" t="s">
        <v>1497</v>
      </c>
      <c r="GA96" s="1284"/>
      <c r="GB96" s="1284"/>
      <c r="GC96" s="1283"/>
      <c r="GD96" s="1283"/>
    </row>
    <row s="1624" customFormat="1" customHeight="1" ht="14.25" hidden="1">
      <c r="A97" s="466"/>
      <c r="B97" s="901" cm="1" t="str">
        <f t="array" ref="B97:B97">B96</f>
        <v>false</v>
      </c>
      <c r="C97" s="466"/>
      <c r="D97" s="466"/>
      <c r="E97" s="816">
        <v>15</v>
      </c>
      <c r="F97" s="50" cm="1" t="str">
        <f t="array" ref="F97:F97">OFFSET(E97,-1,1)</f>
        <v>1</v>
      </c>
      <c r="G97" s="73" t="s">
        <v>1498</v>
      </c>
      <c r="H97" s="466" t="s">
        <v>441</v>
      </c>
      <c r="I97" s="466" t="s">
        <v>1496</v>
      </c>
      <c r="J97" s="466"/>
      <c r="K97" s="466"/>
      <c r="L97" s="466"/>
      <c r="M97" s="466"/>
      <c r="N97" s="466"/>
      <c r="O97" s="466"/>
      <c r="P97" s="466"/>
      <c r="Q97" s="873"/>
      <c r="R97" s="466"/>
      <c r="S97" s="466"/>
      <c r="T97" s="438" cm="1" t="str">
        <f t="array" ref="T97:T97">T96</f>
        <v>true</v>
      </c>
      <c r="U97" s="466"/>
      <c r="V97" s="466"/>
      <c r="W97" s="466"/>
      <c r="X97" s="1541"/>
      <c r="Y97" s="466"/>
      <c r="Z97" s="1493"/>
      <c r="AA97" s="466"/>
      <c r="AB97" s="876" t="s">
        <v>1499</v>
      </c>
      <c r="AC97" s="840" t="s">
        <v>506</v>
      </c>
      <c r="AD97" s="2907">
        <f>IF(AND(method_reg="Метод индексации",god&lt;&gt;first_year),_xlfn.SUMIFS(INDEX('Калькуляция (МИ корр)'!$AJ$25:$BC$315,,MATCH(AD$8,'Калькуляция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(МИ)'!$AJ$25:$BC$315,,MATCH(AD$8,'Калькуляция (МИ)'!$AJ$8:$BC$8,0)),'Калькуляция (МИ)'!$F$25:$F$315,$F97,'Калькуляция (МИ)'!$G$25:$G$315,$G97))))</f>
        <v>0</v>
      </c>
      <c r="AE97" s="2907">
        <f>IF(AND(method_reg="Метод индексации",god&lt;&gt;first_year),_xlfn.SUMIFS(INDEX('Калькуляция (МИ корр)'!$AJ$25:$BC$315,,MATCH(AE$8,'Калькуляция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(МИ)'!$AJ$25:$BC$315,,MATCH(AE$8,'Калькуляция (МИ)'!$AJ$8:$BC$8,0)),'Калькуляция (МИ)'!$F$25:$F$315,$F97,'Калькуляция (МИ)'!$G$25:$G$315,$G97))))</f>
        <v>0</v>
      </c>
      <c r="AF97" s="1073">
        <f>IF(AD97=0,0,(AE97-AD97)/AD97*100)</f>
        <v>0</v>
      </c>
      <c r="AG97" s="2907">
        <f>IF(AND(method_reg="Метод индексации",god&lt;&gt;first_year),_xlfn.SUMIFS(INDEX('Калькуляция (МИ корр)'!$AJ$25:$BC$315,,MATCH(AG$8,'Калькуляция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(МИ)'!$AJ$25:$BC$315,,MATCH(AG$8,'Калькуляция (МИ)'!$AJ$8:$BC$8,0)),'Калькуляция (МИ)'!$F$25:$F$315,$F97,'Калькуляция (МИ)'!$G$25:$G$315,$G97))))</f>
        <v>0</v>
      </c>
      <c r="AH97" s="2907">
        <f>IF(AND(method_reg="Метод индексации",god&lt;&gt;first_year),_xlfn.SUMIFS(INDEX('Калькуляция (МИ корр)'!$AJ$25:$BC$315,,MATCH(AH$8,'Калькуляция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(МИ)'!$AJ$25:$BC$315,,MATCH(AH$8,'Калькуляция (МИ)'!$AJ$8:$BC$8,0)),'Калькуляция (МИ)'!$F$25:$F$315,$F97,'Калькуляция (МИ)'!$G$25:$G$315,$G97))))</f>
        <v>0</v>
      </c>
      <c r="AI97" s="1073">
        <f>IF(AG97=0,0,(AH97-AG97)/AG97*100)</f>
        <v>0</v>
      </c>
      <c r="AJ97" s="2907">
        <f>IF(AND(method_reg="Метод индексации",god&lt;&gt;first_year),_xlfn.SUMIFS(INDEX('Калькуляция (МИ корр)'!$AJ$25:$BC$315,,MATCH(AJ$8,'Калькуляция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(МИ)'!$AJ$25:$BC$315,,MATCH(AJ$8,'Калькуляция (МИ)'!$AJ$8:$BC$8,0)),'Калькуляция (МИ)'!$F$25:$F$315,$F97,'Калькуляция (МИ)'!$G$25:$G$315,$G97))))</f>
        <v>0</v>
      </c>
      <c r="AK97" s="2907">
        <f>IF(AND(method_reg="Метод индексации",god&lt;&gt;first_year),_xlfn.SUMIFS(INDEX('Калькуляция (МИ корр)'!$AJ$25:$BC$315,,MATCH(AK$8,'Калькуляция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(МИ)'!$AJ$25:$BC$315,,MATCH(AK$8,'Калькуляция (МИ)'!$AJ$8:$BC$8,0)),'Калькуляция (МИ)'!$F$25:$F$315,$F97,'Калькуляция (МИ)'!$G$25:$G$315,$G97))))</f>
        <v>0</v>
      </c>
      <c r="AL97" s="1073">
        <f>IF(AJ97=0,0,(AK97-AJ97)/AJ97*100)</f>
        <v>0</v>
      </c>
      <c r="AM97" s="2907">
        <f>IF(AND(method_reg="Метод индексации",god&lt;&gt;first_year),_xlfn.SUMIFS(INDEX('Калькуляция (МИ корр)'!$AJ$25:$BC$315,,MATCH(AM$8,'Калькуляция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(МИ)'!$AJ$25:$BC$315,,MATCH(AM$8,'Калькуляция (МИ)'!$AJ$8:$BC$8,0)),'Калькуляция (МИ)'!$F$25:$F$315,$F97,'Калькуляция (МИ)'!$G$25:$G$315,$G97))))</f>
        <v>0</v>
      </c>
      <c r="AN97" s="2907">
        <f>IF(AND(method_reg="Метод индексации",god&lt;&gt;first_year),_xlfn.SUMIFS(INDEX('Калькуляция (МИ корр)'!$AJ$25:$BC$315,,MATCH(AN$8,'Калькуляция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(МИ)'!$AJ$25:$BC$315,,MATCH(AN$8,'Калькуляция (МИ)'!$AJ$8:$BC$8,0)),'Калькуляция (МИ)'!$F$25:$F$315,$F97,'Калькуляция (МИ)'!$G$25:$G$315,$G97))))</f>
        <v>0</v>
      </c>
      <c r="AO97" s="1073">
        <f>IF(AM97=0,0,(AN97-AM97)/AM97*100)</f>
        <v>0</v>
      </c>
      <c r="AP97" s="2907">
        <f>IF(AND(method_reg="Метод индексации",god&lt;&gt;first_year),_xlfn.SUMIFS(INDEX('Калькуляция (МИ корр)'!$AJ$25:$BC$315,,MATCH(AP$8,'Калькуляция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(МИ)'!$AJ$25:$BC$315,,MATCH(AP$8,'Калькуляция (МИ)'!$AJ$8:$BC$8,0)),'Калькуляция (МИ)'!$F$25:$F$315,$F97,'Калькуляция (МИ)'!$G$25:$G$315,$G97))))</f>
        <v>0</v>
      </c>
      <c r="AQ97" s="2907">
        <f>IF(AND(method_reg="Метод индексации",god&lt;&gt;first_year),_xlfn.SUMIFS(INDEX('Калькуляция (МИ корр)'!$AJ$25:$BC$315,,MATCH(AQ$8,'Калькуляция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(МИ)'!$AJ$25:$BC$315,,MATCH(AQ$8,'Калькуляция (МИ)'!$AJ$8:$BC$8,0)),'Калькуляция (МИ)'!$F$25:$F$315,$F97,'Калькуляция (МИ)'!$G$25:$G$315,$G97))))</f>
        <v>0</v>
      </c>
      <c r="AR97" s="1073">
        <f>IF(AP97=0,0,(AQ97-AP97)/AP97*100)</f>
        <v>0</v>
      </c>
      <c r="AS97" s="2907">
        <f>IF(AND(method_reg="Метод индексации",god&lt;&gt;first_year),_xlfn.SUMIFS(INDEX('Калькуляция (МИ корр)'!$AJ$25:$BC$315,,MATCH(AS$8,'Калькуляция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(МИ)'!$AJ$25:$BC$315,,MATCH(AS$8,'Калькуляция (МИ)'!$AJ$8:$BC$8,0)),'Калькуляция (МИ)'!$F$25:$F$315,$F97,'Калькуляция (МИ)'!$G$25:$G$315,$G97))))</f>
        <v>0</v>
      </c>
      <c r="AT97" s="2907">
        <f>IF(AND(method_reg="Метод индексации",god&lt;&gt;first_year),_xlfn.SUMIFS(INDEX('Калькуляция (МИ корр)'!$AJ$25:$BC$315,,MATCH(AT$8,'Калькуляция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(МИ)'!$AJ$25:$BC$315,,MATCH(AT$8,'Калькуляция (МИ)'!$AJ$8:$BC$8,0)),'Калькуляция (МИ)'!$F$25:$F$315,$F97,'Калькуляция (МИ)'!$G$25:$G$315,$G97))))</f>
        <v>0</v>
      </c>
      <c r="AU97" s="1073">
        <f>IF(AS97=0,0,(AT97-AS97)/AS97*100)</f>
        <v>0</v>
      </c>
      <c r="AV97" s="2907">
        <f>IF(AND(method_reg="Метод индексации",god&lt;&gt;first_year),_xlfn.SUMIFS(INDEX('Калькуляция (МИ корр)'!$AJ$25:$BC$315,,MATCH(AV$8,'Калькуляция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(МИ)'!$AJ$25:$BC$315,,MATCH(AV$8,'Калькуляция (МИ)'!$AJ$8:$BC$8,0)),'Калькуляция (МИ)'!$F$25:$F$315,$F97,'Калькуляция (МИ)'!$G$25:$G$315,$G97))))</f>
        <v>0</v>
      </c>
      <c r="AW97" s="2907">
        <f>IF(AND(method_reg="Метод индексации",god&lt;&gt;first_year),_xlfn.SUMIFS(INDEX('Калькуляция (МИ корр)'!$AJ$25:$BC$315,,MATCH(AW$8,'Калькуляция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(МИ)'!$AJ$25:$BC$315,,MATCH(AW$8,'Калькуляция (МИ)'!$AJ$8:$BC$8,0)),'Калькуляция (МИ)'!$F$25:$F$315,$F97,'Калькуляция (МИ)'!$G$25:$G$315,$G97))))</f>
        <v>0</v>
      </c>
      <c r="AX97" s="1073">
        <f>IF(AV97=0,0,(AW97-AV97)/AV97*100)</f>
        <v>0</v>
      </c>
      <c r="AY97" s="2907">
        <f>IF(AND(method_reg="Метод индексации",god&lt;&gt;first_year),_xlfn.SUMIFS(INDEX('Калькуляция (МИ корр)'!$AJ$25:$BC$315,,MATCH(AY$8,'Калькуляция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(МИ)'!$AJ$25:$BC$315,,MATCH(AY$8,'Калькуляция (МИ)'!$AJ$8:$BC$8,0)),'Калькуляция (МИ)'!$F$25:$F$315,$F97,'Калькуляция (МИ)'!$G$25:$G$315,$G97))))</f>
        <v>0</v>
      </c>
      <c r="AZ97" s="2907">
        <f>IF(AND(method_reg="Метод индексации",god&lt;&gt;first_year),_xlfn.SUMIFS(INDEX('Калькуляция (МИ корр)'!$AJ$25:$BC$315,,MATCH(AZ$8,'Калькуляция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(МИ)'!$AJ$25:$BC$315,,MATCH(AZ$8,'Калькуляция (МИ)'!$AJ$8:$BC$8,0)),'Калькуляция (МИ)'!$F$25:$F$315,$F97,'Калькуляция (МИ)'!$G$25:$G$315,$G97))))</f>
        <v>0</v>
      </c>
      <c r="BA97" s="1073">
        <f>IF(AY97=0,0,(AZ97-AY97)/AY97*100)</f>
        <v>0</v>
      </c>
      <c r="BB97" s="2907">
        <f>IF(AND(method_reg="Метод индексации",god&lt;&gt;first_year),_xlfn.SUMIFS(INDEX('Калькуляция (МИ корр)'!$AJ$25:$BC$315,,MATCH(BB$8,'Калькуляция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(МИ)'!$AJ$25:$BC$315,,MATCH(BB$8,'Калькуляция (МИ)'!$AJ$8:$BC$8,0)),'Калькуляция (МИ)'!$F$25:$F$315,$F97,'Калькуляция (МИ)'!$G$25:$G$315,$G97))))</f>
        <v>0</v>
      </c>
      <c r="BC97" s="2907">
        <f>IF(AND(method_reg="Метод индексации",god&lt;&gt;first_year),_xlfn.SUMIFS(INDEX('Калькуляция (МИ корр)'!$AJ$25:$BC$315,,MATCH(BC$8,'Калькуляция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(МИ)'!$AJ$25:$BC$315,,MATCH(BC$8,'Калькуляция (МИ)'!$AJ$8:$BC$8,0)),'Калькуляция (МИ)'!$F$25:$F$315,$F97,'Калькуляция (МИ)'!$G$25:$G$315,$G97))))</f>
        <v>0</v>
      </c>
      <c r="BD97" s="1073">
        <f>IF(BB97=0,0,(BC97-BB97)/BB97*100)</f>
        <v>0</v>
      </c>
      <c r="BE97" s="2907">
        <f>IF(AND(method_reg="Метод индексации",god&lt;&gt;first_year),_xlfn.SUMIFS(INDEX('Калькуляция (МИ корр)'!$AJ$25:$BC$315,,MATCH(BE$8,'Калькуляция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(МИ)'!$AJ$25:$BC$315,,MATCH(BE$8,'Калькуляция (МИ)'!$AJ$8:$BC$8,0)),'Калькуляция (МИ)'!$F$25:$F$315,$F97,'Калькуляция (МИ)'!$G$25:$G$315,$G97))))</f>
        <v>0</v>
      </c>
      <c r="BF97" s="2907">
        <f>IF(AND(method_reg="Метод индексации",god&lt;&gt;first_year),_xlfn.SUMIFS(INDEX('Калькуляция (МИ корр)'!$AJ$25:$BC$315,,MATCH(BF$8,'Калькуляция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(МИ)'!$AJ$25:$BC$315,,MATCH(BF$8,'Калькуляция (МИ)'!$AJ$8:$BC$8,0)),'Калькуляция (МИ)'!$F$25:$F$315,$F97,'Калькуляция (МИ)'!$G$25:$G$315,$G97))))</f>
        <v>0</v>
      </c>
      <c r="BG97" s="1073">
        <f>IF(BE97=0,0,(BF97-BE97)/BE97*100)</f>
        <v>0</v>
      </c>
      <c r="BH97" s="2907"/>
      <c r="BI97" s="2907"/>
      <c r="BJ97" s="1073">
        <f>IF(BH97=0,0,(BI97-BH97)/BH97*100)</f>
        <v>0</v>
      </c>
      <c r="BK97" s="2907"/>
      <c r="BL97" s="2907"/>
      <c r="BM97" s="1073">
        <f>IF(BK97=0,0,(BL97-BK97)/BK97*100)</f>
        <v>0</v>
      </c>
      <c r="BN97" s="2907"/>
      <c r="BO97" s="2907"/>
      <c r="BP97" s="1073">
        <f>IF(BN97=0,0,(BO97-BN97)/BN97*100)</f>
        <v>0</v>
      </c>
      <c r="BQ97" s="2907"/>
      <c r="BR97" s="2907"/>
      <c r="BS97" s="1073">
        <f>IF(BQ97=0,0,(BR97-BQ97)/BQ97*100)</f>
        <v>0</v>
      </c>
      <c r="BT97" s="2907"/>
      <c r="BU97" s="2907"/>
      <c r="BV97" s="1073">
        <f>IF(BT97=0,0,(BU97-BT97)/BT97*100)</f>
        <v>0</v>
      </c>
      <c r="BW97" s="2907"/>
      <c r="BX97" s="2907"/>
      <c r="BY97" s="1073">
        <f>IF(BW97=0,0,(BX97-BW97)/BW97*100)</f>
        <v>0</v>
      </c>
      <c r="BZ97" s="2907"/>
      <c r="CA97" s="2907"/>
      <c r="CB97" s="1073">
        <f>IF(BZ97=0,0,(CA97-BZ97)/BZ97*100)</f>
        <v>0</v>
      </c>
      <c r="CC97" s="2907"/>
      <c r="CD97" s="2907"/>
      <c r="CE97" s="1073">
        <f>IF(CC97=0,0,(CD97-CC97)/CC97*100)</f>
        <v>0</v>
      </c>
      <c r="CF97" s="2907"/>
      <c r="CG97" s="2907"/>
      <c r="CH97" s="1073">
        <f>IF(CF97=0,0,(CG97-CF97)/CF97*100)</f>
        <v>0</v>
      </c>
      <c r="CI97" s="2907"/>
      <c r="CJ97" s="2907"/>
      <c r="CK97" s="1073">
        <f>IF(CI97=0,0,(CJ97-CI97)/CI97*100)</f>
        <v>0</v>
      </c>
      <c r="CL97" s="2907"/>
      <c r="CM97" s="2907"/>
      <c r="CN97" s="1073">
        <f>IF(CL97=0,0,(CM97-CL97)/CL97*100)</f>
        <v>0</v>
      </c>
      <c r="CO97" s="2907"/>
      <c r="CP97" s="2907"/>
      <c r="CQ97" s="1073">
        <f>IF(CO97=0,0,(CP97-CO97)/CO97*100)</f>
        <v>0</v>
      </c>
      <c r="CR97" s="2907"/>
      <c r="CS97" s="2907"/>
      <c r="CT97" s="1073">
        <f>IF(CR97=0,0,(CS97-CR97)/CR97*100)</f>
        <v>0</v>
      </c>
      <c r="CU97" s="2907"/>
      <c r="CV97" s="2907"/>
      <c r="CW97" s="1073">
        <f>IF(CU97=0,0,(CV97-CU97)/CU97*100)</f>
        <v>0</v>
      </c>
      <c r="CX97" s="2907"/>
      <c r="CY97" s="2907"/>
      <c r="CZ97" s="1073">
        <f>IF(CX97=0,0,(CY97-CX97)/CX97*100)</f>
        <v>0</v>
      </c>
      <c r="DA97" s="2907"/>
      <c r="DB97" s="2907"/>
      <c r="DC97" s="1073">
        <f>IF(DA97=0,0,(DB97-DA97)/DA97*100)</f>
        <v>0</v>
      </c>
      <c r="DD97" s="2907"/>
      <c r="DE97" s="2907"/>
      <c r="DF97" s="1073">
        <f>IF(DD97=0,0,(DE97-DD97)/DD97*100)</f>
        <v>0</v>
      </c>
      <c r="DG97" s="2907"/>
      <c r="DH97" s="2907"/>
      <c r="DI97" s="1073">
        <f>IF(DG97=0,0,(DH97-DG97)/DG97*100)</f>
        <v>0</v>
      </c>
      <c r="DJ97" s="2907"/>
      <c r="DK97" s="2907"/>
      <c r="DL97" s="1073">
        <f>IF(DJ97=0,0,(DK97-DJ97)/DJ97*100)</f>
        <v>0</v>
      </c>
      <c r="DM97" s="2907"/>
      <c r="DN97" s="2907"/>
      <c r="DO97" s="1073">
        <f>IF(DM97=0,0,(DN97-DM97)/DM97*100)</f>
        <v>0</v>
      </c>
      <c r="DP97" s="2907"/>
      <c r="DQ97" s="2907"/>
      <c r="DR97" s="1073">
        <f>IF(DP97=0,0,(DQ97-DP97)/DP97*100)</f>
        <v>0</v>
      </c>
      <c r="DS97" s="2907"/>
      <c r="DT97" s="2907"/>
      <c r="DU97" s="1073">
        <f>IF(DS97=0,0,(DT97-DS97)/DS97*100)</f>
        <v>0</v>
      </c>
      <c r="DV97" s="2907"/>
      <c r="DW97" s="2907"/>
      <c r="DX97" s="1073">
        <f>IF(DV97=0,0,(DW97-DV97)/DV97*100)</f>
        <v>0</v>
      </c>
      <c r="DY97" s="2907"/>
      <c r="DZ97" s="2907"/>
      <c r="EA97" s="1073">
        <f>IF(DY97=0,0,(DZ97-DY97)/DY97*100)</f>
        <v>0</v>
      </c>
      <c r="EB97" s="2907"/>
      <c r="EC97" s="2907"/>
      <c r="ED97" s="1073">
        <f>IF(EB97=0,0,(EC97-EB97)/EB97*100)</f>
        <v>0</v>
      </c>
      <c r="EE97" s="2907"/>
      <c r="EF97" s="2907"/>
      <c r="EG97" s="1073">
        <f>IF(EE97=0,0,(EF97-EE97)/EE97*100)</f>
        <v>0</v>
      </c>
      <c r="EH97" s="2907"/>
      <c r="EI97" s="2907"/>
      <c r="EJ97" s="1073">
        <f>IF(EH97=0,0,(EI97-EH97)/EH97*100)</f>
        <v>0</v>
      </c>
      <c r="EK97" s="2907"/>
      <c r="EL97" s="2907"/>
      <c r="EM97" s="1073">
        <f>IF(EK97=0,0,(EL97-EK97)/EK97*100)</f>
        <v>0</v>
      </c>
      <c r="EN97" s="2907"/>
      <c r="EO97" s="2907"/>
      <c r="EP97" s="1073">
        <f>IF(EN97=0,0,(EO97-EN97)/EN97*100)</f>
        <v>0</v>
      </c>
      <c r="EQ97" s="2907"/>
      <c r="ER97" s="2907"/>
      <c r="ES97" s="1073">
        <f>IF(EQ97=0,0,(ER97-EQ97)/EQ97*100)</f>
        <v>0</v>
      </c>
      <c r="ET97" s="2907"/>
      <c r="EU97" s="2907"/>
      <c r="EV97" s="1073">
        <f>IF(ET97=0,0,(EU97-ET97)/ET97*100)</f>
        <v>0</v>
      </c>
      <c r="EW97" s="2907"/>
      <c r="EX97" s="2907"/>
      <c r="EY97" s="1073">
        <f>IF(EW97=0,0,(EX97-EW97)/EW97*100)</f>
        <v>0</v>
      </c>
      <c r="EZ97" s="2907"/>
      <c r="FA97" s="2907"/>
      <c r="FB97" s="1073">
        <f>IF(EZ97=0,0,(FA97-EZ97)/EZ97*100)</f>
        <v>0</v>
      </c>
      <c r="FC97" s="2907"/>
      <c r="FD97" s="2907"/>
      <c r="FE97" s="1073">
        <f>IF(FC97=0,0,(FD97-FC97)/FC97*100)</f>
        <v>0</v>
      </c>
      <c r="FF97" s="2907"/>
      <c r="FG97" s="2907"/>
      <c r="FH97" s="1073">
        <f>IF(FF97=0,0,(FG97-FF97)/FF97*100)</f>
        <v>0</v>
      </c>
      <c r="FI97" s="2907"/>
      <c r="FJ97" s="2907"/>
      <c r="FK97" s="1073">
        <f>IF(FI97=0,0,(FJ97-FI97)/FI97*100)</f>
        <v>0</v>
      </c>
      <c r="FL97" s="2907"/>
      <c r="FM97" s="2907"/>
      <c r="FN97" s="1073">
        <f>IF(FL97=0,0,(FM97-FL97)/FL97*100)</f>
        <v>0</v>
      </c>
      <c r="FO97" s="2907"/>
      <c r="FP97" s="2907"/>
      <c r="FQ97" s="1073">
        <f>IF(FO97=0,0,(FP97-FO97)/FO97*100)</f>
        <v>0</v>
      </c>
      <c r="FR97" s="2907"/>
      <c r="FS97" s="2907"/>
      <c r="FT97" s="1073">
        <f>IF(FR97=0,0,(FS97-FR97)/FR97*100)</f>
        <v>0</v>
      </c>
      <c r="FU97" s="2907"/>
      <c r="FV97" s="2907"/>
      <c r="FW97" s="1073">
        <f>IF(FU97=0,0,(FV97-FU97)/FU97*100)</f>
        <v>0</v>
      </c>
      <c r="FX97" s="258"/>
      <c r="FY97" s="1282"/>
      <c r="FZ97" s="1032" t="s">
        <v>1500</v>
      </c>
      <c r="GA97" s="1284"/>
      <c r="GB97" s="1284"/>
      <c r="GC97" s="1283"/>
      <c r="GD97" s="1283"/>
    </row>
    <row s="1624" customFormat="1" customHeight="1" ht="18" hidden="1">
      <c r="A98" s="466"/>
      <c r="B98" s="901" cm="1" t="str">
        <f t="array" ref="B98:B98">B97</f>
        <v>false</v>
      </c>
      <c r="C98" s="466"/>
      <c r="D98" s="466"/>
      <c r="E98" s="816">
        <v>18.75</v>
      </c>
      <c r="F98" s="50" cm="1" t="str">
        <f t="array" ref="F98:F98">OFFSET(E98,-1,1)</f>
        <v>1</v>
      </c>
      <c r="G98" s="466"/>
      <c r="H98" s="466" t="s">
        <v>434</v>
      </c>
      <c r="I98" s="466" cm="1" t="str">
        <f t="array" ref="I98:I98">AB98</f>
        <v>0</v>
      </c>
      <c r="J98" s="466"/>
      <c r="K98" s="466"/>
      <c r="L98" s="466"/>
      <c r="M98" s="466"/>
      <c r="N98" s="466"/>
      <c r="O98" s="466"/>
      <c r="P98" s="466"/>
      <c r="Q98" s="873"/>
      <c r="R98" s="466"/>
      <c r="S98" s="466"/>
      <c r="T98" s="438">
        <f>AND(F98&gt;0,Y98&gt;0)</f>
        <v>0</v>
      </c>
      <c r="U98" s="466"/>
      <c r="V98" s="466"/>
      <c r="W98" s="466" t="s">
        <v>172</v>
      </c>
      <c r="X98" s="1541"/>
      <c r="Y98" s="1541">
        <v>0</v>
      </c>
      <c r="Z98" s="1493"/>
      <c r="AA98" s="1442" t="s">
        <v>173</v>
      </c>
      <c r="AB98" s="2911"/>
      <c r="AC98" s="840" t="s">
        <v>1476</v>
      </c>
      <c r="AD98" s="2912"/>
      <c r="AE98" s="2913"/>
      <c r="AF98" s="1071">
        <f>IF(AD98=0,0,(AE98-AD98)/AD98*100)</f>
        <v>0</v>
      </c>
      <c r="AG98" s="2912"/>
      <c r="AH98" s="2913"/>
      <c r="AI98" s="1071">
        <f>IF(AG98=0,0,(AH98-AG98)/AG98*100)</f>
        <v>0</v>
      </c>
      <c r="AJ98" s="2912"/>
      <c r="AK98" s="2913"/>
      <c r="AL98" s="1071">
        <f>IF(AJ98=0,0,(AK98-AJ98)/AJ98*100)</f>
        <v>0</v>
      </c>
      <c r="AM98" s="2912"/>
      <c r="AN98" s="2913"/>
      <c r="AO98" s="1071">
        <f>IF(AM98=0,0,(AN98-AM98)/AM98*100)</f>
        <v>0</v>
      </c>
      <c r="AP98" s="2912"/>
      <c r="AQ98" s="2913"/>
      <c r="AR98" s="1071">
        <f>IF(AP98=0,0,(AQ98-AP98)/AP98*100)</f>
        <v>0</v>
      </c>
      <c r="AS98" s="2912"/>
      <c r="AT98" s="2913"/>
      <c r="AU98" s="1071">
        <f>IF(AS98=0,0,(AT98-AS98)/AS98*100)</f>
        <v>0</v>
      </c>
      <c r="AV98" s="2912"/>
      <c r="AW98" s="2913"/>
      <c r="AX98" s="1071">
        <f>IF(AV98=0,0,(AW98-AV98)/AV98*100)</f>
        <v>0</v>
      </c>
      <c r="AY98" s="2912"/>
      <c r="AZ98" s="2913"/>
      <c r="BA98" s="1071">
        <f>IF(AY98=0,0,(AZ98-AY98)/AY98*100)</f>
        <v>0</v>
      </c>
      <c r="BB98" s="2912"/>
      <c r="BC98" s="2913"/>
      <c r="BD98" s="1071">
        <f>IF(BB98=0,0,(BC98-BB98)/BB98*100)</f>
        <v>0</v>
      </c>
      <c r="BE98" s="2912"/>
      <c r="BF98" s="2913"/>
      <c r="BG98" s="1071">
        <f>IF(BE98=0,0,(BF98-BE98)/BE98*100)</f>
        <v>0</v>
      </c>
      <c r="BH98" s="2912"/>
      <c r="BI98" s="2913"/>
      <c r="BJ98" s="1071">
        <f>IF(BH98=0,0,(BI98-BH98)/BH98*100)</f>
        <v>0</v>
      </c>
      <c r="BK98" s="2912"/>
      <c r="BL98" s="2913"/>
      <c r="BM98" s="1071">
        <f>IF(BK98=0,0,(BL98-BK98)/BK98*100)</f>
        <v>0</v>
      </c>
      <c r="BN98" s="2912"/>
      <c r="BO98" s="2913"/>
      <c r="BP98" s="1071">
        <f>IF(BN98=0,0,(BO98-BN98)/BN98*100)</f>
        <v>0</v>
      </c>
      <c r="BQ98" s="2912"/>
      <c r="BR98" s="2913"/>
      <c r="BS98" s="1071">
        <f>IF(BQ98=0,0,(BR98-BQ98)/BQ98*100)</f>
        <v>0</v>
      </c>
      <c r="BT98" s="2912"/>
      <c r="BU98" s="2913"/>
      <c r="BV98" s="1071">
        <f>IF(BT98=0,0,(BU98-BT98)/BT98*100)</f>
        <v>0</v>
      </c>
      <c r="BW98" s="2912"/>
      <c r="BX98" s="2913"/>
      <c r="BY98" s="1071">
        <f>IF(BW98=0,0,(BX98-BW98)/BW98*100)</f>
        <v>0</v>
      </c>
      <c r="BZ98" s="2912"/>
      <c r="CA98" s="2913"/>
      <c r="CB98" s="1071">
        <f>IF(BZ98=0,0,(CA98-BZ98)/BZ98*100)</f>
        <v>0</v>
      </c>
      <c r="CC98" s="2912"/>
      <c r="CD98" s="2913"/>
      <c r="CE98" s="1071">
        <f>IF(CC98=0,0,(CD98-CC98)/CC98*100)</f>
        <v>0</v>
      </c>
      <c r="CF98" s="2912"/>
      <c r="CG98" s="2913"/>
      <c r="CH98" s="1071">
        <f>IF(CF98=0,0,(CG98-CF98)/CF98*100)</f>
        <v>0</v>
      </c>
      <c r="CI98" s="2912"/>
      <c r="CJ98" s="2913"/>
      <c r="CK98" s="1071">
        <f>IF(CI98=0,0,(CJ98-CI98)/CI98*100)</f>
        <v>0</v>
      </c>
      <c r="CL98" s="2912"/>
      <c r="CM98" s="2913"/>
      <c r="CN98" s="1071">
        <f>IF(CL98=0,0,(CM98-CL98)/CL98*100)</f>
        <v>0</v>
      </c>
      <c r="CO98" s="2912"/>
      <c r="CP98" s="2913"/>
      <c r="CQ98" s="1071">
        <f>IF(CO98=0,0,(CP98-CO98)/CO98*100)</f>
        <v>0</v>
      </c>
      <c r="CR98" s="2912"/>
      <c r="CS98" s="2913"/>
      <c r="CT98" s="1071">
        <f>IF(CR98=0,0,(CS98-CR98)/CR98*100)</f>
        <v>0</v>
      </c>
      <c r="CU98" s="2912"/>
      <c r="CV98" s="2913"/>
      <c r="CW98" s="1071">
        <f>IF(CU98=0,0,(CV98-CU98)/CU98*100)</f>
        <v>0</v>
      </c>
      <c r="CX98" s="2912"/>
      <c r="CY98" s="2913"/>
      <c r="CZ98" s="1071">
        <f>IF(CX98=0,0,(CY98-CX98)/CX98*100)</f>
        <v>0</v>
      </c>
      <c r="DA98" s="2912"/>
      <c r="DB98" s="2913"/>
      <c r="DC98" s="1071">
        <f>IF(DA98=0,0,(DB98-DA98)/DA98*100)</f>
        <v>0</v>
      </c>
      <c r="DD98" s="2912"/>
      <c r="DE98" s="2913"/>
      <c r="DF98" s="1071">
        <f>IF(DD98=0,0,(DE98-DD98)/DD98*100)</f>
        <v>0</v>
      </c>
      <c r="DG98" s="2912"/>
      <c r="DH98" s="2913"/>
      <c r="DI98" s="1071">
        <f>IF(DG98=0,0,(DH98-DG98)/DG98*100)</f>
        <v>0</v>
      </c>
      <c r="DJ98" s="2912"/>
      <c r="DK98" s="2913"/>
      <c r="DL98" s="1071">
        <f>IF(DJ98=0,0,(DK98-DJ98)/DJ98*100)</f>
        <v>0</v>
      </c>
      <c r="DM98" s="2912"/>
      <c r="DN98" s="2913"/>
      <c r="DO98" s="1071">
        <f>IF(DM98=0,0,(DN98-DM98)/DM98*100)</f>
        <v>0</v>
      </c>
      <c r="DP98" s="2912"/>
      <c r="DQ98" s="2913"/>
      <c r="DR98" s="1071">
        <f>IF(DP98=0,0,(DQ98-DP98)/DP98*100)</f>
        <v>0</v>
      </c>
      <c r="DS98" s="2912"/>
      <c r="DT98" s="2913"/>
      <c r="DU98" s="1071">
        <f>IF(DS98=0,0,(DT98-DS98)/DS98*100)</f>
        <v>0</v>
      </c>
      <c r="DV98" s="2912"/>
      <c r="DW98" s="2913"/>
      <c r="DX98" s="1071">
        <f>IF(DV98=0,0,(DW98-DV98)/DV98*100)</f>
        <v>0</v>
      </c>
      <c r="DY98" s="2912"/>
      <c r="DZ98" s="2913"/>
      <c r="EA98" s="1071">
        <f>IF(DY98=0,0,(DZ98-DY98)/DY98*100)</f>
        <v>0</v>
      </c>
      <c r="EB98" s="2912"/>
      <c r="EC98" s="2913"/>
      <c r="ED98" s="1071">
        <f>IF(EB98=0,0,(EC98-EB98)/EB98*100)</f>
        <v>0</v>
      </c>
      <c r="EE98" s="2912"/>
      <c r="EF98" s="2913"/>
      <c r="EG98" s="1071">
        <f>IF(EE98=0,0,(EF98-EE98)/EE98*100)</f>
        <v>0</v>
      </c>
      <c r="EH98" s="2912"/>
      <c r="EI98" s="2913"/>
      <c r="EJ98" s="1071">
        <f>IF(EH98=0,0,(EI98-EH98)/EH98*100)</f>
        <v>0</v>
      </c>
      <c r="EK98" s="2912"/>
      <c r="EL98" s="2913"/>
      <c r="EM98" s="1071">
        <f>IF(EK98=0,0,(EL98-EK98)/EK98*100)</f>
        <v>0</v>
      </c>
      <c r="EN98" s="2912"/>
      <c r="EO98" s="2913"/>
      <c r="EP98" s="1071">
        <f>IF(EN98=0,0,(EO98-EN98)/EN98*100)</f>
        <v>0</v>
      </c>
      <c r="EQ98" s="2912"/>
      <c r="ER98" s="2913"/>
      <c r="ES98" s="1071">
        <f>IF(EQ98=0,0,(ER98-EQ98)/EQ98*100)</f>
        <v>0</v>
      </c>
      <c r="ET98" s="2912"/>
      <c r="EU98" s="2913"/>
      <c r="EV98" s="1071">
        <f>IF(ET98=0,0,(EU98-ET98)/ET98*100)</f>
        <v>0</v>
      </c>
      <c r="EW98" s="2912"/>
      <c r="EX98" s="2913"/>
      <c r="EY98" s="1071">
        <f>IF(EW98=0,0,(EX98-EW98)/EW98*100)</f>
        <v>0</v>
      </c>
      <c r="EZ98" s="2912"/>
      <c r="FA98" s="2913"/>
      <c r="FB98" s="1071">
        <f>IF(EZ98=0,0,(FA98-EZ98)/EZ98*100)</f>
        <v>0</v>
      </c>
      <c r="FC98" s="2912"/>
      <c r="FD98" s="2913"/>
      <c r="FE98" s="1071">
        <f>IF(FC98=0,0,(FD98-FC98)/FC98*100)</f>
        <v>0</v>
      </c>
      <c r="FF98" s="2912"/>
      <c r="FG98" s="2913"/>
      <c r="FH98" s="1071">
        <f>IF(FF98=0,0,(FG98-FF98)/FF98*100)</f>
        <v>0</v>
      </c>
      <c r="FI98" s="2912"/>
      <c r="FJ98" s="2913"/>
      <c r="FK98" s="1071">
        <f>IF(FI98=0,0,(FJ98-FI98)/FI98*100)</f>
        <v>0</v>
      </c>
      <c r="FL98" s="2912"/>
      <c r="FM98" s="2913"/>
      <c r="FN98" s="1071">
        <f>IF(FL98=0,0,(FM98-FL98)/FL98*100)</f>
        <v>0</v>
      </c>
      <c r="FO98" s="2912"/>
      <c r="FP98" s="2913"/>
      <c r="FQ98" s="1071">
        <f>IF(FO98=0,0,(FP98-FO98)/FO98*100)</f>
        <v>0</v>
      </c>
      <c r="FR98" s="2912"/>
      <c r="FS98" s="2913"/>
      <c r="FT98" s="1071">
        <f>IF(FR98=0,0,(FS98-FR98)/FR98*100)</f>
        <v>0</v>
      </c>
      <c r="FU98" s="2912"/>
      <c r="FV98" s="2913"/>
      <c r="FW98" s="1071">
        <f>IF(FU98=0,0,(FV98-FU98)/FU98*100)</f>
        <v>0</v>
      </c>
      <c r="FX98" s="258"/>
      <c r="FY98" s="1282"/>
      <c r="FZ98" s="1032" t="s">
        <v>1501</v>
      </c>
      <c r="GA98" s="992" t="s">
        <v>1502</v>
      </c>
      <c r="GB98" s="992" cm="1" t="str">
        <f t="array" ref="GB98:GB98">AB98</f>
        <v>0</v>
      </c>
      <c r="GC98" s="1283"/>
      <c r="GD98" s="607" t="b">
        <v>1</v>
      </c>
    </row>
    <row s="1624" customFormat="1" customHeight="1" ht="14.25" hidden="1">
      <c r="A99" s="466"/>
      <c r="B99" s="901" cm="1" t="str">
        <f t="array" ref="B99:B99">B98</f>
        <v>false</v>
      </c>
      <c r="C99" s="466"/>
      <c r="D99" s="466"/>
      <c r="E99" s="816">
        <v>15</v>
      </c>
      <c r="F99" s="50" cm="1" t="str">
        <f t="array" ref="F99:F99">OFFSET(E99,-1,1)</f>
        <v>1</v>
      </c>
      <c r="G99" s="466"/>
      <c r="H99" s="466" t="s">
        <v>441</v>
      </c>
      <c r="I99" s="466" cm="1" t="str">
        <f t="array" ref="I99:I99">I98</f>
        <v>0</v>
      </c>
      <c r="J99" s="466"/>
      <c r="K99" s="466"/>
      <c r="L99" s="466"/>
      <c r="M99" s="466"/>
      <c r="N99" s="466"/>
      <c r="O99" s="466"/>
      <c r="P99" s="466"/>
      <c r="Q99" s="873"/>
      <c r="R99" s="466"/>
      <c r="S99" s="466"/>
      <c r="T99" s="438" cm="1" t="str">
        <f t="array" ref="T99:T99">T98</f>
        <v>false</v>
      </c>
      <c r="U99" s="466"/>
      <c r="V99" s="466"/>
      <c r="W99" s="466"/>
      <c r="X99" s="1541"/>
      <c r="Y99" s="1541"/>
      <c r="Z99" s="1493"/>
      <c r="AA99" s="1442"/>
      <c r="AB99" s="876" t="s">
        <v>1503</v>
      </c>
      <c r="AC99" s="266" t="s">
        <v>506</v>
      </c>
      <c r="AD99" s="2907"/>
      <c r="AE99" s="2907"/>
      <c r="AF99" s="1073">
        <f>IF(AD99=0,0,(AE99-AD99)/AD99*100)</f>
        <v>0</v>
      </c>
      <c r="AG99" s="2907"/>
      <c r="AH99" s="2907"/>
      <c r="AI99" s="1073">
        <f>IF(AG99=0,0,(AH99-AG99)/AG99*100)</f>
        <v>0</v>
      </c>
      <c r="AJ99" s="2907"/>
      <c r="AK99" s="2907"/>
      <c r="AL99" s="1073">
        <f>IF(AJ99=0,0,(AK99-AJ99)/AJ99*100)</f>
        <v>0</v>
      </c>
      <c r="AM99" s="2907"/>
      <c r="AN99" s="2907"/>
      <c r="AO99" s="1073">
        <f>IF(AM99=0,0,(AN99-AM99)/AM99*100)</f>
        <v>0</v>
      </c>
      <c r="AP99" s="2907"/>
      <c r="AQ99" s="2907"/>
      <c r="AR99" s="1073">
        <f>IF(AP99=0,0,(AQ99-AP99)/AP99*100)</f>
        <v>0</v>
      </c>
      <c r="AS99" s="2907"/>
      <c r="AT99" s="2907"/>
      <c r="AU99" s="1073">
        <f>IF(AS99=0,0,(AT99-AS99)/AS99*100)</f>
        <v>0</v>
      </c>
      <c r="AV99" s="2907"/>
      <c r="AW99" s="2907"/>
      <c r="AX99" s="1073">
        <f>IF(AV99=0,0,(AW99-AV99)/AV99*100)</f>
        <v>0</v>
      </c>
      <c r="AY99" s="2907"/>
      <c r="AZ99" s="2907"/>
      <c r="BA99" s="1073">
        <f>IF(AY99=0,0,(AZ99-AY99)/AY99*100)</f>
        <v>0</v>
      </c>
      <c r="BB99" s="2907"/>
      <c r="BC99" s="2907"/>
      <c r="BD99" s="1073">
        <f>IF(BB99=0,0,(BC99-BB99)/BB99*100)</f>
        <v>0</v>
      </c>
      <c r="BE99" s="2907"/>
      <c r="BF99" s="2907"/>
      <c r="BG99" s="1073">
        <f>IF(BE99=0,0,(BF99-BE99)/BE99*100)</f>
        <v>0</v>
      </c>
      <c r="BH99" s="2907"/>
      <c r="BI99" s="2907"/>
      <c r="BJ99" s="1073">
        <f>IF(BH99=0,0,(BI99-BH99)/BH99*100)</f>
        <v>0</v>
      </c>
      <c r="BK99" s="2907"/>
      <c r="BL99" s="2907"/>
      <c r="BM99" s="1073">
        <f>IF(BK99=0,0,(BL99-BK99)/BK99*100)</f>
        <v>0</v>
      </c>
      <c r="BN99" s="2907"/>
      <c r="BO99" s="2907"/>
      <c r="BP99" s="1073">
        <f>IF(BN99=0,0,(BO99-BN99)/BN99*100)</f>
        <v>0</v>
      </c>
      <c r="BQ99" s="2907"/>
      <c r="BR99" s="2907"/>
      <c r="BS99" s="1073">
        <f>IF(BQ99=0,0,(BR99-BQ99)/BQ99*100)</f>
        <v>0</v>
      </c>
      <c r="BT99" s="2907"/>
      <c r="BU99" s="2907"/>
      <c r="BV99" s="1073">
        <f>IF(BT99=0,0,(BU99-BT99)/BT99*100)</f>
        <v>0</v>
      </c>
      <c r="BW99" s="2907"/>
      <c r="BX99" s="2907"/>
      <c r="BY99" s="1073">
        <f>IF(BW99=0,0,(BX99-BW99)/BW99*100)</f>
        <v>0</v>
      </c>
      <c r="BZ99" s="2907"/>
      <c r="CA99" s="2907"/>
      <c r="CB99" s="1073">
        <f>IF(BZ99=0,0,(CA99-BZ99)/BZ99*100)</f>
        <v>0</v>
      </c>
      <c r="CC99" s="2907"/>
      <c r="CD99" s="2907"/>
      <c r="CE99" s="1073">
        <f>IF(CC99=0,0,(CD99-CC99)/CC99*100)</f>
        <v>0</v>
      </c>
      <c r="CF99" s="2907"/>
      <c r="CG99" s="2907"/>
      <c r="CH99" s="1073">
        <f>IF(CF99=0,0,(CG99-CF99)/CF99*100)</f>
        <v>0</v>
      </c>
      <c r="CI99" s="2907"/>
      <c r="CJ99" s="2907"/>
      <c r="CK99" s="1073">
        <f>IF(CI99=0,0,(CJ99-CI99)/CI99*100)</f>
        <v>0</v>
      </c>
      <c r="CL99" s="2907"/>
      <c r="CM99" s="2907"/>
      <c r="CN99" s="1073">
        <f>IF(CL99=0,0,(CM99-CL99)/CL99*100)</f>
        <v>0</v>
      </c>
      <c r="CO99" s="2907"/>
      <c r="CP99" s="2907"/>
      <c r="CQ99" s="1073">
        <f>IF(CO99=0,0,(CP99-CO99)/CO99*100)</f>
        <v>0</v>
      </c>
      <c r="CR99" s="2907"/>
      <c r="CS99" s="2907"/>
      <c r="CT99" s="1073">
        <f>IF(CR99=0,0,(CS99-CR99)/CR99*100)</f>
        <v>0</v>
      </c>
      <c r="CU99" s="2907"/>
      <c r="CV99" s="2907"/>
      <c r="CW99" s="1073">
        <f>IF(CU99=0,0,(CV99-CU99)/CU99*100)</f>
        <v>0</v>
      </c>
      <c r="CX99" s="2907"/>
      <c r="CY99" s="2907"/>
      <c r="CZ99" s="1073">
        <f>IF(CX99=0,0,(CY99-CX99)/CX99*100)</f>
        <v>0</v>
      </c>
      <c r="DA99" s="2907"/>
      <c r="DB99" s="2907"/>
      <c r="DC99" s="1073">
        <f>IF(DA99=0,0,(DB99-DA99)/DA99*100)</f>
        <v>0</v>
      </c>
      <c r="DD99" s="2907"/>
      <c r="DE99" s="2907"/>
      <c r="DF99" s="1073">
        <f>IF(DD99=0,0,(DE99-DD99)/DD99*100)</f>
        <v>0</v>
      </c>
      <c r="DG99" s="2907"/>
      <c r="DH99" s="2907"/>
      <c r="DI99" s="1073">
        <f>IF(DG99=0,0,(DH99-DG99)/DG99*100)</f>
        <v>0</v>
      </c>
      <c r="DJ99" s="2907"/>
      <c r="DK99" s="2907"/>
      <c r="DL99" s="1073">
        <f>IF(DJ99=0,0,(DK99-DJ99)/DJ99*100)</f>
        <v>0</v>
      </c>
      <c r="DM99" s="2907"/>
      <c r="DN99" s="2907"/>
      <c r="DO99" s="1073">
        <f>IF(DM99=0,0,(DN99-DM99)/DM99*100)</f>
        <v>0</v>
      </c>
      <c r="DP99" s="2907"/>
      <c r="DQ99" s="2907"/>
      <c r="DR99" s="1073">
        <f>IF(DP99=0,0,(DQ99-DP99)/DP99*100)</f>
        <v>0</v>
      </c>
      <c r="DS99" s="2907"/>
      <c r="DT99" s="2907"/>
      <c r="DU99" s="1073">
        <f>IF(DS99=0,0,(DT99-DS99)/DS99*100)</f>
        <v>0</v>
      </c>
      <c r="DV99" s="2907"/>
      <c r="DW99" s="2907"/>
      <c r="DX99" s="1073">
        <f>IF(DV99=0,0,(DW99-DV99)/DV99*100)</f>
        <v>0</v>
      </c>
      <c r="DY99" s="2907"/>
      <c r="DZ99" s="2907"/>
      <c r="EA99" s="1073">
        <f>IF(DY99=0,0,(DZ99-DY99)/DY99*100)</f>
        <v>0</v>
      </c>
      <c r="EB99" s="2907"/>
      <c r="EC99" s="2907"/>
      <c r="ED99" s="1073">
        <f>IF(EB99=0,0,(EC99-EB99)/EB99*100)</f>
        <v>0</v>
      </c>
      <c r="EE99" s="2907"/>
      <c r="EF99" s="2907"/>
      <c r="EG99" s="1073">
        <f>IF(EE99=0,0,(EF99-EE99)/EE99*100)</f>
        <v>0</v>
      </c>
      <c r="EH99" s="2907"/>
      <c r="EI99" s="2907"/>
      <c r="EJ99" s="1073">
        <f>IF(EH99=0,0,(EI99-EH99)/EH99*100)</f>
        <v>0</v>
      </c>
      <c r="EK99" s="2907"/>
      <c r="EL99" s="2907"/>
      <c r="EM99" s="1073">
        <f>IF(EK99=0,0,(EL99-EK99)/EK99*100)</f>
        <v>0</v>
      </c>
      <c r="EN99" s="2907"/>
      <c r="EO99" s="2907"/>
      <c r="EP99" s="1073">
        <f>IF(EN99=0,0,(EO99-EN99)/EN99*100)</f>
        <v>0</v>
      </c>
      <c r="EQ99" s="2907"/>
      <c r="ER99" s="2907"/>
      <c r="ES99" s="1073">
        <f>IF(EQ99=0,0,(ER99-EQ99)/EQ99*100)</f>
        <v>0</v>
      </c>
      <c r="ET99" s="2907"/>
      <c r="EU99" s="2907"/>
      <c r="EV99" s="1073">
        <f>IF(ET99=0,0,(EU99-ET99)/ET99*100)</f>
        <v>0</v>
      </c>
      <c r="EW99" s="2907"/>
      <c r="EX99" s="2907"/>
      <c r="EY99" s="1073">
        <f>IF(EW99=0,0,(EX99-EW99)/EW99*100)</f>
        <v>0</v>
      </c>
      <c r="EZ99" s="2907"/>
      <c r="FA99" s="2907"/>
      <c r="FB99" s="1073">
        <f>IF(EZ99=0,0,(FA99-EZ99)/EZ99*100)</f>
        <v>0</v>
      </c>
      <c r="FC99" s="2907"/>
      <c r="FD99" s="2907"/>
      <c r="FE99" s="1073">
        <f>IF(FC99=0,0,(FD99-FC99)/FC99*100)</f>
        <v>0</v>
      </c>
      <c r="FF99" s="2907"/>
      <c r="FG99" s="2907"/>
      <c r="FH99" s="1073">
        <f>IF(FF99=0,0,(FG99-FF99)/FF99*100)</f>
        <v>0</v>
      </c>
      <c r="FI99" s="2907"/>
      <c r="FJ99" s="2907"/>
      <c r="FK99" s="1073">
        <f>IF(FI99=0,0,(FJ99-FI99)/FI99*100)</f>
        <v>0</v>
      </c>
      <c r="FL99" s="2907"/>
      <c r="FM99" s="2907"/>
      <c r="FN99" s="1073">
        <f>IF(FL99=0,0,(FM99-FL99)/FL99*100)</f>
        <v>0</v>
      </c>
      <c r="FO99" s="2907"/>
      <c r="FP99" s="2907"/>
      <c r="FQ99" s="1073">
        <f>IF(FO99=0,0,(FP99-FO99)/FO99*100)</f>
        <v>0</v>
      </c>
      <c r="FR99" s="2907"/>
      <c r="FS99" s="2907"/>
      <c r="FT99" s="1073">
        <f>IF(FR99=0,0,(FS99-FR99)/FR99*100)</f>
        <v>0</v>
      </c>
      <c r="FU99" s="2907"/>
      <c r="FV99" s="2907"/>
      <c r="FW99" s="1073">
        <f>IF(FU99=0,0,(FV99-FU99)/FU99*100)</f>
        <v>0</v>
      </c>
      <c r="FX99" s="258"/>
      <c r="FY99" s="1282"/>
      <c r="FZ99" s="1032" t="s">
        <v>1504</v>
      </c>
      <c r="GA99" s="992" t="s">
        <v>1502</v>
      </c>
      <c r="GB99" s="992" cm="1" t="str">
        <f t="array" ref="GB99:GB99">GB98</f>
        <v>0</v>
      </c>
      <c r="GC99" s="1283"/>
      <c r="GD99" s="1283"/>
    </row>
    <row s="1624" customFormat="1" customHeight="1" ht="14.25" hidden="1">
      <c r="A100" s="466"/>
      <c r="B100" s="901" cm="1" t="str">
        <f t="array" ref="B100:B100">B99</f>
        <v>false</v>
      </c>
      <c r="C100" s="466"/>
      <c r="D100" s="466"/>
      <c r="E100" s="816">
        <v>15</v>
      </c>
      <c r="F100" s="50" cm="1" t="str">
        <f t="array" ref="F100:F100">OFFSET(E100,-1,1)</f>
        <v>1</v>
      </c>
      <c r="G100" s="466"/>
      <c r="H100" s="466"/>
      <c r="I100" s="64" t="s">
        <v>1505</v>
      </c>
      <c r="J100" s="466"/>
      <c r="K100" s="466"/>
      <c r="L100" s="466"/>
      <c r="M100" s="466"/>
      <c r="N100" s="466"/>
      <c r="O100" s="466"/>
      <c r="P100" s="466"/>
      <c r="Q100" s="466"/>
      <c r="R100" s="51"/>
      <c r="S100" s="466"/>
      <c r="T100" s="438">
        <f>F100&gt;0</f>
        <v>1</v>
      </c>
      <c r="U100" s="466"/>
      <c r="V100" s="1282"/>
      <c r="W100" s="733" t="s">
        <v>1506</v>
      </c>
      <c r="X100" s="1541"/>
      <c r="Y100" s="1282"/>
      <c r="Z100" s="1493"/>
      <c r="AA100" s="1282"/>
      <c r="AB100" s="226" t="s">
        <v>176</v>
      </c>
      <c r="AC100" s="230"/>
      <c r="AD100" s="1076"/>
      <c r="AE100" s="1076"/>
      <c r="AF100" s="1076"/>
      <c r="AG100" s="1076"/>
      <c r="AH100" s="1076"/>
      <c r="AI100" s="1076"/>
      <c r="AJ100" s="1076"/>
      <c r="AK100" s="1076"/>
      <c r="AL100" s="1076"/>
      <c r="AM100" s="1076"/>
      <c r="AN100" s="1076"/>
      <c r="AO100" s="1076"/>
      <c r="AP100" s="1076"/>
      <c r="AQ100" s="1076"/>
      <c r="AR100" s="1076"/>
      <c r="AS100" s="1076"/>
      <c r="AT100" s="1076"/>
      <c r="AU100" s="1076"/>
      <c r="AV100" s="1076"/>
      <c r="AW100" s="1076"/>
      <c r="AX100" s="1076"/>
      <c r="AY100" s="1076"/>
      <c r="AZ100" s="1076"/>
      <c r="BA100" s="1076"/>
      <c r="BB100" s="1076"/>
      <c r="BC100" s="1076"/>
      <c r="BD100" s="1076"/>
      <c r="BE100" s="1076"/>
      <c r="BF100" s="1076"/>
      <c r="BG100" s="1076"/>
      <c r="BH100" s="1076"/>
      <c r="BI100" s="1076"/>
      <c r="BJ100" s="1076"/>
      <c r="BK100" s="1076"/>
      <c r="BL100" s="1076"/>
      <c r="BM100" s="1076"/>
      <c r="BN100" s="1076"/>
      <c r="BO100" s="1076"/>
      <c r="BP100" s="1076"/>
      <c r="BQ100" s="1076"/>
      <c r="BR100" s="1076"/>
      <c r="BS100" s="1076"/>
      <c r="BT100" s="1076"/>
      <c r="BU100" s="1076"/>
      <c r="BV100" s="1076"/>
      <c r="BW100" s="1076"/>
      <c r="BX100" s="1076"/>
      <c r="BY100" s="1076"/>
      <c r="BZ100" s="1076"/>
      <c r="CA100" s="1076"/>
      <c r="CB100" s="1076"/>
      <c r="CC100" s="1076"/>
      <c r="CD100" s="1076"/>
      <c r="CE100" s="1076"/>
      <c r="CF100" s="1076"/>
      <c r="CG100" s="1076"/>
      <c r="CH100" s="1076"/>
      <c r="CI100" s="1076"/>
      <c r="CJ100" s="1076"/>
      <c r="CK100" s="1076"/>
      <c r="CL100" s="1076"/>
      <c r="CM100" s="1076"/>
      <c r="CN100" s="1076"/>
      <c r="CO100" s="1076"/>
      <c r="CP100" s="1076"/>
      <c r="CQ100" s="1076"/>
      <c r="CR100" s="1076"/>
      <c r="CS100" s="1076"/>
      <c r="CT100" s="1076"/>
      <c r="CU100" s="1076"/>
      <c r="CV100" s="1076"/>
      <c r="CW100" s="1076"/>
      <c r="CX100" s="1076"/>
      <c r="CY100" s="1076"/>
      <c r="CZ100" s="1076"/>
      <c r="DA100" s="1076"/>
      <c r="DB100" s="1076"/>
      <c r="DC100" s="1076"/>
      <c r="DD100" s="1076"/>
      <c r="DE100" s="1076"/>
      <c r="DF100" s="1076"/>
      <c r="DG100" s="1076"/>
      <c r="DH100" s="1076"/>
      <c r="DI100" s="1076"/>
      <c r="DJ100" s="1076"/>
      <c r="DK100" s="1076"/>
      <c r="DL100" s="1076"/>
      <c r="DM100" s="1076"/>
      <c r="DN100" s="1076"/>
      <c r="DO100" s="1076"/>
      <c r="DP100" s="1076"/>
      <c r="DQ100" s="1076"/>
      <c r="DR100" s="1076"/>
      <c r="DS100" s="1076"/>
      <c r="DT100" s="1076"/>
      <c r="DU100" s="1076"/>
      <c r="DV100" s="1076"/>
      <c r="DW100" s="1076"/>
      <c r="DX100" s="1076"/>
      <c r="DY100" s="1076"/>
      <c r="DZ100" s="1076"/>
      <c r="EA100" s="1076"/>
      <c r="EB100" s="1076"/>
      <c r="EC100" s="1076"/>
      <c r="ED100" s="1076"/>
      <c r="EE100" s="1076"/>
      <c r="EF100" s="1076"/>
      <c r="EG100" s="1076"/>
      <c r="EH100" s="1076"/>
      <c r="EI100" s="1076"/>
      <c r="EJ100" s="1076"/>
      <c r="EK100" s="1076"/>
      <c r="EL100" s="1076"/>
      <c r="EM100" s="1076"/>
      <c r="EN100" s="1076"/>
      <c r="EO100" s="1076"/>
      <c r="EP100" s="1076"/>
      <c r="EQ100" s="1076"/>
      <c r="ER100" s="1076"/>
      <c r="ES100" s="1076"/>
      <c r="ET100" s="1076"/>
      <c r="EU100" s="1076"/>
      <c r="EV100" s="1076"/>
      <c r="EW100" s="1076"/>
      <c r="EX100" s="1076"/>
      <c r="EY100" s="1076"/>
      <c r="EZ100" s="1076"/>
      <c r="FA100" s="1076"/>
      <c r="FB100" s="1076"/>
      <c r="FC100" s="1076"/>
      <c r="FD100" s="1076"/>
      <c r="FE100" s="1076"/>
      <c r="FF100" s="1076"/>
      <c r="FG100" s="1076"/>
      <c r="FH100" s="1076"/>
      <c r="FI100" s="1076"/>
      <c r="FJ100" s="1076"/>
      <c r="FK100" s="1076"/>
      <c r="FL100" s="1076"/>
      <c r="FM100" s="1076"/>
      <c r="FN100" s="1076"/>
      <c r="FO100" s="1076"/>
      <c r="FP100" s="1076"/>
      <c r="FQ100" s="1076"/>
      <c r="FR100" s="1076"/>
      <c r="FS100" s="1076"/>
      <c r="FT100" s="1076"/>
      <c r="FU100" s="1076"/>
      <c r="FV100" s="1076"/>
      <c r="FW100" s="1077"/>
      <c r="FX100" s="1282"/>
      <c r="FY100" s="1282"/>
      <c r="FZ100" s="1032" t="s">
        <v>228</v>
      </c>
      <c r="GA100" s="1284"/>
      <c r="GB100" s="1284"/>
      <c r="GC100" s="607" t="s">
        <v>1502</v>
      </c>
      <c r="GD100" s="1283"/>
    </row>
    <row s="1624" customFormat="1" customHeight="1" ht="14.25" hidden="1">
      <c r="A101" s="466"/>
      <c r="B101" s="901">
        <f>AND(R85="двухставочный",NOT(S85))</f>
        <v>0</v>
      </c>
      <c r="C101" s="466"/>
      <c r="D101" s="466"/>
      <c r="E101" s="816">
        <v>15</v>
      </c>
      <c r="F101" s="50" cm="1" t="str">
        <f t="array" ref="F101:F101">OFFSET(E101,-1,1)</f>
        <v>1</v>
      </c>
      <c r="G101" s="466"/>
      <c r="H101" s="466"/>
      <c r="I101" s="466"/>
      <c r="J101" s="466"/>
      <c r="K101" s="466"/>
      <c r="L101" s="466"/>
      <c r="M101" s="466"/>
      <c r="N101" s="466"/>
      <c r="O101" s="466"/>
      <c r="P101" s="466"/>
      <c r="Q101" s="466"/>
      <c r="R101" s="51"/>
      <c r="S101" s="466"/>
      <c r="T101" s="438" cm="1" t="str">
        <f t="array" ref="T101:T101">T100</f>
        <v>true</v>
      </c>
      <c r="U101" s="466"/>
      <c r="V101" s="466"/>
      <c r="W101" s="466"/>
      <c r="X101" s="1541"/>
      <c r="Y101" s="466"/>
      <c r="Z101" s="1493"/>
      <c r="AA101" s="466"/>
      <c r="AB101" s="870" t="s">
        <v>1507</v>
      </c>
      <c r="AC101" s="871"/>
      <c r="AD101" s="1078"/>
      <c r="AE101" s="1078"/>
      <c r="AF101" s="1078"/>
      <c r="AG101" s="1078"/>
      <c r="AH101" s="1078"/>
      <c r="AI101" s="1078"/>
      <c r="AJ101" s="1078"/>
      <c r="AK101" s="1078"/>
      <c r="AL101" s="1078"/>
      <c r="AM101" s="1078"/>
      <c r="AN101" s="1078"/>
      <c r="AO101" s="1078"/>
      <c r="AP101" s="1078"/>
      <c r="AQ101" s="1078"/>
      <c r="AR101" s="1078"/>
      <c r="AS101" s="1078"/>
      <c r="AT101" s="1078"/>
      <c r="AU101" s="1078"/>
      <c r="AV101" s="1078"/>
      <c r="AW101" s="1078"/>
      <c r="AX101" s="1078"/>
      <c r="AY101" s="1078"/>
      <c r="AZ101" s="1078"/>
      <c r="BA101" s="1078"/>
      <c r="BB101" s="1078"/>
      <c r="BC101" s="1078"/>
      <c r="BD101" s="1078"/>
      <c r="BE101" s="1078"/>
      <c r="BF101" s="1078"/>
      <c r="BG101" s="1078"/>
      <c r="BH101" s="1078"/>
      <c r="BI101" s="1078"/>
      <c r="BJ101" s="1078"/>
      <c r="BK101" s="1078"/>
      <c r="BL101" s="1078"/>
      <c r="BM101" s="1078"/>
      <c r="BN101" s="1078"/>
      <c r="BO101" s="1078"/>
      <c r="BP101" s="1078"/>
      <c r="BQ101" s="1078"/>
      <c r="BR101" s="1078"/>
      <c r="BS101" s="1078"/>
      <c r="BT101" s="1078"/>
      <c r="BU101" s="1078"/>
      <c r="BV101" s="1078"/>
      <c r="BW101" s="1078"/>
      <c r="BX101" s="1078"/>
      <c r="BY101" s="1078"/>
      <c r="BZ101" s="1078"/>
      <c r="CA101" s="1078"/>
      <c r="CB101" s="1078"/>
      <c r="CC101" s="1078"/>
      <c r="CD101" s="1078"/>
      <c r="CE101" s="1078"/>
      <c r="CF101" s="1078"/>
      <c r="CG101" s="1078"/>
      <c r="CH101" s="1078"/>
      <c r="CI101" s="1078"/>
      <c r="CJ101" s="1078"/>
      <c r="CK101" s="1078"/>
      <c r="CL101" s="1078"/>
      <c r="CM101" s="1078"/>
      <c r="CN101" s="1078"/>
      <c r="CO101" s="1078"/>
      <c r="CP101" s="1078"/>
      <c r="CQ101" s="1078"/>
      <c r="CR101" s="1078"/>
      <c r="CS101" s="1078"/>
      <c r="CT101" s="1078"/>
      <c r="CU101" s="1078"/>
      <c r="CV101" s="1078"/>
      <c r="CW101" s="1078"/>
      <c r="CX101" s="1078"/>
      <c r="CY101" s="1078"/>
      <c r="CZ101" s="1078"/>
      <c r="DA101" s="1078"/>
      <c r="DB101" s="1078"/>
      <c r="DC101" s="1078"/>
      <c r="DD101" s="1078"/>
      <c r="DE101" s="1078"/>
      <c r="DF101" s="1078"/>
      <c r="DG101" s="1078"/>
      <c r="DH101" s="1078"/>
      <c r="DI101" s="1078"/>
      <c r="DJ101" s="1078"/>
      <c r="DK101" s="1078"/>
      <c r="DL101" s="1078"/>
      <c r="DM101" s="1078"/>
      <c r="DN101" s="1078"/>
      <c r="DO101" s="1078"/>
      <c r="DP101" s="1078"/>
      <c r="DQ101" s="1078"/>
      <c r="DR101" s="1078"/>
      <c r="DS101" s="1078"/>
      <c r="DT101" s="1078"/>
      <c r="DU101" s="1078"/>
      <c r="DV101" s="1078"/>
      <c r="DW101" s="1078"/>
      <c r="DX101" s="1078"/>
      <c r="DY101" s="1078"/>
      <c r="DZ101" s="1078"/>
      <c r="EA101" s="1078"/>
      <c r="EB101" s="1078"/>
      <c r="EC101" s="1078"/>
      <c r="ED101" s="1078"/>
      <c r="EE101" s="1078"/>
      <c r="EF101" s="1078"/>
      <c r="EG101" s="1078"/>
      <c r="EH101" s="1078"/>
      <c r="EI101" s="1078"/>
      <c r="EJ101" s="1078"/>
      <c r="EK101" s="1078"/>
      <c r="EL101" s="1078"/>
      <c r="EM101" s="1078"/>
      <c r="EN101" s="1078"/>
      <c r="EO101" s="1078"/>
      <c r="EP101" s="1078"/>
      <c r="EQ101" s="1078"/>
      <c r="ER101" s="1078"/>
      <c r="ES101" s="1078"/>
      <c r="ET101" s="1078"/>
      <c r="EU101" s="1078"/>
      <c r="EV101" s="1078"/>
      <c r="EW101" s="1078"/>
      <c r="EX101" s="1078"/>
      <c r="EY101" s="1078"/>
      <c r="EZ101" s="1078"/>
      <c r="FA101" s="1078"/>
      <c r="FB101" s="1078"/>
      <c r="FC101" s="1078"/>
      <c r="FD101" s="1078"/>
      <c r="FE101" s="1078"/>
      <c r="FF101" s="1078"/>
      <c r="FG101" s="1078"/>
      <c r="FH101" s="1078"/>
      <c r="FI101" s="1078"/>
      <c r="FJ101" s="1078"/>
      <c r="FK101" s="1078"/>
      <c r="FL101" s="1078"/>
      <c r="FM101" s="1078"/>
      <c r="FN101" s="1078"/>
      <c r="FO101" s="1078"/>
      <c r="FP101" s="1078"/>
      <c r="FQ101" s="1078"/>
      <c r="FR101" s="1078"/>
      <c r="FS101" s="1078"/>
      <c r="FT101" s="1078"/>
      <c r="FU101" s="1078"/>
      <c r="FV101" s="1078"/>
      <c r="FW101" s="1079"/>
      <c r="FX101" s="1282"/>
      <c r="FY101" s="1282"/>
      <c r="FZ101" s="1032" t="s">
        <v>228</v>
      </c>
      <c r="GA101" s="1284"/>
      <c r="GB101" s="1284"/>
      <c r="GC101" s="1283"/>
      <c r="GD101" s="1283"/>
    </row>
    <row s="1624" customFormat="1" customHeight="1" ht="23.25" hidden="1">
      <c r="A102" s="466"/>
      <c r="B102" s="901" cm="1" t="str">
        <f t="array" ref="B102:B102">B101</f>
        <v>false</v>
      </c>
      <c r="C102" s="466"/>
      <c r="D102" s="466"/>
      <c r="E102" s="816">
        <v>24.5</v>
      </c>
      <c r="F102" s="50" cm="1" t="str">
        <f t="array" ref="F102:F102">OFFSET(E102,-1,1)</f>
        <v>1</v>
      </c>
      <c r="G102" s="466"/>
      <c r="H102" s="466"/>
      <c r="I102" s="466"/>
      <c r="J102" s="466"/>
      <c r="K102" s="466"/>
      <c r="L102" s="466"/>
      <c r="M102" s="466"/>
      <c r="N102" s="466"/>
      <c r="O102" s="466"/>
      <c r="P102" s="466"/>
      <c r="Q102" s="466"/>
      <c r="R102" s="466"/>
      <c r="S102" s="466"/>
      <c r="T102" s="438" cm="1" t="str">
        <f t="array" ref="T102:T102">T101</f>
        <v>true</v>
      </c>
      <c r="U102" s="466"/>
      <c r="V102" s="466"/>
      <c r="W102" s="466"/>
      <c r="X102" s="1541"/>
      <c r="Y102" s="466"/>
      <c r="Z102" s="1493"/>
      <c r="AA102" s="466"/>
      <c r="AB102" s="259" t="s">
        <v>1508</v>
      </c>
      <c r="AC102" s="879"/>
      <c r="AD102" s="1080"/>
      <c r="AE102" s="1080"/>
      <c r="AF102" s="1080"/>
      <c r="AG102" s="1080"/>
      <c r="AH102" s="1080"/>
      <c r="AI102" s="1080"/>
      <c r="AJ102" s="1080"/>
      <c r="AK102" s="1080"/>
      <c r="AL102" s="1080"/>
      <c r="AM102" s="1080"/>
      <c r="AN102" s="1080"/>
      <c r="AO102" s="1080"/>
      <c r="AP102" s="1080"/>
      <c r="AQ102" s="1080"/>
      <c r="AR102" s="1080"/>
      <c r="AS102" s="1080"/>
      <c r="AT102" s="1080"/>
      <c r="AU102" s="1080"/>
      <c r="AV102" s="1080"/>
      <c r="AW102" s="1080"/>
      <c r="AX102" s="1080"/>
      <c r="AY102" s="1080"/>
      <c r="AZ102" s="1080"/>
      <c r="BA102" s="1080"/>
      <c r="BB102" s="1080"/>
      <c r="BC102" s="1080"/>
      <c r="BD102" s="1080"/>
      <c r="BE102" s="1080"/>
      <c r="BF102" s="1080"/>
      <c r="BG102" s="1080"/>
      <c r="BH102" s="1080"/>
      <c r="BI102" s="1080"/>
      <c r="BJ102" s="1080"/>
      <c r="BK102" s="1080"/>
      <c r="BL102" s="1080"/>
      <c r="BM102" s="1080"/>
      <c r="BN102" s="1080"/>
      <c r="BO102" s="1080"/>
      <c r="BP102" s="1080"/>
      <c r="BQ102" s="1080"/>
      <c r="BR102" s="1080"/>
      <c r="BS102" s="1080"/>
      <c r="BT102" s="1080"/>
      <c r="BU102" s="1080"/>
      <c r="BV102" s="1080"/>
      <c r="BW102" s="1080"/>
      <c r="BX102" s="1080"/>
      <c r="BY102" s="1080"/>
      <c r="BZ102" s="1080"/>
      <c r="CA102" s="1080"/>
      <c r="CB102" s="1080"/>
      <c r="CC102" s="1080"/>
      <c r="CD102" s="1080"/>
      <c r="CE102" s="1080"/>
      <c r="CF102" s="1080"/>
      <c r="CG102" s="1080"/>
      <c r="CH102" s="1080"/>
      <c r="CI102" s="1080"/>
      <c r="CJ102" s="1080"/>
      <c r="CK102" s="1080"/>
      <c r="CL102" s="1080"/>
      <c r="CM102" s="1080"/>
      <c r="CN102" s="1080"/>
      <c r="CO102" s="1080"/>
      <c r="CP102" s="1080"/>
      <c r="CQ102" s="1080"/>
      <c r="CR102" s="1080"/>
      <c r="CS102" s="1080"/>
      <c r="CT102" s="1080"/>
      <c r="CU102" s="1080"/>
      <c r="CV102" s="1080"/>
      <c r="CW102" s="1080"/>
      <c r="CX102" s="1080"/>
      <c r="CY102" s="1080"/>
      <c r="CZ102" s="1080"/>
      <c r="DA102" s="1080"/>
      <c r="DB102" s="1080"/>
      <c r="DC102" s="1080"/>
      <c r="DD102" s="1080"/>
      <c r="DE102" s="1080"/>
      <c r="DF102" s="1080"/>
      <c r="DG102" s="1080"/>
      <c r="DH102" s="1080"/>
      <c r="DI102" s="1080"/>
      <c r="DJ102" s="1080"/>
      <c r="DK102" s="1080"/>
      <c r="DL102" s="1080"/>
      <c r="DM102" s="1080"/>
      <c r="DN102" s="1080"/>
      <c r="DO102" s="1080"/>
      <c r="DP102" s="1080"/>
      <c r="DQ102" s="1080"/>
      <c r="DR102" s="1080"/>
      <c r="DS102" s="1080"/>
      <c r="DT102" s="1080"/>
      <c r="DU102" s="1080"/>
      <c r="DV102" s="1080"/>
      <c r="DW102" s="1080"/>
      <c r="DX102" s="1080"/>
      <c r="DY102" s="1080"/>
      <c r="DZ102" s="1080"/>
      <c r="EA102" s="1080"/>
      <c r="EB102" s="1080"/>
      <c r="EC102" s="1080"/>
      <c r="ED102" s="1080"/>
      <c r="EE102" s="1080"/>
      <c r="EF102" s="1080"/>
      <c r="EG102" s="1080"/>
      <c r="EH102" s="1080"/>
      <c r="EI102" s="1080"/>
      <c r="EJ102" s="1080"/>
      <c r="EK102" s="1080"/>
      <c r="EL102" s="1080"/>
      <c r="EM102" s="1080"/>
      <c r="EN102" s="1080"/>
      <c r="EO102" s="1080"/>
      <c r="EP102" s="1080"/>
      <c r="EQ102" s="1080"/>
      <c r="ER102" s="1080"/>
      <c r="ES102" s="1080"/>
      <c r="ET102" s="1080"/>
      <c r="EU102" s="1080"/>
      <c r="EV102" s="1080"/>
      <c r="EW102" s="1080"/>
      <c r="EX102" s="1080"/>
      <c r="EY102" s="1080"/>
      <c r="EZ102" s="1080"/>
      <c r="FA102" s="1080"/>
      <c r="FB102" s="1080"/>
      <c r="FC102" s="1080"/>
      <c r="FD102" s="1080"/>
      <c r="FE102" s="1080"/>
      <c r="FF102" s="1080"/>
      <c r="FG102" s="1080"/>
      <c r="FH102" s="1080"/>
      <c r="FI102" s="1080"/>
      <c r="FJ102" s="1080"/>
      <c r="FK102" s="1080"/>
      <c r="FL102" s="1080"/>
      <c r="FM102" s="1080"/>
      <c r="FN102" s="1080"/>
      <c r="FO102" s="1080"/>
      <c r="FP102" s="1080"/>
      <c r="FQ102" s="1080"/>
      <c r="FR102" s="1080"/>
      <c r="FS102" s="1080"/>
      <c r="FT102" s="1080"/>
      <c r="FU102" s="1080"/>
      <c r="FV102" s="1080"/>
      <c r="FW102" s="1081"/>
      <c r="FX102" s="1282"/>
      <c r="FY102" s="1282"/>
      <c r="FZ102" s="1032" t="s">
        <v>228</v>
      </c>
      <c r="GA102" s="1284"/>
      <c r="GB102" s="1284"/>
      <c r="GC102" s="1283"/>
      <c r="GD102" s="1283"/>
    </row>
    <row s="1624" customFormat="1" customHeight="1" ht="14.25" hidden="1">
      <c r="A103" s="466"/>
      <c r="B103" s="901" cm="1" t="str">
        <f t="array" ref="B103:B103">B102</f>
        <v>false</v>
      </c>
      <c r="C103" s="466"/>
      <c r="D103" s="466"/>
      <c r="E103" s="816">
        <v>15</v>
      </c>
      <c r="F103" s="50" cm="1" t="str">
        <f t="array" ref="F103:F103">OFFSET(E103,-1,1)</f>
        <v>1</v>
      </c>
      <c r="G103" s="466"/>
      <c r="H103" s="466" t="s">
        <v>1434</v>
      </c>
      <c r="I103" s="466" t="s">
        <v>1474</v>
      </c>
      <c r="J103" s="466"/>
      <c r="K103" s="466"/>
      <c r="L103" s="466"/>
      <c r="M103" s="466"/>
      <c r="N103" s="466"/>
      <c r="O103" s="466"/>
      <c r="P103" s="466"/>
      <c r="Q103" s="466"/>
      <c r="R103" s="466"/>
      <c r="S103" s="466"/>
      <c r="T103" s="438" cm="1" t="str">
        <f t="array" ref="T103:T103">T102</f>
        <v>true</v>
      </c>
      <c r="U103" s="466"/>
      <c r="V103" s="466"/>
      <c r="W103" s="466"/>
      <c r="X103" s="1541"/>
      <c r="Y103" s="466"/>
      <c r="Z103" s="1493"/>
      <c r="AA103" s="466"/>
      <c r="AB103" s="880" t="s">
        <v>1509</v>
      </c>
      <c r="AC103" s="840" t="s">
        <v>1476</v>
      </c>
      <c r="AD103" s="2912">
        <f>IF(AD105=0,0,(AD104*AD105+AD106*AD107*IF(god=2026,9,6))/AD105)</f>
        <v>0</v>
      </c>
      <c r="AE103" s="2912">
        <f>IF(AE105=0,0,(AE104*AE105+AE106*AE107*IF(god=2026,9,6))/AE105)</f>
        <v>0</v>
      </c>
      <c r="AF103" s="1071">
        <f>IF(AD103=0,0,(AE103-AD103)/AD103*100)</f>
        <v>0</v>
      </c>
      <c r="AG103" s="2912">
        <f>IF(AG105=0,0,(AG104*AG105+AG106*AG107*IF(god=2025,9,6))/AG105)</f>
        <v>0</v>
      </c>
      <c r="AH103" s="2912">
        <f>IF(AH105=0,0,(AH104*AH105+AH106*AH107*IF(god=2025,9,6))/AH105)</f>
        <v>0</v>
      </c>
      <c r="AI103" s="1071">
        <f>IF(AG103=0,0,(AH103-AG103)/AG103*100)</f>
        <v>0</v>
      </c>
      <c r="AJ103" s="2912">
        <f>IF(AJ105=0,0,(AJ104*AJ105+AJ106*AJ107*6)/AJ105)</f>
        <v>0</v>
      </c>
      <c r="AK103" s="2912">
        <f>IF(AK105=0,0,(AK104*AK105+AK106*AK107*6)/AK105)</f>
        <v>0</v>
      </c>
      <c r="AL103" s="1071">
        <f>IF(AJ103=0,0,(AK103-AJ103)/AJ103*100)</f>
        <v>0</v>
      </c>
      <c r="AM103" s="2912">
        <f>IF(AM105=0,0,(AM104*AM105+AM106*AM107*6)/AM105)</f>
        <v>0</v>
      </c>
      <c r="AN103" s="2912">
        <f>IF(AN105=0,0,(AN104*AN105+AN106*AN107*6)/AN105)</f>
        <v>0</v>
      </c>
      <c r="AO103" s="1071">
        <f>IF(AM103=0,0,(AN103-AM103)/AM103*100)</f>
        <v>0</v>
      </c>
      <c r="AP103" s="2912">
        <f>IF(AP105=0,0,(AP104*AP105+AP106*AP107*6)/AP105)</f>
        <v>0</v>
      </c>
      <c r="AQ103" s="2912">
        <f>IF(AQ105=0,0,(AQ104*AQ105+AQ106*AQ107*6)/AQ105)</f>
        <v>0</v>
      </c>
      <c r="AR103" s="1071">
        <f>IF(AP103=0,0,(AQ103-AP103)/AP103*100)</f>
        <v>0</v>
      </c>
      <c r="AS103" s="2912">
        <f>IF(AS105=0,0,(AS104*AS105+AS106*AS107*6)/AS105)</f>
        <v>0</v>
      </c>
      <c r="AT103" s="2912">
        <f>IF(AT105=0,0,(AT104*AT105+AT106*AT107*6)/AT105)</f>
        <v>0</v>
      </c>
      <c r="AU103" s="1071">
        <f>IF(AS103=0,0,(AT103-AS103)/AS103*100)</f>
        <v>0</v>
      </c>
      <c r="AV103" s="2912">
        <f>IF(AV105=0,0,(AV104*AV105+AV106*AV107*6)/AV105)</f>
        <v>0</v>
      </c>
      <c r="AW103" s="2912">
        <f>IF(AW105=0,0,(AW104*AW105+AW106*AW107*6)/AW105)</f>
        <v>0</v>
      </c>
      <c r="AX103" s="1071">
        <f>IF(AV103=0,0,(AW103-AV103)/AV103*100)</f>
        <v>0</v>
      </c>
      <c r="AY103" s="2912">
        <f>IF(AY105=0,0,(AY104*AY105+AY106*AY107*6)/AY105)</f>
        <v>0</v>
      </c>
      <c r="AZ103" s="2912">
        <f>IF(AZ105=0,0,(AZ104*AZ105+AZ106*AZ107*6)/AZ105)</f>
        <v>0</v>
      </c>
      <c r="BA103" s="1071">
        <f>IF(AY103=0,0,(AZ103-AY103)/AY103*100)</f>
        <v>0</v>
      </c>
      <c r="BB103" s="2912">
        <f>IF(BB105=0,0,(BB104*BB105+BB106*BB107*6)/BB105)</f>
        <v>0</v>
      </c>
      <c r="BC103" s="2912">
        <f>IF(BC105=0,0,(BC104*BC105+BC106*BC107*6)/BC105)</f>
        <v>0</v>
      </c>
      <c r="BD103" s="1071">
        <f>IF(BB103=0,0,(BC103-BB103)/BB103*100)</f>
        <v>0</v>
      </c>
      <c r="BE103" s="2912">
        <f>IF(BE105=0,0,(BE104*BE105+BE106*BE107*6)/BE105)</f>
        <v>0</v>
      </c>
      <c r="BF103" s="2912">
        <f>IF(BF105=0,0,(BF104*BF105+BF106*BF107*6)/BF105)</f>
        <v>0</v>
      </c>
      <c r="BG103" s="1071">
        <f>IF(BE103=0,0,(BF103-BE103)/BE103*100)</f>
        <v>0</v>
      </c>
      <c r="BH103" s="2912">
        <f>IF(BH105=0,0,(BH104*BH105+BH106*BH107*6)/BH105)</f>
        <v>0</v>
      </c>
      <c r="BI103" s="2912">
        <f>IF(BI105=0,0,(BI104*BI105+BI106*BI107*6)/BI105)</f>
        <v>0</v>
      </c>
      <c r="BJ103" s="1071">
        <f>IF(BH103=0,0,(BI103-BH103)/BH103*100)</f>
        <v>0</v>
      </c>
      <c r="BK103" s="2912">
        <f>IF(BK105=0,0,(BK104*BK105+BK106*BK107*6)/BK105)</f>
        <v>0</v>
      </c>
      <c r="BL103" s="2912">
        <f>IF(BL105=0,0,(BL104*BL105+BL106*BL107*6)/BL105)</f>
        <v>0</v>
      </c>
      <c r="BM103" s="1071">
        <f>IF(BK103=0,0,(BL103-BK103)/BK103*100)</f>
        <v>0</v>
      </c>
      <c r="BN103" s="2912">
        <f>IF(BN105=0,0,(BN104*BN105+BN106*BN107*6)/BN105)</f>
        <v>0</v>
      </c>
      <c r="BO103" s="2912">
        <f>IF(BO105=0,0,(BO104*BO105+BO106*BO107*6)/BO105)</f>
        <v>0</v>
      </c>
      <c r="BP103" s="1071">
        <f>IF(BN103=0,0,(BO103-BN103)/BN103*100)</f>
        <v>0</v>
      </c>
      <c r="BQ103" s="2912">
        <f>IF(BQ105=0,0,(BQ104*BQ105+BQ106*BQ107*6)/BQ105)</f>
        <v>0</v>
      </c>
      <c r="BR103" s="2912">
        <f>IF(BR105=0,0,(BR104*BR105+BR106*BR107*6)/BR105)</f>
        <v>0</v>
      </c>
      <c r="BS103" s="1071">
        <f>IF(BQ103=0,0,(BR103-BQ103)/BQ103*100)</f>
        <v>0</v>
      </c>
      <c r="BT103" s="2912">
        <f>IF(BT105=0,0,(BT104*BT105+BT106*BT107*6)/BT105)</f>
        <v>0</v>
      </c>
      <c r="BU103" s="2912">
        <f>IF(BU105=0,0,(BU104*BU105+BU106*BU107*6)/BU105)</f>
        <v>0</v>
      </c>
      <c r="BV103" s="1071">
        <f>IF(BT103=0,0,(BU103-BT103)/BT103*100)</f>
        <v>0</v>
      </c>
      <c r="BW103" s="2912">
        <f>IF(BW105=0,0,(BW104*BW105+BW106*BW107*6)/BW105)</f>
        <v>0</v>
      </c>
      <c r="BX103" s="2912">
        <f>IF(BX105=0,0,(BX104*BX105+BX106*BX107*6)/BX105)</f>
        <v>0</v>
      </c>
      <c r="BY103" s="1071">
        <f>IF(BW103=0,0,(BX103-BW103)/BW103*100)</f>
        <v>0</v>
      </c>
      <c r="BZ103" s="2912">
        <f>IF(BZ105=0,0,(BZ104*BZ105+BZ106*BZ107*6)/BZ105)</f>
        <v>0</v>
      </c>
      <c r="CA103" s="2912">
        <f>IF(CA105=0,0,(CA104*CA105+CA106*CA107*6)/CA105)</f>
        <v>0</v>
      </c>
      <c r="CB103" s="1071">
        <f>IF(BZ103=0,0,(CA103-BZ103)/BZ103*100)</f>
        <v>0</v>
      </c>
      <c r="CC103" s="2912">
        <f>IF(CC105=0,0,(CC104*CC105+CC106*CC107*6)/CC105)</f>
        <v>0</v>
      </c>
      <c r="CD103" s="2912">
        <f>IF(CD105=0,0,(CD104*CD105+CD106*CD107*6)/CD105)</f>
        <v>0</v>
      </c>
      <c r="CE103" s="1071">
        <f>IF(CC103=0,0,(CD103-CC103)/CC103*100)</f>
        <v>0</v>
      </c>
      <c r="CF103" s="2912">
        <f>IF(CF105=0,0,(CF104*CF105+CF106*CF107*6)/CF105)</f>
        <v>0</v>
      </c>
      <c r="CG103" s="2912">
        <f>IF(CG105=0,0,(CG104*CG105+CG106*CG107*6)/CG105)</f>
        <v>0</v>
      </c>
      <c r="CH103" s="1071">
        <f>IF(CF103=0,0,(CG103-CF103)/CF103*100)</f>
        <v>0</v>
      </c>
      <c r="CI103" s="2912">
        <f>IF(CI105=0,0,(CI104*CI105+CI106*CI107*6)/CI105)</f>
        <v>0</v>
      </c>
      <c r="CJ103" s="2912">
        <f>IF(CJ105=0,0,(CJ104*CJ105+CJ106*CJ107*6)/CJ105)</f>
        <v>0</v>
      </c>
      <c r="CK103" s="1071">
        <f>IF(CI103=0,0,(CJ103-CI103)/CI103*100)</f>
        <v>0</v>
      </c>
      <c r="CL103" s="2912">
        <f>IF(CL105=0,0,(CL104*CL105+CL106*CL107*6)/CL105)</f>
        <v>0</v>
      </c>
      <c r="CM103" s="2912">
        <f>IF(CM105=0,0,(CM104*CM105+CM106*CM107*6)/CM105)</f>
        <v>0</v>
      </c>
      <c r="CN103" s="1071">
        <f>IF(CL103=0,0,(CM103-CL103)/CL103*100)</f>
        <v>0</v>
      </c>
      <c r="CO103" s="2912">
        <f>IF(CO105=0,0,(CO104*CO105+CO106*CO107*6)/CO105)</f>
        <v>0</v>
      </c>
      <c r="CP103" s="2912">
        <f>IF(CP105=0,0,(CP104*CP105+CP106*CP107*6)/CP105)</f>
        <v>0</v>
      </c>
      <c r="CQ103" s="1071">
        <f>IF(CO103=0,0,(CP103-CO103)/CO103*100)</f>
        <v>0</v>
      </c>
      <c r="CR103" s="2912">
        <f>IF(CR105=0,0,(CR104*CR105+CR106*CR107*6)/CR105)</f>
        <v>0</v>
      </c>
      <c r="CS103" s="2912">
        <f>IF(CS105=0,0,(CS104*CS105+CS106*CS107*6)/CS105)</f>
        <v>0</v>
      </c>
      <c r="CT103" s="1071">
        <f>IF(CR103=0,0,(CS103-CR103)/CR103*100)</f>
        <v>0</v>
      </c>
      <c r="CU103" s="2912">
        <f>IF(CU105=0,0,(CU104*CU105+CU106*CU107*6)/CU105)</f>
        <v>0</v>
      </c>
      <c r="CV103" s="2912">
        <f>IF(CV105=0,0,(CV104*CV105+CV106*CV107*6)/CV105)</f>
        <v>0</v>
      </c>
      <c r="CW103" s="1071">
        <f>IF(CU103=0,0,(CV103-CU103)/CU103*100)</f>
        <v>0</v>
      </c>
      <c r="CX103" s="2912">
        <f>IF(CX105=0,0,(CX104*CX105+CX106*CX107*6)/CX105)</f>
        <v>0</v>
      </c>
      <c r="CY103" s="2912">
        <f>IF(CY105=0,0,(CY104*CY105+CY106*CY107*6)/CY105)</f>
        <v>0</v>
      </c>
      <c r="CZ103" s="1071">
        <f>IF(CX103=0,0,(CY103-CX103)/CX103*100)</f>
        <v>0</v>
      </c>
      <c r="DA103" s="2912">
        <f>IF(DA105=0,0,(DA104*DA105+DA106*DA107*6)/DA105)</f>
        <v>0</v>
      </c>
      <c r="DB103" s="2912">
        <f>IF(DB105=0,0,(DB104*DB105+DB106*DB107*6)/DB105)</f>
        <v>0</v>
      </c>
      <c r="DC103" s="1071">
        <f>IF(DA103=0,0,(DB103-DA103)/DA103*100)</f>
        <v>0</v>
      </c>
      <c r="DD103" s="2912">
        <f>IF(DD105=0,0,(DD104*DD105+DD106*DD107*6)/DD105)</f>
        <v>0</v>
      </c>
      <c r="DE103" s="2912">
        <f>IF(DE105=0,0,(DE104*DE105+DE106*DE107*6)/DE105)</f>
        <v>0</v>
      </c>
      <c r="DF103" s="1071">
        <f>IF(DD103=0,0,(DE103-DD103)/DD103*100)</f>
        <v>0</v>
      </c>
      <c r="DG103" s="2912">
        <f>IF(DG105=0,0,(DG104*DG105+DG106*DG107*6)/DG105)</f>
        <v>0</v>
      </c>
      <c r="DH103" s="2912">
        <f>IF(DH105=0,0,(DH104*DH105+DH106*DH107*6)/DH105)</f>
        <v>0</v>
      </c>
      <c r="DI103" s="1071">
        <f>IF(DG103=0,0,(DH103-DG103)/DG103*100)</f>
        <v>0</v>
      </c>
      <c r="DJ103" s="2912">
        <f>IF(DJ105=0,0,(DJ104*DJ105+DJ106*DJ107*6)/DJ105)</f>
        <v>0</v>
      </c>
      <c r="DK103" s="2912">
        <f>IF(DK105=0,0,(DK104*DK105+DK106*DK107*6)/DK105)</f>
        <v>0</v>
      </c>
      <c r="DL103" s="1071">
        <f>IF(DJ103=0,0,(DK103-DJ103)/DJ103*100)</f>
        <v>0</v>
      </c>
      <c r="DM103" s="2912">
        <f>IF(DM105=0,0,(DM104*DM105+DM106*DM107*6)/DM105)</f>
        <v>0</v>
      </c>
      <c r="DN103" s="2912">
        <f>IF(DN105=0,0,(DN104*DN105+DN106*DN107*6)/DN105)</f>
        <v>0</v>
      </c>
      <c r="DO103" s="1071">
        <f>IF(DM103=0,0,(DN103-DM103)/DM103*100)</f>
        <v>0</v>
      </c>
      <c r="DP103" s="2912">
        <f>IF(DP105=0,0,(DP104*DP105+DP106*DP107*6)/DP105)</f>
        <v>0</v>
      </c>
      <c r="DQ103" s="2912">
        <f>IF(DQ105=0,0,(DQ104*DQ105+DQ106*DQ107*6)/DQ105)</f>
        <v>0</v>
      </c>
      <c r="DR103" s="1071">
        <f>IF(DP103=0,0,(DQ103-DP103)/DP103*100)</f>
        <v>0</v>
      </c>
      <c r="DS103" s="2912">
        <f>IF(DS105=0,0,(DS104*DS105+DS106*DS107*6)/DS105)</f>
        <v>0</v>
      </c>
      <c r="DT103" s="2912">
        <f>IF(DT105=0,0,(DT104*DT105+DT106*DT107*6)/DT105)</f>
        <v>0</v>
      </c>
      <c r="DU103" s="1071">
        <f>IF(DS103=0,0,(DT103-DS103)/DS103*100)</f>
        <v>0</v>
      </c>
      <c r="DV103" s="2912">
        <f>IF(DV105=0,0,(DV104*DV105+DV106*DV107*6)/DV105)</f>
        <v>0</v>
      </c>
      <c r="DW103" s="2912">
        <f>IF(DW105=0,0,(DW104*DW105+DW106*DW107*6)/DW105)</f>
        <v>0</v>
      </c>
      <c r="DX103" s="1071">
        <f>IF(DV103=0,0,(DW103-DV103)/DV103*100)</f>
        <v>0</v>
      </c>
      <c r="DY103" s="2912">
        <f>IF(DY105=0,0,(DY104*DY105+DY106*DY107*6)/DY105)</f>
        <v>0</v>
      </c>
      <c r="DZ103" s="2912">
        <f>IF(DZ105=0,0,(DZ104*DZ105+DZ106*DZ107*6)/DZ105)</f>
        <v>0</v>
      </c>
      <c r="EA103" s="1071">
        <f>IF(DY103=0,0,(DZ103-DY103)/DY103*100)</f>
        <v>0</v>
      </c>
      <c r="EB103" s="2912">
        <f>IF(EB105=0,0,(EB104*EB105+EB106*EB107*6)/EB105)</f>
        <v>0</v>
      </c>
      <c r="EC103" s="2912">
        <f>IF(EC105=0,0,(EC104*EC105+EC106*EC107*6)/EC105)</f>
        <v>0</v>
      </c>
      <c r="ED103" s="1071">
        <f>IF(EB103=0,0,(EC103-EB103)/EB103*100)</f>
        <v>0</v>
      </c>
      <c r="EE103" s="2912">
        <f>IF(EE105=0,0,(EE104*EE105+EE106*EE107*6)/EE105)</f>
        <v>0</v>
      </c>
      <c r="EF103" s="2912">
        <f>IF(EF105=0,0,(EF104*EF105+EF106*EF107*6)/EF105)</f>
        <v>0</v>
      </c>
      <c r="EG103" s="1071">
        <f>IF(EE103=0,0,(EF103-EE103)/EE103*100)</f>
        <v>0</v>
      </c>
      <c r="EH103" s="2912">
        <f>IF(EH105=0,0,(EH104*EH105+EH106*EH107*6)/EH105)</f>
        <v>0</v>
      </c>
      <c r="EI103" s="2912">
        <f>IF(EI105=0,0,(EI104*EI105+EI106*EI107*6)/EI105)</f>
        <v>0</v>
      </c>
      <c r="EJ103" s="1071">
        <f>IF(EH103=0,0,(EI103-EH103)/EH103*100)</f>
        <v>0</v>
      </c>
      <c r="EK103" s="2912">
        <f>IF(EK105=0,0,(EK104*EK105+EK106*EK107*6)/EK105)</f>
        <v>0</v>
      </c>
      <c r="EL103" s="2912">
        <f>IF(EL105=0,0,(EL104*EL105+EL106*EL107*6)/EL105)</f>
        <v>0</v>
      </c>
      <c r="EM103" s="1071">
        <f>IF(EK103=0,0,(EL103-EK103)/EK103*100)</f>
        <v>0</v>
      </c>
      <c r="EN103" s="2912">
        <f>IF(EN105=0,0,(EN104*EN105+EN106*EN107*6)/EN105)</f>
        <v>0</v>
      </c>
      <c r="EO103" s="2912">
        <f>IF(EO105=0,0,(EO104*EO105+EO106*EO107*6)/EO105)</f>
        <v>0</v>
      </c>
      <c r="EP103" s="1071">
        <f>IF(EN103=0,0,(EO103-EN103)/EN103*100)</f>
        <v>0</v>
      </c>
      <c r="EQ103" s="2912">
        <f>IF(EQ105=0,0,(EQ104*EQ105+EQ106*EQ107*6)/EQ105)</f>
        <v>0</v>
      </c>
      <c r="ER103" s="2912">
        <f>IF(ER105=0,0,(ER104*ER105+ER106*ER107*6)/ER105)</f>
        <v>0</v>
      </c>
      <c r="ES103" s="1071">
        <f>IF(EQ103=0,0,(ER103-EQ103)/EQ103*100)</f>
        <v>0</v>
      </c>
      <c r="ET103" s="2912">
        <f>IF(ET105=0,0,(ET104*ET105+ET106*ET107*6)/ET105)</f>
        <v>0</v>
      </c>
      <c r="EU103" s="2912">
        <f>IF(EU105=0,0,(EU104*EU105+EU106*EU107*6)/EU105)</f>
        <v>0</v>
      </c>
      <c r="EV103" s="1071">
        <f>IF(ET103=0,0,(EU103-ET103)/ET103*100)</f>
        <v>0</v>
      </c>
      <c r="EW103" s="2912">
        <f>IF(EW105=0,0,(EW104*EW105+EW106*EW107*6)/EW105)</f>
        <v>0</v>
      </c>
      <c r="EX103" s="2912">
        <f>IF(EX105=0,0,(EX104*EX105+EX106*EX107*6)/EX105)</f>
        <v>0</v>
      </c>
      <c r="EY103" s="1071">
        <f>IF(EW103=0,0,(EX103-EW103)/EW103*100)</f>
        <v>0</v>
      </c>
      <c r="EZ103" s="2912">
        <f>IF(EZ105=0,0,(EZ104*EZ105+EZ106*EZ107*6)/EZ105)</f>
        <v>0</v>
      </c>
      <c r="FA103" s="2912">
        <f>IF(FA105=0,0,(FA104*FA105+FA106*FA107*6)/FA105)</f>
        <v>0</v>
      </c>
      <c r="FB103" s="1071">
        <f>IF(EZ103=0,0,(FA103-EZ103)/EZ103*100)</f>
        <v>0</v>
      </c>
      <c r="FC103" s="2912">
        <f>IF(FC105=0,0,(FC104*FC105+FC106*FC107*6)/FC105)</f>
        <v>0</v>
      </c>
      <c r="FD103" s="2912">
        <f>IF(FD105=0,0,(FD104*FD105+FD106*FD107*6)/FD105)</f>
        <v>0</v>
      </c>
      <c r="FE103" s="1071">
        <f>IF(FC103=0,0,(FD103-FC103)/FC103*100)</f>
        <v>0</v>
      </c>
      <c r="FF103" s="2912">
        <f>IF(FF105=0,0,(FF104*FF105+FF106*FF107*6)/FF105)</f>
        <v>0</v>
      </c>
      <c r="FG103" s="2912">
        <f>IF(FG105=0,0,(FG104*FG105+FG106*FG107*6)/FG105)</f>
        <v>0</v>
      </c>
      <c r="FH103" s="1071">
        <f>IF(FF103=0,0,(FG103-FF103)/FF103*100)</f>
        <v>0</v>
      </c>
      <c r="FI103" s="2912">
        <f>IF(FI105=0,0,(FI104*FI105+FI106*FI107*6)/FI105)</f>
        <v>0</v>
      </c>
      <c r="FJ103" s="2912">
        <f>IF(FJ105=0,0,(FJ104*FJ105+FJ106*FJ107*6)/FJ105)</f>
        <v>0</v>
      </c>
      <c r="FK103" s="1071">
        <f>IF(FI103=0,0,(FJ103-FI103)/FI103*100)</f>
        <v>0</v>
      </c>
      <c r="FL103" s="2912">
        <f>IF(FL105=0,0,(FL104*FL105+FL106*FL107*6)/FL105)</f>
        <v>0</v>
      </c>
      <c r="FM103" s="2912">
        <f>IF(FM105=0,0,(FM104*FM105+FM106*FM107*6)/FM105)</f>
        <v>0</v>
      </c>
      <c r="FN103" s="1071">
        <f>IF(FL103=0,0,(FM103-FL103)/FL103*100)</f>
        <v>0</v>
      </c>
      <c r="FO103" s="2912">
        <f>IF(FO105=0,0,(FO104*FO105+FO106*FO107*6)/FO105)</f>
        <v>0</v>
      </c>
      <c r="FP103" s="2912">
        <f>IF(FP105=0,0,(FP104*FP105+FP106*FP107*6)/FP105)</f>
        <v>0</v>
      </c>
      <c r="FQ103" s="1071">
        <f>IF(FO103=0,0,(FP103-FO103)/FO103*100)</f>
        <v>0</v>
      </c>
      <c r="FR103" s="2912">
        <f>IF(FR105=0,0,(FR104*FR105+FR106*FR107*6)/FR105)</f>
        <v>0</v>
      </c>
      <c r="FS103" s="2912">
        <f>IF(FS105=0,0,(FS104*FS105+FS106*FS107*6)/FS105)</f>
        <v>0</v>
      </c>
      <c r="FT103" s="1071">
        <f>IF(FR103=0,0,(FS103-FR103)/FR103*100)</f>
        <v>0</v>
      </c>
      <c r="FU103" s="2912">
        <f>IF(FU105=0,0,(FU104*FU105+FU106*FU107*6)/FU105)</f>
        <v>0</v>
      </c>
      <c r="FV103" s="2912">
        <f>IF(FV105=0,0,(FV104*FV105+FV106*FV107*6)/FV105)</f>
        <v>0</v>
      </c>
      <c r="FW103" s="1071">
        <f>IF(FU103=0,0,(FV103-FU103)/FU103*100)</f>
        <v>0</v>
      </c>
      <c r="FX103" s="1282"/>
      <c r="FY103" s="1282"/>
      <c r="FZ103" s="1032" t="s">
        <v>1510</v>
      </c>
      <c r="GA103" s="1284"/>
      <c r="GB103" s="1284"/>
      <c r="GC103" s="1283"/>
      <c r="GD103" s="1283"/>
    </row>
    <row s="1624" customFormat="1" customHeight="1" ht="14.25" hidden="1">
      <c r="A104" s="466"/>
      <c r="B104" s="901" cm="1" t="str">
        <f t="array" ref="B104:B104">B103</f>
        <v>false</v>
      </c>
      <c r="C104" s="466"/>
      <c r="D104" s="466"/>
      <c r="E104" s="816">
        <v>15</v>
      </c>
      <c r="F104" s="50" cm="1" t="str">
        <f t="array" ref="F104:F104">OFFSET(E104,-1,1)</f>
        <v>1</v>
      </c>
      <c r="G104" s="466"/>
      <c r="H104" s="466" t="s">
        <v>1438</v>
      </c>
      <c r="I104" s="466" t="s">
        <v>1474</v>
      </c>
      <c r="J104" s="466"/>
      <c r="K104" s="466"/>
      <c r="L104" s="466"/>
      <c r="M104" s="466"/>
      <c r="N104" s="466"/>
      <c r="O104" s="466"/>
      <c r="P104" s="466"/>
      <c r="Q104" s="466"/>
      <c r="R104" s="466"/>
      <c r="S104" s="466"/>
      <c r="T104" s="438" cm="1" t="str">
        <f t="array" ref="T104:T104">T103</f>
        <v>true</v>
      </c>
      <c r="U104" s="466"/>
      <c r="V104" s="466"/>
      <c r="W104" s="466"/>
      <c r="X104" s="1541"/>
      <c r="Y104" s="466"/>
      <c r="Z104" s="1493"/>
      <c r="AA104" s="466"/>
      <c r="AB104" s="880" t="str">
        <f>"ставка платы за "&amp;IF(Q85="Водоснабжение","потребление 1 куб.м холодной воды","объем принятых сточных вод")</f>
        <v>ставка платы за объем принятых сточных вод</v>
      </c>
      <c r="AC104" s="840" t="s">
        <v>1476</v>
      </c>
      <c r="AD104" s="2912"/>
      <c r="AE104" s="2912"/>
      <c r="AF104" s="1071">
        <f>IF(AD104=0,0,(AE104-AD104)/AD104*100)</f>
        <v>0</v>
      </c>
      <c r="AG104" s="2912"/>
      <c r="AH104" s="2912"/>
      <c r="AI104" s="1071">
        <f>IF(AG104=0,0,(AH104-AG104)/AG104*100)</f>
        <v>0</v>
      </c>
      <c r="AJ104" s="2912"/>
      <c r="AK104" s="2912"/>
      <c r="AL104" s="1071">
        <f>IF(AJ104=0,0,(AK104-AJ104)/AJ104*100)</f>
        <v>0</v>
      </c>
      <c r="AM104" s="2912"/>
      <c r="AN104" s="2912"/>
      <c r="AO104" s="1071">
        <f>IF(AM104=0,0,(AN104-AM104)/AM104*100)</f>
        <v>0</v>
      </c>
      <c r="AP104" s="2912"/>
      <c r="AQ104" s="2912"/>
      <c r="AR104" s="1071">
        <f>IF(AP104=0,0,(AQ104-AP104)/AP104*100)</f>
        <v>0</v>
      </c>
      <c r="AS104" s="2912"/>
      <c r="AT104" s="2912"/>
      <c r="AU104" s="1071">
        <f>IF(AS104=0,0,(AT104-AS104)/AS104*100)</f>
        <v>0</v>
      </c>
      <c r="AV104" s="2912"/>
      <c r="AW104" s="2912"/>
      <c r="AX104" s="1071">
        <f>IF(AV104=0,0,(AW104-AV104)/AV104*100)</f>
        <v>0</v>
      </c>
      <c r="AY104" s="2912"/>
      <c r="AZ104" s="2912"/>
      <c r="BA104" s="1071">
        <f>IF(AY104=0,0,(AZ104-AY104)/AY104*100)</f>
        <v>0</v>
      </c>
      <c r="BB104" s="2912"/>
      <c r="BC104" s="2912"/>
      <c r="BD104" s="1071">
        <f>IF(BB104=0,0,(BC104-BB104)/BB104*100)</f>
        <v>0</v>
      </c>
      <c r="BE104" s="2912"/>
      <c r="BF104" s="2912"/>
      <c r="BG104" s="1071">
        <f>IF(BE104=0,0,(BF104-BE104)/BE104*100)</f>
        <v>0</v>
      </c>
      <c r="BH104" s="2912"/>
      <c r="BI104" s="2912"/>
      <c r="BJ104" s="1071">
        <f>IF(BH104=0,0,(BI104-BH104)/BH104*100)</f>
        <v>0</v>
      </c>
      <c r="BK104" s="2912"/>
      <c r="BL104" s="2912"/>
      <c r="BM104" s="1071">
        <f>IF(BK104=0,0,(BL104-BK104)/BK104*100)</f>
        <v>0</v>
      </c>
      <c r="BN104" s="2912"/>
      <c r="BO104" s="2912"/>
      <c r="BP104" s="1071">
        <f>IF(BN104=0,0,(BO104-BN104)/BN104*100)</f>
        <v>0</v>
      </c>
      <c r="BQ104" s="2912"/>
      <c r="BR104" s="2912"/>
      <c r="BS104" s="1071">
        <f>IF(BQ104=0,0,(BR104-BQ104)/BQ104*100)</f>
        <v>0</v>
      </c>
      <c r="BT104" s="2912"/>
      <c r="BU104" s="2912"/>
      <c r="BV104" s="1071">
        <f>IF(BT104=0,0,(BU104-BT104)/BT104*100)</f>
        <v>0</v>
      </c>
      <c r="BW104" s="2912"/>
      <c r="BX104" s="2912"/>
      <c r="BY104" s="1071">
        <f>IF(BW104=0,0,(BX104-BW104)/BW104*100)</f>
        <v>0</v>
      </c>
      <c r="BZ104" s="2912"/>
      <c r="CA104" s="2912"/>
      <c r="CB104" s="1071">
        <f>IF(BZ104=0,0,(CA104-BZ104)/BZ104*100)</f>
        <v>0</v>
      </c>
      <c r="CC104" s="2912"/>
      <c r="CD104" s="2912"/>
      <c r="CE104" s="1071">
        <f>IF(CC104=0,0,(CD104-CC104)/CC104*100)</f>
        <v>0</v>
      </c>
      <c r="CF104" s="2912"/>
      <c r="CG104" s="2912"/>
      <c r="CH104" s="1071">
        <f>IF(CF104=0,0,(CG104-CF104)/CF104*100)</f>
        <v>0</v>
      </c>
      <c r="CI104" s="2912"/>
      <c r="CJ104" s="2912"/>
      <c r="CK104" s="1071">
        <f>IF(CI104=0,0,(CJ104-CI104)/CI104*100)</f>
        <v>0</v>
      </c>
      <c r="CL104" s="2912"/>
      <c r="CM104" s="2912"/>
      <c r="CN104" s="1071">
        <f>IF(CL104=0,0,(CM104-CL104)/CL104*100)</f>
        <v>0</v>
      </c>
      <c r="CO104" s="2912"/>
      <c r="CP104" s="2912"/>
      <c r="CQ104" s="1071">
        <f>IF(CO104=0,0,(CP104-CO104)/CO104*100)</f>
        <v>0</v>
      </c>
      <c r="CR104" s="2912"/>
      <c r="CS104" s="2912"/>
      <c r="CT104" s="1071">
        <f>IF(CR104=0,0,(CS104-CR104)/CR104*100)</f>
        <v>0</v>
      </c>
      <c r="CU104" s="2912"/>
      <c r="CV104" s="2912"/>
      <c r="CW104" s="1071">
        <f>IF(CU104=0,0,(CV104-CU104)/CU104*100)</f>
        <v>0</v>
      </c>
      <c r="CX104" s="2912"/>
      <c r="CY104" s="2912"/>
      <c r="CZ104" s="1071">
        <f>IF(CX104=0,0,(CY104-CX104)/CX104*100)</f>
        <v>0</v>
      </c>
      <c r="DA104" s="2912"/>
      <c r="DB104" s="2912"/>
      <c r="DC104" s="1071">
        <f>IF(DA104=0,0,(DB104-DA104)/DA104*100)</f>
        <v>0</v>
      </c>
      <c r="DD104" s="2912"/>
      <c r="DE104" s="2912"/>
      <c r="DF104" s="1071">
        <f>IF(DD104=0,0,(DE104-DD104)/DD104*100)</f>
        <v>0</v>
      </c>
      <c r="DG104" s="2912"/>
      <c r="DH104" s="2912"/>
      <c r="DI104" s="1071">
        <f>IF(DG104=0,0,(DH104-DG104)/DG104*100)</f>
        <v>0</v>
      </c>
      <c r="DJ104" s="2912"/>
      <c r="DK104" s="2912"/>
      <c r="DL104" s="1071">
        <f>IF(DJ104=0,0,(DK104-DJ104)/DJ104*100)</f>
        <v>0</v>
      </c>
      <c r="DM104" s="2912"/>
      <c r="DN104" s="2912"/>
      <c r="DO104" s="1071">
        <f>IF(DM104=0,0,(DN104-DM104)/DM104*100)</f>
        <v>0</v>
      </c>
      <c r="DP104" s="2912"/>
      <c r="DQ104" s="2912"/>
      <c r="DR104" s="1071">
        <f>IF(DP104=0,0,(DQ104-DP104)/DP104*100)</f>
        <v>0</v>
      </c>
      <c r="DS104" s="2912"/>
      <c r="DT104" s="2912"/>
      <c r="DU104" s="1071">
        <f>IF(DS104=0,0,(DT104-DS104)/DS104*100)</f>
        <v>0</v>
      </c>
      <c r="DV104" s="2912"/>
      <c r="DW104" s="2912"/>
      <c r="DX104" s="1071">
        <f>IF(DV104=0,0,(DW104-DV104)/DV104*100)</f>
        <v>0</v>
      </c>
      <c r="DY104" s="2912"/>
      <c r="DZ104" s="2912"/>
      <c r="EA104" s="1071">
        <f>IF(DY104=0,0,(DZ104-DY104)/DY104*100)</f>
        <v>0</v>
      </c>
      <c r="EB104" s="2912"/>
      <c r="EC104" s="2912"/>
      <c r="ED104" s="1071">
        <f>IF(EB104=0,0,(EC104-EB104)/EB104*100)</f>
        <v>0</v>
      </c>
      <c r="EE104" s="2912"/>
      <c r="EF104" s="2912"/>
      <c r="EG104" s="1071">
        <f>IF(EE104=0,0,(EF104-EE104)/EE104*100)</f>
        <v>0</v>
      </c>
      <c r="EH104" s="2912"/>
      <c r="EI104" s="2912"/>
      <c r="EJ104" s="1071">
        <f>IF(EH104=0,0,(EI104-EH104)/EH104*100)</f>
        <v>0</v>
      </c>
      <c r="EK104" s="2912"/>
      <c r="EL104" s="2912"/>
      <c r="EM104" s="1071">
        <f>IF(EK104=0,0,(EL104-EK104)/EK104*100)</f>
        <v>0</v>
      </c>
      <c r="EN104" s="2912"/>
      <c r="EO104" s="2912"/>
      <c r="EP104" s="1071">
        <f>IF(EN104=0,0,(EO104-EN104)/EN104*100)</f>
        <v>0</v>
      </c>
      <c r="EQ104" s="2912"/>
      <c r="ER104" s="2912"/>
      <c r="ES104" s="1071">
        <f>IF(EQ104=0,0,(ER104-EQ104)/EQ104*100)</f>
        <v>0</v>
      </c>
      <c r="ET104" s="2912"/>
      <c r="EU104" s="2912"/>
      <c r="EV104" s="1071">
        <f>IF(ET104=0,0,(EU104-ET104)/ET104*100)</f>
        <v>0</v>
      </c>
      <c r="EW104" s="2912"/>
      <c r="EX104" s="2912"/>
      <c r="EY104" s="1071">
        <f>IF(EW104=0,0,(EX104-EW104)/EW104*100)</f>
        <v>0</v>
      </c>
      <c r="EZ104" s="2912"/>
      <c r="FA104" s="2912"/>
      <c r="FB104" s="1071">
        <f>IF(EZ104=0,0,(FA104-EZ104)/EZ104*100)</f>
        <v>0</v>
      </c>
      <c r="FC104" s="2912"/>
      <c r="FD104" s="2912"/>
      <c r="FE104" s="1071">
        <f>IF(FC104=0,0,(FD104-FC104)/FC104*100)</f>
        <v>0</v>
      </c>
      <c r="FF104" s="2912"/>
      <c r="FG104" s="2912"/>
      <c r="FH104" s="1071">
        <f>IF(FF104=0,0,(FG104-FF104)/FF104*100)</f>
        <v>0</v>
      </c>
      <c r="FI104" s="2912"/>
      <c r="FJ104" s="2912"/>
      <c r="FK104" s="1071">
        <f>IF(FI104=0,0,(FJ104-FI104)/FI104*100)</f>
        <v>0</v>
      </c>
      <c r="FL104" s="2912"/>
      <c r="FM104" s="2912"/>
      <c r="FN104" s="1071">
        <f>IF(FL104=0,0,(FM104-FL104)/FL104*100)</f>
        <v>0</v>
      </c>
      <c r="FO104" s="2912"/>
      <c r="FP104" s="2912"/>
      <c r="FQ104" s="1071">
        <f>IF(FO104=0,0,(FP104-FO104)/FO104*100)</f>
        <v>0</v>
      </c>
      <c r="FR104" s="2912"/>
      <c r="FS104" s="2912"/>
      <c r="FT104" s="1071">
        <f>IF(FR104=0,0,(FS104-FR104)/FR104*100)</f>
        <v>0</v>
      </c>
      <c r="FU104" s="2912"/>
      <c r="FV104" s="2912"/>
      <c r="FW104" s="1071">
        <f>IF(FU104=0,0,(FV104-FU104)/FU104*100)</f>
        <v>0</v>
      </c>
      <c r="FX104" s="1282"/>
      <c r="FY104" s="1282"/>
      <c r="FZ104" s="1032" t="s">
        <v>1511</v>
      </c>
      <c r="GA104" s="1284"/>
      <c r="GB104" s="1284"/>
      <c r="GC104" s="1283"/>
      <c r="GD104" s="1283"/>
    </row>
    <row s="1624" customFormat="1" customHeight="1" ht="14.25" hidden="1">
      <c r="A105" s="466"/>
      <c r="B105" s="901" cm="1" t="str">
        <f t="array" ref="B105:B105">B104</f>
        <v>false</v>
      </c>
      <c r="C105" s="466"/>
      <c r="D105" s="466"/>
      <c r="E105" s="816">
        <v>15</v>
      </c>
      <c r="F105" s="50" cm="1" t="str">
        <f t="array" ref="F105:F105">OFFSET(E105,-1,1)</f>
        <v>1</v>
      </c>
      <c r="G105" s="73" t="s">
        <v>1512</v>
      </c>
      <c r="H105" s="466" t="s">
        <v>1513</v>
      </c>
      <c r="I105" s="466" t="s">
        <v>1474</v>
      </c>
      <c r="J105" s="466"/>
      <c r="K105" s="466"/>
      <c r="L105" s="466"/>
      <c r="M105" s="466"/>
      <c r="N105" s="466"/>
      <c r="O105" s="466"/>
      <c r="P105" s="466"/>
      <c r="Q105" s="466"/>
      <c r="R105" s="466"/>
      <c r="S105" s="466"/>
      <c r="T105" s="438" cm="1" t="str">
        <f t="array" ref="T105:T105">T104</f>
        <v>true</v>
      </c>
      <c r="U105" s="466"/>
      <c r="V105" s="466"/>
      <c r="W105" s="466"/>
      <c r="X105" s="1541"/>
      <c r="Y105" s="466"/>
      <c r="Z105" s="1493"/>
      <c r="AA105" s="466"/>
      <c r="AB105" s="880" t="str">
        <f>"объём "&amp;IF(Q85="Водоснабжение","потребления холодной воды","водоотведения")</f>
        <v>объём водоотведения</v>
      </c>
      <c r="AC105" s="840" t="s">
        <v>506</v>
      </c>
      <c r="AD105" s="2907">
        <f>IF(AND(method_reg="Метод индексации",god&lt;&gt;first_year),_xlfn.SUMIFS(INDEX('Калькуляция (МИ корр)'!$AJ$25:$BC$315,,MATCH(AD$8,'Калькуляция (МИ корр)'!$AJ$8:$BC$8,0)),'Калькуляция (МИ корр)'!$F$25:$F$315,$F105,'Калькуляция (МИ корр)'!$G$25:$G$315,$G105),IF(method_reg="Метод экономически обоснованных расходов",_xlfn.SUMIFS('Калькуляция (МЭОР)'!$AJ$25:$AJ$197,'Калькуляция (МЭОР)'!$F$25:$F$197,$F105,'Калькуляция (МЭОР)'!$G$25:$G$197,$G105),IF(method_reg="Метод сравнения аналогов",_xlfn.SUMIFS('Калькуляция (МСА)'!$AE$25:$AE$65,'Калькуляция (МСА)'!$F$25:$F$65,$F105,'Калькуляция (МСА)'!$G$25:$G$65,$G105),_xlfn.SUMIFS(INDEX('Калькуляция (МИ)'!$AJ$25:$BC$315,,MATCH(AD$8,'Калькуляция (МИ)'!$AJ$8:$BC$8,0)),'Калькуляция (МИ)'!$F$25:$F$315,$F105,'Калькуляция (МИ)'!$G$25:$G$315,$G105))))</f>
        <v>18.156</v>
      </c>
      <c r="AE105" s="2907">
        <f>IF(AND(method_reg="Метод индексации",god&lt;&gt;first_year),_xlfn.SUMIFS(INDEX('Калькуляция (МИ корр)'!$AJ$25:$BC$315,,MATCH(AE$8,'Калькуляция (МИ корр)'!$AJ$8:$BC$8,0)),'Калькуляция (МИ корр)'!$F$25:$F$315,$F105,'Калькуляция (МИ корр)'!$G$25:$G$315,$G105),IF(method_reg="Метод экономически обоснованных расходов",_xlfn.SUMIFS('Калькуляция (МЭОР)'!$AK$25:$AK$197,'Калькуляция (МЭОР)'!$F$25:$F$197,$F105,'Калькуляция (МЭОР)'!$G$25:$G$197,$G105),IF(method_reg="Метод сравнения аналогов",_xlfn.SUMIFS('Калькуляция (МСА)'!$AF$25:$AF$65,'Калькуляция (МСА)'!$F$25:$F$65,$F105,'Калькуляция (МСА)'!$G$25:$G$65,$G105),_xlfn.SUMIFS(INDEX('Калькуляция (МИ)'!$AJ$25:$BC$315,,MATCH(AE$8,'Калькуляция (МИ)'!$AJ$8:$BC$8,0)),'Калькуляция (МИ)'!$F$25:$F$315,$F105,'Калькуляция (МИ)'!$G$25:$G$315,$G105))))</f>
        <v>26.71878</v>
      </c>
      <c r="AF105" s="1073">
        <f>IF(AD105=0,0,(AE105-AD105)/AD105*100)</f>
        <v>47.1622604097819</v>
      </c>
      <c r="AG105" s="2907">
        <f>IF(AND(method_reg="Метод индексации",god&lt;&gt;first_year),_xlfn.SUMIFS(INDEX('Калькуляция (МИ корр)'!$AJ$25:$BC$315,,MATCH(AG$8,'Калькуляция (МИ корр)'!$AJ$8:$BC$8,0)),'Калькуляция (МИ корр)'!$F$25:$F$315,$F105,'Калькуляция (МИ корр)'!$G$25:$G$315,$G105),IF(method_reg="Метод экономически обоснованных расходов",_xlfn.SUMIFS('Калькуляция (МЭОР)'!$AJ$25:$AJ$197,'Калькуляция (МЭОР)'!$F$25:$F$197,$F105,'Калькуляция (МЭОР)'!$G$25:$G$197,$G105),IF(method_reg="Метод сравнения аналогов",_xlfn.SUMIFS('Калькуляция (МСА)'!$AE$25:$AE$65,'Калькуляция (МСА)'!$F$25:$F$65,$F105,'Калькуляция (МСА)'!$G$25:$G$65,$G105),_xlfn.SUMIFS(INDEX('Калькуляция (МИ)'!$AJ$25:$BC$315,,MATCH(AG$8,'Калькуляция (МИ)'!$AJ$8:$BC$8,0)),'Калькуляция (МИ)'!$F$25:$F$315,$F105,'Калькуляция (МИ)'!$G$25:$G$315,$G105))))</f>
        <v>18.156</v>
      </c>
      <c r="AH105" s="2907">
        <f>IF(AND(method_reg="Метод индексации",god&lt;&gt;first_year),_xlfn.SUMIFS(INDEX('Калькуляция (МИ корр)'!$AJ$25:$BC$315,,MATCH(AH$8,'Калькуляция (МИ корр)'!$AJ$8:$BC$8,0)),'Калькуляция (МИ корр)'!$F$25:$F$315,$F105,'Калькуляция (МИ корр)'!$G$25:$G$315,$G105),IF(method_reg="Метод экономически обоснованных расходов",_xlfn.SUMIFS('Калькуляция (МЭОР)'!$AK$25:$AK$197,'Калькуляция (МЭОР)'!$F$25:$F$197,$F105,'Калькуляция (МЭОР)'!$G$25:$G$197,$G105),IF(method_reg="Метод сравнения аналогов",_xlfn.SUMIFS('Калькуляция (МСА)'!$AF$25:$AF$65,'Калькуляция (МСА)'!$F$25:$F$65,$F105,'Калькуляция (МСА)'!$G$25:$G$65,$G105),_xlfn.SUMIFS(INDEX('Калькуляция (МИ)'!$AJ$25:$BC$315,,MATCH(AH$8,'Калькуляция (МИ)'!$AJ$8:$BC$8,0)),'Калькуляция (МИ)'!$F$25:$F$315,$F105,'Калькуляция (МИ)'!$G$25:$G$315,$G105))))</f>
        <v>26.71878</v>
      </c>
      <c r="AI105" s="1073">
        <f>IF(AG105=0,0,(AH105-AG105)/AG105*100)</f>
        <v>47.1622604097819</v>
      </c>
      <c r="AJ105" s="2907">
        <f>IF(AND(method_reg="Метод индексации",god&lt;&gt;first_year),_xlfn.SUMIFS(INDEX('Калькуляция (МИ корр)'!$AJ$25:$BC$315,,MATCH(AJ$8,'Калькуляция (МИ корр)'!$AJ$8:$BC$8,0)),'Калькуляция (МИ корр)'!$F$25:$F$315,$F105,'Калькуляция (МИ корр)'!$G$25:$G$315,$G105),IF(method_reg="Метод экономически обоснованных расходов",_xlfn.SUMIFS('Калькуляция (МЭОР)'!$AJ$25:$AJ$197,'Калькуляция (МЭОР)'!$F$25:$F$197,$F105,'Калькуляция (МЭОР)'!$G$25:$G$197,$G105),IF(method_reg="Метод сравнения аналогов",_xlfn.SUMIFS('Калькуляция (МСА)'!$AE$25:$AE$65,'Калькуляция (МСА)'!$F$25:$F$65,$F105,'Калькуляция (МСА)'!$G$25:$G$65,$G105),_xlfn.SUMIFS(INDEX('Калькуляция (МИ)'!$AJ$25:$BC$315,,MATCH(AJ$8,'Калькуляция (МИ)'!$AJ$8:$BC$8,0)),'Калькуляция (МИ)'!$F$25:$F$315,$F105,'Калькуляция (МИ)'!$G$25:$G$315,$G105))))</f>
        <v>18.156</v>
      </c>
      <c r="AK105" s="2907">
        <f>IF(AND(method_reg="Метод индексации",god&lt;&gt;first_year),_xlfn.SUMIFS(INDEX('Калькуляция (МИ корр)'!$AJ$25:$BC$315,,MATCH(AK$8,'Калькуляция (МИ корр)'!$AJ$8:$BC$8,0)),'Калькуляция (МИ корр)'!$F$25:$F$315,$F105,'Калькуляция (МИ корр)'!$G$25:$G$315,$G105),IF(method_reg="Метод экономически обоснованных расходов",_xlfn.SUMIFS('Калькуляция (МЭОР)'!$AK$25:$AK$197,'Калькуляция (МЭОР)'!$F$25:$F$197,$F105,'Калькуляция (МЭОР)'!$G$25:$G$197,$G105),IF(method_reg="Метод сравнения аналогов",_xlfn.SUMIFS('Калькуляция (МСА)'!$AF$25:$AF$65,'Калькуляция (МСА)'!$F$25:$F$65,$F105,'Калькуляция (МСА)'!$G$25:$G$65,$G105),_xlfn.SUMIFS(INDEX('Калькуляция (МИ)'!$AJ$25:$BC$315,,MATCH(AK$8,'Калькуляция (МИ)'!$AJ$8:$BC$8,0)),'Калькуляция (МИ)'!$F$25:$F$315,$F105,'Калькуляция (МИ)'!$G$25:$G$315,$G105))))</f>
        <v>26.71878</v>
      </c>
      <c r="AL105" s="1073">
        <f>IF(AJ105=0,0,(AK105-AJ105)/AJ105*100)</f>
        <v>47.1622604097819</v>
      </c>
      <c r="AM105" s="2907">
        <f>IF(AND(method_reg="Метод индексации",god&lt;&gt;first_year),_xlfn.SUMIFS(INDEX('Калькуляция (МИ корр)'!$AJ$25:$BC$315,,MATCH(AM$8,'Калькуляция (МИ корр)'!$AJ$8:$BC$8,0)),'Калькуляция (МИ корр)'!$F$25:$F$315,$F105,'Калькуляция (МИ корр)'!$G$25:$G$315,$G105),IF(method_reg="Метод экономически обоснованных расходов",_xlfn.SUMIFS('Калькуляция (МЭОР)'!$AJ$25:$AJ$197,'Калькуляция (МЭОР)'!$F$25:$F$197,$F105,'Калькуляция (МЭОР)'!$G$25:$G$197,$G105),IF(method_reg="Метод сравнения аналогов",_xlfn.SUMIFS('Калькуляция (МСА)'!$AE$25:$AE$65,'Калькуляция (МСА)'!$F$25:$F$65,$F105,'Калькуляция (МСА)'!$G$25:$G$65,$G105),_xlfn.SUMIFS(INDEX('Калькуляция (МИ)'!$AJ$25:$BC$315,,MATCH(AM$8,'Калькуляция (МИ)'!$AJ$8:$BC$8,0)),'Калькуляция (МИ)'!$F$25:$F$315,$F105,'Калькуляция (МИ)'!$G$25:$G$315,$G105))))</f>
        <v>18.156</v>
      </c>
      <c r="AN105" s="2907">
        <f>IF(AND(method_reg="Метод индексации",god&lt;&gt;first_year),_xlfn.SUMIFS(INDEX('Калькуляция (МИ корр)'!$AJ$25:$BC$315,,MATCH(AN$8,'Калькуляция (МИ корр)'!$AJ$8:$BC$8,0)),'Калькуляция (МИ корр)'!$F$25:$F$315,$F105,'Калькуляция (МИ корр)'!$G$25:$G$315,$G105),IF(method_reg="Метод экономически обоснованных расходов",_xlfn.SUMIFS('Калькуляция (МЭОР)'!$AK$25:$AK$197,'Калькуляция (МЭОР)'!$F$25:$F$197,$F105,'Калькуляция (МЭОР)'!$G$25:$G$197,$G105),IF(method_reg="Метод сравнения аналогов",_xlfn.SUMIFS('Калькуляция (МСА)'!$AF$25:$AF$65,'Калькуляция (МСА)'!$F$25:$F$65,$F105,'Калькуляция (МСА)'!$G$25:$G$65,$G105),_xlfn.SUMIFS(INDEX('Калькуляция (МИ)'!$AJ$25:$BC$315,,MATCH(AN$8,'Калькуляция (МИ)'!$AJ$8:$BC$8,0)),'Калькуляция (МИ)'!$F$25:$F$315,$F105,'Калькуляция (МИ)'!$G$25:$G$315,$G105))))</f>
        <v>26.71878</v>
      </c>
      <c r="AO105" s="1073">
        <f>IF(AM105=0,0,(AN105-AM105)/AM105*100)</f>
        <v>47.1622604097819</v>
      </c>
      <c r="AP105" s="2907">
        <f>IF(AND(method_reg="Метод индексации",god&lt;&gt;first_year),_xlfn.SUMIFS(INDEX('Калькуляция (МИ корр)'!$AJ$25:$BC$315,,MATCH(AP$8,'Калькуляция (МИ корр)'!$AJ$8:$BC$8,0)),'Калькуляция (МИ корр)'!$F$25:$F$315,$F105,'Калькуляция (МИ корр)'!$G$25:$G$315,$G105),IF(method_reg="Метод экономически обоснованных расходов",_xlfn.SUMIFS('Калькуляция (МЭОР)'!$AJ$25:$AJ$197,'Калькуляция (МЭОР)'!$F$25:$F$197,$F105,'Калькуляция (МЭОР)'!$G$25:$G$197,$G105),IF(method_reg="Метод сравнения аналогов",_xlfn.SUMIFS('Калькуляция (МСА)'!$AE$25:$AE$65,'Калькуляция (МСА)'!$F$25:$F$65,$F105,'Калькуляция (МСА)'!$G$25:$G$65,$G105),_xlfn.SUMIFS(INDEX('Калькуляция (МИ)'!$AJ$25:$BC$315,,MATCH(AP$8,'Калькуляция (МИ)'!$AJ$8:$BC$8,0)),'Калькуляция (МИ)'!$F$25:$F$315,$F105,'Калькуляция (МИ)'!$G$25:$G$315,$G105))))</f>
        <v>18.156</v>
      </c>
      <c r="AQ105" s="2907">
        <f>IF(AND(method_reg="Метод индексации",god&lt;&gt;first_year),_xlfn.SUMIFS(INDEX('Калькуляция (МИ корр)'!$AJ$25:$BC$315,,MATCH(AQ$8,'Калькуляция (МИ корр)'!$AJ$8:$BC$8,0)),'Калькуляция (МИ корр)'!$F$25:$F$315,$F105,'Калькуляция (МИ корр)'!$G$25:$G$315,$G105),IF(method_reg="Метод экономически обоснованных расходов",_xlfn.SUMIFS('Калькуляция (МЭОР)'!$AK$25:$AK$197,'Калькуляция (МЭОР)'!$F$25:$F$197,$F105,'Калькуляция (МЭОР)'!$G$25:$G$197,$G105),IF(method_reg="Метод сравнения аналогов",_xlfn.SUMIFS('Калькуляция (МСА)'!$AF$25:$AF$65,'Калькуляция (МСА)'!$F$25:$F$65,$F105,'Калькуляция (МСА)'!$G$25:$G$65,$G105),_xlfn.SUMIFS(INDEX('Калькуляция (МИ)'!$AJ$25:$BC$315,,MATCH(AQ$8,'Калькуляция (МИ)'!$AJ$8:$BC$8,0)),'Калькуляция (МИ)'!$F$25:$F$315,$F105,'Калькуляция (МИ)'!$G$25:$G$315,$G105))))</f>
        <v>26.71878</v>
      </c>
      <c r="AR105" s="1073">
        <f>IF(AP105=0,0,(AQ105-AP105)/AP105*100)</f>
        <v>47.1622604097819</v>
      </c>
      <c r="AS105" s="2907">
        <f>IF(AND(method_reg="Метод индексации",god&lt;&gt;first_year),_xlfn.SUMIFS(INDEX('Калькуляция (МИ корр)'!$AJ$25:$BC$315,,MATCH(AS$8,'Калькуляция (МИ корр)'!$AJ$8:$BC$8,0)),'Калькуляция (МИ корр)'!$F$25:$F$315,$F105,'Калькуляция (МИ корр)'!$G$25:$G$315,$G105),IF(method_reg="Метод экономически обоснованных расходов",_xlfn.SUMIFS('Калькуляция (МЭОР)'!$AJ$25:$AJ$197,'Калькуляция (МЭОР)'!$F$25:$F$197,$F105,'Калькуляция (МЭОР)'!$G$25:$G$197,$G105),IF(method_reg="Метод сравнения аналогов",_xlfn.SUMIFS('Калькуляция (МСА)'!$AE$25:$AE$65,'Калькуляция (МСА)'!$F$25:$F$65,$F105,'Калькуляция (МСА)'!$G$25:$G$65,$G105),_xlfn.SUMIFS(INDEX('Калькуляция (МИ)'!$AJ$25:$BC$315,,MATCH(AS$8,'Калькуляция (МИ)'!$AJ$8:$BC$8,0)),'Калькуляция (МИ)'!$F$25:$F$315,$F105,'Калькуляция (МИ)'!$G$25:$G$315,$G105))))</f>
        <v>18.156</v>
      </c>
      <c r="AT105" s="2907">
        <f>IF(AND(method_reg="Метод индексации",god&lt;&gt;first_year),_xlfn.SUMIFS(INDEX('Калькуляция (МИ корр)'!$AJ$25:$BC$315,,MATCH(AT$8,'Калькуляция (МИ корр)'!$AJ$8:$BC$8,0)),'Калькуляция (МИ корр)'!$F$25:$F$315,$F105,'Калькуляция (МИ корр)'!$G$25:$G$315,$G105),IF(method_reg="Метод экономически обоснованных расходов",_xlfn.SUMIFS('Калькуляция (МЭОР)'!$AK$25:$AK$197,'Калькуляция (МЭОР)'!$F$25:$F$197,$F105,'Калькуляция (МЭОР)'!$G$25:$G$197,$G105),IF(method_reg="Метод сравнения аналогов",_xlfn.SUMIFS('Калькуляция (МСА)'!$AF$25:$AF$65,'Калькуляция (МСА)'!$F$25:$F$65,$F105,'Калькуляция (МСА)'!$G$25:$G$65,$G105),_xlfn.SUMIFS(INDEX('Калькуляция (МИ)'!$AJ$25:$BC$315,,MATCH(AT$8,'Калькуляция (МИ)'!$AJ$8:$BC$8,0)),'Калькуляция (МИ)'!$F$25:$F$315,$F105,'Калькуляция (МИ)'!$G$25:$G$315,$G105))))</f>
        <v>26.71878</v>
      </c>
      <c r="AU105" s="1073">
        <f>IF(AS105=0,0,(AT105-AS105)/AS105*100)</f>
        <v>47.1622604097819</v>
      </c>
      <c r="AV105" s="2907">
        <f>IF(AND(method_reg="Метод индексации",god&lt;&gt;first_year),_xlfn.SUMIFS(INDEX('Калькуляция (МИ корр)'!$AJ$25:$BC$315,,MATCH(AV$8,'Калькуляция (МИ корр)'!$AJ$8:$BC$8,0)),'Калькуляция (МИ корр)'!$F$25:$F$315,$F105,'Калькуляция (МИ корр)'!$G$25:$G$315,$G105),IF(method_reg="Метод экономически обоснованных расходов",_xlfn.SUMIFS('Калькуляция (МЭОР)'!$AJ$25:$AJ$197,'Калькуляция (МЭОР)'!$F$25:$F$197,$F105,'Калькуляция (МЭОР)'!$G$25:$G$197,$G105),IF(method_reg="Метод сравнения аналогов",_xlfn.SUMIFS('Калькуляция (МСА)'!$AE$25:$AE$65,'Калькуляция (МСА)'!$F$25:$F$65,$F105,'Калькуляция (МСА)'!$G$25:$G$65,$G105),_xlfn.SUMIFS(INDEX('Калькуляция (МИ)'!$AJ$25:$BC$315,,MATCH(AV$8,'Калькуляция (МИ)'!$AJ$8:$BC$8,0)),'Калькуляция (МИ)'!$F$25:$F$315,$F105,'Калькуляция (МИ)'!$G$25:$G$315,$G105))))</f>
        <v>18.156</v>
      </c>
      <c r="AW105" s="2907">
        <f>IF(AND(method_reg="Метод индексации",god&lt;&gt;first_year),_xlfn.SUMIFS(INDEX('Калькуляция (МИ корр)'!$AJ$25:$BC$315,,MATCH(AW$8,'Калькуляция (МИ корр)'!$AJ$8:$BC$8,0)),'Калькуляция (МИ корр)'!$F$25:$F$315,$F105,'Калькуляция (МИ корр)'!$G$25:$G$315,$G105),IF(method_reg="Метод экономически обоснованных расходов",_xlfn.SUMIFS('Калькуляция (МЭОР)'!$AK$25:$AK$197,'Калькуляция (МЭОР)'!$F$25:$F$197,$F105,'Калькуляция (МЭОР)'!$G$25:$G$197,$G105),IF(method_reg="Метод сравнения аналогов",_xlfn.SUMIFS('Калькуляция (МСА)'!$AF$25:$AF$65,'Калькуляция (МСА)'!$F$25:$F$65,$F105,'Калькуляция (МСА)'!$G$25:$G$65,$G105),_xlfn.SUMIFS(INDEX('Калькуляция (МИ)'!$AJ$25:$BC$315,,MATCH(AW$8,'Калькуляция (МИ)'!$AJ$8:$BC$8,0)),'Калькуляция (МИ)'!$F$25:$F$315,$F105,'Калькуляция (МИ)'!$G$25:$G$315,$G105))))</f>
        <v>26.71878</v>
      </c>
      <c r="AX105" s="1073">
        <f>IF(AV105=0,0,(AW105-AV105)/AV105*100)</f>
        <v>47.1622604097819</v>
      </c>
      <c r="AY105" s="2907">
        <f>IF(AND(method_reg="Метод индексации",god&lt;&gt;first_year),_xlfn.SUMIFS(INDEX('Калькуляция (МИ корр)'!$AJ$25:$BC$315,,MATCH(AY$8,'Калькуляция (МИ корр)'!$AJ$8:$BC$8,0)),'Калькуляция (МИ корр)'!$F$25:$F$315,$F105,'Калькуляция (МИ корр)'!$G$25:$G$315,$G105),IF(method_reg="Метод экономически обоснованных расходов",_xlfn.SUMIFS('Калькуляция (МЭОР)'!$AJ$25:$AJ$197,'Калькуляция (МЭОР)'!$F$25:$F$197,$F105,'Калькуляция (МЭОР)'!$G$25:$G$197,$G105),IF(method_reg="Метод сравнения аналогов",_xlfn.SUMIFS('Калькуляция (МСА)'!$AE$25:$AE$65,'Калькуляция (МСА)'!$F$25:$F$65,$F105,'Калькуляция (МСА)'!$G$25:$G$65,$G105),_xlfn.SUMIFS(INDEX('Калькуляция (МИ)'!$AJ$25:$BC$315,,MATCH(AY$8,'Калькуляция (МИ)'!$AJ$8:$BC$8,0)),'Калькуляция (МИ)'!$F$25:$F$315,$F105,'Калькуляция (МИ)'!$G$25:$G$315,$G105))))</f>
        <v>18.156</v>
      </c>
      <c r="AZ105" s="2907">
        <f>IF(AND(method_reg="Метод индексации",god&lt;&gt;first_year),_xlfn.SUMIFS(INDEX('Калькуляция (МИ корр)'!$AJ$25:$BC$315,,MATCH(AZ$8,'Калькуляция (МИ корр)'!$AJ$8:$BC$8,0)),'Калькуляция (МИ корр)'!$F$25:$F$315,$F105,'Калькуляция (МИ корр)'!$G$25:$G$315,$G105),IF(method_reg="Метод экономически обоснованных расходов",_xlfn.SUMIFS('Калькуляция (МЭОР)'!$AK$25:$AK$197,'Калькуляция (МЭОР)'!$F$25:$F$197,$F105,'Калькуляция (МЭОР)'!$G$25:$G$197,$G105),IF(method_reg="Метод сравнения аналогов",_xlfn.SUMIFS('Калькуляция (МСА)'!$AF$25:$AF$65,'Калькуляция (МСА)'!$F$25:$F$65,$F105,'Калькуляция (МСА)'!$G$25:$G$65,$G105),_xlfn.SUMIFS(INDEX('Калькуляция (МИ)'!$AJ$25:$BC$315,,MATCH(AZ$8,'Калькуляция (МИ)'!$AJ$8:$BC$8,0)),'Калькуляция (МИ)'!$F$25:$F$315,$F105,'Калькуляция (МИ)'!$G$25:$G$315,$G105))))</f>
        <v>26.71878</v>
      </c>
      <c r="BA105" s="1073">
        <f>IF(AY105=0,0,(AZ105-AY105)/AY105*100)</f>
        <v>47.1622604097819</v>
      </c>
      <c r="BB105" s="2907">
        <f>IF(AND(method_reg="Метод индексации",god&lt;&gt;first_year),_xlfn.SUMIFS(INDEX('Калькуляция (МИ корр)'!$AJ$25:$BC$315,,MATCH(BB$8,'Калькуляция (МИ корр)'!$AJ$8:$BC$8,0)),'Калькуляция (МИ корр)'!$F$25:$F$315,$F105,'Калькуляция (МИ корр)'!$G$25:$G$315,$G105),IF(method_reg="Метод экономически обоснованных расходов",_xlfn.SUMIFS('Калькуляция (МЭОР)'!$AJ$25:$AJ$197,'Калькуляция (МЭОР)'!$F$25:$F$197,$F105,'Калькуляция (МЭОР)'!$G$25:$G$197,$G105),IF(method_reg="Метод сравнения аналогов",_xlfn.SUMIFS('Калькуляция (МСА)'!$AE$25:$AE$65,'Калькуляция (МСА)'!$F$25:$F$65,$F105,'Калькуляция (МСА)'!$G$25:$G$65,$G105),_xlfn.SUMIFS(INDEX('Калькуляция (МИ)'!$AJ$25:$BC$315,,MATCH(BB$8,'Калькуляция (МИ)'!$AJ$8:$BC$8,0)),'Калькуляция (МИ)'!$F$25:$F$315,$F105,'Калькуляция (МИ)'!$G$25:$G$315,$G105))))</f>
        <v>18.156</v>
      </c>
      <c r="BC105" s="2907">
        <f>IF(AND(method_reg="Метод индексации",god&lt;&gt;first_year),_xlfn.SUMIFS(INDEX('Калькуляция (МИ корр)'!$AJ$25:$BC$315,,MATCH(BC$8,'Калькуляция (МИ корр)'!$AJ$8:$BC$8,0)),'Калькуляция (МИ корр)'!$F$25:$F$315,$F105,'Калькуляция (МИ корр)'!$G$25:$G$315,$G105),IF(method_reg="Метод экономически обоснованных расходов",_xlfn.SUMIFS('Калькуляция (МЭОР)'!$AK$25:$AK$197,'Калькуляция (МЭОР)'!$F$25:$F$197,$F105,'Калькуляция (МЭОР)'!$G$25:$G$197,$G105),IF(method_reg="Метод сравнения аналогов",_xlfn.SUMIFS('Калькуляция (МСА)'!$AF$25:$AF$65,'Калькуляция (МСА)'!$F$25:$F$65,$F105,'Калькуляция (МСА)'!$G$25:$G$65,$G105),_xlfn.SUMIFS(INDEX('Калькуляция (МИ)'!$AJ$25:$BC$315,,MATCH(BC$8,'Калькуляция (МИ)'!$AJ$8:$BC$8,0)),'Калькуляция (МИ)'!$F$25:$F$315,$F105,'Калькуляция (МИ)'!$G$25:$G$315,$G105))))</f>
        <v>26.71878</v>
      </c>
      <c r="BD105" s="1073">
        <f>IF(BB105=0,0,(BC105-BB105)/BB105*100)</f>
        <v>47.1622604097819</v>
      </c>
      <c r="BE105" s="2907">
        <f>IF(AND(method_reg="Метод индексации",god&lt;&gt;first_year),_xlfn.SUMIFS(INDEX('Калькуляция (МИ корр)'!$AJ$25:$BC$315,,MATCH(BE$8,'Калькуляция (МИ корр)'!$AJ$8:$BC$8,0)),'Калькуляция (МИ корр)'!$F$25:$F$315,$F105,'Калькуляция (МИ корр)'!$G$25:$G$315,$G105),IF(method_reg="Метод экономически обоснованных расходов",_xlfn.SUMIFS('Калькуляция (МЭОР)'!$AJ$25:$AJ$197,'Калькуляция (МЭОР)'!$F$25:$F$197,$F105,'Калькуляция (МЭОР)'!$G$25:$G$197,$G105),IF(method_reg="Метод сравнения аналогов",_xlfn.SUMIFS('Калькуляция (МСА)'!$AE$25:$AE$65,'Калькуляция (МСА)'!$F$25:$F$65,$F105,'Калькуляция (МСА)'!$G$25:$G$65,$G105),_xlfn.SUMIFS(INDEX('Калькуляция (МИ)'!$AJ$25:$BC$315,,MATCH(BE$8,'Калькуляция (МИ)'!$AJ$8:$BC$8,0)),'Калькуляция (МИ)'!$F$25:$F$315,$F105,'Калькуляция (МИ)'!$G$25:$G$315,$G105))))</f>
        <v>18.156</v>
      </c>
      <c r="BF105" s="2907">
        <f>IF(AND(method_reg="Метод индексации",god&lt;&gt;first_year),_xlfn.SUMIFS(INDEX('Калькуляция (МИ корр)'!$AJ$25:$BC$315,,MATCH(BF$8,'Калькуляция (МИ корр)'!$AJ$8:$BC$8,0)),'Калькуляция (МИ корр)'!$F$25:$F$315,$F105,'Калькуляция (МИ корр)'!$G$25:$G$315,$G105),IF(method_reg="Метод экономически обоснованных расходов",_xlfn.SUMIFS('Калькуляция (МЭОР)'!$AK$25:$AK$197,'Калькуляция (МЭОР)'!$F$25:$F$197,$F105,'Калькуляция (МЭОР)'!$G$25:$G$197,$G105),IF(method_reg="Метод сравнения аналогов",_xlfn.SUMIFS('Калькуляция (МСА)'!$AF$25:$AF$65,'Калькуляция (МСА)'!$F$25:$F$65,$F105,'Калькуляция (МСА)'!$G$25:$G$65,$G105),_xlfn.SUMIFS(INDEX('Калькуляция (МИ)'!$AJ$25:$BC$315,,MATCH(BF$8,'Калькуляция (МИ)'!$AJ$8:$BC$8,0)),'Калькуляция (МИ)'!$F$25:$F$315,$F105,'Калькуляция (МИ)'!$G$25:$G$315,$G105))))</f>
        <v>26.71878</v>
      </c>
      <c r="BG105" s="1073">
        <f>IF(BE105=0,0,(BF105-BE105)/BE105*100)</f>
        <v>47.1622604097819</v>
      </c>
      <c r="BH105" s="2907"/>
      <c r="BI105" s="2907"/>
      <c r="BJ105" s="1073">
        <f>IF(BH105=0,0,(BI105-BH105)/BH105*100)</f>
        <v>0</v>
      </c>
      <c r="BK105" s="2907"/>
      <c r="BL105" s="2907"/>
      <c r="BM105" s="1073">
        <f>IF(BK105=0,0,(BL105-BK105)/BK105*100)</f>
        <v>0</v>
      </c>
      <c r="BN105" s="2907"/>
      <c r="BO105" s="2907"/>
      <c r="BP105" s="1073">
        <f>IF(BN105=0,0,(BO105-BN105)/BN105*100)</f>
        <v>0</v>
      </c>
      <c r="BQ105" s="2907"/>
      <c r="BR105" s="2907"/>
      <c r="BS105" s="1073">
        <f>IF(BQ105=0,0,(BR105-BQ105)/BQ105*100)</f>
        <v>0</v>
      </c>
      <c r="BT105" s="2907"/>
      <c r="BU105" s="2907"/>
      <c r="BV105" s="1073">
        <f>IF(BT105=0,0,(BU105-BT105)/BT105*100)</f>
        <v>0</v>
      </c>
      <c r="BW105" s="2907"/>
      <c r="BX105" s="2907"/>
      <c r="BY105" s="1073">
        <f>IF(BW105=0,0,(BX105-BW105)/BW105*100)</f>
        <v>0</v>
      </c>
      <c r="BZ105" s="2907"/>
      <c r="CA105" s="2907"/>
      <c r="CB105" s="1073">
        <f>IF(BZ105=0,0,(CA105-BZ105)/BZ105*100)</f>
        <v>0</v>
      </c>
      <c r="CC105" s="2907"/>
      <c r="CD105" s="2907"/>
      <c r="CE105" s="1073">
        <f>IF(CC105=0,0,(CD105-CC105)/CC105*100)</f>
        <v>0</v>
      </c>
      <c r="CF105" s="2907"/>
      <c r="CG105" s="2907"/>
      <c r="CH105" s="1073">
        <f>IF(CF105=0,0,(CG105-CF105)/CF105*100)</f>
        <v>0</v>
      </c>
      <c r="CI105" s="2907"/>
      <c r="CJ105" s="2907"/>
      <c r="CK105" s="1073">
        <f>IF(CI105=0,0,(CJ105-CI105)/CI105*100)</f>
        <v>0</v>
      </c>
      <c r="CL105" s="2907"/>
      <c r="CM105" s="2907"/>
      <c r="CN105" s="1073">
        <f>IF(CL105=0,0,(CM105-CL105)/CL105*100)</f>
        <v>0</v>
      </c>
      <c r="CO105" s="2907"/>
      <c r="CP105" s="2907"/>
      <c r="CQ105" s="1073">
        <f>IF(CO105=0,0,(CP105-CO105)/CO105*100)</f>
        <v>0</v>
      </c>
      <c r="CR105" s="2907"/>
      <c r="CS105" s="2907"/>
      <c r="CT105" s="1073">
        <f>IF(CR105=0,0,(CS105-CR105)/CR105*100)</f>
        <v>0</v>
      </c>
      <c r="CU105" s="2907"/>
      <c r="CV105" s="2907"/>
      <c r="CW105" s="1073">
        <f>IF(CU105=0,0,(CV105-CU105)/CU105*100)</f>
        <v>0</v>
      </c>
      <c r="CX105" s="2907"/>
      <c r="CY105" s="2907"/>
      <c r="CZ105" s="1073">
        <f>IF(CX105=0,0,(CY105-CX105)/CX105*100)</f>
        <v>0</v>
      </c>
      <c r="DA105" s="2907"/>
      <c r="DB105" s="2907"/>
      <c r="DC105" s="1073">
        <f>IF(DA105=0,0,(DB105-DA105)/DA105*100)</f>
        <v>0</v>
      </c>
      <c r="DD105" s="2907"/>
      <c r="DE105" s="2907"/>
      <c r="DF105" s="1073">
        <f>IF(DD105=0,0,(DE105-DD105)/DD105*100)</f>
        <v>0</v>
      </c>
      <c r="DG105" s="2907"/>
      <c r="DH105" s="2907"/>
      <c r="DI105" s="1073">
        <f>IF(DG105=0,0,(DH105-DG105)/DG105*100)</f>
        <v>0</v>
      </c>
      <c r="DJ105" s="2907"/>
      <c r="DK105" s="2907"/>
      <c r="DL105" s="1073">
        <f>IF(DJ105=0,0,(DK105-DJ105)/DJ105*100)</f>
        <v>0</v>
      </c>
      <c r="DM105" s="2907"/>
      <c r="DN105" s="2907"/>
      <c r="DO105" s="1073">
        <f>IF(DM105=0,0,(DN105-DM105)/DM105*100)</f>
        <v>0</v>
      </c>
      <c r="DP105" s="2907"/>
      <c r="DQ105" s="2907"/>
      <c r="DR105" s="1073">
        <f>IF(DP105=0,0,(DQ105-DP105)/DP105*100)</f>
        <v>0</v>
      </c>
      <c r="DS105" s="2907"/>
      <c r="DT105" s="2907"/>
      <c r="DU105" s="1073">
        <f>IF(DS105=0,0,(DT105-DS105)/DS105*100)</f>
        <v>0</v>
      </c>
      <c r="DV105" s="2907"/>
      <c r="DW105" s="2907"/>
      <c r="DX105" s="1073">
        <f>IF(DV105=0,0,(DW105-DV105)/DV105*100)</f>
        <v>0</v>
      </c>
      <c r="DY105" s="2907"/>
      <c r="DZ105" s="2907"/>
      <c r="EA105" s="1073">
        <f>IF(DY105=0,0,(DZ105-DY105)/DY105*100)</f>
        <v>0</v>
      </c>
      <c r="EB105" s="2907"/>
      <c r="EC105" s="2907"/>
      <c r="ED105" s="1073">
        <f>IF(EB105=0,0,(EC105-EB105)/EB105*100)</f>
        <v>0</v>
      </c>
      <c r="EE105" s="2907"/>
      <c r="EF105" s="2907"/>
      <c r="EG105" s="1073">
        <f>IF(EE105=0,0,(EF105-EE105)/EE105*100)</f>
        <v>0</v>
      </c>
      <c r="EH105" s="2907"/>
      <c r="EI105" s="2907"/>
      <c r="EJ105" s="1073">
        <f>IF(EH105=0,0,(EI105-EH105)/EH105*100)</f>
        <v>0</v>
      </c>
      <c r="EK105" s="2907"/>
      <c r="EL105" s="2907"/>
      <c r="EM105" s="1073">
        <f>IF(EK105=0,0,(EL105-EK105)/EK105*100)</f>
        <v>0</v>
      </c>
      <c r="EN105" s="2907"/>
      <c r="EO105" s="2907"/>
      <c r="EP105" s="1073">
        <f>IF(EN105=0,0,(EO105-EN105)/EN105*100)</f>
        <v>0</v>
      </c>
      <c r="EQ105" s="2907"/>
      <c r="ER105" s="2907"/>
      <c r="ES105" s="1073">
        <f>IF(EQ105=0,0,(ER105-EQ105)/EQ105*100)</f>
        <v>0</v>
      </c>
      <c r="ET105" s="2907"/>
      <c r="EU105" s="2907"/>
      <c r="EV105" s="1073">
        <f>IF(ET105=0,0,(EU105-ET105)/ET105*100)</f>
        <v>0</v>
      </c>
      <c r="EW105" s="2907"/>
      <c r="EX105" s="2907"/>
      <c r="EY105" s="1073">
        <f>IF(EW105=0,0,(EX105-EW105)/EW105*100)</f>
        <v>0</v>
      </c>
      <c r="EZ105" s="2907"/>
      <c r="FA105" s="2907"/>
      <c r="FB105" s="1073">
        <f>IF(EZ105=0,0,(FA105-EZ105)/EZ105*100)</f>
        <v>0</v>
      </c>
      <c r="FC105" s="2907"/>
      <c r="FD105" s="2907"/>
      <c r="FE105" s="1073">
        <f>IF(FC105=0,0,(FD105-FC105)/FC105*100)</f>
        <v>0</v>
      </c>
      <c r="FF105" s="2907"/>
      <c r="FG105" s="2907"/>
      <c r="FH105" s="1073">
        <f>IF(FF105=0,0,(FG105-FF105)/FF105*100)</f>
        <v>0</v>
      </c>
      <c r="FI105" s="2907"/>
      <c r="FJ105" s="2907"/>
      <c r="FK105" s="1073">
        <f>IF(FI105=0,0,(FJ105-FI105)/FI105*100)</f>
        <v>0</v>
      </c>
      <c r="FL105" s="2907"/>
      <c r="FM105" s="2907"/>
      <c r="FN105" s="1073">
        <f>IF(FL105=0,0,(FM105-FL105)/FL105*100)</f>
        <v>0</v>
      </c>
      <c r="FO105" s="2907"/>
      <c r="FP105" s="2907"/>
      <c r="FQ105" s="1073">
        <f>IF(FO105=0,0,(FP105-FO105)/FO105*100)</f>
        <v>0</v>
      </c>
      <c r="FR105" s="2907"/>
      <c r="FS105" s="2907"/>
      <c r="FT105" s="1073">
        <f>IF(FR105=0,0,(FS105-FR105)/FR105*100)</f>
        <v>0</v>
      </c>
      <c r="FU105" s="2907"/>
      <c r="FV105" s="2907"/>
      <c r="FW105" s="1073">
        <f>IF(FU105=0,0,(FV105-FU105)/FU105*100)</f>
        <v>0</v>
      </c>
      <c r="FX105" s="1282"/>
      <c r="FY105" s="1282"/>
      <c r="FZ105" s="1032" t="s">
        <v>1514</v>
      </c>
      <c r="GA105" s="1284"/>
      <c r="GB105" s="1284"/>
      <c r="GC105" s="1283"/>
      <c r="GD105" s="1283"/>
    </row>
    <row s="1624" customFormat="1" customHeight="1" ht="24" hidden="1">
      <c r="A106" s="466"/>
      <c r="B106" s="901" cm="1" t="str">
        <f t="array" ref="B106:B106">B105</f>
        <v>false</v>
      </c>
      <c r="C106" s="466"/>
      <c r="D106" s="466"/>
      <c r="E106" s="816">
        <v>24.75</v>
      </c>
      <c r="F106" s="50" cm="1" t="str">
        <f t="array" ref="F106:F106">OFFSET(E106,-1,1)</f>
        <v>1</v>
      </c>
      <c r="G106" s="466"/>
      <c r="H106" s="466" t="s">
        <v>1515</v>
      </c>
      <c r="I106" s="466" t="s">
        <v>1474</v>
      </c>
      <c r="J106" s="466"/>
      <c r="K106" s="466"/>
      <c r="L106" s="466"/>
      <c r="M106" s="466"/>
      <c r="N106" s="466"/>
      <c r="O106" s="466"/>
      <c r="P106" s="466"/>
      <c r="Q106" s="466"/>
      <c r="R106" s="466"/>
      <c r="S106" s="466"/>
      <c r="T106" s="438" cm="1" t="str">
        <f t="array" ref="T106:T106">T105</f>
        <v>true</v>
      </c>
      <c r="U106" s="466"/>
      <c r="V106" s="466"/>
      <c r="W106" s="466"/>
      <c r="X106" s="1541"/>
      <c r="Y106" s="466"/>
      <c r="Z106" s="1493"/>
      <c r="AA106" s="466"/>
      <c r="AB106" s="880" t="str">
        <f>"ставка платы за содержание системы "&amp;IF(Q85="Водоснабжение","холодного водоснабжения","водоотведения")</f>
        <v>ставка платы за содержание системы водоотведения</v>
      </c>
      <c r="AC106" s="840" t="s">
        <v>1516</v>
      </c>
      <c r="AD106" s="2912"/>
      <c r="AE106" s="2912"/>
      <c r="AF106" s="1071">
        <f>IF(AD106=0,0,(AE106-AD106)/AD106*100)</f>
        <v>0</v>
      </c>
      <c r="AG106" s="2912"/>
      <c r="AH106" s="2912"/>
      <c r="AI106" s="1071">
        <f>IF(AG106=0,0,(AH106-AG106)/AG106*100)</f>
        <v>0</v>
      </c>
      <c r="AJ106" s="2912"/>
      <c r="AK106" s="2912"/>
      <c r="AL106" s="1071">
        <f>IF(AJ106=0,0,(AK106-AJ106)/AJ106*100)</f>
        <v>0</v>
      </c>
      <c r="AM106" s="2912"/>
      <c r="AN106" s="2912"/>
      <c r="AO106" s="1071">
        <f>IF(AM106=0,0,(AN106-AM106)/AM106*100)</f>
        <v>0</v>
      </c>
      <c r="AP106" s="2912"/>
      <c r="AQ106" s="2912"/>
      <c r="AR106" s="1071">
        <f>IF(AP106=0,0,(AQ106-AP106)/AP106*100)</f>
        <v>0</v>
      </c>
      <c r="AS106" s="2912"/>
      <c r="AT106" s="2912"/>
      <c r="AU106" s="1071">
        <f>IF(AS106=0,0,(AT106-AS106)/AS106*100)</f>
        <v>0</v>
      </c>
      <c r="AV106" s="2912"/>
      <c r="AW106" s="2912"/>
      <c r="AX106" s="1071">
        <f>IF(AV106=0,0,(AW106-AV106)/AV106*100)</f>
        <v>0</v>
      </c>
      <c r="AY106" s="2912"/>
      <c r="AZ106" s="2912"/>
      <c r="BA106" s="1071">
        <f>IF(AY106=0,0,(AZ106-AY106)/AY106*100)</f>
        <v>0</v>
      </c>
      <c r="BB106" s="2912"/>
      <c r="BC106" s="2912"/>
      <c r="BD106" s="1071">
        <f>IF(BB106=0,0,(BC106-BB106)/BB106*100)</f>
        <v>0</v>
      </c>
      <c r="BE106" s="2912"/>
      <c r="BF106" s="2912"/>
      <c r="BG106" s="1071">
        <f>IF(BE106=0,0,(BF106-BE106)/BE106*100)</f>
        <v>0</v>
      </c>
      <c r="BH106" s="2912"/>
      <c r="BI106" s="2912"/>
      <c r="BJ106" s="1071">
        <f>IF(BH106=0,0,(BI106-BH106)/BH106*100)</f>
        <v>0</v>
      </c>
      <c r="BK106" s="2912"/>
      <c r="BL106" s="2912"/>
      <c r="BM106" s="1071">
        <f>IF(BK106=0,0,(BL106-BK106)/BK106*100)</f>
        <v>0</v>
      </c>
      <c r="BN106" s="2912"/>
      <c r="BO106" s="2912"/>
      <c r="BP106" s="1071">
        <f>IF(BN106=0,0,(BO106-BN106)/BN106*100)</f>
        <v>0</v>
      </c>
      <c r="BQ106" s="2912"/>
      <c r="BR106" s="2912"/>
      <c r="BS106" s="1071">
        <f>IF(BQ106=0,0,(BR106-BQ106)/BQ106*100)</f>
        <v>0</v>
      </c>
      <c r="BT106" s="2912"/>
      <c r="BU106" s="2912"/>
      <c r="BV106" s="1071">
        <f>IF(BT106=0,0,(BU106-BT106)/BT106*100)</f>
        <v>0</v>
      </c>
      <c r="BW106" s="2912"/>
      <c r="BX106" s="2912"/>
      <c r="BY106" s="1071">
        <f>IF(BW106=0,0,(BX106-BW106)/BW106*100)</f>
        <v>0</v>
      </c>
      <c r="BZ106" s="2912"/>
      <c r="CA106" s="2912"/>
      <c r="CB106" s="1071">
        <f>IF(BZ106=0,0,(CA106-BZ106)/BZ106*100)</f>
        <v>0</v>
      </c>
      <c r="CC106" s="2912"/>
      <c r="CD106" s="2912"/>
      <c r="CE106" s="1071">
        <f>IF(CC106=0,0,(CD106-CC106)/CC106*100)</f>
        <v>0</v>
      </c>
      <c r="CF106" s="2912"/>
      <c r="CG106" s="2912"/>
      <c r="CH106" s="1071">
        <f>IF(CF106=0,0,(CG106-CF106)/CF106*100)</f>
        <v>0</v>
      </c>
      <c r="CI106" s="2912"/>
      <c r="CJ106" s="2912"/>
      <c r="CK106" s="1071">
        <f>IF(CI106=0,0,(CJ106-CI106)/CI106*100)</f>
        <v>0</v>
      </c>
      <c r="CL106" s="2912"/>
      <c r="CM106" s="2912"/>
      <c r="CN106" s="1071">
        <f>IF(CL106=0,0,(CM106-CL106)/CL106*100)</f>
        <v>0</v>
      </c>
      <c r="CO106" s="2912"/>
      <c r="CP106" s="2912"/>
      <c r="CQ106" s="1071">
        <f>IF(CO106=0,0,(CP106-CO106)/CO106*100)</f>
        <v>0</v>
      </c>
      <c r="CR106" s="2912"/>
      <c r="CS106" s="2912"/>
      <c r="CT106" s="1071">
        <f>IF(CR106=0,0,(CS106-CR106)/CR106*100)</f>
        <v>0</v>
      </c>
      <c r="CU106" s="2912"/>
      <c r="CV106" s="2912"/>
      <c r="CW106" s="1071">
        <f>IF(CU106=0,0,(CV106-CU106)/CU106*100)</f>
        <v>0</v>
      </c>
      <c r="CX106" s="2912"/>
      <c r="CY106" s="2912"/>
      <c r="CZ106" s="1071">
        <f>IF(CX106=0,0,(CY106-CX106)/CX106*100)</f>
        <v>0</v>
      </c>
      <c r="DA106" s="2912"/>
      <c r="DB106" s="2912"/>
      <c r="DC106" s="1071">
        <f>IF(DA106=0,0,(DB106-DA106)/DA106*100)</f>
        <v>0</v>
      </c>
      <c r="DD106" s="2912"/>
      <c r="DE106" s="2912"/>
      <c r="DF106" s="1071">
        <f>IF(DD106=0,0,(DE106-DD106)/DD106*100)</f>
        <v>0</v>
      </c>
      <c r="DG106" s="2912"/>
      <c r="DH106" s="2912"/>
      <c r="DI106" s="1071">
        <f>IF(DG106=0,0,(DH106-DG106)/DG106*100)</f>
        <v>0</v>
      </c>
      <c r="DJ106" s="2912"/>
      <c r="DK106" s="2912"/>
      <c r="DL106" s="1071">
        <f>IF(DJ106=0,0,(DK106-DJ106)/DJ106*100)</f>
        <v>0</v>
      </c>
      <c r="DM106" s="2912"/>
      <c r="DN106" s="2912"/>
      <c r="DO106" s="1071">
        <f>IF(DM106=0,0,(DN106-DM106)/DM106*100)</f>
        <v>0</v>
      </c>
      <c r="DP106" s="2912"/>
      <c r="DQ106" s="2912"/>
      <c r="DR106" s="1071">
        <f>IF(DP106=0,0,(DQ106-DP106)/DP106*100)</f>
        <v>0</v>
      </c>
      <c r="DS106" s="2912"/>
      <c r="DT106" s="2912"/>
      <c r="DU106" s="1071">
        <f>IF(DS106=0,0,(DT106-DS106)/DS106*100)</f>
        <v>0</v>
      </c>
      <c r="DV106" s="2912"/>
      <c r="DW106" s="2912"/>
      <c r="DX106" s="1071">
        <f>IF(DV106=0,0,(DW106-DV106)/DV106*100)</f>
        <v>0</v>
      </c>
      <c r="DY106" s="2912"/>
      <c r="DZ106" s="2912"/>
      <c r="EA106" s="1071">
        <f>IF(DY106=0,0,(DZ106-DY106)/DY106*100)</f>
        <v>0</v>
      </c>
      <c r="EB106" s="2912"/>
      <c r="EC106" s="2912"/>
      <c r="ED106" s="1071">
        <f>IF(EB106=0,0,(EC106-EB106)/EB106*100)</f>
        <v>0</v>
      </c>
      <c r="EE106" s="2912"/>
      <c r="EF106" s="2912"/>
      <c r="EG106" s="1071">
        <f>IF(EE106=0,0,(EF106-EE106)/EE106*100)</f>
        <v>0</v>
      </c>
      <c r="EH106" s="2912"/>
      <c r="EI106" s="2912"/>
      <c r="EJ106" s="1071">
        <f>IF(EH106=0,0,(EI106-EH106)/EH106*100)</f>
        <v>0</v>
      </c>
      <c r="EK106" s="2912"/>
      <c r="EL106" s="2912"/>
      <c r="EM106" s="1071">
        <f>IF(EK106=0,0,(EL106-EK106)/EK106*100)</f>
        <v>0</v>
      </c>
      <c r="EN106" s="2912"/>
      <c r="EO106" s="2912"/>
      <c r="EP106" s="1071">
        <f>IF(EN106=0,0,(EO106-EN106)/EN106*100)</f>
        <v>0</v>
      </c>
      <c r="EQ106" s="2912"/>
      <c r="ER106" s="2912"/>
      <c r="ES106" s="1071">
        <f>IF(EQ106=0,0,(ER106-EQ106)/EQ106*100)</f>
        <v>0</v>
      </c>
      <c r="ET106" s="2912"/>
      <c r="EU106" s="2912"/>
      <c r="EV106" s="1071">
        <f>IF(ET106=0,0,(EU106-ET106)/ET106*100)</f>
        <v>0</v>
      </c>
      <c r="EW106" s="2912"/>
      <c r="EX106" s="2912"/>
      <c r="EY106" s="1071">
        <f>IF(EW106=0,0,(EX106-EW106)/EW106*100)</f>
        <v>0</v>
      </c>
      <c r="EZ106" s="2912"/>
      <c r="FA106" s="2912"/>
      <c r="FB106" s="1071">
        <f>IF(EZ106=0,0,(FA106-EZ106)/EZ106*100)</f>
        <v>0</v>
      </c>
      <c r="FC106" s="2912"/>
      <c r="FD106" s="2912"/>
      <c r="FE106" s="1071">
        <f>IF(FC106=0,0,(FD106-FC106)/FC106*100)</f>
        <v>0</v>
      </c>
      <c r="FF106" s="2912"/>
      <c r="FG106" s="2912"/>
      <c r="FH106" s="1071">
        <f>IF(FF106=0,0,(FG106-FF106)/FF106*100)</f>
        <v>0</v>
      </c>
      <c r="FI106" s="2912"/>
      <c r="FJ106" s="2912"/>
      <c r="FK106" s="1071">
        <f>IF(FI106=0,0,(FJ106-FI106)/FI106*100)</f>
        <v>0</v>
      </c>
      <c r="FL106" s="2912"/>
      <c r="FM106" s="2912"/>
      <c r="FN106" s="1071">
        <f>IF(FL106=0,0,(FM106-FL106)/FL106*100)</f>
        <v>0</v>
      </c>
      <c r="FO106" s="2912"/>
      <c r="FP106" s="2912"/>
      <c r="FQ106" s="1071">
        <f>IF(FO106=0,0,(FP106-FO106)/FO106*100)</f>
        <v>0</v>
      </c>
      <c r="FR106" s="2912"/>
      <c r="FS106" s="2912"/>
      <c r="FT106" s="1071">
        <f>IF(FR106=0,0,(FS106-FR106)/FR106*100)</f>
        <v>0</v>
      </c>
      <c r="FU106" s="2912"/>
      <c r="FV106" s="2912"/>
      <c r="FW106" s="1071">
        <f>IF(FU106=0,0,(FV106-FU106)/FU106*100)</f>
        <v>0</v>
      </c>
      <c r="FX106" s="1282"/>
      <c r="FY106" s="1282"/>
      <c r="FZ106" s="1032" t="s">
        <v>1517</v>
      </c>
      <c r="GA106" s="1284"/>
      <c r="GB106" s="1284"/>
      <c r="GC106" s="1283"/>
      <c r="GD106" s="1283"/>
    </row>
    <row s="1624" customFormat="1" customHeight="1" ht="14.25" hidden="1">
      <c r="A107" s="466"/>
      <c r="B107" s="901" cm="1" t="str">
        <f t="array" ref="B107:B107">B106</f>
        <v>false</v>
      </c>
      <c r="C107" s="466"/>
      <c r="D107" s="466"/>
      <c r="E107" s="816">
        <v>15</v>
      </c>
      <c r="F107" s="50" cm="1" t="str">
        <f t="array" ref="F107:F107">OFFSET(E107,-1,1)</f>
        <v>1</v>
      </c>
      <c r="G107" s="466"/>
      <c r="H107" s="466" t="s">
        <v>1518</v>
      </c>
      <c r="I107" s="466" t="s">
        <v>1474</v>
      </c>
      <c r="J107" s="466"/>
      <c r="K107" s="466"/>
      <c r="L107" s="466"/>
      <c r="M107" s="466"/>
      <c r="N107" s="466"/>
      <c r="O107" s="466"/>
      <c r="P107" s="466"/>
      <c r="Q107" s="466"/>
      <c r="R107" s="466"/>
      <c r="S107" s="466"/>
      <c r="T107" s="438" cm="1" t="str">
        <f t="array" ref="T107:T107">T106</f>
        <v>true</v>
      </c>
      <c r="U107" s="466"/>
      <c r="V107" s="466"/>
      <c r="W107" s="466"/>
      <c r="X107" s="1541"/>
      <c r="Y107" s="466"/>
      <c r="Z107" s="1493"/>
      <c r="AA107" s="466"/>
      <c r="AB107" s="880" t="s">
        <v>1519</v>
      </c>
      <c r="AC107" s="840" t="s">
        <v>1520</v>
      </c>
      <c r="AD107" s="2912"/>
      <c r="AE107" s="2912"/>
      <c r="AF107" s="1071">
        <f>IF(AD107=0,0,(AE107-AD107)/AD107*100)</f>
        <v>0</v>
      </c>
      <c r="AG107" s="2912"/>
      <c r="AH107" s="2912"/>
      <c r="AI107" s="1071">
        <f>IF(AG107=0,0,(AH107-AG107)/AG107*100)</f>
        <v>0</v>
      </c>
      <c r="AJ107" s="2912"/>
      <c r="AK107" s="2912"/>
      <c r="AL107" s="1071">
        <f>IF(AJ107=0,0,(AK107-AJ107)/AJ107*100)</f>
        <v>0</v>
      </c>
      <c r="AM107" s="2912"/>
      <c r="AN107" s="2912"/>
      <c r="AO107" s="1071">
        <f>IF(AM107=0,0,(AN107-AM107)/AM107*100)</f>
        <v>0</v>
      </c>
      <c r="AP107" s="2912"/>
      <c r="AQ107" s="2912"/>
      <c r="AR107" s="1071">
        <f>IF(AP107=0,0,(AQ107-AP107)/AP107*100)</f>
        <v>0</v>
      </c>
      <c r="AS107" s="2912"/>
      <c r="AT107" s="2912"/>
      <c r="AU107" s="1071">
        <f>IF(AS107=0,0,(AT107-AS107)/AS107*100)</f>
        <v>0</v>
      </c>
      <c r="AV107" s="2912"/>
      <c r="AW107" s="2912"/>
      <c r="AX107" s="1071">
        <f>IF(AV107=0,0,(AW107-AV107)/AV107*100)</f>
        <v>0</v>
      </c>
      <c r="AY107" s="2912"/>
      <c r="AZ107" s="2912"/>
      <c r="BA107" s="1071">
        <f>IF(AY107=0,0,(AZ107-AY107)/AY107*100)</f>
        <v>0</v>
      </c>
      <c r="BB107" s="2912"/>
      <c r="BC107" s="2912"/>
      <c r="BD107" s="1071">
        <f>IF(BB107=0,0,(BC107-BB107)/BB107*100)</f>
        <v>0</v>
      </c>
      <c r="BE107" s="2912"/>
      <c r="BF107" s="2912"/>
      <c r="BG107" s="1071">
        <f>IF(BE107=0,0,(BF107-BE107)/BE107*100)</f>
        <v>0</v>
      </c>
      <c r="BH107" s="2912"/>
      <c r="BI107" s="2912"/>
      <c r="BJ107" s="1071">
        <f>IF(BH107=0,0,(BI107-BH107)/BH107*100)</f>
        <v>0</v>
      </c>
      <c r="BK107" s="2912"/>
      <c r="BL107" s="2912"/>
      <c r="BM107" s="1071">
        <f>IF(BK107=0,0,(BL107-BK107)/BK107*100)</f>
        <v>0</v>
      </c>
      <c r="BN107" s="2912"/>
      <c r="BO107" s="2912"/>
      <c r="BP107" s="1071">
        <f>IF(BN107=0,0,(BO107-BN107)/BN107*100)</f>
        <v>0</v>
      </c>
      <c r="BQ107" s="2912"/>
      <c r="BR107" s="2912"/>
      <c r="BS107" s="1071">
        <f>IF(BQ107=0,0,(BR107-BQ107)/BQ107*100)</f>
        <v>0</v>
      </c>
      <c r="BT107" s="2912"/>
      <c r="BU107" s="2912"/>
      <c r="BV107" s="1071">
        <f>IF(BT107=0,0,(BU107-BT107)/BT107*100)</f>
        <v>0</v>
      </c>
      <c r="BW107" s="2912"/>
      <c r="BX107" s="2912"/>
      <c r="BY107" s="1071">
        <f>IF(BW107=0,0,(BX107-BW107)/BW107*100)</f>
        <v>0</v>
      </c>
      <c r="BZ107" s="2912"/>
      <c r="CA107" s="2912"/>
      <c r="CB107" s="1071">
        <f>IF(BZ107=0,0,(CA107-BZ107)/BZ107*100)</f>
        <v>0</v>
      </c>
      <c r="CC107" s="2912"/>
      <c r="CD107" s="2912"/>
      <c r="CE107" s="1071">
        <f>IF(CC107=0,0,(CD107-CC107)/CC107*100)</f>
        <v>0</v>
      </c>
      <c r="CF107" s="2912"/>
      <c r="CG107" s="2912"/>
      <c r="CH107" s="1071">
        <f>IF(CF107=0,0,(CG107-CF107)/CF107*100)</f>
        <v>0</v>
      </c>
      <c r="CI107" s="2912"/>
      <c r="CJ107" s="2912"/>
      <c r="CK107" s="1071">
        <f>IF(CI107=0,0,(CJ107-CI107)/CI107*100)</f>
        <v>0</v>
      </c>
      <c r="CL107" s="2912"/>
      <c r="CM107" s="2912"/>
      <c r="CN107" s="1071">
        <f>IF(CL107=0,0,(CM107-CL107)/CL107*100)</f>
        <v>0</v>
      </c>
      <c r="CO107" s="2912"/>
      <c r="CP107" s="2912"/>
      <c r="CQ107" s="1071">
        <f>IF(CO107=0,0,(CP107-CO107)/CO107*100)</f>
        <v>0</v>
      </c>
      <c r="CR107" s="2912"/>
      <c r="CS107" s="2912"/>
      <c r="CT107" s="1071">
        <f>IF(CR107=0,0,(CS107-CR107)/CR107*100)</f>
        <v>0</v>
      </c>
      <c r="CU107" s="2912"/>
      <c r="CV107" s="2912"/>
      <c r="CW107" s="1071">
        <f>IF(CU107=0,0,(CV107-CU107)/CU107*100)</f>
        <v>0</v>
      </c>
      <c r="CX107" s="2912"/>
      <c r="CY107" s="2912"/>
      <c r="CZ107" s="1071">
        <f>IF(CX107=0,0,(CY107-CX107)/CX107*100)</f>
        <v>0</v>
      </c>
      <c r="DA107" s="2912"/>
      <c r="DB107" s="2912"/>
      <c r="DC107" s="1071">
        <f>IF(DA107=0,0,(DB107-DA107)/DA107*100)</f>
        <v>0</v>
      </c>
      <c r="DD107" s="2912"/>
      <c r="DE107" s="2912"/>
      <c r="DF107" s="1071">
        <f>IF(DD107=0,0,(DE107-DD107)/DD107*100)</f>
        <v>0</v>
      </c>
      <c r="DG107" s="2912"/>
      <c r="DH107" s="2912"/>
      <c r="DI107" s="1071">
        <f>IF(DG107=0,0,(DH107-DG107)/DG107*100)</f>
        <v>0</v>
      </c>
      <c r="DJ107" s="2912"/>
      <c r="DK107" s="2912"/>
      <c r="DL107" s="1071">
        <f>IF(DJ107=0,0,(DK107-DJ107)/DJ107*100)</f>
        <v>0</v>
      </c>
      <c r="DM107" s="2912"/>
      <c r="DN107" s="2912"/>
      <c r="DO107" s="1071">
        <f>IF(DM107=0,0,(DN107-DM107)/DM107*100)</f>
        <v>0</v>
      </c>
      <c r="DP107" s="2912"/>
      <c r="DQ107" s="2912"/>
      <c r="DR107" s="1071">
        <f>IF(DP107=0,0,(DQ107-DP107)/DP107*100)</f>
        <v>0</v>
      </c>
      <c r="DS107" s="2912"/>
      <c r="DT107" s="2912"/>
      <c r="DU107" s="1071">
        <f>IF(DS107=0,0,(DT107-DS107)/DS107*100)</f>
        <v>0</v>
      </c>
      <c r="DV107" s="2912"/>
      <c r="DW107" s="2912"/>
      <c r="DX107" s="1071">
        <f>IF(DV107=0,0,(DW107-DV107)/DV107*100)</f>
        <v>0</v>
      </c>
      <c r="DY107" s="2912"/>
      <c r="DZ107" s="2912"/>
      <c r="EA107" s="1071">
        <f>IF(DY107=0,0,(DZ107-DY107)/DY107*100)</f>
        <v>0</v>
      </c>
      <c r="EB107" s="2912"/>
      <c r="EC107" s="2912"/>
      <c r="ED107" s="1071">
        <f>IF(EB107=0,0,(EC107-EB107)/EB107*100)</f>
        <v>0</v>
      </c>
      <c r="EE107" s="2912"/>
      <c r="EF107" s="2912"/>
      <c r="EG107" s="1071">
        <f>IF(EE107=0,0,(EF107-EE107)/EE107*100)</f>
        <v>0</v>
      </c>
      <c r="EH107" s="2912"/>
      <c r="EI107" s="2912"/>
      <c r="EJ107" s="1071">
        <f>IF(EH107=0,0,(EI107-EH107)/EH107*100)</f>
        <v>0</v>
      </c>
      <c r="EK107" s="2912"/>
      <c r="EL107" s="2912"/>
      <c r="EM107" s="1071">
        <f>IF(EK107=0,0,(EL107-EK107)/EK107*100)</f>
        <v>0</v>
      </c>
      <c r="EN107" s="2912"/>
      <c r="EO107" s="2912"/>
      <c r="EP107" s="1071">
        <f>IF(EN107=0,0,(EO107-EN107)/EN107*100)</f>
        <v>0</v>
      </c>
      <c r="EQ107" s="2912"/>
      <c r="ER107" s="2912"/>
      <c r="ES107" s="1071">
        <f>IF(EQ107=0,0,(ER107-EQ107)/EQ107*100)</f>
        <v>0</v>
      </c>
      <c r="ET107" s="2912"/>
      <c r="EU107" s="2912"/>
      <c r="EV107" s="1071">
        <f>IF(ET107=0,0,(EU107-ET107)/ET107*100)</f>
        <v>0</v>
      </c>
      <c r="EW107" s="2912"/>
      <c r="EX107" s="2912"/>
      <c r="EY107" s="1071">
        <f>IF(EW107=0,0,(EX107-EW107)/EW107*100)</f>
        <v>0</v>
      </c>
      <c r="EZ107" s="2912"/>
      <c r="FA107" s="2912"/>
      <c r="FB107" s="1071">
        <f>IF(EZ107=0,0,(FA107-EZ107)/EZ107*100)</f>
        <v>0</v>
      </c>
      <c r="FC107" s="2912"/>
      <c r="FD107" s="2912"/>
      <c r="FE107" s="1071">
        <f>IF(FC107=0,0,(FD107-FC107)/FC107*100)</f>
        <v>0</v>
      </c>
      <c r="FF107" s="2912"/>
      <c r="FG107" s="2912"/>
      <c r="FH107" s="1071">
        <f>IF(FF107=0,0,(FG107-FF107)/FF107*100)</f>
        <v>0</v>
      </c>
      <c r="FI107" s="2912"/>
      <c r="FJ107" s="2912"/>
      <c r="FK107" s="1071">
        <f>IF(FI107=0,0,(FJ107-FI107)/FI107*100)</f>
        <v>0</v>
      </c>
      <c r="FL107" s="2912"/>
      <c r="FM107" s="2912"/>
      <c r="FN107" s="1071">
        <f>IF(FL107=0,0,(FM107-FL107)/FL107*100)</f>
        <v>0</v>
      </c>
      <c r="FO107" s="2912"/>
      <c r="FP107" s="2912"/>
      <c r="FQ107" s="1071">
        <f>IF(FO107=0,0,(FP107-FO107)/FO107*100)</f>
        <v>0</v>
      </c>
      <c r="FR107" s="2912"/>
      <c r="FS107" s="2912"/>
      <c r="FT107" s="1071">
        <f>IF(FR107=0,0,(FS107-FR107)/FR107*100)</f>
        <v>0</v>
      </c>
      <c r="FU107" s="2912"/>
      <c r="FV107" s="2912"/>
      <c r="FW107" s="1071">
        <f>IF(FU107=0,0,(FV107-FU107)/FU107*100)</f>
        <v>0</v>
      </c>
      <c r="FX107" s="1282"/>
      <c r="FY107" s="1282"/>
      <c r="FZ107" s="1032" t="s">
        <v>1521</v>
      </c>
      <c r="GA107" s="1284"/>
      <c r="GB107" s="1284"/>
      <c r="GC107" s="1283"/>
      <c r="GD107" s="1283"/>
    </row>
    <row s="1624" customFormat="1" customHeight="1" ht="23.25" hidden="1">
      <c r="A108" s="466"/>
      <c r="B108" s="901" cm="1" t="str">
        <f t="array" ref="B108:B108">B107</f>
        <v>false</v>
      </c>
      <c r="C108" s="466"/>
      <c r="D108" s="466"/>
      <c r="E108" s="816">
        <v>24.5</v>
      </c>
      <c r="F108" s="50" cm="1" t="str">
        <f t="array" ref="F108:F108">OFFSET(E108,-1,1)</f>
        <v>1</v>
      </c>
      <c r="G108" s="466"/>
      <c r="H108" s="466"/>
      <c r="I108" s="466"/>
      <c r="J108" s="466"/>
      <c r="K108" s="466"/>
      <c r="L108" s="466"/>
      <c r="M108" s="466"/>
      <c r="N108" s="466"/>
      <c r="O108" s="466"/>
      <c r="P108" s="466"/>
      <c r="Q108" s="466"/>
      <c r="R108" s="466"/>
      <c r="S108" s="466"/>
      <c r="T108" s="438" cm="1" t="str">
        <f t="array" ref="T108:T108">T107</f>
        <v>true</v>
      </c>
      <c r="U108" s="466"/>
      <c r="V108" s="466"/>
      <c r="W108" s="466"/>
      <c r="X108" s="1541"/>
      <c r="Y108" s="466"/>
      <c r="Z108" s="1493"/>
      <c r="AA108" s="466"/>
      <c r="AB108" s="259" t="s">
        <v>1522</v>
      </c>
      <c r="AC108" s="879"/>
      <c r="AD108" s="1080"/>
      <c r="AE108" s="1080"/>
      <c r="AF108" s="1080"/>
      <c r="AG108" s="1080"/>
      <c r="AH108" s="1080"/>
      <c r="AI108" s="1080"/>
      <c r="AJ108" s="1080"/>
      <c r="AK108" s="1080"/>
      <c r="AL108" s="1080"/>
      <c r="AM108" s="1080"/>
      <c r="AN108" s="1080"/>
      <c r="AO108" s="1080"/>
      <c r="AP108" s="1080"/>
      <c r="AQ108" s="1080"/>
      <c r="AR108" s="1080"/>
      <c r="AS108" s="1080"/>
      <c r="AT108" s="1080"/>
      <c r="AU108" s="1080"/>
      <c r="AV108" s="1080"/>
      <c r="AW108" s="1080"/>
      <c r="AX108" s="1080"/>
      <c r="AY108" s="1080"/>
      <c r="AZ108" s="1080"/>
      <c r="BA108" s="1080"/>
      <c r="BB108" s="1080"/>
      <c r="BC108" s="1080"/>
      <c r="BD108" s="1080"/>
      <c r="BE108" s="1080"/>
      <c r="BF108" s="1080"/>
      <c r="BG108" s="1080"/>
      <c r="BH108" s="1080"/>
      <c r="BI108" s="1080"/>
      <c r="BJ108" s="1080"/>
      <c r="BK108" s="1080"/>
      <c r="BL108" s="1080"/>
      <c r="BM108" s="1080"/>
      <c r="BN108" s="1080"/>
      <c r="BO108" s="1080"/>
      <c r="BP108" s="1080"/>
      <c r="BQ108" s="1080"/>
      <c r="BR108" s="1080"/>
      <c r="BS108" s="1080"/>
      <c r="BT108" s="1080"/>
      <c r="BU108" s="1080"/>
      <c r="BV108" s="1080"/>
      <c r="BW108" s="1080"/>
      <c r="BX108" s="1080"/>
      <c r="BY108" s="1080"/>
      <c r="BZ108" s="1080"/>
      <c r="CA108" s="1080"/>
      <c r="CB108" s="1080"/>
      <c r="CC108" s="1080"/>
      <c r="CD108" s="1080"/>
      <c r="CE108" s="1080"/>
      <c r="CF108" s="1080"/>
      <c r="CG108" s="1080"/>
      <c r="CH108" s="1080"/>
      <c r="CI108" s="1080"/>
      <c r="CJ108" s="1080"/>
      <c r="CK108" s="1080"/>
      <c r="CL108" s="1080"/>
      <c r="CM108" s="1080"/>
      <c r="CN108" s="1080"/>
      <c r="CO108" s="1080"/>
      <c r="CP108" s="1080"/>
      <c r="CQ108" s="1080"/>
      <c r="CR108" s="1080"/>
      <c r="CS108" s="1080"/>
      <c r="CT108" s="1080"/>
      <c r="CU108" s="1080"/>
      <c r="CV108" s="1080"/>
      <c r="CW108" s="1080"/>
      <c r="CX108" s="1080"/>
      <c r="CY108" s="1080"/>
      <c r="CZ108" s="1080"/>
      <c r="DA108" s="1080"/>
      <c r="DB108" s="1080"/>
      <c r="DC108" s="1080"/>
      <c r="DD108" s="1080"/>
      <c r="DE108" s="1080"/>
      <c r="DF108" s="1080"/>
      <c r="DG108" s="1080"/>
      <c r="DH108" s="1080"/>
      <c r="DI108" s="1080"/>
      <c r="DJ108" s="1080"/>
      <c r="DK108" s="1080"/>
      <c r="DL108" s="1080"/>
      <c r="DM108" s="1080"/>
      <c r="DN108" s="1080"/>
      <c r="DO108" s="1080"/>
      <c r="DP108" s="1080"/>
      <c r="DQ108" s="1080"/>
      <c r="DR108" s="1080"/>
      <c r="DS108" s="1080"/>
      <c r="DT108" s="1080"/>
      <c r="DU108" s="1080"/>
      <c r="DV108" s="1080"/>
      <c r="DW108" s="1080"/>
      <c r="DX108" s="1080"/>
      <c r="DY108" s="1080"/>
      <c r="DZ108" s="1080"/>
      <c r="EA108" s="1080"/>
      <c r="EB108" s="1080"/>
      <c r="EC108" s="1080"/>
      <c r="ED108" s="1080"/>
      <c r="EE108" s="1080"/>
      <c r="EF108" s="1080"/>
      <c r="EG108" s="1080"/>
      <c r="EH108" s="1080"/>
      <c r="EI108" s="1080"/>
      <c r="EJ108" s="1080"/>
      <c r="EK108" s="1080"/>
      <c r="EL108" s="1080"/>
      <c r="EM108" s="1080"/>
      <c r="EN108" s="1080"/>
      <c r="EO108" s="1080"/>
      <c r="EP108" s="1080"/>
      <c r="EQ108" s="1080"/>
      <c r="ER108" s="1080"/>
      <c r="ES108" s="1080"/>
      <c r="ET108" s="1080"/>
      <c r="EU108" s="1080"/>
      <c r="EV108" s="1080"/>
      <c r="EW108" s="1080"/>
      <c r="EX108" s="1080"/>
      <c r="EY108" s="1080"/>
      <c r="EZ108" s="1080"/>
      <c r="FA108" s="1080"/>
      <c r="FB108" s="1080"/>
      <c r="FC108" s="1080"/>
      <c r="FD108" s="1080"/>
      <c r="FE108" s="1080"/>
      <c r="FF108" s="1080"/>
      <c r="FG108" s="1080"/>
      <c r="FH108" s="1080"/>
      <c r="FI108" s="1080"/>
      <c r="FJ108" s="1080"/>
      <c r="FK108" s="1080"/>
      <c r="FL108" s="1080"/>
      <c r="FM108" s="1080"/>
      <c r="FN108" s="1080"/>
      <c r="FO108" s="1080"/>
      <c r="FP108" s="1080"/>
      <c r="FQ108" s="1080"/>
      <c r="FR108" s="1080"/>
      <c r="FS108" s="1080"/>
      <c r="FT108" s="1080"/>
      <c r="FU108" s="1080"/>
      <c r="FV108" s="1080"/>
      <c r="FW108" s="1081"/>
      <c r="FX108" s="1282"/>
      <c r="FY108" s="1282"/>
      <c r="FZ108" s="1032"/>
      <c r="GA108" s="1284"/>
      <c r="GB108" s="1284"/>
      <c r="GC108" s="1283"/>
      <c r="GD108" s="1283"/>
    </row>
    <row s="1624" customFormat="1" customHeight="1" ht="14.25" hidden="1">
      <c r="A109" s="466"/>
      <c r="B109" s="901" cm="1" t="str">
        <f t="array" ref="B109:B109">B108</f>
        <v>false</v>
      </c>
      <c r="C109" s="466"/>
      <c r="D109" s="466"/>
      <c r="E109" s="816">
        <v>15</v>
      </c>
      <c r="F109" s="50" cm="1" t="str">
        <f t="array" ref="F109:F109">OFFSET(E109,-1,1)</f>
        <v>1</v>
      </c>
      <c r="G109" s="466"/>
      <c r="H109" s="466" t="s">
        <v>1434</v>
      </c>
      <c r="I109" s="466" t="s">
        <v>1479</v>
      </c>
      <c r="J109" s="466"/>
      <c r="K109" s="466"/>
      <c r="L109" s="466"/>
      <c r="M109" s="466"/>
      <c r="N109" s="466"/>
      <c r="O109" s="466"/>
      <c r="P109" s="466"/>
      <c r="Q109" s="466"/>
      <c r="R109" s="466"/>
      <c r="S109" s="466"/>
      <c r="T109" s="438" cm="1" t="str">
        <f t="array" ref="T109:T109">T108</f>
        <v>true</v>
      </c>
      <c r="U109" s="466"/>
      <c r="V109" s="466"/>
      <c r="W109" s="466"/>
      <c r="X109" s="1541"/>
      <c r="Y109" s="466"/>
      <c r="Z109" s="1493"/>
      <c r="AA109" s="466"/>
      <c r="AB109" s="1069" t="s">
        <v>1509</v>
      </c>
      <c r="AC109" s="840" t="s">
        <v>1476</v>
      </c>
      <c r="AD109" s="2912">
        <f>IF(AD111=0,0,(AD110*AD111+AD112*AD113*IF(god=2026,3,6))/AD111)</f>
        <v>0</v>
      </c>
      <c r="AE109" s="2912">
        <f>IF(AE111=0,0,(AE110*AE111+AE112*AE113*IF(god=2026,3,6))/AE111)</f>
        <v>0</v>
      </c>
      <c r="AF109" s="1071">
        <f>IF(AD109=0,0,(AE109-AD109)/AD109*100)</f>
        <v>0</v>
      </c>
      <c r="AG109" s="2912">
        <f>IF(AG111=0,0,(AG110*AG111+AG112*AG113*IF(god=2025,3,6))/AG111)</f>
        <v>0</v>
      </c>
      <c r="AH109" s="2912">
        <f>IF(AH111=0,0,(AH110*AH111+AH112*AH113*IF(god=2025,3,6))/AH111)</f>
        <v>0</v>
      </c>
      <c r="AI109" s="1071">
        <f>IF(AG109=0,0,(AH109-AG109)/AG109*100)</f>
        <v>0</v>
      </c>
      <c r="AJ109" s="2912">
        <f>IF(AJ111=0,0,(AJ110*AJ111+AJ112*AJ113*6)/AJ111)</f>
        <v>0</v>
      </c>
      <c r="AK109" s="2912">
        <f>IF(AK111=0,0,(AK110*AK111+AK112*AK113*6)/AK111)</f>
        <v>0</v>
      </c>
      <c r="AL109" s="1071">
        <f>IF(AJ109=0,0,(AK109-AJ109)/AJ109*100)</f>
        <v>0</v>
      </c>
      <c r="AM109" s="2912">
        <f>IF(AM111=0,0,(AM110*AM111+AM112*AM113*6)/AM111)</f>
        <v>0</v>
      </c>
      <c r="AN109" s="2912">
        <f>IF(AN111=0,0,(AN110*AN111+AN112*AN113*6)/AN111)</f>
        <v>0</v>
      </c>
      <c r="AO109" s="1071">
        <f>IF(AM109=0,0,(AN109-AM109)/AM109*100)</f>
        <v>0</v>
      </c>
      <c r="AP109" s="2912">
        <f>IF(AP111=0,0,(AP110*AP111+AP112*AP113*6)/AP111)</f>
        <v>0</v>
      </c>
      <c r="AQ109" s="2912">
        <f>IF(AQ111=0,0,(AQ110*AQ111+AQ112*AQ113*6)/AQ111)</f>
        <v>0</v>
      </c>
      <c r="AR109" s="1071">
        <f>IF(AP109=0,0,(AQ109-AP109)/AP109*100)</f>
        <v>0</v>
      </c>
      <c r="AS109" s="2912">
        <f>IF(AS111=0,0,(AS110*AS111+AS112*AS113*6)/AS111)</f>
        <v>0</v>
      </c>
      <c r="AT109" s="2912">
        <f>IF(AT111=0,0,(AT110*AT111+AT112*AT113*6)/AT111)</f>
        <v>0</v>
      </c>
      <c r="AU109" s="1071">
        <f>IF(AS109=0,0,(AT109-AS109)/AS109*100)</f>
        <v>0</v>
      </c>
      <c r="AV109" s="2912">
        <f>IF(AV111=0,0,(AV110*AV111+AV112*AV113*6)/AV111)</f>
        <v>0</v>
      </c>
      <c r="AW109" s="2912">
        <f>IF(AW111=0,0,(AW110*AW111+AW112*AW113*6)/AW111)</f>
        <v>0</v>
      </c>
      <c r="AX109" s="1071">
        <f>IF(AV109=0,0,(AW109-AV109)/AV109*100)</f>
        <v>0</v>
      </c>
      <c r="AY109" s="2912">
        <f>IF(AY111=0,0,(AY110*AY111+AY112*AY113*6)/AY111)</f>
        <v>0</v>
      </c>
      <c r="AZ109" s="2912">
        <f>IF(AZ111=0,0,(AZ110*AZ111+AZ112*AZ113*6)/AZ111)</f>
        <v>0</v>
      </c>
      <c r="BA109" s="1071">
        <f>IF(AY109=0,0,(AZ109-AY109)/AY109*100)</f>
        <v>0</v>
      </c>
      <c r="BB109" s="2912">
        <f>IF(BB111=0,0,(BB110*BB111+BB112*BB113*6)/BB111)</f>
        <v>0</v>
      </c>
      <c r="BC109" s="2912">
        <f>IF(BC111=0,0,(BC110*BC111+BC112*BC113*6)/BC111)</f>
        <v>0</v>
      </c>
      <c r="BD109" s="1071">
        <f>IF(BB109=0,0,(BC109-BB109)/BB109*100)</f>
        <v>0</v>
      </c>
      <c r="BE109" s="2912">
        <f>IF(BE111=0,0,(BE110*BE111+BE112*BE113*6)/BE111)</f>
        <v>0</v>
      </c>
      <c r="BF109" s="2912">
        <f>IF(BF111=0,0,(BF110*BF111+BF112*BF113*6)/BF111)</f>
        <v>0</v>
      </c>
      <c r="BG109" s="1071">
        <f>IF(BE109=0,0,(BF109-BE109)/BE109*100)</f>
        <v>0</v>
      </c>
      <c r="BH109" s="2912">
        <f>IF(BH111=0,0,(BH110*BH111+BH112*BH113*6)/BH111)</f>
        <v>0</v>
      </c>
      <c r="BI109" s="2912">
        <f>IF(BI111=0,0,(BI110*BI111+BI112*BI113*6)/BI111)</f>
        <v>0</v>
      </c>
      <c r="BJ109" s="1071">
        <f>IF(BH109=0,0,(BI109-BH109)/BH109*100)</f>
        <v>0</v>
      </c>
      <c r="BK109" s="2912">
        <f>IF(BK111=0,0,(BK110*BK111+BK112*BK113*6)/BK111)</f>
        <v>0</v>
      </c>
      <c r="BL109" s="2912">
        <f>IF(BL111=0,0,(BL110*BL111+BL112*BL113*6)/BL111)</f>
        <v>0</v>
      </c>
      <c r="BM109" s="1071">
        <f>IF(BK109=0,0,(BL109-BK109)/BK109*100)</f>
        <v>0</v>
      </c>
      <c r="BN109" s="2912">
        <f>IF(BN111=0,0,(BN110*BN111+BN112*BN113*6)/BN111)</f>
        <v>0</v>
      </c>
      <c r="BO109" s="2912">
        <f>IF(BO111=0,0,(BO110*BO111+BO112*BO113*6)/BO111)</f>
        <v>0</v>
      </c>
      <c r="BP109" s="1071">
        <f>IF(BN109=0,0,(BO109-BN109)/BN109*100)</f>
        <v>0</v>
      </c>
      <c r="BQ109" s="2912">
        <f>IF(BQ111=0,0,(BQ110*BQ111+BQ112*BQ113*6)/BQ111)</f>
        <v>0</v>
      </c>
      <c r="BR109" s="2912">
        <f>IF(BR111=0,0,(BR110*BR111+BR112*BR113*6)/BR111)</f>
        <v>0</v>
      </c>
      <c r="BS109" s="1071">
        <f>IF(BQ109=0,0,(BR109-BQ109)/BQ109*100)</f>
        <v>0</v>
      </c>
      <c r="BT109" s="2912">
        <f>IF(BT111=0,0,(BT110*BT111+BT112*BT113*6)/BT111)</f>
        <v>0</v>
      </c>
      <c r="BU109" s="2912">
        <f>IF(BU111=0,0,(BU110*BU111+BU112*BU113*6)/BU111)</f>
        <v>0</v>
      </c>
      <c r="BV109" s="1071">
        <f>IF(BT109=0,0,(BU109-BT109)/BT109*100)</f>
        <v>0</v>
      </c>
      <c r="BW109" s="2912">
        <f>IF(BW111=0,0,(BW110*BW111+BW112*BW113*6)/BW111)</f>
        <v>0</v>
      </c>
      <c r="BX109" s="2912">
        <f>IF(BX111=0,0,(BX110*BX111+BX112*BX113*6)/BX111)</f>
        <v>0</v>
      </c>
      <c r="BY109" s="1071">
        <f>IF(BW109=0,0,(BX109-BW109)/BW109*100)</f>
        <v>0</v>
      </c>
      <c r="BZ109" s="2912">
        <f>IF(BZ111=0,0,(BZ110*BZ111+BZ112*BZ113*6)/BZ111)</f>
        <v>0</v>
      </c>
      <c r="CA109" s="2912">
        <f>IF(CA111=0,0,(CA110*CA111+CA112*CA113*6)/CA111)</f>
        <v>0</v>
      </c>
      <c r="CB109" s="1071">
        <f>IF(BZ109=0,0,(CA109-BZ109)/BZ109*100)</f>
        <v>0</v>
      </c>
      <c r="CC109" s="2912">
        <f>IF(CC111=0,0,(CC110*CC111+CC112*CC113*6)/CC111)</f>
        <v>0</v>
      </c>
      <c r="CD109" s="2912">
        <f>IF(CD111=0,0,(CD110*CD111+CD112*CD113*6)/CD111)</f>
        <v>0</v>
      </c>
      <c r="CE109" s="1071">
        <f>IF(CC109=0,0,(CD109-CC109)/CC109*100)</f>
        <v>0</v>
      </c>
      <c r="CF109" s="2912">
        <f>IF(CF111=0,0,(CF110*CF111+CF112*CF113*6)/CF111)</f>
        <v>0</v>
      </c>
      <c r="CG109" s="2912">
        <f>IF(CG111=0,0,(CG110*CG111+CG112*CG113*6)/CG111)</f>
        <v>0</v>
      </c>
      <c r="CH109" s="1071">
        <f>IF(CF109=0,0,(CG109-CF109)/CF109*100)</f>
        <v>0</v>
      </c>
      <c r="CI109" s="2912">
        <f>IF(CI111=0,0,(CI110*CI111+CI112*CI113*6)/CI111)</f>
        <v>0</v>
      </c>
      <c r="CJ109" s="2912">
        <f>IF(CJ111=0,0,(CJ110*CJ111+CJ112*CJ113*6)/CJ111)</f>
        <v>0</v>
      </c>
      <c r="CK109" s="1071">
        <f>IF(CI109=0,0,(CJ109-CI109)/CI109*100)</f>
        <v>0</v>
      </c>
      <c r="CL109" s="2912">
        <f>IF(CL111=0,0,(CL110*CL111+CL112*CL113*6)/CL111)</f>
        <v>0</v>
      </c>
      <c r="CM109" s="2912">
        <f>IF(CM111=0,0,(CM110*CM111+CM112*CM113*6)/CM111)</f>
        <v>0</v>
      </c>
      <c r="CN109" s="1071">
        <f>IF(CL109=0,0,(CM109-CL109)/CL109*100)</f>
        <v>0</v>
      </c>
      <c r="CO109" s="2912">
        <f>IF(CO111=0,0,(CO110*CO111+CO112*CO113*6)/CO111)</f>
        <v>0</v>
      </c>
      <c r="CP109" s="2912">
        <f>IF(CP111=0,0,(CP110*CP111+CP112*CP113*6)/CP111)</f>
        <v>0</v>
      </c>
      <c r="CQ109" s="1071">
        <f>IF(CO109=0,0,(CP109-CO109)/CO109*100)</f>
        <v>0</v>
      </c>
      <c r="CR109" s="2912">
        <f>IF(CR111=0,0,(CR110*CR111+CR112*CR113*6)/CR111)</f>
        <v>0</v>
      </c>
      <c r="CS109" s="2912">
        <f>IF(CS111=0,0,(CS110*CS111+CS112*CS113*6)/CS111)</f>
        <v>0</v>
      </c>
      <c r="CT109" s="1071">
        <f>IF(CR109=0,0,(CS109-CR109)/CR109*100)</f>
        <v>0</v>
      </c>
      <c r="CU109" s="2912">
        <f>IF(CU111=0,0,(CU110*CU111+CU112*CU113*6)/CU111)</f>
        <v>0</v>
      </c>
      <c r="CV109" s="2912">
        <f>IF(CV111=0,0,(CV110*CV111+CV112*CV113*6)/CV111)</f>
        <v>0</v>
      </c>
      <c r="CW109" s="1071">
        <f>IF(CU109=0,0,(CV109-CU109)/CU109*100)</f>
        <v>0</v>
      </c>
      <c r="CX109" s="2912">
        <f>IF(CX111=0,0,(CX110*CX111+CX112*CX113*6)/CX111)</f>
        <v>0</v>
      </c>
      <c r="CY109" s="2912">
        <f>IF(CY111=0,0,(CY110*CY111+CY112*CY113*6)/CY111)</f>
        <v>0</v>
      </c>
      <c r="CZ109" s="1071">
        <f>IF(CX109=0,0,(CY109-CX109)/CX109*100)</f>
        <v>0</v>
      </c>
      <c r="DA109" s="2912">
        <f>IF(DA111=0,0,(DA110*DA111+DA112*DA113*6)/DA111)</f>
        <v>0</v>
      </c>
      <c r="DB109" s="2912">
        <f>IF(DB111=0,0,(DB110*DB111+DB112*DB113*6)/DB111)</f>
        <v>0</v>
      </c>
      <c r="DC109" s="1071">
        <f>IF(DA109=0,0,(DB109-DA109)/DA109*100)</f>
        <v>0</v>
      </c>
      <c r="DD109" s="2912">
        <f>IF(DD111=0,0,(DD110*DD111+DD112*DD113*6)/DD111)</f>
        <v>0</v>
      </c>
      <c r="DE109" s="2912">
        <f>IF(DE111=0,0,(DE110*DE111+DE112*DE113*6)/DE111)</f>
        <v>0</v>
      </c>
      <c r="DF109" s="1071">
        <f>IF(DD109=0,0,(DE109-DD109)/DD109*100)</f>
        <v>0</v>
      </c>
      <c r="DG109" s="2912">
        <f>IF(DG111=0,0,(DG110*DG111+DG112*DG113*6)/DG111)</f>
        <v>0</v>
      </c>
      <c r="DH109" s="2912">
        <f>IF(DH111=0,0,(DH110*DH111+DH112*DH113*6)/DH111)</f>
        <v>0</v>
      </c>
      <c r="DI109" s="1071">
        <f>IF(DG109=0,0,(DH109-DG109)/DG109*100)</f>
        <v>0</v>
      </c>
      <c r="DJ109" s="2912">
        <f>IF(DJ111=0,0,(DJ110*DJ111+DJ112*DJ113*6)/DJ111)</f>
        <v>0</v>
      </c>
      <c r="DK109" s="2912">
        <f>IF(DK111=0,0,(DK110*DK111+DK112*DK113*6)/DK111)</f>
        <v>0</v>
      </c>
      <c r="DL109" s="1071">
        <f>IF(DJ109=0,0,(DK109-DJ109)/DJ109*100)</f>
        <v>0</v>
      </c>
      <c r="DM109" s="2912">
        <f>IF(DM111=0,0,(DM110*DM111+DM112*DM113*6)/DM111)</f>
        <v>0</v>
      </c>
      <c r="DN109" s="2912">
        <f>IF(DN111=0,0,(DN110*DN111+DN112*DN113*6)/DN111)</f>
        <v>0</v>
      </c>
      <c r="DO109" s="1071">
        <f>IF(DM109=0,0,(DN109-DM109)/DM109*100)</f>
        <v>0</v>
      </c>
      <c r="DP109" s="2912">
        <f>IF(DP111=0,0,(DP110*DP111+DP112*DP113*6)/DP111)</f>
        <v>0</v>
      </c>
      <c r="DQ109" s="2912">
        <f>IF(DQ111=0,0,(DQ110*DQ111+DQ112*DQ113*6)/DQ111)</f>
        <v>0</v>
      </c>
      <c r="DR109" s="1071">
        <f>IF(DP109=0,0,(DQ109-DP109)/DP109*100)</f>
        <v>0</v>
      </c>
      <c r="DS109" s="2912">
        <f>IF(DS111=0,0,(DS110*DS111+DS112*DS113*6)/DS111)</f>
        <v>0</v>
      </c>
      <c r="DT109" s="2912">
        <f>IF(DT111=0,0,(DT110*DT111+DT112*DT113*6)/DT111)</f>
        <v>0</v>
      </c>
      <c r="DU109" s="1071">
        <f>IF(DS109=0,0,(DT109-DS109)/DS109*100)</f>
        <v>0</v>
      </c>
      <c r="DV109" s="2912">
        <f>IF(DV111=0,0,(DV110*DV111+DV112*DV113*6)/DV111)</f>
        <v>0</v>
      </c>
      <c r="DW109" s="2912">
        <f>IF(DW111=0,0,(DW110*DW111+DW112*DW113*6)/DW111)</f>
        <v>0</v>
      </c>
      <c r="DX109" s="1071">
        <f>IF(DV109=0,0,(DW109-DV109)/DV109*100)</f>
        <v>0</v>
      </c>
      <c r="DY109" s="2912">
        <f>IF(DY111=0,0,(DY110*DY111+DY112*DY113*6)/DY111)</f>
        <v>0</v>
      </c>
      <c r="DZ109" s="2912">
        <f>IF(DZ111=0,0,(DZ110*DZ111+DZ112*DZ113*6)/DZ111)</f>
        <v>0</v>
      </c>
      <c r="EA109" s="1071">
        <f>IF(DY109=0,0,(DZ109-DY109)/DY109*100)</f>
        <v>0</v>
      </c>
      <c r="EB109" s="2912">
        <f>IF(EB111=0,0,(EB110*EB111+EB112*EB113*6)/EB111)</f>
        <v>0</v>
      </c>
      <c r="EC109" s="2912">
        <f>IF(EC111=0,0,(EC110*EC111+EC112*EC113*6)/EC111)</f>
        <v>0</v>
      </c>
      <c r="ED109" s="1071">
        <f>IF(EB109=0,0,(EC109-EB109)/EB109*100)</f>
        <v>0</v>
      </c>
      <c r="EE109" s="2912">
        <f>IF(EE111=0,0,(EE110*EE111+EE112*EE113*6)/EE111)</f>
        <v>0</v>
      </c>
      <c r="EF109" s="2912">
        <f>IF(EF111=0,0,(EF110*EF111+EF112*EF113*6)/EF111)</f>
        <v>0</v>
      </c>
      <c r="EG109" s="1071">
        <f>IF(EE109=0,0,(EF109-EE109)/EE109*100)</f>
        <v>0</v>
      </c>
      <c r="EH109" s="2912">
        <f>IF(EH111=0,0,(EH110*EH111+EH112*EH113*6)/EH111)</f>
        <v>0</v>
      </c>
      <c r="EI109" s="2912">
        <f>IF(EI111=0,0,(EI110*EI111+EI112*EI113*6)/EI111)</f>
        <v>0</v>
      </c>
      <c r="EJ109" s="1071">
        <f>IF(EH109=0,0,(EI109-EH109)/EH109*100)</f>
        <v>0</v>
      </c>
      <c r="EK109" s="2912">
        <f>IF(EK111=0,0,(EK110*EK111+EK112*EK113*6)/EK111)</f>
        <v>0</v>
      </c>
      <c r="EL109" s="2912">
        <f>IF(EL111=0,0,(EL110*EL111+EL112*EL113*6)/EL111)</f>
        <v>0</v>
      </c>
      <c r="EM109" s="1071">
        <f>IF(EK109=0,0,(EL109-EK109)/EK109*100)</f>
        <v>0</v>
      </c>
      <c r="EN109" s="2912">
        <f>IF(EN111=0,0,(EN110*EN111+EN112*EN113*6)/EN111)</f>
        <v>0</v>
      </c>
      <c r="EO109" s="2912">
        <f>IF(EO111=0,0,(EO110*EO111+EO112*EO113*6)/EO111)</f>
        <v>0</v>
      </c>
      <c r="EP109" s="1071">
        <f>IF(EN109=0,0,(EO109-EN109)/EN109*100)</f>
        <v>0</v>
      </c>
      <c r="EQ109" s="2912">
        <f>IF(EQ111=0,0,(EQ110*EQ111+EQ112*EQ113*6)/EQ111)</f>
        <v>0</v>
      </c>
      <c r="ER109" s="2912">
        <f>IF(ER111=0,0,(ER110*ER111+ER112*ER113*6)/ER111)</f>
        <v>0</v>
      </c>
      <c r="ES109" s="1071">
        <f>IF(EQ109=0,0,(ER109-EQ109)/EQ109*100)</f>
        <v>0</v>
      </c>
      <c r="ET109" s="2912">
        <f>IF(ET111=0,0,(ET110*ET111+ET112*ET113*6)/ET111)</f>
        <v>0</v>
      </c>
      <c r="EU109" s="2912">
        <f>IF(EU111=0,0,(EU110*EU111+EU112*EU113*6)/EU111)</f>
        <v>0</v>
      </c>
      <c r="EV109" s="1071">
        <f>IF(ET109=0,0,(EU109-ET109)/ET109*100)</f>
        <v>0</v>
      </c>
      <c r="EW109" s="2912">
        <f>IF(EW111=0,0,(EW110*EW111+EW112*EW113*6)/EW111)</f>
        <v>0</v>
      </c>
      <c r="EX109" s="2912">
        <f>IF(EX111=0,0,(EX110*EX111+EX112*EX113*6)/EX111)</f>
        <v>0</v>
      </c>
      <c r="EY109" s="1071">
        <f>IF(EW109=0,0,(EX109-EW109)/EW109*100)</f>
        <v>0</v>
      </c>
      <c r="EZ109" s="2912">
        <f>IF(EZ111=0,0,(EZ110*EZ111+EZ112*EZ113*6)/EZ111)</f>
        <v>0</v>
      </c>
      <c r="FA109" s="2912">
        <f>IF(FA111=0,0,(FA110*FA111+FA112*FA113*6)/FA111)</f>
        <v>0</v>
      </c>
      <c r="FB109" s="1071">
        <f>IF(EZ109=0,0,(FA109-EZ109)/EZ109*100)</f>
        <v>0</v>
      </c>
      <c r="FC109" s="2912">
        <f>IF(FC111=0,0,(FC110*FC111+FC112*FC113*6)/FC111)</f>
        <v>0</v>
      </c>
      <c r="FD109" s="2912">
        <f>IF(FD111=0,0,(FD110*FD111+FD112*FD113*6)/FD111)</f>
        <v>0</v>
      </c>
      <c r="FE109" s="1071">
        <f>IF(FC109=0,0,(FD109-FC109)/FC109*100)</f>
        <v>0</v>
      </c>
      <c r="FF109" s="2912">
        <f>IF(FF111=0,0,(FF110*FF111+FF112*FF113*6)/FF111)</f>
        <v>0</v>
      </c>
      <c r="FG109" s="2912">
        <f>IF(FG111=0,0,(FG110*FG111+FG112*FG113*6)/FG111)</f>
        <v>0</v>
      </c>
      <c r="FH109" s="1071">
        <f>IF(FF109=0,0,(FG109-FF109)/FF109*100)</f>
        <v>0</v>
      </c>
      <c r="FI109" s="2912">
        <f>IF(FI111=0,0,(FI110*FI111+FI112*FI113*6)/FI111)</f>
        <v>0</v>
      </c>
      <c r="FJ109" s="2912">
        <f>IF(FJ111=0,0,(FJ110*FJ111+FJ112*FJ113*6)/FJ111)</f>
        <v>0</v>
      </c>
      <c r="FK109" s="1071">
        <f>IF(FI109=0,0,(FJ109-FI109)/FI109*100)</f>
        <v>0</v>
      </c>
      <c r="FL109" s="2912">
        <f>IF(FL111=0,0,(FL110*FL111+FL112*FL113*6)/FL111)</f>
        <v>0</v>
      </c>
      <c r="FM109" s="2912">
        <f>IF(FM111=0,0,(FM110*FM111+FM112*FM113*6)/FM111)</f>
        <v>0</v>
      </c>
      <c r="FN109" s="1071">
        <f>IF(FL109=0,0,(FM109-FL109)/FL109*100)</f>
        <v>0</v>
      </c>
      <c r="FO109" s="2912">
        <f>IF(FO111=0,0,(FO110*FO111+FO112*FO113*6)/FO111)</f>
        <v>0</v>
      </c>
      <c r="FP109" s="2912">
        <f>IF(FP111=0,0,(FP110*FP111+FP112*FP113*6)/FP111)</f>
        <v>0</v>
      </c>
      <c r="FQ109" s="1071">
        <f>IF(FO109=0,0,(FP109-FO109)/FO109*100)</f>
        <v>0</v>
      </c>
      <c r="FR109" s="2912">
        <f>IF(FR111=0,0,(FR110*FR111+FR112*FR113*6)/FR111)</f>
        <v>0</v>
      </c>
      <c r="FS109" s="2912">
        <f>IF(FS111=0,0,(FS110*FS111+FS112*FS113*6)/FS111)</f>
        <v>0</v>
      </c>
      <c r="FT109" s="1071">
        <f>IF(FR109=0,0,(FS109-FR109)/FR109*100)</f>
        <v>0</v>
      </c>
      <c r="FU109" s="2912">
        <f>IF(FU111=0,0,(FU110*FU111+FU112*FU113*6)/FU111)</f>
        <v>0</v>
      </c>
      <c r="FV109" s="2912">
        <f>IF(FV111=0,0,(FV110*FV111+FV112*FV113*6)/FV111)</f>
        <v>0</v>
      </c>
      <c r="FW109" s="1071">
        <f>IF(FU109=0,0,(FV109-FU109)/FU109*100)</f>
        <v>0</v>
      </c>
      <c r="FX109" s="1282"/>
      <c r="FY109" s="1282"/>
      <c r="FZ109" s="1032" t="s">
        <v>1523</v>
      </c>
      <c r="GA109" s="1284"/>
      <c r="GB109" s="1284"/>
      <c r="GC109" s="1283"/>
      <c r="GD109" s="1283"/>
    </row>
    <row s="1624" customFormat="1" customHeight="1" ht="14.25" hidden="1">
      <c r="A110" s="466"/>
      <c r="B110" s="901" cm="1" t="str">
        <f t="array" ref="B110:B110">B109</f>
        <v>false</v>
      </c>
      <c r="C110" s="466"/>
      <c r="D110" s="466"/>
      <c r="E110" s="816">
        <v>15</v>
      </c>
      <c r="F110" s="50" cm="1" t="str">
        <f t="array" ref="F110:F110">OFFSET(E110,-1,1)</f>
        <v>1</v>
      </c>
      <c r="G110" s="466"/>
      <c r="H110" s="466" t="s">
        <v>1438</v>
      </c>
      <c r="I110" s="466" t="s">
        <v>1479</v>
      </c>
      <c r="J110" s="466"/>
      <c r="K110" s="466"/>
      <c r="L110" s="466"/>
      <c r="M110" s="466"/>
      <c r="N110" s="466"/>
      <c r="O110" s="466"/>
      <c r="P110" s="466"/>
      <c r="Q110" s="466"/>
      <c r="R110" s="466"/>
      <c r="S110" s="466"/>
      <c r="T110" s="438" cm="1" t="str">
        <f t="array" ref="T110:T110">T109</f>
        <v>true</v>
      </c>
      <c r="U110" s="466"/>
      <c r="V110" s="466"/>
      <c r="W110" s="466"/>
      <c r="X110" s="1541"/>
      <c r="Y110" s="466"/>
      <c r="Z110" s="1493"/>
      <c r="AA110" s="466"/>
      <c r="AB110" s="1069" t="str">
        <f>"ставка платы за "&amp;IF(Q85="Водоснабжение","потребление 1 куб.м холодной воды","объем принятых сточных вод")</f>
        <v>ставка платы за объем принятых сточных вод</v>
      </c>
      <c r="AC110" s="840" t="s">
        <v>1476</v>
      </c>
      <c r="AD110" s="2912"/>
      <c r="AE110" s="2912"/>
      <c r="AF110" s="1071">
        <f>IF(AD110=0,0,(AE110-AD110)/AD110*100)</f>
        <v>0</v>
      </c>
      <c r="AG110" s="2912"/>
      <c r="AH110" s="2912"/>
      <c r="AI110" s="1071">
        <f>IF(AG110=0,0,(AH110-AG110)/AG110*100)</f>
        <v>0</v>
      </c>
      <c r="AJ110" s="2912"/>
      <c r="AK110" s="2912"/>
      <c r="AL110" s="1071">
        <f>IF(AJ110=0,0,(AK110-AJ110)/AJ110*100)</f>
        <v>0</v>
      </c>
      <c r="AM110" s="2912"/>
      <c r="AN110" s="2912"/>
      <c r="AO110" s="1071">
        <f>IF(AM110=0,0,(AN110-AM110)/AM110*100)</f>
        <v>0</v>
      </c>
      <c r="AP110" s="2912"/>
      <c r="AQ110" s="2912"/>
      <c r="AR110" s="1071">
        <f>IF(AP110=0,0,(AQ110-AP110)/AP110*100)</f>
        <v>0</v>
      </c>
      <c r="AS110" s="2912"/>
      <c r="AT110" s="2912"/>
      <c r="AU110" s="1071">
        <f>IF(AS110=0,0,(AT110-AS110)/AS110*100)</f>
        <v>0</v>
      </c>
      <c r="AV110" s="2912"/>
      <c r="AW110" s="2912"/>
      <c r="AX110" s="1071">
        <f>IF(AV110=0,0,(AW110-AV110)/AV110*100)</f>
        <v>0</v>
      </c>
      <c r="AY110" s="2912"/>
      <c r="AZ110" s="2912"/>
      <c r="BA110" s="1071">
        <f>IF(AY110=0,0,(AZ110-AY110)/AY110*100)</f>
        <v>0</v>
      </c>
      <c r="BB110" s="2912"/>
      <c r="BC110" s="2912"/>
      <c r="BD110" s="1071">
        <f>IF(BB110=0,0,(BC110-BB110)/BB110*100)</f>
        <v>0</v>
      </c>
      <c r="BE110" s="2912"/>
      <c r="BF110" s="2912"/>
      <c r="BG110" s="1071">
        <f>IF(BE110=0,0,(BF110-BE110)/BE110*100)</f>
        <v>0</v>
      </c>
      <c r="BH110" s="2912"/>
      <c r="BI110" s="2912"/>
      <c r="BJ110" s="1071">
        <f>IF(BH110=0,0,(BI110-BH110)/BH110*100)</f>
        <v>0</v>
      </c>
      <c r="BK110" s="2912"/>
      <c r="BL110" s="2912"/>
      <c r="BM110" s="1071">
        <f>IF(BK110=0,0,(BL110-BK110)/BK110*100)</f>
        <v>0</v>
      </c>
      <c r="BN110" s="2912"/>
      <c r="BO110" s="2912"/>
      <c r="BP110" s="1071">
        <f>IF(BN110=0,0,(BO110-BN110)/BN110*100)</f>
        <v>0</v>
      </c>
      <c r="BQ110" s="2912"/>
      <c r="BR110" s="2912"/>
      <c r="BS110" s="1071">
        <f>IF(BQ110=0,0,(BR110-BQ110)/BQ110*100)</f>
        <v>0</v>
      </c>
      <c r="BT110" s="2912"/>
      <c r="BU110" s="2912"/>
      <c r="BV110" s="1071">
        <f>IF(BT110=0,0,(BU110-BT110)/BT110*100)</f>
        <v>0</v>
      </c>
      <c r="BW110" s="2912"/>
      <c r="BX110" s="2912"/>
      <c r="BY110" s="1071">
        <f>IF(BW110=0,0,(BX110-BW110)/BW110*100)</f>
        <v>0</v>
      </c>
      <c r="BZ110" s="2912"/>
      <c r="CA110" s="2912"/>
      <c r="CB110" s="1071">
        <f>IF(BZ110=0,0,(CA110-BZ110)/BZ110*100)</f>
        <v>0</v>
      </c>
      <c r="CC110" s="2912"/>
      <c r="CD110" s="2912"/>
      <c r="CE110" s="1071">
        <f>IF(CC110=0,0,(CD110-CC110)/CC110*100)</f>
        <v>0</v>
      </c>
      <c r="CF110" s="2912"/>
      <c r="CG110" s="2912"/>
      <c r="CH110" s="1071">
        <f>IF(CF110=0,0,(CG110-CF110)/CF110*100)</f>
        <v>0</v>
      </c>
      <c r="CI110" s="2912"/>
      <c r="CJ110" s="2912"/>
      <c r="CK110" s="1071">
        <f>IF(CI110=0,0,(CJ110-CI110)/CI110*100)</f>
        <v>0</v>
      </c>
      <c r="CL110" s="2912"/>
      <c r="CM110" s="2912"/>
      <c r="CN110" s="1071">
        <f>IF(CL110=0,0,(CM110-CL110)/CL110*100)</f>
        <v>0</v>
      </c>
      <c r="CO110" s="2912"/>
      <c r="CP110" s="2912"/>
      <c r="CQ110" s="1071">
        <f>IF(CO110=0,0,(CP110-CO110)/CO110*100)</f>
        <v>0</v>
      </c>
      <c r="CR110" s="2912"/>
      <c r="CS110" s="2912"/>
      <c r="CT110" s="1071">
        <f>IF(CR110=0,0,(CS110-CR110)/CR110*100)</f>
        <v>0</v>
      </c>
      <c r="CU110" s="2912"/>
      <c r="CV110" s="2912"/>
      <c r="CW110" s="1071">
        <f>IF(CU110=0,0,(CV110-CU110)/CU110*100)</f>
        <v>0</v>
      </c>
      <c r="CX110" s="2912"/>
      <c r="CY110" s="2912"/>
      <c r="CZ110" s="1071">
        <f>IF(CX110=0,0,(CY110-CX110)/CX110*100)</f>
        <v>0</v>
      </c>
      <c r="DA110" s="2912"/>
      <c r="DB110" s="2912"/>
      <c r="DC110" s="1071">
        <f>IF(DA110=0,0,(DB110-DA110)/DA110*100)</f>
        <v>0</v>
      </c>
      <c r="DD110" s="2912"/>
      <c r="DE110" s="2912"/>
      <c r="DF110" s="1071">
        <f>IF(DD110=0,0,(DE110-DD110)/DD110*100)</f>
        <v>0</v>
      </c>
      <c r="DG110" s="2912"/>
      <c r="DH110" s="2912"/>
      <c r="DI110" s="1071">
        <f>IF(DG110=0,0,(DH110-DG110)/DG110*100)</f>
        <v>0</v>
      </c>
      <c r="DJ110" s="2912"/>
      <c r="DK110" s="2912"/>
      <c r="DL110" s="1071">
        <f>IF(DJ110=0,0,(DK110-DJ110)/DJ110*100)</f>
        <v>0</v>
      </c>
      <c r="DM110" s="2912"/>
      <c r="DN110" s="2912"/>
      <c r="DO110" s="1071">
        <f>IF(DM110=0,0,(DN110-DM110)/DM110*100)</f>
        <v>0</v>
      </c>
      <c r="DP110" s="2912"/>
      <c r="DQ110" s="2912"/>
      <c r="DR110" s="1071">
        <f>IF(DP110=0,0,(DQ110-DP110)/DP110*100)</f>
        <v>0</v>
      </c>
      <c r="DS110" s="2912"/>
      <c r="DT110" s="2912"/>
      <c r="DU110" s="1071">
        <f>IF(DS110=0,0,(DT110-DS110)/DS110*100)</f>
        <v>0</v>
      </c>
      <c r="DV110" s="2912"/>
      <c r="DW110" s="2912"/>
      <c r="DX110" s="1071">
        <f>IF(DV110=0,0,(DW110-DV110)/DV110*100)</f>
        <v>0</v>
      </c>
      <c r="DY110" s="2912"/>
      <c r="DZ110" s="2912"/>
      <c r="EA110" s="1071">
        <f>IF(DY110=0,0,(DZ110-DY110)/DY110*100)</f>
        <v>0</v>
      </c>
      <c r="EB110" s="2912"/>
      <c r="EC110" s="2912"/>
      <c r="ED110" s="1071">
        <f>IF(EB110=0,0,(EC110-EB110)/EB110*100)</f>
        <v>0</v>
      </c>
      <c r="EE110" s="2912"/>
      <c r="EF110" s="2912"/>
      <c r="EG110" s="1071">
        <f>IF(EE110=0,0,(EF110-EE110)/EE110*100)</f>
        <v>0</v>
      </c>
      <c r="EH110" s="2912"/>
      <c r="EI110" s="2912"/>
      <c r="EJ110" s="1071">
        <f>IF(EH110=0,0,(EI110-EH110)/EH110*100)</f>
        <v>0</v>
      </c>
      <c r="EK110" s="2912"/>
      <c r="EL110" s="2912"/>
      <c r="EM110" s="1071">
        <f>IF(EK110=0,0,(EL110-EK110)/EK110*100)</f>
        <v>0</v>
      </c>
      <c r="EN110" s="2912"/>
      <c r="EO110" s="2912"/>
      <c r="EP110" s="1071">
        <f>IF(EN110=0,0,(EO110-EN110)/EN110*100)</f>
        <v>0</v>
      </c>
      <c r="EQ110" s="2912"/>
      <c r="ER110" s="2912"/>
      <c r="ES110" s="1071">
        <f>IF(EQ110=0,0,(ER110-EQ110)/EQ110*100)</f>
        <v>0</v>
      </c>
      <c r="ET110" s="2912"/>
      <c r="EU110" s="2912"/>
      <c r="EV110" s="1071">
        <f>IF(ET110=0,0,(EU110-ET110)/ET110*100)</f>
        <v>0</v>
      </c>
      <c r="EW110" s="2912"/>
      <c r="EX110" s="2912"/>
      <c r="EY110" s="1071">
        <f>IF(EW110=0,0,(EX110-EW110)/EW110*100)</f>
        <v>0</v>
      </c>
      <c r="EZ110" s="2912"/>
      <c r="FA110" s="2912"/>
      <c r="FB110" s="1071">
        <f>IF(EZ110=0,0,(FA110-EZ110)/EZ110*100)</f>
        <v>0</v>
      </c>
      <c r="FC110" s="2912"/>
      <c r="FD110" s="2912"/>
      <c r="FE110" s="1071">
        <f>IF(FC110=0,0,(FD110-FC110)/FC110*100)</f>
        <v>0</v>
      </c>
      <c r="FF110" s="2912"/>
      <c r="FG110" s="2912"/>
      <c r="FH110" s="1071">
        <f>IF(FF110=0,0,(FG110-FF110)/FF110*100)</f>
        <v>0</v>
      </c>
      <c r="FI110" s="2912"/>
      <c r="FJ110" s="2912"/>
      <c r="FK110" s="1071">
        <f>IF(FI110=0,0,(FJ110-FI110)/FI110*100)</f>
        <v>0</v>
      </c>
      <c r="FL110" s="2912"/>
      <c r="FM110" s="2912"/>
      <c r="FN110" s="1071">
        <f>IF(FL110=0,0,(FM110-FL110)/FL110*100)</f>
        <v>0</v>
      </c>
      <c r="FO110" s="2912"/>
      <c r="FP110" s="2912"/>
      <c r="FQ110" s="1071">
        <f>IF(FO110=0,0,(FP110-FO110)/FO110*100)</f>
        <v>0</v>
      </c>
      <c r="FR110" s="2912"/>
      <c r="FS110" s="2912"/>
      <c r="FT110" s="1071">
        <f>IF(FR110=0,0,(FS110-FR110)/FR110*100)</f>
        <v>0</v>
      </c>
      <c r="FU110" s="2912"/>
      <c r="FV110" s="2912"/>
      <c r="FW110" s="1071">
        <f>IF(FU110=0,0,(FV110-FU110)/FU110*100)</f>
        <v>0</v>
      </c>
      <c r="FX110" s="1282"/>
      <c r="FY110" s="1282"/>
      <c r="FZ110" s="1032" t="s">
        <v>1524</v>
      </c>
      <c r="GA110" s="1284"/>
      <c r="GB110" s="1284"/>
      <c r="GC110" s="1283"/>
      <c r="GD110" s="1283"/>
    </row>
    <row s="1624" customFormat="1" customHeight="1" ht="14.25" hidden="1">
      <c r="A111" s="466"/>
      <c r="B111" s="901" cm="1" t="str">
        <f t="array" ref="B111:B111">B110</f>
        <v>false</v>
      </c>
      <c r="C111" s="466"/>
      <c r="D111" s="466"/>
      <c r="E111" s="816">
        <v>15</v>
      </c>
      <c r="F111" s="50" cm="1" t="str">
        <f t="array" ref="F111:F111">OFFSET(E111,-1,1)</f>
        <v>1</v>
      </c>
      <c r="G111" s="73" t="s">
        <v>1525</v>
      </c>
      <c r="H111" s="466" t="s">
        <v>1513</v>
      </c>
      <c r="I111" s="466" t="s">
        <v>1479</v>
      </c>
      <c r="J111" s="466"/>
      <c r="K111" s="466"/>
      <c r="L111" s="466"/>
      <c r="M111" s="466"/>
      <c r="N111" s="466"/>
      <c r="O111" s="466"/>
      <c r="P111" s="466"/>
      <c r="Q111" s="466"/>
      <c r="R111" s="466"/>
      <c r="S111" s="466"/>
      <c r="T111" s="438" cm="1" t="str">
        <f t="array" ref="T111:T111">T110</f>
        <v>true</v>
      </c>
      <c r="U111" s="466"/>
      <c r="V111" s="466"/>
      <c r="W111" s="466"/>
      <c r="X111" s="1541"/>
      <c r="Y111" s="466"/>
      <c r="Z111" s="1493"/>
      <c r="AA111" s="466"/>
      <c r="AB111" s="1069" t="str">
        <f>"объём "&amp;IF(Q85="Водоснабжение","потребления холодной воды","водоотведения")</f>
        <v>объём водоотведения</v>
      </c>
      <c r="AC111" s="840" t="s">
        <v>506</v>
      </c>
      <c r="AD111" s="2907">
        <f>IF(AND(method_reg="Метод индексации",god&lt;&gt;first_year),_xlfn.SUMIFS(INDEX('Калькуляция (МИ корр)'!$AJ$25:$BC$315,,MATCH(AD$8,'Калькуляция (МИ корр)'!$AJ$8:$BC$8,0)),'Калькуляция (МИ корр)'!$F$25:$F$315,$F111,'Калькуляция (МИ корр)'!$G$25:$G$315,$G111),IF(method_reg="Метод экономически обоснованных расходов",_xlfn.SUMIFS('Калькуляция (МЭОР)'!$AJ$25:$AJ$197,'Калькуляция (МЭОР)'!$F$25:$F$197,$F111,'Калькуляция (МЭОР)'!$G$25:$G$197,$G111),IF(method_reg="Метод сравнения аналогов",_xlfn.SUMIFS('Калькуляция (МСА)'!$AE$25:$AE$65,'Калькуляция (МСА)'!$F$25:$F$65,$F111,'Калькуляция (МСА)'!$G$25:$G$65,$G111),_xlfn.SUMIFS(INDEX('Калькуляция (МИ)'!$AJ$25:$BC$315,,MATCH(AD$8,'Калькуляция (МИ)'!$AJ$8:$BC$8,0)),'Калькуляция (МИ)'!$F$25:$F$315,$F111,'Калькуляция (МИ)'!$G$25:$G$315,$G111))))</f>
        <v>18.155</v>
      </c>
      <c r="AE111" s="2907">
        <f>IF(AND(method_reg="Метод индексации",god&lt;&gt;first_year),_xlfn.SUMIFS(INDEX('Калькуляция (МИ корр)'!$AJ$25:$BC$315,,MATCH(AE$8,'Калькуляция (МИ корр)'!$AJ$8:$BC$8,0)),'Калькуляция (МИ корр)'!$F$25:$F$315,$F111,'Калькуляция (МИ корр)'!$G$25:$G$315,$G111),IF(method_reg="Метод экономически обоснованных расходов",_xlfn.SUMIFS('Калькуляция (МЭОР)'!$AK$25:$AK$197,'Калькуляция (МЭОР)'!$F$25:$F$197,$F111,'Калькуляция (МЭОР)'!$G$25:$G$197,$G111),IF(method_reg="Метод сравнения аналогов",_xlfn.SUMIFS('Калькуляция (МСА)'!$AF$25:$AF$65,'Калькуляция (МСА)'!$F$25:$F$65,$F111,'Калькуляция (МСА)'!$G$25:$G$65,$G111),_xlfn.SUMIFS(INDEX('Калькуляция (МИ)'!$AJ$25:$BC$315,,MATCH(AE$8,'Калькуляция (МИ)'!$AJ$8:$BC$8,0)),'Калькуляция (МИ)'!$F$25:$F$315,$F111,'Калькуляция (МИ)'!$G$25:$G$315,$G111))))</f>
        <v>8.90626</v>
      </c>
      <c r="AF111" s="1073">
        <f>IF(AD111=0,0,(AE111-AD111)/AD111*100)</f>
        <v>-50.943211236574</v>
      </c>
      <c r="AG111" s="2907">
        <f>IF(AND(method_reg="Метод индексации",god&lt;&gt;first_year),_xlfn.SUMIFS(INDEX('Калькуляция (МИ корр)'!$AJ$25:$BC$315,,MATCH(AG$8,'Калькуляция (МИ корр)'!$AJ$8:$BC$8,0)),'Калькуляция (МИ корр)'!$F$25:$F$315,$F111,'Калькуляция (МИ корр)'!$G$25:$G$315,$G111),IF(method_reg="Метод экономически обоснованных расходов",_xlfn.SUMIFS('Калькуляция (МЭОР)'!$AJ$25:$AJ$197,'Калькуляция (МЭОР)'!$F$25:$F$197,$F111,'Калькуляция (МЭОР)'!$G$25:$G$197,$G111),IF(method_reg="Метод сравнения аналогов",_xlfn.SUMIFS('Калькуляция (МСА)'!$AE$25:$AE$65,'Калькуляция (МСА)'!$F$25:$F$65,$F111,'Калькуляция (МСА)'!$G$25:$G$65,$G111),_xlfn.SUMIFS(INDEX('Калькуляция (МИ)'!$AJ$25:$BC$315,,MATCH(AG$8,'Калькуляция (МИ)'!$AJ$8:$BC$8,0)),'Калькуляция (МИ)'!$F$25:$F$315,$F111,'Калькуляция (МИ)'!$G$25:$G$315,$G111))))</f>
        <v>18.155</v>
      </c>
      <c r="AH111" s="2907">
        <f>IF(AND(method_reg="Метод индексации",god&lt;&gt;first_year),_xlfn.SUMIFS(INDEX('Калькуляция (МИ корр)'!$AJ$25:$BC$315,,MATCH(AH$8,'Калькуляция (МИ корр)'!$AJ$8:$BC$8,0)),'Калькуляция (МИ корр)'!$F$25:$F$315,$F111,'Калькуляция (МИ корр)'!$G$25:$G$315,$G111),IF(method_reg="Метод экономически обоснованных расходов",_xlfn.SUMIFS('Калькуляция (МЭОР)'!$AK$25:$AK$197,'Калькуляция (МЭОР)'!$F$25:$F$197,$F111,'Калькуляция (МЭОР)'!$G$25:$G$197,$G111),IF(method_reg="Метод сравнения аналогов",_xlfn.SUMIFS('Калькуляция (МСА)'!$AF$25:$AF$65,'Калькуляция (МСА)'!$F$25:$F$65,$F111,'Калькуляция (МСА)'!$G$25:$G$65,$G111),_xlfn.SUMIFS(INDEX('Калькуляция (МИ)'!$AJ$25:$BC$315,,MATCH(AH$8,'Калькуляция (МИ)'!$AJ$8:$BC$8,0)),'Калькуляция (МИ)'!$F$25:$F$315,$F111,'Калькуляция (МИ)'!$G$25:$G$315,$G111))))</f>
        <v>8.90626</v>
      </c>
      <c r="AI111" s="1073">
        <f>IF(AG111=0,0,(AH111-AG111)/AG111*100)</f>
        <v>-50.943211236574</v>
      </c>
      <c r="AJ111" s="2907">
        <f>IF(AND(method_reg="Метод индексации",god&lt;&gt;first_year),_xlfn.SUMIFS(INDEX('Калькуляция (МИ корр)'!$AJ$25:$BC$315,,MATCH(AJ$8,'Калькуляция (МИ корр)'!$AJ$8:$BC$8,0)),'Калькуляция (МИ корр)'!$F$25:$F$315,$F111,'Калькуляция (МИ корр)'!$G$25:$G$315,$G111),IF(method_reg="Метод экономически обоснованных расходов",_xlfn.SUMIFS('Калькуляция (МЭОР)'!$AJ$25:$AJ$197,'Калькуляция (МЭОР)'!$F$25:$F$197,$F111,'Калькуляция (МЭОР)'!$G$25:$G$197,$G111),IF(method_reg="Метод сравнения аналогов",_xlfn.SUMIFS('Калькуляция (МСА)'!$AE$25:$AE$65,'Калькуляция (МСА)'!$F$25:$F$65,$F111,'Калькуляция (МСА)'!$G$25:$G$65,$G111),_xlfn.SUMIFS(INDEX('Калькуляция (МИ)'!$AJ$25:$BC$315,,MATCH(AJ$8,'Калькуляция (МИ)'!$AJ$8:$BC$8,0)),'Калькуляция (МИ)'!$F$25:$F$315,$F111,'Калькуляция (МИ)'!$G$25:$G$315,$G111))))</f>
        <v>18.155</v>
      </c>
      <c r="AK111" s="2907">
        <f>IF(AND(method_reg="Метод индексации",god&lt;&gt;first_year),_xlfn.SUMIFS(INDEX('Калькуляция (МИ корр)'!$AJ$25:$BC$315,,MATCH(AK$8,'Калькуляция (МИ корр)'!$AJ$8:$BC$8,0)),'Калькуляция (МИ корр)'!$F$25:$F$315,$F111,'Калькуляция (МИ корр)'!$G$25:$G$315,$G111),IF(method_reg="Метод экономически обоснованных расходов",_xlfn.SUMIFS('Калькуляция (МЭОР)'!$AK$25:$AK$197,'Калькуляция (МЭОР)'!$F$25:$F$197,$F111,'Калькуляция (МЭОР)'!$G$25:$G$197,$G111),IF(method_reg="Метод сравнения аналогов",_xlfn.SUMIFS('Калькуляция (МСА)'!$AF$25:$AF$65,'Калькуляция (МСА)'!$F$25:$F$65,$F111,'Калькуляция (МСА)'!$G$25:$G$65,$G111),_xlfn.SUMIFS(INDEX('Калькуляция (МИ)'!$AJ$25:$BC$315,,MATCH(AK$8,'Калькуляция (МИ)'!$AJ$8:$BC$8,0)),'Калькуляция (МИ)'!$F$25:$F$315,$F111,'Калькуляция (МИ)'!$G$25:$G$315,$G111))))</f>
        <v>8.90626</v>
      </c>
      <c r="AL111" s="1073">
        <f>IF(AJ111=0,0,(AK111-AJ111)/AJ111*100)</f>
        <v>-50.943211236574</v>
      </c>
      <c r="AM111" s="2907">
        <f>IF(AND(method_reg="Метод индексации",god&lt;&gt;first_year),_xlfn.SUMIFS(INDEX('Калькуляция (МИ корр)'!$AJ$25:$BC$315,,MATCH(AM$8,'Калькуляция (МИ корр)'!$AJ$8:$BC$8,0)),'Калькуляция (МИ корр)'!$F$25:$F$315,$F111,'Калькуляция (МИ корр)'!$G$25:$G$315,$G111),IF(method_reg="Метод экономически обоснованных расходов",_xlfn.SUMIFS('Калькуляция (МЭОР)'!$AJ$25:$AJ$197,'Калькуляция (МЭОР)'!$F$25:$F$197,$F111,'Калькуляция (МЭОР)'!$G$25:$G$197,$G111),IF(method_reg="Метод сравнения аналогов",_xlfn.SUMIFS('Калькуляция (МСА)'!$AE$25:$AE$65,'Калькуляция (МСА)'!$F$25:$F$65,$F111,'Калькуляция (МСА)'!$G$25:$G$65,$G111),_xlfn.SUMIFS(INDEX('Калькуляция (МИ)'!$AJ$25:$BC$315,,MATCH(AM$8,'Калькуляция (МИ)'!$AJ$8:$BC$8,0)),'Калькуляция (МИ)'!$F$25:$F$315,$F111,'Калькуляция (МИ)'!$G$25:$G$315,$G111))))</f>
        <v>18.155</v>
      </c>
      <c r="AN111" s="2907">
        <f>IF(AND(method_reg="Метод индексации",god&lt;&gt;first_year),_xlfn.SUMIFS(INDEX('Калькуляция (МИ корр)'!$AJ$25:$BC$315,,MATCH(AN$8,'Калькуляция (МИ корр)'!$AJ$8:$BC$8,0)),'Калькуляция (МИ корр)'!$F$25:$F$315,$F111,'Калькуляция (МИ корр)'!$G$25:$G$315,$G111),IF(method_reg="Метод экономически обоснованных расходов",_xlfn.SUMIFS('Калькуляция (МЭОР)'!$AK$25:$AK$197,'Калькуляция (МЭОР)'!$F$25:$F$197,$F111,'Калькуляция (МЭОР)'!$G$25:$G$197,$G111),IF(method_reg="Метод сравнения аналогов",_xlfn.SUMIFS('Калькуляция (МСА)'!$AF$25:$AF$65,'Калькуляция (МСА)'!$F$25:$F$65,$F111,'Калькуляция (МСА)'!$G$25:$G$65,$G111),_xlfn.SUMIFS(INDEX('Калькуляция (МИ)'!$AJ$25:$BC$315,,MATCH(AN$8,'Калькуляция (МИ)'!$AJ$8:$BC$8,0)),'Калькуляция (МИ)'!$F$25:$F$315,$F111,'Калькуляция (МИ)'!$G$25:$G$315,$G111))))</f>
        <v>8.90626</v>
      </c>
      <c r="AO111" s="1073">
        <f>IF(AM111=0,0,(AN111-AM111)/AM111*100)</f>
        <v>-50.943211236574</v>
      </c>
      <c r="AP111" s="2907">
        <f>IF(AND(method_reg="Метод индексации",god&lt;&gt;first_year),_xlfn.SUMIFS(INDEX('Калькуляция (МИ корр)'!$AJ$25:$BC$315,,MATCH(AP$8,'Калькуляция (МИ корр)'!$AJ$8:$BC$8,0)),'Калькуляция (МИ корр)'!$F$25:$F$315,$F111,'Калькуляция (МИ корр)'!$G$25:$G$315,$G111),IF(method_reg="Метод экономически обоснованных расходов",_xlfn.SUMIFS('Калькуляция (МЭОР)'!$AJ$25:$AJ$197,'Калькуляция (МЭОР)'!$F$25:$F$197,$F111,'Калькуляция (МЭОР)'!$G$25:$G$197,$G111),IF(method_reg="Метод сравнения аналогов",_xlfn.SUMIFS('Калькуляция (МСА)'!$AE$25:$AE$65,'Калькуляция (МСА)'!$F$25:$F$65,$F111,'Калькуляция (МСА)'!$G$25:$G$65,$G111),_xlfn.SUMIFS(INDEX('Калькуляция (МИ)'!$AJ$25:$BC$315,,MATCH(AP$8,'Калькуляция (МИ)'!$AJ$8:$BC$8,0)),'Калькуляция (МИ)'!$F$25:$F$315,$F111,'Калькуляция (МИ)'!$G$25:$G$315,$G111))))</f>
        <v>18.155</v>
      </c>
      <c r="AQ111" s="2907">
        <f>IF(AND(method_reg="Метод индексации",god&lt;&gt;first_year),_xlfn.SUMIFS(INDEX('Калькуляция (МИ корр)'!$AJ$25:$BC$315,,MATCH(AQ$8,'Калькуляция (МИ корр)'!$AJ$8:$BC$8,0)),'Калькуляция (МИ корр)'!$F$25:$F$315,$F111,'Калькуляция (МИ корр)'!$G$25:$G$315,$G111),IF(method_reg="Метод экономически обоснованных расходов",_xlfn.SUMIFS('Калькуляция (МЭОР)'!$AK$25:$AK$197,'Калькуляция (МЭОР)'!$F$25:$F$197,$F111,'Калькуляция (МЭОР)'!$G$25:$G$197,$G111),IF(method_reg="Метод сравнения аналогов",_xlfn.SUMIFS('Калькуляция (МСА)'!$AF$25:$AF$65,'Калькуляция (МСА)'!$F$25:$F$65,$F111,'Калькуляция (МСА)'!$G$25:$G$65,$G111),_xlfn.SUMIFS(INDEX('Калькуляция (МИ)'!$AJ$25:$BC$315,,MATCH(AQ$8,'Калькуляция (МИ)'!$AJ$8:$BC$8,0)),'Калькуляция (МИ)'!$F$25:$F$315,$F111,'Калькуляция (МИ)'!$G$25:$G$315,$G111))))</f>
        <v>8.90626</v>
      </c>
      <c r="AR111" s="1073">
        <f>IF(AP111=0,0,(AQ111-AP111)/AP111*100)</f>
        <v>-50.943211236574</v>
      </c>
      <c r="AS111" s="2907">
        <f>IF(AND(method_reg="Метод индексации",god&lt;&gt;first_year),_xlfn.SUMIFS(INDEX('Калькуляция (МИ корр)'!$AJ$25:$BC$315,,MATCH(AS$8,'Калькуляция (МИ корр)'!$AJ$8:$BC$8,0)),'Калькуляция (МИ корр)'!$F$25:$F$315,$F111,'Калькуляция (МИ корр)'!$G$25:$G$315,$G111),IF(method_reg="Метод экономически обоснованных расходов",_xlfn.SUMIFS('Калькуляция (МЭОР)'!$AJ$25:$AJ$197,'Калькуляция (МЭОР)'!$F$25:$F$197,$F111,'Калькуляция (МЭОР)'!$G$25:$G$197,$G111),IF(method_reg="Метод сравнения аналогов",_xlfn.SUMIFS('Калькуляция (МСА)'!$AE$25:$AE$65,'Калькуляция (МСА)'!$F$25:$F$65,$F111,'Калькуляция (МСА)'!$G$25:$G$65,$G111),_xlfn.SUMIFS(INDEX('Калькуляция (МИ)'!$AJ$25:$BC$315,,MATCH(AS$8,'Калькуляция (МИ)'!$AJ$8:$BC$8,0)),'Калькуляция (МИ)'!$F$25:$F$315,$F111,'Калькуляция (МИ)'!$G$25:$G$315,$G111))))</f>
        <v>18.155</v>
      </c>
      <c r="AT111" s="2907">
        <f>IF(AND(method_reg="Метод индексации",god&lt;&gt;first_year),_xlfn.SUMIFS(INDEX('Калькуляция (МИ корр)'!$AJ$25:$BC$315,,MATCH(AT$8,'Калькуляция (МИ корр)'!$AJ$8:$BC$8,0)),'Калькуляция (МИ корр)'!$F$25:$F$315,$F111,'Калькуляция (МИ корр)'!$G$25:$G$315,$G111),IF(method_reg="Метод экономически обоснованных расходов",_xlfn.SUMIFS('Калькуляция (МЭОР)'!$AK$25:$AK$197,'Калькуляция (МЭОР)'!$F$25:$F$197,$F111,'Калькуляция (МЭОР)'!$G$25:$G$197,$G111),IF(method_reg="Метод сравнения аналогов",_xlfn.SUMIFS('Калькуляция (МСА)'!$AF$25:$AF$65,'Калькуляция (МСА)'!$F$25:$F$65,$F111,'Калькуляция (МСА)'!$G$25:$G$65,$G111),_xlfn.SUMIFS(INDEX('Калькуляция (МИ)'!$AJ$25:$BC$315,,MATCH(AT$8,'Калькуляция (МИ)'!$AJ$8:$BC$8,0)),'Калькуляция (МИ)'!$F$25:$F$315,$F111,'Калькуляция (МИ)'!$G$25:$G$315,$G111))))</f>
        <v>8.90626</v>
      </c>
      <c r="AU111" s="1073">
        <f>IF(AS111=0,0,(AT111-AS111)/AS111*100)</f>
        <v>-50.943211236574</v>
      </c>
      <c r="AV111" s="2907">
        <f>IF(AND(method_reg="Метод индексации",god&lt;&gt;first_year),_xlfn.SUMIFS(INDEX('Калькуляция (МИ корр)'!$AJ$25:$BC$315,,MATCH(AV$8,'Калькуляция (МИ корр)'!$AJ$8:$BC$8,0)),'Калькуляция (МИ корр)'!$F$25:$F$315,$F111,'Калькуляция (МИ корр)'!$G$25:$G$315,$G111),IF(method_reg="Метод экономически обоснованных расходов",_xlfn.SUMIFS('Калькуляция (МЭОР)'!$AJ$25:$AJ$197,'Калькуляция (МЭОР)'!$F$25:$F$197,$F111,'Калькуляция (МЭОР)'!$G$25:$G$197,$G111),IF(method_reg="Метод сравнения аналогов",_xlfn.SUMIFS('Калькуляция (МСА)'!$AE$25:$AE$65,'Калькуляция (МСА)'!$F$25:$F$65,$F111,'Калькуляция (МСА)'!$G$25:$G$65,$G111),_xlfn.SUMIFS(INDEX('Калькуляция (МИ)'!$AJ$25:$BC$315,,MATCH(AV$8,'Калькуляция (МИ)'!$AJ$8:$BC$8,0)),'Калькуляция (МИ)'!$F$25:$F$315,$F111,'Калькуляция (МИ)'!$G$25:$G$315,$G111))))</f>
        <v>18.155</v>
      </c>
      <c r="AW111" s="2907">
        <f>IF(AND(method_reg="Метод индексации",god&lt;&gt;first_year),_xlfn.SUMIFS(INDEX('Калькуляция (МИ корр)'!$AJ$25:$BC$315,,MATCH(AW$8,'Калькуляция (МИ корр)'!$AJ$8:$BC$8,0)),'Калькуляция (МИ корр)'!$F$25:$F$315,$F111,'Калькуляция (МИ корр)'!$G$25:$G$315,$G111),IF(method_reg="Метод экономически обоснованных расходов",_xlfn.SUMIFS('Калькуляция (МЭОР)'!$AK$25:$AK$197,'Калькуляция (МЭОР)'!$F$25:$F$197,$F111,'Калькуляция (МЭОР)'!$G$25:$G$197,$G111),IF(method_reg="Метод сравнения аналогов",_xlfn.SUMIFS('Калькуляция (МСА)'!$AF$25:$AF$65,'Калькуляция (МСА)'!$F$25:$F$65,$F111,'Калькуляция (МСА)'!$G$25:$G$65,$G111),_xlfn.SUMIFS(INDEX('Калькуляция (МИ)'!$AJ$25:$BC$315,,MATCH(AW$8,'Калькуляция (МИ)'!$AJ$8:$BC$8,0)),'Калькуляция (МИ)'!$F$25:$F$315,$F111,'Калькуляция (МИ)'!$G$25:$G$315,$G111))))</f>
        <v>8.90626</v>
      </c>
      <c r="AX111" s="1073">
        <f>IF(AV111=0,0,(AW111-AV111)/AV111*100)</f>
        <v>-50.943211236574</v>
      </c>
      <c r="AY111" s="2907">
        <f>IF(AND(method_reg="Метод индексации",god&lt;&gt;first_year),_xlfn.SUMIFS(INDEX('Калькуляция (МИ корр)'!$AJ$25:$BC$315,,MATCH(AY$8,'Калькуляция (МИ корр)'!$AJ$8:$BC$8,0)),'Калькуляция (МИ корр)'!$F$25:$F$315,$F111,'Калькуляция (МИ корр)'!$G$25:$G$315,$G111),IF(method_reg="Метод экономически обоснованных расходов",_xlfn.SUMIFS('Калькуляция (МЭОР)'!$AJ$25:$AJ$197,'Калькуляция (МЭОР)'!$F$25:$F$197,$F111,'Калькуляция (МЭОР)'!$G$25:$G$197,$G111),IF(method_reg="Метод сравнения аналогов",_xlfn.SUMIFS('Калькуляция (МСА)'!$AE$25:$AE$65,'Калькуляция (МСА)'!$F$25:$F$65,$F111,'Калькуляция (МСА)'!$G$25:$G$65,$G111),_xlfn.SUMIFS(INDEX('Калькуляция (МИ)'!$AJ$25:$BC$315,,MATCH(AY$8,'Калькуляция (МИ)'!$AJ$8:$BC$8,0)),'Калькуляция (МИ)'!$F$25:$F$315,$F111,'Калькуляция (МИ)'!$G$25:$G$315,$G111))))</f>
        <v>18.155</v>
      </c>
      <c r="AZ111" s="2907">
        <f>IF(AND(method_reg="Метод индексации",god&lt;&gt;first_year),_xlfn.SUMIFS(INDEX('Калькуляция (МИ корр)'!$AJ$25:$BC$315,,MATCH(AZ$8,'Калькуляция (МИ корр)'!$AJ$8:$BC$8,0)),'Калькуляция (МИ корр)'!$F$25:$F$315,$F111,'Калькуляция (МИ корр)'!$G$25:$G$315,$G111),IF(method_reg="Метод экономически обоснованных расходов",_xlfn.SUMIFS('Калькуляция (МЭОР)'!$AK$25:$AK$197,'Калькуляция (МЭОР)'!$F$25:$F$197,$F111,'Калькуляция (МЭОР)'!$G$25:$G$197,$G111),IF(method_reg="Метод сравнения аналогов",_xlfn.SUMIFS('Калькуляция (МСА)'!$AF$25:$AF$65,'Калькуляция (МСА)'!$F$25:$F$65,$F111,'Калькуляция (МСА)'!$G$25:$G$65,$G111),_xlfn.SUMIFS(INDEX('Калькуляция (МИ)'!$AJ$25:$BC$315,,MATCH(AZ$8,'Калькуляция (МИ)'!$AJ$8:$BC$8,0)),'Калькуляция (МИ)'!$F$25:$F$315,$F111,'Калькуляция (МИ)'!$G$25:$G$315,$G111))))</f>
        <v>8.90626</v>
      </c>
      <c r="BA111" s="1073">
        <f>IF(AY111=0,0,(AZ111-AY111)/AY111*100)</f>
        <v>-50.943211236574</v>
      </c>
      <c r="BB111" s="2907">
        <f>IF(AND(method_reg="Метод индексации",god&lt;&gt;first_year),_xlfn.SUMIFS(INDEX('Калькуляция (МИ корр)'!$AJ$25:$BC$315,,MATCH(BB$8,'Калькуляция (МИ корр)'!$AJ$8:$BC$8,0)),'Калькуляция (МИ корр)'!$F$25:$F$315,$F111,'Калькуляция (МИ корр)'!$G$25:$G$315,$G111),IF(method_reg="Метод экономически обоснованных расходов",_xlfn.SUMIFS('Калькуляция (МЭОР)'!$AJ$25:$AJ$197,'Калькуляция (МЭОР)'!$F$25:$F$197,$F111,'Калькуляция (МЭОР)'!$G$25:$G$197,$G111),IF(method_reg="Метод сравнения аналогов",_xlfn.SUMIFS('Калькуляция (МСА)'!$AE$25:$AE$65,'Калькуляция (МСА)'!$F$25:$F$65,$F111,'Калькуляция (МСА)'!$G$25:$G$65,$G111),_xlfn.SUMIFS(INDEX('Калькуляция (МИ)'!$AJ$25:$BC$315,,MATCH(BB$8,'Калькуляция (МИ)'!$AJ$8:$BC$8,0)),'Калькуляция (МИ)'!$F$25:$F$315,$F111,'Калькуляция (МИ)'!$G$25:$G$315,$G111))))</f>
        <v>18.155</v>
      </c>
      <c r="BC111" s="2907">
        <f>IF(AND(method_reg="Метод индексации",god&lt;&gt;first_year),_xlfn.SUMIFS(INDEX('Калькуляция (МИ корр)'!$AJ$25:$BC$315,,MATCH(BC$8,'Калькуляция (МИ корр)'!$AJ$8:$BC$8,0)),'Калькуляция (МИ корр)'!$F$25:$F$315,$F111,'Калькуляция (МИ корр)'!$G$25:$G$315,$G111),IF(method_reg="Метод экономически обоснованных расходов",_xlfn.SUMIFS('Калькуляция (МЭОР)'!$AK$25:$AK$197,'Калькуляция (МЭОР)'!$F$25:$F$197,$F111,'Калькуляция (МЭОР)'!$G$25:$G$197,$G111),IF(method_reg="Метод сравнения аналогов",_xlfn.SUMIFS('Калькуляция (МСА)'!$AF$25:$AF$65,'Калькуляция (МСА)'!$F$25:$F$65,$F111,'Калькуляция (МСА)'!$G$25:$G$65,$G111),_xlfn.SUMIFS(INDEX('Калькуляция (МИ)'!$AJ$25:$BC$315,,MATCH(BC$8,'Калькуляция (МИ)'!$AJ$8:$BC$8,0)),'Калькуляция (МИ)'!$F$25:$F$315,$F111,'Калькуляция (МИ)'!$G$25:$G$315,$G111))))</f>
        <v>8.90626</v>
      </c>
      <c r="BD111" s="1073">
        <f>IF(BB111=0,0,(BC111-BB111)/BB111*100)</f>
        <v>-50.943211236574</v>
      </c>
      <c r="BE111" s="2907">
        <f>IF(AND(method_reg="Метод индексации",god&lt;&gt;first_year),_xlfn.SUMIFS(INDEX('Калькуляция (МИ корр)'!$AJ$25:$BC$315,,MATCH(BE$8,'Калькуляция (МИ корр)'!$AJ$8:$BC$8,0)),'Калькуляция (МИ корр)'!$F$25:$F$315,$F111,'Калькуляция (МИ корр)'!$G$25:$G$315,$G111),IF(method_reg="Метод экономически обоснованных расходов",_xlfn.SUMIFS('Калькуляция (МЭОР)'!$AJ$25:$AJ$197,'Калькуляция (МЭОР)'!$F$25:$F$197,$F111,'Калькуляция (МЭОР)'!$G$25:$G$197,$G111),IF(method_reg="Метод сравнения аналогов",_xlfn.SUMIFS('Калькуляция (МСА)'!$AE$25:$AE$65,'Калькуляция (МСА)'!$F$25:$F$65,$F111,'Калькуляция (МСА)'!$G$25:$G$65,$G111),_xlfn.SUMIFS(INDEX('Калькуляция (МИ)'!$AJ$25:$BC$315,,MATCH(BE$8,'Калькуляция (МИ)'!$AJ$8:$BC$8,0)),'Калькуляция (МИ)'!$F$25:$F$315,$F111,'Калькуляция (МИ)'!$G$25:$G$315,$G111))))</f>
        <v>18.155</v>
      </c>
      <c r="BF111" s="2907">
        <f>IF(AND(method_reg="Метод индексации",god&lt;&gt;first_year),_xlfn.SUMIFS(INDEX('Калькуляция (МИ корр)'!$AJ$25:$BC$315,,MATCH(BF$8,'Калькуляция (МИ корр)'!$AJ$8:$BC$8,0)),'Калькуляция (МИ корр)'!$F$25:$F$315,$F111,'Калькуляция (МИ корр)'!$G$25:$G$315,$G111),IF(method_reg="Метод экономически обоснованных расходов",_xlfn.SUMIFS('Калькуляция (МЭОР)'!$AK$25:$AK$197,'Калькуляция (МЭОР)'!$F$25:$F$197,$F111,'Калькуляция (МЭОР)'!$G$25:$G$197,$G111),IF(method_reg="Метод сравнения аналогов",_xlfn.SUMIFS('Калькуляция (МСА)'!$AF$25:$AF$65,'Калькуляция (МСА)'!$F$25:$F$65,$F111,'Калькуляция (МСА)'!$G$25:$G$65,$G111),_xlfn.SUMIFS(INDEX('Калькуляция (МИ)'!$AJ$25:$BC$315,,MATCH(BF$8,'Калькуляция (МИ)'!$AJ$8:$BC$8,0)),'Калькуляция (МИ)'!$F$25:$F$315,$F111,'Калькуляция (МИ)'!$G$25:$G$315,$G111))))</f>
        <v>8.90626</v>
      </c>
      <c r="BG111" s="1082">
        <f>IF(BE111=0,0,(BF111-BE111)/BE111*100)</f>
        <v>-50.943211236574</v>
      </c>
      <c r="BH111" s="2907"/>
      <c r="BI111" s="2907"/>
      <c r="BJ111" s="1082">
        <f>IF(BH111=0,0,(BI111-BH111)/BH111*100)</f>
        <v>0</v>
      </c>
      <c r="BK111" s="2907"/>
      <c r="BL111" s="2907"/>
      <c r="BM111" s="1082">
        <f>IF(BK111=0,0,(BL111-BK111)/BK111*100)</f>
        <v>0</v>
      </c>
      <c r="BN111" s="2907"/>
      <c r="BO111" s="2907"/>
      <c r="BP111" s="1082">
        <f>IF(BN111=0,0,(BO111-BN111)/BN111*100)</f>
        <v>0</v>
      </c>
      <c r="BQ111" s="2907"/>
      <c r="BR111" s="2907"/>
      <c r="BS111" s="1082">
        <f>IF(BQ111=0,0,(BR111-BQ111)/BQ111*100)</f>
        <v>0</v>
      </c>
      <c r="BT111" s="2907"/>
      <c r="BU111" s="2907"/>
      <c r="BV111" s="1082">
        <f>IF(BT111=0,0,(BU111-BT111)/BT111*100)</f>
        <v>0</v>
      </c>
      <c r="BW111" s="2907"/>
      <c r="BX111" s="2907"/>
      <c r="BY111" s="1082">
        <f>IF(BW111=0,0,(BX111-BW111)/BW111*100)</f>
        <v>0</v>
      </c>
      <c r="BZ111" s="2907"/>
      <c r="CA111" s="2907"/>
      <c r="CB111" s="1082">
        <f>IF(BZ111=0,0,(CA111-BZ111)/BZ111*100)</f>
        <v>0</v>
      </c>
      <c r="CC111" s="2907"/>
      <c r="CD111" s="2907"/>
      <c r="CE111" s="1082">
        <f>IF(CC111=0,0,(CD111-CC111)/CC111*100)</f>
        <v>0</v>
      </c>
      <c r="CF111" s="2907"/>
      <c r="CG111" s="2907"/>
      <c r="CH111" s="1082">
        <f>IF(CF111=0,0,(CG111-CF111)/CF111*100)</f>
        <v>0</v>
      </c>
      <c r="CI111" s="2907"/>
      <c r="CJ111" s="2907"/>
      <c r="CK111" s="1082">
        <f>IF(CI111=0,0,(CJ111-CI111)/CI111*100)</f>
        <v>0</v>
      </c>
      <c r="CL111" s="2907"/>
      <c r="CM111" s="2907"/>
      <c r="CN111" s="1082">
        <f>IF(CL111=0,0,(CM111-CL111)/CL111*100)</f>
        <v>0</v>
      </c>
      <c r="CO111" s="2907"/>
      <c r="CP111" s="2907"/>
      <c r="CQ111" s="1082">
        <f>IF(CO111=0,0,(CP111-CO111)/CO111*100)</f>
        <v>0</v>
      </c>
      <c r="CR111" s="2907"/>
      <c r="CS111" s="2907"/>
      <c r="CT111" s="1082">
        <f>IF(CR111=0,0,(CS111-CR111)/CR111*100)</f>
        <v>0</v>
      </c>
      <c r="CU111" s="2907"/>
      <c r="CV111" s="2907"/>
      <c r="CW111" s="1082">
        <f>IF(CU111=0,0,(CV111-CU111)/CU111*100)</f>
        <v>0</v>
      </c>
      <c r="CX111" s="2907"/>
      <c r="CY111" s="2907"/>
      <c r="CZ111" s="1082">
        <f>IF(CX111=0,0,(CY111-CX111)/CX111*100)</f>
        <v>0</v>
      </c>
      <c r="DA111" s="2907"/>
      <c r="DB111" s="2907"/>
      <c r="DC111" s="1082">
        <f>IF(DA111=0,0,(DB111-DA111)/DA111*100)</f>
        <v>0</v>
      </c>
      <c r="DD111" s="2907"/>
      <c r="DE111" s="2907"/>
      <c r="DF111" s="1082">
        <f>IF(DD111=0,0,(DE111-DD111)/DD111*100)</f>
        <v>0</v>
      </c>
      <c r="DG111" s="2907"/>
      <c r="DH111" s="2907"/>
      <c r="DI111" s="1082">
        <f>IF(DG111=0,0,(DH111-DG111)/DG111*100)</f>
        <v>0</v>
      </c>
      <c r="DJ111" s="2907"/>
      <c r="DK111" s="2907"/>
      <c r="DL111" s="1082">
        <f>IF(DJ111=0,0,(DK111-DJ111)/DJ111*100)</f>
        <v>0</v>
      </c>
      <c r="DM111" s="2907"/>
      <c r="DN111" s="2907"/>
      <c r="DO111" s="1082">
        <f>IF(DM111=0,0,(DN111-DM111)/DM111*100)</f>
        <v>0</v>
      </c>
      <c r="DP111" s="2907"/>
      <c r="DQ111" s="2907"/>
      <c r="DR111" s="1082">
        <f>IF(DP111=0,0,(DQ111-DP111)/DP111*100)</f>
        <v>0</v>
      </c>
      <c r="DS111" s="2907"/>
      <c r="DT111" s="2907"/>
      <c r="DU111" s="1082">
        <f>IF(DS111=0,0,(DT111-DS111)/DS111*100)</f>
        <v>0</v>
      </c>
      <c r="DV111" s="2907"/>
      <c r="DW111" s="2907"/>
      <c r="DX111" s="1082">
        <f>IF(DV111=0,0,(DW111-DV111)/DV111*100)</f>
        <v>0</v>
      </c>
      <c r="DY111" s="2907"/>
      <c r="DZ111" s="2907"/>
      <c r="EA111" s="1082">
        <f>IF(DY111=0,0,(DZ111-DY111)/DY111*100)</f>
        <v>0</v>
      </c>
      <c r="EB111" s="2907"/>
      <c r="EC111" s="2907"/>
      <c r="ED111" s="1082">
        <f>IF(EB111=0,0,(EC111-EB111)/EB111*100)</f>
        <v>0</v>
      </c>
      <c r="EE111" s="2907"/>
      <c r="EF111" s="2907"/>
      <c r="EG111" s="1082">
        <f>IF(EE111=0,0,(EF111-EE111)/EE111*100)</f>
        <v>0</v>
      </c>
      <c r="EH111" s="2907"/>
      <c r="EI111" s="2907"/>
      <c r="EJ111" s="1082">
        <f>IF(EH111=0,0,(EI111-EH111)/EH111*100)</f>
        <v>0</v>
      </c>
      <c r="EK111" s="2907"/>
      <c r="EL111" s="2907"/>
      <c r="EM111" s="1082">
        <f>IF(EK111=0,0,(EL111-EK111)/EK111*100)</f>
        <v>0</v>
      </c>
      <c r="EN111" s="2907"/>
      <c r="EO111" s="2907"/>
      <c r="EP111" s="1082">
        <f>IF(EN111=0,0,(EO111-EN111)/EN111*100)</f>
        <v>0</v>
      </c>
      <c r="EQ111" s="2907"/>
      <c r="ER111" s="2907"/>
      <c r="ES111" s="1082">
        <f>IF(EQ111=0,0,(ER111-EQ111)/EQ111*100)</f>
        <v>0</v>
      </c>
      <c r="ET111" s="2907"/>
      <c r="EU111" s="2907"/>
      <c r="EV111" s="1082">
        <f>IF(ET111=0,0,(EU111-ET111)/ET111*100)</f>
        <v>0</v>
      </c>
      <c r="EW111" s="2907"/>
      <c r="EX111" s="2907"/>
      <c r="EY111" s="1082">
        <f>IF(EW111=0,0,(EX111-EW111)/EW111*100)</f>
        <v>0</v>
      </c>
      <c r="EZ111" s="2907"/>
      <c r="FA111" s="2907"/>
      <c r="FB111" s="1082">
        <f>IF(EZ111=0,0,(FA111-EZ111)/EZ111*100)</f>
        <v>0</v>
      </c>
      <c r="FC111" s="2907"/>
      <c r="FD111" s="2907"/>
      <c r="FE111" s="1082">
        <f>IF(FC111=0,0,(FD111-FC111)/FC111*100)</f>
        <v>0</v>
      </c>
      <c r="FF111" s="2907"/>
      <c r="FG111" s="2907"/>
      <c r="FH111" s="1082">
        <f>IF(FF111=0,0,(FG111-FF111)/FF111*100)</f>
        <v>0</v>
      </c>
      <c r="FI111" s="2907"/>
      <c r="FJ111" s="2907"/>
      <c r="FK111" s="1082">
        <f>IF(FI111=0,0,(FJ111-FI111)/FI111*100)</f>
        <v>0</v>
      </c>
      <c r="FL111" s="2907"/>
      <c r="FM111" s="2907"/>
      <c r="FN111" s="1082">
        <f>IF(FL111=0,0,(FM111-FL111)/FL111*100)</f>
        <v>0</v>
      </c>
      <c r="FO111" s="2907"/>
      <c r="FP111" s="2907"/>
      <c r="FQ111" s="1082">
        <f>IF(FO111=0,0,(FP111-FO111)/FO111*100)</f>
        <v>0</v>
      </c>
      <c r="FR111" s="2907"/>
      <c r="FS111" s="2907"/>
      <c r="FT111" s="1082">
        <f>IF(FR111=0,0,(FS111-FR111)/FR111*100)</f>
        <v>0</v>
      </c>
      <c r="FU111" s="2907"/>
      <c r="FV111" s="2907"/>
      <c r="FW111" s="1082">
        <f>IF(FU111=0,0,(FV111-FU111)/FU111*100)</f>
        <v>0</v>
      </c>
      <c r="FX111" s="1282"/>
      <c r="FY111" s="1282"/>
      <c r="FZ111" s="1032" t="s">
        <v>1526</v>
      </c>
      <c r="GA111" s="1284"/>
      <c r="GB111" s="1284"/>
      <c r="GC111" s="1283"/>
      <c r="GD111" s="1283"/>
    </row>
    <row s="1624" customFormat="1" customHeight="1" ht="21.75" hidden="1">
      <c r="A112" s="466"/>
      <c r="B112" s="901" cm="1" t="str">
        <f t="array" ref="B112:B112">B111</f>
        <v>false</v>
      </c>
      <c r="C112" s="466"/>
      <c r="D112" s="466"/>
      <c r="E112" s="816">
        <v>22.5</v>
      </c>
      <c r="F112" s="50" cm="1" t="str">
        <f t="array" ref="F112:F112">OFFSET(E112,-1,1)</f>
        <v>1</v>
      </c>
      <c r="G112" s="466"/>
      <c r="H112" s="466" t="s">
        <v>1515</v>
      </c>
      <c r="I112" s="466" t="s">
        <v>1479</v>
      </c>
      <c r="J112" s="466"/>
      <c r="K112" s="466"/>
      <c r="L112" s="466"/>
      <c r="M112" s="466"/>
      <c r="N112" s="466"/>
      <c r="O112" s="466"/>
      <c r="P112" s="466"/>
      <c r="Q112" s="466"/>
      <c r="R112" s="466"/>
      <c r="S112" s="466"/>
      <c r="T112" s="438" cm="1" t="str">
        <f t="array" ref="T112:T112">T111</f>
        <v>true</v>
      </c>
      <c r="U112" s="466"/>
      <c r="V112" s="466"/>
      <c r="W112" s="466"/>
      <c r="X112" s="1541"/>
      <c r="Y112" s="466"/>
      <c r="Z112" s="1493"/>
      <c r="AA112" s="466"/>
      <c r="AB112" s="1069" t="str">
        <f>"ставка платы за содержание системы "&amp;IF(Q85="Водоснабжение","холодного водоснабжения","водоотведения")</f>
        <v>ставка платы за содержание системы водоотведения</v>
      </c>
      <c r="AC112" s="840" t="s">
        <v>1516</v>
      </c>
      <c r="AD112" s="2912"/>
      <c r="AE112" s="2912"/>
      <c r="AF112" s="1071">
        <f>IF(AD112=0,0,(AE112-AD112)/AD112*100)</f>
        <v>0</v>
      </c>
      <c r="AG112" s="2912"/>
      <c r="AH112" s="2912"/>
      <c r="AI112" s="1071">
        <f>IF(AG112=0,0,(AH112-AG112)/AG112*100)</f>
        <v>0</v>
      </c>
      <c r="AJ112" s="2912"/>
      <c r="AK112" s="2912"/>
      <c r="AL112" s="1071">
        <f>IF(AJ112=0,0,(AK112-AJ112)/AJ112*100)</f>
        <v>0</v>
      </c>
      <c r="AM112" s="2912"/>
      <c r="AN112" s="2912"/>
      <c r="AO112" s="1071">
        <f>IF(AM112=0,0,(AN112-AM112)/AM112*100)</f>
        <v>0</v>
      </c>
      <c r="AP112" s="2912"/>
      <c r="AQ112" s="2912"/>
      <c r="AR112" s="1071">
        <f>IF(AP112=0,0,(AQ112-AP112)/AP112*100)</f>
        <v>0</v>
      </c>
      <c r="AS112" s="2912"/>
      <c r="AT112" s="2912"/>
      <c r="AU112" s="1071">
        <f>IF(AS112=0,0,(AT112-AS112)/AS112*100)</f>
        <v>0</v>
      </c>
      <c r="AV112" s="2912"/>
      <c r="AW112" s="2912"/>
      <c r="AX112" s="1071">
        <f>IF(AV112=0,0,(AW112-AV112)/AV112*100)</f>
        <v>0</v>
      </c>
      <c r="AY112" s="2912"/>
      <c r="AZ112" s="2912"/>
      <c r="BA112" s="1071">
        <f>IF(AY112=0,0,(AZ112-AY112)/AY112*100)</f>
        <v>0</v>
      </c>
      <c r="BB112" s="2912"/>
      <c r="BC112" s="2912"/>
      <c r="BD112" s="1071">
        <f>IF(BB112=0,0,(BC112-BB112)/BB112*100)</f>
        <v>0</v>
      </c>
      <c r="BE112" s="2912"/>
      <c r="BF112" s="2912"/>
      <c r="BG112" s="1071">
        <f>IF(BE112=0,0,(BF112-BE112)/BE112*100)</f>
        <v>0</v>
      </c>
      <c r="BH112" s="2912"/>
      <c r="BI112" s="2912"/>
      <c r="BJ112" s="1071">
        <f>IF(BH112=0,0,(BI112-BH112)/BH112*100)</f>
        <v>0</v>
      </c>
      <c r="BK112" s="2912"/>
      <c r="BL112" s="2912"/>
      <c r="BM112" s="1071">
        <f>IF(BK112=0,0,(BL112-BK112)/BK112*100)</f>
        <v>0</v>
      </c>
      <c r="BN112" s="2912"/>
      <c r="BO112" s="2912"/>
      <c r="BP112" s="1071">
        <f>IF(BN112=0,0,(BO112-BN112)/BN112*100)</f>
        <v>0</v>
      </c>
      <c r="BQ112" s="2912"/>
      <c r="BR112" s="2912"/>
      <c r="BS112" s="1071">
        <f>IF(BQ112=0,0,(BR112-BQ112)/BQ112*100)</f>
        <v>0</v>
      </c>
      <c r="BT112" s="2912"/>
      <c r="BU112" s="2912"/>
      <c r="BV112" s="1071">
        <f>IF(BT112=0,0,(BU112-BT112)/BT112*100)</f>
        <v>0</v>
      </c>
      <c r="BW112" s="2912"/>
      <c r="BX112" s="2912"/>
      <c r="BY112" s="1071">
        <f>IF(BW112=0,0,(BX112-BW112)/BW112*100)</f>
        <v>0</v>
      </c>
      <c r="BZ112" s="2912"/>
      <c r="CA112" s="2912"/>
      <c r="CB112" s="1071">
        <f>IF(BZ112=0,0,(CA112-BZ112)/BZ112*100)</f>
        <v>0</v>
      </c>
      <c r="CC112" s="2912"/>
      <c r="CD112" s="2912"/>
      <c r="CE112" s="1071">
        <f>IF(CC112=0,0,(CD112-CC112)/CC112*100)</f>
        <v>0</v>
      </c>
      <c r="CF112" s="2912"/>
      <c r="CG112" s="2912"/>
      <c r="CH112" s="1071">
        <f>IF(CF112=0,0,(CG112-CF112)/CF112*100)</f>
        <v>0</v>
      </c>
      <c r="CI112" s="2912"/>
      <c r="CJ112" s="2912"/>
      <c r="CK112" s="1071">
        <f>IF(CI112=0,0,(CJ112-CI112)/CI112*100)</f>
        <v>0</v>
      </c>
      <c r="CL112" s="2912"/>
      <c r="CM112" s="2912"/>
      <c r="CN112" s="1071">
        <f>IF(CL112=0,0,(CM112-CL112)/CL112*100)</f>
        <v>0</v>
      </c>
      <c r="CO112" s="2912"/>
      <c r="CP112" s="2912"/>
      <c r="CQ112" s="1071">
        <f>IF(CO112=0,0,(CP112-CO112)/CO112*100)</f>
        <v>0</v>
      </c>
      <c r="CR112" s="2912"/>
      <c r="CS112" s="2912"/>
      <c r="CT112" s="1071">
        <f>IF(CR112=0,0,(CS112-CR112)/CR112*100)</f>
        <v>0</v>
      </c>
      <c r="CU112" s="2912"/>
      <c r="CV112" s="2912"/>
      <c r="CW112" s="1071">
        <f>IF(CU112=0,0,(CV112-CU112)/CU112*100)</f>
        <v>0</v>
      </c>
      <c r="CX112" s="2912"/>
      <c r="CY112" s="2912"/>
      <c r="CZ112" s="1071">
        <f>IF(CX112=0,0,(CY112-CX112)/CX112*100)</f>
        <v>0</v>
      </c>
      <c r="DA112" s="2912"/>
      <c r="DB112" s="2912"/>
      <c r="DC112" s="1071">
        <f>IF(DA112=0,0,(DB112-DA112)/DA112*100)</f>
        <v>0</v>
      </c>
      <c r="DD112" s="2912"/>
      <c r="DE112" s="2912"/>
      <c r="DF112" s="1071">
        <f>IF(DD112=0,0,(DE112-DD112)/DD112*100)</f>
        <v>0</v>
      </c>
      <c r="DG112" s="2912"/>
      <c r="DH112" s="2912"/>
      <c r="DI112" s="1071">
        <f>IF(DG112=0,0,(DH112-DG112)/DG112*100)</f>
        <v>0</v>
      </c>
      <c r="DJ112" s="2912"/>
      <c r="DK112" s="2912"/>
      <c r="DL112" s="1071">
        <f>IF(DJ112=0,0,(DK112-DJ112)/DJ112*100)</f>
        <v>0</v>
      </c>
      <c r="DM112" s="2912"/>
      <c r="DN112" s="2912"/>
      <c r="DO112" s="1071">
        <f>IF(DM112=0,0,(DN112-DM112)/DM112*100)</f>
        <v>0</v>
      </c>
      <c r="DP112" s="2912"/>
      <c r="DQ112" s="2912"/>
      <c r="DR112" s="1071">
        <f>IF(DP112=0,0,(DQ112-DP112)/DP112*100)</f>
        <v>0</v>
      </c>
      <c r="DS112" s="2912"/>
      <c r="DT112" s="2912"/>
      <c r="DU112" s="1071">
        <f>IF(DS112=0,0,(DT112-DS112)/DS112*100)</f>
        <v>0</v>
      </c>
      <c r="DV112" s="2912"/>
      <c r="DW112" s="2912"/>
      <c r="DX112" s="1071">
        <f>IF(DV112=0,0,(DW112-DV112)/DV112*100)</f>
        <v>0</v>
      </c>
      <c r="DY112" s="2912"/>
      <c r="DZ112" s="2912"/>
      <c r="EA112" s="1071">
        <f>IF(DY112=0,0,(DZ112-DY112)/DY112*100)</f>
        <v>0</v>
      </c>
      <c r="EB112" s="2912"/>
      <c r="EC112" s="2912"/>
      <c r="ED112" s="1071">
        <f>IF(EB112=0,0,(EC112-EB112)/EB112*100)</f>
        <v>0</v>
      </c>
      <c r="EE112" s="2912"/>
      <c r="EF112" s="2912"/>
      <c r="EG112" s="1071">
        <f>IF(EE112=0,0,(EF112-EE112)/EE112*100)</f>
        <v>0</v>
      </c>
      <c r="EH112" s="2912"/>
      <c r="EI112" s="2912"/>
      <c r="EJ112" s="1071">
        <f>IF(EH112=0,0,(EI112-EH112)/EH112*100)</f>
        <v>0</v>
      </c>
      <c r="EK112" s="2912"/>
      <c r="EL112" s="2912"/>
      <c r="EM112" s="1071">
        <f>IF(EK112=0,0,(EL112-EK112)/EK112*100)</f>
        <v>0</v>
      </c>
      <c r="EN112" s="2912"/>
      <c r="EO112" s="2912"/>
      <c r="EP112" s="1071">
        <f>IF(EN112=0,0,(EO112-EN112)/EN112*100)</f>
        <v>0</v>
      </c>
      <c r="EQ112" s="2912"/>
      <c r="ER112" s="2912"/>
      <c r="ES112" s="1071">
        <f>IF(EQ112=0,0,(ER112-EQ112)/EQ112*100)</f>
        <v>0</v>
      </c>
      <c r="ET112" s="2912"/>
      <c r="EU112" s="2912"/>
      <c r="EV112" s="1071">
        <f>IF(ET112=0,0,(EU112-ET112)/ET112*100)</f>
        <v>0</v>
      </c>
      <c r="EW112" s="2912"/>
      <c r="EX112" s="2912"/>
      <c r="EY112" s="1071">
        <f>IF(EW112=0,0,(EX112-EW112)/EW112*100)</f>
        <v>0</v>
      </c>
      <c r="EZ112" s="2912"/>
      <c r="FA112" s="2912"/>
      <c r="FB112" s="1071">
        <f>IF(EZ112=0,0,(FA112-EZ112)/EZ112*100)</f>
        <v>0</v>
      </c>
      <c r="FC112" s="2912"/>
      <c r="FD112" s="2912"/>
      <c r="FE112" s="1071">
        <f>IF(FC112=0,0,(FD112-FC112)/FC112*100)</f>
        <v>0</v>
      </c>
      <c r="FF112" s="2912"/>
      <c r="FG112" s="2912"/>
      <c r="FH112" s="1071">
        <f>IF(FF112=0,0,(FG112-FF112)/FF112*100)</f>
        <v>0</v>
      </c>
      <c r="FI112" s="2912"/>
      <c r="FJ112" s="2912"/>
      <c r="FK112" s="1071">
        <f>IF(FI112=0,0,(FJ112-FI112)/FI112*100)</f>
        <v>0</v>
      </c>
      <c r="FL112" s="2912"/>
      <c r="FM112" s="2912"/>
      <c r="FN112" s="1071">
        <f>IF(FL112=0,0,(FM112-FL112)/FL112*100)</f>
        <v>0</v>
      </c>
      <c r="FO112" s="2912"/>
      <c r="FP112" s="2912"/>
      <c r="FQ112" s="1071">
        <f>IF(FO112=0,0,(FP112-FO112)/FO112*100)</f>
        <v>0</v>
      </c>
      <c r="FR112" s="2912"/>
      <c r="FS112" s="2912"/>
      <c r="FT112" s="1071">
        <f>IF(FR112=0,0,(FS112-FR112)/FR112*100)</f>
        <v>0</v>
      </c>
      <c r="FU112" s="2912"/>
      <c r="FV112" s="2912"/>
      <c r="FW112" s="1071">
        <f>IF(FU112=0,0,(FV112-FU112)/FU112*100)</f>
        <v>0</v>
      </c>
      <c r="FX112" s="1282"/>
      <c r="FY112" s="1282"/>
      <c r="FZ112" s="1032" t="s">
        <v>1527</v>
      </c>
      <c r="GA112" s="1284"/>
      <c r="GB112" s="1284"/>
      <c r="GC112" s="1283"/>
      <c r="GD112" s="1283"/>
    </row>
    <row s="1624" customFormat="1" customHeight="1" ht="14.25" hidden="1">
      <c r="A113" s="466"/>
      <c r="B113" s="901" cm="1" t="str">
        <f t="array" ref="B113:B113">B112</f>
        <v>false</v>
      </c>
      <c r="C113" s="466"/>
      <c r="D113" s="466"/>
      <c r="E113" s="816">
        <v>15</v>
      </c>
      <c r="F113" s="50" cm="1" t="str">
        <f t="array" ref="F113:F113">OFFSET(E113,-1,1)</f>
        <v>1</v>
      </c>
      <c r="G113" s="466"/>
      <c r="H113" s="466" t="s">
        <v>1518</v>
      </c>
      <c r="I113" s="466" t="s">
        <v>1479</v>
      </c>
      <c r="J113" s="466"/>
      <c r="K113" s="466"/>
      <c r="L113" s="466"/>
      <c r="M113" s="466"/>
      <c r="N113" s="466"/>
      <c r="O113" s="466"/>
      <c r="P113" s="466"/>
      <c r="Q113" s="466"/>
      <c r="R113" s="466"/>
      <c r="S113" s="466"/>
      <c r="T113" s="438" cm="1" t="str">
        <f t="array" ref="T113:T113">T112</f>
        <v>true</v>
      </c>
      <c r="U113" s="466"/>
      <c r="V113" s="466"/>
      <c r="W113" s="466"/>
      <c r="X113" s="1541"/>
      <c r="Y113" s="466"/>
      <c r="Z113" s="1493"/>
      <c r="AA113" s="466"/>
      <c r="AB113" s="1069" t="s">
        <v>1519</v>
      </c>
      <c r="AC113" s="840" t="s">
        <v>1520</v>
      </c>
      <c r="AD113" s="2912"/>
      <c r="AE113" s="2912"/>
      <c r="AF113" s="1071">
        <f>IF(AD113=0,0,(AE113-AD113)/AD113*100)</f>
        <v>0</v>
      </c>
      <c r="AG113" s="2912"/>
      <c r="AH113" s="2912"/>
      <c r="AI113" s="1071">
        <f>IF(AG113=0,0,(AH113-AG113)/AG113*100)</f>
        <v>0</v>
      </c>
      <c r="AJ113" s="2912"/>
      <c r="AK113" s="2912"/>
      <c r="AL113" s="1071">
        <f>IF(AJ113=0,0,(AK113-AJ113)/AJ113*100)</f>
        <v>0</v>
      </c>
      <c r="AM113" s="2912"/>
      <c r="AN113" s="2912"/>
      <c r="AO113" s="1071">
        <f>IF(AM113=0,0,(AN113-AM113)/AM113*100)</f>
        <v>0</v>
      </c>
      <c r="AP113" s="2912"/>
      <c r="AQ113" s="2912"/>
      <c r="AR113" s="1071">
        <f>IF(AP113=0,0,(AQ113-AP113)/AP113*100)</f>
        <v>0</v>
      </c>
      <c r="AS113" s="2912"/>
      <c r="AT113" s="2912"/>
      <c r="AU113" s="1071">
        <f>IF(AS113=0,0,(AT113-AS113)/AS113*100)</f>
        <v>0</v>
      </c>
      <c r="AV113" s="2912"/>
      <c r="AW113" s="2912"/>
      <c r="AX113" s="1071">
        <f>IF(AV113=0,0,(AW113-AV113)/AV113*100)</f>
        <v>0</v>
      </c>
      <c r="AY113" s="2912"/>
      <c r="AZ113" s="2912"/>
      <c r="BA113" s="1071">
        <f>IF(AY113=0,0,(AZ113-AY113)/AY113*100)</f>
        <v>0</v>
      </c>
      <c r="BB113" s="2912"/>
      <c r="BC113" s="2912"/>
      <c r="BD113" s="1071">
        <f>IF(BB113=0,0,(BC113-BB113)/BB113*100)</f>
        <v>0</v>
      </c>
      <c r="BE113" s="2912"/>
      <c r="BF113" s="2912"/>
      <c r="BG113" s="1071">
        <f>IF(BE113=0,0,(BF113-BE113)/BE113*100)</f>
        <v>0</v>
      </c>
      <c r="BH113" s="2912"/>
      <c r="BI113" s="2912"/>
      <c r="BJ113" s="1071">
        <f>IF(BH113=0,0,(BI113-BH113)/BH113*100)</f>
        <v>0</v>
      </c>
      <c r="BK113" s="2912"/>
      <c r="BL113" s="2912"/>
      <c r="BM113" s="1071">
        <f>IF(BK113=0,0,(BL113-BK113)/BK113*100)</f>
        <v>0</v>
      </c>
      <c r="BN113" s="2912"/>
      <c r="BO113" s="2912"/>
      <c r="BP113" s="1071">
        <f>IF(BN113=0,0,(BO113-BN113)/BN113*100)</f>
        <v>0</v>
      </c>
      <c r="BQ113" s="2912"/>
      <c r="BR113" s="2912"/>
      <c r="BS113" s="1071">
        <f>IF(BQ113=0,0,(BR113-BQ113)/BQ113*100)</f>
        <v>0</v>
      </c>
      <c r="BT113" s="2912"/>
      <c r="BU113" s="2912"/>
      <c r="BV113" s="1071">
        <f>IF(BT113=0,0,(BU113-BT113)/BT113*100)</f>
        <v>0</v>
      </c>
      <c r="BW113" s="2912"/>
      <c r="BX113" s="2912"/>
      <c r="BY113" s="1071">
        <f>IF(BW113=0,0,(BX113-BW113)/BW113*100)</f>
        <v>0</v>
      </c>
      <c r="BZ113" s="2912"/>
      <c r="CA113" s="2912"/>
      <c r="CB113" s="1071">
        <f>IF(BZ113=0,0,(CA113-BZ113)/BZ113*100)</f>
        <v>0</v>
      </c>
      <c r="CC113" s="2912"/>
      <c r="CD113" s="2912"/>
      <c r="CE113" s="1071">
        <f>IF(CC113=0,0,(CD113-CC113)/CC113*100)</f>
        <v>0</v>
      </c>
      <c r="CF113" s="2912"/>
      <c r="CG113" s="2912"/>
      <c r="CH113" s="1071">
        <f>IF(CF113=0,0,(CG113-CF113)/CF113*100)</f>
        <v>0</v>
      </c>
      <c r="CI113" s="2912"/>
      <c r="CJ113" s="2912"/>
      <c r="CK113" s="1071">
        <f>IF(CI113=0,0,(CJ113-CI113)/CI113*100)</f>
        <v>0</v>
      </c>
      <c r="CL113" s="2912"/>
      <c r="CM113" s="2912"/>
      <c r="CN113" s="1071">
        <f>IF(CL113=0,0,(CM113-CL113)/CL113*100)</f>
        <v>0</v>
      </c>
      <c r="CO113" s="2912"/>
      <c r="CP113" s="2912"/>
      <c r="CQ113" s="1071">
        <f>IF(CO113=0,0,(CP113-CO113)/CO113*100)</f>
        <v>0</v>
      </c>
      <c r="CR113" s="2912"/>
      <c r="CS113" s="2912"/>
      <c r="CT113" s="1071">
        <f>IF(CR113=0,0,(CS113-CR113)/CR113*100)</f>
        <v>0</v>
      </c>
      <c r="CU113" s="2912"/>
      <c r="CV113" s="2912"/>
      <c r="CW113" s="1071">
        <f>IF(CU113=0,0,(CV113-CU113)/CU113*100)</f>
        <v>0</v>
      </c>
      <c r="CX113" s="2912"/>
      <c r="CY113" s="2912"/>
      <c r="CZ113" s="1071">
        <f>IF(CX113=0,0,(CY113-CX113)/CX113*100)</f>
        <v>0</v>
      </c>
      <c r="DA113" s="2912"/>
      <c r="DB113" s="2912"/>
      <c r="DC113" s="1071">
        <f>IF(DA113=0,0,(DB113-DA113)/DA113*100)</f>
        <v>0</v>
      </c>
      <c r="DD113" s="2912"/>
      <c r="DE113" s="2912"/>
      <c r="DF113" s="1071">
        <f>IF(DD113=0,0,(DE113-DD113)/DD113*100)</f>
        <v>0</v>
      </c>
      <c r="DG113" s="2912"/>
      <c r="DH113" s="2912"/>
      <c r="DI113" s="1071">
        <f>IF(DG113=0,0,(DH113-DG113)/DG113*100)</f>
        <v>0</v>
      </c>
      <c r="DJ113" s="2912"/>
      <c r="DK113" s="2912"/>
      <c r="DL113" s="1071">
        <f>IF(DJ113=0,0,(DK113-DJ113)/DJ113*100)</f>
        <v>0</v>
      </c>
      <c r="DM113" s="2912"/>
      <c r="DN113" s="2912"/>
      <c r="DO113" s="1071">
        <f>IF(DM113=0,0,(DN113-DM113)/DM113*100)</f>
        <v>0</v>
      </c>
      <c r="DP113" s="2912"/>
      <c r="DQ113" s="2912"/>
      <c r="DR113" s="1071">
        <f>IF(DP113=0,0,(DQ113-DP113)/DP113*100)</f>
        <v>0</v>
      </c>
      <c r="DS113" s="2912"/>
      <c r="DT113" s="2912"/>
      <c r="DU113" s="1071">
        <f>IF(DS113=0,0,(DT113-DS113)/DS113*100)</f>
        <v>0</v>
      </c>
      <c r="DV113" s="2912"/>
      <c r="DW113" s="2912"/>
      <c r="DX113" s="1071">
        <f>IF(DV113=0,0,(DW113-DV113)/DV113*100)</f>
        <v>0</v>
      </c>
      <c r="DY113" s="2912"/>
      <c r="DZ113" s="2912"/>
      <c r="EA113" s="1071">
        <f>IF(DY113=0,0,(DZ113-DY113)/DY113*100)</f>
        <v>0</v>
      </c>
      <c r="EB113" s="2912"/>
      <c r="EC113" s="2912"/>
      <c r="ED113" s="1071">
        <f>IF(EB113=0,0,(EC113-EB113)/EB113*100)</f>
        <v>0</v>
      </c>
      <c r="EE113" s="2912"/>
      <c r="EF113" s="2912"/>
      <c r="EG113" s="1071">
        <f>IF(EE113=0,0,(EF113-EE113)/EE113*100)</f>
        <v>0</v>
      </c>
      <c r="EH113" s="2912"/>
      <c r="EI113" s="2912"/>
      <c r="EJ113" s="1071">
        <f>IF(EH113=0,0,(EI113-EH113)/EH113*100)</f>
        <v>0</v>
      </c>
      <c r="EK113" s="2912"/>
      <c r="EL113" s="2912"/>
      <c r="EM113" s="1071">
        <f>IF(EK113=0,0,(EL113-EK113)/EK113*100)</f>
        <v>0</v>
      </c>
      <c r="EN113" s="2912"/>
      <c r="EO113" s="2912"/>
      <c r="EP113" s="1071">
        <f>IF(EN113=0,0,(EO113-EN113)/EN113*100)</f>
        <v>0</v>
      </c>
      <c r="EQ113" s="2912"/>
      <c r="ER113" s="2912"/>
      <c r="ES113" s="1071">
        <f>IF(EQ113=0,0,(ER113-EQ113)/EQ113*100)</f>
        <v>0</v>
      </c>
      <c r="ET113" s="2912"/>
      <c r="EU113" s="2912"/>
      <c r="EV113" s="1071">
        <f>IF(ET113=0,0,(EU113-ET113)/ET113*100)</f>
        <v>0</v>
      </c>
      <c r="EW113" s="2912"/>
      <c r="EX113" s="2912"/>
      <c r="EY113" s="1071">
        <f>IF(EW113=0,0,(EX113-EW113)/EW113*100)</f>
        <v>0</v>
      </c>
      <c r="EZ113" s="2912"/>
      <c r="FA113" s="2912"/>
      <c r="FB113" s="1071">
        <f>IF(EZ113=0,0,(FA113-EZ113)/EZ113*100)</f>
        <v>0</v>
      </c>
      <c r="FC113" s="2912"/>
      <c r="FD113" s="2912"/>
      <c r="FE113" s="1071">
        <f>IF(FC113=0,0,(FD113-FC113)/FC113*100)</f>
        <v>0</v>
      </c>
      <c r="FF113" s="2912"/>
      <c r="FG113" s="2912"/>
      <c r="FH113" s="1071">
        <f>IF(FF113=0,0,(FG113-FF113)/FF113*100)</f>
        <v>0</v>
      </c>
      <c r="FI113" s="2912"/>
      <c r="FJ113" s="2912"/>
      <c r="FK113" s="1071">
        <f>IF(FI113=0,0,(FJ113-FI113)/FI113*100)</f>
        <v>0</v>
      </c>
      <c r="FL113" s="2912"/>
      <c r="FM113" s="2912"/>
      <c r="FN113" s="1071">
        <f>IF(FL113=0,0,(FM113-FL113)/FL113*100)</f>
        <v>0</v>
      </c>
      <c r="FO113" s="2912"/>
      <c r="FP113" s="2912"/>
      <c r="FQ113" s="1071">
        <f>IF(FO113=0,0,(FP113-FO113)/FO113*100)</f>
        <v>0</v>
      </c>
      <c r="FR113" s="2912"/>
      <c r="FS113" s="2912"/>
      <c r="FT113" s="1071">
        <f>IF(FR113=0,0,(FS113-FR113)/FR113*100)</f>
        <v>0</v>
      </c>
      <c r="FU113" s="2912"/>
      <c r="FV113" s="2912"/>
      <c r="FW113" s="1071">
        <f>IF(FU113=0,0,(FV113-FU113)/FU113*100)</f>
        <v>0</v>
      </c>
      <c r="FX113" s="1282"/>
      <c r="FY113" s="1282"/>
      <c r="FZ113" s="1032" t="s">
        <v>1528</v>
      </c>
      <c r="GA113" s="1284"/>
      <c r="GB113" s="1284"/>
      <c r="GC113" s="1283"/>
      <c r="GD113" s="1283"/>
    </row>
    <row s="1624" customFormat="1" customHeight="1" ht="23.25" hidden="1">
      <c r="A114" s="466"/>
      <c r="B114" s="901" cm="1" t="str">
        <f t="array" ref="B114:B114">B113</f>
        <v>false</v>
      </c>
      <c r="C114" s="466"/>
      <c r="D114" s="466"/>
      <c r="E114" s="816">
        <v>24.5</v>
      </c>
      <c r="F114" s="50" cm="1" t="str">
        <f t="array" ref="F114:F114">OFFSET(E114,-1,1)</f>
        <v>1</v>
      </c>
      <c r="G114" s="466"/>
      <c r="H114" s="466"/>
      <c r="I114" s="466"/>
      <c r="J114" s="466"/>
      <c r="K114" s="466"/>
      <c r="L114" s="466"/>
      <c r="M114" s="466"/>
      <c r="N114" s="466"/>
      <c r="O114" s="466"/>
      <c r="P114" s="466"/>
      <c r="Q114" s="466"/>
      <c r="R114" s="466"/>
      <c r="S114" s="466"/>
      <c r="T114" s="438" cm="1" t="str">
        <f t="array" ref="T114:T114">T113</f>
        <v>true</v>
      </c>
      <c r="U114" s="466"/>
      <c r="V114" s="466"/>
      <c r="W114" s="466"/>
      <c r="X114" s="1541"/>
      <c r="Y114" s="466"/>
      <c r="Z114" s="1493"/>
      <c r="AA114" s="466"/>
      <c r="AB114" s="259" t="s">
        <v>1529</v>
      </c>
      <c r="AC114" s="879"/>
      <c r="AD114" s="1080"/>
      <c r="AE114" s="1080"/>
      <c r="AF114" s="1080"/>
      <c r="AG114" s="1080"/>
      <c r="AH114" s="1080"/>
      <c r="AI114" s="1080"/>
      <c r="AJ114" s="1080"/>
      <c r="AK114" s="1080"/>
      <c r="AL114" s="1080"/>
      <c r="AM114" s="1080"/>
      <c r="AN114" s="1080"/>
      <c r="AO114" s="1080"/>
      <c r="AP114" s="1080"/>
      <c r="AQ114" s="1080"/>
      <c r="AR114" s="1080"/>
      <c r="AS114" s="1080"/>
      <c r="AT114" s="1080"/>
      <c r="AU114" s="1080"/>
      <c r="AV114" s="1080"/>
      <c r="AW114" s="1080"/>
      <c r="AX114" s="1080"/>
      <c r="AY114" s="1080"/>
      <c r="AZ114" s="1080"/>
      <c r="BA114" s="1080"/>
      <c r="BB114" s="1080"/>
      <c r="BC114" s="1080"/>
      <c r="BD114" s="1080"/>
      <c r="BE114" s="1080"/>
      <c r="BF114" s="1080"/>
      <c r="BG114" s="1080"/>
      <c r="BH114" s="1080"/>
      <c r="BI114" s="1080"/>
      <c r="BJ114" s="1080"/>
      <c r="BK114" s="1080"/>
      <c r="BL114" s="1080"/>
      <c r="BM114" s="1080"/>
      <c r="BN114" s="1080"/>
      <c r="BO114" s="1080"/>
      <c r="BP114" s="1080"/>
      <c r="BQ114" s="1080"/>
      <c r="BR114" s="1080"/>
      <c r="BS114" s="1080"/>
      <c r="BT114" s="1080"/>
      <c r="BU114" s="1080"/>
      <c r="BV114" s="1080"/>
      <c r="BW114" s="1080"/>
      <c r="BX114" s="1080"/>
      <c r="BY114" s="1080"/>
      <c r="BZ114" s="1080"/>
      <c r="CA114" s="1080"/>
      <c r="CB114" s="1080"/>
      <c r="CC114" s="1080"/>
      <c r="CD114" s="1080"/>
      <c r="CE114" s="1080"/>
      <c r="CF114" s="1080"/>
      <c r="CG114" s="1080"/>
      <c r="CH114" s="1080"/>
      <c r="CI114" s="1080"/>
      <c r="CJ114" s="1080"/>
      <c r="CK114" s="1080"/>
      <c r="CL114" s="1080"/>
      <c r="CM114" s="1080"/>
      <c r="CN114" s="1080"/>
      <c r="CO114" s="1080"/>
      <c r="CP114" s="1080"/>
      <c r="CQ114" s="1080"/>
      <c r="CR114" s="1080"/>
      <c r="CS114" s="1080"/>
      <c r="CT114" s="1080"/>
      <c r="CU114" s="1080"/>
      <c r="CV114" s="1080"/>
      <c r="CW114" s="1080"/>
      <c r="CX114" s="1080"/>
      <c r="CY114" s="1080"/>
      <c r="CZ114" s="1080"/>
      <c r="DA114" s="1080"/>
      <c r="DB114" s="1080"/>
      <c r="DC114" s="1080"/>
      <c r="DD114" s="1080"/>
      <c r="DE114" s="1080"/>
      <c r="DF114" s="1080"/>
      <c r="DG114" s="1080"/>
      <c r="DH114" s="1080"/>
      <c r="DI114" s="1080"/>
      <c r="DJ114" s="1080"/>
      <c r="DK114" s="1080"/>
      <c r="DL114" s="1080"/>
      <c r="DM114" s="1080"/>
      <c r="DN114" s="1080"/>
      <c r="DO114" s="1080"/>
      <c r="DP114" s="1080"/>
      <c r="DQ114" s="1080"/>
      <c r="DR114" s="1080"/>
      <c r="DS114" s="1080"/>
      <c r="DT114" s="1080"/>
      <c r="DU114" s="1080"/>
      <c r="DV114" s="1080"/>
      <c r="DW114" s="1080"/>
      <c r="DX114" s="1080"/>
      <c r="DY114" s="1080"/>
      <c r="DZ114" s="1080"/>
      <c r="EA114" s="1080"/>
      <c r="EB114" s="1080"/>
      <c r="EC114" s="1080"/>
      <c r="ED114" s="1080"/>
      <c r="EE114" s="1080"/>
      <c r="EF114" s="1080"/>
      <c r="EG114" s="1080"/>
      <c r="EH114" s="1080"/>
      <c r="EI114" s="1080"/>
      <c r="EJ114" s="1080"/>
      <c r="EK114" s="1080"/>
      <c r="EL114" s="1080"/>
      <c r="EM114" s="1080"/>
      <c r="EN114" s="1080"/>
      <c r="EO114" s="1080"/>
      <c r="EP114" s="1080"/>
      <c r="EQ114" s="1080"/>
      <c r="ER114" s="1080"/>
      <c r="ES114" s="1080"/>
      <c r="ET114" s="1080"/>
      <c r="EU114" s="1080"/>
      <c r="EV114" s="1080"/>
      <c r="EW114" s="1080"/>
      <c r="EX114" s="1080"/>
      <c r="EY114" s="1080"/>
      <c r="EZ114" s="1080"/>
      <c r="FA114" s="1080"/>
      <c r="FB114" s="1080"/>
      <c r="FC114" s="1080"/>
      <c r="FD114" s="1080"/>
      <c r="FE114" s="1080"/>
      <c r="FF114" s="1080"/>
      <c r="FG114" s="1080"/>
      <c r="FH114" s="1080"/>
      <c r="FI114" s="1080"/>
      <c r="FJ114" s="1080"/>
      <c r="FK114" s="1080"/>
      <c r="FL114" s="1080"/>
      <c r="FM114" s="1080"/>
      <c r="FN114" s="1080"/>
      <c r="FO114" s="1080"/>
      <c r="FP114" s="1080"/>
      <c r="FQ114" s="1080"/>
      <c r="FR114" s="1080"/>
      <c r="FS114" s="1080"/>
      <c r="FT114" s="1080"/>
      <c r="FU114" s="1080"/>
      <c r="FV114" s="1080"/>
      <c r="FW114" s="1081"/>
      <c r="FX114" s="1282"/>
      <c r="FY114" s="1282"/>
      <c r="FZ114" s="1032"/>
      <c r="GA114" s="1284"/>
      <c r="GB114" s="1284"/>
      <c r="GC114" s="1283"/>
      <c r="GD114" s="1283"/>
    </row>
    <row s="1624" customFormat="1" customHeight="1" ht="14.25" hidden="1">
      <c r="A115" s="466"/>
      <c r="B115" s="901" cm="1" t="str">
        <f t="array" ref="B115:B115">B114</f>
        <v>false</v>
      </c>
      <c r="C115" s="466"/>
      <c r="D115" s="466"/>
      <c r="E115" s="816">
        <v>15</v>
      </c>
      <c r="F115" s="50" cm="1" t="str">
        <f t="array" ref="F115:F115">OFFSET(E115,-1,1)</f>
        <v>1</v>
      </c>
      <c r="G115" s="466"/>
      <c r="H115" s="466" t="s">
        <v>1434</v>
      </c>
      <c r="I115" s="466" t="s">
        <v>1489</v>
      </c>
      <c r="J115" s="466"/>
      <c r="K115" s="466"/>
      <c r="L115" s="466"/>
      <c r="M115" s="466"/>
      <c r="N115" s="466"/>
      <c r="O115" s="466"/>
      <c r="P115" s="466"/>
      <c r="Q115" s="466"/>
      <c r="R115" s="466"/>
      <c r="S115" s="466"/>
      <c r="T115" s="438" cm="1" t="str">
        <f t="array" ref="T115:T115">T114</f>
        <v>true</v>
      </c>
      <c r="U115" s="466"/>
      <c r="V115" s="466"/>
      <c r="W115" s="466"/>
      <c r="X115" s="1541"/>
      <c r="Y115" s="466"/>
      <c r="Z115" s="1493"/>
      <c r="AA115" s="466"/>
      <c r="AB115" s="1069" t="s">
        <v>1509</v>
      </c>
      <c r="AC115" s="840" t="s">
        <v>1476</v>
      </c>
      <c r="AD115" s="2912">
        <f>IF(AD117=0,0,(AD116*AD117+AD118*AD119*IF(god=2026,9,6))/AD117)</f>
        <v>0</v>
      </c>
      <c r="AE115" s="2912">
        <f>IF(AE117=0,0,(AE116*AE117+AE118*AE119*IF(god=2026,9,6))/AE117)</f>
        <v>0</v>
      </c>
      <c r="AF115" s="1071">
        <f>IF(AD115=0,0,(AE115-AD115)/AD115*100)</f>
        <v>0</v>
      </c>
      <c r="AG115" s="2912">
        <f>IF(AG117=0,0,(AG116*AG117+AG118*AG119*IF(god=2025,9,6))/AG117)</f>
        <v>0</v>
      </c>
      <c r="AH115" s="2912">
        <f>IF(AH117=0,0,(AH116*AH117+AH118*AH119*IF(god=2025,9,6))/AH117)</f>
        <v>0</v>
      </c>
      <c r="AI115" s="1071">
        <f>IF(AG115=0,0,(AH115-AG115)/AG115*100)</f>
        <v>0</v>
      </c>
      <c r="AJ115" s="2912">
        <f>IF(AJ117=0,0,(AJ116*AJ117+AJ118*AJ119*6)/AJ117)</f>
        <v>0</v>
      </c>
      <c r="AK115" s="2912">
        <f>IF(AK117=0,0,(AK116*AK117+AK118*AK119*6)/AK117)</f>
        <v>0</v>
      </c>
      <c r="AL115" s="1071">
        <f>IF(AJ115=0,0,(AK115-AJ115)/AJ115*100)</f>
        <v>0</v>
      </c>
      <c r="AM115" s="2912">
        <f>IF(AM117=0,0,(AM116*AM117+AM118*AM119*6)/AM117)</f>
        <v>0</v>
      </c>
      <c r="AN115" s="2912">
        <f>IF(AN117=0,0,(AN116*AN117+AN118*AN119*6)/AN117)</f>
        <v>0</v>
      </c>
      <c r="AO115" s="1071">
        <f>IF(AM115=0,0,(AN115-AM115)/AM115*100)</f>
        <v>0</v>
      </c>
      <c r="AP115" s="2912">
        <f>IF(AP117=0,0,(AP116*AP117+AP118*AP119*6)/AP117)</f>
        <v>0</v>
      </c>
      <c r="AQ115" s="2912">
        <f>IF(AQ117=0,0,(AQ116*AQ117+AQ118*AQ119*6)/AQ117)</f>
        <v>0</v>
      </c>
      <c r="AR115" s="1071">
        <f>IF(AP115=0,0,(AQ115-AP115)/AP115*100)</f>
        <v>0</v>
      </c>
      <c r="AS115" s="2912">
        <f>IF(AS117=0,0,(AS116*AS117+AS118*AS119*6)/AS117)</f>
        <v>0</v>
      </c>
      <c r="AT115" s="2912">
        <f>IF(AT117=0,0,(AT116*AT117+AT118*AT119*6)/AT117)</f>
        <v>0</v>
      </c>
      <c r="AU115" s="1071">
        <f>IF(AS115=0,0,(AT115-AS115)/AS115*100)</f>
        <v>0</v>
      </c>
      <c r="AV115" s="2912">
        <f>IF(AV117=0,0,(AV116*AV117+AV118*AV119*6)/AV117)</f>
        <v>0</v>
      </c>
      <c r="AW115" s="2912">
        <f>IF(AW117=0,0,(AW116*AW117+AW118*AW119*6)/AW117)</f>
        <v>0</v>
      </c>
      <c r="AX115" s="1071">
        <f>IF(AV115=0,0,(AW115-AV115)/AV115*100)</f>
        <v>0</v>
      </c>
      <c r="AY115" s="2912">
        <f>IF(AY117=0,0,(AY116*AY117+AY118*AY119*6)/AY117)</f>
        <v>0</v>
      </c>
      <c r="AZ115" s="2912">
        <f>IF(AZ117=0,0,(AZ116*AZ117+AZ118*AZ119*6)/AZ117)</f>
        <v>0</v>
      </c>
      <c r="BA115" s="1071">
        <f>IF(AY115=0,0,(AZ115-AY115)/AY115*100)</f>
        <v>0</v>
      </c>
      <c r="BB115" s="2912">
        <f>IF(BB117=0,0,(BB116*BB117+BB118*BB119*6)/BB117)</f>
        <v>0</v>
      </c>
      <c r="BC115" s="2912">
        <f>IF(BC117=0,0,(BC116*BC117+BC118*BC119*6)/BC117)</f>
        <v>0</v>
      </c>
      <c r="BD115" s="1071">
        <f>IF(BB115=0,0,(BC115-BB115)/BB115*100)</f>
        <v>0</v>
      </c>
      <c r="BE115" s="2912">
        <f>IF(BE117=0,0,(BE116*BE117+BE118*BE119*6)/BE117)</f>
        <v>0</v>
      </c>
      <c r="BF115" s="2912">
        <f>IF(BF117=0,0,(BF116*BF117+BF118*BF119*6)/BF117)</f>
        <v>0</v>
      </c>
      <c r="BG115" s="1071">
        <f>IF(BE115=0,0,(BF115-BE115)/BE115*100)</f>
        <v>0</v>
      </c>
      <c r="BH115" s="2912">
        <f>IF(BH117=0,0,(BH116*BH117+BH118*BH119*6)/BH117)</f>
        <v>0</v>
      </c>
      <c r="BI115" s="2912">
        <f>IF(BI117=0,0,(BI116*BI117+BI118*BI119*6)/BI117)</f>
        <v>0</v>
      </c>
      <c r="BJ115" s="1071">
        <f>IF(BH115=0,0,(BI115-BH115)/BH115*100)</f>
        <v>0</v>
      </c>
      <c r="BK115" s="2912">
        <f>IF(BK117=0,0,(BK116*BK117+BK118*BK119*6)/BK117)</f>
        <v>0</v>
      </c>
      <c r="BL115" s="2912">
        <f>IF(BL117=0,0,(BL116*BL117+BL118*BL119*6)/BL117)</f>
        <v>0</v>
      </c>
      <c r="BM115" s="1071">
        <f>IF(BK115=0,0,(BL115-BK115)/BK115*100)</f>
        <v>0</v>
      </c>
      <c r="BN115" s="2912">
        <f>IF(BN117=0,0,(BN116*BN117+BN118*BN119*6)/BN117)</f>
        <v>0</v>
      </c>
      <c r="BO115" s="2912">
        <f>IF(BO117=0,0,(BO116*BO117+BO118*BO119*6)/BO117)</f>
        <v>0</v>
      </c>
      <c r="BP115" s="1071">
        <f>IF(BN115=0,0,(BO115-BN115)/BN115*100)</f>
        <v>0</v>
      </c>
      <c r="BQ115" s="2912">
        <f>IF(BQ117=0,0,(BQ116*BQ117+BQ118*BQ119*6)/BQ117)</f>
        <v>0</v>
      </c>
      <c r="BR115" s="2912">
        <f>IF(BR117=0,0,(BR116*BR117+BR118*BR119*6)/BR117)</f>
        <v>0</v>
      </c>
      <c r="BS115" s="1071">
        <f>IF(BQ115=0,0,(BR115-BQ115)/BQ115*100)</f>
        <v>0</v>
      </c>
      <c r="BT115" s="2912">
        <f>IF(BT117=0,0,(BT116*BT117+BT118*BT119*6)/BT117)</f>
        <v>0</v>
      </c>
      <c r="BU115" s="2912">
        <f>IF(BU117=0,0,(BU116*BU117+BU118*BU119*6)/BU117)</f>
        <v>0</v>
      </c>
      <c r="BV115" s="1071">
        <f>IF(BT115=0,0,(BU115-BT115)/BT115*100)</f>
        <v>0</v>
      </c>
      <c r="BW115" s="2912">
        <f>IF(BW117=0,0,(BW116*BW117+BW118*BW119*6)/BW117)</f>
        <v>0</v>
      </c>
      <c r="BX115" s="2912">
        <f>IF(BX117=0,0,(BX116*BX117+BX118*BX119*6)/BX117)</f>
        <v>0</v>
      </c>
      <c r="BY115" s="1071">
        <f>IF(BW115=0,0,(BX115-BW115)/BW115*100)</f>
        <v>0</v>
      </c>
      <c r="BZ115" s="2912">
        <f>IF(BZ117=0,0,(BZ116*BZ117+BZ118*BZ119*6)/BZ117)</f>
        <v>0</v>
      </c>
      <c r="CA115" s="2912">
        <f>IF(CA117=0,0,(CA116*CA117+CA118*CA119*6)/CA117)</f>
        <v>0</v>
      </c>
      <c r="CB115" s="1071">
        <f>IF(BZ115=0,0,(CA115-BZ115)/BZ115*100)</f>
        <v>0</v>
      </c>
      <c r="CC115" s="2912">
        <f>IF(CC117=0,0,(CC116*CC117+CC118*CC119*6)/CC117)</f>
        <v>0</v>
      </c>
      <c r="CD115" s="2912">
        <f>IF(CD117=0,0,(CD116*CD117+CD118*CD119*6)/CD117)</f>
        <v>0</v>
      </c>
      <c r="CE115" s="1071">
        <f>IF(CC115=0,0,(CD115-CC115)/CC115*100)</f>
        <v>0</v>
      </c>
      <c r="CF115" s="2912">
        <f>IF(CF117=0,0,(CF116*CF117+CF118*CF119*6)/CF117)</f>
        <v>0</v>
      </c>
      <c r="CG115" s="2912">
        <f>IF(CG117=0,0,(CG116*CG117+CG118*CG119*6)/CG117)</f>
        <v>0</v>
      </c>
      <c r="CH115" s="1071">
        <f>IF(CF115=0,0,(CG115-CF115)/CF115*100)</f>
        <v>0</v>
      </c>
      <c r="CI115" s="2912">
        <f>IF(CI117=0,0,(CI116*CI117+CI118*CI119*6)/CI117)</f>
        <v>0</v>
      </c>
      <c r="CJ115" s="2912">
        <f>IF(CJ117=0,0,(CJ116*CJ117+CJ118*CJ119*6)/CJ117)</f>
        <v>0</v>
      </c>
      <c r="CK115" s="1071">
        <f>IF(CI115=0,0,(CJ115-CI115)/CI115*100)</f>
        <v>0</v>
      </c>
      <c r="CL115" s="2912">
        <f>IF(CL117=0,0,(CL116*CL117+CL118*CL119*6)/CL117)</f>
        <v>0</v>
      </c>
      <c r="CM115" s="2912">
        <f>IF(CM117=0,0,(CM116*CM117+CM118*CM119*6)/CM117)</f>
        <v>0</v>
      </c>
      <c r="CN115" s="1071">
        <f>IF(CL115=0,0,(CM115-CL115)/CL115*100)</f>
        <v>0</v>
      </c>
      <c r="CO115" s="2912">
        <f>IF(CO117=0,0,(CO116*CO117+CO118*CO119*6)/CO117)</f>
        <v>0</v>
      </c>
      <c r="CP115" s="2912">
        <f>IF(CP117=0,0,(CP116*CP117+CP118*CP119*6)/CP117)</f>
        <v>0</v>
      </c>
      <c r="CQ115" s="1071">
        <f>IF(CO115=0,0,(CP115-CO115)/CO115*100)</f>
        <v>0</v>
      </c>
      <c r="CR115" s="2912">
        <f>IF(CR117=0,0,(CR116*CR117+CR118*CR119*6)/CR117)</f>
        <v>0</v>
      </c>
      <c r="CS115" s="2912">
        <f>IF(CS117=0,0,(CS116*CS117+CS118*CS119*6)/CS117)</f>
        <v>0</v>
      </c>
      <c r="CT115" s="1071">
        <f>IF(CR115=0,0,(CS115-CR115)/CR115*100)</f>
        <v>0</v>
      </c>
      <c r="CU115" s="2912">
        <f>IF(CU117=0,0,(CU116*CU117+CU118*CU119*6)/CU117)</f>
        <v>0</v>
      </c>
      <c r="CV115" s="2912">
        <f>IF(CV117=0,0,(CV116*CV117+CV118*CV119*6)/CV117)</f>
        <v>0</v>
      </c>
      <c r="CW115" s="1071">
        <f>IF(CU115=0,0,(CV115-CU115)/CU115*100)</f>
        <v>0</v>
      </c>
      <c r="CX115" s="2912">
        <f>IF(CX117=0,0,(CX116*CX117+CX118*CX119*6)/CX117)</f>
        <v>0</v>
      </c>
      <c r="CY115" s="2912">
        <f>IF(CY117=0,0,(CY116*CY117+CY118*CY119*6)/CY117)</f>
        <v>0</v>
      </c>
      <c r="CZ115" s="1071">
        <f>IF(CX115=0,0,(CY115-CX115)/CX115*100)</f>
        <v>0</v>
      </c>
      <c r="DA115" s="2912">
        <f>IF(DA117=0,0,(DA116*DA117+DA118*DA119*6)/DA117)</f>
        <v>0</v>
      </c>
      <c r="DB115" s="2912">
        <f>IF(DB117=0,0,(DB116*DB117+DB118*DB119*6)/DB117)</f>
        <v>0</v>
      </c>
      <c r="DC115" s="1071">
        <f>IF(DA115=0,0,(DB115-DA115)/DA115*100)</f>
        <v>0</v>
      </c>
      <c r="DD115" s="2912">
        <f>IF(DD117=0,0,(DD116*DD117+DD118*DD119*6)/DD117)</f>
        <v>0</v>
      </c>
      <c r="DE115" s="2912">
        <f>IF(DE117=0,0,(DE116*DE117+DE118*DE119*6)/DE117)</f>
        <v>0</v>
      </c>
      <c r="DF115" s="1071">
        <f>IF(DD115=0,0,(DE115-DD115)/DD115*100)</f>
        <v>0</v>
      </c>
      <c r="DG115" s="2912">
        <f>IF(DG117=0,0,(DG116*DG117+DG118*DG119*6)/DG117)</f>
        <v>0</v>
      </c>
      <c r="DH115" s="2912">
        <f>IF(DH117=0,0,(DH116*DH117+DH118*DH119*6)/DH117)</f>
        <v>0</v>
      </c>
      <c r="DI115" s="1071">
        <f>IF(DG115=0,0,(DH115-DG115)/DG115*100)</f>
        <v>0</v>
      </c>
      <c r="DJ115" s="2912">
        <f>IF(DJ117=0,0,(DJ116*DJ117+DJ118*DJ119*6)/DJ117)</f>
        <v>0</v>
      </c>
      <c r="DK115" s="2912">
        <f>IF(DK117=0,0,(DK116*DK117+DK118*DK119*6)/DK117)</f>
        <v>0</v>
      </c>
      <c r="DL115" s="1071">
        <f>IF(DJ115=0,0,(DK115-DJ115)/DJ115*100)</f>
        <v>0</v>
      </c>
      <c r="DM115" s="2912">
        <f>IF(DM117=0,0,(DM116*DM117+DM118*DM119*6)/DM117)</f>
        <v>0</v>
      </c>
      <c r="DN115" s="2912">
        <f>IF(DN117=0,0,(DN116*DN117+DN118*DN119*6)/DN117)</f>
        <v>0</v>
      </c>
      <c r="DO115" s="1071">
        <f>IF(DM115=0,0,(DN115-DM115)/DM115*100)</f>
        <v>0</v>
      </c>
      <c r="DP115" s="2912">
        <f>IF(DP117=0,0,(DP116*DP117+DP118*DP119*6)/DP117)</f>
        <v>0</v>
      </c>
      <c r="DQ115" s="2912">
        <f>IF(DQ117=0,0,(DQ116*DQ117+DQ118*DQ119*6)/DQ117)</f>
        <v>0</v>
      </c>
      <c r="DR115" s="1071">
        <f>IF(DP115=0,0,(DQ115-DP115)/DP115*100)</f>
        <v>0</v>
      </c>
      <c r="DS115" s="2912">
        <f>IF(DS117=0,0,(DS116*DS117+DS118*DS119*6)/DS117)</f>
        <v>0</v>
      </c>
      <c r="DT115" s="2912">
        <f>IF(DT117=0,0,(DT116*DT117+DT118*DT119*6)/DT117)</f>
        <v>0</v>
      </c>
      <c r="DU115" s="1071">
        <f>IF(DS115=0,0,(DT115-DS115)/DS115*100)</f>
        <v>0</v>
      </c>
      <c r="DV115" s="2912">
        <f>IF(DV117=0,0,(DV116*DV117+DV118*DV119*6)/DV117)</f>
        <v>0</v>
      </c>
      <c r="DW115" s="2912">
        <f>IF(DW117=0,0,(DW116*DW117+DW118*DW119*6)/DW117)</f>
        <v>0</v>
      </c>
      <c r="DX115" s="1071">
        <f>IF(DV115=0,0,(DW115-DV115)/DV115*100)</f>
        <v>0</v>
      </c>
      <c r="DY115" s="2912">
        <f>IF(DY117=0,0,(DY116*DY117+DY118*DY119*6)/DY117)</f>
        <v>0</v>
      </c>
      <c r="DZ115" s="2912">
        <f>IF(DZ117=0,0,(DZ116*DZ117+DZ118*DZ119*6)/DZ117)</f>
        <v>0</v>
      </c>
      <c r="EA115" s="1071">
        <f>IF(DY115=0,0,(DZ115-DY115)/DY115*100)</f>
        <v>0</v>
      </c>
      <c r="EB115" s="2912">
        <f>IF(EB117=0,0,(EB116*EB117+EB118*EB119*6)/EB117)</f>
        <v>0</v>
      </c>
      <c r="EC115" s="2912">
        <f>IF(EC117=0,0,(EC116*EC117+EC118*EC119*6)/EC117)</f>
        <v>0</v>
      </c>
      <c r="ED115" s="1071">
        <f>IF(EB115=0,0,(EC115-EB115)/EB115*100)</f>
        <v>0</v>
      </c>
      <c r="EE115" s="2912">
        <f>IF(EE117=0,0,(EE116*EE117+EE118*EE119*6)/EE117)</f>
        <v>0</v>
      </c>
      <c r="EF115" s="2912">
        <f>IF(EF117=0,0,(EF116*EF117+EF118*EF119*6)/EF117)</f>
        <v>0</v>
      </c>
      <c r="EG115" s="1071">
        <f>IF(EE115=0,0,(EF115-EE115)/EE115*100)</f>
        <v>0</v>
      </c>
      <c r="EH115" s="2912">
        <f>IF(EH117=0,0,(EH116*EH117+EH118*EH119*6)/EH117)</f>
        <v>0</v>
      </c>
      <c r="EI115" s="2912">
        <f>IF(EI117=0,0,(EI116*EI117+EI118*EI119*6)/EI117)</f>
        <v>0</v>
      </c>
      <c r="EJ115" s="1071">
        <f>IF(EH115=0,0,(EI115-EH115)/EH115*100)</f>
        <v>0</v>
      </c>
      <c r="EK115" s="2912">
        <f>IF(EK117=0,0,(EK116*EK117+EK118*EK119*6)/EK117)</f>
        <v>0</v>
      </c>
      <c r="EL115" s="2912">
        <f>IF(EL117=0,0,(EL116*EL117+EL118*EL119*6)/EL117)</f>
        <v>0</v>
      </c>
      <c r="EM115" s="1071">
        <f>IF(EK115=0,0,(EL115-EK115)/EK115*100)</f>
        <v>0</v>
      </c>
      <c r="EN115" s="2912">
        <f>IF(EN117=0,0,(EN116*EN117+EN118*EN119*6)/EN117)</f>
        <v>0</v>
      </c>
      <c r="EO115" s="2912">
        <f>IF(EO117=0,0,(EO116*EO117+EO118*EO119*6)/EO117)</f>
        <v>0</v>
      </c>
      <c r="EP115" s="1071">
        <f>IF(EN115=0,0,(EO115-EN115)/EN115*100)</f>
        <v>0</v>
      </c>
      <c r="EQ115" s="2912">
        <f>IF(EQ117=0,0,(EQ116*EQ117+EQ118*EQ119*6)/EQ117)</f>
        <v>0</v>
      </c>
      <c r="ER115" s="2912">
        <f>IF(ER117=0,0,(ER116*ER117+ER118*ER119*6)/ER117)</f>
        <v>0</v>
      </c>
      <c r="ES115" s="1071">
        <f>IF(EQ115=0,0,(ER115-EQ115)/EQ115*100)</f>
        <v>0</v>
      </c>
      <c r="ET115" s="2912">
        <f>IF(ET117=0,0,(ET116*ET117+ET118*ET119*6)/ET117)</f>
        <v>0</v>
      </c>
      <c r="EU115" s="2912">
        <f>IF(EU117=0,0,(EU116*EU117+EU118*EU119*6)/EU117)</f>
        <v>0</v>
      </c>
      <c r="EV115" s="1071">
        <f>IF(ET115=0,0,(EU115-ET115)/ET115*100)</f>
        <v>0</v>
      </c>
      <c r="EW115" s="2912">
        <f>IF(EW117=0,0,(EW116*EW117+EW118*EW119*6)/EW117)</f>
        <v>0</v>
      </c>
      <c r="EX115" s="2912">
        <f>IF(EX117=0,0,(EX116*EX117+EX118*EX119*6)/EX117)</f>
        <v>0</v>
      </c>
      <c r="EY115" s="1071">
        <f>IF(EW115=0,0,(EX115-EW115)/EW115*100)</f>
        <v>0</v>
      </c>
      <c r="EZ115" s="2912">
        <f>IF(EZ117=0,0,(EZ116*EZ117+EZ118*EZ119*6)/EZ117)</f>
        <v>0</v>
      </c>
      <c r="FA115" s="2912">
        <f>IF(FA117=0,0,(FA116*FA117+FA118*FA119*6)/FA117)</f>
        <v>0</v>
      </c>
      <c r="FB115" s="1071">
        <f>IF(EZ115=0,0,(FA115-EZ115)/EZ115*100)</f>
        <v>0</v>
      </c>
      <c r="FC115" s="2912">
        <f>IF(FC117=0,0,(FC116*FC117+FC118*FC119*6)/FC117)</f>
        <v>0</v>
      </c>
      <c r="FD115" s="2912">
        <f>IF(FD117=0,0,(FD116*FD117+FD118*FD119*6)/FD117)</f>
        <v>0</v>
      </c>
      <c r="FE115" s="1071">
        <f>IF(FC115=0,0,(FD115-FC115)/FC115*100)</f>
        <v>0</v>
      </c>
      <c r="FF115" s="2912">
        <f>IF(FF117=0,0,(FF116*FF117+FF118*FF119*6)/FF117)</f>
        <v>0</v>
      </c>
      <c r="FG115" s="2912">
        <f>IF(FG117=0,0,(FG116*FG117+FG118*FG119*6)/FG117)</f>
        <v>0</v>
      </c>
      <c r="FH115" s="1071">
        <f>IF(FF115=0,0,(FG115-FF115)/FF115*100)</f>
        <v>0</v>
      </c>
      <c r="FI115" s="2912">
        <f>IF(FI117=0,0,(FI116*FI117+FI118*FI119*6)/FI117)</f>
        <v>0</v>
      </c>
      <c r="FJ115" s="2912">
        <f>IF(FJ117=0,0,(FJ116*FJ117+FJ118*FJ119*6)/FJ117)</f>
        <v>0</v>
      </c>
      <c r="FK115" s="1071">
        <f>IF(FI115=0,0,(FJ115-FI115)/FI115*100)</f>
        <v>0</v>
      </c>
      <c r="FL115" s="2912">
        <f>IF(FL117=0,0,(FL116*FL117+FL118*FL119*6)/FL117)</f>
        <v>0</v>
      </c>
      <c r="FM115" s="2912">
        <f>IF(FM117=0,0,(FM116*FM117+FM118*FM119*6)/FM117)</f>
        <v>0</v>
      </c>
      <c r="FN115" s="1071">
        <f>IF(FL115=0,0,(FM115-FL115)/FL115*100)</f>
        <v>0</v>
      </c>
      <c r="FO115" s="2912">
        <f>IF(FO117=0,0,(FO116*FO117+FO118*FO119*6)/FO117)</f>
        <v>0</v>
      </c>
      <c r="FP115" s="2912">
        <f>IF(FP117=0,0,(FP116*FP117+FP118*FP119*6)/FP117)</f>
        <v>0</v>
      </c>
      <c r="FQ115" s="1071">
        <f>IF(FO115=0,0,(FP115-FO115)/FO115*100)</f>
        <v>0</v>
      </c>
      <c r="FR115" s="2912">
        <f>IF(FR117=0,0,(FR116*FR117+FR118*FR119*6)/FR117)</f>
        <v>0</v>
      </c>
      <c r="FS115" s="2912">
        <f>IF(FS117=0,0,(FS116*FS117+FS118*FS119*6)/FS117)</f>
        <v>0</v>
      </c>
      <c r="FT115" s="1071">
        <f>IF(FR115=0,0,(FS115-FR115)/FR115*100)</f>
        <v>0</v>
      </c>
      <c r="FU115" s="2912">
        <f>IF(FU117=0,0,(FU116*FU117+FU118*FU119*6)/FU117)</f>
        <v>0</v>
      </c>
      <c r="FV115" s="2912">
        <f>IF(FV117=0,0,(FV116*FV117+FV118*FV119*6)/FV117)</f>
        <v>0</v>
      </c>
      <c r="FW115" s="1071">
        <f>IF(FU115=0,0,(FV115-FU115)/FU115*100)</f>
        <v>0</v>
      </c>
      <c r="FX115" s="1282"/>
      <c r="FY115" s="1282"/>
      <c r="FZ115" s="1032" t="s">
        <v>1530</v>
      </c>
      <c r="GA115" s="1284"/>
      <c r="GB115" s="1284"/>
      <c r="GC115" s="1283"/>
      <c r="GD115" s="1283"/>
    </row>
    <row s="1624" customFormat="1" customHeight="1" ht="14.25" hidden="1">
      <c r="A116" s="466"/>
      <c r="B116" s="901" cm="1" t="str">
        <f t="array" ref="B116:B116">B115</f>
        <v>false</v>
      </c>
      <c r="C116" s="466"/>
      <c r="D116" s="466"/>
      <c r="E116" s="816">
        <v>15</v>
      </c>
      <c r="F116" s="50" cm="1" t="str">
        <f t="array" ref="F116:F116">OFFSET(E116,-1,1)</f>
        <v>1</v>
      </c>
      <c r="G116" s="466"/>
      <c r="H116" s="466" t="s">
        <v>1438</v>
      </c>
      <c r="I116" s="466" t="s">
        <v>1489</v>
      </c>
      <c r="J116" s="466"/>
      <c r="K116" s="466"/>
      <c r="L116" s="466"/>
      <c r="M116" s="466"/>
      <c r="N116" s="466"/>
      <c r="O116" s="466"/>
      <c r="P116" s="466"/>
      <c r="Q116" s="466"/>
      <c r="R116" s="466"/>
      <c r="S116" s="466"/>
      <c r="T116" s="438" cm="1" t="str">
        <f t="array" ref="T116:T116">T115</f>
        <v>true</v>
      </c>
      <c r="U116" s="466"/>
      <c r="V116" s="466"/>
      <c r="W116" s="466"/>
      <c r="X116" s="1541"/>
      <c r="Y116" s="466"/>
      <c r="Z116" s="1493"/>
      <c r="AA116" s="466"/>
      <c r="AB116" s="1069" t="str">
        <f>"ставка платы за "&amp;IF(Q85="Водоснабжение","потребление 1 куб.м холодной воды","объем принятых сточных вод")</f>
        <v>ставка платы за объем принятых сточных вод</v>
      </c>
      <c r="AC116" s="840" t="s">
        <v>1476</v>
      </c>
      <c r="AD116" s="2912"/>
      <c r="AE116" s="2912"/>
      <c r="AF116" s="1071">
        <f>IF(AD116=0,0,(AE116-AD116)/AD116*100)</f>
        <v>0</v>
      </c>
      <c r="AG116" s="2912"/>
      <c r="AH116" s="2912"/>
      <c r="AI116" s="1071">
        <f>IF(AG116=0,0,(AH116-AG116)/AG116*100)</f>
        <v>0</v>
      </c>
      <c r="AJ116" s="2912"/>
      <c r="AK116" s="2912"/>
      <c r="AL116" s="1071">
        <f>IF(AJ116=0,0,(AK116-AJ116)/AJ116*100)</f>
        <v>0</v>
      </c>
      <c r="AM116" s="2912"/>
      <c r="AN116" s="2912"/>
      <c r="AO116" s="1071">
        <f>IF(AM116=0,0,(AN116-AM116)/AM116*100)</f>
        <v>0</v>
      </c>
      <c r="AP116" s="2912"/>
      <c r="AQ116" s="2912"/>
      <c r="AR116" s="1071">
        <f>IF(AP116=0,0,(AQ116-AP116)/AP116*100)</f>
        <v>0</v>
      </c>
      <c r="AS116" s="2912"/>
      <c r="AT116" s="2912"/>
      <c r="AU116" s="1071">
        <f>IF(AS116=0,0,(AT116-AS116)/AS116*100)</f>
        <v>0</v>
      </c>
      <c r="AV116" s="2912"/>
      <c r="AW116" s="2912"/>
      <c r="AX116" s="1071">
        <f>IF(AV116=0,0,(AW116-AV116)/AV116*100)</f>
        <v>0</v>
      </c>
      <c r="AY116" s="2912"/>
      <c r="AZ116" s="2912"/>
      <c r="BA116" s="1071">
        <f>IF(AY116=0,0,(AZ116-AY116)/AY116*100)</f>
        <v>0</v>
      </c>
      <c r="BB116" s="2912"/>
      <c r="BC116" s="2912"/>
      <c r="BD116" s="1071">
        <f>IF(BB116=0,0,(BC116-BB116)/BB116*100)</f>
        <v>0</v>
      </c>
      <c r="BE116" s="2912"/>
      <c r="BF116" s="2912"/>
      <c r="BG116" s="1071">
        <f>IF(BE116=0,0,(BF116-BE116)/BE116*100)</f>
        <v>0</v>
      </c>
      <c r="BH116" s="2912"/>
      <c r="BI116" s="2912"/>
      <c r="BJ116" s="1071">
        <f>IF(BH116=0,0,(BI116-BH116)/BH116*100)</f>
        <v>0</v>
      </c>
      <c r="BK116" s="2912"/>
      <c r="BL116" s="2912"/>
      <c r="BM116" s="1071">
        <f>IF(BK116=0,0,(BL116-BK116)/BK116*100)</f>
        <v>0</v>
      </c>
      <c r="BN116" s="2912"/>
      <c r="BO116" s="2912"/>
      <c r="BP116" s="1071">
        <f>IF(BN116=0,0,(BO116-BN116)/BN116*100)</f>
        <v>0</v>
      </c>
      <c r="BQ116" s="2912"/>
      <c r="BR116" s="2912"/>
      <c r="BS116" s="1071">
        <f>IF(BQ116=0,0,(BR116-BQ116)/BQ116*100)</f>
        <v>0</v>
      </c>
      <c r="BT116" s="2912"/>
      <c r="BU116" s="2912"/>
      <c r="BV116" s="1071">
        <f>IF(BT116=0,0,(BU116-BT116)/BT116*100)</f>
        <v>0</v>
      </c>
      <c r="BW116" s="2912"/>
      <c r="BX116" s="2912"/>
      <c r="BY116" s="1071">
        <f>IF(BW116=0,0,(BX116-BW116)/BW116*100)</f>
        <v>0</v>
      </c>
      <c r="BZ116" s="2912"/>
      <c r="CA116" s="2912"/>
      <c r="CB116" s="1071">
        <f>IF(BZ116=0,0,(CA116-BZ116)/BZ116*100)</f>
        <v>0</v>
      </c>
      <c r="CC116" s="2912"/>
      <c r="CD116" s="2912"/>
      <c r="CE116" s="1071">
        <f>IF(CC116=0,0,(CD116-CC116)/CC116*100)</f>
        <v>0</v>
      </c>
      <c r="CF116" s="2912"/>
      <c r="CG116" s="2912"/>
      <c r="CH116" s="1071">
        <f>IF(CF116=0,0,(CG116-CF116)/CF116*100)</f>
        <v>0</v>
      </c>
      <c r="CI116" s="2912"/>
      <c r="CJ116" s="2912"/>
      <c r="CK116" s="1071">
        <f>IF(CI116=0,0,(CJ116-CI116)/CI116*100)</f>
        <v>0</v>
      </c>
      <c r="CL116" s="2912"/>
      <c r="CM116" s="2912"/>
      <c r="CN116" s="1071">
        <f>IF(CL116=0,0,(CM116-CL116)/CL116*100)</f>
        <v>0</v>
      </c>
      <c r="CO116" s="2912"/>
      <c r="CP116" s="2912"/>
      <c r="CQ116" s="1071">
        <f>IF(CO116=0,0,(CP116-CO116)/CO116*100)</f>
        <v>0</v>
      </c>
      <c r="CR116" s="2912"/>
      <c r="CS116" s="2912"/>
      <c r="CT116" s="1071">
        <f>IF(CR116=0,0,(CS116-CR116)/CR116*100)</f>
        <v>0</v>
      </c>
      <c r="CU116" s="2912"/>
      <c r="CV116" s="2912"/>
      <c r="CW116" s="1071">
        <f>IF(CU116=0,0,(CV116-CU116)/CU116*100)</f>
        <v>0</v>
      </c>
      <c r="CX116" s="2912"/>
      <c r="CY116" s="2912"/>
      <c r="CZ116" s="1071">
        <f>IF(CX116=0,0,(CY116-CX116)/CX116*100)</f>
        <v>0</v>
      </c>
      <c r="DA116" s="2912"/>
      <c r="DB116" s="2912"/>
      <c r="DC116" s="1071">
        <f>IF(DA116=0,0,(DB116-DA116)/DA116*100)</f>
        <v>0</v>
      </c>
      <c r="DD116" s="2912"/>
      <c r="DE116" s="2912"/>
      <c r="DF116" s="1071">
        <f>IF(DD116=0,0,(DE116-DD116)/DD116*100)</f>
        <v>0</v>
      </c>
      <c r="DG116" s="2912"/>
      <c r="DH116" s="2912"/>
      <c r="DI116" s="1071">
        <f>IF(DG116=0,0,(DH116-DG116)/DG116*100)</f>
        <v>0</v>
      </c>
      <c r="DJ116" s="2912"/>
      <c r="DK116" s="2912"/>
      <c r="DL116" s="1071">
        <f>IF(DJ116=0,0,(DK116-DJ116)/DJ116*100)</f>
        <v>0</v>
      </c>
      <c r="DM116" s="2912"/>
      <c r="DN116" s="2912"/>
      <c r="DO116" s="1071">
        <f>IF(DM116=0,0,(DN116-DM116)/DM116*100)</f>
        <v>0</v>
      </c>
      <c r="DP116" s="2912"/>
      <c r="DQ116" s="2912"/>
      <c r="DR116" s="1071">
        <f>IF(DP116=0,0,(DQ116-DP116)/DP116*100)</f>
        <v>0</v>
      </c>
      <c r="DS116" s="2912"/>
      <c r="DT116" s="2912"/>
      <c r="DU116" s="1071">
        <f>IF(DS116=0,0,(DT116-DS116)/DS116*100)</f>
        <v>0</v>
      </c>
      <c r="DV116" s="2912"/>
      <c r="DW116" s="2912"/>
      <c r="DX116" s="1071">
        <f>IF(DV116=0,0,(DW116-DV116)/DV116*100)</f>
        <v>0</v>
      </c>
      <c r="DY116" s="2912"/>
      <c r="DZ116" s="2912"/>
      <c r="EA116" s="1071">
        <f>IF(DY116=0,0,(DZ116-DY116)/DY116*100)</f>
        <v>0</v>
      </c>
      <c r="EB116" s="2912"/>
      <c r="EC116" s="2912"/>
      <c r="ED116" s="1071">
        <f>IF(EB116=0,0,(EC116-EB116)/EB116*100)</f>
        <v>0</v>
      </c>
      <c r="EE116" s="2912"/>
      <c r="EF116" s="2912"/>
      <c r="EG116" s="1071">
        <f>IF(EE116=0,0,(EF116-EE116)/EE116*100)</f>
        <v>0</v>
      </c>
      <c r="EH116" s="2912"/>
      <c r="EI116" s="2912"/>
      <c r="EJ116" s="1071">
        <f>IF(EH116=0,0,(EI116-EH116)/EH116*100)</f>
        <v>0</v>
      </c>
      <c r="EK116" s="2912"/>
      <c r="EL116" s="2912"/>
      <c r="EM116" s="1071">
        <f>IF(EK116=0,0,(EL116-EK116)/EK116*100)</f>
        <v>0</v>
      </c>
      <c r="EN116" s="2912"/>
      <c r="EO116" s="2912"/>
      <c r="EP116" s="1071">
        <f>IF(EN116=0,0,(EO116-EN116)/EN116*100)</f>
        <v>0</v>
      </c>
      <c r="EQ116" s="2912"/>
      <c r="ER116" s="2912"/>
      <c r="ES116" s="1071">
        <f>IF(EQ116=0,0,(ER116-EQ116)/EQ116*100)</f>
        <v>0</v>
      </c>
      <c r="ET116" s="2912"/>
      <c r="EU116" s="2912"/>
      <c r="EV116" s="1071">
        <f>IF(ET116=0,0,(EU116-ET116)/ET116*100)</f>
        <v>0</v>
      </c>
      <c r="EW116" s="2912"/>
      <c r="EX116" s="2912"/>
      <c r="EY116" s="1071">
        <f>IF(EW116=0,0,(EX116-EW116)/EW116*100)</f>
        <v>0</v>
      </c>
      <c r="EZ116" s="2912"/>
      <c r="FA116" s="2912"/>
      <c r="FB116" s="1071">
        <f>IF(EZ116=0,0,(FA116-EZ116)/EZ116*100)</f>
        <v>0</v>
      </c>
      <c r="FC116" s="2912"/>
      <c r="FD116" s="2912"/>
      <c r="FE116" s="1071">
        <f>IF(FC116=0,0,(FD116-FC116)/FC116*100)</f>
        <v>0</v>
      </c>
      <c r="FF116" s="2912"/>
      <c r="FG116" s="2912"/>
      <c r="FH116" s="1071">
        <f>IF(FF116=0,0,(FG116-FF116)/FF116*100)</f>
        <v>0</v>
      </c>
      <c r="FI116" s="2912"/>
      <c r="FJ116" s="2912"/>
      <c r="FK116" s="1071">
        <f>IF(FI116=0,0,(FJ116-FI116)/FI116*100)</f>
        <v>0</v>
      </c>
      <c r="FL116" s="2912"/>
      <c r="FM116" s="2912"/>
      <c r="FN116" s="1071">
        <f>IF(FL116=0,0,(FM116-FL116)/FL116*100)</f>
        <v>0</v>
      </c>
      <c r="FO116" s="2912"/>
      <c r="FP116" s="2912"/>
      <c r="FQ116" s="1071">
        <f>IF(FO116=0,0,(FP116-FO116)/FO116*100)</f>
        <v>0</v>
      </c>
      <c r="FR116" s="2912"/>
      <c r="FS116" s="2912"/>
      <c r="FT116" s="1071">
        <f>IF(FR116=0,0,(FS116-FR116)/FR116*100)</f>
        <v>0</v>
      </c>
      <c r="FU116" s="2912"/>
      <c r="FV116" s="2912"/>
      <c r="FW116" s="1071">
        <f>IF(FU116=0,0,(FV116-FU116)/FU116*100)</f>
        <v>0</v>
      </c>
      <c r="FX116" s="1282"/>
      <c r="FY116" s="1282"/>
      <c r="FZ116" s="1032" t="s">
        <v>1531</v>
      </c>
      <c r="GA116" s="1284"/>
      <c r="GB116" s="1284"/>
      <c r="GC116" s="1283"/>
      <c r="GD116" s="1283"/>
    </row>
    <row s="1624" customFormat="1" customHeight="1" ht="14.25" hidden="1">
      <c r="A117" s="466"/>
      <c r="B117" s="901" cm="1" t="str">
        <f t="array" ref="B117:B117">B116</f>
        <v>false</v>
      </c>
      <c r="C117" s="466"/>
      <c r="D117" s="466"/>
      <c r="E117" s="816">
        <v>15</v>
      </c>
      <c r="F117" s="50" cm="1" t="str">
        <f t="array" ref="F117:F117">OFFSET(E117,-1,1)</f>
        <v>1</v>
      </c>
      <c r="G117" s="73" t="s">
        <v>1532</v>
      </c>
      <c r="H117" s="466" t="s">
        <v>1513</v>
      </c>
      <c r="I117" s="466" t="s">
        <v>1489</v>
      </c>
      <c r="J117" s="466"/>
      <c r="K117" s="466"/>
      <c r="L117" s="466"/>
      <c r="M117" s="466"/>
      <c r="N117" s="466"/>
      <c r="O117" s="466"/>
      <c r="P117" s="466"/>
      <c r="Q117" s="466"/>
      <c r="R117" s="466"/>
      <c r="S117" s="466"/>
      <c r="T117" s="438" cm="1" t="str">
        <f t="array" ref="T117:T117">T116</f>
        <v>true</v>
      </c>
      <c r="U117" s="466"/>
      <c r="V117" s="466"/>
      <c r="W117" s="466"/>
      <c r="X117" s="1541"/>
      <c r="Y117" s="466"/>
      <c r="Z117" s="1493"/>
      <c r="AA117" s="466"/>
      <c r="AB117" s="1069" t="str">
        <f>"объём "&amp;IF(Q85="Водоснабжение","потребления холодной воды","водоотведения")</f>
        <v>объём водоотведения</v>
      </c>
      <c r="AC117" s="840" t="s">
        <v>506</v>
      </c>
      <c r="AD117" s="2907">
        <f>IF(AND(method_reg="Метод индексации",god&lt;&gt;first_year),_xlfn.SUMIFS(INDEX('Калькуляция (МИ корр)'!$AJ$25:$BC$315,,MATCH(AD$8,'Калькуляция (МИ корр)'!$AJ$8:$BC$8,0)),'Калькуляция (МИ корр)'!$F$25:$F$315,$F117,'Калькуляция (МИ корр)'!$G$25:$G$315,$G117),IF(method_reg="Метод экономически обоснованных расходов",_xlfn.SUMIFS('Калькуляция (МЭОР)'!$AJ$25:$AJ$197,'Калькуляция (МЭОР)'!$F$25:$F$197,$F117,'Калькуляция (МЭОР)'!$G$25:$G$197,$G117),IF(method_reg="Метод сравнения аналогов",_xlfn.SUMIFS('Калькуляция (МСА)'!$AE$25:$AE$65,'Калькуляция (МСА)'!$F$25:$F$65,$F117,'Калькуляция (МСА)'!$G$25:$G$65,$G117),_xlfn.SUMIFS(INDEX('Калькуляция (МИ)'!$AJ$25:$BC$315,,MATCH(AD$8,'Калькуляция (МИ)'!$AJ$8:$BC$8,0)),'Калькуляция (МИ)'!$F$25:$F$315,$F117,'Калькуляция (МИ)'!$G$25:$G$315,$G117))))</f>
        <v>0</v>
      </c>
      <c r="AE117" s="2907">
        <f>IF(AND(method_reg="Метод индексации",god&lt;&gt;first_year),_xlfn.SUMIFS(INDEX('Калькуляция (МИ корр)'!$AJ$25:$BC$315,,MATCH(AE$8,'Калькуляция (МИ корр)'!$AJ$8:$BC$8,0)),'Калькуляция (МИ корр)'!$F$25:$F$315,$F117,'Калькуляция (МИ корр)'!$G$25:$G$315,$G117),IF(method_reg="Метод экономически обоснованных расходов",_xlfn.SUMIFS('Калькуляция (МЭОР)'!$AK$25:$AK$197,'Калькуляция (МЭОР)'!$F$25:$F$197,$F117,'Калькуляция (МЭОР)'!$G$25:$G$197,$G117),IF(method_reg="Метод сравнения аналогов",_xlfn.SUMIFS('Калькуляция (МСА)'!$AF$25:$AF$65,'Калькуляция (МСА)'!$F$25:$F$65,$F117,'Калькуляция (МСА)'!$G$25:$G$65,$G117),_xlfn.SUMIFS(INDEX('Калькуляция (МИ)'!$AJ$25:$BC$315,,MATCH(AE$8,'Калькуляция (МИ)'!$AJ$8:$BC$8,0)),'Калькуляция (МИ)'!$F$25:$F$315,$F117,'Калькуляция (МИ)'!$G$25:$G$315,$G117))))</f>
        <v>0</v>
      </c>
      <c r="AF117" s="1073">
        <f>IF(AD117=0,0,(AE117-AD117)/AD117*100)</f>
        <v>0</v>
      </c>
      <c r="AG117" s="2907">
        <f>IF(AND(method_reg="Метод индексации",god&lt;&gt;first_year),_xlfn.SUMIFS(INDEX('Калькуляция (МИ корр)'!$AJ$25:$BC$315,,MATCH(AG$8,'Калькуляция (МИ корр)'!$AJ$8:$BC$8,0)),'Калькуляция (МИ корр)'!$F$25:$F$315,$F117,'Калькуляция (МИ корр)'!$G$25:$G$315,$G117),IF(method_reg="Метод экономически обоснованных расходов",_xlfn.SUMIFS('Калькуляция (МЭОР)'!$AJ$25:$AJ$197,'Калькуляция (МЭОР)'!$F$25:$F$197,$F117,'Калькуляция (МЭОР)'!$G$25:$G$197,$G117),IF(method_reg="Метод сравнения аналогов",_xlfn.SUMIFS('Калькуляция (МСА)'!$AE$25:$AE$65,'Калькуляция (МСА)'!$F$25:$F$65,$F117,'Калькуляция (МСА)'!$G$25:$G$65,$G117),_xlfn.SUMIFS(INDEX('Калькуляция (МИ)'!$AJ$25:$BC$315,,MATCH(AG$8,'Калькуляция (МИ)'!$AJ$8:$BC$8,0)),'Калькуляция (МИ)'!$F$25:$F$315,$F117,'Калькуляция (МИ)'!$G$25:$G$315,$G117))))</f>
        <v>0</v>
      </c>
      <c r="AH117" s="2907">
        <f>IF(AND(method_reg="Метод индексации",god&lt;&gt;first_year),_xlfn.SUMIFS(INDEX('Калькуляция (МИ корр)'!$AJ$25:$BC$315,,MATCH(AH$8,'Калькуляция (МИ корр)'!$AJ$8:$BC$8,0)),'Калькуляция (МИ корр)'!$F$25:$F$315,$F117,'Калькуляция (МИ корр)'!$G$25:$G$315,$G117),IF(method_reg="Метод экономически обоснованных расходов",_xlfn.SUMIFS('Калькуляция (МЭОР)'!$AK$25:$AK$197,'Калькуляция (МЭОР)'!$F$25:$F$197,$F117,'Калькуляция (МЭОР)'!$G$25:$G$197,$G117),IF(method_reg="Метод сравнения аналогов",_xlfn.SUMIFS('Калькуляция (МСА)'!$AF$25:$AF$65,'Калькуляция (МСА)'!$F$25:$F$65,$F117,'Калькуляция (МСА)'!$G$25:$G$65,$G117),_xlfn.SUMIFS(INDEX('Калькуляция (МИ)'!$AJ$25:$BC$315,,MATCH(AH$8,'Калькуляция (МИ)'!$AJ$8:$BC$8,0)),'Калькуляция (МИ)'!$F$25:$F$315,$F117,'Калькуляция (МИ)'!$G$25:$G$315,$G117))))</f>
        <v>0</v>
      </c>
      <c r="AI117" s="1073">
        <f>IF(AG117=0,0,(AH117-AG117)/AG117*100)</f>
        <v>0</v>
      </c>
      <c r="AJ117" s="2907">
        <f>IF(AND(method_reg="Метод индексации",god&lt;&gt;first_year),_xlfn.SUMIFS(INDEX('Калькуляция (МИ корр)'!$AJ$25:$BC$315,,MATCH(AJ$8,'Калькуляция (МИ корр)'!$AJ$8:$BC$8,0)),'Калькуляция (МИ корр)'!$F$25:$F$315,$F117,'Калькуляция (МИ корр)'!$G$25:$G$315,$G117),IF(method_reg="Метод экономически обоснованных расходов",_xlfn.SUMIFS('Калькуляция (МЭОР)'!$AJ$25:$AJ$197,'Калькуляция (МЭОР)'!$F$25:$F$197,$F117,'Калькуляция (МЭОР)'!$G$25:$G$197,$G117),IF(method_reg="Метод сравнения аналогов",_xlfn.SUMIFS('Калькуляция (МСА)'!$AE$25:$AE$65,'Калькуляция (МСА)'!$F$25:$F$65,$F117,'Калькуляция (МСА)'!$G$25:$G$65,$G117),_xlfn.SUMIFS(INDEX('Калькуляция (МИ)'!$AJ$25:$BC$315,,MATCH(AJ$8,'Калькуляция (МИ)'!$AJ$8:$BC$8,0)),'Калькуляция (МИ)'!$F$25:$F$315,$F117,'Калькуляция (МИ)'!$G$25:$G$315,$G117))))</f>
        <v>0</v>
      </c>
      <c r="AK117" s="2907">
        <f>IF(AND(method_reg="Метод индексации",god&lt;&gt;first_year),_xlfn.SUMIFS(INDEX('Калькуляция (МИ корр)'!$AJ$25:$BC$315,,MATCH(AK$8,'Калькуляция (МИ корр)'!$AJ$8:$BC$8,0)),'Калькуляция (МИ корр)'!$F$25:$F$315,$F117,'Калькуляция (МИ корр)'!$G$25:$G$315,$G117),IF(method_reg="Метод экономически обоснованных расходов",_xlfn.SUMIFS('Калькуляция (МЭОР)'!$AK$25:$AK$197,'Калькуляция (МЭОР)'!$F$25:$F$197,$F117,'Калькуляция (МЭОР)'!$G$25:$G$197,$G117),IF(method_reg="Метод сравнения аналогов",_xlfn.SUMIFS('Калькуляция (МСА)'!$AF$25:$AF$65,'Калькуляция (МСА)'!$F$25:$F$65,$F117,'Калькуляция (МСА)'!$G$25:$G$65,$G117),_xlfn.SUMIFS(INDEX('Калькуляция (МИ)'!$AJ$25:$BC$315,,MATCH(AK$8,'Калькуляция (МИ)'!$AJ$8:$BC$8,0)),'Калькуляция (МИ)'!$F$25:$F$315,$F117,'Калькуляция (МИ)'!$G$25:$G$315,$G117))))</f>
        <v>0</v>
      </c>
      <c r="AL117" s="1073">
        <f>IF(AJ117=0,0,(AK117-AJ117)/AJ117*100)</f>
        <v>0</v>
      </c>
      <c r="AM117" s="2907">
        <f>IF(AND(method_reg="Метод индексации",god&lt;&gt;first_year),_xlfn.SUMIFS(INDEX('Калькуляция (МИ корр)'!$AJ$25:$BC$315,,MATCH(AM$8,'Калькуляция (МИ корр)'!$AJ$8:$BC$8,0)),'Калькуляция (МИ корр)'!$F$25:$F$315,$F117,'Калькуляция (МИ корр)'!$G$25:$G$315,$G117),IF(method_reg="Метод экономически обоснованных расходов",_xlfn.SUMIFS('Калькуляция (МЭОР)'!$AJ$25:$AJ$197,'Калькуляция (МЭОР)'!$F$25:$F$197,$F117,'Калькуляция (МЭОР)'!$G$25:$G$197,$G117),IF(method_reg="Метод сравнения аналогов",_xlfn.SUMIFS('Калькуляция (МСА)'!$AE$25:$AE$65,'Калькуляция (МСА)'!$F$25:$F$65,$F117,'Калькуляция (МСА)'!$G$25:$G$65,$G117),_xlfn.SUMIFS(INDEX('Калькуляция (МИ)'!$AJ$25:$BC$315,,MATCH(AM$8,'Калькуляция (МИ)'!$AJ$8:$BC$8,0)),'Калькуляция (МИ)'!$F$25:$F$315,$F117,'Калькуляция (МИ)'!$G$25:$G$315,$G117))))</f>
        <v>0</v>
      </c>
      <c r="AN117" s="2907">
        <f>IF(AND(method_reg="Метод индексации",god&lt;&gt;first_year),_xlfn.SUMIFS(INDEX('Калькуляция (МИ корр)'!$AJ$25:$BC$315,,MATCH(AN$8,'Калькуляция (МИ корр)'!$AJ$8:$BC$8,0)),'Калькуляция (МИ корр)'!$F$25:$F$315,$F117,'Калькуляция (МИ корр)'!$G$25:$G$315,$G117),IF(method_reg="Метод экономически обоснованных расходов",_xlfn.SUMIFS('Калькуляция (МЭОР)'!$AK$25:$AK$197,'Калькуляция (МЭОР)'!$F$25:$F$197,$F117,'Калькуляция (МЭОР)'!$G$25:$G$197,$G117),IF(method_reg="Метод сравнения аналогов",_xlfn.SUMIFS('Калькуляция (МСА)'!$AF$25:$AF$65,'Калькуляция (МСА)'!$F$25:$F$65,$F117,'Калькуляция (МСА)'!$G$25:$G$65,$G117),_xlfn.SUMIFS(INDEX('Калькуляция (МИ)'!$AJ$25:$BC$315,,MATCH(AN$8,'Калькуляция (МИ)'!$AJ$8:$BC$8,0)),'Калькуляция (МИ)'!$F$25:$F$315,$F117,'Калькуляция (МИ)'!$G$25:$G$315,$G117))))</f>
        <v>0</v>
      </c>
      <c r="AO117" s="1073">
        <f>IF(AM117=0,0,(AN117-AM117)/AM117*100)</f>
        <v>0</v>
      </c>
      <c r="AP117" s="2907">
        <f>IF(AND(method_reg="Метод индексации",god&lt;&gt;first_year),_xlfn.SUMIFS(INDEX('Калькуляция (МИ корр)'!$AJ$25:$BC$315,,MATCH(AP$8,'Калькуляция (МИ корр)'!$AJ$8:$BC$8,0)),'Калькуляция (МИ корр)'!$F$25:$F$315,$F117,'Калькуляция (МИ корр)'!$G$25:$G$315,$G117),IF(method_reg="Метод экономически обоснованных расходов",_xlfn.SUMIFS('Калькуляция (МЭОР)'!$AJ$25:$AJ$197,'Калькуляция (МЭОР)'!$F$25:$F$197,$F117,'Калькуляция (МЭОР)'!$G$25:$G$197,$G117),IF(method_reg="Метод сравнения аналогов",_xlfn.SUMIFS('Калькуляция (МСА)'!$AE$25:$AE$65,'Калькуляция (МСА)'!$F$25:$F$65,$F117,'Калькуляция (МСА)'!$G$25:$G$65,$G117),_xlfn.SUMIFS(INDEX('Калькуляция (МИ)'!$AJ$25:$BC$315,,MATCH(AP$8,'Калькуляция (МИ)'!$AJ$8:$BC$8,0)),'Калькуляция (МИ)'!$F$25:$F$315,$F117,'Калькуляция (МИ)'!$G$25:$G$315,$G117))))</f>
        <v>0</v>
      </c>
      <c r="AQ117" s="2907">
        <f>IF(AND(method_reg="Метод индексации",god&lt;&gt;first_year),_xlfn.SUMIFS(INDEX('Калькуляция (МИ корр)'!$AJ$25:$BC$315,,MATCH(AQ$8,'Калькуляция (МИ корр)'!$AJ$8:$BC$8,0)),'Калькуляция (МИ корр)'!$F$25:$F$315,$F117,'Калькуляция (МИ корр)'!$G$25:$G$315,$G117),IF(method_reg="Метод экономически обоснованных расходов",_xlfn.SUMIFS('Калькуляция (МЭОР)'!$AK$25:$AK$197,'Калькуляция (МЭОР)'!$F$25:$F$197,$F117,'Калькуляция (МЭОР)'!$G$25:$G$197,$G117),IF(method_reg="Метод сравнения аналогов",_xlfn.SUMIFS('Калькуляция (МСА)'!$AF$25:$AF$65,'Калькуляция (МСА)'!$F$25:$F$65,$F117,'Калькуляция (МСА)'!$G$25:$G$65,$G117),_xlfn.SUMIFS(INDEX('Калькуляция (МИ)'!$AJ$25:$BC$315,,MATCH(AQ$8,'Калькуляция (МИ)'!$AJ$8:$BC$8,0)),'Калькуляция (МИ)'!$F$25:$F$315,$F117,'Калькуляция (МИ)'!$G$25:$G$315,$G117))))</f>
        <v>0</v>
      </c>
      <c r="AR117" s="1073">
        <f>IF(AP117=0,0,(AQ117-AP117)/AP117*100)</f>
        <v>0</v>
      </c>
      <c r="AS117" s="2907">
        <f>IF(AND(method_reg="Метод индексации",god&lt;&gt;first_year),_xlfn.SUMIFS(INDEX('Калькуляция (МИ корр)'!$AJ$25:$BC$315,,MATCH(AS$8,'Калькуляция (МИ корр)'!$AJ$8:$BC$8,0)),'Калькуляция (МИ корр)'!$F$25:$F$315,$F117,'Калькуляция (МИ корр)'!$G$25:$G$315,$G117),IF(method_reg="Метод экономически обоснованных расходов",_xlfn.SUMIFS('Калькуляция (МЭОР)'!$AJ$25:$AJ$197,'Калькуляция (МЭОР)'!$F$25:$F$197,$F117,'Калькуляция (МЭОР)'!$G$25:$G$197,$G117),IF(method_reg="Метод сравнения аналогов",_xlfn.SUMIFS('Калькуляция (МСА)'!$AE$25:$AE$65,'Калькуляция (МСА)'!$F$25:$F$65,$F117,'Калькуляция (МСА)'!$G$25:$G$65,$G117),_xlfn.SUMIFS(INDEX('Калькуляция (МИ)'!$AJ$25:$BC$315,,MATCH(AS$8,'Калькуляция (МИ)'!$AJ$8:$BC$8,0)),'Калькуляция (МИ)'!$F$25:$F$315,$F117,'Калькуляция (МИ)'!$G$25:$G$315,$G117))))</f>
        <v>0</v>
      </c>
      <c r="AT117" s="2907">
        <f>IF(AND(method_reg="Метод индексации",god&lt;&gt;first_year),_xlfn.SUMIFS(INDEX('Калькуляция (МИ корр)'!$AJ$25:$BC$315,,MATCH(AT$8,'Калькуляция (МИ корр)'!$AJ$8:$BC$8,0)),'Калькуляция (МИ корр)'!$F$25:$F$315,$F117,'Калькуляция (МИ корр)'!$G$25:$G$315,$G117),IF(method_reg="Метод экономически обоснованных расходов",_xlfn.SUMIFS('Калькуляция (МЭОР)'!$AK$25:$AK$197,'Калькуляция (МЭОР)'!$F$25:$F$197,$F117,'Калькуляция (МЭОР)'!$G$25:$G$197,$G117),IF(method_reg="Метод сравнения аналогов",_xlfn.SUMIFS('Калькуляция (МСА)'!$AF$25:$AF$65,'Калькуляция (МСА)'!$F$25:$F$65,$F117,'Калькуляция (МСА)'!$G$25:$G$65,$G117),_xlfn.SUMIFS(INDEX('Калькуляция (МИ)'!$AJ$25:$BC$315,,MATCH(AT$8,'Калькуляция (МИ)'!$AJ$8:$BC$8,0)),'Калькуляция (МИ)'!$F$25:$F$315,$F117,'Калькуляция (МИ)'!$G$25:$G$315,$G117))))</f>
        <v>0</v>
      </c>
      <c r="AU117" s="1073">
        <f>IF(AS117=0,0,(AT117-AS117)/AS117*100)</f>
        <v>0</v>
      </c>
      <c r="AV117" s="2907">
        <f>IF(AND(method_reg="Метод индексации",god&lt;&gt;first_year),_xlfn.SUMIFS(INDEX('Калькуляция (МИ корр)'!$AJ$25:$BC$315,,MATCH(AV$8,'Калькуляция (МИ корр)'!$AJ$8:$BC$8,0)),'Калькуляция (МИ корр)'!$F$25:$F$315,$F117,'Калькуляция (МИ корр)'!$G$25:$G$315,$G117),IF(method_reg="Метод экономически обоснованных расходов",_xlfn.SUMIFS('Калькуляция (МЭОР)'!$AJ$25:$AJ$197,'Калькуляция (МЭОР)'!$F$25:$F$197,$F117,'Калькуляция (МЭОР)'!$G$25:$G$197,$G117),IF(method_reg="Метод сравнения аналогов",_xlfn.SUMIFS('Калькуляция (МСА)'!$AE$25:$AE$65,'Калькуляция (МСА)'!$F$25:$F$65,$F117,'Калькуляция (МСА)'!$G$25:$G$65,$G117),_xlfn.SUMIFS(INDEX('Калькуляция (МИ)'!$AJ$25:$BC$315,,MATCH(AV$8,'Калькуляция (МИ)'!$AJ$8:$BC$8,0)),'Калькуляция (МИ)'!$F$25:$F$315,$F117,'Калькуляция (МИ)'!$G$25:$G$315,$G117))))</f>
        <v>0</v>
      </c>
      <c r="AW117" s="2907">
        <f>IF(AND(method_reg="Метод индексации",god&lt;&gt;first_year),_xlfn.SUMIFS(INDEX('Калькуляция (МИ корр)'!$AJ$25:$BC$315,,MATCH(AW$8,'Калькуляция (МИ корр)'!$AJ$8:$BC$8,0)),'Калькуляция (МИ корр)'!$F$25:$F$315,$F117,'Калькуляция (МИ корр)'!$G$25:$G$315,$G117),IF(method_reg="Метод экономически обоснованных расходов",_xlfn.SUMIFS('Калькуляция (МЭОР)'!$AK$25:$AK$197,'Калькуляция (МЭОР)'!$F$25:$F$197,$F117,'Калькуляция (МЭОР)'!$G$25:$G$197,$G117),IF(method_reg="Метод сравнения аналогов",_xlfn.SUMIFS('Калькуляция (МСА)'!$AF$25:$AF$65,'Калькуляция (МСА)'!$F$25:$F$65,$F117,'Калькуляция (МСА)'!$G$25:$G$65,$G117),_xlfn.SUMIFS(INDEX('Калькуляция (МИ)'!$AJ$25:$BC$315,,MATCH(AW$8,'Калькуляция (МИ)'!$AJ$8:$BC$8,0)),'Калькуляция (МИ)'!$F$25:$F$315,$F117,'Калькуляция (МИ)'!$G$25:$G$315,$G117))))</f>
        <v>0</v>
      </c>
      <c r="AX117" s="1073">
        <f>IF(AV117=0,0,(AW117-AV117)/AV117*100)</f>
        <v>0</v>
      </c>
      <c r="AY117" s="2907">
        <f>IF(AND(method_reg="Метод индексации",god&lt;&gt;first_year),_xlfn.SUMIFS(INDEX('Калькуляция (МИ корр)'!$AJ$25:$BC$315,,MATCH(AY$8,'Калькуляция (МИ корр)'!$AJ$8:$BC$8,0)),'Калькуляция (МИ корр)'!$F$25:$F$315,$F117,'Калькуляция (МИ корр)'!$G$25:$G$315,$G117),IF(method_reg="Метод экономически обоснованных расходов",_xlfn.SUMIFS('Калькуляция (МЭОР)'!$AJ$25:$AJ$197,'Калькуляция (МЭОР)'!$F$25:$F$197,$F117,'Калькуляция (МЭОР)'!$G$25:$G$197,$G117),IF(method_reg="Метод сравнения аналогов",_xlfn.SUMIFS('Калькуляция (МСА)'!$AE$25:$AE$65,'Калькуляция (МСА)'!$F$25:$F$65,$F117,'Калькуляция (МСА)'!$G$25:$G$65,$G117),_xlfn.SUMIFS(INDEX('Калькуляция (МИ)'!$AJ$25:$BC$315,,MATCH(AY$8,'Калькуляция (МИ)'!$AJ$8:$BC$8,0)),'Калькуляция (МИ)'!$F$25:$F$315,$F117,'Калькуляция (МИ)'!$G$25:$G$315,$G117))))</f>
        <v>0</v>
      </c>
      <c r="AZ117" s="2907">
        <f>IF(AND(method_reg="Метод индексации",god&lt;&gt;first_year),_xlfn.SUMIFS(INDEX('Калькуляция (МИ корр)'!$AJ$25:$BC$315,,MATCH(AZ$8,'Калькуляция (МИ корр)'!$AJ$8:$BC$8,0)),'Калькуляция (МИ корр)'!$F$25:$F$315,$F117,'Калькуляция (МИ корр)'!$G$25:$G$315,$G117),IF(method_reg="Метод экономически обоснованных расходов",_xlfn.SUMIFS('Калькуляция (МЭОР)'!$AK$25:$AK$197,'Калькуляция (МЭОР)'!$F$25:$F$197,$F117,'Калькуляция (МЭОР)'!$G$25:$G$197,$G117),IF(method_reg="Метод сравнения аналогов",_xlfn.SUMIFS('Калькуляция (МСА)'!$AF$25:$AF$65,'Калькуляция (МСА)'!$F$25:$F$65,$F117,'Калькуляция (МСА)'!$G$25:$G$65,$G117),_xlfn.SUMIFS(INDEX('Калькуляция (МИ)'!$AJ$25:$BC$315,,MATCH(AZ$8,'Калькуляция (МИ)'!$AJ$8:$BC$8,0)),'Калькуляция (МИ)'!$F$25:$F$315,$F117,'Калькуляция (МИ)'!$G$25:$G$315,$G117))))</f>
        <v>0</v>
      </c>
      <c r="BA117" s="1073">
        <f>IF(AY117=0,0,(AZ117-AY117)/AY117*100)</f>
        <v>0</v>
      </c>
      <c r="BB117" s="2907">
        <f>IF(AND(method_reg="Метод индексации",god&lt;&gt;first_year),_xlfn.SUMIFS(INDEX('Калькуляция (МИ корр)'!$AJ$25:$BC$315,,MATCH(BB$8,'Калькуляция (МИ корр)'!$AJ$8:$BC$8,0)),'Калькуляция (МИ корр)'!$F$25:$F$315,$F117,'Калькуляция (МИ корр)'!$G$25:$G$315,$G117),IF(method_reg="Метод экономически обоснованных расходов",_xlfn.SUMIFS('Калькуляция (МЭОР)'!$AJ$25:$AJ$197,'Калькуляция (МЭОР)'!$F$25:$F$197,$F117,'Калькуляция (МЭОР)'!$G$25:$G$197,$G117),IF(method_reg="Метод сравнения аналогов",_xlfn.SUMIFS('Калькуляция (МСА)'!$AE$25:$AE$65,'Калькуляция (МСА)'!$F$25:$F$65,$F117,'Калькуляция (МСА)'!$G$25:$G$65,$G117),_xlfn.SUMIFS(INDEX('Калькуляция (МИ)'!$AJ$25:$BC$315,,MATCH(BB$8,'Калькуляция (МИ)'!$AJ$8:$BC$8,0)),'Калькуляция (МИ)'!$F$25:$F$315,$F117,'Калькуляция (МИ)'!$G$25:$G$315,$G117))))</f>
        <v>0</v>
      </c>
      <c r="BC117" s="2907">
        <f>IF(AND(method_reg="Метод индексации",god&lt;&gt;first_year),_xlfn.SUMIFS(INDEX('Калькуляция (МИ корр)'!$AJ$25:$BC$315,,MATCH(BC$8,'Калькуляция (МИ корр)'!$AJ$8:$BC$8,0)),'Калькуляция (МИ корр)'!$F$25:$F$315,$F117,'Калькуляция (МИ корр)'!$G$25:$G$315,$G117),IF(method_reg="Метод экономически обоснованных расходов",_xlfn.SUMIFS('Калькуляция (МЭОР)'!$AK$25:$AK$197,'Калькуляция (МЭОР)'!$F$25:$F$197,$F117,'Калькуляция (МЭОР)'!$G$25:$G$197,$G117),IF(method_reg="Метод сравнения аналогов",_xlfn.SUMIFS('Калькуляция (МСА)'!$AF$25:$AF$65,'Калькуляция (МСА)'!$F$25:$F$65,$F117,'Калькуляция (МСА)'!$G$25:$G$65,$G117),_xlfn.SUMIFS(INDEX('Калькуляция (МИ)'!$AJ$25:$BC$315,,MATCH(BC$8,'Калькуляция (МИ)'!$AJ$8:$BC$8,0)),'Калькуляция (МИ)'!$F$25:$F$315,$F117,'Калькуляция (МИ)'!$G$25:$G$315,$G117))))</f>
        <v>0</v>
      </c>
      <c r="BD117" s="1073">
        <f>IF(BB117=0,0,(BC117-BB117)/BB117*100)</f>
        <v>0</v>
      </c>
      <c r="BE117" s="2907">
        <f>IF(AND(method_reg="Метод индексации",god&lt;&gt;first_year),_xlfn.SUMIFS(INDEX('Калькуляция (МИ корр)'!$AJ$25:$BC$315,,MATCH(BE$8,'Калькуляция (МИ корр)'!$AJ$8:$BC$8,0)),'Калькуляция (МИ корр)'!$F$25:$F$315,$F117,'Калькуляция (МИ корр)'!$G$25:$G$315,$G117),IF(method_reg="Метод экономически обоснованных расходов",_xlfn.SUMIFS('Калькуляция (МЭОР)'!$AJ$25:$AJ$197,'Калькуляция (МЭОР)'!$F$25:$F$197,$F117,'Калькуляция (МЭОР)'!$G$25:$G$197,$G117),IF(method_reg="Метод сравнения аналогов",_xlfn.SUMIFS('Калькуляция (МСА)'!$AE$25:$AE$65,'Калькуляция (МСА)'!$F$25:$F$65,$F117,'Калькуляция (МСА)'!$G$25:$G$65,$G117),_xlfn.SUMIFS(INDEX('Калькуляция (МИ)'!$AJ$25:$BC$315,,MATCH(BE$8,'Калькуляция (МИ)'!$AJ$8:$BC$8,0)),'Калькуляция (МИ)'!$F$25:$F$315,$F117,'Калькуляция (МИ)'!$G$25:$G$315,$G117))))</f>
        <v>0</v>
      </c>
      <c r="BF117" s="2907">
        <f>IF(AND(method_reg="Метод индексации",god&lt;&gt;first_year),_xlfn.SUMIFS(INDEX('Калькуляция (МИ корр)'!$AJ$25:$BC$315,,MATCH(BF$8,'Калькуляция (МИ корр)'!$AJ$8:$BC$8,0)),'Калькуляция (МИ корр)'!$F$25:$F$315,$F117,'Калькуляция (МИ корр)'!$G$25:$G$315,$G117),IF(method_reg="Метод экономически обоснованных расходов",_xlfn.SUMIFS('Калькуляция (МЭОР)'!$AK$25:$AK$197,'Калькуляция (МЭОР)'!$F$25:$F$197,$F117,'Калькуляция (МЭОР)'!$G$25:$G$197,$G117),IF(method_reg="Метод сравнения аналогов",_xlfn.SUMIFS('Калькуляция (МСА)'!$AF$25:$AF$65,'Калькуляция (МСА)'!$F$25:$F$65,$F117,'Калькуляция (МСА)'!$G$25:$G$65,$G117),_xlfn.SUMIFS(INDEX('Калькуляция (МИ)'!$AJ$25:$BC$315,,MATCH(BF$8,'Калькуляция (МИ)'!$AJ$8:$BC$8,0)),'Калькуляция (МИ)'!$F$25:$F$315,$F117,'Калькуляция (МИ)'!$G$25:$G$315,$G117))))</f>
        <v>0</v>
      </c>
      <c r="BG117" s="1073">
        <f>IF(BE117=0,0,(BF117-BE117)/BE117*100)</f>
        <v>0</v>
      </c>
      <c r="BH117" s="2907"/>
      <c r="BI117" s="2907"/>
      <c r="BJ117" s="1073">
        <f>IF(BH117=0,0,(BI117-BH117)/BH117*100)</f>
        <v>0</v>
      </c>
      <c r="BK117" s="2907"/>
      <c r="BL117" s="2907"/>
      <c r="BM117" s="1073">
        <f>IF(BK117=0,0,(BL117-BK117)/BK117*100)</f>
        <v>0</v>
      </c>
      <c r="BN117" s="2907"/>
      <c r="BO117" s="2907"/>
      <c r="BP117" s="1073">
        <f>IF(BN117=0,0,(BO117-BN117)/BN117*100)</f>
        <v>0</v>
      </c>
      <c r="BQ117" s="2907"/>
      <c r="BR117" s="2907"/>
      <c r="BS117" s="1073">
        <f>IF(BQ117=0,0,(BR117-BQ117)/BQ117*100)</f>
        <v>0</v>
      </c>
      <c r="BT117" s="2907"/>
      <c r="BU117" s="2907"/>
      <c r="BV117" s="1073">
        <f>IF(BT117=0,0,(BU117-BT117)/BT117*100)</f>
        <v>0</v>
      </c>
      <c r="BW117" s="2907"/>
      <c r="BX117" s="2907"/>
      <c r="BY117" s="1073">
        <f>IF(BW117=0,0,(BX117-BW117)/BW117*100)</f>
        <v>0</v>
      </c>
      <c r="BZ117" s="2907"/>
      <c r="CA117" s="2907"/>
      <c r="CB117" s="1073">
        <f>IF(BZ117=0,0,(CA117-BZ117)/BZ117*100)</f>
        <v>0</v>
      </c>
      <c r="CC117" s="2907"/>
      <c r="CD117" s="2907"/>
      <c r="CE117" s="1073">
        <f>IF(CC117=0,0,(CD117-CC117)/CC117*100)</f>
        <v>0</v>
      </c>
      <c r="CF117" s="2907"/>
      <c r="CG117" s="2907"/>
      <c r="CH117" s="1073">
        <f>IF(CF117=0,0,(CG117-CF117)/CF117*100)</f>
        <v>0</v>
      </c>
      <c r="CI117" s="2907"/>
      <c r="CJ117" s="2907"/>
      <c r="CK117" s="1073">
        <f>IF(CI117=0,0,(CJ117-CI117)/CI117*100)</f>
        <v>0</v>
      </c>
      <c r="CL117" s="2907"/>
      <c r="CM117" s="2907"/>
      <c r="CN117" s="1073">
        <f>IF(CL117=0,0,(CM117-CL117)/CL117*100)</f>
        <v>0</v>
      </c>
      <c r="CO117" s="2907"/>
      <c r="CP117" s="2907"/>
      <c r="CQ117" s="1073">
        <f>IF(CO117=0,0,(CP117-CO117)/CO117*100)</f>
        <v>0</v>
      </c>
      <c r="CR117" s="2907"/>
      <c r="CS117" s="2907"/>
      <c r="CT117" s="1073">
        <f>IF(CR117=0,0,(CS117-CR117)/CR117*100)</f>
        <v>0</v>
      </c>
      <c r="CU117" s="2907"/>
      <c r="CV117" s="2907"/>
      <c r="CW117" s="1073">
        <f>IF(CU117=0,0,(CV117-CU117)/CU117*100)</f>
        <v>0</v>
      </c>
      <c r="CX117" s="2907"/>
      <c r="CY117" s="2907"/>
      <c r="CZ117" s="1073">
        <f>IF(CX117=0,0,(CY117-CX117)/CX117*100)</f>
        <v>0</v>
      </c>
      <c r="DA117" s="2907"/>
      <c r="DB117" s="2907"/>
      <c r="DC117" s="1073">
        <f>IF(DA117=0,0,(DB117-DA117)/DA117*100)</f>
        <v>0</v>
      </c>
      <c r="DD117" s="2907"/>
      <c r="DE117" s="2907"/>
      <c r="DF117" s="1073">
        <f>IF(DD117=0,0,(DE117-DD117)/DD117*100)</f>
        <v>0</v>
      </c>
      <c r="DG117" s="2907"/>
      <c r="DH117" s="2907"/>
      <c r="DI117" s="1073">
        <f>IF(DG117=0,0,(DH117-DG117)/DG117*100)</f>
        <v>0</v>
      </c>
      <c r="DJ117" s="2907"/>
      <c r="DK117" s="2907"/>
      <c r="DL117" s="1073">
        <f>IF(DJ117=0,0,(DK117-DJ117)/DJ117*100)</f>
        <v>0</v>
      </c>
      <c r="DM117" s="2907"/>
      <c r="DN117" s="2907"/>
      <c r="DO117" s="1073">
        <f>IF(DM117=0,0,(DN117-DM117)/DM117*100)</f>
        <v>0</v>
      </c>
      <c r="DP117" s="2907"/>
      <c r="DQ117" s="2907"/>
      <c r="DR117" s="1073">
        <f>IF(DP117=0,0,(DQ117-DP117)/DP117*100)</f>
        <v>0</v>
      </c>
      <c r="DS117" s="2907"/>
      <c r="DT117" s="2907"/>
      <c r="DU117" s="1073">
        <f>IF(DS117=0,0,(DT117-DS117)/DS117*100)</f>
        <v>0</v>
      </c>
      <c r="DV117" s="2907"/>
      <c r="DW117" s="2907"/>
      <c r="DX117" s="1073">
        <f>IF(DV117=0,0,(DW117-DV117)/DV117*100)</f>
        <v>0</v>
      </c>
      <c r="DY117" s="2907"/>
      <c r="DZ117" s="2907"/>
      <c r="EA117" s="1073">
        <f>IF(DY117=0,0,(DZ117-DY117)/DY117*100)</f>
        <v>0</v>
      </c>
      <c r="EB117" s="2907"/>
      <c r="EC117" s="2907"/>
      <c r="ED117" s="1073">
        <f>IF(EB117=0,0,(EC117-EB117)/EB117*100)</f>
        <v>0</v>
      </c>
      <c r="EE117" s="2907"/>
      <c r="EF117" s="2907"/>
      <c r="EG117" s="1073">
        <f>IF(EE117=0,0,(EF117-EE117)/EE117*100)</f>
        <v>0</v>
      </c>
      <c r="EH117" s="2907"/>
      <c r="EI117" s="2907"/>
      <c r="EJ117" s="1073">
        <f>IF(EH117=0,0,(EI117-EH117)/EH117*100)</f>
        <v>0</v>
      </c>
      <c r="EK117" s="2907"/>
      <c r="EL117" s="2907"/>
      <c r="EM117" s="1073">
        <f>IF(EK117=0,0,(EL117-EK117)/EK117*100)</f>
        <v>0</v>
      </c>
      <c r="EN117" s="2907"/>
      <c r="EO117" s="2907"/>
      <c r="EP117" s="1073">
        <f>IF(EN117=0,0,(EO117-EN117)/EN117*100)</f>
        <v>0</v>
      </c>
      <c r="EQ117" s="2907"/>
      <c r="ER117" s="2907"/>
      <c r="ES117" s="1073">
        <f>IF(EQ117=0,0,(ER117-EQ117)/EQ117*100)</f>
        <v>0</v>
      </c>
      <c r="ET117" s="2907"/>
      <c r="EU117" s="2907"/>
      <c r="EV117" s="1073">
        <f>IF(ET117=0,0,(EU117-ET117)/ET117*100)</f>
        <v>0</v>
      </c>
      <c r="EW117" s="2907"/>
      <c r="EX117" s="2907"/>
      <c r="EY117" s="1073">
        <f>IF(EW117=0,0,(EX117-EW117)/EW117*100)</f>
        <v>0</v>
      </c>
      <c r="EZ117" s="2907"/>
      <c r="FA117" s="2907"/>
      <c r="FB117" s="1073">
        <f>IF(EZ117=0,0,(FA117-EZ117)/EZ117*100)</f>
        <v>0</v>
      </c>
      <c r="FC117" s="2907"/>
      <c r="FD117" s="2907"/>
      <c r="FE117" s="1073">
        <f>IF(FC117=0,0,(FD117-FC117)/FC117*100)</f>
        <v>0</v>
      </c>
      <c r="FF117" s="2907"/>
      <c r="FG117" s="2907"/>
      <c r="FH117" s="1073">
        <f>IF(FF117=0,0,(FG117-FF117)/FF117*100)</f>
        <v>0</v>
      </c>
      <c r="FI117" s="2907"/>
      <c r="FJ117" s="2907"/>
      <c r="FK117" s="1073">
        <f>IF(FI117=0,0,(FJ117-FI117)/FI117*100)</f>
        <v>0</v>
      </c>
      <c r="FL117" s="2907"/>
      <c r="FM117" s="2907"/>
      <c r="FN117" s="1073">
        <f>IF(FL117=0,0,(FM117-FL117)/FL117*100)</f>
        <v>0</v>
      </c>
      <c r="FO117" s="2907"/>
      <c r="FP117" s="2907"/>
      <c r="FQ117" s="1073">
        <f>IF(FO117=0,0,(FP117-FO117)/FO117*100)</f>
        <v>0</v>
      </c>
      <c r="FR117" s="2907"/>
      <c r="FS117" s="2907"/>
      <c r="FT117" s="1073">
        <f>IF(FR117=0,0,(FS117-FR117)/FR117*100)</f>
        <v>0</v>
      </c>
      <c r="FU117" s="2907"/>
      <c r="FV117" s="2907"/>
      <c r="FW117" s="1073">
        <f>IF(FU117=0,0,(FV117-FU117)/FU117*100)</f>
        <v>0</v>
      </c>
      <c r="FX117" s="1282"/>
      <c r="FY117" s="1282"/>
      <c r="FZ117" s="1032" t="s">
        <v>1533</v>
      </c>
      <c r="GA117" s="1284"/>
      <c r="GB117" s="1284"/>
      <c r="GC117" s="1283"/>
      <c r="GD117" s="1283"/>
    </row>
    <row s="1624" customFormat="1" customHeight="1" ht="21.75" hidden="1">
      <c r="A118" s="466"/>
      <c r="B118" s="901" cm="1" t="str">
        <f t="array" ref="B118:B118">B117</f>
        <v>false</v>
      </c>
      <c r="C118" s="466"/>
      <c r="D118" s="466"/>
      <c r="E118" s="816">
        <v>22.5</v>
      </c>
      <c r="F118" s="50" cm="1" t="str">
        <f t="array" ref="F118:F118">OFFSET(E118,-1,1)</f>
        <v>1</v>
      </c>
      <c r="G118" s="466"/>
      <c r="H118" s="466" t="s">
        <v>1515</v>
      </c>
      <c r="I118" s="466" t="s">
        <v>1489</v>
      </c>
      <c r="J118" s="466"/>
      <c r="K118" s="466"/>
      <c r="L118" s="466"/>
      <c r="M118" s="466"/>
      <c r="N118" s="466"/>
      <c r="O118" s="466"/>
      <c r="P118" s="466"/>
      <c r="Q118" s="466"/>
      <c r="R118" s="466"/>
      <c r="S118" s="466"/>
      <c r="T118" s="438" cm="1" t="str">
        <f t="array" ref="T118:T118">T117</f>
        <v>true</v>
      </c>
      <c r="U118" s="466"/>
      <c r="V118" s="466"/>
      <c r="W118" s="466"/>
      <c r="X118" s="1541"/>
      <c r="Y118" s="466"/>
      <c r="Z118" s="1493"/>
      <c r="AA118" s="466"/>
      <c r="AB118" s="1069" t="str">
        <f>"ставка платы за содержание системы "&amp;IF(Q85="Водоснабжение","холодного водоснабжения","водоотведения")</f>
        <v>ставка платы за содержание системы водоотведения</v>
      </c>
      <c r="AC118" s="840" t="s">
        <v>1516</v>
      </c>
      <c r="AD118" s="2912"/>
      <c r="AE118" s="2912"/>
      <c r="AF118" s="1071">
        <f>IF(AD118=0,0,(AE118-AD118)/AD118*100)</f>
        <v>0</v>
      </c>
      <c r="AG118" s="2912"/>
      <c r="AH118" s="2912"/>
      <c r="AI118" s="1071">
        <f>IF(AG118=0,0,(AH118-AG118)/AG118*100)</f>
        <v>0</v>
      </c>
      <c r="AJ118" s="2912"/>
      <c r="AK118" s="2912"/>
      <c r="AL118" s="1071">
        <f>IF(AJ118=0,0,(AK118-AJ118)/AJ118*100)</f>
        <v>0</v>
      </c>
      <c r="AM118" s="2912"/>
      <c r="AN118" s="2912"/>
      <c r="AO118" s="1071">
        <f>IF(AM118=0,0,(AN118-AM118)/AM118*100)</f>
        <v>0</v>
      </c>
      <c r="AP118" s="2912"/>
      <c r="AQ118" s="2912"/>
      <c r="AR118" s="1071">
        <f>IF(AP118=0,0,(AQ118-AP118)/AP118*100)</f>
        <v>0</v>
      </c>
      <c r="AS118" s="2912"/>
      <c r="AT118" s="2912"/>
      <c r="AU118" s="1071">
        <f>IF(AS118=0,0,(AT118-AS118)/AS118*100)</f>
        <v>0</v>
      </c>
      <c r="AV118" s="2912"/>
      <c r="AW118" s="2912"/>
      <c r="AX118" s="1071">
        <f>IF(AV118=0,0,(AW118-AV118)/AV118*100)</f>
        <v>0</v>
      </c>
      <c r="AY118" s="2912"/>
      <c r="AZ118" s="2912"/>
      <c r="BA118" s="1071">
        <f>IF(AY118=0,0,(AZ118-AY118)/AY118*100)</f>
        <v>0</v>
      </c>
      <c r="BB118" s="2912"/>
      <c r="BC118" s="2912"/>
      <c r="BD118" s="1071">
        <f>IF(BB118=0,0,(BC118-BB118)/BB118*100)</f>
        <v>0</v>
      </c>
      <c r="BE118" s="2912"/>
      <c r="BF118" s="2912"/>
      <c r="BG118" s="1071">
        <f>IF(BE118=0,0,(BF118-BE118)/BE118*100)</f>
        <v>0</v>
      </c>
      <c r="BH118" s="2912"/>
      <c r="BI118" s="2912"/>
      <c r="BJ118" s="1071">
        <f>IF(BH118=0,0,(BI118-BH118)/BH118*100)</f>
        <v>0</v>
      </c>
      <c r="BK118" s="2912"/>
      <c r="BL118" s="2912"/>
      <c r="BM118" s="1071">
        <f>IF(BK118=0,0,(BL118-BK118)/BK118*100)</f>
        <v>0</v>
      </c>
      <c r="BN118" s="2912"/>
      <c r="BO118" s="2912"/>
      <c r="BP118" s="1071">
        <f>IF(BN118=0,0,(BO118-BN118)/BN118*100)</f>
        <v>0</v>
      </c>
      <c r="BQ118" s="2912"/>
      <c r="BR118" s="2912"/>
      <c r="BS118" s="1071">
        <f>IF(BQ118=0,0,(BR118-BQ118)/BQ118*100)</f>
        <v>0</v>
      </c>
      <c r="BT118" s="2912"/>
      <c r="BU118" s="2912"/>
      <c r="BV118" s="1071">
        <f>IF(BT118=0,0,(BU118-BT118)/BT118*100)</f>
        <v>0</v>
      </c>
      <c r="BW118" s="2912"/>
      <c r="BX118" s="2912"/>
      <c r="BY118" s="1071">
        <f>IF(BW118=0,0,(BX118-BW118)/BW118*100)</f>
        <v>0</v>
      </c>
      <c r="BZ118" s="2912"/>
      <c r="CA118" s="2912"/>
      <c r="CB118" s="1071">
        <f>IF(BZ118=0,0,(CA118-BZ118)/BZ118*100)</f>
        <v>0</v>
      </c>
      <c r="CC118" s="2912"/>
      <c r="CD118" s="2912"/>
      <c r="CE118" s="1071">
        <f>IF(CC118=0,0,(CD118-CC118)/CC118*100)</f>
        <v>0</v>
      </c>
      <c r="CF118" s="2912"/>
      <c r="CG118" s="2912"/>
      <c r="CH118" s="1071">
        <f>IF(CF118=0,0,(CG118-CF118)/CF118*100)</f>
        <v>0</v>
      </c>
      <c r="CI118" s="2912"/>
      <c r="CJ118" s="2912"/>
      <c r="CK118" s="1071">
        <f>IF(CI118=0,0,(CJ118-CI118)/CI118*100)</f>
        <v>0</v>
      </c>
      <c r="CL118" s="2912"/>
      <c r="CM118" s="2912"/>
      <c r="CN118" s="1071">
        <f>IF(CL118=0,0,(CM118-CL118)/CL118*100)</f>
        <v>0</v>
      </c>
      <c r="CO118" s="2912"/>
      <c r="CP118" s="2912"/>
      <c r="CQ118" s="1071">
        <f>IF(CO118=0,0,(CP118-CO118)/CO118*100)</f>
        <v>0</v>
      </c>
      <c r="CR118" s="2912"/>
      <c r="CS118" s="2912"/>
      <c r="CT118" s="1071">
        <f>IF(CR118=0,0,(CS118-CR118)/CR118*100)</f>
        <v>0</v>
      </c>
      <c r="CU118" s="2912"/>
      <c r="CV118" s="2912"/>
      <c r="CW118" s="1071">
        <f>IF(CU118=0,0,(CV118-CU118)/CU118*100)</f>
        <v>0</v>
      </c>
      <c r="CX118" s="2912"/>
      <c r="CY118" s="2912"/>
      <c r="CZ118" s="1071">
        <f>IF(CX118=0,0,(CY118-CX118)/CX118*100)</f>
        <v>0</v>
      </c>
      <c r="DA118" s="2912"/>
      <c r="DB118" s="2912"/>
      <c r="DC118" s="1071">
        <f>IF(DA118=0,0,(DB118-DA118)/DA118*100)</f>
        <v>0</v>
      </c>
      <c r="DD118" s="2912"/>
      <c r="DE118" s="2912"/>
      <c r="DF118" s="1071">
        <f>IF(DD118=0,0,(DE118-DD118)/DD118*100)</f>
        <v>0</v>
      </c>
      <c r="DG118" s="2912"/>
      <c r="DH118" s="2912"/>
      <c r="DI118" s="1071">
        <f>IF(DG118=0,0,(DH118-DG118)/DG118*100)</f>
        <v>0</v>
      </c>
      <c r="DJ118" s="2912"/>
      <c r="DK118" s="2912"/>
      <c r="DL118" s="1071">
        <f>IF(DJ118=0,0,(DK118-DJ118)/DJ118*100)</f>
        <v>0</v>
      </c>
      <c r="DM118" s="2912"/>
      <c r="DN118" s="2912"/>
      <c r="DO118" s="1071">
        <f>IF(DM118=0,0,(DN118-DM118)/DM118*100)</f>
        <v>0</v>
      </c>
      <c r="DP118" s="2912"/>
      <c r="DQ118" s="2912"/>
      <c r="DR118" s="1071">
        <f>IF(DP118=0,0,(DQ118-DP118)/DP118*100)</f>
        <v>0</v>
      </c>
      <c r="DS118" s="2912"/>
      <c r="DT118" s="2912"/>
      <c r="DU118" s="1071">
        <f>IF(DS118=0,0,(DT118-DS118)/DS118*100)</f>
        <v>0</v>
      </c>
      <c r="DV118" s="2912"/>
      <c r="DW118" s="2912"/>
      <c r="DX118" s="1071">
        <f>IF(DV118=0,0,(DW118-DV118)/DV118*100)</f>
        <v>0</v>
      </c>
      <c r="DY118" s="2912"/>
      <c r="DZ118" s="2912"/>
      <c r="EA118" s="1071">
        <f>IF(DY118=0,0,(DZ118-DY118)/DY118*100)</f>
        <v>0</v>
      </c>
      <c r="EB118" s="2912"/>
      <c r="EC118" s="2912"/>
      <c r="ED118" s="1071">
        <f>IF(EB118=0,0,(EC118-EB118)/EB118*100)</f>
        <v>0</v>
      </c>
      <c r="EE118" s="2912"/>
      <c r="EF118" s="2912"/>
      <c r="EG118" s="1071">
        <f>IF(EE118=0,0,(EF118-EE118)/EE118*100)</f>
        <v>0</v>
      </c>
      <c r="EH118" s="2912"/>
      <c r="EI118" s="2912"/>
      <c r="EJ118" s="1071">
        <f>IF(EH118=0,0,(EI118-EH118)/EH118*100)</f>
        <v>0</v>
      </c>
      <c r="EK118" s="2912"/>
      <c r="EL118" s="2912"/>
      <c r="EM118" s="1071">
        <f>IF(EK118=0,0,(EL118-EK118)/EK118*100)</f>
        <v>0</v>
      </c>
      <c r="EN118" s="2912"/>
      <c r="EO118" s="2912"/>
      <c r="EP118" s="1071">
        <f>IF(EN118=0,0,(EO118-EN118)/EN118*100)</f>
        <v>0</v>
      </c>
      <c r="EQ118" s="2912"/>
      <c r="ER118" s="2912"/>
      <c r="ES118" s="1071">
        <f>IF(EQ118=0,0,(ER118-EQ118)/EQ118*100)</f>
        <v>0</v>
      </c>
      <c r="ET118" s="2912"/>
      <c r="EU118" s="2912"/>
      <c r="EV118" s="1071">
        <f>IF(ET118=0,0,(EU118-ET118)/ET118*100)</f>
        <v>0</v>
      </c>
      <c r="EW118" s="2912"/>
      <c r="EX118" s="2912"/>
      <c r="EY118" s="1071">
        <f>IF(EW118=0,0,(EX118-EW118)/EW118*100)</f>
        <v>0</v>
      </c>
      <c r="EZ118" s="2912"/>
      <c r="FA118" s="2912"/>
      <c r="FB118" s="1071">
        <f>IF(EZ118=0,0,(FA118-EZ118)/EZ118*100)</f>
        <v>0</v>
      </c>
      <c r="FC118" s="2912"/>
      <c r="FD118" s="2912"/>
      <c r="FE118" s="1071">
        <f>IF(FC118=0,0,(FD118-FC118)/FC118*100)</f>
        <v>0</v>
      </c>
      <c r="FF118" s="2912"/>
      <c r="FG118" s="2912"/>
      <c r="FH118" s="1071">
        <f>IF(FF118=0,0,(FG118-FF118)/FF118*100)</f>
        <v>0</v>
      </c>
      <c r="FI118" s="2912"/>
      <c r="FJ118" s="2912"/>
      <c r="FK118" s="1071">
        <f>IF(FI118=0,0,(FJ118-FI118)/FI118*100)</f>
        <v>0</v>
      </c>
      <c r="FL118" s="2912"/>
      <c r="FM118" s="2912"/>
      <c r="FN118" s="1071">
        <f>IF(FL118=0,0,(FM118-FL118)/FL118*100)</f>
        <v>0</v>
      </c>
      <c r="FO118" s="2912"/>
      <c r="FP118" s="2912"/>
      <c r="FQ118" s="1071">
        <f>IF(FO118=0,0,(FP118-FO118)/FO118*100)</f>
        <v>0</v>
      </c>
      <c r="FR118" s="2912"/>
      <c r="FS118" s="2912"/>
      <c r="FT118" s="1071">
        <f>IF(FR118=0,0,(FS118-FR118)/FR118*100)</f>
        <v>0</v>
      </c>
      <c r="FU118" s="2912"/>
      <c r="FV118" s="2912"/>
      <c r="FW118" s="1071">
        <f>IF(FU118=0,0,(FV118-FU118)/FU118*100)</f>
        <v>0</v>
      </c>
      <c r="FX118" s="1282"/>
      <c r="FY118" s="1282"/>
      <c r="FZ118" s="1032" t="s">
        <v>1534</v>
      </c>
      <c r="GA118" s="1284"/>
      <c r="GB118" s="1284"/>
      <c r="GC118" s="1283"/>
      <c r="GD118" s="1283"/>
    </row>
    <row s="1624" customFormat="1" customHeight="1" ht="14.25" hidden="1">
      <c r="A119" s="466"/>
      <c r="B119" s="901" cm="1" t="str">
        <f t="array" ref="B119:B119">B118</f>
        <v>false</v>
      </c>
      <c r="C119" s="466"/>
      <c r="D119" s="466"/>
      <c r="E119" s="816">
        <v>15</v>
      </c>
      <c r="F119" s="50" cm="1" t="str">
        <f t="array" ref="F119:F119">OFFSET(E119,-1,1)</f>
        <v>1</v>
      </c>
      <c r="G119" s="466"/>
      <c r="H119" s="466" t="s">
        <v>1518</v>
      </c>
      <c r="I119" s="466" t="s">
        <v>1489</v>
      </c>
      <c r="J119" s="466"/>
      <c r="K119" s="466"/>
      <c r="L119" s="466"/>
      <c r="M119" s="466"/>
      <c r="N119" s="466"/>
      <c r="O119" s="466"/>
      <c r="P119" s="466"/>
      <c r="Q119" s="466"/>
      <c r="R119" s="466"/>
      <c r="S119" s="466"/>
      <c r="T119" s="438" cm="1" t="str">
        <f t="array" ref="T119:T119">T118</f>
        <v>true</v>
      </c>
      <c r="U119" s="466"/>
      <c r="V119" s="466"/>
      <c r="W119" s="466"/>
      <c r="X119" s="1541"/>
      <c r="Y119" s="466"/>
      <c r="Z119" s="1493"/>
      <c r="AA119" s="466"/>
      <c r="AB119" s="1069" t="s">
        <v>1519</v>
      </c>
      <c r="AC119" s="840" t="s">
        <v>1520</v>
      </c>
      <c r="AD119" s="2912"/>
      <c r="AE119" s="2912"/>
      <c r="AF119" s="1071">
        <f>IF(AD119=0,0,(AE119-AD119)/AD119*100)</f>
        <v>0</v>
      </c>
      <c r="AG119" s="2912"/>
      <c r="AH119" s="2912"/>
      <c r="AI119" s="1071">
        <f>IF(AG119=0,0,(AH119-AG119)/AG119*100)</f>
        <v>0</v>
      </c>
      <c r="AJ119" s="2912"/>
      <c r="AK119" s="2912"/>
      <c r="AL119" s="1071">
        <f>IF(AJ119=0,0,(AK119-AJ119)/AJ119*100)</f>
        <v>0</v>
      </c>
      <c r="AM119" s="2912"/>
      <c r="AN119" s="2912"/>
      <c r="AO119" s="1071">
        <f>IF(AM119=0,0,(AN119-AM119)/AM119*100)</f>
        <v>0</v>
      </c>
      <c r="AP119" s="2912"/>
      <c r="AQ119" s="2912"/>
      <c r="AR119" s="1071">
        <f>IF(AP119=0,0,(AQ119-AP119)/AP119*100)</f>
        <v>0</v>
      </c>
      <c r="AS119" s="2912"/>
      <c r="AT119" s="2912"/>
      <c r="AU119" s="1071">
        <f>IF(AS119=0,0,(AT119-AS119)/AS119*100)</f>
        <v>0</v>
      </c>
      <c r="AV119" s="2912"/>
      <c r="AW119" s="2912"/>
      <c r="AX119" s="1071">
        <f>IF(AV119=0,0,(AW119-AV119)/AV119*100)</f>
        <v>0</v>
      </c>
      <c r="AY119" s="2912"/>
      <c r="AZ119" s="2912"/>
      <c r="BA119" s="1071">
        <f>IF(AY119=0,0,(AZ119-AY119)/AY119*100)</f>
        <v>0</v>
      </c>
      <c r="BB119" s="2912"/>
      <c r="BC119" s="2912"/>
      <c r="BD119" s="1071">
        <f>IF(BB119=0,0,(BC119-BB119)/BB119*100)</f>
        <v>0</v>
      </c>
      <c r="BE119" s="2912"/>
      <c r="BF119" s="2912"/>
      <c r="BG119" s="1071">
        <f>IF(BE119=0,0,(BF119-BE119)/BE119*100)</f>
        <v>0</v>
      </c>
      <c r="BH119" s="2912"/>
      <c r="BI119" s="2912"/>
      <c r="BJ119" s="1071">
        <f>IF(BH119=0,0,(BI119-BH119)/BH119*100)</f>
        <v>0</v>
      </c>
      <c r="BK119" s="2912"/>
      <c r="BL119" s="2912"/>
      <c r="BM119" s="1071">
        <f>IF(BK119=0,0,(BL119-BK119)/BK119*100)</f>
        <v>0</v>
      </c>
      <c r="BN119" s="2912"/>
      <c r="BO119" s="2912"/>
      <c r="BP119" s="1071">
        <f>IF(BN119=0,0,(BO119-BN119)/BN119*100)</f>
        <v>0</v>
      </c>
      <c r="BQ119" s="2912"/>
      <c r="BR119" s="2912"/>
      <c r="BS119" s="1071">
        <f>IF(BQ119=0,0,(BR119-BQ119)/BQ119*100)</f>
        <v>0</v>
      </c>
      <c r="BT119" s="2912"/>
      <c r="BU119" s="2912"/>
      <c r="BV119" s="1071">
        <f>IF(BT119=0,0,(BU119-BT119)/BT119*100)</f>
        <v>0</v>
      </c>
      <c r="BW119" s="2912"/>
      <c r="BX119" s="2912"/>
      <c r="BY119" s="1071">
        <f>IF(BW119=0,0,(BX119-BW119)/BW119*100)</f>
        <v>0</v>
      </c>
      <c r="BZ119" s="2912"/>
      <c r="CA119" s="2912"/>
      <c r="CB119" s="1071">
        <f>IF(BZ119=0,0,(CA119-BZ119)/BZ119*100)</f>
        <v>0</v>
      </c>
      <c r="CC119" s="2912"/>
      <c r="CD119" s="2912"/>
      <c r="CE119" s="1071">
        <f>IF(CC119=0,0,(CD119-CC119)/CC119*100)</f>
        <v>0</v>
      </c>
      <c r="CF119" s="2912"/>
      <c r="CG119" s="2912"/>
      <c r="CH119" s="1071">
        <f>IF(CF119=0,0,(CG119-CF119)/CF119*100)</f>
        <v>0</v>
      </c>
      <c r="CI119" s="2912"/>
      <c r="CJ119" s="2912"/>
      <c r="CK119" s="1071">
        <f>IF(CI119=0,0,(CJ119-CI119)/CI119*100)</f>
        <v>0</v>
      </c>
      <c r="CL119" s="2912"/>
      <c r="CM119" s="2912"/>
      <c r="CN119" s="1071">
        <f>IF(CL119=0,0,(CM119-CL119)/CL119*100)</f>
        <v>0</v>
      </c>
      <c r="CO119" s="2912"/>
      <c r="CP119" s="2912"/>
      <c r="CQ119" s="1071">
        <f>IF(CO119=0,0,(CP119-CO119)/CO119*100)</f>
        <v>0</v>
      </c>
      <c r="CR119" s="2912"/>
      <c r="CS119" s="2912"/>
      <c r="CT119" s="1071">
        <f>IF(CR119=0,0,(CS119-CR119)/CR119*100)</f>
        <v>0</v>
      </c>
      <c r="CU119" s="2912"/>
      <c r="CV119" s="2912"/>
      <c r="CW119" s="1071">
        <f>IF(CU119=0,0,(CV119-CU119)/CU119*100)</f>
        <v>0</v>
      </c>
      <c r="CX119" s="2912"/>
      <c r="CY119" s="2912"/>
      <c r="CZ119" s="1071">
        <f>IF(CX119=0,0,(CY119-CX119)/CX119*100)</f>
        <v>0</v>
      </c>
      <c r="DA119" s="2912"/>
      <c r="DB119" s="2912"/>
      <c r="DC119" s="1071">
        <f>IF(DA119=0,0,(DB119-DA119)/DA119*100)</f>
        <v>0</v>
      </c>
      <c r="DD119" s="2912"/>
      <c r="DE119" s="2912"/>
      <c r="DF119" s="1071">
        <f>IF(DD119=0,0,(DE119-DD119)/DD119*100)</f>
        <v>0</v>
      </c>
      <c r="DG119" s="2912"/>
      <c r="DH119" s="2912"/>
      <c r="DI119" s="1071">
        <f>IF(DG119=0,0,(DH119-DG119)/DG119*100)</f>
        <v>0</v>
      </c>
      <c r="DJ119" s="2912"/>
      <c r="DK119" s="2912"/>
      <c r="DL119" s="1071">
        <f>IF(DJ119=0,0,(DK119-DJ119)/DJ119*100)</f>
        <v>0</v>
      </c>
      <c r="DM119" s="2912"/>
      <c r="DN119" s="2912"/>
      <c r="DO119" s="1071">
        <f>IF(DM119=0,0,(DN119-DM119)/DM119*100)</f>
        <v>0</v>
      </c>
      <c r="DP119" s="2912"/>
      <c r="DQ119" s="2912"/>
      <c r="DR119" s="1071">
        <f>IF(DP119=0,0,(DQ119-DP119)/DP119*100)</f>
        <v>0</v>
      </c>
      <c r="DS119" s="2912"/>
      <c r="DT119" s="2912"/>
      <c r="DU119" s="1071">
        <f>IF(DS119=0,0,(DT119-DS119)/DS119*100)</f>
        <v>0</v>
      </c>
      <c r="DV119" s="2912"/>
      <c r="DW119" s="2912"/>
      <c r="DX119" s="1071">
        <f>IF(DV119=0,0,(DW119-DV119)/DV119*100)</f>
        <v>0</v>
      </c>
      <c r="DY119" s="2912"/>
      <c r="DZ119" s="2912"/>
      <c r="EA119" s="1071">
        <f>IF(DY119=0,0,(DZ119-DY119)/DY119*100)</f>
        <v>0</v>
      </c>
      <c r="EB119" s="2912"/>
      <c r="EC119" s="2912"/>
      <c r="ED119" s="1071">
        <f>IF(EB119=0,0,(EC119-EB119)/EB119*100)</f>
        <v>0</v>
      </c>
      <c r="EE119" s="2912"/>
      <c r="EF119" s="2912"/>
      <c r="EG119" s="1071">
        <f>IF(EE119=0,0,(EF119-EE119)/EE119*100)</f>
        <v>0</v>
      </c>
      <c r="EH119" s="2912"/>
      <c r="EI119" s="2912"/>
      <c r="EJ119" s="1071">
        <f>IF(EH119=0,0,(EI119-EH119)/EH119*100)</f>
        <v>0</v>
      </c>
      <c r="EK119" s="2912"/>
      <c r="EL119" s="2912"/>
      <c r="EM119" s="1071">
        <f>IF(EK119=0,0,(EL119-EK119)/EK119*100)</f>
        <v>0</v>
      </c>
      <c r="EN119" s="2912"/>
      <c r="EO119" s="2912"/>
      <c r="EP119" s="1071">
        <f>IF(EN119=0,0,(EO119-EN119)/EN119*100)</f>
        <v>0</v>
      </c>
      <c r="EQ119" s="2912"/>
      <c r="ER119" s="2912"/>
      <c r="ES119" s="1071">
        <f>IF(EQ119=0,0,(ER119-EQ119)/EQ119*100)</f>
        <v>0</v>
      </c>
      <c r="ET119" s="2912"/>
      <c r="EU119" s="2912"/>
      <c r="EV119" s="1071">
        <f>IF(ET119=0,0,(EU119-ET119)/ET119*100)</f>
        <v>0</v>
      </c>
      <c r="EW119" s="2912"/>
      <c r="EX119" s="2912"/>
      <c r="EY119" s="1071">
        <f>IF(EW119=0,0,(EX119-EW119)/EW119*100)</f>
        <v>0</v>
      </c>
      <c r="EZ119" s="2912"/>
      <c r="FA119" s="2912"/>
      <c r="FB119" s="1071">
        <f>IF(EZ119=0,0,(FA119-EZ119)/EZ119*100)</f>
        <v>0</v>
      </c>
      <c r="FC119" s="2912"/>
      <c r="FD119" s="2912"/>
      <c r="FE119" s="1071">
        <f>IF(FC119=0,0,(FD119-FC119)/FC119*100)</f>
        <v>0</v>
      </c>
      <c r="FF119" s="2912"/>
      <c r="FG119" s="2912"/>
      <c r="FH119" s="1071">
        <f>IF(FF119=0,0,(FG119-FF119)/FF119*100)</f>
        <v>0</v>
      </c>
      <c r="FI119" s="2912"/>
      <c r="FJ119" s="2912"/>
      <c r="FK119" s="1071">
        <f>IF(FI119=0,0,(FJ119-FI119)/FI119*100)</f>
        <v>0</v>
      </c>
      <c r="FL119" s="2912"/>
      <c r="FM119" s="2912"/>
      <c r="FN119" s="1071">
        <f>IF(FL119=0,0,(FM119-FL119)/FL119*100)</f>
        <v>0</v>
      </c>
      <c r="FO119" s="2912"/>
      <c r="FP119" s="2912"/>
      <c r="FQ119" s="1071">
        <f>IF(FO119=0,0,(FP119-FO119)/FO119*100)</f>
        <v>0</v>
      </c>
      <c r="FR119" s="2912"/>
      <c r="FS119" s="2912"/>
      <c r="FT119" s="1071">
        <f>IF(FR119=0,0,(FS119-FR119)/FR119*100)</f>
        <v>0</v>
      </c>
      <c r="FU119" s="2912"/>
      <c r="FV119" s="2912"/>
      <c r="FW119" s="1071">
        <f>IF(FU119=0,0,(FV119-FU119)/FU119*100)</f>
        <v>0</v>
      </c>
      <c r="FX119" s="1282"/>
      <c r="FY119" s="1282"/>
      <c r="FZ119" s="1032" t="s">
        <v>1535</v>
      </c>
      <c r="GA119" s="1284"/>
      <c r="GB119" s="1284"/>
      <c r="GC119" s="1283"/>
      <c r="GD119" s="1283"/>
    </row>
    <row s="1624" customFormat="1" customHeight="1" ht="23.25" hidden="1">
      <c r="A120" s="466"/>
      <c r="B120" s="901" cm="1" t="str">
        <f t="array" ref="B120:B120">B119</f>
        <v>false</v>
      </c>
      <c r="C120" s="466"/>
      <c r="D120" s="466"/>
      <c r="E120" s="816">
        <v>24.5</v>
      </c>
      <c r="F120" s="50" cm="1" t="str">
        <f t="array" ref="F120:F120">OFFSET(E120,-1,1)</f>
        <v>1</v>
      </c>
      <c r="G120" s="466"/>
      <c r="H120" s="466"/>
      <c r="I120" s="466"/>
      <c r="J120" s="466"/>
      <c r="K120" s="466"/>
      <c r="L120" s="466"/>
      <c r="M120" s="466"/>
      <c r="N120" s="466"/>
      <c r="O120" s="466"/>
      <c r="P120" s="466"/>
      <c r="Q120" s="466"/>
      <c r="R120" s="466"/>
      <c r="S120" s="466"/>
      <c r="T120" s="438" cm="1" t="str">
        <f t="array" ref="T120:T120">T119</f>
        <v>true</v>
      </c>
      <c r="U120" s="466"/>
      <c r="V120" s="466"/>
      <c r="W120" s="466"/>
      <c r="X120" s="1541"/>
      <c r="Y120" s="466"/>
      <c r="Z120" s="1493"/>
      <c r="AA120" s="466"/>
      <c r="AB120" s="259" t="s">
        <v>1536</v>
      </c>
      <c r="AC120" s="879"/>
      <c r="AD120" s="1080"/>
      <c r="AE120" s="1080"/>
      <c r="AF120" s="1080"/>
      <c r="AG120" s="1080"/>
      <c r="AH120" s="1080"/>
      <c r="AI120" s="1080"/>
      <c r="AJ120" s="1080"/>
      <c r="AK120" s="1080"/>
      <c r="AL120" s="1080"/>
      <c r="AM120" s="1080"/>
      <c r="AN120" s="1080"/>
      <c r="AO120" s="1080"/>
      <c r="AP120" s="1080"/>
      <c r="AQ120" s="1080"/>
      <c r="AR120" s="1080"/>
      <c r="AS120" s="1080"/>
      <c r="AT120" s="1080"/>
      <c r="AU120" s="1080"/>
      <c r="AV120" s="1080"/>
      <c r="AW120" s="1080"/>
      <c r="AX120" s="1080"/>
      <c r="AY120" s="1080"/>
      <c r="AZ120" s="1080"/>
      <c r="BA120" s="1080"/>
      <c r="BB120" s="1080"/>
      <c r="BC120" s="1080"/>
      <c r="BD120" s="1080"/>
      <c r="BE120" s="1080"/>
      <c r="BF120" s="1080"/>
      <c r="BG120" s="1080"/>
      <c r="BH120" s="1080"/>
      <c r="BI120" s="1080"/>
      <c r="BJ120" s="1080"/>
      <c r="BK120" s="1080"/>
      <c r="BL120" s="1080"/>
      <c r="BM120" s="1080"/>
      <c r="BN120" s="1080"/>
      <c r="BO120" s="1080"/>
      <c r="BP120" s="1080"/>
      <c r="BQ120" s="1080"/>
      <c r="BR120" s="1080"/>
      <c r="BS120" s="1080"/>
      <c r="BT120" s="1080"/>
      <c r="BU120" s="1080"/>
      <c r="BV120" s="1080"/>
      <c r="BW120" s="1080"/>
      <c r="BX120" s="1080"/>
      <c r="BY120" s="1080"/>
      <c r="BZ120" s="1080"/>
      <c r="CA120" s="1080"/>
      <c r="CB120" s="1080"/>
      <c r="CC120" s="1080"/>
      <c r="CD120" s="1080"/>
      <c r="CE120" s="1080"/>
      <c r="CF120" s="1080"/>
      <c r="CG120" s="1080"/>
      <c r="CH120" s="1080"/>
      <c r="CI120" s="1080"/>
      <c r="CJ120" s="1080"/>
      <c r="CK120" s="1080"/>
      <c r="CL120" s="1080"/>
      <c r="CM120" s="1080"/>
      <c r="CN120" s="1080"/>
      <c r="CO120" s="1080"/>
      <c r="CP120" s="1080"/>
      <c r="CQ120" s="1080"/>
      <c r="CR120" s="1080"/>
      <c r="CS120" s="1080"/>
      <c r="CT120" s="1080"/>
      <c r="CU120" s="1080"/>
      <c r="CV120" s="1080"/>
      <c r="CW120" s="1080"/>
      <c r="CX120" s="1080"/>
      <c r="CY120" s="1080"/>
      <c r="CZ120" s="1080"/>
      <c r="DA120" s="1080"/>
      <c r="DB120" s="1080"/>
      <c r="DC120" s="1080"/>
      <c r="DD120" s="1080"/>
      <c r="DE120" s="1080"/>
      <c r="DF120" s="1080"/>
      <c r="DG120" s="1080"/>
      <c r="DH120" s="1080"/>
      <c r="DI120" s="1080"/>
      <c r="DJ120" s="1080"/>
      <c r="DK120" s="1080"/>
      <c r="DL120" s="1080"/>
      <c r="DM120" s="1080"/>
      <c r="DN120" s="1080"/>
      <c r="DO120" s="1080"/>
      <c r="DP120" s="1080"/>
      <c r="DQ120" s="1080"/>
      <c r="DR120" s="1080"/>
      <c r="DS120" s="1080"/>
      <c r="DT120" s="1080"/>
      <c r="DU120" s="1080"/>
      <c r="DV120" s="1080"/>
      <c r="DW120" s="1080"/>
      <c r="DX120" s="1080"/>
      <c r="DY120" s="1080"/>
      <c r="DZ120" s="1080"/>
      <c r="EA120" s="1080"/>
      <c r="EB120" s="1080"/>
      <c r="EC120" s="1080"/>
      <c r="ED120" s="1080"/>
      <c r="EE120" s="1080"/>
      <c r="EF120" s="1080"/>
      <c r="EG120" s="1080"/>
      <c r="EH120" s="1080"/>
      <c r="EI120" s="1080"/>
      <c r="EJ120" s="1080"/>
      <c r="EK120" s="1080"/>
      <c r="EL120" s="1080"/>
      <c r="EM120" s="1080"/>
      <c r="EN120" s="1080"/>
      <c r="EO120" s="1080"/>
      <c r="EP120" s="1080"/>
      <c r="EQ120" s="1080"/>
      <c r="ER120" s="1080"/>
      <c r="ES120" s="1080"/>
      <c r="ET120" s="1080"/>
      <c r="EU120" s="1080"/>
      <c r="EV120" s="1080"/>
      <c r="EW120" s="1080"/>
      <c r="EX120" s="1080"/>
      <c r="EY120" s="1080"/>
      <c r="EZ120" s="1080"/>
      <c r="FA120" s="1080"/>
      <c r="FB120" s="1080"/>
      <c r="FC120" s="1080"/>
      <c r="FD120" s="1080"/>
      <c r="FE120" s="1080"/>
      <c r="FF120" s="1080"/>
      <c r="FG120" s="1080"/>
      <c r="FH120" s="1080"/>
      <c r="FI120" s="1080"/>
      <c r="FJ120" s="1080"/>
      <c r="FK120" s="1080"/>
      <c r="FL120" s="1080"/>
      <c r="FM120" s="1080"/>
      <c r="FN120" s="1080"/>
      <c r="FO120" s="1080"/>
      <c r="FP120" s="1080"/>
      <c r="FQ120" s="1080"/>
      <c r="FR120" s="1080"/>
      <c r="FS120" s="1080"/>
      <c r="FT120" s="1080"/>
      <c r="FU120" s="1080"/>
      <c r="FV120" s="1080"/>
      <c r="FW120" s="1081"/>
      <c r="FX120" s="1282"/>
      <c r="FY120" s="1282"/>
      <c r="FZ120" s="1032"/>
      <c r="GA120" s="1284"/>
      <c r="GB120" s="1284"/>
      <c r="GC120" s="1283"/>
      <c r="GD120" s="1283"/>
    </row>
    <row s="1624" customFormat="1" customHeight="1" ht="14.25" hidden="1">
      <c r="A121" s="466"/>
      <c r="B121" s="901" cm="1" t="str">
        <f t="array" ref="B121:B121">B120</f>
        <v>false</v>
      </c>
      <c r="C121" s="466"/>
      <c r="D121" s="466"/>
      <c r="E121" s="816">
        <v>15</v>
      </c>
      <c r="F121" s="50" cm="1" t="str">
        <f t="array" ref="F121:F121">OFFSET(E121,-1,1)</f>
        <v>1</v>
      </c>
      <c r="G121" s="466"/>
      <c r="H121" s="466" t="s">
        <v>1434</v>
      </c>
      <c r="I121" s="466" t="s">
        <v>1493</v>
      </c>
      <c r="J121" s="466"/>
      <c r="K121" s="466"/>
      <c r="L121" s="466"/>
      <c r="M121" s="466"/>
      <c r="N121" s="466"/>
      <c r="O121" s="466"/>
      <c r="P121" s="466"/>
      <c r="Q121" s="466"/>
      <c r="R121" s="466"/>
      <c r="S121" s="466"/>
      <c r="T121" s="438" cm="1" t="str">
        <f t="array" ref="T121:T121">T120</f>
        <v>true</v>
      </c>
      <c r="U121" s="466"/>
      <c r="V121" s="466"/>
      <c r="W121" s="466"/>
      <c r="X121" s="1541"/>
      <c r="Y121" s="466"/>
      <c r="Z121" s="1493"/>
      <c r="AA121" s="466"/>
      <c r="AB121" s="1069" t="s">
        <v>1509</v>
      </c>
      <c r="AC121" s="840" t="s">
        <v>1476</v>
      </c>
      <c r="AD121" s="2912">
        <f>IF(AD123=0,0,(AD122*AD123+AD124*AD125*IF(god=2026,3,6))/AD123)</f>
        <v>0</v>
      </c>
      <c r="AE121" s="2912">
        <f>IF(AE123=0,0,(AE122*AE123+AE124*AE125*IF(god=2026,3,6))/AE123)</f>
        <v>0</v>
      </c>
      <c r="AF121" s="1071">
        <f>IF(AD121=0,0,(AE121-AD121)/AD121*100)</f>
        <v>0</v>
      </c>
      <c r="AG121" s="2912">
        <f>IF(AG123=0,0,(AG122*AG123+AG124*AG125*IF(god=2025,3,6))/AG123)</f>
        <v>0</v>
      </c>
      <c r="AH121" s="2912">
        <f>IF(AH123=0,0,(AH122*AH123+AH124*AH125*IF(god=2025,3,6))/AH123)</f>
        <v>0</v>
      </c>
      <c r="AI121" s="1071">
        <f>IF(AG121=0,0,(AH121-AG121)/AG121*100)</f>
        <v>0</v>
      </c>
      <c r="AJ121" s="2912">
        <f>IF(AJ123=0,0,(AJ122*AJ123+AJ124*AJ125*6)/AJ123)</f>
        <v>0</v>
      </c>
      <c r="AK121" s="2912">
        <f>IF(AK123=0,0,(AK122*AK123+AK124*AK125*6)/AK123)</f>
        <v>0</v>
      </c>
      <c r="AL121" s="1071">
        <f>IF(AJ121=0,0,(AK121-AJ121)/AJ121*100)</f>
        <v>0</v>
      </c>
      <c r="AM121" s="2912">
        <f>IF(AM123=0,0,(AM122*AM123+AM124*AM125*6)/AM123)</f>
        <v>0</v>
      </c>
      <c r="AN121" s="2912">
        <f>IF(AN123=0,0,(AN122*AN123+AN124*AN125*6)/AN123)</f>
        <v>0</v>
      </c>
      <c r="AO121" s="1071">
        <f>IF(AM121=0,0,(AN121-AM121)/AM121*100)</f>
        <v>0</v>
      </c>
      <c r="AP121" s="2912">
        <f>IF(AP123=0,0,(AP122*AP123+AP124*AP125*6)/AP123)</f>
        <v>0</v>
      </c>
      <c r="AQ121" s="2912">
        <f>IF(AQ123=0,0,(AQ122*AQ123+AQ124*AQ125*6)/AQ123)</f>
        <v>0</v>
      </c>
      <c r="AR121" s="1071">
        <f>IF(AP121=0,0,(AQ121-AP121)/AP121*100)</f>
        <v>0</v>
      </c>
      <c r="AS121" s="2912">
        <f>IF(AS123=0,0,(AS122*AS123+AS124*AS125*6)/AS123)</f>
        <v>0</v>
      </c>
      <c r="AT121" s="2912">
        <f>IF(AT123=0,0,(AT122*AT123+AT124*AT125*6)/AT123)</f>
        <v>0</v>
      </c>
      <c r="AU121" s="1071">
        <f>IF(AS121=0,0,(AT121-AS121)/AS121*100)</f>
        <v>0</v>
      </c>
      <c r="AV121" s="2912">
        <f>IF(AV123=0,0,(AV122*AV123+AV124*AV125*6)/AV123)</f>
        <v>0</v>
      </c>
      <c r="AW121" s="2912">
        <f>IF(AW123=0,0,(AW122*AW123+AW124*AW125*6)/AW123)</f>
        <v>0</v>
      </c>
      <c r="AX121" s="1071">
        <f>IF(AV121=0,0,(AW121-AV121)/AV121*100)</f>
        <v>0</v>
      </c>
      <c r="AY121" s="2912">
        <f>IF(AY123=0,0,(AY122*AY123+AY124*AY125*6)/AY123)</f>
        <v>0</v>
      </c>
      <c r="AZ121" s="2912">
        <f>IF(AZ123=0,0,(AZ122*AZ123+AZ124*AZ125*6)/AZ123)</f>
        <v>0</v>
      </c>
      <c r="BA121" s="1071">
        <f>IF(AY121=0,0,(AZ121-AY121)/AY121*100)</f>
        <v>0</v>
      </c>
      <c r="BB121" s="2912">
        <f>IF(BB123=0,0,(BB122*BB123+BB124*BB125*6)/BB123)</f>
        <v>0</v>
      </c>
      <c r="BC121" s="2912">
        <f>IF(BC123=0,0,(BC122*BC123+BC124*BC125*6)/BC123)</f>
        <v>0</v>
      </c>
      <c r="BD121" s="1071">
        <f>IF(BB121=0,0,(BC121-BB121)/BB121*100)</f>
        <v>0</v>
      </c>
      <c r="BE121" s="2912">
        <f>IF(BE123=0,0,(BE122*BE123+BE124*BE125*6)/BE123)</f>
        <v>0</v>
      </c>
      <c r="BF121" s="2912">
        <f>IF(BF123=0,0,(BF122*BF123+BF124*BF125*6)/BF123)</f>
        <v>0</v>
      </c>
      <c r="BG121" s="1071">
        <f>IF(BE121=0,0,(BF121-BE121)/BE121*100)</f>
        <v>0</v>
      </c>
      <c r="BH121" s="2912">
        <f>IF(BH123=0,0,(BH122*BH123+BH124*BH125*6)/BH123)</f>
        <v>0</v>
      </c>
      <c r="BI121" s="2912">
        <f>IF(BI123=0,0,(BI122*BI123+BI124*BI125*6)/BI123)</f>
        <v>0</v>
      </c>
      <c r="BJ121" s="1071">
        <f>IF(BH121=0,0,(BI121-BH121)/BH121*100)</f>
        <v>0</v>
      </c>
      <c r="BK121" s="2912">
        <f>IF(BK123=0,0,(BK122*BK123+BK124*BK125*6)/BK123)</f>
        <v>0</v>
      </c>
      <c r="BL121" s="2912">
        <f>IF(BL123=0,0,(BL122*BL123+BL124*BL125*6)/BL123)</f>
        <v>0</v>
      </c>
      <c r="BM121" s="1071">
        <f>IF(BK121=0,0,(BL121-BK121)/BK121*100)</f>
        <v>0</v>
      </c>
      <c r="BN121" s="2912">
        <f>IF(BN123=0,0,(BN122*BN123+BN124*BN125*6)/BN123)</f>
        <v>0</v>
      </c>
      <c r="BO121" s="2912">
        <f>IF(BO123=0,0,(BO122*BO123+BO124*BO125*6)/BO123)</f>
        <v>0</v>
      </c>
      <c r="BP121" s="1071">
        <f>IF(BN121=0,0,(BO121-BN121)/BN121*100)</f>
        <v>0</v>
      </c>
      <c r="BQ121" s="2912">
        <f>IF(BQ123=0,0,(BQ122*BQ123+BQ124*BQ125*6)/BQ123)</f>
        <v>0</v>
      </c>
      <c r="BR121" s="2912">
        <f>IF(BR123=0,0,(BR122*BR123+BR124*BR125*6)/BR123)</f>
        <v>0</v>
      </c>
      <c r="BS121" s="1071">
        <f>IF(BQ121=0,0,(BR121-BQ121)/BQ121*100)</f>
        <v>0</v>
      </c>
      <c r="BT121" s="2912">
        <f>IF(BT123=0,0,(BT122*BT123+BT124*BT125*6)/BT123)</f>
        <v>0</v>
      </c>
      <c r="BU121" s="2912">
        <f>IF(BU123=0,0,(BU122*BU123+BU124*BU125*6)/BU123)</f>
        <v>0</v>
      </c>
      <c r="BV121" s="1071">
        <f>IF(BT121=0,0,(BU121-BT121)/BT121*100)</f>
        <v>0</v>
      </c>
      <c r="BW121" s="2912">
        <f>IF(BW123=0,0,(BW122*BW123+BW124*BW125*6)/BW123)</f>
        <v>0</v>
      </c>
      <c r="BX121" s="2912">
        <f>IF(BX123=0,0,(BX122*BX123+BX124*BX125*6)/BX123)</f>
        <v>0</v>
      </c>
      <c r="BY121" s="1071">
        <f>IF(BW121=0,0,(BX121-BW121)/BW121*100)</f>
        <v>0</v>
      </c>
      <c r="BZ121" s="2912">
        <f>IF(BZ123=0,0,(BZ122*BZ123+BZ124*BZ125*6)/BZ123)</f>
        <v>0</v>
      </c>
      <c r="CA121" s="2912">
        <f>IF(CA123=0,0,(CA122*CA123+CA124*CA125*6)/CA123)</f>
        <v>0</v>
      </c>
      <c r="CB121" s="1071">
        <f>IF(BZ121=0,0,(CA121-BZ121)/BZ121*100)</f>
        <v>0</v>
      </c>
      <c r="CC121" s="2912">
        <f>IF(CC123=0,0,(CC122*CC123+CC124*CC125*6)/CC123)</f>
        <v>0</v>
      </c>
      <c r="CD121" s="2912">
        <f>IF(CD123=0,0,(CD122*CD123+CD124*CD125*6)/CD123)</f>
        <v>0</v>
      </c>
      <c r="CE121" s="1071">
        <f>IF(CC121=0,0,(CD121-CC121)/CC121*100)</f>
        <v>0</v>
      </c>
      <c r="CF121" s="2912">
        <f>IF(CF123=0,0,(CF122*CF123+CF124*CF125*6)/CF123)</f>
        <v>0</v>
      </c>
      <c r="CG121" s="2912">
        <f>IF(CG123=0,0,(CG122*CG123+CG124*CG125*6)/CG123)</f>
        <v>0</v>
      </c>
      <c r="CH121" s="1071">
        <f>IF(CF121=0,0,(CG121-CF121)/CF121*100)</f>
        <v>0</v>
      </c>
      <c r="CI121" s="2912">
        <f>IF(CI123=0,0,(CI122*CI123+CI124*CI125*6)/CI123)</f>
        <v>0</v>
      </c>
      <c r="CJ121" s="2912">
        <f>IF(CJ123=0,0,(CJ122*CJ123+CJ124*CJ125*6)/CJ123)</f>
        <v>0</v>
      </c>
      <c r="CK121" s="1071">
        <f>IF(CI121=0,0,(CJ121-CI121)/CI121*100)</f>
        <v>0</v>
      </c>
      <c r="CL121" s="2912">
        <f>IF(CL123=0,0,(CL122*CL123+CL124*CL125*6)/CL123)</f>
        <v>0</v>
      </c>
      <c r="CM121" s="2912">
        <f>IF(CM123=0,0,(CM122*CM123+CM124*CM125*6)/CM123)</f>
        <v>0</v>
      </c>
      <c r="CN121" s="1071">
        <f>IF(CL121=0,0,(CM121-CL121)/CL121*100)</f>
        <v>0</v>
      </c>
      <c r="CO121" s="2912">
        <f>IF(CO123=0,0,(CO122*CO123+CO124*CO125*6)/CO123)</f>
        <v>0</v>
      </c>
      <c r="CP121" s="2912">
        <f>IF(CP123=0,0,(CP122*CP123+CP124*CP125*6)/CP123)</f>
        <v>0</v>
      </c>
      <c r="CQ121" s="1071">
        <f>IF(CO121=0,0,(CP121-CO121)/CO121*100)</f>
        <v>0</v>
      </c>
      <c r="CR121" s="2912">
        <f>IF(CR123=0,0,(CR122*CR123+CR124*CR125*6)/CR123)</f>
        <v>0</v>
      </c>
      <c r="CS121" s="2912">
        <f>IF(CS123=0,0,(CS122*CS123+CS124*CS125*6)/CS123)</f>
        <v>0</v>
      </c>
      <c r="CT121" s="1071">
        <f>IF(CR121=0,0,(CS121-CR121)/CR121*100)</f>
        <v>0</v>
      </c>
      <c r="CU121" s="2912">
        <f>IF(CU123=0,0,(CU122*CU123+CU124*CU125*6)/CU123)</f>
        <v>0</v>
      </c>
      <c r="CV121" s="2912">
        <f>IF(CV123=0,0,(CV122*CV123+CV124*CV125*6)/CV123)</f>
        <v>0</v>
      </c>
      <c r="CW121" s="1071">
        <f>IF(CU121=0,0,(CV121-CU121)/CU121*100)</f>
        <v>0</v>
      </c>
      <c r="CX121" s="2912">
        <f>IF(CX123=0,0,(CX122*CX123+CX124*CX125*6)/CX123)</f>
        <v>0</v>
      </c>
      <c r="CY121" s="2912">
        <f>IF(CY123=0,0,(CY122*CY123+CY124*CY125*6)/CY123)</f>
        <v>0</v>
      </c>
      <c r="CZ121" s="1071">
        <f>IF(CX121=0,0,(CY121-CX121)/CX121*100)</f>
        <v>0</v>
      </c>
      <c r="DA121" s="2912">
        <f>IF(DA123=0,0,(DA122*DA123+DA124*DA125*6)/DA123)</f>
        <v>0</v>
      </c>
      <c r="DB121" s="2912">
        <f>IF(DB123=0,0,(DB122*DB123+DB124*DB125*6)/DB123)</f>
        <v>0</v>
      </c>
      <c r="DC121" s="1071">
        <f>IF(DA121=0,0,(DB121-DA121)/DA121*100)</f>
        <v>0</v>
      </c>
      <c r="DD121" s="2912">
        <f>IF(DD123=0,0,(DD122*DD123+DD124*DD125*6)/DD123)</f>
        <v>0</v>
      </c>
      <c r="DE121" s="2912">
        <f>IF(DE123=0,0,(DE122*DE123+DE124*DE125*6)/DE123)</f>
        <v>0</v>
      </c>
      <c r="DF121" s="1071">
        <f>IF(DD121=0,0,(DE121-DD121)/DD121*100)</f>
        <v>0</v>
      </c>
      <c r="DG121" s="2912">
        <f>IF(DG123=0,0,(DG122*DG123+DG124*DG125*6)/DG123)</f>
        <v>0</v>
      </c>
      <c r="DH121" s="2912">
        <f>IF(DH123=0,0,(DH122*DH123+DH124*DH125*6)/DH123)</f>
        <v>0</v>
      </c>
      <c r="DI121" s="1071">
        <f>IF(DG121=0,0,(DH121-DG121)/DG121*100)</f>
        <v>0</v>
      </c>
      <c r="DJ121" s="2912">
        <f>IF(DJ123=0,0,(DJ122*DJ123+DJ124*DJ125*6)/DJ123)</f>
        <v>0</v>
      </c>
      <c r="DK121" s="2912">
        <f>IF(DK123=0,0,(DK122*DK123+DK124*DK125*6)/DK123)</f>
        <v>0</v>
      </c>
      <c r="DL121" s="1071">
        <f>IF(DJ121=0,0,(DK121-DJ121)/DJ121*100)</f>
        <v>0</v>
      </c>
      <c r="DM121" s="2912">
        <f>IF(DM123=0,0,(DM122*DM123+DM124*DM125*6)/DM123)</f>
        <v>0</v>
      </c>
      <c r="DN121" s="2912">
        <f>IF(DN123=0,0,(DN122*DN123+DN124*DN125*6)/DN123)</f>
        <v>0</v>
      </c>
      <c r="DO121" s="1071">
        <f>IF(DM121=0,0,(DN121-DM121)/DM121*100)</f>
        <v>0</v>
      </c>
      <c r="DP121" s="2912">
        <f>IF(DP123=0,0,(DP122*DP123+DP124*DP125*6)/DP123)</f>
        <v>0</v>
      </c>
      <c r="DQ121" s="2912">
        <f>IF(DQ123=0,0,(DQ122*DQ123+DQ124*DQ125*6)/DQ123)</f>
        <v>0</v>
      </c>
      <c r="DR121" s="1071">
        <f>IF(DP121=0,0,(DQ121-DP121)/DP121*100)</f>
        <v>0</v>
      </c>
      <c r="DS121" s="2912">
        <f>IF(DS123=0,0,(DS122*DS123+DS124*DS125*6)/DS123)</f>
        <v>0</v>
      </c>
      <c r="DT121" s="2912">
        <f>IF(DT123=0,0,(DT122*DT123+DT124*DT125*6)/DT123)</f>
        <v>0</v>
      </c>
      <c r="DU121" s="1071">
        <f>IF(DS121=0,0,(DT121-DS121)/DS121*100)</f>
        <v>0</v>
      </c>
      <c r="DV121" s="2912">
        <f>IF(DV123=0,0,(DV122*DV123+DV124*DV125*6)/DV123)</f>
        <v>0</v>
      </c>
      <c r="DW121" s="2912">
        <f>IF(DW123=0,0,(DW122*DW123+DW124*DW125*6)/DW123)</f>
        <v>0</v>
      </c>
      <c r="DX121" s="1071">
        <f>IF(DV121=0,0,(DW121-DV121)/DV121*100)</f>
        <v>0</v>
      </c>
      <c r="DY121" s="2912">
        <f>IF(DY123=0,0,(DY122*DY123+DY124*DY125*6)/DY123)</f>
        <v>0</v>
      </c>
      <c r="DZ121" s="2912">
        <f>IF(DZ123=0,0,(DZ122*DZ123+DZ124*DZ125*6)/DZ123)</f>
        <v>0</v>
      </c>
      <c r="EA121" s="1071">
        <f>IF(DY121=0,0,(DZ121-DY121)/DY121*100)</f>
        <v>0</v>
      </c>
      <c r="EB121" s="2912">
        <f>IF(EB123=0,0,(EB122*EB123+EB124*EB125*6)/EB123)</f>
        <v>0</v>
      </c>
      <c r="EC121" s="2912">
        <f>IF(EC123=0,0,(EC122*EC123+EC124*EC125*6)/EC123)</f>
        <v>0</v>
      </c>
      <c r="ED121" s="1071">
        <f>IF(EB121=0,0,(EC121-EB121)/EB121*100)</f>
        <v>0</v>
      </c>
      <c r="EE121" s="2912">
        <f>IF(EE123=0,0,(EE122*EE123+EE124*EE125*6)/EE123)</f>
        <v>0</v>
      </c>
      <c r="EF121" s="2912">
        <f>IF(EF123=0,0,(EF122*EF123+EF124*EF125*6)/EF123)</f>
        <v>0</v>
      </c>
      <c r="EG121" s="1071">
        <f>IF(EE121=0,0,(EF121-EE121)/EE121*100)</f>
        <v>0</v>
      </c>
      <c r="EH121" s="2912">
        <f>IF(EH123=0,0,(EH122*EH123+EH124*EH125*6)/EH123)</f>
        <v>0</v>
      </c>
      <c r="EI121" s="2912">
        <f>IF(EI123=0,0,(EI122*EI123+EI124*EI125*6)/EI123)</f>
        <v>0</v>
      </c>
      <c r="EJ121" s="1071">
        <f>IF(EH121=0,0,(EI121-EH121)/EH121*100)</f>
        <v>0</v>
      </c>
      <c r="EK121" s="2912">
        <f>IF(EK123=0,0,(EK122*EK123+EK124*EK125*6)/EK123)</f>
        <v>0</v>
      </c>
      <c r="EL121" s="2912">
        <f>IF(EL123=0,0,(EL122*EL123+EL124*EL125*6)/EL123)</f>
        <v>0</v>
      </c>
      <c r="EM121" s="1071">
        <f>IF(EK121=0,0,(EL121-EK121)/EK121*100)</f>
        <v>0</v>
      </c>
      <c r="EN121" s="2912">
        <f>IF(EN123=0,0,(EN122*EN123+EN124*EN125*6)/EN123)</f>
        <v>0</v>
      </c>
      <c r="EO121" s="2912">
        <f>IF(EO123=0,0,(EO122*EO123+EO124*EO125*6)/EO123)</f>
        <v>0</v>
      </c>
      <c r="EP121" s="1071">
        <f>IF(EN121=0,0,(EO121-EN121)/EN121*100)</f>
        <v>0</v>
      </c>
      <c r="EQ121" s="2912">
        <f>IF(EQ123=0,0,(EQ122*EQ123+EQ124*EQ125*6)/EQ123)</f>
        <v>0</v>
      </c>
      <c r="ER121" s="2912">
        <f>IF(ER123=0,0,(ER122*ER123+ER124*ER125*6)/ER123)</f>
        <v>0</v>
      </c>
      <c r="ES121" s="1071">
        <f>IF(EQ121=0,0,(ER121-EQ121)/EQ121*100)</f>
        <v>0</v>
      </c>
      <c r="ET121" s="2912">
        <f>IF(ET123=0,0,(ET122*ET123+ET124*ET125*6)/ET123)</f>
        <v>0</v>
      </c>
      <c r="EU121" s="2912">
        <f>IF(EU123=0,0,(EU122*EU123+EU124*EU125*6)/EU123)</f>
        <v>0</v>
      </c>
      <c r="EV121" s="1071">
        <f>IF(ET121=0,0,(EU121-ET121)/ET121*100)</f>
        <v>0</v>
      </c>
      <c r="EW121" s="2912">
        <f>IF(EW123=0,0,(EW122*EW123+EW124*EW125*6)/EW123)</f>
        <v>0</v>
      </c>
      <c r="EX121" s="2912">
        <f>IF(EX123=0,0,(EX122*EX123+EX124*EX125*6)/EX123)</f>
        <v>0</v>
      </c>
      <c r="EY121" s="1071">
        <f>IF(EW121=0,0,(EX121-EW121)/EW121*100)</f>
        <v>0</v>
      </c>
      <c r="EZ121" s="2912">
        <f>IF(EZ123=0,0,(EZ122*EZ123+EZ124*EZ125*6)/EZ123)</f>
        <v>0</v>
      </c>
      <c r="FA121" s="2912">
        <f>IF(FA123=0,0,(FA122*FA123+FA124*FA125*6)/FA123)</f>
        <v>0</v>
      </c>
      <c r="FB121" s="1071">
        <f>IF(EZ121=0,0,(FA121-EZ121)/EZ121*100)</f>
        <v>0</v>
      </c>
      <c r="FC121" s="2912">
        <f>IF(FC123=0,0,(FC122*FC123+FC124*FC125*6)/FC123)</f>
        <v>0</v>
      </c>
      <c r="FD121" s="2912">
        <f>IF(FD123=0,0,(FD122*FD123+FD124*FD125*6)/FD123)</f>
        <v>0</v>
      </c>
      <c r="FE121" s="1071">
        <f>IF(FC121=0,0,(FD121-FC121)/FC121*100)</f>
        <v>0</v>
      </c>
      <c r="FF121" s="2912">
        <f>IF(FF123=0,0,(FF122*FF123+FF124*FF125*6)/FF123)</f>
        <v>0</v>
      </c>
      <c r="FG121" s="2912">
        <f>IF(FG123=0,0,(FG122*FG123+FG124*FG125*6)/FG123)</f>
        <v>0</v>
      </c>
      <c r="FH121" s="1071">
        <f>IF(FF121=0,0,(FG121-FF121)/FF121*100)</f>
        <v>0</v>
      </c>
      <c r="FI121" s="2912">
        <f>IF(FI123=0,0,(FI122*FI123+FI124*FI125*6)/FI123)</f>
        <v>0</v>
      </c>
      <c r="FJ121" s="2912">
        <f>IF(FJ123=0,0,(FJ122*FJ123+FJ124*FJ125*6)/FJ123)</f>
        <v>0</v>
      </c>
      <c r="FK121" s="1071">
        <f>IF(FI121=0,0,(FJ121-FI121)/FI121*100)</f>
        <v>0</v>
      </c>
      <c r="FL121" s="2912">
        <f>IF(FL123=0,0,(FL122*FL123+FL124*FL125*6)/FL123)</f>
        <v>0</v>
      </c>
      <c r="FM121" s="2912">
        <f>IF(FM123=0,0,(FM122*FM123+FM124*FM125*6)/FM123)</f>
        <v>0</v>
      </c>
      <c r="FN121" s="1071">
        <f>IF(FL121=0,0,(FM121-FL121)/FL121*100)</f>
        <v>0</v>
      </c>
      <c r="FO121" s="2912">
        <f>IF(FO123=0,0,(FO122*FO123+FO124*FO125*6)/FO123)</f>
        <v>0</v>
      </c>
      <c r="FP121" s="2912">
        <f>IF(FP123=0,0,(FP122*FP123+FP124*FP125*6)/FP123)</f>
        <v>0</v>
      </c>
      <c r="FQ121" s="1071">
        <f>IF(FO121=0,0,(FP121-FO121)/FO121*100)</f>
        <v>0</v>
      </c>
      <c r="FR121" s="2912">
        <f>IF(FR123=0,0,(FR122*FR123+FR124*FR125*6)/FR123)</f>
        <v>0</v>
      </c>
      <c r="FS121" s="2912">
        <f>IF(FS123=0,0,(FS122*FS123+FS124*FS125*6)/FS123)</f>
        <v>0</v>
      </c>
      <c r="FT121" s="1071">
        <f>IF(FR121=0,0,(FS121-FR121)/FR121*100)</f>
        <v>0</v>
      </c>
      <c r="FU121" s="2912">
        <f>IF(FU123=0,0,(FU122*FU123+FU124*FU125*6)/FU123)</f>
        <v>0</v>
      </c>
      <c r="FV121" s="2912">
        <f>IF(FV123=0,0,(FV122*FV123+FV124*FV125*6)/FV123)</f>
        <v>0</v>
      </c>
      <c r="FW121" s="1071">
        <f>IF(FU121=0,0,(FV121-FU121)/FU121*100)</f>
        <v>0</v>
      </c>
      <c r="FX121" s="1282"/>
      <c r="FY121" s="1282"/>
      <c r="FZ121" s="1032" t="s">
        <v>1537</v>
      </c>
      <c r="GA121" s="1284"/>
      <c r="GB121" s="1284"/>
      <c r="GC121" s="1283"/>
      <c r="GD121" s="1283"/>
    </row>
    <row s="1624" customFormat="1" customHeight="1" ht="14.25" hidden="1">
      <c r="A122" s="466"/>
      <c r="B122" s="901" cm="1" t="str">
        <f t="array" ref="B122:B122">B121</f>
        <v>false</v>
      </c>
      <c r="C122" s="466"/>
      <c r="D122" s="466"/>
      <c r="E122" s="816">
        <v>15</v>
      </c>
      <c r="F122" s="50" cm="1" t="str">
        <f t="array" ref="F122:F122">OFFSET(E122,-1,1)</f>
        <v>1</v>
      </c>
      <c r="G122" s="466"/>
      <c r="H122" s="466" t="s">
        <v>1438</v>
      </c>
      <c r="I122" s="466" t="s">
        <v>1493</v>
      </c>
      <c r="J122" s="466"/>
      <c r="K122" s="466"/>
      <c r="L122" s="466"/>
      <c r="M122" s="466"/>
      <c r="N122" s="466"/>
      <c r="O122" s="466"/>
      <c r="P122" s="466"/>
      <c r="Q122" s="466"/>
      <c r="R122" s="466"/>
      <c r="S122" s="466"/>
      <c r="T122" s="438" cm="1" t="str">
        <f t="array" ref="T122:T122">T121</f>
        <v>true</v>
      </c>
      <c r="U122" s="466"/>
      <c r="V122" s="466"/>
      <c r="W122" s="466"/>
      <c r="X122" s="1541"/>
      <c r="Y122" s="466"/>
      <c r="Z122" s="1493"/>
      <c r="AA122" s="466"/>
      <c r="AB122" s="880" t="str">
        <f>"ставка платы за "&amp;IF(Q85="Водоснабжение","потребление 1 куб.м холодной воды","объем принятых сточных вод")</f>
        <v>ставка платы за объем принятых сточных вод</v>
      </c>
      <c r="AC122" s="840" t="s">
        <v>1476</v>
      </c>
      <c r="AD122" s="2912"/>
      <c r="AE122" s="2912"/>
      <c r="AF122" s="1071">
        <f>IF(AD122=0,0,(AE122-AD122)/AD122*100)</f>
        <v>0</v>
      </c>
      <c r="AG122" s="2912"/>
      <c r="AH122" s="2912"/>
      <c r="AI122" s="1071">
        <f>IF(AG122=0,0,(AH122-AG122)/AG122*100)</f>
        <v>0</v>
      </c>
      <c r="AJ122" s="2912"/>
      <c r="AK122" s="2912"/>
      <c r="AL122" s="1071">
        <f>IF(AJ122=0,0,(AK122-AJ122)/AJ122*100)</f>
        <v>0</v>
      </c>
      <c r="AM122" s="2912"/>
      <c r="AN122" s="2912"/>
      <c r="AO122" s="1071">
        <f>IF(AM122=0,0,(AN122-AM122)/AM122*100)</f>
        <v>0</v>
      </c>
      <c r="AP122" s="2912"/>
      <c r="AQ122" s="2912"/>
      <c r="AR122" s="1071">
        <f>IF(AP122=0,0,(AQ122-AP122)/AP122*100)</f>
        <v>0</v>
      </c>
      <c r="AS122" s="2912"/>
      <c r="AT122" s="2912"/>
      <c r="AU122" s="1071">
        <f>IF(AS122=0,0,(AT122-AS122)/AS122*100)</f>
        <v>0</v>
      </c>
      <c r="AV122" s="2912"/>
      <c r="AW122" s="2912"/>
      <c r="AX122" s="1071">
        <f>IF(AV122=0,0,(AW122-AV122)/AV122*100)</f>
        <v>0</v>
      </c>
      <c r="AY122" s="2912"/>
      <c r="AZ122" s="2912"/>
      <c r="BA122" s="1071">
        <f>IF(AY122=0,0,(AZ122-AY122)/AY122*100)</f>
        <v>0</v>
      </c>
      <c r="BB122" s="2912"/>
      <c r="BC122" s="2912"/>
      <c r="BD122" s="1071">
        <f>IF(BB122=0,0,(BC122-BB122)/BB122*100)</f>
        <v>0</v>
      </c>
      <c r="BE122" s="2912"/>
      <c r="BF122" s="2912"/>
      <c r="BG122" s="1071">
        <f>IF(BE122=0,0,(BF122-BE122)/BE122*100)</f>
        <v>0</v>
      </c>
      <c r="BH122" s="2912"/>
      <c r="BI122" s="2912"/>
      <c r="BJ122" s="1071">
        <f>IF(BH122=0,0,(BI122-BH122)/BH122*100)</f>
        <v>0</v>
      </c>
      <c r="BK122" s="2912"/>
      <c r="BL122" s="2912"/>
      <c r="BM122" s="1071">
        <f>IF(BK122=0,0,(BL122-BK122)/BK122*100)</f>
        <v>0</v>
      </c>
      <c r="BN122" s="2912"/>
      <c r="BO122" s="2912"/>
      <c r="BP122" s="1071">
        <f>IF(BN122=0,0,(BO122-BN122)/BN122*100)</f>
        <v>0</v>
      </c>
      <c r="BQ122" s="2912"/>
      <c r="BR122" s="2912"/>
      <c r="BS122" s="1071">
        <f>IF(BQ122=0,0,(BR122-BQ122)/BQ122*100)</f>
        <v>0</v>
      </c>
      <c r="BT122" s="2912"/>
      <c r="BU122" s="2912"/>
      <c r="BV122" s="1071">
        <f>IF(BT122=0,0,(BU122-BT122)/BT122*100)</f>
        <v>0</v>
      </c>
      <c r="BW122" s="2912"/>
      <c r="BX122" s="2912"/>
      <c r="BY122" s="1071">
        <f>IF(BW122=0,0,(BX122-BW122)/BW122*100)</f>
        <v>0</v>
      </c>
      <c r="BZ122" s="2912"/>
      <c r="CA122" s="2912"/>
      <c r="CB122" s="1071">
        <f>IF(BZ122=0,0,(CA122-BZ122)/BZ122*100)</f>
        <v>0</v>
      </c>
      <c r="CC122" s="2912"/>
      <c r="CD122" s="2912"/>
      <c r="CE122" s="1071">
        <f>IF(CC122=0,0,(CD122-CC122)/CC122*100)</f>
        <v>0</v>
      </c>
      <c r="CF122" s="2912"/>
      <c r="CG122" s="2912"/>
      <c r="CH122" s="1071">
        <f>IF(CF122=0,0,(CG122-CF122)/CF122*100)</f>
        <v>0</v>
      </c>
      <c r="CI122" s="2912"/>
      <c r="CJ122" s="2912"/>
      <c r="CK122" s="1071">
        <f>IF(CI122=0,0,(CJ122-CI122)/CI122*100)</f>
        <v>0</v>
      </c>
      <c r="CL122" s="2912"/>
      <c r="CM122" s="2912"/>
      <c r="CN122" s="1071">
        <f>IF(CL122=0,0,(CM122-CL122)/CL122*100)</f>
        <v>0</v>
      </c>
      <c r="CO122" s="2912"/>
      <c r="CP122" s="2912"/>
      <c r="CQ122" s="1071">
        <f>IF(CO122=0,0,(CP122-CO122)/CO122*100)</f>
        <v>0</v>
      </c>
      <c r="CR122" s="2912"/>
      <c r="CS122" s="2912"/>
      <c r="CT122" s="1071">
        <f>IF(CR122=0,0,(CS122-CR122)/CR122*100)</f>
        <v>0</v>
      </c>
      <c r="CU122" s="2912"/>
      <c r="CV122" s="2912"/>
      <c r="CW122" s="1071">
        <f>IF(CU122=0,0,(CV122-CU122)/CU122*100)</f>
        <v>0</v>
      </c>
      <c r="CX122" s="2912"/>
      <c r="CY122" s="2912"/>
      <c r="CZ122" s="1071">
        <f>IF(CX122=0,0,(CY122-CX122)/CX122*100)</f>
        <v>0</v>
      </c>
      <c r="DA122" s="2912"/>
      <c r="DB122" s="2912"/>
      <c r="DC122" s="1071">
        <f>IF(DA122=0,0,(DB122-DA122)/DA122*100)</f>
        <v>0</v>
      </c>
      <c r="DD122" s="2912"/>
      <c r="DE122" s="2912"/>
      <c r="DF122" s="1071">
        <f>IF(DD122=0,0,(DE122-DD122)/DD122*100)</f>
        <v>0</v>
      </c>
      <c r="DG122" s="2912"/>
      <c r="DH122" s="2912"/>
      <c r="DI122" s="1071">
        <f>IF(DG122=0,0,(DH122-DG122)/DG122*100)</f>
        <v>0</v>
      </c>
      <c r="DJ122" s="2912"/>
      <c r="DK122" s="2912"/>
      <c r="DL122" s="1071">
        <f>IF(DJ122=0,0,(DK122-DJ122)/DJ122*100)</f>
        <v>0</v>
      </c>
      <c r="DM122" s="2912"/>
      <c r="DN122" s="2912"/>
      <c r="DO122" s="1071">
        <f>IF(DM122=0,0,(DN122-DM122)/DM122*100)</f>
        <v>0</v>
      </c>
      <c r="DP122" s="2912"/>
      <c r="DQ122" s="2912"/>
      <c r="DR122" s="1071">
        <f>IF(DP122=0,0,(DQ122-DP122)/DP122*100)</f>
        <v>0</v>
      </c>
      <c r="DS122" s="2912"/>
      <c r="DT122" s="2912"/>
      <c r="DU122" s="1071">
        <f>IF(DS122=0,0,(DT122-DS122)/DS122*100)</f>
        <v>0</v>
      </c>
      <c r="DV122" s="2912"/>
      <c r="DW122" s="2912"/>
      <c r="DX122" s="1071">
        <f>IF(DV122=0,0,(DW122-DV122)/DV122*100)</f>
        <v>0</v>
      </c>
      <c r="DY122" s="2912"/>
      <c r="DZ122" s="2912"/>
      <c r="EA122" s="1071">
        <f>IF(DY122=0,0,(DZ122-DY122)/DY122*100)</f>
        <v>0</v>
      </c>
      <c r="EB122" s="2912"/>
      <c r="EC122" s="2912"/>
      <c r="ED122" s="1071">
        <f>IF(EB122=0,0,(EC122-EB122)/EB122*100)</f>
        <v>0</v>
      </c>
      <c r="EE122" s="2912"/>
      <c r="EF122" s="2912"/>
      <c r="EG122" s="1071">
        <f>IF(EE122=0,0,(EF122-EE122)/EE122*100)</f>
        <v>0</v>
      </c>
      <c r="EH122" s="2912"/>
      <c r="EI122" s="2912"/>
      <c r="EJ122" s="1071">
        <f>IF(EH122=0,0,(EI122-EH122)/EH122*100)</f>
        <v>0</v>
      </c>
      <c r="EK122" s="2912"/>
      <c r="EL122" s="2912"/>
      <c r="EM122" s="1071">
        <f>IF(EK122=0,0,(EL122-EK122)/EK122*100)</f>
        <v>0</v>
      </c>
      <c r="EN122" s="2912"/>
      <c r="EO122" s="2912"/>
      <c r="EP122" s="1071">
        <f>IF(EN122=0,0,(EO122-EN122)/EN122*100)</f>
        <v>0</v>
      </c>
      <c r="EQ122" s="2912"/>
      <c r="ER122" s="2912"/>
      <c r="ES122" s="1071">
        <f>IF(EQ122=0,0,(ER122-EQ122)/EQ122*100)</f>
        <v>0</v>
      </c>
      <c r="ET122" s="2912"/>
      <c r="EU122" s="2912"/>
      <c r="EV122" s="1071">
        <f>IF(ET122=0,0,(EU122-ET122)/ET122*100)</f>
        <v>0</v>
      </c>
      <c r="EW122" s="2912"/>
      <c r="EX122" s="2912"/>
      <c r="EY122" s="1071">
        <f>IF(EW122=0,0,(EX122-EW122)/EW122*100)</f>
        <v>0</v>
      </c>
      <c r="EZ122" s="2912"/>
      <c r="FA122" s="2912"/>
      <c r="FB122" s="1071">
        <f>IF(EZ122=0,0,(FA122-EZ122)/EZ122*100)</f>
        <v>0</v>
      </c>
      <c r="FC122" s="2912"/>
      <c r="FD122" s="2912"/>
      <c r="FE122" s="1071">
        <f>IF(FC122=0,0,(FD122-FC122)/FC122*100)</f>
        <v>0</v>
      </c>
      <c r="FF122" s="2912"/>
      <c r="FG122" s="2912"/>
      <c r="FH122" s="1071">
        <f>IF(FF122=0,0,(FG122-FF122)/FF122*100)</f>
        <v>0</v>
      </c>
      <c r="FI122" s="2912"/>
      <c r="FJ122" s="2912"/>
      <c r="FK122" s="1071">
        <f>IF(FI122=0,0,(FJ122-FI122)/FI122*100)</f>
        <v>0</v>
      </c>
      <c r="FL122" s="2912"/>
      <c r="FM122" s="2912"/>
      <c r="FN122" s="1071">
        <f>IF(FL122=0,0,(FM122-FL122)/FL122*100)</f>
        <v>0</v>
      </c>
      <c r="FO122" s="2912"/>
      <c r="FP122" s="2912"/>
      <c r="FQ122" s="1071">
        <f>IF(FO122=0,0,(FP122-FO122)/FO122*100)</f>
        <v>0</v>
      </c>
      <c r="FR122" s="2912"/>
      <c r="FS122" s="2912"/>
      <c r="FT122" s="1071">
        <f>IF(FR122=0,0,(FS122-FR122)/FR122*100)</f>
        <v>0</v>
      </c>
      <c r="FU122" s="2912"/>
      <c r="FV122" s="2912"/>
      <c r="FW122" s="1071">
        <f>IF(FU122=0,0,(FV122-FU122)/FU122*100)</f>
        <v>0</v>
      </c>
      <c r="FX122" s="1282"/>
      <c r="FY122" s="1282"/>
      <c r="FZ122" s="1032" t="s">
        <v>1538</v>
      </c>
      <c r="GA122" s="1284"/>
      <c r="GB122" s="1284"/>
      <c r="GC122" s="1283"/>
      <c r="GD122" s="1283"/>
    </row>
    <row s="1624" customFormat="1" customHeight="1" ht="14.25" hidden="1">
      <c r="A123" s="466"/>
      <c r="B123" s="901" cm="1" t="str">
        <f t="array" ref="B123:B123">B122</f>
        <v>false</v>
      </c>
      <c r="C123" s="466"/>
      <c r="D123" s="466"/>
      <c r="E123" s="816">
        <v>15</v>
      </c>
      <c r="F123" s="50" cm="1" t="str">
        <f t="array" ref="F123:F123">OFFSET(E123,-1,1)</f>
        <v>1</v>
      </c>
      <c r="G123" s="73" t="s">
        <v>1539</v>
      </c>
      <c r="H123" s="466" t="s">
        <v>1513</v>
      </c>
      <c r="I123" s="466" t="s">
        <v>1493</v>
      </c>
      <c r="J123" s="466"/>
      <c r="K123" s="466"/>
      <c r="L123" s="466"/>
      <c r="M123" s="466"/>
      <c r="N123" s="466"/>
      <c r="O123" s="466"/>
      <c r="P123" s="466"/>
      <c r="Q123" s="466"/>
      <c r="R123" s="466"/>
      <c r="S123" s="466"/>
      <c r="T123" s="438" cm="1" t="str">
        <f t="array" ref="T123:T123">T122</f>
        <v>true</v>
      </c>
      <c r="U123" s="466"/>
      <c r="V123" s="466"/>
      <c r="W123" s="466"/>
      <c r="X123" s="1541"/>
      <c r="Y123" s="466"/>
      <c r="Z123" s="1493"/>
      <c r="AA123" s="466"/>
      <c r="AB123" s="880" t="str">
        <f>"объём "&amp;IF(Q85="Водоснабжение","потребления холодной воды","водоотведения")</f>
        <v>объём водоотведения</v>
      </c>
      <c r="AC123" s="840" t="s">
        <v>506</v>
      </c>
      <c r="AD123" s="2907">
        <f>IF(AND(method_reg="Метод индексации",god&lt;&gt;first_year),_xlfn.SUMIFS(INDEX('Калькуляция (МИ корр)'!$AJ$25:$BC$315,,MATCH(AD$8,'Калькуляция (МИ корр)'!$AJ$8:$BC$8,0)),'Калькуляция (МИ корр)'!$F$25:$F$315,$F123,'Калькуляция (МИ корр)'!$G$25:$G$315,$G123),IF(method_reg="Метод экономически обоснованных расходов",_xlfn.SUMIFS('Калькуляция (МЭОР)'!$AJ$25:$AJ$197,'Калькуляция (МЭОР)'!$F$25:$F$197,$F123,'Калькуляция (МЭОР)'!$G$25:$G$197,$G123),IF(method_reg="Метод сравнения аналогов",_xlfn.SUMIFS('Калькуляция (МСА)'!$AE$25:$AE$65,'Калькуляция (МСА)'!$F$25:$F$65,$F123,'Калькуляция (МСА)'!$G$25:$G$65,$G123),_xlfn.SUMIFS(INDEX('Калькуляция (МИ)'!$AJ$25:$BC$315,,MATCH(AD$8,'Калькуляция (МИ)'!$AJ$8:$BC$8,0)),'Калькуляция (МИ)'!$F$25:$F$315,$F123,'Калькуляция (МИ)'!$G$25:$G$315,$G123))))</f>
        <v>0</v>
      </c>
      <c r="AE123" s="2907">
        <f>IF(AND(method_reg="Метод индексации",god&lt;&gt;first_year),_xlfn.SUMIFS(INDEX('Калькуляция (МИ корр)'!$AJ$25:$BC$315,,MATCH(AE$8,'Калькуляция (МИ корр)'!$AJ$8:$BC$8,0)),'Калькуляция (МИ корр)'!$F$25:$F$315,$F123,'Калькуляция (МИ корр)'!$G$25:$G$315,$G123),IF(method_reg="Метод экономически обоснованных расходов",_xlfn.SUMIFS('Калькуляция (МЭОР)'!$AK$25:$AK$197,'Калькуляция (МЭОР)'!$F$25:$F$197,$F123,'Калькуляция (МЭОР)'!$G$25:$G$197,$G123),IF(method_reg="Метод сравнения аналогов",_xlfn.SUMIFS('Калькуляция (МСА)'!$AF$25:$AF$65,'Калькуляция (МСА)'!$F$25:$F$65,$F123,'Калькуляция (МСА)'!$G$25:$G$65,$G123),_xlfn.SUMIFS(INDEX('Калькуляция (МИ)'!$AJ$25:$BC$315,,MATCH(AE$8,'Калькуляция (МИ)'!$AJ$8:$BC$8,0)),'Калькуляция (МИ)'!$F$25:$F$315,$F123,'Калькуляция (МИ)'!$G$25:$G$315,$G123))))</f>
        <v>0</v>
      </c>
      <c r="AF123" s="1073">
        <f>IF(AD123=0,0,(AE123-AD123)/AD123*100)</f>
        <v>0</v>
      </c>
      <c r="AG123" s="2907">
        <f>IF(AND(method_reg="Метод индексации",god&lt;&gt;first_year),_xlfn.SUMIFS(INDEX('Калькуляция (МИ корр)'!$AJ$25:$BC$315,,MATCH(AG$8,'Калькуляция (МИ корр)'!$AJ$8:$BC$8,0)),'Калькуляция (МИ корр)'!$F$25:$F$315,$F123,'Калькуляция (МИ корр)'!$G$25:$G$315,$G123),IF(method_reg="Метод экономически обоснованных расходов",_xlfn.SUMIFS('Калькуляция (МЭОР)'!$AJ$25:$AJ$197,'Калькуляция (МЭОР)'!$F$25:$F$197,$F123,'Калькуляция (МЭОР)'!$G$25:$G$197,$G123),IF(method_reg="Метод сравнения аналогов",_xlfn.SUMIFS('Калькуляция (МСА)'!$AE$25:$AE$65,'Калькуляция (МСА)'!$F$25:$F$65,$F123,'Калькуляция (МСА)'!$G$25:$G$65,$G123),_xlfn.SUMIFS(INDEX('Калькуляция (МИ)'!$AJ$25:$BC$315,,MATCH(AG$8,'Калькуляция (МИ)'!$AJ$8:$BC$8,0)),'Калькуляция (МИ)'!$F$25:$F$315,$F123,'Калькуляция (МИ)'!$G$25:$G$315,$G123))))</f>
        <v>0</v>
      </c>
      <c r="AH123" s="2907">
        <f>IF(AND(method_reg="Метод индексации",god&lt;&gt;first_year),_xlfn.SUMIFS(INDEX('Калькуляция (МИ корр)'!$AJ$25:$BC$315,,MATCH(AH$8,'Калькуляция (МИ корр)'!$AJ$8:$BC$8,0)),'Калькуляция (МИ корр)'!$F$25:$F$315,$F123,'Калькуляция (МИ корр)'!$G$25:$G$315,$G123),IF(method_reg="Метод экономически обоснованных расходов",_xlfn.SUMIFS('Калькуляция (МЭОР)'!$AK$25:$AK$197,'Калькуляция (МЭОР)'!$F$25:$F$197,$F123,'Калькуляция (МЭОР)'!$G$25:$G$197,$G123),IF(method_reg="Метод сравнения аналогов",_xlfn.SUMIFS('Калькуляция (МСА)'!$AF$25:$AF$65,'Калькуляция (МСА)'!$F$25:$F$65,$F123,'Калькуляция (МСА)'!$G$25:$G$65,$G123),_xlfn.SUMIFS(INDEX('Калькуляция (МИ)'!$AJ$25:$BC$315,,MATCH(AH$8,'Калькуляция (МИ)'!$AJ$8:$BC$8,0)),'Калькуляция (МИ)'!$F$25:$F$315,$F123,'Калькуляция (МИ)'!$G$25:$G$315,$G123))))</f>
        <v>0</v>
      </c>
      <c r="AI123" s="1073">
        <f>IF(AG123=0,0,(AH123-AG123)/AG123*100)</f>
        <v>0</v>
      </c>
      <c r="AJ123" s="2907">
        <f>IF(AND(method_reg="Метод индексации",god&lt;&gt;first_year),_xlfn.SUMIFS(INDEX('Калькуляция (МИ корр)'!$AJ$25:$BC$315,,MATCH(AJ$8,'Калькуляция (МИ корр)'!$AJ$8:$BC$8,0)),'Калькуляция (МИ корр)'!$F$25:$F$315,$F123,'Калькуляция (МИ корр)'!$G$25:$G$315,$G123),IF(method_reg="Метод экономически обоснованных расходов",_xlfn.SUMIFS('Калькуляция (МЭОР)'!$AJ$25:$AJ$197,'Калькуляция (МЭОР)'!$F$25:$F$197,$F123,'Калькуляция (МЭОР)'!$G$25:$G$197,$G123),IF(method_reg="Метод сравнения аналогов",_xlfn.SUMIFS('Калькуляция (МСА)'!$AE$25:$AE$65,'Калькуляция (МСА)'!$F$25:$F$65,$F123,'Калькуляция (МСА)'!$G$25:$G$65,$G123),_xlfn.SUMIFS(INDEX('Калькуляция (МИ)'!$AJ$25:$BC$315,,MATCH(AJ$8,'Калькуляция (МИ)'!$AJ$8:$BC$8,0)),'Калькуляция (МИ)'!$F$25:$F$315,$F123,'Калькуляция (МИ)'!$G$25:$G$315,$G123))))</f>
        <v>0</v>
      </c>
      <c r="AK123" s="2907">
        <f>IF(AND(method_reg="Метод индексации",god&lt;&gt;first_year),_xlfn.SUMIFS(INDEX('Калькуляция (МИ корр)'!$AJ$25:$BC$315,,MATCH(AK$8,'Калькуляция (МИ корр)'!$AJ$8:$BC$8,0)),'Калькуляция (МИ корр)'!$F$25:$F$315,$F123,'Калькуляция (МИ корр)'!$G$25:$G$315,$G123),IF(method_reg="Метод экономически обоснованных расходов",_xlfn.SUMIFS('Калькуляция (МЭОР)'!$AK$25:$AK$197,'Калькуляция (МЭОР)'!$F$25:$F$197,$F123,'Калькуляция (МЭОР)'!$G$25:$G$197,$G123),IF(method_reg="Метод сравнения аналогов",_xlfn.SUMIFS('Калькуляция (МСА)'!$AF$25:$AF$65,'Калькуляция (МСА)'!$F$25:$F$65,$F123,'Калькуляция (МСА)'!$G$25:$G$65,$G123),_xlfn.SUMIFS(INDEX('Калькуляция (МИ)'!$AJ$25:$BC$315,,MATCH(AK$8,'Калькуляция (МИ)'!$AJ$8:$BC$8,0)),'Калькуляция (МИ)'!$F$25:$F$315,$F123,'Калькуляция (МИ)'!$G$25:$G$315,$G123))))</f>
        <v>0</v>
      </c>
      <c r="AL123" s="1073">
        <f>IF(AJ123=0,0,(AK123-AJ123)/AJ123*100)</f>
        <v>0</v>
      </c>
      <c r="AM123" s="2907">
        <f>IF(AND(method_reg="Метод индексации",god&lt;&gt;first_year),_xlfn.SUMIFS(INDEX('Калькуляция (МИ корр)'!$AJ$25:$BC$315,,MATCH(AM$8,'Калькуляция (МИ корр)'!$AJ$8:$BC$8,0)),'Калькуляция (МИ корр)'!$F$25:$F$315,$F123,'Калькуляция (МИ корр)'!$G$25:$G$315,$G123),IF(method_reg="Метод экономически обоснованных расходов",_xlfn.SUMIFS('Калькуляция (МЭОР)'!$AJ$25:$AJ$197,'Калькуляция (МЭОР)'!$F$25:$F$197,$F123,'Калькуляция (МЭОР)'!$G$25:$G$197,$G123),IF(method_reg="Метод сравнения аналогов",_xlfn.SUMIFS('Калькуляция (МСА)'!$AE$25:$AE$65,'Калькуляция (МСА)'!$F$25:$F$65,$F123,'Калькуляция (МСА)'!$G$25:$G$65,$G123),_xlfn.SUMIFS(INDEX('Калькуляция (МИ)'!$AJ$25:$BC$315,,MATCH(AM$8,'Калькуляция (МИ)'!$AJ$8:$BC$8,0)),'Калькуляция (МИ)'!$F$25:$F$315,$F123,'Калькуляция (МИ)'!$G$25:$G$315,$G123))))</f>
        <v>0</v>
      </c>
      <c r="AN123" s="2907">
        <f>IF(AND(method_reg="Метод индексации",god&lt;&gt;first_year),_xlfn.SUMIFS(INDEX('Калькуляция (МИ корр)'!$AJ$25:$BC$315,,MATCH(AN$8,'Калькуляция (МИ корр)'!$AJ$8:$BC$8,0)),'Калькуляция (МИ корр)'!$F$25:$F$315,$F123,'Калькуляция (МИ корр)'!$G$25:$G$315,$G123),IF(method_reg="Метод экономически обоснованных расходов",_xlfn.SUMIFS('Калькуляция (МЭОР)'!$AK$25:$AK$197,'Калькуляция (МЭОР)'!$F$25:$F$197,$F123,'Калькуляция (МЭОР)'!$G$25:$G$197,$G123),IF(method_reg="Метод сравнения аналогов",_xlfn.SUMIFS('Калькуляция (МСА)'!$AF$25:$AF$65,'Калькуляция (МСА)'!$F$25:$F$65,$F123,'Калькуляция (МСА)'!$G$25:$G$65,$G123),_xlfn.SUMIFS(INDEX('Калькуляция (МИ)'!$AJ$25:$BC$315,,MATCH(AN$8,'Калькуляция (МИ)'!$AJ$8:$BC$8,0)),'Калькуляция (МИ)'!$F$25:$F$315,$F123,'Калькуляция (МИ)'!$G$25:$G$315,$G123))))</f>
        <v>0</v>
      </c>
      <c r="AO123" s="1073">
        <f>IF(AM123=0,0,(AN123-AM123)/AM123*100)</f>
        <v>0</v>
      </c>
      <c r="AP123" s="2907">
        <f>IF(AND(method_reg="Метод индексации",god&lt;&gt;first_year),_xlfn.SUMIFS(INDEX('Калькуляция (МИ корр)'!$AJ$25:$BC$315,,MATCH(AP$8,'Калькуляция (МИ корр)'!$AJ$8:$BC$8,0)),'Калькуляция (МИ корр)'!$F$25:$F$315,$F123,'Калькуляция (МИ корр)'!$G$25:$G$315,$G123),IF(method_reg="Метод экономически обоснованных расходов",_xlfn.SUMIFS('Калькуляция (МЭОР)'!$AJ$25:$AJ$197,'Калькуляция (МЭОР)'!$F$25:$F$197,$F123,'Калькуляция (МЭОР)'!$G$25:$G$197,$G123),IF(method_reg="Метод сравнения аналогов",_xlfn.SUMIFS('Калькуляция (МСА)'!$AE$25:$AE$65,'Калькуляция (МСА)'!$F$25:$F$65,$F123,'Калькуляция (МСА)'!$G$25:$G$65,$G123),_xlfn.SUMIFS(INDEX('Калькуляция (МИ)'!$AJ$25:$BC$315,,MATCH(AP$8,'Калькуляция (МИ)'!$AJ$8:$BC$8,0)),'Калькуляция (МИ)'!$F$25:$F$315,$F123,'Калькуляция (МИ)'!$G$25:$G$315,$G123))))</f>
        <v>0</v>
      </c>
      <c r="AQ123" s="2907">
        <f>IF(AND(method_reg="Метод индексации",god&lt;&gt;first_year),_xlfn.SUMIFS(INDEX('Калькуляция (МИ корр)'!$AJ$25:$BC$315,,MATCH(AQ$8,'Калькуляция (МИ корр)'!$AJ$8:$BC$8,0)),'Калькуляция (МИ корр)'!$F$25:$F$315,$F123,'Калькуляция (МИ корр)'!$G$25:$G$315,$G123),IF(method_reg="Метод экономически обоснованных расходов",_xlfn.SUMIFS('Калькуляция (МЭОР)'!$AK$25:$AK$197,'Калькуляция (МЭОР)'!$F$25:$F$197,$F123,'Калькуляция (МЭОР)'!$G$25:$G$197,$G123),IF(method_reg="Метод сравнения аналогов",_xlfn.SUMIFS('Калькуляция (МСА)'!$AF$25:$AF$65,'Калькуляция (МСА)'!$F$25:$F$65,$F123,'Калькуляция (МСА)'!$G$25:$G$65,$G123),_xlfn.SUMIFS(INDEX('Калькуляция (МИ)'!$AJ$25:$BC$315,,MATCH(AQ$8,'Калькуляция (МИ)'!$AJ$8:$BC$8,0)),'Калькуляция (МИ)'!$F$25:$F$315,$F123,'Калькуляция (МИ)'!$G$25:$G$315,$G123))))</f>
        <v>0</v>
      </c>
      <c r="AR123" s="1073">
        <f>IF(AP123=0,0,(AQ123-AP123)/AP123*100)</f>
        <v>0</v>
      </c>
      <c r="AS123" s="2907">
        <f>IF(AND(method_reg="Метод индексации",god&lt;&gt;first_year),_xlfn.SUMIFS(INDEX('Калькуляция (МИ корр)'!$AJ$25:$BC$315,,MATCH(AS$8,'Калькуляция (МИ корр)'!$AJ$8:$BC$8,0)),'Калькуляция (МИ корр)'!$F$25:$F$315,$F123,'Калькуляция (МИ корр)'!$G$25:$G$315,$G123),IF(method_reg="Метод экономически обоснованных расходов",_xlfn.SUMIFS('Калькуляция (МЭОР)'!$AJ$25:$AJ$197,'Калькуляция (МЭОР)'!$F$25:$F$197,$F123,'Калькуляция (МЭОР)'!$G$25:$G$197,$G123),IF(method_reg="Метод сравнения аналогов",_xlfn.SUMIFS('Калькуляция (МСА)'!$AE$25:$AE$65,'Калькуляция (МСА)'!$F$25:$F$65,$F123,'Калькуляция (МСА)'!$G$25:$G$65,$G123),_xlfn.SUMIFS(INDEX('Калькуляция (МИ)'!$AJ$25:$BC$315,,MATCH(AS$8,'Калькуляция (МИ)'!$AJ$8:$BC$8,0)),'Калькуляция (МИ)'!$F$25:$F$315,$F123,'Калькуляция (МИ)'!$G$25:$G$315,$G123))))</f>
        <v>0</v>
      </c>
      <c r="AT123" s="2907">
        <f>IF(AND(method_reg="Метод индексации",god&lt;&gt;first_year),_xlfn.SUMIFS(INDEX('Калькуляция (МИ корр)'!$AJ$25:$BC$315,,MATCH(AT$8,'Калькуляция (МИ корр)'!$AJ$8:$BC$8,0)),'Калькуляция (МИ корр)'!$F$25:$F$315,$F123,'Калькуляция (МИ корр)'!$G$25:$G$315,$G123),IF(method_reg="Метод экономически обоснованных расходов",_xlfn.SUMIFS('Калькуляция (МЭОР)'!$AK$25:$AK$197,'Калькуляция (МЭОР)'!$F$25:$F$197,$F123,'Калькуляция (МЭОР)'!$G$25:$G$197,$G123),IF(method_reg="Метод сравнения аналогов",_xlfn.SUMIFS('Калькуляция (МСА)'!$AF$25:$AF$65,'Калькуляция (МСА)'!$F$25:$F$65,$F123,'Калькуляция (МСА)'!$G$25:$G$65,$G123),_xlfn.SUMIFS(INDEX('Калькуляция (МИ)'!$AJ$25:$BC$315,,MATCH(AT$8,'Калькуляция (МИ)'!$AJ$8:$BC$8,0)),'Калькуляция (МИ)'!$F$25:$F$315,$F123,'Калькуляция (МИ)'!$G$25:$G$315,$G123))))</f>
        <v>0</v>
      </c>
      <c r="AU123" s="1073">
        <f>IF(AS123=0,0,(AT123-AS123)/AS123*100)</f>
        <v>0</v>
      </c>
      <c r="AV123" s="2907">
        <f>IF(AND(method_reg="Метод индексации",god&lt;&gt;first_year),_xlfn.SUMIFS(INDEX('Калькуляция (МИ корр)'!$AJ$25:$BC$315,,MATCH(AV$8,'Калькуляция (МИ корр)'!$AJ$8:$BC$8,0)),'Калькуляция (МИ корр)'!$F$25:$F$315,$F123,'Калькуляция (МИ корр)'!$G$25:$G$315,$G123),IF(method_reg="Метод экономически обоснованных расходов",_xlfn.SUMIFS('Калькуляция (МЭОР)'!$AJ$25:$AJ$197,'Калькуляция (МЭОР)'!$F$25:$F$197,$F123,'Калькуляция (МЭОР)'!$G$25:$G$197,$G123),IF(method_reg="Метод сравнения аналогов",_xlfn.SUMIFS('Калькуляция (МСА)'!$AE$25:$AE$65,'Калькуляция (МСА)'!$F$25:$F$65,$F123,'Калькуляция (МСА)'!$G$25:$G$65,$G123),_xlfn.SUMIFS(INDEX('Калькуляция (МИ)'!$AJ$25:$BC$315,,MATCH(AV$8,'Калькуляция (МИ)'!$AJ$8:$BC$8,0)),'Калькуляция (МИ)'!$F$25:$F$315,$F123,'Калькуляция (МИ)'!$G$25:$G$315,$G123))))</f>
        <v>0</v>
      </c>
      <c r="AW123" s="2907">
        <f>IF(AND(method_reg="Метод индексации",god&lt;&gt;first_year),_xlfn.SUMIFS(INDEX('Калькуляция (МИ корр)'!$AJ$25:$BC$315,,MATCH(AW$8,'Калькуляция (МИ корр)'!$AJ$8:$BC$8,0)),'Калькуляция (МИ корр)'!$F$25:$F$315,$F123,'Калькуляция (МИ корр)'!$G$25:$G$315,$G123),IF(method_reg="Метод экономически обоснованных расходов",_xlfn.SUMIFS('Калькуляция (МЭОР)'!$AK$25:$AK$197,'Калькуляция (МЭОР)'!$F$25:$F$197,$F123,'Калькуляция (МЭОР)'!$G$25:$G$197,$G123),IF(method_reg="Метод сравнения аналогов",_xlfn.SUMIFS('Калькуляция (МСА)'!$AF$25:$AF$65,'Калькуляция (МСА)'!$F$25:$F$65,$F123,'Калькуляция (МСА)'!$G$25:$G$65,$G123),_xlfn.SUMIFS(INDEX('Калькуляция (МИ)'!$AJ$25:$BC$315,,MATCH(AW$8,'Калькуляция (МИ)'!$AJ$8:$BC$8,0)),'Калькуляция (МИ)'!$F$25:$F$315,$F123,'Калькуляция (МИ)'!$G$25:$G$315,$G123))))</f>
        <v>0</v>
      </c>
      <c r="AX123" s="1073">
        <f>IF(AV123=0,0,(AW123-AV123)/AV123*100)</f>
        <v>0</v>
      </c>
      <c r="AY123" s="2907">
        <f>IF(AND(method_reg="Метод индексации",god&lt;&gt;first_year),_xlfn.SUMIFS(INDEX('Калькуляция (МИ корр)'!$AJ$25:$BC$315,,MATCH(AY$8,'Калькуляция (МИ корр)'!$AJ$8:$BC$8,0)),'Калькуляция (МИ корр)'!$F$25:$F$315,$F123,'Калькуляция (МИ корр)'!$G$25:$G$315,$G123),IF(method_reg="Метод экономически обоснованных расходов",_xlfn.SUMIFS('Калькуляция (МЭОР)'!$AJ$25:$AJ$197,'Калькуляция (МЭОР)'!$F$25:$F$197,$F123,'Калькуляция (МЭОР)'!$G$25:$G$197,$G123),IF(method_reg="Метод сравнения аналогов",_xlfn.SUMIFS('Калькуляция (МСА)'!$AE$25:$AE$65,'Калькуляция (МСА)'!$F$25:$F$65,$F123,'Калькуляция (МСА)'!$G$25:$G$65,$G123),_xlfn.SUMIFS(INDEX('Калькуляция (МИ)'!$AJ$25:$BC$315,,MATCH(AY$8,'Калькуляция (МИ)'!$AJ$8:$BC$8,0)),'Калькуляция (МИ)'!$F$25:$F$315,$F123,'Калькуляция (МИ)'!$G$25:$G$315,$G123))))</f>
        <v>0</v>
      </c>
      <c r="AZ123" s="2907">
        <f>IF(AND(method_reg="Метод индексации",god&lt;&gt;first_year),_xlfn.SUMIFS(INDEX('Калькуляция (МИ корр)'!$AJ$25:$BC$315,,MATCH(AZ$8,'Калькуляция (МИ корр)'!$AJ$8:$BC$8,0)),'Калькуляция (МИ корр)'!$F$25:$F$315,$F123,'Калькуляция (МИ корр)'!$G$25:$G$315,$G123),IF(method_reg="Метод экономически обоснованных расходов",_xlfn.SUMIFS('Калькуляция (МЭОР)'!$AK$25:$AK$197,'Калькуляция (МЭОР)'!$F$25:$F$197,$F123,'Калькуляция (МЭОР)'!$G$25:$G$197,$G123),IF(method_reg="Метод сравнения аналогов",_xlfn.SUMIFS('Калькуляция (МСА)'!$AF$25:$AF$65,'Калькуляция (МСА)'!$F$25:$F$65,$F123,'Калькуляция (МСА)'!$G$25:$G$65,$G123),_xlfn.SUMIFS(INDEX('Калькуляция (МИ)'!$AJ$25:$BC$315,,MATCH(AZ$8,'Калькуляция (МИ)'!$AJ$8:$BC$8,0)),'Калькуляция (МИ)'!$F$25:$F$315,$F123,'Калькуляция (МИ)'!$G$25:$G$315,$G123))))</f>
        <v>0</v>
      </c>
      <c r="BA123" s="1073">
        <f>IF(AY123=0,0,(AZ123-AY123)/AY123*100)</f>
        <v>0</v>
      </c>
      <c r="BB123" s="2907">
        <f>IF(AND(method_reg="Метод индексации",god&lt;&gt;first_year),_xlfn.SUMIFS(INDEX('Калькуляция (МИ корр)'!$AJ$25:$BC$315,,MATCH(BB$8,'Калькуляция (МИ корр)'!$AJ$8:$BC$8,0)),'Калькуляция (МИ корр)'!$F$25:$F$315,$F123,'Калькуляция (МИ корр)'!$G$25:$G$315,$G123),IF(method_reg="Метод экономически обоснованных расходов",_xlfn.SUMIFS('Калькуляция (МЭОР)'!$AJ$25:$AJ$197,'Калькуляция (МЭОР)'!$F$25:$F$197,$F123,'Калькуляция (МЭОР)'!$G$25:$G$197,$G123),IF(method_reg="Метод сравнения аналогов",_xlfn.SUMIFS('Калькуляция (МСА)'!$AE$25:$AE$65,'Калькуляция (МСА)'!$F$25:$F$65,$F123,'Калькуляция (МСА)'!$G$25:$G$65,$G123),_xlfn.SUMIFS(INDEX('Калькуляция (МИ)'!$AJ$25:$BC$315,,MATCH(BB$8,'Калькуляция (МИ)'!$AJ$8:$BC$8,0)),'Калькуляция (МИ)'!$F$25:$F$315,$F123,'Калькуляция (МИ)'!$G$25:$G$315,$G123))))</f>
        <v>0</v>
      </c>
      <c r="BC123" s="2907">
        <f>IF(AND(method_reg="Метод индексации",god&lt;&gt;first_year),_xlfn.SUMIFS(INDEX('Калькуляция (МИ корр)'!$AJ$25:$BC$315,,MATCH(BC$8,'Калькуляция (МИ корр)'!$AJ$8:$BC$8,0)),'Калькуляция (МИ корр)'!$F$25:$F$315,$F123,'Калькуляция (МИ корр)'!$G$25:$G$315,$G123),IF(method_reg="Метод экономически обоснованных расходов",_xlfn.SUMIFS('Калькуляция (МЭОР)'!$AK$25:$AK$197,'Калькуляция (МЭОР)'!$F$25:$F$197,$F123,'Калькуляция (МЭОР)'!$G$25:$G$197,$G123),IF(method_reg="Метод сравнения аналогов",_xlfn.SUMIFS('Калькуляция (МСА)'!$AF$25:$AF$65,'Калькуляция (МСА)'!$F$25:$F$65,$F123,'Калькуляция (МСА)'!$G$25:$G$65,$G123),_xlfn.SUMIFS(INDEX('Калькуляция (МИ)'!$AJ$25:$BC$315,,MATCH(BC$8,'Калькуляция (МИ)'!$AJ$8:$BC$8,0)),'Калькуляция (МИ)'!$F$25:$F$315,$F123,'Калькуляция (МИ)'!$G$25:$G$315,$G123))))</f>
        <v>0</v>
      </c>
      <c r="BD123" s="1073">
        <f>IF(BB123=0,0,(BC123-BB123)/BB123*100)</f>
        <v>0</v>
      </c>
      <c r="BE123" s="2907">
        <f>IF(AND(method_reg="Метод индексации",god&lt;&gt;first_year),_xlfn.SUMIFS(INDEX('Калькуляция (МИ корр)'!$AJ$25:$BC$315,,MATCH(BE$8,'Калькуляция (МИ корр)'!$AJ$8:$BC$8,0)),'Калькуляция (МИ корр)'!$F$25:$F$315,$F123,'Калькуляция (МИ корр)'!$G$25:$G$315,$G123),IF(method_reg="Метод экономически обоснованных расходов",_xlfn.SUMIFS('Калькуляция (МЭОР)'!$AJ$25:$AJ$197,'Калькуляция (МЭОР)'!$F$25:$F$197,$F123,'Калькуляция (МЭОР)'!$G$25:$G$197,$G123),IF(method_reg="Метод сравнения аналогов",_xlfn.SUMIFS('Калькуляция (МСА)'!$AE$25:$AE$65,'Калькуляция (МСА)'!$F$25:$F$65,$F123,'Калькуляция (МСА)'!$G$25:$G$65,$G123),_xlfn.SUMIFS(INDEX('Калькуляция (МИ)'!$AJ$25:$BC$315,,MATCH(BE$8,'Калькуляция (МИ)'!$AJ$8:$BC$8,0)),'Калькуляция (МИ)'!$F$25:$F$315,$F123,'Калькуляция (МИ)'!$G$25:$G$315,$G123))))</f>
        <v>0</v>
      </c>
      <c r="BF123" s="2907">
        <f>IF(AND(method_reg="Метод индексации",god&lt;&gt;first_year),_xlfn.SUMIFS(INDEX('Калькуляция (МИ корр)'!$AJ$25:$BC$315,,MATCH(BF$8,'Калькуляция (МИ корр)'!$AJ$8:$BC$8,0)),'Калькуляция (МИ корр)'!$F$25:$F$315,$F123,'Калькуляция (МИ корр)'!$G$25:$G$315,$G123),IF(method_reg="Метод экономически обоснованных расходов",_xlfn.SUMIFS('Калькуляция (МЭОР)'!$AK$25:$AK$197,'Калькуляция (МЭОР)'!$F$25:$F$197,$F123,'Калькуляция (МЭОР)'!$G$25:$G$197,$G123),IF(method_reg="Метод сравнения аналогов",_xlfn.SUMIFS('Калькуляция (МСА)'!$AF$25:$AF$65,'Калькуляция (МСА)'!$F$25:$F$65,$F123,'Калькуляция (МСА)'!$G$25:$G$65,$G123),_xlfn.SUMIFS(INDEX('Калькуляция (МИ)'!$AJ$25:$BC$315,,MATCH(BF$8,'Калькуляция (МИ)'!$AJ$8:$BC$8,0)),'Калькуляция (МИ)'!$F$25:$F$315,$F123,'Калькуляция (МИ)'!$G$25:$G$315,$G123))))</f>
        <v>0</v>
      </c>
      <c r="BG123" s="1073">
        <f>IF(BE123=0,0,(BF123-BE123)/BE123*100)</f>
        <v>0</v>
      </c>
      <c r="BH123" s="2907"/>
      <c r="BI123" s="2907"/>
      <c r="BJ123" s="1073">
        <f>IF(BH123=0,0,(BI123-BH123)/BH123*100)</f>
        <v>0</v>
      </c>
      <c r="BK123" s="2907"/>
      <c r="BL123" s="2907"/>
      <c r="BM123" s="1073">
        <f>IF(BK123=0,0,(BL123-BK123)/BK123*100)</f>
        <v>0</v>
      </c>
      <c r="BN123" s="2907"/>
      <c r="BO123" s="2907"/>
      <c r="BP123" s="1073">
        <f>IF(BN123=0,0,(BO123-BN123)/BN123*100)</f>
        <v>0</v>
      </c>
      <c r="BQ123" s="2907"/>
      <c r="BR123" s="2907"/>
      <c r="BS123" s="1073">
        <f>IF(BQ123=0,0,(BR123-BQ123)/BQ123*100)</f>
        <v>0</v>
      </c>
      <c r="BT123" s="2907"/>
      <c r="BU123" s="2907"/>
      <c r="BV123" s="1073">
        <f>IF(BT123=0,0,(BU123-BT123)/BT123*100)</f>
        <v>0</v>
      </c>
      <c r="BW123" s="2907"/>
      <c r="BX123" s="2907"/>
      <c r="BY123" s="1073">
        <f>IF(BW123=0,0,(BX123-BW123)/BW123*100)</f>
        <v>0</v>
      </c>
      <c r="BZ123" s="2907"/>
      <c r="CA123" s="2907"/>
      <c r="CB123" s="1073">
        <f>IF(BZ123=0,0,(CA123-BZ123)/BZ123*100)</f>
        <v>0</v>
      </c>
      <c r="CC123" s="2907"/>
      <c r="CD123" s="2907"/>
      <c r="CE123" s="1073">
        <f>IF(CC123=0,0,(CD123-CC123)/CC123*100)</f>
        <v>0</v>
      </c>
      <c r="CF123" s="2907"/>
      <c r="CG123" s="2907"/>
      <c r="CH123" s="1073">
        <f>IF(CF123=0,0,(CG123-CF123)/CF123*100)</f>
        <v>0</v>
      </c>
      <c r="CI123" s="2907"/>
      <c r="CJ123" s="2907"/>
      <c r="CK123" s="1073">
        <f>IF(CI123=0,0,(CJ123-CI123)/CI123*100)</f>
        <v>0</v>
      </c>
      <c r="CL123" s="2907"/>
      <c r="CM123" s="2907"/>
      <c r="CN123" s="1073">
        <f>IF(CL123=0,0,(CM123-CL123)/CL123*100)</f>
        <v>0</v>
      </c>
      <c r="CO123" s="2907"/>
      <c r="CP123" s="2907"/>
      <c r="CQ123" s="1073">
        <f>IF(CO123=0,0,(CP123-CO123)/CO123*100)</f>
        <v>0</v>
      </c>
      <c r="CR123" s="2907"/>
      <c r="CS123" s="2907"/>
      <c r="CT123" s="1073">
        <f>IF(CR123=0,0,(CS123-CR123)/CR123*100)</f>
        <v>0</v>
      </c>
      <c r="CU123" s="2907"/>
      <c r="CV123" s="2907"/>
      <c r="CW123" s="1073">
        <f>IF(CU123=0,0,(CV123-CU123)/CU123*100)</f>
        <v>0</v>
      </c>
      <c r="CX123" s="2907"/>
      <c r="CY123" s="2907"/>
      <c r="CZ123" s="1073">
        <f>IF(CX123=0,0,(CY123-CX123)/CX123*100)</f>
        <v>0</v>
      </c>
      <c r="DA123" s="2907"/>
      <c r="DB123" s="2907"/>
      <c r="DC123" s="1073">
        <f>IF(DA123=0,0,(DB123-DA123)/DA123*100)</f>
        <v>0</v>
      </c>
      <c r="DD123" s="2907"/>
      <c r="DE123" s="2907"/>
      <c r="DF123" s="1073">
        <f>IF(DD123=0,0,(DE123-DD123)/DD123*100)</f>
        <v>0</v>
      </c>
      <c r="DG123" s="2907"/>
      <c r="DH123" s="2907"/>
      <c r="DI123" s="1073">
        <f>IF(DG123=0,0,(DH123-DG123)/DG123*100)</f>
        <v>0</v>
      </c>
      <c r="DJ123" s="2907"/>
      <c r="DK123" s="2907"/>
      <c r="DL123" s="1073">
        <f>IF(DJ123=0,0,(DK123-DJ123)/DJ123*100)</f>
        <v>0</v>
      </c>
      <c r="DM123" s="2907"/>
      <c r="DN123" s="2907"/>
      <c r="DO123" s="1073">
        <f>IF(DM123=0,0,(DN123-DM123)/DM123*100)</f>
        <v>0</v>
      </c>
      <c r="DP123" s="2907"/>
      <c r="DQ123" s="2907"/>
      <c r="DR123" s="1073">
        <f>IF(DP123=0,0,(DQ123-DP123)/DP123*100)</f>
        <v>0</v>
      </c>
      <c r="DS123" s="2907"/>
      <c r="DT123" s="2907"/>
      <c r="DU123" s="1073">
        <f>IF(DS123=0,0,(DT123-DS123)/DS123*100)</f>
        <v>0</v>
      </c>
      <c r="DV123" s="2907"/>
      <c r="DW123" s="2907"/>
      <c r="DX123" s="1073">
        <f>IF(DV123=0,0,(DW123-DV123)/DV123*100)</f>
        <v>0</v>
      </c>
      <c r="DY123" s="2907"/>
      <c r="DZ123" s="2907"/>
      <c r="EA123" s="1073">
        <f>IF(DY123=0,0,(DZ123-DY123)/DY123*100)</f>
        <v>0</v>
      </c>
      <c r="EB123" s="2907"/>
      <c r="EC123" s="2907"/>
      <c r="ED123" s="1073">
        <f>IF(EB123=0,0,(EC123-EB123)/EB123*100)</f>
        <v>0</v>
      </c>
      <c r="EE123" s="2907"/>
      <c r="EF123" s="2907"/>
      <c r="EG123" s="1073">
        <f>IF(EE123=0,0,(EF123-EE123)/EE123*100)</f>
        <v>0</v>
      </c>
      <c r="EH123" s="2907"/>
      <c r="EI123" s="2907"/>
      <c r="EJ123" s="1073">
        <f>IF(EH123=0,0,(EI123-EH123)/EH123*100)</f>
        <v>0</v>
      </c>
      <c r="EK123" s="2907"/>
      <c r="EL123" s="2907"/>
      <c r="EM123" s="1073">
        <f>IF(EK123=0,0,(EL123-EK123)/EK123*100)</f>
        <v>0</v>
      </c>
      <c r="EN123" s="2907"/>
      <c r="EO123" s="2907"/>
      <c r="EP123" s="1073">
        <f>IF(EN123=0,0,(EO123-EN123)/EN123*100)</f>
        <v>0</v>
      </c>
      <c r="EQ123" s="2907"/>
      <c r="ER123" s="2907"/>
      <c r="ES123" s="1073">
        <f>IF(EQ123=0,0,(ER123-EQ123)/EQ123*100)</f>
        <v>0</v>
      </c>
      <c r="ET123" s="2907"/>
      <c r="EU123" s="2907"/>
      <c r="EV123" s="1073">
        <f>IF(ET123=0,0,(EU123-ET123)/ET123*100)</f>
        <v>0</v>
      </c>
      <c r="EW123" s="2907"/>
      <c r="EX123" s="2907"/>
      <c r="EY123" s="1073">
        <f>IF(EW123=0,0,(EX123-EW123)/EW123*100)</f>
        <v>0</v>
      </c>
      <c r="EZ123" s="2907"/>
      <c r="FA123" s="2907"/>
      <c r="FB123" s="1073">
        <f>IF(EZ123=0,0,(FA123-EZ123)/EZ123*100)</f>
        <v>0</v>
      </c>
      <c r="FC123" s="2907"/>
      <c r="FD123" s="2907"/>
      <c r="FE123" s="1073">
        <f>IF(FC123=0,0,(FD123-FC123)/FC123*100)</f>
        <v>0</v>
      </c>
      <c r="FF123" s="2907"/>
      <c r="FG123" s="2907"/>
      <c r="FH123" s="1073">
        <f>IF(FF123=0,0,(FG123-FF123)/FF123*100)</f>
        <v>0</v>
      </c>
      <c r="FI123" s="2907"/>
      <c r="FJ123" s="2907"/>
      <c r="FK123" s="1073">
        <f>IF(FI123=0,0,(FJ123-FI123)/FI123*100)</f>
        <v>0</v>
      </c>
      <c r="FL123" s="2907"/>
      <c r="FM123" s="2907"/>
      <c r="FN123" s="1073">
        <f>IF(FL123=0,0,(FM123-FL123)/FL123*100)</f>
        <v>0</v>
      </c>
      <c r="FO123" s="2907"/>
      <c r="FP123" s="2907"/>
      <c r="FQ123" s="1073">
        <f>IF(FO123=0,0,(FP123-FO123)/FO123*100)</f>
        <v>0</v>
      </c>
      <c r="FR123" s="2907"/>
      <c r="FS123" s="2907"/>
      <c r="FT123" s="1073">
        <f>IF(FR123=0,0,(FS123-FR123)/FR123*100)</f>
        <v>0</v>
      </c>
      <c r="FU123" s="2907"/>
      <c r="FV123" s="2907"/>
      <c r="FW123" s="1073">
        <f>IF(FU123=0,0,(FV123-FU123)/FU123*100)</f>
        <v>0</v>
      </c>
      <c r="FX123" s="1282"/>
      <c r="FY123" s="1282"/>
      <c r="FZ123" s="1032" t="s">
        <v>1540</v>
      </c>
      <c r="GA123" s="1284"/>
      <c r="GB123" s="1284"/>
      <c r="GC123" s="1283"/>
      <c r="GD123" s="1283"/>
    </row>
    <row s="1624" customFormat="1" customHeight="1" ht="21.75" hidden="1">
      <c r="A124" s="466"/>
      <c r="B124" s="901" cm="1" t="str">
        <f t="array" ref="B124:B124">B123</f>
        <v>false</v>
      </c>
      <c r="C124" s="466"/>
      <c r="D124" s="466"/>
      <c r="E124" s="816">
        <v>22.5</v>
      </c>
      <c r="F124" s="50" cm="1" t="str">
        <f t="array" ref="F124:F124">OFFSET(E124,-1,1)</f>
        <v>1</v>
      </c>
      <c r="G124" s="466"/>
      <c r="H124" s="466" t="s">
        <v>1515</v>
      </c>
      <c r="I124" s="466" t="s">
        <v>1493</v>
      </c>
      <c r="J124" s="466"/>
      <c r="K124" s="466"/>
      <c r="L124" s="466"/>
      <c r="M124" s="466"/>
      <c r="N124" s="466"/>
      <c r="O124" s="466"/>
      <c r="P124" s="466"/>
      <c r="Q124" s="466"/>
      <c r="R124" s="466"/>
      <c r="S124" s="466"/>
      <c r="T124" s="438" cm="1" t="str">
        <f t="array" ref="T124:T124">T123</f>
        <v>true</v>
      </c>
      <c r="U124" s="466"/>
      <c r="V124" s="466"/>
      <c r="W124" s="466"/>
      <c r="X124" s="1541"/>
      <c r="Y124" s="466"/>
      <c r="Z124" s="1493"/>
      <c r="AA124" s="466"/>
      <c r="AB124" s="880" t="str">
        <f>"ставка платы за содержание системы "&amp;IF(Q85="Водоснабжение","холодного водоснабжения","водоотведения")</f>
        <v>ставка платы за содержание системы водоотведения</v>
      </c>
      <c r="AC124" s="840" t="s">
        <v>1516</v>
      </c>
      <c r="AD124" s="2912"/>
      <c r="AE124" s="2912"/>
      <c r="AF124" s="1071">
        <f>IF(AD124=0,0,(AE124-AD124)/AD124*100)</f>
        <v>0</v>
      </c>
      <c r="AG124" s="2912"/>
      <c r="AH124" s="2912"/>
      <c r="AI124" s="1071">
        <f>IF(AG124=0,0,(AH124-AG124)/AG124*100)</f>
        <v>0</v>
      </c>
      <c r="AJ124" s="2912"/>
      <c r="AK124" s="2912"/>
      <c r="AL124" s="1071">
        <f>IF(AJ124=0,0,(AK124-AJ124)/AJ124*100)</f>
        <v>0</v>
      </c>
      <c r="AM124" s="2912"/>
      <c r="AN124" s="2912"/>
      <c r="AO124" s="1071">
        <f>IF(AM124=0,0,(AN124-AM124)/AM124*100)</f>
        <v>0</v>
      </c>
      <c r="AP124" s="2912"/>
      <c r="AQ124" s="2912"/>
      <c r="AR124" s="1071">
        <f>IF(AP124=0,0,(AQ124-AP124)/AP124*100)</f>
        <v>0</v>
      </c>
      <c r="AS124" s="2912"/>
      <c r="AT124" s="2912"/>
      <c r="AU124" s="1071">
        <f>IF(AS124=0,0,(AT124-AS124)/AS124*100)</f>
        <v>0</v>
      </c>
      <c r="AV124" s="2912"/>
      <c r="AW124" s="2912"/>
      <c r="AX124" s="1071">
        <f>IF(AV124=0,0,(AW124-AV124)/AV124*100)</f>
        <v>0</v>
      </c>
      <c r="AY124" s="2912"/>
      <c r="AZ124" s="2912"/>
      <c r="BA124" s="1071">
        <f>IF(AY124=0,0,(AZ124-AY124)/AY124*100)</f>
        <v>0</v>
      </c>
      <c r="BB124" s="2912"/>
      <c r="BC124" s="2912"/>
      <c r="BD124" s="1071">
        <f>IF(BB124=0,0,(BC124-BB124)/BB124*100)</f>
        <v>0</v>
      </c>
      <c r="BE124" s="2912"/>
      <c r="BF124" s="2912"/>
      <c r="BG124" s="1071">
        <f>IF(BE124=0,0,(BF124-BE124)/BE124*100)</f>
        <v>0</v>
      </c>
      <c r="BH124" s="2912"/>
      <c r="BI124" s="2912"/>
      <c r="BJ124" s="1071">
        <f>IF(BH124=0,0,(BI124-BH124)/BH124*100)</f>
        <v>0</v>
      </c>
      <c r="BK124" s="2912"/>
      <c r="BL124" s="2912"/>
      <c r="BM124" s="1071">
        <f>IF(BK124=0,0,(BL124-BK124)/BK124*100)</f>
        <v>0</v>
      </c>
      <c r="BN124" s="2912"/>
      <c r="BO124" s="2912"/>
      <c r="BP124" s="1071">
        <f>IF(BN124=0,0,(BO124-BN124)/BN124*100)</f>
        <v>0</v>
      </c>
      <c r="BQ124" s="2912"/>
      <c r="BR124" s="2912"/>
      <c r="BS124" s="1071">
        <f>IF(BQ124=0,0,(BR124-BQ124)/BQ124*100)</f>
        <v>0</v>
      </c>
      <c r="BT124" s="2912"/>
      <c r="BU124" s="2912"/>
      <c r="BV124" s="1071">
        <f>IF(BT124=0,0,(BU124-BT124)/BT124*100)</f>
        <v>0</v>
      </c>
      <c r="BW124" s="2912"/>
      <c r="BX124" s="2912"/>
      <c r="BY124" s="1071">
        <f>IF(BW124=0,0,(BX124-BW124)/BW124*100)</f>
        <v>0</v>
      </c>
      <c r="BZ124" s="2912"/>
      <c r="CA124" s="2912"/>
      <c r="CB124" s="1071">
        <f>IF(BZ124=0,0,(CA124-BZ124)/BZ124*100)</f>
        <v>0</v>
      </c>
      <c r="CC124" s="2912"/>
      <c r="CD124" s="2912"/>
      <c r="CE124" s="1071">
        <f>IF(CC124=0,0,(CD124-CC124)/CC124*100)</f>
        <v>0</v>
      </c>
      <c r="CF124" s="2912"/>
      <c r="CG124" s="2912"/>
      <c r="CH124" s="1071">
        <f>IF(CF124=0,0,(CG124-CF124)/CF124*100)</f>
        <v>0</v>
      </c>
      <c r="CI124" s="2912"/>
      <c r="CJ124" s="2912"/>
      <c r="CK124" s="1071">
        <f>IF(CI124=0,0,(CJ124-CI124)/CI124*100)</f>
        <v>0</v>
      </c>
      <c r="CL124" s="2912"/>
      <c r="CM124" s="2912"/>
      <c r="CN124" s="1071">
        <f>IF(CL124=0,0,(CM124-CL124)/CL124*100)</f>
        <v>0</v>
      </c>
      <c r="CO124" s="2912"/>
      <c r="CP124" s="2912"/>
      <c r="CQ124" s="1071">
        <f>IF(CO124=0,0,(CP124-CO124)/CO124*100)</f>
        <v>0</v>
      </c>
      <c r="CR124" s="2912"/>
      <c r="CS124" s="2912"/>
      <c r="CT124" s="1071">
        <f>IF(CR124=0,0,(CS124-CR124)/CR124*100)</f>
        <v>0</v>
      </c>
      <c r="CU124" s="2912"/>
      <c r="CV124" s="2912"/>
      <c r="CW124" s="1071">
        <f>IF(CU124=0,0,(CV124-CU124)/CU124*100)</f>
        <v>0</v>
      </c>
      <c r="CX124" s="2912"/>
      <c r="CY124" s="2912"/>
      <c r="CZ124" s="1071">
        <f>IF(CX124=0,0,(CY124-CX124)/CX124*100)</f>
        <v>0</v>
      </c>
      <c r="DA124" s="2912"/>
      <c r="DB124" s="2912"/>
      <c r="DC124" s="1071">
        <f>IF(DA124=0,0,(DB124-DA124)/DA124*100)</f>
        <v>0</v>
      </c>
      <c r="DD124" s="2912"/>
      <c r="DE124" s="2912"/>
      <c r="DF124" s="1071">
        <f>IF(DD124=0,0,(DE124-DD124)/DD124*100)</f>
        <v>0</v>
      </c>
      <c r="DG124" s="2912"/>
      <c r="DH124" s="2912"/>
      <c r="DI124" s="1071">
        <f>IF(DG124=0,0,(DH124-DG124)/DG124*100)</f>
        <v>0</v>
      </c>
      <c r="DJ124" s="2912"/>
      <c r="DK124" s="2912"/>
      <c r="DL124" s="1071">
        <f>IF(DJ124=0,0,(DK124-DJ124)/DJ124*100)</f>
        <v>0</v>
      </c>
      <c r="DM124" s="2912"/>
      <c r="DN124" s="2912"/>
      <c r="DO124" s="1071">
        <f>IF(DM124=0,0,(DN124-DM124)/DM124*100)</f>
        <v>0</v>
      </c>
      <c r="DP124" s="2912"/>
      <c r="DQ124" s="2912"/>
      <c r="DR124" s="1071">
        <f>IF(DP124=0,0,(DQ124-DP124)/DP124*100)</f>
        <v>0</v>
      </c>
      <c r="DS124" s="2912"/>
      <c r="DT124" s="2912"/>
      <c r="DU124" s="1071">
        <f>IF(DS124=0,0,(DT124-DS124)/DS124*100)</f>
        <v>0</v>
      </c>
      <c r="DV124" s="2912"/>
      <c r="DW124" s="2912"/>
      <c r="DX124" s="1071">
        <f>IF(DV124=0,0,(DW124-DV124)/DV124*100)</f>
        <v>0</v>
      </c>
      <c r="DY124" s="2912"/>
      <c r="DZ124" s="2912"/>
      <c r="EA124" s="1071">
        <f>IF(DY124=0,0,(DZ124-DY124)/DY124*100)</f>
        <v>0</v>
      </c>
      <c r="EB124" s="2912"/>
      <c r="EC124" s="2912"/>
      <c r="ED124" s="1071">
        <f>IF(EB124=0,0,(EC124-EB124)/EB124*100)</f>
        <v>0</v>
      </c>
      <c r="EE124" s="2912"/>
      <c r="EF124" s="2912"/>
      <c r="EG124" s="1071">
        <f>IF(EE124=0,0,(EF124-EE124)/EE124*100)</f>
        <v>0</v>
      </c>
      <c r="EH124" s="2912"/>
      <c r="EI124" s="2912"/>
      <c r="EJ124" s="1071">
        <f>IF(EH124=0,0,(EI124-EH124)/EH124*100)</f>
        <v>0</v>
      </c>
      <c r="EK124" s="2912"/>
      <c r="EL124" s="2912"/>
      <c r="EM124" s="1071">
        <f>IF(EK124=0,0,(EL124-EK124)/EK124*100)</f>
        <v>0</v>
      </c>
      <c r="EN124" s="2912"/>
      <c r="EO124" s="2912"/>
      <c r="EP124" s="1071">
        <f>IF(EN124=0,0,(EO124-EN124)/EN124*100)</f>
        <v>0</v>
      </c>
      <c r="EQ124" s="2912"/>
      <c r="ER124" s="2912"/>
      <c r="ES124" s="1071">
        <f>IF(EQ124=0,0,(ER124-EQ124)/EQ124*100)</f>
        <v>0</v>
      </c>
      <c r="ET124" s="2912"/>
      <c r="EU124" s="2912"/>
      <c r="EV124" s="1071">
        <f>IF(ET124=0,0,(EU124-ET124)/ET124*100)</f>
        <v>0</v>
      </c>
      <c r="EW124" s="2912"/>
      <c r="EX124" s="2912"/>
      <c r="EY124" s="1071">
        <f>IF(EW124=0,0,(EX124-EW124)/EW124*100)</f>
        <v>0</v>
      </c>
      <c r="EZ124" s="2912"/>
      <c r="FA124" s="2912"/>
      <c r="FB124" s="1071">
        <f>IF(EZ124=0,0,(FA124-EZ124)/EZ124*100)</f>
        <v>0</v>
      </c>
      <c r="FC124" s="2912"/>
      <c r="FD124" s="2912"/>
      <c r="FE124" s="1071">
        <f>IF(FC124=0,0,(FD124-FC124)/FC124*100)</f>
        <v>0</v>
      </c>
      <c r="FF124" s="2912"/>
      <c r="FG124" s="2912"/>
      <c r="FH124" s="1071">
        <f>IF(FF124=0,0,(FG124-FF124)/FF124*100)</f>
        <v>0</v>
      </c>
      <c r="FI124" s="2912"/>
      <c r="FJ124" s="2912"/>
      <c r="FK124" s="1071">
        <f>IF(FI124=0,0,(FJ124-FI124)/FI124*100)</f>
        <v>0</v>
      </c>
      <c r="FL124" s="2912"/>
      <c r="FM124" s="2912"/>
      <c r="FN124" s="1071">
        <f>IF(FL124=0,0,(FM124-FL124)/FL124*100)</f>
        <v>0</v>
      </c>
      <c r="FO124" s="2912"/>
      <c r="FP124" s="2912"/>
      <c r="FQ124" s="1071">
        <f>IF(FO124=0,0,(FP124-FO124)/FO124*100)</f>
        <v>0</v>
      </c>
      <c r="FR124" s="2912"/>
      <c r="FS124" s="2912"/>
      <c r="FT124" s="1071">
        <f>IF(FR124=0,0,(FS124-FR124)/FR124*100)</f>
        <v>0</v>
      </c>
      <c r="FU124" s="2912"/>
      <c r="FV124" s="2912"/>
      <c r="FW124" s="1071">
        <f>IF(FU124=0,0,(FV124-FU124)/FU124*100)</f>
        <v>0</v>
      </c>
      <c r="FX124" s="1282"/>
      <c r="FY124" s="1282"/>
      <c r="FZ124" s="1032" t="s">
        <v>1541</v>
      </c>
      <c r="GA124" s="1284"/>
      <c r="GB124" s="1284"/>
      <c r="GC124" s="1283"/>
      <c r="GD124" s="1283"/>
    </row>
    <row s="1624" customFormat="1" customHeight="1" ht="14.25" hidden="1">
      <c r="A125" s="466"/>
      <c r="B125" s="901" cm="1" t="str">
        <f t="array" ref="B125:B125">B124</f>
        <v>false</v>
      </c>
      <c r="C125" s="466"/>
      <c r="D125" s="466"/>
      <c r="E125" s="816">
        <v>15</v>
      </c>
      <c r="F125" s="50" cm="1" t="str">
        <f t="array" ref="F125:F125">OFFSET(E125,-1,1)</f>
        <v>1</v>
      </c>
      <c r="G125" s="466"/>
      <c r="H125" s="466" t="s">
        <v>1518</v>
      </c>
      <c r="I125" s="466" t="s">
        <v>1493</v>
      </c>
      <c r="J125" s="466"/>
      <c r="K125" s="466"/>
      <c r="L125" s="466"/>
      <c r="M125" s="466"/>
      <c r="N125" s="466"/>
      <c r="O125" s="466"/>
      <c r="P125" s="466"/>
      <c r="Q125" s="466"/>
      <c r="R125" s="466"/>
      <c r="S125" s="466"/>
      <c r="T125" s="438" cm="1" t="str">
        <f t="array" ref="T125:T125">T124</f>
        <v>true</v>
      </c>
      <c r="U125" s="466"/>
      <c r="V125" s="466"/>
      <c r="W125" s="466"/>
      <c r="X125" s="1541"/>
      <c r="Y125" s="466"/>
      <c r="Z125" s="1493"/>
      <c r="AA125" s="466"/>
      <c r="AB125" s="880" t="s">
        <v>1519</v>
      </c>
      <c r="AC125" s="840" t="s">
        <v>1520</v>
      </c>
      <c r="AD125" s="2912"/>
      <c r="AE125" s="2912"/>
      <c r="AF125" s="1071">
        <f>IF(AD125=0,0,(AE125-AD125)/AD125*100)</f>
        <v>0</v>
      </c>
      <c r="AG125" s="2912"/>
      <c r="AH125" s="2912"/>
      <c r="AI125" s="1071">
        <f>IF(AG125=0,0,(AH125-AG125)/AG125*100)</f>
        <v>0</v>
      </c>
      <c r="AJ125" s="2912"/>
      <c r="AK125" s="2912"/>
      <c r="AL125" s="1071">
        <f>IF(AJ125=0,0,(AK125-AJ125)/AJ125*100)</f>
        <v>0</v>
      </c>
      <c r="AM125" s="2912"/>
      <c r="AN125" s="2912"/>
      <c r="AO125" s="1071">
        <f>IF(AM125=0,0,(AN125-AM125)/AM125*100)</f>
        <v>0</v>
      </c>
      <c r="AP125" s="2912"/>
      <c r="AQ125" s="2912"/>
      <c r="AR125" s="1071">
        <f>IF(AP125=0,0,(AQ125-AP125)/AP125*100)</f>
        <v>0</v>
      </c>
      <c r="AS125" s="2912"/>
      <c r="AT125" s="2912"/>
      <c r="AU125" s="1071">
        <f>IF(AS125=0,0,(AT125-AS125)/AS125*100)</f>
        <v>0</v>
      </c>
      <c r="AV125" s="2912"/>
      <c r="AW125" s="2912"/>
      <c r="AX125" s="1071">
        <f>IF(AV125=0,0,(AW125-AV125)/AV125*100)</f>
        <v>0</v>
      </c>
      <c r="AY125" s="2912"/>
      <c r="AZ125" s="2912"/>
      <c r="BA125" s="1071">
        <f>IF(AY125=0,0,(AZ125-AY125)/AY125*100)</f>
        <v>0</v>
      </c>
      <c r="BB125" s="2912"/>
      <c r="BC125" s="2912"/>
      <c r="BD125" s="1071">
        <f>IF(BB125=0,0,(BC125-BB125)/BB125*100)</f>
        <v>0</v>
      </c>
      <c r="BE125" s="2912"/>
      <c r="BF125" s="2912"/>
      <c r="BG125" s="1071">
        <f>IF(BE125=0,0,(BF125-BE125)/BE125*100)</f>
        <v>0</v>
      </c>
      <c r="BH125" s="2912"/>
      <c r="BI125" s="2912"/>
      <c r="BJ125" s="1071">
        <f>IF(BH125=0,0,(BI125-BH125)/BH125*100)</f>
        <v>0</v>
      </c>
      <c r="BK125" s="2912"/>
      <c r="BL125" s="2912"/>
      <c r="BM125" s="1071">
        <f>IF(BK125=0,0,(BL125-BK125)/BK125*100)</f>
        <v>0</v>
      </c>
      <c r="BN125" s="2912"/>
      <c r="BO125" s="2912"/>
      <c r="BP125" s="1071">
        <f>IF(BN125=0,0,(BO125-BN125)/BN125*100)</f>
        <v>0</v>
      </c>
      <c r="BQ125" s="2912"/>
      <c r="BR125" s="2912"/>
      <c r="BS125" s="1071">
        <f>IF(BQ125=0,0,(BR125-BQ125)/BQ125*100)</f>
        <v>0</v>
      </c>
      <c r="BT125" s="2912"/>
      <c r="BU125" s="2912"/>
      <c r="BV125" s="1071">
        <f>IF(BT125=0,0,(BU125-BT125)/BT125*100)</f>
        <v>0</v>
      </c>
      <c r="BW125" s="2912"/>
      <c r="BX125" s="2912"/>
      <c r="BY125" s="1071">
        <f>IF(BW125=0,0,(BX125-BW125)/BW125*100)</f>
        <v>0</v>
      </c>
      <c r="BZ125" s="2912"/>
      <c r="CA125" s="2912"/>
      <c r="CB125" s="1071">
        <f>IF(BZ125=0,0,(CA125-BZ125)/BZ125*100)</f>
        <v>0</v>
      </c>
      <c r="CC125" s="2912"/>
      <c r="CD125" s="2912"/>
      <c r="CE125" s="1071">
        <f>IF(CC125=0,0,(CD125-CC125)/CC125*100)</f>
        <v>0</v>
      </c>
      <c r="CF125" s="2912"/>
      <c r="CG125" s="2912"/>
      <c r="CH125" s="1071">
        <f>IF(CF125=0,0,(CG125-CF125)/CF125*100)</f>
        <v>0</v>
      </c>
      <c r="CI125" s="2912"/>
      <c r="CJ125" s="2912"/>
      <c r="CK125" s="1071">
        <f>IF(CI125=0,0,(CJ125-CI125)/CI125*100)</f>
        <v>0</v>
      </c>
      <c r="CL125" s="2912"/>
      <c r="CM125" s="2912"/>
      <c r="CN125" s="1071">
        <f>IF(CL125=0,0,(CM125-CL125)/CL125*100)</f>
        <v>0</v>
      </c>
      <c r="CO125" s="2912"/>
      <c r="CP125" s="2912"/>
      <c r="CQ125" s="1071">
        <f>IF(CO125=0,0,(CP125-CO125)/CO125*100)</f>
        <v>0</v>
      </c>
      <c r="CR125" s="2912"/>
      <c r="CS125" s="2912"/>
      <c r="CT125" s="1071">
        <f>IF(CR125=0,0,(CS125-CR125)/CR125*100)</f>
        <v>0</v>
      </c>
      <c r="CU125" s="2912"/>
      <c r="CV125" s="2912"/>
      <c r="CW125" s="1071">
        <f>IF(CU125=0,0,(CV125-CU125)/CU125*100)</f>
        <v>0</v>
      </c>
      <c r="CX125" s="2912"/>
      <c r="CY125" s="2912"/>
      <c r="CZ125" s="1071">
        <f>IF(CX125=0,0,(CY125-CX125)/CX125*100)</f>
        <v>0</v>
      </c>
      <c r="DA125" s="2912"/>
      <c r="DB125" s="2912"/>
      <c r="DC125" s="1071">
        <f>IF(DA125=0,0,(DB125-DA125)/DA125*100)</f>
        <v>0</v>
      </c>
      <c r="DD125" s="2912"/>
      <c r="DE125" s="2912"/>
      <c r="DF125" s="1071">
        <f>IF(DD125=0,0,(DE125-DD125)/DD125*100)</f>
        <v>0</v>
      </c>
      <c r="DG125" s="2912"/>
      <c r="DH125" s="2912"/>
      <c r="DI125" s="1071">
        <f>IF(DG125=0,0,(DH125-DG125)/DG125*100)</f>
        <v>0</v>
      </c>
      <c r="DJ125" s="2912"/>
      <c r="DK125" s="2912"/>
      <c r="DL125" s="1071">
        <f>IF(DJ125=0,0,(DK125-DJ125)/DJ125*100)</f>
        <v>0</v>
      </c>
      <c r="DM125" s="2912"/>
      <c r="DN125" s="2912"/>
      <c r="DO125" s="1071">
        <f>IF(DM125=0,0,(DN125-DM125)/DM125*100)</f>
        <v>0</v>
      </c>
      <c r="DP125" s="2912"/>
      <c r="DQ125" s="2912"/>
      <c r="DR125" s="1071">
        <f>IF(DP125=0,0,(DQ125-DP125)/DP125*100)</f>
        <v>0</v>
      </c>
      <c r="DS125" s="2912"/>
      <c r="DT125" s="2912"/>
      <c r="DU125" s="1071">
        <f>IF(DS125=0,0,(DT125-DS125)/DS125*100)</f>
        <v>0</v>
      </c>
      <c r="DV125" s="2912"/>
      <c r="DW125" s="2912"/>
      <c r="DX125" s="1071">
        <f>IF(DV125=0,0,(DW125-DV125)/DV125*100)</f>
        <v>0</v>
      </c>
      <c r="DY125" s="2912"/>
      <c r="DZ125" s="2912"/>
      <c r="EA125" s="1071">
        <f>IF(DY125=0,0,(DZ125-DY125)/DY125*100)</f>
        <v>0</v>
      </c>
      <c r="EB125" s="2912"/>
      <c r="EC125" s="2912"/>
      <c r="ED125" s="1071">
        <f>IF(EB125=0,0,(EC125-EB125)/EB125*100)</f>
        <v>0</v>
      </c>
      <c r="EE125" s="2912"/>
      <c r="EF125" s="2912"/>
      <c r="EG125" s="1071">
        <f>IF(EE125=0,0,(EF125-EE125)/EE125*100)</f>
        <v>0</v>
      </c>
      <c r="EH125" s="2912"/>
      <c r="EI125" s="2912"/>
      <c r="EJ125" s="1071">
        <f>IF(EH125=0,0,(EI125-EH125)/EH125*100)</f>
        <v>0</v>
      </c>
      <c r="EK125" s="2912"/>
      <c r="EL125" s="2912"/>
      <c r="EM125" s="1071">
        <f>IF(EK125=0,0,(EL125-EK125)/EK125*100)</f>
        <v>0</v>
      </c>
      <c r="EN125" s="2912"/>
      <c r="EO125" s="2912"/>
      <c r="EP125" s="1071">
        <f>IF(EN125=0,0,(EO125-EN125)/EN125*100)</f>
        <v>0</v>
      </c>
      <c r="EQ125" s="2912"/>
      <c r="ER125" s="2912"/>
      <c r="ES125" s="1071">
        <f>IF(EQ125=0,0,(ER125-EQ125)/EQ125*100)</f>
        <v>0</v>
      </c>
      <c r="ET125" s="2912"/>
      <c r="EU125" s="2912"/>
      <c r="EV125" s="1071">
        <f>IF(ET125=0,0,(EU125-ET125)/ET125*100)</f>
        <v>0</v>
      </c>
      <c r="EW125" s="2912"/>
      <c r="EX125" s="2912"/>
      <c r="EY125" s="1071">
        <f>IF(EW125=0,0,(EX125-EW125)/EW125*100)</f>
        <v>0</v>
      </c>
      <c r="EZ125" s="2912"/>
      <c r="FA125" s="2912"/>
      <c r="FB125" s="1071">
        <f>IF(EZ125=0,0,(FA125-EZ125)/EZ125*100)</f>
        <v>0</v>
      </c>
      <c r="FC125" s="2912"/>
      <c r="FD125" s="2912"/>
      <c r="FE125" s="1071">
        <f>IF(FC125=0,0,(FD125-FC125)/FC125*100)</f>
        <v>0</v>
      </c>
      <c r="FF125" s="2912"/>
      <c r="FG125" s="2912"/>
      <c r="FH125" s="1071">
        <f>IF(FF125=0,0,(FG125-FF125)/FF125*100)</f>
        <v>0</v>
      </c>
      <c r="FI125" s="2912"/>
      <c r="FJ125" s="2912"/>
      <c r="FK125" s="1071">
        <f>IF(FI125=0,0,(FJ125-FI125)/FI125*100)</f>
        <v>0</v>
      </c>
      <c r="FL125" s="2912"/>
      <c r="FM125" s="2912"/>
      <c r="FN125" s="1071">
        <f>IF(FL125=0,0,(FM125-FL125)/FL125*100)</f>
        <v>0</v>
      </c>
      <c r="FO125" s="2912"/>
      <c r="FP125" s="2912"/>
      <c r="FQ125" s="1071">
        <f>IF(FO125=0,0,(FP125-FO125)/FO125*100)</f>
        <v>0</v>
      </c>
      <c r="FR125" s="2912"/>
      <c r="FS125" s="2912"/>
      <c r="FT125" s="1071">
        <f>IF(FR125=0,0,(FS125-FR125)/FR125*100)</f>
        <v>0</v>
      </c>
      <c r="FU125" s="2912"/>
      <c r="FV125" s="2912"/>
      <c r="FW125" s="1071">
        <f>IF(FU125=0,0,(FV125-FU125)/FU125*100)</f>
        <v>0</v>
      </c>
      <c r="FX125" s="1282"/>
      <c r="FY125" s="1282"/>
      <c r="FZ125" s="1032" t="s">
        <v>1542</v>
      </c>
      <c r="GA125" s="1284"/>
      <c r="GB125" s="1284"/>
      <c r="GC125" s="1283"/>
      <c r="GD125" s="1283"/>
    </row>
    <row s="1624" customFormat="1" customHeight="1" ht="18" hidden="1">
      <c r="A126" s="466"/>
      <c r="B126" s="901" cm="1" t="str">
        <f t="array" ref="B126:B126">B125</f>
        <v>false</v>
      </c>
      <c r="C126" s="466"/>
      <c r="D126" s="466"/>
      <c r="E126" s="816">
        <v>18.75</v>
      </c>
      <c r="F126" s="50" cm="1" t="str">
        <f t="array" ref="F126:F126">OFFSET(E126,-1,1)</f>
        <v>1</v>
      </c>
      <c r="G126" s="466"/>
      <c r="H126" s="466"/>
      <c r="I126" s="466"/>
      <c r="J126" s="466"/>
      <c r="K126" s="466"/>
      <c r="L126" s="466"/>
      <c r="M126" s="466"/>
      <c r="N126" s="466"/>
      <c r="O126" s="466"/>
      <c r="P126" s="466"/>
      <c r="Q126" s="466"/>
      <c r="R126" s="466"/>
      <c r="S126" s="466"/>
      <c r="T126" s="438">
        <f>AND(F126&gt;0,Y126&gt;0)</f>
        <v>0</v>
      </c>
      <c r="U126" s="466"/>
      <c r="V126" s="466"/>
      <c r="W126" s="466" t="s">
        <v>172</v>
      </c>
      <c r="X126" s="1541"/>
      <c r="Y126" s="1541">
        <v>0</v>
      </c>
      <c r="Z126" s="1493"/>
      <c r="AA126" s="1442" t="s">
        <v>173</v>
      </c>
      <c r="AB126" s="2911"/>
      <c r="AC126" s="841"/>
      <c r="AD126" s="1083"/>
      <c r="AE126" s="1084"/>
      <c r="AF126" s="1084"/>
      <c r="AG126" s="1083"/>
      <c r="AH126" s="1084"/>
      <c r="AI126" s="1084"/>
      <c r="AJ126" s="1083"/>
      <c r="AK126" s="1084"/>
      <c r="AL126" s="1084"/>
      <c r="AM126" s="1083"/>
      <c r="AN126" s="1084"/>
      <c r="AO126" s="1084"/>
      <c r="AP126" s="1083"/>
      <c r="AQ126" s="1084"/>
      <c r="AR126" s="1084"/>
      <c r="AS126" s="1083"/>
      <c r="AT126" s="1084"/>
      <c r="AU126" s="1084"/>
      <c r="AV126" s="1083"/>
      <c r="AW126" s="1084"/>
      <c r="AX126" s="1084"/>
      <c r="AY126" s="1083"/>
      <c r="AZ126" s="1084"/>
      <c r="BA126" s="1084"/>
      <c r="BB126" s="1083"/>
      <c r="BC126" s="1084"/>
      <c r="BD126" s="1084"/>
      <c r="BE126" s="1083"/>
      <c r="BF126" s="1084"/>
      <c r="BG126" s="1084"/>
      <c r="BH126" s="1083"/>
      <c r="BI126" s="1084"/>
      <c r="BJ126" s="1084"/>
      <c r="BK126" s="1083"/>
      <c r="BL126" s="1084"/>
      <c r="BM126" s="1084"/>
      <c r="BN126" s="1083"/>
      <c r="BO126" s="1084"/>
      <c r="BP126" s="1084"/>
      <c r="BQ126" s="1083"/>
      <c r="BR126" s="1084"/>
      <c r="BS126" s="1084"/>
      <c r="BT126" s="1083"/>
      <c r="BU126" s="1084"/>
      <c r="BV126" s="1084"/>
      <c r="BW126" s="1083"/>
      <c r="BX126" s="1084"/>
      <c r="BY126" s="1084"/>
      <c r="BZ126" s="1083"/>
      <c r="CA126" s="1084"/>
      <c r="CB126" s="1084"/>
      <c r="CC126" s="1083"/>
      <c r="CD126" s="1084"/>
      <c r="CE126" s="1084"/>
      <c r="CF126" s="1083"/>
      <c r="CG126" s="1084"/>
      <c r="CH126" s="1084"/>
      <c r="CI126" s="1083"/>
      <c r="CJ126" s="1084"/>
      <c r="CK126" s="1084"/>
      <c r="CL126" s="1083"/>
      <c r="CM126" s="1084"/>
      <c r="CN126" s="1084"/>
      <c r="CO126" s="1083"/>
      <c r="CP126" s="1084"/>
      <c r="CQ126" s="1084"/>
      <c r="CR126" s="1083"/>
      <c r="CS126" s="1084"/>
      <c r="CT126" s="1084"/>
      <c r="CU126" s="1083"/>
      <c r="CV126" s="1084"/>
      <c r="CW126" s="1084"/>
      <c r="CX126" s="1083"/>
      <c r="CY126" s="1084"/>
      <c r="CZ126" s="1084"/>
      <c r="DA126" s="1083"/>
      <c r="DB126" s="1084"/>
      <c r="DC126" s="1084"/>
      <c r="DD126" s="1083"/>
      <c r="DE126" s="1084"/>
      <c r="DF126" s="1084"/>
      <c r="DG126" s="1083"/>
      <c r="DH126" s="1084"/>
      <c r="DI126" s="1084"/>
      <c r="DJ126" s="1083"/>
      <c r="DK126" s="1084"/>
      <c r="DL126" s="1084"/>
      <c r="DM126" s="1083"/>
      <c r="DN126" s="1084"/>
      <c r="DO126" s="1084"/>
      <c r="DP126" s="1083"/>
      <c r="DQ126" s="1084"/>
      <c r="DR126" s="1084"/>
      <c r="DS126" s="1083"/>
      <c r="DT126" s="1084"/>
      <c r="DU126" s="1084"/>
      <c r="DV126" s="1083"/>
      <c r="DW126" s="1084"/>
      <c r="DX126" s="1084"/>
      <c r="DY126" s="1083"/>
      <c r="DZ126" s="1084"/>
      <c r="EA126" s="1084"/>
      <c r="EB126" s="1083"/>
      <c r="EC126" s="1084"/>
      <c r="ED126" s="1084"/>
      <c r="EE126" s="1083"/>
      <c r="EF126" s="1084"/>
      <c r="EG126" s="1084"/>
      <c r="EH126" s="1083"/>
      <c r="EI126" s="1084"/>
      <c r="EJ126" s="1084"/>
      <c r="EK126" s="1083"/>
      <c r="EL126" s="1084"/>
      <c r="EM126" s="1084"/>
      <c r="EN126" s="1083"/>
      <c r="EO126" s="1084"/>
      <c r="EP126" s="1084"/>
      <c r="EQ126" s="1083"/>
      <c r="ER126" s="1084"/>
      <c r="ES126" s="1084"/>
      <c r="ET126" s="1083"/>
      <c r="EU126" s="1084"/>
      <c r="EV126" s="1084"/>
      <c r="EW126" s="1083"/>
      <c r="EX126" s="1084"/>
      <c r="EY126" s="1084"/>
      <c r="EZ126" s="1083"/>
      <c r="FA126" s="1084"/>
      <c r="FB126" s="1084"/>
      <c r="FC126" s="1083"/>
      <c r="FD126" s="1084"/>
      <c r="FE126" s="1084"/>
      <c r="FF126" s="1083"/>
      <c r="FG126" s="1084"/>
      <c r="FH126" s="1084"/>
      <c r="FI126" s="1083"/>
      <c r="FJ126" s="1084"/>
      <c r="FK126" s="1084"/>
      <c r="FL126" s="1083"/>
      <c r="FM126" s="1084"/>
      <c r="FN126" s="1084"/>
      <c r="FO126" s="1083"/>
      <c r="FP126" s="1084"/>
      <c r="FQ126" s="1084"/>
      <c r="FR126" s="1083"/>
      <c r="FS126" s="1084"/>
      <c r="FT126" s="1084"/>
      <c r="FU126" s="1083"/>
      <c r="FV126" s="1084"/>
      <c r="FW126" s="1085"/>
      <c r="FX126" s="1282"/>
      <c r="FY126" s="1282"/>
      <c r="FZ126" s="1032"/>
      <c r="GA126" s="1284"/>
      <c r="GB126" s="1284"/>
      <c r="GC126" s="1283"/>
      <c r="GD126" s="607" t="b">
        <v>1</v>
      </c>
    </row>
    <row s="1624" customFormat="1" customHeight="1" ht="14.25" hidden="1">
      <c r="A127" s="466"/>
      <c r="B127" s="901" cm="1" t="str">
        <f t="array" ref="B127:B127">B126</f>
        <v>false</v>
      </c>
      <c r="C127" s="466"/>
      <c r="D127" s="466"/>
      <c r="E127" s="816">
        <v>15</v>
      </c>
      <c r="F127" s="50" cm="1" t="str">
        <f t="array" ref="F127:F127">OFFSET(E127,-1,1)</f>
        <v>1</v>
      </c>
      <c r="G127" s="466"/>
      <c r="H127" s="466" t="s">
        <v>1434</v>
      </c>
      <c r="I127" s="466" cm="1" t="str">
        <f t="array" ref="I127:I127">AB126</f>
        <v>0</v>
      </c>
      <c r="J127" s="466"/>
      <c r="K127" s="466"/>
      <c r="L127" s="466"/>
      <c r="M127" s="466"/>
      <c r="N127" s="466"/>
      <c r="O127" s="466"/>
      <c r="P127" s="466"/>
      <c r="Q127" s="466"/>
      <c r="R127" s="466"/>
      <c r="S127" s="466"/>
      <c r="T127" s="438" cm="1" t="str">
        <f t="array" ref="T127:T127">T126</f>
        <v>false</v>
      </c>
      <c r="U127" s="466"/>
      <c r="V127" s="466"/>
      <c r="W127" s="466"/>
      <c r="X127" s="1541"/>
      <c r="Y127" s="1541"/>
      <c r="Z127" s="1493"/>
      <c r="AA127" s="1442"/>
      <c r="AB127" s="880" t="s">
        <v>1509</v>
      </c>
      <c r="AC127" s="840" t="s">
        <v>1476</v>
      </c>
      <c r="AD127" s="2912">
        <f>IF(AD129=0,0,(AD128*AD129+AD130*AD131*IF(god=2026,3,6))/AD129)</f>
        <v>0</v>
      </c>
      <c r="AE127" s="2912">
        <f>IF(AE129=0,0,(AE128*AE129+AE130*AE131*IF(god=2026,3,6))/AE129)</f>
        <v>0</v>
      </c>
      <c r="AF127" s="1071">
        <f>IF(AD127=0,0,(AE127-AD127)/AD127*100)</f>
        <v>0</v>
      </c>
      <c r="AG127" s="2912">
        <f>IF(AG129=0,0,(AG128*AG129+AG130*AG131*IF(god=2025,3,6))/AG129)</f>
        <v>0</v>
      </c>
      <c r="AH127" s="2912">
        <f>IF(AH129=0,0,(AH128*AH129+AH130*AH131*IF(god=2025,3,6))/AH129)</f>
        <v>0</v>
      </c>
      <c r="AI127" s="1071">
        <f>IF(AG127=0,0,(AH127-AG127)/AG127*100)</f>
        <v>0</v>
      </c>
      <c r="AJ127" s="2912">
        <f>IF(AJ129=0,0,(AJ128*AJ129+AJ130*AJ131*6)/AJ129)</f>
        <v>0</v>
      </c>
      <c r="AK127" s="2912">
        <f>IF(AK129=0,0,(AK128*AK129+AK130*AK131*6)/AK129)</f>
        <v>0</v>
      </c>
      <c r="AL127" s="1071">
        <f>IF(AJ127=0,0,(AK127-AJ127)/AJ127*100)</f>
        <v>0</v>
      </c>
      <c r="AM127" s="2912">
        <f>IF(AM129=0,0,(AM128*AM129+AM130*AM131*6)/AM129)</f>
        <v>0</v>
      </c>
      <c r="AN127" s="2912">
        <f>IF(AN129=0,0,(AN128*AN129+AN130*AN131*6)/AN129)</f>
        <v>0</v>
      </c>
      <c r="AO127" s="1071">
        <f>IF(AM127=0,0,(AN127-AM127)/AM127*100)</f>
        <v>0</v>
      </c>
      <c r="AP127" s="2912">
        <f>IF(AP129=0,0,(AP128*AP129+AP130*AP131*6)/AP129)</f>
        <v>0</v>
      </c>
      <c r="AQ127" s="2912">
        <f>IF(AQ129=0,0,(AQ128*AQ129+AQ130*AQ131*6)/AQ129)</f>
        <v>0</v>
      </c>
      <c r="AR127" s="1071">
        <f>IF(AP127=0,0,(AQ127-AP127)/AP127*100)</f>
        <v>0</v>
      </c>
      <c r="AS127" s="2912">
        <f>IF(AS129=0,0,(AS128*AS129+AS130*AS131*6)/AS129)</f>
        <v>0</v>
      </c>
      <c r="AT127" s="2912">
        <f>IF(AT129=0,0,(AT128*AT129+AT130*AT131*6)/AT129)</f>
        <v>0</v>
      </c>
      <c r="AU127" s="1071">
        <f>IF(AS127=0,0,(AT127-AS127)/AS127*100)</f>
        <v>0</v>
      </c>
      <c r="AV127" s="2912">
        <f>IF(AV129=0,0,(AV128*AV129+AV130*AV131*6)/AV129)</f>
        <v>0</v>
      </c>
      <c r="AW127" s="2912">
        <f>IF(AW129=0,0,(AW128*AW129+AW130*AW131*6)/AW129)</f>
        <v>0</v>
      </c>
      <c r="AX127" s="1071">
        <f>IF(AV127=0,0,(AW127-AV127)/AV127*100)</f>
        <v>0</v>
      </c>
      <c r="AY127" s="2912">
        <f>IF(AY129=0,0,(AY128*AY129+AY130*AY131*6)/AY129)</f>
        <v>0</v>
      </c>
      <c r="AZ127" s="2912">
        <f>IF(AZ129=0,0,(AZ128*AZ129+AZ130*AZ131*6)/AZ129)</f>
        <v>0</v>
      </c>
      <c r="BA127" s="1071">
        <f>IF(AY127=0,0,(AZ127-AY127)/AY127*100)</f>
        <v>0</v>
      </c>
      <c r="BB127" s="2912">
        <f>IF(BB129=0,0,(BB128*BB129+BB130*BB131*6)/BB129)</f>
        <v>0</v>
      </c>
      <c r="BC127" s="2912">
        <f>IF(BC129=0,0,(BC128*BC129+BC130*BC131*6)/BC129)</f>
        <v>0</v>
      </c>
      <c r="BD127" s="1071">
        <f>IF(BB127=0,0,(BC127-BB127)/BB127*100)</f>
        <v>0</v>
      </c>
      <c r="BE127" s="2912">
        <f>IF(BE129=0,0,(BE128*BE129+BE130*BE131*6)/BE129)</f>
        <v>0</v>
      </c>
      <c r="BF127" s="2912">
        <f>IF(BF129=0,0,(BF128*BF129+BF130*BF131*6)/BF129)</f>
        <v>0</v>
      </c>
      <c r="BG127" s="1071">
        <f>IF(BE127=0,0,(BF127-BE127)/BE127*100)</f>
        <v>0</v>
      </c>
      <c r="BH127" s="2912">
        <f>IF(BH129=0,0,(BH128*BH129+BH130*BH131*6)/BH129)</f>
        <v>0</v>
      </c>
      <c r="BI127" s="2912">
        <f>IF(BI129=0,0,(BI128*BI129+BI130*BI131*6)/BI129)</f>
        <v>0</v>
      </c>
      <c r="BJ127" s="1071">
        <f>IF(BH127=0,0,(BI127-BH127)/BH127*100)</f>
        <v>0</v>
      </c>
      <c r="BK127" s="2912">
        <f>IF(BK129=0,0,(BK128*BK129+BK130*BK131*6)/BK129)</f>
        <v>0</v>
      </c>
      <c r="BL127" s="2912">
        <f>IF(BL129=0,0,(BL128*BL129+BL130*BL131*6)/BL129)</f>
        <v>0</v>
      </c>
      <c r="BM127" s="1071">
        <f>IF(BK127=0,0,(BL127-BK127)/BK127*100)</f>
        <v>0</v>
      </c>
      <c r="BN127" s="2912">
        <f>IF(BN129=0,0,(BN128*BN129+BN130*BN131*6)/BN129)</f>
        <v>0</v>
      </c>
      <c r="BO127" s="2912">
        <f>IF(BO129=0,0,(BO128*BO129+BO130*BO131*6)/BO129)</f>
        <v>0</v>
      </c>
      <c r="BP127" s="1071">
        <f>IF(BN127=0,0,(BO127-BN127)/BN127*100)</f>
        <v>0</v>
      </c>
      <c r="BQ127" s="2912">
        <f>IF(BQ129=0,0,(BQ128*BQ129+BQ130*BQ131*6)/BQ129)</f>
        <v>0</v>
      </c>
      <c r="BR127" s="2912">
        <f>IF(BR129=0,0,(BR128*BR129+BR130*BR131*6)/BR129)</f>
        <v>0</v>
      </c>
      <c r="BS127" s="1071">
        <f>IF(BQ127=0,0,(BR127-BQ127)/BQ127*100)</f>
        <v>0</v>
      </c>
      <c r="BT127" s="2912">
        <f>IF(BT129=0,0,(BT128*BT129+BT130*BT131*6)/BT129)</f>
        <v>0</v>
      </c>
      <c r="BU127" s="2912">
        <f>IF(BU129=0,0,(BU128*BU129+BU130*BU131*6)/BU129)</f>
        <v>0</v>
      </c>
      <c r="BV127" s="1071">
        <f>IF(BT127=0,0,(BU127-BT127)/BT127*100)</f>
        <v>0</v>
      </c>
      <c r="BW127" s="2912">
        <f>IF(BW129=0,0,(BW128*BW129+BW130*BW131*6)/BW129)</f>
        <v>0</v>
      </c>
      <c r="BX127" s="2912">
        <f>IF(BX129=0,0,(BX128*BX129+BX130*BX131*6)/BX129)</f>
        <v>0</v>
      </c>
      <c r="BY127" s="1071">
        <f>IF(BW127=0,0,(BX127-BW127)/BW127*100)</f>
        <v>0</v>
      </c>
      <c r="BZ127" s="2912">
        <f>IF(BZ129=0,0,(BZ128*BZ129+BZ130*BZ131*6)/BZ129)</f>
        <v>0</v>
      </c>
      <c r="CA127" s="2912">
        <f>IF(CA129=0,0,(CA128*CA129+CA130*CA131*6)/CA129)</f>
        <v>0</v>
      </c>
      <c r="CB127" s="1071">
        <f>IF(BZ127=0,0,(CA127-BZ127)/BZ127*100)</f>
        <v>0</v>
      </c>
      <c r="CC127" s="2912">
        <f>IF(CC129=0,0,(CC128*CC129+CC130*CC131*6)/CC129)</f>
        <v>0</v>
      </c>
      <c r="CD127" s="2912">
        <f>IF(CD129=0,0,(CD128*CD129+CD130*CD131*6)/CD129)</f>
        <v>0</v>
      </c>
      <c r="CE127" s="1071">
        <f>IF(CC127=0,0,(CD127-CC127)/CC127*100)</f>
        <v>0</v>
      </c>
      <c r="CF127" s="2912">
        <f>IF(CF129=0,0,(CF128*CF129+CF130*CF131*6)/CF129)</f>
        <v>0</v>
      </c>
      <c r="CG127" s="2912">
        <f>IF(CG129=0,0,(CG128*CG129+CG130*CG131*6)/CG129)</f>
        <v>0</v>
      </c>
      <c r="CH127" s="1071">
        <f>IF(CF127=0,0,(CG127-CF127)/CF127*100)</f>
        <v>0</v>
      </c>
      <c r="CI127" s="2912">
        <f>IF(CI129=0,0,(CI128*CI129+CI130*CI131*6)/CI129)</f>
        <v>0</v>
      </c>
      <c r="CJ127" s="2912">
        <f>IF(CJ129=0,0,(CJ128*CJ129+CJ130*CJ131*6)/CJ129)</f>
        <v>0</v>
      </c>
      <c r="CK127" s="1071">
        <f>IF(CI127=0,0,(CJ127-CI127)/CI127*100)</f>
        <v>0</v>
      </c>
      <c r="CL127" s="2912">
        <f>IF(CL129=0,0,(CL128*CL129+CL130*CL131*6)/CL129)</f>
        <v>0</v>
      </c>
      <c r="CM127" s="2912">
        <f>IF(CM129=0,0,(CM128*CM129+CM130*CM131*6)/CM129)</f>
        <v>0</v>
      </c>
      <c r="CN127" s="1071">
        <f>IF(CL127=0,0,(CM127-CL127)/CL127*100)</f>
        <v>0</v>
      </c>
      <c r="CO127" s="2912">
        <f>IF(CO129=0,0,(CO128*CO129+CO130*CO131*6)/CO129)</f>
        <v>0</v>
      </c>
      <c r="CP127" s="2912">
        <f>IF(CP129=0,0,(CP128*CP129+CP130*CP131*6)/CP129)</f>
        <v>0</v>
      </c>
      <c r="CQ127" s="1071">
        <f>IF(CO127=0,0,(CP127-CO127)/CO127*100)</f>
        <v>0</v>
      </c>
      <c r="CR127" s="2912">
        <f>IF(CR129=0,0,(CR128*CR129+CR130*CR131*6)/CR129)</f>
        <v>0</v>
      </c>
      <c r="CS127" s="2912">
        <f>IF(CS129=0,0,(CS128*CS129+CS130*CS131*6)/CS129)</f>
        <v>0</v>
      </c>
      <c r="CT127" s="1071">
        <f>IF(CR127=0,0,(CS127-CR127)/CR127*100)</f>
        <v>0</v>
      </c>
      <c r="CU127" s="2912">
        <f>IF(CU129=0,0,(CU128*CU129+CU130*CU131*6)/CU129)</f>
        <v>0</v>
      </c>
      <c r="CV127" s="2912">
        <f>IF(CV129=0,0,(CV128*CV129+CV130*CV131*6)/CV129)</f>
        <v>0</v>
      </c>
      <c r="CW127" s="1071">
        <f>IF(CU127=0,0,(CV127-CU127)/CU127*100)</f>
        <v>0</v>
      </c>
      <c r="CX127" s="2912">
        <f>IF(CX129=0,0,(CX128*CX129+CX130*CX131*6)/CX129)</f>
        <v>0</v>
      </c>
      <c r="CY127" s="2912">
        <f>IF(CY129=0,0,(CY128*CY129+CY130*CY131*6)/CY129)</f>
        <v>0</v>
      </c>
      <c r="CZ127" s="1071">
        <f>IF(CX127=0,0,(CY127-CX127)/CX127*100)</f>
        <v>0</v>
      </c>
      <c r="DA127" s="2912">
        <f>IF(DA129=0,0,(DA128*DA129+DA130*DA131*6)/DA129)</f>
        <v>0</v>
      </c>
      <c r="DB127" s="2912">
        <f>IF(DB129=0,0,(DB128*DB129+DB130*DB131*6)/DB129)</f>
        <v>0</v>
      </c>
      <c r="DC127" s="1071">
        <f>IF(DA127=0,0,(DB127-DA127)/DA127*100)</f>
        <v>0</v>
      </c>
      <c r="DD127" s="2912">
        <f>IF(DD129=0,0,(DD128*DD129+DD130*DD131*6)/DD129)</f>
        <v>0</v>
      </c>
      <c r="DE127" s="2912">
        <f>IF(DE129=0,0,(DE128*DE129+DE130*DE131*6)/DE129)</f>
        <v>0</v>
      </c>
      <c r="DF127" s="1071">
        <f>IF(DD127=0,0,(DE127-DD127)/DD127*100)</f>
        <v>0</v>
      </c>
      <c r="DG127" s="2912">
        <f>IF(DG129=0,0,(DG128*DG129+DG130*DG131*6)/DG129)</f>
        <v>0</v>
      </c>
      <c r="DH127" s="2912">
        <f>IF(DH129=0,0,(DH128*DH129+DH130*DH131*6)/DH129)</f>
        <v>0</v>
      </c>
      <c r="DI127" s="1071">
        <f>IF(DG127=0,0,(DH127-DG127)/DG127*100)</f>
        <v>0</v>
      </c>
      <c r="DJ127" s="2912">
        <f>IF(DJ129=0,0,(DJ128*DJ129+DJ130*DJ131*6)/DJ129)</f>
        <v>0</v>
      </c>
      <c r="DK127" s="2912">
        <f>IF(DK129=0,0,(DK128*DK129+DK130*DK131*6)/DK129)</f>
        <v>0</v>
      </c>
      <c r="DL127" s="1071">
        <f>IF(DJ127=0,0,(DK127-DJ127)/DJ127*100)</f>
        <v>0</v>
      </c>
      <c r="DM127" s="2912">
        <f>IF(DM129=0,0,(DM128*DM129+DM130*DM131*6)/DM129)</f>
        <v>0</v>
      </c>
      <c r="DN127" s="2912">
        <f>IF(DN129=0,0,(DN128*DN129+DN130*DN131*6)/DN129)</f>
        <v>0</v>
      </c>
      <c r="DO127" s="1071">
        <f>IF(DM127=0,0,(DN127-DM127)/DM127*100)</f>
        <v>0</v>
      </c>
      <c r="DP127" s="2912">
        <f>IF(DP129=0,0,(DP128*DP129+DP130*DP131*6)/DP129)</f>
        <v>0</v>
      </c>
      <c r="DQ127" s="2912">
        <f>IF(DQ129=0,0,(DQ128*DQ129+DQ130*DQ131*6)/DQ129)</f>
        <v>0</v>
      </c>
      <c r="DR127" s="1071">
        <f>IF(DP127=0,0,(DQ127-DP127)/DP127*100)</f>
        <v>0</v>
      </c>
      <c r="DS127" s="2912">
        <f>IF(DS129=0,0,(DS128*DS129+DS130*DS131*6)/DS129)</f>
        <v>0</v>
      </c>
      <c r="DT127" s="2912">
        <f>IF(DT129=0,0,(DT128*DT129+DT130*DT131*6)/DT129)</f>
        <v>0</v>
      </c>
      <c r="DU127" s="1071">
        <f>IF(DS127=0,0,(DT127-DS127)/DS127*100)</f>
        <v>0</v>
      </c>
      <c r="DV127" s="2912">
        <f>IF(DV129=0,0,(DV128*DV129+DV130*DV131*6)/DV129)</f>
        <v>0</v>
      </c>
      <c r="DW127" s="2912">
        <f>IF(DW129=0,0,(DW128*DW129+DW130*DW131*6)/DW129)</f>
        <v>0</v>
      </c>
      <c r="DX127" s="1071">
        <f>IF(DV127=0,0,(DW127-DV127)/DV127*100)</f>
        <v>0</v>
      </c>
      <c r="DY127" s="2912">
        <f>IF(DY129=0,0,(DY128*DY129+DY130*DY131*6)/DY129)</f>
        <v>0</v>
      </c>
      <c r="DZ127" s="2912">
        <f>IF(DZ129=0,0,(DZ128*DZ129+DZ130*DZ131*6)/DZ129)</f>
        <v>0</v>
      </c>
      <c r="EA127" s="1071">
        <f>IF(DY127=0,0,(DZ127-DY127)/DY127*100)</f>
        <v>0</v>
      </c>
      <c r="EB127" s="2912">
        <f>IF(EB129=0,0,(EB128*EB129+EB130*EB131*6)/EB129)</f>
        <v>0</v>
      </c>
      <c r="EC127" s="2912">
        <f>IF(EC129=0,0,(EC128*EC129+EC130*EC131*6)/EC129)</f>
        <v>0</v>
      </c>
      <c r="ED127" s="1071">
        <f>IF(EB127=0,0,(EC127-EB127)/EB127*100)</f>
        <v>0</v>
      </c>
      <c r="EE127" s="2912">
        <f>IF(EE129=0,0,(EE128*EE129+EE130*EE131*6)/EE129)</f>
        <v>0</v>
      </c>
      <c r="EF127" s="2912">
        <f>IF(EF129=0,0,(EF128*EF129+EF130*EF131*6)/EF129)</f>
        <v>0</v>
      </c>
      <c r="EG127" s="1071">
        <f>IF(EE127=0,0,(EF127-EE127)/EE127*100)</f>
        <v>0</v>
      </c>
      <c r="EH127" s="2912">
        <f>IF(EH129=0,0,(EH128*EH129+EH130*EH131*6)/EH129)</f>
        <v>0</v>
      </c>
      <c r="EI127" s="2912">
        <f>IF(EI129=0,0,(EI128*EI129+EI130*EI131*6)/EI129)</f>
        <v>0</v>
      </c>
      <c r="EJ127" s="1071">
        <f>IF(EH127=0,0,(EI127-EH127)/EH127*100)</f>
        <v>0</v>
      </c>
      <c r="EK127" s="2912">
        <f>IF(EK129=0,0,(EK128*EK129+EK130*EK131*6)/EK129)</f>
        <v>0</v>
      </c>
      <c r="EL127" s="2912">
        <f>IF(EL129=0,0,(EL128*EL129+EL130*EL131*6)/EL129)</f>
        <v>0</v>
      </c>
      <c r="EM127" s="1071">
        <f>IF(EK127=0,0,(EL127-EK127)/EK127*100)</f>
        <v>0</v>
      </c>
      <c r="EN127" s="2912">
        <f>IF(EN129=0,0,(EN128*EN129+EN130*EN131*6)/EN129)</f>
        <v>0</v>
      </c>
      <c r="EO127" s="2912">
        <f>IF(EO129=0,0,(EO128*EO129+EO130*EO131*6)/EO129)</f>
        <v>0</v>
      </c>
      <c r="EP127" s="1071">
        <f>IF(EN127=0,0,(EO127-EN127)/EN127*100)</f>
        <v>0</v>
      </c>
      <c r="EQ127" s="2912">
        <f>IF(EQ129=0,0,(EQ128*EQ129+EQ130*EQ131*6)/EQ129)</f>
        <v>0</v>
      </c>
      <c r="ER127" s="2912">
        <f>IF(ER129=0,0,(ER128*ER129+ER130*ER131*6)/ER129)</f>
        <v>0</v>
      </c>
      <c r="ES127" s="1071">
        <f>IF(EQ127=0,0,(ER127-EQ127)/EQ127*100)</f>
        <v>0</v>
      </c>
      <c r="ET127" s="2912">
        <f>IF(ET129=0,0,(ET128*ET129+ET130*ET131*6)/ET129)</f>
        <v>0</v>
      </c>
      <c r="EU127" s="2912">
        <f>IF(EU129=0,0,(EU128*EU129+EU130*EU131*6)/EU129)</f>
        <v>0</v>
      </c>
      <c r="EV127" s="1071">
        <f>IF(ET127=0,0,(EU127-ET127)/ET127*100)</f>
        <v>0</v>
      </c>
      <c r="EW127" s="2912">
        <f>IF(EW129=0,0,(EW128*EW129+EW130*EW131*6)/EW129)</f>
        <v>0</v>
      </c>
      <c r="EX127" s="2912">
        <f>IF(EX129=0,0,(EX128*EX129+EX130*EX131*6)/EX129)</f>
        <v>0</v>
      </c>
      <c r="EY127" s="1071">
        <f>IF(EW127=0,0,(EX127-EW127)/EW127*100)</f>
        <v>0</v>
      </c>
      <c r="EZ127" s="2912">
        <f>IF(EZ129=0,0,(EZ128*EZ129+EZ130*EZ131*6)/EZ129)</f>
        <v>0</v>
      </c>
      <c r="FA127" s="2912">
        <f>IF(FA129=0,0,(FA128*FA129+FA130*FA131*6)/FA129)</f>
        <v>0</v>
      </c>
      <c r="FB127" s="1071">
        <f>IF(EZ127=0,0,(FA127-EZ127)/EZ127*100)</f>
        <v>0</v>
      </c>
      <c r="FC127" s="2912">
        <f>IF(FC129=0,0,(FC128*FC129+FC130*FC131*6)/FC129)</f>
        <v>0</v>
      </c>
      <c r="FD127" s="2912">
        <f>IF(FD129=0,0,(FD128*FD129+FD130*FD131*6)/FD129)</f>
        <v>0</v>
      </c>
      <c r="FE127" s="1071">
        <f>IF(FC127=0,0,(FD127-FC127)/FC127*100)</f>
        <v>0</v>
      </c>
      <c r="FF127" s="2912">
        <f>IF(FF129=0,0,(FF128*FF129+FF130*FF131*6)/FF129)</f>
        <v>0</v>
      </c>
      <c r="FG127" s="2912">
        <f>IF(FG129=0,0,(FG128*FG129+FG130*FG131*6)/FG129)</f>
        <v>0</v>
      </c>
      <c r="FH127" s="1071">
        <f>IF(FF127=0,0,(FG127-FF127)/FF127*100)</f>
        <v>0</v>
      </c>
      <c r="FI127" s="2912">
        <f>IF(FI129=0,0,(FI128*FI129+FI130*FI131*6)/FI129)</f>
        <v>0</v>
      </c>
      <c r="FJ127" s="2912">
        <f>IF(FJ129=0,0,(FJ128*FJ129+FJ130*FJ131*6)/FJ129)</f>
        <v>0</v>
      </c>
      <c r="FK127" s="1071">
        <f>IF(FI127=0,0,(FJ127-FI127)/FI127*100)</f>
        <v>0</v>
      </c>
      <c r="FL127" s="2912">
        <f>IF(FL129=0,0,(FL128*FL129+FL130*FL131*6)/FL129)</f>
        <v>0</v>
      </c>
      <c r="FM127" s="2912">
        <f>IF(FM129=0,0,(FM128*FM129+FM130*FM131*6)/FM129)</f>
        <v>0</v>
      </c>
      <c r="FN127" s="1071">
        <f>IF(FL127=0,0,(FM127-FL127)/FL127*100)</f>
        <v>0</v>
      </c>
      <c r="FO127" s="2912">
        <f>IF(FO129=0,0,(FO128*FO129+FO130*FO131*6)/FO129)</f>
        <v>0</v>
      </c>
      <c r="FP127" s="2912">
        <f>IF(FP129=0,0,(FP128*FP129+FP130*FP131*6)/FP129)</f>
        <v>0</v>
      </c>
      <c r="FQ127" s="1071">
        <f>IF(FO127=0,0,(FP127-FO127)/FO127*100)</f>
        <v>0</v>
      </c>
      <c r="FR127" s="2912">
        <f>IF(FR129=0,0,(FR128*FR129+FR130*FR131*6)/FR129)</f>
        <v>0</v>
      </c>
      <c r="FS127" s="2912">
        <f>IF(FS129=0,0,(FS128*FS129+FS130*FS131*6)/FS129)</f>
        <v>0</v>
      </c>
      <c r="FT127" s="1071">
        <f>IF(FR127=0,0,(FS127-FR127)/FR127*100)</f>
        <v>0</v>
      </c>
      <c r="FU127" s="2912">
        <f>IF(FU129=0,0,(FU128*FU129+FU130*FU131*6)/FU129)</f>
        <v>0</v>
      </c>
      <c r="FV127" s="2912">
        <f>IF(FV129=0,0,(FV128*FV129+FV130*FV131*6)/FV129)</f>
        <v>0</v>
      </c>
      <c r="FW127" s="1071">
        <f>IF(FU127=0,0,(FV127-FU127)/FU127*100)</f>
        <v>0</v>
      </c>
      <c r="FX127" s="1282"/>
      <c r="FY127" s="1282"/>
      <c r="FZ127" s="1032" t="s">
        <v>1543</v>
      </c>
      <c r="GA127" s="992" t="s">
        <v>818</v>
      </c>
      <c r="GB127" s="1034" cm="1" t="str">
        <f t="array" ref="GB127:GB127">AB126</f>
        <v>0</v>
      </c>
      <c r="GC127" s="1283"/>
      <c r="GD127" s="1283"/>
    </row>
    <row s="1624" customFormat="1" customHeight="1" ht="14.25" hidden="1">
      <c r="A128" s="466"/>
      <c r="B128" s="901" cm="1" t="str">
        <f t="array" ref="B128:B128">B127</f>
        <v>false</v>
      </c>
      <c r="C128" s="466"/>
      <c r="D128" s="466"/>
      <c r="E128" s="816">
        <v>15</v>
      </c>
      <c r="F128" s="50" cm="1" t="str">
        <f t="array" ref="F128:F128">OFFSET(E128,-1,1)</f>
        <v>1</v>
      </c>
      <c r="G128" s="466"/>
      <c r="H128" s="466" t="s">
        <v>1438</v>
      </c>
      <c r="I128" s="466" cm="1" t="str">
        <f t="array" ref="I128:I128">I127</f>
        <v>0</v>
      </c>
      <c r="J128" s="466"/>
      <c r="K128" s="466"/>
      <c r="L128" s="466"/>
      <c r="M128" s="466"/>
      <c r="N128" s="466"/>
      <c r="O128" s="466"/>
      <c r="P128" s="466"/>
      <c r="Q128" s="466"/>
      <c r="R128" s="466"/>
      <c r="S128" s="466"/>
      <c r="T128" s="438" cm="1" t="str">
        <f t="array" ref="T128:T128">T127</f>
        <v>false</v>
      </c>
      <c r="U128" s="466"/>
      <c r="V128" s="466"/>
      <c r="W128" s="466"/>
      <c r="X128" s="1541"/>
      <c r="Y128" s="1541"/>
      <c r="Z128" s="1493"/>
      <c r="AA128" s="1442"/>
      <c r="AB128" s="880" t="str">
        <f>"ставка платы за "&amp;IF(Q85="Водоснабжение","потребление 1 куб.м холодной воды","объем принятых сточных вод")</f>
        <v>ставка платы за объем принятых сточных вод</v>
      </c>
      <c r="AC128" s="840" t="s">
        <v>1476</v>
      </c>
      <c r="AD128" s="2912"/>
      <c r="AE128" s="2912"/>
      <c r="AF128" s="1071">
        <f>IF(AD128=0,0,(AE128-AD128)/AD128*100)</f>
        <v>0</v>
      </c>
      <c r="AG128" s="2912"/>
      <c r="AH128" s="2912"/>
      <c r="AI128" s="1071">
        <f>IF(AG128=0,0,(AH128-AG128)/AG128*100)</f>
        <v>0</v>
      </c>
      <c r="AJ128" s="2912"/>
      <c r="AK128" s="2912"/>
      <c r="AL128" s="1071">
        <f>IF(AJ128=0,0,(AK128-AJ128)/AJ128*100)</f>
        <v>0</v>
      </c>
      <c r="AM128" s="2912"/>
      <c r="AN128" s="2912"/>
      <c r="AO128" s="1071">
        <f>IF(AM128=0,0,(AN128-AM128)/AM128*100)</f>
        <v>0</v>
      </c>
      <c r="AP128" s="2912"/>
      <c r="AQ128" s="2912"/>
      <c r="AR128" s="1071">
        <f>IF(AP128=0,0,(AQ128-AP128)/AP128*100)</f>
        <v>0</v>
      </c>
      <c r="AS128" s="2912"/>
      <c r="AT128" s="2912"/>
      <c r="AU128" s="1071">
        <f>IF(AS128=0,0,(AT128-AS128)/AS128*100)</f>
        <v>0</v>
      </c>
      <c r="AV128" s="2912"/>
      <c r="AW128" s="2912"/>
      <c r="AX128" s="1071">
        <f>IF(AV128=0,0,(AW128-AV128)/AV128*100)</f>
        <v>0</v>
      </c>
      <c r="AY128" s="2912"/>
      <c r="AZ128" s="2912"/>
      <c r="BA128" s="1071">
        <f>IF(AY128=0,0,(AZ128-AY128)/AY128*100)</f>
        <v>0</v>
      </c>
      <c r="BB128" s="2912"/>
      <c r="BC128" s="2912"/>
      <c r="BD128" s="1071">
        <f>IF(BB128=0,0,(BC128-BB128)/BB128*100)</f>
        <v>0</v>
      </c>
      <c r="BE128" s="2912"/>
      <c r="BF128" s="2912"/>
      <c r="BG128" s="1071">
        <f>IF(BE128=0,0,(BF128-BE128)/BE128*100)</f>
        <v>0</v>
      </c>
      <c r="BH128" s="2912"/>
      <c r="BI128" s="2912"/>
      <c r="BJ128" s="1071">
        <f>IF(BH128=0,0,(BI128-BH128)/BH128*100)</f>
        <v>0</v>
      </c>
      <c r="BK128" s="2912"/>
      <c r="BL128" s="2912"/>
      <c r="BM128" s="1071">
        <f>IF(BK128=0,0,(BL128-BK128)/BK128*100)</f>
        <v>0</v>
      </c>
      <c r="BN128" s="2912"/>
      <c r="BO128" s="2912"/>
      <c r="BP128" s="1071">
        <f>IF(BN128=0,0,(BO128-BN128)/BN128*100)</f>
        <v>0</v>
      </c>
      <c r="BQ128" s="2912"/>
      <c r="BR128" s="2912"/>
      <c r="BS128" s="1071">
        <f>IF(BQ128=0,0,(BR128-BQ128)/BQ128*100)</f>
        <v>0</v>
      </c>
      <c r="BT128" s="2912"/>
      <c r="BU128" s="2912"/>
      <c r="BV128" s="1071">
        <f>IF(BT128=0,0,(BU128-BT128)/BT128*100)</f>
        <v>0</v>
      </c>
      <c r="BW128" s="2912"/>
      <c r="BX128" s="2912"/>
      <c r="BY128" s="1071">
        <f>IF(BW128=0,0,(BX128-BW128)/BW128*100)</f>
        <v>0</v>
      </c>
      <c r="BZ128" s="2912"/>
      <c r="CA128" s="2912"/>
      <c r="CB128" s="1071">
        <f>IF(BZ128=0,0,(CA128-BZ128)/BZ128*100)</f>
        <v>0</v>
      </c>
      <c r="CC128" s="2912"/>
      <c r="CD128" s="2912"/>
      <c r="CE128" s="1071">
        <f>IF(CC128=0,0,(CD128-CC128)/CC128*100)</f>
        <v>0</v>
      </c>
      <c r="CF128" s="2912"/>
      <c r="CG128" s="2912"/>
      <c r="CH128" s="1071">
        <f>IF(CF128=0,0,(CG128-CF128)/CF128*100)</f>
        <v>0</v>
      </c>
      <c r="CI128" s="2912"/>
      <c r="CJ128" s="2912"/>
      <c r="CK128" s="1071">
        <f>IF(CI128=0,0,(CJ128-CI128)/CI128*100)</f>
        <v>0</v>
      </c>
      <c r="CL128" s="2912"/>
      <c r="CM128" s="2912"/>
      <c r="CN128" s="1071">
        <f>IF(CL128=0,0,(CM128-CL128)/CL128*100)</f>
        <v>0</v>
      </c>
      <c r="CO128" s="2912"/>
      <c r="CP128" s="2912"/>
      <c r="CQ128" s="1071">
        <f>IF(CO128=0,0,(CP128-CO128)/CO128*100)</f>
        <v>0</v>
      </c>
      <c r="CR128" s="2912"/>
      <c r="CS128" s="2912"/>
      <c r="CT128" s="1071">
        <f>IF(CR128=0,0,(CS128-CR128)/CR128*100)</f>
        <v>0</v>
      </c>
      <c r="CU128" s="2912"/>
      <c r="CV128" s="2912"/>
      <c r="CW128" s="1071">
        <f>IF(CU128=0,0,(CV128-CU128)/CU128*100)</f>
        <v>0</v>
      </c>
      <c r="CX128" s="2912"/>
      <c r="CY128" s="2912"/>
      <c r="CZ128" s="1071">
        <f>IF(CX128=0,0,(CY128-CX128)/CX128*100)</f>
        <v>0</v>
      </c>
      <c r="DA128" s="2912"/>
      <c r="DB128" s="2912"/>
      <c r="DC128" s="1071">
        <f>IF(DA128=0,0,(DB128-DA128)/DA128*100)</f>
        <v>0</v>
      </c>
      <c r="DD128" s="2912"/>
      <c r="DE128" s="2912"/>
      <c r="DF128" s="1071">
        <f>IF(DD128=0,0,(DE128-DD128)/DD128*100)</f>
        <v>0</v>
      </c>
      <c r="DG128" s="2912"/>
      <c r="DH128" s="2912"/>
      <c r="DI128" s="1071">
        <f>IF(DG128=0,0,(DH128-DG128)/DG128*100)</f>
        <v>0</v>
      </c>
      <c r="DJ128" s="2912"/>
      <c r="DK128" s="2912"/>
      <c r="DL128" s="1071">
        <f>IF(DJ128=0,0,(DK128-DJ128)/DJ128*100)</f>
        <v>0</v>
      </c>
      <c r="DM128" s="2912"/>
      <c r="DN128" s="2912"/>
      <c r="DO128" s="1071">
        <f>IF(DM128=0,0,(DN128-DM128)/DM128*100)</f>
        <v>0</v>
      </c>
      <c r="DP128" s="2912"/>
      <c r="DQ128" s="2912"/>
      <c r="DR128" s="1071">
        <f>IF(DP128=0,0,(DQ128-DP128)/DP128*100)</f>
        <v>0</v>
      </c>
      <c r="DS128" s="2912"/>
      <c r="DT128" s="2912"/>
      <c r="DU128" s="1071">
        <f>IF(DS128=0,0,(DT128-DS128)/DS128*100)</f>
        <v>0</v>
      </c>
      <c r="DV128" s="2912"/>
      <c r="DW128" s="2912"/>
      <c r="DX128" s="1071">
        <f>IF(DV128=0,0,(DW128-DV128)/DV128*100)</f>
        <v>0</v>
      </c>
      <c r="DY128" s="2912"/>
      <c r="DZ128" s="2912"/>
      <c r="EA128" s="1071">
        <f>IF(DY128=0,0,(DZ128-DY128)/DY128*100)</f>
        <v>0</v>
      </c>
      <c r="EB128" s="2912"/>
      <c r="EC128" s="2912"/>
      <c r="ED128" s="1071">
        <f>IF(EB128=0,0,(EC128-EB128)/EB128*100)</f>
        <v>0</v>
      </c>
      <c r="EE128" s="2912"/>
      <c r="EF128" s="2912"/>
      <c r="EG128" s="1071">
        <f>IF(EE128=0,0,(EF128-EE128)/EE128*100)</f>
        <v>0</v>
      </c>
      <c r="EH128" s="2912"/>
      <c r="EI128" s="2912"/>
      <c r="EJ128" s="1071">
        <f>IF(EH128=0,0,(EI128-EH128)/EH128*100)</f>
        <v>0</v>
      </c>
      <c r="EK128" s="2912"/>
      <c r="EL128" s="2912"/>
      <c r="EM128" s="1071">
        <f>IF(EK128=0,0,(EL128-EK128)/EK128*100)</f>
        <v>0</v>
      </c>
      <c r="EN128" s="2912"/>
      <c r="EO128" s="2912"/>
      <c r="EP128" s="1071">
        <f>IF(EN128=0,0,(EO128-EN128)/EN128*100)</f>
        <v>0</v>
      </c>
      <c r="EQ128" s="2912"/>
      <c r="ER128" s="2912"/>
      <c r="ES128" s="1071">
        <f>IF(EQ128=0,0,(ER128-EQ128)/EQ128*100)</f>
        <v>0</v>
      </c>
      <c r="ET128" s="2912"/>
      <c r="EU128" s="2912"/>
      <c r="EV128" s="1071">
        <f>IF(ET128=0,0,(EU128-ET128)/ET128*100)</f>
        <v>0</v>
      </c>
      <c r="EW128" s="2912"/>
      <c r="EX128" s="2912"/>
      <c r="EY128" s="1071">
        <f>IF(EW128=0,0,(EX128-EW128)/EW128*100)</f>
        <v>0</v>
      </c>
      <c r="EZ128" s="2912"/>
      <c r="FA128" s="2912"/>
      <c r="FB128" s="1071">
        <f>IF(EZ128=0,0,(FA128-EZ128)/EZ128*100)</f>
        <v>0</v>
      </c>
      <c r="FC128" s="2912"/>
      <c r="FD128" s="2912"/>
      <c r="FE128" s="1071">
        <f>IF(FC128=0,0,(FD128-FC128)/FC128*100)</f>
        <v>0</v>
      </c>
      <c r="FF128" s="2912"/>
      <c r="FG128" s="2912"/>
      <c r="FH128" s="1071">
        <f>IF(FF128=0,0,(FG128-FF128)/FF128*100)</f>
        <v>0</v>
      </c>
      <c r="FI128" s="2912"/>
      <c r="FJ128" s="2912"/>
      <c r="FK128" s="1071">
        <f>IF(FI128=0,0,(FJ128-FI128)/FI128*100)</f>
        <v>0</v>
      </c>
      <c r="FL128" s="2912"/>
      <c r="FM128" s="2912"/>
      <c r="FN128" s="1071">
        <f>IF(FL128=0,0,(FM128-FL128)/FL128*100)</f>
        <v>0</v>
      </c>
      <c r="FO128" s="2912"/>
      <c r="FP128" s="2912"/>
      <c r="FQ128" s="1071">
        <f>IF(FO128=0,0,(FP128-FO128)/FO128*100)</f>
        <v>0</v>
      </c>
      <c r="FR128" s="2912"/>
      <c r="FS128" s="2912"/>
      <c r="FT128" s="1071">
        <f>IF(FR128=0,0,(FS128-FR128)/FR128*100)</f>
        <v>0</v>
      </c>
      <c r="FU128" s="2912"/>
      <c r="FV128" s="2912"/>
      <c r="FW128" s="1071">
        <f>IF(FU128=0,0,(FV128-FU128)/FU128*100)</f>
        <v>0</v>
      </c>
      <c r="FX128" s="1282"/>
      <c r="FY128" s="1282"/>
      <c r="FZ128" s="1032" t="s">
        <v>1544</v>
      </c>
      <c r="GA128" s="992" t="s">
        <v>818</v>
      </c>
      <c r="GB128" s="992" cm="1" t="str">
        <f t="array" ref="GB128:GB128">GB127</f>
        <v>0</v>
      </c>
      <c r="GC128" s="1283"/>
      <c r="GD128" s="1283"/>
    </row>
    <row s="1624" customFormat="1" customHeight="1" ht="14.25" hidden="1">
      <c r="A129" s="466"/>
      <c r="B129" s="901" cm="1" t="str">
        <f t="array" ref="B129:B129">B128</f>
        <v>false</v>
      </c>
      <c r="C129" s="466"/>
      <c r="D129" s="466"/>
      <c r="E129" s="816">
        <v>15</v>
      </c>
      <c r="F129" s="50" cm="1" t="str">
        <f t="array" ref="F129:F129">OFFSET(E129,-1,1)</f>
        <v>1</v>
      </c>
      <c r="G129" s="466"/>
      <c r="H129" s="466" t="s">
        <v>1513</v>
      </c>
      <c r="I129" s="466" cm="1" t="str">
        <f t="array" ref="I129:I129">I128</f>
        <v>0</v>
      </c>
      <c r="J129" s="466"/>
      <c r="K129" s="466"/>
      <c r="L129" s="466"/>
      <c r="M129" s="466"/>
      <c r="N129" s="466"/>
      <c r="O129" s="466"/>
      <c r="P129" s="466"/>
      <c r="Q129" s="466"/>
      <c r="R129" s="466"/>
      <c r="S129" s="466"/>
      <c r="T129" s="438" cm="1" t="str">
        <f t="array" ref="T129:T129">T128</f>
        <v>false</v>
      </c>
      <c r="U129" s="466"/>
      <c r="V129" s="466"/>
      <c r="W129" s="466"/>
      <c r="X129" s="1541"/>
      <c r="Y129" s="1541"/>
      <c r="Z129" s="1493"/>
      <c r="AA129" s="1442"/>
      <c r="AB129" s="880" t="str">
        <f>"объём "&amp;IF(Q85="Водоснабжение","потребления холодной воды","водоотведения")</f>
        <v>объём водоотведения</v>
      </c>
      <c r="AC129" s="840" t="s">
        <v>506</v>
      </c>
      <c r="AD129" s="2907"/>
      <c r="AE129" s="2907"/>
      <c r="AF129" s="1073">
        <f>IF(AD129=0,0,(AE129-AD129)/AD129*100)</f>
        <v>0</v>
      </c>
      <c r="AG129" s="2907"/>
      <c r="AH129" s="2907"/>
      <c r="AI129" s="1073">
        <f>IF(AG129=0,0,(AH129-AG129)/AG129*100)</f>
        <v>0</v>
      </c>
      <c r="AJ129" s="2907"/>
      <c r="AK129" s="2907"/>
      <c r="AL129" s="1073">
        <f>IF(AJ129=0,0,(AK129-AJ129)/AJ129*100)</f>
        <v>0</v>
      </c>
      <c r="AM129" s="2907"/>
      <c r="AN129" s="2907"/>
      <c r="AO129" s="1073">
        <f>IF(AM129=0,0,(AN129-AM129)/AM129*100)</f>
        <v>0</v>
      </c>
      <c r="AP129" s="2907"/>
      <c r="AQ129" s="2907"/>
      <c r="AR129" s="1073">
        <f>IF(AP129=0,0,(AQ129-AP129)/AP129*100)</f>
        <v>0</v>
      </c>
      <c r="AS129" s="2907"/>
      <c r="AT129" s="2907"/>
      <c r="AU129" s="1073">
        <f>IF(AS129=0,0,(AT129-AS129)/AS129*100)</f>
        <v>0</v>
      </c>
      <c r="AV129" s="2907"/>
      <c r="AW129" s="2907"/>
      <c r="AX129" s="1073">
        <f>IF(AV129=0,0,(AW129-AV129)/AV129*100)</f>
        <v>0</v>
      </c>
      <c r="AY129" s="2907"/>
      <c r="AZ129" s="2907"/>
      <c r="BA129" s="1073">
        <f>IF(AY129=0,0,(AZ129-AY129)/AY129*100)</f>
        <v>0</v>
      </c>
      <c r="BB129" s="2907"/>
      <c r="BC129" s="2907"/>
      <c r="BD129" s="1073">
        <f>IF(BB129=0,0,(BC129-BB129)/BB129*100)</f>
        <v>0</v>
      </c>
      <c r="BE129" s="2907"/>
      <c r="BF129" s="2907"/>
      <c r="BG129" s="1073">
        <f>IF(BE129=0,0,(BF129-BE129)/BE129*100)</f>
        <v>0</v>
      </c>
      <c r="BH129" s="2907"/>
      <c r="BI129" s="2907"/>
      <c r="BJ129" s="1073">
        <f>IF(BH129=0,0,(BI129-BH129)/BH129*100)</f>
        <v>0</v>
      </c>
      <c r="BK129" s="2907"/>
      <c r="BL129" s="2907"/>
      <c r="BM129" s="1073">
        <f>IF(BK129=0,0,(BL129-BK129)/BK129*100)</f>
        <v>0</v>
      </c>
      <c r="BN129" s="2907"/>
      <c r="BO129" s="2907"/>
      <c r="BP129" s="1073">
        <f>IF(BN129=0,0,(BO129-BN129)/BN129*100)</f>
        <v>0</v>
      </c>
      <c r="BQ129" s="2907"/>
      <c r="BR129" s="2907"/>
      <c r="BS129" s="1073">
        <f>IF(BQ129=0,0,(BR129-BQ129)/BQ129*100)</f>
        <v>0</v>
      </c>
      <c r="BT129" s="2907"/>
      <c r="BU129" s="2907"/>
      <c r="BV129" s="1073">
        <f>IF(BT129=0,0,(BU129-BT129)/BT129*100)</f>
        <v>0</v>
      </c>
      <c r="BW129" s="2907"/>
      <c r="BX129" s="2907"/>
      <c r="BY129" s="1073">
        <f>IF(BW129=0,0,(BX129-BW129)/BW129*100)</f>
        <v>0</v>
      </c>
      <c r="BZ129" s="2907"/>
      <c r="CA129" s="2907"/>
      <c r="CB129" s="1073">
        <f>IF(BZ129=0,0,(CA129-BZ129)/BZ129*100)</f>
        <v>0</v>
      </c>
      <c r="CC129" s="2907"/>
      <c r="CD129" s="2907"/>
      <c r="CE129" s="1073">
        <f>IF(CC129=0,0,(CD129-CC129)/CC129*100)</f>
        <v>0</v>
      </c>
      <c r="CF129" s="2907"/>
      <c r="CG129" s="2907"/>
      <c r="CH129" s="1073">
        <f>IF(CF129=0,0,(CG129-CF129)/CF129*100)</f>
        <v>0</v>
      </c>
      <c r="CI129" s="2907"/>
      <c r="CJ129" s="2907"/>
      <c r="CK129" s="1073">
        <f>IF(CI129=0,0,(CJ129-CI129)/CI129*100)</f>
        <v>0</v>
      </c>
      <c r="CL129" s="2907"/>
      <c r="CM129" s="2907"/>
      <c r="CN129" s="1073">
        <f>IF(CL129=0,0,(CM129-CL129)/CL129*100)</f>
        <v>0</v>
      </c>
      <c r="CO129" s="2907"/>
      <c r="CP129" s="2907"/>
      <c r="CQ129" s="1073">
        <f>IF(CO129=0,0,(CP129-CO129)/CO129*100)</f>
        <v>0</v>
      </c>
      <c r="CR129" s="2907"/>
      <c r="CS129" s="2907"/>
      <c r="CT129" s="1073">
        <f>IF(CR129=0,0,(CS129-CR129)/CR129*100)</f>
        <v>0</v>
      </c>
      <c r="CU129" s="2907"/>
      <c r="CV129" s="2907"/>
      <c r="CW129" s="1073">
        <f>IF(CU129=0,0,(CV129-CU129)/CU129*100)</f>
        <v>0</v>
      </c>
      <c r="CX129" s="2907"/>
      <c r="CY129" s="2907"/>
      <c r="CZ129" s="1073">
        <f>IF(CX129=0,0,(CY129-CX129)/CX129*100)</f>
        <v>0</v>
      </c>
      <c r="DA129" s="2907"/>
      <c r="DB129" s="2907"/>
      <c r="DC129" s="1073">
        <f>IF(DA129=0,0,(DB129-DA129)/DA129*100)</f>
        <v>0</v>
      </c>
      <c r="DD129" s="2907"/>
      <c r="DE129" s="2907"/>
      <c r="DF129" s="1073">
        <f>IF(DD129=0,0,(DE129-DD129)/DD129*100)</f>
        <v>0</v>
      </c>
      <c r="DG129" s="2907"/>
      <c r="DH129" s="2907"/>
      <c r="DI129" s="1073">
        <f>IF(DG129=0,0,(DH129-DG129)/DG129*100)</f>
        <v>0</v>
      </c>
      <c r="DJ129" s="2907"/>
      <c r="DK129" s="2907"/>
      <c r="DL129" s="1073">
        <f>IF(DJ129=0,0,(DK129-DJ129)/DJ129*100)</f>
        <v>0</v>
      </c>
      <c r="DM129" s="2907"/>
      <c r="DN129" s="2907"/>
      <c r="DO129" s="1073">
        <f>IF(DM129=0,0,(DN129-DM129)/DM129*100)</f>
        <v>0</v>
      </c>
      <c r="DP129" s="2907"/>
      <c r="DQ129" s="2907"/>
      <c r="DR129" s="1073">
        <f>IF(DP129=0,0,(DQ129-DP129)/DP129*100)</f>
        <v>0</v>
      </c>
      <c r="DS129" s="2907"/>
      <c r="DT129" s="2907"/>
      <c r="DU129" s="1073">
        <f>IF(DS129=0,0,(DT129-DS129)/DS129*100)</f>
        <v>0</v>
      </c>
      <c r="DV129" s="2907"/>
      <c r="DW129" s="2907"/>
      <c r="DX129" s="1073">
        <f>IF(DV129=0,0,(DW129-DV129)/DV129*100)</f>
        <v>0</v>
      </c>
      <c r="DY129" s="2907"/>
      <c r="DZ129" s="2907"/>
      <c r="EA129" s="1073">
        <f>IF(DY129=0,0,(DZ129-DY129)/DY129*100)</f>
        <v>0</v>
      </c>
      <c r="EB129" s="2907"/>
      <c r="EC129" s="2907"/>
      <c r="ED129" s="1073">
        <f>IF(EB129=0,0,(EC129-EB129)/EB129*100)</f>
        <v>0</v>
      </c>
      <c r="EE129" s="2907"/>
      <c r="EF129" s="2907"/>
      <c r="EG129" s="1073">
        <f>IF(EE129=0,0,(EF129-EE129)/EE129*100)</f>
        <v>0</v>
      </c>
      <c r="EH129" s="2907"/>
      <c r="EI129" s="2907"/>
      <c r="EJ129" s="1073">
        <f>IF(EH129=0,0,(EI129-EH129)/EH129*100)</f>
        <v>0</v>
      </c>
      <c r="EK129" s="2907"/>
      <c r="EL129" s="2907"/>
      <c r="EM129" s="1073">
        <f>IF(EK129=0,0,(EL129-EK129)/EK129*100)</f>
        <v>0</v>
      </c>
      <c r="EN129" s="2907"/>
      <c r="EO129" s="2907"/>
      <c r="EP129" s="1073">
        <f>IF(EN129=0,0,(EO129-EN129)/EN129*100)</f>
        <v>0</v>
      </c>
      <c r="EQ129" s="2907"/>
      <c r="ER129" s="2907"/>
      <c r="ES129" s="1073">
        <f>IF(EQ129=0,0,(ER129-EQ129)/EQ129*100)</f>
        <v>0</v>
      </c>
      <c r="ET129" s="2907"/>
      <c r="EU129" s="2907"/>
      <c r="EV129" s="1073">
        <f>IF(ET129=0,0,(EU129-ET129)/ET129*100)</f>
        <v>0</v>
      </c>
      <c r="EW129" s="2907"/>
      <c r="EX129" s="2907"/>
      <c r="EY129" s="1073">
        <f>IF(EW129=0,0,(EX129-EW129)/EW129*100)</f>
        <v>0</v>
      </c>
      <c r="EZ129" s="2907"/>
      <c r="FA129" s="2907"/>
      <c r="FB129" s="1073">
        <f>IF(EZ129=0,0,(FA129-EZ129)/EZ129*100)</f>
        <v>0</v>
      </c>
      <c r="FC129" s="2907"/>
      <c r="FD129" s="2907"/>
      <c r="FE129" s="1073">
        <f>IF(FC129=0,0,(FD129-FC129)/FC129*100)</f>
        <v>0</v>
      </c>
      <c r="FF129" s="2907"/>
      <c r="FG129" s="2907"/>
      <c r="FH129" s="1073">
        <f>IF(FF129=0,0,(FG129-FF129)/FF129*100)</f>
        <v>0</v>
      </c>
      <c r="FI129" s="2907"/>
      <c r="FJ129" s="2907"/>
      <c r="FK129" s="1073">
        <f>IF(FI129=0,0,(FJ129-FI129)/FI129*100)</f>
        <v>0</v>
      </c>
      <c r="FL129" s="2907"/>
      <c r="FM129" s="2907"/>
      <c r="FN129" s="1073">
        <f>IF(FL129=0,0,(FM129-FL129)/FL129*100)</f>
        <v>0</v>
      </c>
      <c r="FO129" s="2907"/>
      <c r="FP129" s="2907"/>
      <c r="FQ129" s="1073">
        <f>IF(FO129=0,0,(FP129-FO129)/FO129*100)</f>
        <v>0</v>
      </c>
      <c r="FR129" s="2907"/>
      <c r="FS129" s="2907"/>
      <c r="FT129" s="1073">
        <f>IF(FR129=0,0,(FS129-FR129)/FR129*100)</f>
        <v>0</v>
      </c>
      <c r="FU129" s="2907"/>
      <c r="FV129" s="2907"/>
      <c r="FW129" s="1073">
        <f>IF(FU129=0,0,(FV129-FU129)/FU129*100)</f>
        <v>0</v>
      </c>
      <c r="FX129" s="1282"/>
      <c r="FY129" s="1282"/>
      <c r="FZ129" s="1032" t="s">
        <v>1545</v>
      </c>
      <c r="GA129" s="992" t="s">
        <v>818</v>
      </c>
      <c r="GB129" s="992" cm="1" t="str">
        <f t="array" ref="GB129:GB129">GB128</f>
        <v>0</v>
      </c>
      <c r="GC129" s="1283"/>
      <c r="GD129" s="1283"/>
    </row>
    <row s="1624" customFormat="1" customHeight="1" ht="21.75" hidden="1">
      <c r="A130" s="466"/>
      <c r="B130" s="901" cm="1" t="str">
        <f t="array" ref="B130:B130">B129</f>
        <v>false</v>
      </c>
      <c r="C130" s="466"/>
      <c r="D130" s="466"/>
      <c r="E130" s="816">
        <v>22.5</v>
      </c>
      <c r="F130" s="50" cm="1" t="str">
        <f t="array" ref="F130:F130">OFFSET(E130,-1,1)</f>
        <v>1</v>
      </c>
      <c r="G130" s="466"/>
      <c r="H130" s="466" t="s">
        <v>1515</v>
      </c>
      <c r="I130" s="466" cm="1" t="str">
        <f t="array" ref="I130:I130">I129</f>
        <v>0</v>
      </c>
      <c r="J130" s="466"/>
      <c r="K130" s="466"/>
      <c r="L130" s="466"/>
      <c r="M130" s="466"/>
      <c r="N130" s="466"/>
      <c r="O130" s="466"/>
      <c r="P130" s="466"/>
      <c r="Q130" s="466"/>
      <c r="R130" s="466"/>
      <c r="S130" s="466"/>
      <c r="T130" s="438" cm="1" t="str">
        <f t="array" ref="T130:T130">T129</f>
        <v>false</v>
      </c>
      <c r="U130" s="466"/>
      <c r="V130" s="466"/>
      <c r="W130" s="466"/>
      <c r="X130" s="1541"/>
      <c r="Y130" s="1541"/>
      <c r="Z130" s="1493"/>
      <c r="AA130" s="1442"/>
      <c r="AB130" s="880" t="str">
        <f>"ставка платы за содержание системы "&amp;IF(Q85="Водоснабжение","холодного водоснабжения","водоотведения")</f>
        <v>ставка платы за содержание системы водоотведения</v>
      </c>
      <c r="AC130" s="840" t="s">
        <v>1516</v>
      </c>
      <c r="AD130" s="2912"/>
      <c r="AE130" s="2912"/>
      <c r="AF130" s="1071">
        <f>IF(AD130=0,0,(AE130-AD130)/AD130*100)</f>
        <v>0</v>
      </c>
      <c r="AG130" s="2912"/>
      <c r="AH130" s="2912"/>
      <c r="AI130" s="1071">
        <f>IF(AG130=0,0,(AH130-AG130)/AG130*100)</f>
        <v>0</v>
      </c>
      <c r="AJ130" s="2912"/>
      <c r="AK130" s="2912"/>
      <c r="AL130" s="1071">
        <f>IF(AJ130=0,0,(AK130-AJ130)/AJ130*100)</f>
        <v>0</v>
      </c>
      <c r="AM130" s="2912"/>
      <c r="AN130" s="2912"/>
      <c r="AO130" s="1071">
        <f>IF(AM130=0,0,(AN130-AM130)/AM130*100)</f>
        <v>0</v>
      </c>
      <c r="AP130" s="2912"/>
      <c r="AQ130" s="2912"/>
      <c r="AR130" s="1071">
        <f>IF(AP130=0,0,(AQ130-AP130)/AP130*100)</f>
        <v>0</v>
      </c>
      <c r="AS130" s="2912"/>
      <c r="AT130" s="2912"/>
      <c r="AU130" s="1071">
        <f>IF(AS130=0,0,(AT130-AS130)/AS130*100)</f>
        <v>0</v>
      </c>
      <c r="AV130" s="2912"/>
      <c r="AW130" s="2912"/>
      <c r="AX130" s="1071">
        <f>IF(AV130=0,0,(AW130-AV130)/AV130*100)</f>
        <v>0</v>
      </c>
      <c r="AY130" s="2912"/>
      <c r="AZ130" s="2912"/>
      <c r="BA130" s="1071">
        <f>IF(AY130=0,0,(AZ130-AY130)/AY130*100)</f>
        <v>0</v>
      </c>
      <c r="BB130" s="2912"/>
      <c r="BC130" s="2912"/>
      <c r="BD130" s="1071">
        <f>IF(BB130=0,0,(BC130-BB130)/BB130*100)</f>
        <v>0</v>
      </c>
      <c r="BE130" s="2912"/>
      <c r="BF130" s="2912"/>
      <c r="BG130" s="1071">
        <f>IF(BE130=0,0,(BF130-BE130)/BE130*100)</f>
        <v>0</v>
      </c>
      <c r="BH130" s="2912"/>
      <c r="BI130" s="2912"/>
      <c r="BJ130" s="1071">
        <f>IF(BH130=0,0,(BI130-BH130)/BH130*100)</f>
        <v>0</v>
      </c>
      <c r="BK130" s="2912"/>
      <c r="BL130" s="2912"/>
      <c r="BM130" s="1071">
        <f>IF(BK130=0,0,(BL130-BK130)/BK130*100)</f>
        <v>0</v>
      </c>
      <c r="BN130" s="2912"/>
      <c r="BO130" s="2912"/>
      <c r="BP130" s="1071">
        <f>IF(BN130=0,0,(BO130-BN130)/BN130*100)</f>
        <v>0</v>
      </c>
      <c r="BQ130" s="2912"/>
      <c r="BR130" s="2912"/>
      <c r="BS130" s="1071">
        <f>IF(BQ130=0,0,(BR130-BQ130)/BQ130*100)</f>
        <v>0</v>
      </c>
      <c r="BT130" s="2912"/>
      <c r="BU130" s="2912"/>
      <c r="BV130" s="1071">
        <f>IF(BT130=0,0,(BU130-BT130)/BT130*100)</f>
        <v>0</v>
      </c>
      <c r="BW130" s="2912"/>
      <c r="BX130" s="2912"/>
      <c r="BY130" s="1071">
        <f>IF(BW130=0,0,(BX130-BW130)/BW130*100)</f>
        <v>0</v>
      </c>
      <c r="BZ130" s="2912"/>
      <c r="CA130" s="2912"/>
      <c r="CB130" s="1071">
        <f>IF(BZ130=0,0,(CA130-BZ130)/BZ130*100)</f>
        <v>0</v>
      </c>
      <c r="CC130" s="2912"/>
      <c r="CD130" s="2912"/>
      <c r="CE130" s="1071">
        <f>IF(CC130=0,0,(CD130-CC130)/CC130*100)</f>
        <v>0</v>
      </c>
      <c r="CF130" s="2912"/>
      <c r="CG130" s="2912"/>
      <c r="CH130" s="1071">
        <f>IF(CF130=0,0,(CG130-CF130)/CF130*100)</f>
        <v>0</v>
      </c>
      <c r="CI130" s="2912"/>
      <c r="CJ130" s="2912"/>
      <c r="CK130" s="1071">
        <f>IF(CI130=0,0,(CJ130-CI130)/CI130*100)</f>
        <v>0</v>
      </c>
      <c r="CL130" s="2912"/>
      <c r="CM130" s="2912"/>
      <c r="CN130" s="1071">
        <f>IF(CL130=0,0,(CM130-CL130)/CL130*100)</f>
        <v>0</v>
      </c>
      <c r="CO130" s="2912"/>
      <c r="CP130" s="2912"/>
      <c r="CQ130" s="1071">
        <f>IF(CO130=0,0,(CP130-CO130)/CO130*100)</f>
        <v>0</v>
      </c>
      <c r="CR130" s="2912"/>
      <c r="CS130" s="2912"/>
      <c r="CT130" s="1071">
        <f>IF(CR130=0,0,(CS130-CR130)/CR130*100)</f>
        <v>0</v>
      </c>
      <c r="CU130" s="2912"/>
      <c r="CV130" s="2912"/>
      <c r="CW130" s="1071">
        <f>IF(CU130=0,0,(CV130-CU130)/CU130*100)</f>
        <v>0</v>
      </c>
      <c r="CX130" s="2912"/>
      <c r="CY130" s="2912"/>
      <c r="CZ130" s="1071">
        <f>IF(CX130=0,0,(CY130-CX130)/CX130*100)</f>
        <v>0</v>
      </c>
      <c r="DA130" s="2912"/>
      <c r="DB130" s="2912"/>
      <c r="DC130" s="1071">
        <f>IF(DA130=0,0,(DB130-DA130)/DA130*100)</f>
        <v>0</v>
      </c>
      <c r="DD130" s="2912"/>
      <c r="DE130" s="2912"/>
      <c r="DF130" s="1071">
        <f>IF(DD130=0,0,(DE130-DD130)/DD130*100)</f>
        <v>0</v>
      </c>
      <c r="DG130" s="2912"/>
      <c r="DH130" s="2912"/>
      <c r="DI130" s="1071">
        <f>IF(DG130=0,0,(DH130-DG130)/DG130*100)</f>
        <v>0</v>
      </c>
      <c r="DJ130" s="2912"/>
      <c r="DK130" s="2912"/>
      <c r="DL130" s="1071">
        <f>IF(DJ130=0,0,(DK130-DJ130)/DJ130*100)</f>
        <v>0</v>
      </c>
      <c r="DM130" s="2912"/>
      <c r="DN130" s="2912"/>
      <c r="DO130" s="1071">
        <f>IF(DM130=0,0,(DN130-DM130)/DM130*100)</f>
        <v>0</v>
      </c>
      <c r="DP130" s="2912"/>
      <c r="DQ130" s="2912"/>
      <c r="DR130" s="1071">
        <f>IF(DP130=0,0,(DQ130-DP130)/DP130*100)</f>
        <v>0</v>
      </c>
      <c r="DS130" s="2912"/>
      <c r="DT130" s="2912"/>
      <c r="DU130" s="1071">
        <f>IF(DS130=0,0,(DT130-DS130)/DS130*100)</f>
        <v>0</v>
      </c>
      <c r="DV130" s="2912"/>
      <c r="DW130" s="2912"/>
      <c r="DX130" s="1071">
        <f>IF(DV130=0,0,(DW130-DV130)/DV130*100)</f>
        <v>0</v>
      </c>
      <c r="DY130" s="2912"/>
      <c r="DZ130" s="2912"/>
      <c r="EA130" s="1071">
        <f>IF(DY130=0,0,(DZ130-DY130)/DY130*100)</f>
        <v>0</v>
      </c>
      <c r="EB130" s="2912"/>
      <c r="EC130" s="2912"/>
      <c r="ED130" s="1071">
        <f>IF(EB130=0,0,(EC130-EB130)/EB130*100)</f>
        <v>0</v>
      </c>
      <c r="EE130" s="2912"/>
      <c r="EF130" s="2912"/>
      <c r="EG130" s="1071">
        <f>IF(EE130=0,0,(EF130-EE130)/EE130*100)</f>
        <v>0</v>
      </c>
      <c r="EH130" s="2912"/>
      <c r="EI130" s="2912"/>
      <c r="EJ130" s="1071">
        <f>IF(EH130=0,0,(EI130-EH130)/EH130*100)</f>
        <v>0</v>
      </c>
      <c r="EK130" s="2912"/>
      <c r="EL130" s="2912"/>
      <c r="EM130" s="1071">
        <f>IF(EK130=0,0,(EL130-EK130)/EK130*100)</f>
        <v>0</v>
      </c>
      <c r="EN130" s="2912"/>
      <c r="EO130" s="2912"/>
      <c r="EP130" s="1071">
        <f>IF(EN130=0,0,(EO130-EN130)/EN130*100)</f>
        <v>0</v>
      </c>
      <c r="EQ130" s="2912"/>
      <c r="ER130" s="2912"/>
      <c r="ES130" s="1071">
        <f>IF(EQ130=0,0,(ER130-EQ130)/EQ130*100)</f>
        <v>0</v>
      </c>
      <c r="ET130" s="2912"/>
      <c r="EU130" s="2912"/>
      <c r="EV130" s="1071">
        <f>IF(ET130=0,0,(EU130-ET130)/ET130*100)</f>
        <v>0</v>
      </c>
      <c r="EW130" s="2912"/>
      <c r="EX130" s="2912"/>
      <c r="EY130" s="1071">
        <f>IF(EW130=0,0,(EX130-EW130)/EW130*100)</f>
        <v>0</v>
      </c>
      <c r="EZ130" s="2912"/>
      <c r="FA130" s="2912"/>
      <c r="FB130" s="1071">
        <f>IF(EZ130=0,0,(FA130-EZ130)/EZ130*100)</f>
        <v>0</v>
      </c>
      <c r="FC130" s="2912"/>
      <c r="FD130" s="2912"/>
      <c r="FE130" s="1071">
        <f>IF(FC130=0,0,(FD130-FC130)/FC130*100)</f>
        <v>0</v>
      </c>
      <c r="FF130" s="2912"/>
      <c r="FG130" s="2912"/>
      <c r="FH130" s="1071">
        <f>IF(FF130=0,0,(FG130-FF130)/FF130*100)</f>
        <v>0</v>
      </c>
      <c r="FI130" s="2912"/>
      <c r="FJ130" s="2912"/>
      <c r="FK130" s="1071">
        <f>IF(FI130=0,0,(FJ130-FI130)/FI130*100)</f>
        <v>0</v>
      </c>
      <c r="FL130" s="2912"/>
      <c r="FM130" s="2912"/>
      <c r="FN130" s="1071">
        <f>IF(FL130=0,0,(FM130-FL130)/FL130*100)</f>
        <v>0</v>
      </c>
      <c r="FO130" s="2912"/>
      <c r="FP130" s="2912"/>
      <c r="FQ130" s="1071">
        <f>IF(FO130=0,0,(FP130-FO130)/FO130*100)</f>
        <v>0</v>
      </c>
      <c r="FR130" s="2912"/>
      <c r="FS130" s="2912"/>
      <c r="FT130" s="1071">
        <f>IF(FR130=0,0,(FS130-FR130)/FR130*100)</f>
        <v>0</v>
      </c>
      <c r="FU130" s="2912"/>
      <c r="FV130" s="2912"/>
      <c r="FW130" s="1071">
        <f>IF(FU130=0,0,(FV130-FU130)/FU130*100)</f>
        <v>0</v>
      </c>
      <c r="FX130" s="1282"/>
      <c r="FY130" s="1282"/>
      <c r="FZ130" s="1032" t="s">
        <v>1546</v>
      </c>
      <c r="GA130" s="992" t="s">
        <v>818</v>
      </c>
      <c r="GB130" s="992" cm="1" t="str">
        <f t="array" ref="GB130:GB130">GB129</f>
        <v>0</v>
      </c>
      <c r="GC130" s="1283"/>
      <c r="GD130" s="1283"/>
    </row>
    <row s="1624" customFormat="1" customHeight="1" ht="14.25" hidden="1">
      <c r="A131" s="466"/>
      <c r="B131" s="901" cm="1" t="str">
        <f t="array" ref="B131:B131">B130</f>
        <v>false</v>
      </c>
      <c r="C131" s="466"/>
      <c r="D131" s="466"/>
      <c r="E131" s="816">
        <v>15</v>
      </c>
      <c r="F131" s="50" cm="1" t="str">
        <f t="array" ref="F131:F131">OFFSET(E131,-1,1)</f>
        <v>1</v>
      </c>
      <c r="G131" s="466"/>
      <c r="H131" s="466" t="s">
        <v>1518</v>
      </c>
      <c r="I131" s="466" cm="1" t="str">
        <f t="array" ref="I131:I131">I130</f>
        <v>0</v>
      </c>
      <c r="J131" s="466"/>
      <c r="K131" s="466"/>
      <c r="L131" s="466"/>
      <c r="M131" s="466"/>
      <c r="N131" s="466"/>
      <c r="O131" s="466"/>
      <c r="P131" s="466"/>
      <c r="Q131" s="466"/>
      <c r="R131" s="466"/>
      <c r="S131" s="466"/>
      <c r="T131" s="438" cm="1" t="str">
        <f t="array" ref="T131:T131">T130</f>
        <v>false</v>
      </c>
      <c r="U131" s="466"/>
      <c r="V131" s="466"/>
      <c r="W131" s="466"/>
      <c r="X131" s="1541"/>
      <c r="Y131" s="1541"/>
      <c r="Z131" s="1493"/>
      <c r="AA131" s="1442"/>
      <c r="AB131" s="880" t="s">
        <v>1519</v>
      </c>
      <c r="AC131" s="840" t="s">
        <v>1520</v>
      </c>
      <c r="AD131" s="2912"/>
      <c r="AE131" s="2912"/>
      <c r="AF131" s="1071">
        <f>IF(AD131=0,0,(AE131-AD131)/AD131*100)</f>
        <v>0</v>
      </c>
      <c r="AG131" s="2912"/>
      <c r="AH131" s="2912"/>
      <c r="AI131" s="1071">
        <f>IF(AG131=0,0,(AH131-AG131)/AG131*100)</f>
        <v>0</v>
      </c>
      <c r="AJ131" s="2912"/>
      <c r="AK131" s="2912"/>
      <c r="AL131" s="1071">
        <f>IF(AJ131=0,0,(AK131-AJ131)/AJ131*100)</f>
        <v>0</v>
      </c>
      <c r="AM131" s="2912"/>
      <c r="AN131" s="2912"/>
      <c r="AO131" s="1071">
        <f>IF(AM131=0,0,(AN131-AM131)/AM131*100)</f>
        <v>0</v>
      </c>
      <c r="AP131" s="2912"/>
      <c r="AQ131" s="2912"/>
      <c r="AR131" s="1071">
        <f>IF(AP131=0,0,(AQ131-AP131)/AP131*100)</f>
        <v>0</v>
      </c>
      <c r="AS131" s="2912"/>
      <c r="AT131" s="2912"/>
      <c r="AU131" s="1071">
        <f>IF(AS131=0,0,(AT131-AS131)/AS131*100)</f>
        <v>0</v>
      </c>
      <c r="AV131" s="2912"/>
      <c r="AW131" s="2912"/>
      <c r="AX131" s="1071">
        <f>IF(AV131=0,0,(AW131-AV131)/AV131*100)</f>
        <v>0</v>
      </c>
      <c r="AY131" s="2912"/>
      <c r="AZ131" s="2912"/>
      <c r="BA131" s="1071">
        <f>IF(AY131=0,0,(AZ131-AY131)/AY131*100)</f>
        <v>0</v>
      </c>
      <c r="BB131" s="2912"/>
      <c r="BC131" s="2912"/>
      <c r="BD131" s="1071">
        <f>IF(BB131=0,0,(BC131-BB131)/BB131*100)</f>
        <v>0</v>
      </c>
      <c r="BE131" s="2912"/>
      <c r="BF131" s="2912"/>
      <c r="BG131" s="1071">
        <f>IF(BE131=0,0,(BF131-BE131)/BE131*100)</f>
        <v>0</v>
      </c>
      <c r="BH131" s="2912"/>
      <c r="BI131" s="2912"/>
      <c r="BJ131" s="1071">
        <f>IF(BH131=0,0,(BI131-BH131)/BH131*100)</f>
        <v>0</v>
      </c>
      <c r="BK131" s="2912"/>
      <c r="BL131" s="2912"/>
      <c r="BM131" s="1071">
        <f>IF(BK131=0,0,(BL131-BK131)/BK131*100)</f>
        <v>0</v>
      </c>
      <c r="BN131" s="2912"/>
      <c r="BO131" s="2912"/>
      <c r="BP131" s="1071">
        <f>IF(BN131=0,0,(BO131-BN131)/BN131*100)</f>
        <v>0</v>
      </c>
      <c r="BQ131" s="2912"/>
      <c r="BR131" s="2912"/>
      <c r="BS131" s="1071">
        <f>IF(BQ131=0,0,(BR131-BQ131)/BQ131*100)</f>
        <v>0</v>
      </c>
      <c r="BT131" s="2912"/>
      <c r="BU131" s="2912"/>
      <c r="BV131" s="1071">
        <f>IF(BT131=0,0,(BU131-BT131)/BT131*100)</f>
        <v>0</v>
      </c>
      <c r="BW131" s="2912"/>
      <c r="BX131" s="2912"/>
      <c r="BY131" s="1071">
        <f>IF(BW131=0,0,(BX131-BW131)/BW131*100)</f>
        <v>0</v>
      </c>
      <c r="BZ131" s="2912"/>
      <c r="CA131" s="2912"/>
      <c r="CB131" s="1071">
        <f>IF(BZ131=0,0,(CA131-BZ131)/BZ131*100)</f>
        <v>0</v>
      </c>
      <c r="CC131" s="2912"/>
      <c r="CD131" s="2912"/>
      <c r="CE131" s="1071">
        <f>IF(CC131=0,0,(CD131-CC131)/CC131*100)</f>
        <v>0</v>
      </c>
      <c r="CF131" s="2912"/>
      <c r="CG131" s="2912"/>
      <c r="CH131" s="1071">
        <f>IF(CF131=0,0,(CG131-CF131)/CF131*100)</f>
        <v>0</v>
      </c>
      <c r="CI131" s="2912"/>
      <c r="CJ131" s="2912"/>
      <c r="CK131" s="1071">
        <f>IF(CI131=0,0,(CJ131-CI131)/CI131*100)</f>
        <v>0</v>
      </c>
      <c r="CL131" s="2912"/>
      <c r="CM131" s="2912"/>
      <c r="CN131" s="1071">
        <f>IF(CL131=0,0,(CM131-CL131)/CL131*100)</f>
        <v>0</v>
      </c>
      <c r="CO131" s="2912"/>
      <c r="CP131" s="2912"/>
      <c r="CQ131" s="1071">
        <f>IF(CO131=0,0,(CP131-CO131)/CO131*100)</f>
        <v>0</v>
      </c>
      <c r="CR131" s="2912"/>
      <c r="CS131" s="2912"/>
      <c r="CT131" s="1071">
        <f>IF(CR131=0,0,(CS131-CR131)/CR131*100)</f>
        <v>0</v>
      </c>
      <c r="CU131" s="2912"/>
      <c r="CV131" s="2912"/>
      <c r="CW131" s="1071">
        <f>IF(CU131=0,0,(CV131-CU131)/CU131*100)</f>
        <v>0</v>
      </c>
      <c r="CX131" s="2912"/>
      <c r="CY131" s="2912"/>
      <c r="CZ131" s="1071">
        <f>IF(CX131=0,0,(CY131-CX131)/CX131*100)</f>
        <v>0</v>
      </c>
      <c r="DA131" s="2912"/>
      <c r="DB131" s="2912"/>
      <c r="DC131" s="1071">
        <f>IF(DA131=0,0,(DB131-DA131)/DA131*100)</f>
        <v>0</v>
      </c>
      <c r="DD131" s="2912"/>
      <c r="DE131" s="2912"/>
      <c r="DF131" s="1071">
        <f>IF(DD131=0,0,(DE131-DD131)/DD131*100)</f>
        <v>0</v>
      </c>
      <c r="DG131" s="2912"/>
      <c r="DH131" s="2912"/>
      <c r="DI131" s="1071">
        <f>IF(DG131=0,0,(DH131-DG131)/DG131*100)</f>
        <v>0</v>
      </c>
      <c r="DJ131" s="2912"/>
      <c r="DK131" s="2912"/>
      <c r="DL131" s="1071">
        <f>IF(DJ131=0,0,(DK131-DJ131)/DJ131*100)</f>
        <v>0</v>
      </c>
      <c r="DM131" s="2912"/>
      <c r="DN131" s="2912"/>
      <c r="DO131" s="1071">
        <f>IF(DM131=0,0,(DN131-DM131)/DM131*100)</f>
        <v>0</v>
      </c>
      <c r="DP131" s="2912"/>
      <c r="DQ131" s="2912"/>
      <c r="DR131" s="1071">
        <f>IF(DP131=0,0,(DQ131-DP131)/DP131*100)</f>
        <v>0</v>
      </c>
      <c r="DS131" s="2912"/>
      <c r="DT131" s="2912"/>
      <c r="DU131" s="1071">
        <f>IF(DS131=0,0,(DT131-DS131)/DS131*100)</f>
        <v>0</v>
      </c>
      <c r="DV131" s="2912"/>
      <c r="DW131" s="2912"/>
      <c r="DX131" s="1071">
        <f>IF(DV131=0,0,(DW131-DV131)/DV131*100)</f>
        <v>0</v>
      </c>
      <c r="DY131" s="2912"/>
      <c r="DZ131" s="2912"/>
      <c r="EA131" s="1071">
        <f>IF(DY131=0,0,(DZ131-DY131)/DY131*100)</f>
        <v>0</v>
      </c>
      <c r="EB131" s="2912"/>
      <c r="EC131" s="2912"/>
      <c r="ED131" s="1071">
        <f>IF(EB131=0,0,(EC131-EB131)/EB131*100)</f>
        <v>0</v>
      </c>
      <c r="EE131" s="2912"/>
      <c r="EF131" s="2912"/>
      <c r="EG131" s="1071">
        <f>IF(EE131=0,0,(EF131-EE131)/EE131*100)</f>
        <v>0</v>
      </c>
      <c r="EH131" s="2912"/>
      <c r="EI131" s="2912"/>
      <c r="EJ131" s="1071">
        <f>IF(EH131=0,0,(EI131-EH131)/EH131*100)</f>
        <v>0</v>
      </c>
      <c r="EK131" s="2912"/>
      <c r="EL131" s="2912"/>
      <c r="EM131" s="1071">
        <f>IF(EK131=0,0,(EL131-EK131)/EK131*100)</f>
        <v>0</v>
      </c>
      <c r="EN131" s="2912"/>
      <c r="EO131" s="2912"/>
      <c r="EP131" s="1071">
        <f>IF(EN131=0,0,(EO131-EN131)/EN131*100)</f>
        <v>0</v>
      </c>
      <c r="EQ131" s="2912"/>
      <c r="ER131" s="2912"/>
      <c r="ES131" s="1071">
        <f>IF(EQ131=0,0,(ER131-EQ131)/EQ131*100)</f>
        <v>0</v>
      </c>
      <c r="ET131" s="2912"/>
      <c r="EU131" s="2912"/>
      <c r="EV131" s="1071">
        <f>IF(ET131=0,0,(EU131-ET131)/ET131*100)</f>
        <v>0</v>
      </c>
      <c r="EW131" s="2912"/>
      <c r="EX131" s="2912"/>
      <c r="EY131" s="1071">
        <f>IF(EW131=0,0,(EX131-EW131)/EW131*100)</f>
        <v>0</v>
      </c>
      <c r="EZ131" s="2912"/>
      <c r="FA131" s="2912"/>
      <c r="FB131" s="1071">
        <f>IF(EZ131=0,0,(FA131-EZ131)/EZ131*100)</f>
        <v>0</v>
      </c>
      <c r="FC131" s="2912"/>
      <c r="FD131" s="2912"/>
      <c r="FE131" s="1071">
        <f>IF(FC131=0,0,(FD131-FC131)/FC131*100)</f>
        <v>0</v>
      </c>
      <c r="FF131" s="2912"/>
      <c r="FG131" s="2912"/>
      <c r="FH131" s="1071">
        <f>IF(FF131=0,0,(FG131-FF131)/FF131*100)</f>
        <v>0</v>
      </c>
      <c r="FI131" s="2912"/>
      <c r="FJ131" s="2912"/>
      <c r="FK131" s="1071">
        <f>IF(FI131=0,0,(FJ131-FI131)/FI131*100)</f>
        <v>0</v>
      </c>
      <c r="FL131" s="2912"/>
      <c r="FM131" s="2912"/>
      <c r="FN131" s="1071">
        <f>IF(FL131=0,0,(FM131-FL131)/FL131*100)</f>
        <v>0</v>
      </c>
      <c r="FO131" s="2912"/>
      <c r="FP131" s="2912"/>
      <c r="FQ131" s="1071">
        <f>IF(FO131=0,0,(FP131-FO131)/FO131*100)</f>
        <v>0</v>
      </c>
      <c r="FR131" s="2912"/>
      <c r="FS131" s="2912"/>
      <c r="FT131" s="1071">
        <f>IF(FR131=0,0,(FS131-FR131)/FR131*100)</f>
        <v>0</v>
      </c>
      <c r="FU131" s="2912"/>
      <c r="FV131" s="2912"/>
      <c r="FW131" s="1071">
        <f>IF(FU131=0,0,(FV131-FU131)/FU131*100)</f>
        <v>0</v>
      </c>
      <c r="FX131" s="1282"/>
      <c r="FY131" s="1282"/>
      <c r="FZ131" s="1032" t="s">
        <v>1547</v>
      </c>
      <c r="GA131" s="992" t="s">
        <v>818</v>
      </c>
      <c r="GB131" s="992" cm="1" t="str">
        <f t="array" ref="GB131:GB131">GB130</f>
        <v>0</v>
      </c>
      <c r="GC131" s="1283"/>
      <c r="GD131" s="1283"/>
    </row>
    <row s="1624" customFormat="1" customHeight="1" ht="14.25" hidden="1">
      <c r="A132" s="466"/>
      <c r="B132" s="901" cm="1" t="str">
        <f t="array" ref="B132:B132">B131</f>
        <v>false</v>
      </c>
      <c r="C132" s="466"/>
      <c r="D132" s="466"/>
      <c r="E132" s="816">
        <v>15</v>
      </c>
      <c r="F132" s="50" cm="1" t="str">
        <f t="array" ref="F132:F132">OFFSET(E132,-1,1)</f>
        <v>1</v>
      </c>
      <c r="G132" s="466"/>
      <c r="H132" s="466"/>
      <c r="I132" s="64" t="s">
        <v>1548</v>
      </c>
      <c r="J132" s="466"/>
      <c r="K132" s="466"/>
      <c r="L132" s="466"/>
      <c r="M132" s="466"/>
      <c r="N132" s="466"/>
      <c r="O132" s="466"/>
      <c r="P132" s="466"/>
      <c r="Q132" s="466"/>
      <c r="R132" s="466"/>
      <c r="S132" s="466"/>
      <c r="T132" s="438">
        <f>F132&gt;0</f>
        <v>1</v>
      </c>
      <c r="U132" s="466"/>
      <c r="V132" s="1282"/>
      <c r="W132" s="733" t="s">
        <v>1506</v>
      </c>
      <c r="X132" s="1541"/>
      <c r="Y132" s="1282"/>
      <c r="Z132" s="1493"/>
      <c r="AA132" s="1282"/>
      <c r="AB132" s="226" t="s">
        <v>176</v>
      </c>
      <c r="AC132" s="230"/>
      <c r="AD132" s="1076"/>
      <c r="AE132" s="1076"/>
      <c r="AF132" s="1076"/>
      <c r="AG132" s="1076"/>
      <c r="AH132" s="1076"/>
      <c r="AI132" s="1076"/>
      <c r="AJ132" s="1076"/>
      <c r="AK132" s="1076"/>
      <c r="AL132" s="1076"/>
      <c r="AM132" s="1076"/>
      <c r="AN132" s="1076"/>
      <c r="AO132" s="1076"/>
      <c r="AP132" s="1076"/>
      <c r="AQ132" s="1076"/>
      <c r="AR132" s="1076"/>
      <c r="AS132" s="1076"/>
      <c r="AT132" s="1076"/>
      <c r="AU132" s="1076"/>
      <c r="AV132" s="1076"/>
      <c r="AW132" s="1076"/>
      <c r="AX132" s="1076"/>
      <c r="AY132" s="1076"/>
      <c r="AZ132" s="1076"/>
      <c r="BA132" s="1076"/>
      <c r="BB132" s="1076"/>
      <c r="BC132" s="1076"/>
      <c r="BD132" s="1076"/>
      <c r="BE132" s="1076"/>
      <c r="BF132" s="1076"/>
      <c r="BG132" s="1076"/>
      <c r="BH132" s="1076"/>
      <c r="BI132" s="1076"/>
      <c r="BJ132" s="1076"/>
      <c r="BK132" s="1076"/>
      <c r="BL132" s="1076"/>
      <c r="BM132" s="1076"/>
      <c r="BN132" s="1076"/>
      <c r="BO132" s="1076"/>
      <c r="BP132" s="1076"/>
      <c r="BQ132" s="1076"/>
      <c r="BR132" s="1076"/>
      <c r="BS132" s="1076"/>
      <c r="BT132" s="1076"/>
      <c r="BU132" s="1076"/>
      <c r="BV132" s="1076"/>
      <c r="BW132" s="1076"/>
      <c r="BX132" s="1076"/>
      <c r="BY132" s="1076"/>
      <c r="BZ132" s="1076"/>
      <c r="CA132" s="1076"/>
      <c r="CB132" s="1076"/>
      <c r="CC132" s="1076"/>
      <c r="CD132" s="1076"/>
      <c r="CE132" s="1076"/>
      <c r="CF132" s="1076"/>
      <c r="CG132" s="1076"/>
      <c r="CH132" s="1076"/>
      <c r="CI132" s="1076"/>
      <c r="CJ132" s="1076"/>
      <c r="CK132" s="1076"/>
      <c r="CL132" s="1076"/>
      <c r="CM132" s="1076"/>
      <c r="CN132" s="1076"/>
      <c r="CO132" s="1076"/>
      <c r="CP132" s="1076"/>
      <c r="CQ132" s="1076"/>
      <c r="CR132" s="1076"/>
      <c r="CS132" s="1076"/>
      <c r="CT132" s="1076"/>
      <c r="CU132" s="1076"/>
      <c r="CV132" s="1076"/>
      <c r="CW132" s="1076"/>
      <c r="CX132" s="1076"/>
      <c r="CY132" s="1076"/>
      <c r="CZ132" s="1076"/>
      <c r="DA132" s="1076"/>
      <c r="DB132" s="1076"/>
      <c r="DC132" s="1076"/>
      <c r="DD132" s="1076"/>
      <c r="DE132" s="1076"/>
      <c r="DF132" s="1076"/>
      <c r="DG132" s="1076"/>
      <c r="DH132" s="1076"/>
      <c r="DI132" s="1076"/>
      <c r="DJ132" s="1076"/>
      <c r="DK132" s="1076"/>
      <c r="DL132" s="1076"/>
      <c r="DM132" s="1076"/>
      <c r="DN132" s="1076"/>
      <c r="DO132" s="1076"/>
      <c r="DP132" s="1076"/>
      <c r="DQ132" s="1076"/>
      <c r="DR132" s="1076"/>
      <c r="DS132" s="1076"/>
      <c r="DT132" s="1076"/>
      <c r="DU132" s="1076"/>
      <c r="DV132" s="1076"/>
      <c r="DW132" s="1076"/>
      <c r="DX132" s="1076"/>
      <c r="DY132" s="1076"/>
      <c r="DZ132" s="1076"/>
      <c r="EA132" s="1076"/>
      <c r="EB132" s="1076"/>
      <c r="EC132" s="1076"/>
      <c r="ED132" s="1076"/>
      <c r="EE132" s="1076"/>
      <c r="EF132" s="1076"/>
      <c r="EG132" s="1076"/>
      <c r="EH132" s="1076"/>
      <c r="EI132" s="1076"/>
      <c r="EJ132" s="1076"/>
      <c r="EK132" s="1076"/>
      <c r="EL132" s="1076"/>
      <c r="EM132" s="1076"/>
      <c r="EN132" s="1076"/>
      <c r="EO132" s="1076"/>
      <c r="EP132" s="1076"/>
      <c r="EQ132" s="1076"/>
      <c r="ER132" s="1076"/>
      <c r="ES132" s="1076"/>
      <c r="ET132" s="1076"/>
      <c r="EU132" s="1076"/>
      <c r="EV132" s="1076"/>
      <c r="EW132" s="1076"/>
      <c r="EX132" s="1076"/>
      <c r="EY132" s="1076"/>
      <c r="EZ132" s="1076"/>
      <c r="FA132" s="1076"/>
      <c r="FB132" s="1076"/>
      <c r="FC132" s="1076"/>
      <c r="FD132" s="1076"/>
      <c r="FE132" s="1076"/>
      <c r="FF132" s="1076"/>
      <c r="FG132" s="1076"/>
      <c r="FH132" s="1076"/>
      <c r="FI132" s="1076"/>
      <c r="FJ132" s="1076"/>
      <c r="FK132" s="1076"/>
      <c r="FL132" s="1076"/>
      <c r="FM132" s="1076"/>
      <c r="FN132" s="1076"/>
      <c r="FO132" s="1076"/>
      <c r="FP132" s="1076"/>
      <c r="FQ132" s="1076"/>
      <c r="FR132" s="1076"/>
      <c r="FS132" s="1076"/>
      <c r="FT132" s="1076"/>
      <c r="FU132" s="1076"/>
      <c r="FV132" s="1076"/>
      <c r="FW132" s="1077"/>
      <c r="FX132" s="1282"/>
      <c r="FY132" s="1282"/>
      <c r="FZ132" s="1032" t="s">
        <v>228</v>
      </c>
      <c r="GA132" s="1284"/>
      <c r="GB132" s="1284"/>
      <c r="GC132" s="607" t="s">
        <v>818</v>
      </c>
      <c r="GD132" s="1283"/>
    </row>
    <row s="1624" customFormat="1" customHeight="1" ht="11.25" hidden="1">
      <c r="A133" s="455"/>
      <c r="B133" s="901"/>
      <c r="C133" s="455"/>
      <c r="D133" s="455"/>
      <c r="E133" s="842">
        <v>0</v>
      </c>
      <c r="F133" s="1153" cm="1" t="str">
        <f t="array" ref="F133:F133">OFFSET(E133,-1,1)</f>
        <v>1</v>
      </c>
      <c r="G133" s="455"/>
      <c r="H133" s="455"/>
      <c r="I133" s="455"/>
      <c r="J133" s="455"/>
      <c r="K133" s="455"/>
      <c r="L133" s="455"/>
      <c r="M133" s="455"/>
      <c r="N133" s="455"/>
      <c r="O133" s="455"/>
      <c r="P133" s="455"/>
      <c r="Q133" s="455"/>
      <c r="R133" s="455"/>
      <c r="S133" s="455"/>
      <c r="T133" s="438" t="b">
        <v>0</v>
      </c>
      <c r="U133" s="455"/>
      <c r="V133" s="455"/>
      <c r="W133" s="455"/>
      <c r="X133" s="1541"/>
      <c r="Y133" s="455"/>
      <c r="Z133" s="1493"/>
      <c r="AA133" s="455"/>
      <c r="AB133" s="0"/>
      <c r="AC133" s="455"/>
      <c r="AD133" s="1086"/>
      <c r="AE133" s="1086"/>
      <c r="AF133" s="1086"/>
      <c r="AG133" s="0"/>
      <c r="AH133" s="0"/>
      <c r="AI133" s="0"/>
      <c r="AJ133" s="0"/>
      <c r="AK133" s="0"/>
      <c r="AL133" s="0"/>
      <c r="AM133" s="0"/>
      <c r="AN133" s="0"/>
      <c r="AO133" s="0"/>
      <c r="AP133" s="0"/>
      <c r="AQ133" s="0"/>
      <c r="AR133" s="0"/>
      <c r="AS133" s="0"/>
      <c r="AT133" s="0"/>
      <c r="AU133" s="0"/>
      <c r="AV133" s="0"/>
      <c r="AW133" s="0"/>
      <c r="AX133" s="0"/>
      <c r="AY133" s="0"/>
      <c r="AZ133" s="0"/>
      <c r="BA133" s="0"/>
      <c r="BB133" s="0"/>
      <c r="BC133" s="0"/>
      <c r="BD133" s="0"/>
      <c r="BE133" s="0"/>
      <c r="BF133" s="0"/>
      <c r="BG133" s="0"/>
      <c r="BH133" s="0"/>
      <c r="BI133" s="0"/>
      <c r="BJ133" s="0"/>
      <c r="BK133" s="0"/>
      <c r="BL133" s="0"/>
      <c r="BM133" s="0"/>
      <c r="BN133" s="0"/>
      <c r="BO133" s="0"/>
      <c r="BP133" s="0"/>
      <c r="BQ133" s="0"/>
      <c r="BR133" s="0"/>
      <c r="BS133" s="0"/>
      <c r="BT133" s="0"/>
      <c r="BU133" s="0"/>
      <c r="BV133" s="0"/>
      <c r="BW133" s="0"/>
      <c r="BX133" s="0"/>
      <c r="BY133" s="0"/>
      <c r="BZ133" s="0"/>
      <c r="CA133" s="0"/>
      <c r="CB133" s="0"/>
      <c r="CC133" s="0"/>
      <c r="CD133" s="0"/>
      <c r="CE133" s="0"/>
      <c r="CF133" s="0"/>
      <c r="CG133" s="0"/>
      <c r="CH133" s="0"/>
      <c r="CI133" s="0"/>
      <c r="CJ133" s="0"/>
      <c r="CK133" s="0"/>
      <c r="CL133" s="0"/>
      <c r="CM133" s="0"/>
      <c r="CN133" s="0"/>
      <c r="CO133" s="0"/>
      <c r="CP133" s="0"/>
      <c r="CQ133" s="0"/>
      <c r="CR133" s="0"/>
      <c r="CS133" s="0"/>
      <c r="CT133" s="0"/>
      <c r="CU133" s="0"/>
      <c r="CV133" s="0"/>
      <c r="CW133" s="0"/>
      <c r="CX133" s="0"/>
      <c r="CY133" s="0"/>
      <c r="CZ133" s="0"/>
      <c r="DA133" s="0"/>
      <c r="DB133" s="0"/>
      <c r="DC133" s="0"/>
      <c r="DD133" s="0"/>
      <c r="DE133" s="0"/>
      <c r="DF133" s="0"/>
      <c r="DG133" s="0"/>
      <c r="DH133" s="0"/>
      <c r="DI133" s="0"/>
      <c r="DJ133" s="0"/>
      <c r="DK133" s="0"/>
      <c r="DL133" s="0"/>
      <c r="DM133" s="0"/>
      <c r="DN133" s="0"/>
      <c r="DO133" s="0"/>
      <c r="DP133" s="0"/>
      <c r="DQ133" s="0"/>
      <c r="DR133" s="0"/>
      <c r="DS133" s="0"/>
      <c r="DT133" s="0"/>
      <c r="DU133" s="0"/>
      <c r="DV133" s="0"/>
      <c r="DW133" s="0"/>
      <c r="DX133" s="0"/>
      <c r="DY133" s="0"/>
      <c r="DZ133" s="0"/>
      <c r="EA133" s="0"/>
      <c r="EB133" s="0"/>
      <c r="EC133" s="0"/>
      <c r="ED133" s="0"/>
      <c r="EE133" s="0"/>
      <c r="EF133" s="0"/>
      <c r="EG133" s="0"/>
      <c r="EH133" s="0"/>
      <c r="EI133" s="0"/>
      <c r="EJ133" s="0"/>
      <c r="EK133" s="0"/>
      <c r="EL133" s="0"/>
      <c r="EM133" s="0"/>
      <c r="EN133" s="0"/>
      <c r="EO133" s="0"/>
      <c r="EP133" s="0"/>
      <c r="EQ133" s="0"/>
      <c r="ER133" s="0"/>
      <c r="ES133" s="0"/>
      <c r="ET133" s="0"/>
      <c r="EU133" s="0"/>
      <c r="EV133" s="0"/>
      <c r="EW133" s="0"/>
      <c r="EX133" s="0"/>
      <c r="EY133" s="0"/>
      <c r="EZ133" s="0"/>
      <c r="FA133" s="0"/>
      <c r="FB133" s="0"/>
      <c r="FC133" s="0"/>
      <c r="FD133" s="0"/>
      <c r="FE133" s="0"/>
      <c r="FF133" s="0"/>
      <c r="FG133" s="0"/>
      <c r="FH133" s="0"/>
      <c r="FI133" s="0"/>
      <c r="FJ133" s="0"/>
      <c r="FK133" s="0"/>
      <c r="FL133" s="0"/>
      <c r="FM133" s="0"/>
      <c r="FN133" s="0"/>
      <c r="FO133" s="0"/>
      <c r="FP133" s="0"/>
      <c r="FQ133" s="0"/>
      <c r="FR133" s="0"/>
      <c r="FS133" s="0"/>
      <c r="FT133" s="0"/>
      <c r="FU133" s="0"/>
      <c r="FV133" s="0"/>
      <c r="FW133" s="0"/>
      <c r="FX133" s="1624"/>
      <c r="FY133" s="1624"/>
      <c r="FZ133" s="1032" t="s">
        <v>228</v>
      </c>
      <c r="GA133" s="996"/>
      <c r="GB133" s="1035"/>
      <c r="GC133" s="662"/>
      <c r="GD133" s="662"/>
    </row>
    <row s="3248" customFormat="1" customHeight="1" ht="23.25">
      <c r="A134" s="873"/>
      <c r="B134" s="901" cm="1" t="str">
        <f t="array" ref="B134:B134">S85</f>
        <v>true</v>
      </c>
      <c r="C134" s="873"/>
      <c r="D134" s="873"/>
      <c r="E134" s="816">
        <v>24.5</v>
      </c>
      <c r="F134" s="50" cm="1" t="str">
        <f t="array" ref="F134:F134">OFFSET(E134,-1,1)</f>
        <v>1</v>
      </c>
      <c r="G134" s="73" t="s">
        <v>1473</v>
      </c>
      <c r="H134" s="466" t="s">
        <v>434</v>
      </c>
      <c r="I134" s="466" t="s">
        <v>1549</v>
      </c>
      <c r="J134" s="873"/>
      <c r="K134" s="873"/>
      <c r="L134" s="873"/>
      <c r="M134" s="873"/>
      <c r="N134" s="873"/>
      <c r="O134" s="873"/>
      <c r="P134" s="873"/>
      <c r="Q134" s="873"/>
      <c r="R134" s="873"/>
      <c r="S134" s="466"/>
      <c r="T134" s="438" cm="1" t="str">
        <f t="array" ref="T134:T134">T132</f>
        <v>true</v>
      </c>
      <c r="U134" s="873"/>
      <c r="V134" s="873"/>
      <c r="W134" s="873"/>
      <c r="X134" s="1541"/>
      <c r="Y134" s="873"/>
      <c r="Z134" s="1493"/>
      <c r="AA134" s="873"/>
      <c r="AB134" s="185" t="s">
        <v>1550</v>
      </c>
      <c r="AC134" s="200" t="s">
        <v>1476</v>
      </c>
      <c r="AD134" s="267">
        <f>IF(AND(method_reg="Метод индексации",god&lt;&gt;first_year),_xlfn.SUMIFS(INDEX('Калькуляция (МИ корр)'!$AJ$25:$BC$315,,MATCH(AD$8,'Калькуляция (МИ корр)'!$AJ$8:$BC$8,0)),'Калькуляция (МИ корр)'!$F$25:$F$315,$F134,'Калькуляция (МИ корр)'!$G$25:$G$315,$G134),IF(method_reg="Метод экономически обоснованных расходов",_xlfn.SUMIFS('Калькуляция (МЭОР)'!$AJ$25:$AJ$197,'Калькуляция (МЭОР)'!$F$25:$F$197,$F134,'Калькуляция (МЭОР)'!$G$25:$G$197,$G134),IF(method_reg="Метод сравнения аналогов",_xlfn.SUMIFS('Калькуляция (МСА)'!$AE$25:$AE$65,'Калькуляция (МСА)'!$F$25:$F$65,$F134,'Калькуляция (МСА)'!$G$25:$G$65,$G134),_xlfn.SUMIFS(INDEX('Калькуляция (МИ)'!$AJ$25:$BC$315,,MATCH(AD$8,'Калькуляция (МИ)'!$AJ$8:$BC$8,0)),'Калькуляция (МИ)'!$F$25:$F$315,$F134,'Калькуляция (МИ)'!$G$25:$G$315,$G134))))</f>
        <v>2.88</v>
      </c>
      <c r="AE134" s="267">
        <f>IF(AND(method_reg="Метод индексации",god&lt;&gt;first_year),_xlfn.SUMIFS(INDEX('Калькуляция (МИ корр)'!$AJ$25:$BC$315,,MATCH(AE$8,'Калькуляция (МИ корр)'!$AJ$8:$BC$8,0)),'Калькуляция (МИ корр)'!$F$25:$F$315,$F134,'Калькуляция (МИ корр)'!$G$25:$G$315,$G134),IF(method_reg="Метод экономически обоснованных расходов",_xlfn.SUMIFS('Калькуляция (МЭОР)'!$AK$25:$AK$197,'Калькуляция (МЭОР)'!$F$25:$F$197,$F134,'Калькуляция (МЭОР)'!$G$25:$G$197,$G134),IF(method_reg="Метод сравнения аналогов",_xlfn.SUMIFS('Калькуляция (МСА)'!$AF$25:$AF$65,'Калькуляция (МСА)'!$F$25:$F$65,$F134,'Калькуляция (МСА)'!$G$25:$G$65,$G134),_xlfn.SUMIFS(INDEX('Калькуляция (МИ)'!$AJ$25:$BC$315,,MATCH(AE$8,'Калькуляция (МИ)'!$AJ$8:$BC$8,0)),'Калькуляция (МИ)'!$F$25:$F$315,$F134,'Калькуляция (МИ)'!$G$25:$G$315,$G134))))</f>
        <v>2.78</v>
      </c>
      <c r="AF134" s="262">
        <f>IF(AD134=0,0,(AE134-AD134)/AD134*100)</f>
        <v>-3.47222222222222</v>
      </c>
      <c r="AG134" s="267">
        <f>IF(AND(method_reg="Метод индексации",god&lt;&gt;first_year),_xlfn.SUMIFS(INDEX('Калькуляция (МИ корр)'!$AJ$25:$BC$315,,MATCH(AG$8,'Калькуляция (МИ корр)'!$AJ$8:$BC$8,0)),'Калькуляция (МИ корр)'!$F$25:$F$315,$F134,'Калькуляция (МИ корр)'!$G$25:$G$315,$G134),IF(method_reg="Метод экономически обоснованных расходов",_xlfn.SUMIFS('Калькуляция (МЭОР)'!$AJ$25:$AJ$197,'Калькуляция (МЭОР)'!$F$25:$F$197,$F134,'Калькуляция (МЭОР)'!$G$25:$G$197,$G134),IF(method_reg="Метод сравнения аналогов",_xlfn.SUMIFS('Калькуляция (МСА)'!$AE$25:$AE$65,'Калькуляция (МСА)'!$F$25:$F$65,$F134,'Калькуляция (МСА)'!$G$25:$G$65,$G134),_xlfn.SUMIFS(INDEX('Калькуляция (МИ)'!$AJ$25:$BC$315,,MATCH(AG$8,'Калькуляция (МИ)'!$AJ$8:$BC$8,0)),'Калькуляция (МИ)'!$F$25:$F$315,$F134,'Калькуляция (МИ)'!$G$25:$G$315,$G134))))</f>
        <v>2.88</v>
      </c>
      <c r="AH134" s="267">
        <f>IF(AND(method_reg="Метод индексации",god&lt;&gt;first_year),_xlfn.SUMIFS(INDEX('Калькуляция (МИ корр)'!$AJ$25:$BC$315,,MATCH(AH$8,'Калькуляция (МИ корр)'!$AJ$8:$BC$8,0)),'Калькуляция (МИ корр)'!$F$25:$F$315,$F134,'Калькуляция (МИ корр)'!$G$25:$G$315,$G134),IF(method_reg="Метод экономически обоснованных расходов",_xlfn.SUMIFS('Калькуляция (МЭОР)'!$AK$25:$AK$197,'Калькуляция (МЭОР)'!$F$25:$F$197,$F134,'Калькуляция (МЭОР)'!$G$25:$G$197,$G134),IF(method_reg="Метод сравнения аналогов",_xlfn.SUMIFS('Калькуляция (МСА)'!$AF$25:$AF$65,'Калькуляция (МСА)'!$F$25:$F$65,$F134,'Калькуляция (МСА)'!$G$25:$G$65,$G134),_xlfn.SUMIFS(INDEX('Калькуляция (МИ)'!$AJ$25:$BC$315,,MATCH(AH$8,'Калькуляция (МИ)'!$AJ$8:$BC$8,0)),'Калькуляция (МИ)'!$F$25:$F$315,$F134,'Калькуляция (МИ)'!$G$25:$G$315,$G134))))</f>
        <v>2.78</v>
      </c>
      <c r="AI134" s="262">
        <f>IF(AG134=0,0,(AH134-AG134)/AG134*100)</f>
        <v>-3.47222222222222</v>
      </c>
      <c r="AJ134" s="267">
        <f>IF(AND(method_reg="Метод индексации",god&lt;&gt;first_year),_xlfn.SUMIFS(INDEX('Калькуляция (МИ корр)'!$AJ$25:$BC$315,,MATCH(AJ$8,'Калькуляция (МИ корр)'!$AJ$8:$BC$8,0)),'Калькуляция (МИ корр)'!$F$25:$F$315,$F134,'Калькуляция (МИ корр)'!$G$25:$G$315,$G134),IF(method_reg="Метод экономически обоснованных расходов",_xlfn.SUMIFS('Калькуляция (МЭОР)'!$AJ$25:$AJ$197,'Калькуляция (МЭОР)'!$F$25:$F$197,$F134,'Калькуляция (МЭОР)'!$G$25:$G$197,$G134),IF(method_reg="Метод сравнения аналогов",_xlfn.SUMIFS('Калькуляция (МСА)'!$AE$25:$AE$65,'Калькуляция (МСА)'!$F$25:$F$65,$F134,'Калькуляция (МСА)'!$G$25:$G$65,$G134),_xlfn.SUMIFS(INDEX('Калькуляция (МИ)'!$AJ$25:$BC$315,,MATCH(AJ$8,'Калькуляция (МИ)'!$AJ$8:$BC$8,0)),'Калькуляция (МИ)'!$F$25:$F$315,$F134,'Калькуляция (МИ)'!$G$25:$G$315,$G134))))</f>
        <v>2.88</v>
      </c>
      <c r="AK134" s="267">
        <f>IF(AND(method_reg="Метод индексации",god&lt;&gt;first_year),_xlfn.SUMIFS(INDEX('Калькуляция (МИ корр)'!$AJ$25:$BC$315,,MATCH(AK$8,'Калькуляция (МИ корр)'!$AJ$8:$BC$8,0)),'Калькуляция (МИ корр)'!$F$25:$F$315,$F134,'Калькуляция (МИ корр)'!$G$25:$G$315,$G134),IF(method_reg="Метод экономически обоснованных расходов",_xlfn.SUMIFS('Калькуляция (МЭОР)'!$AK$25:$AK$197,'Калькуляция (МЭОР)'!$F$25:$F$197,$F134,'Калькуляция (МЭОР)'!$G$25:$G$197,$G134),IF(method_reg="Метод сравнения аналогов",_xlfn.SUMIFS('Калькуляция (МСА)'!$AF$25:$AF$65,'Калькуляция (МСА)'!$F$25:$F$65,$F134,'Калькуляция (МСА)'!$G$25:$G$65,$G134),_xlfn.SUMIFS(INDEX('Калькуляция (МИ)'!$AJ$25:$BC$315,,MATCH(AK$8,'Калькуляция (МИ)'!$AJ$8:$BC$8,0)),'Калькуляция (МИ)'!$F$25:$F$315,$F134,'Калькуляция (МИ)'!$G$25:$G$315,$G134))))</f>
        <v>2.78</v>
      </c>
      <c r="AL134" s="262">
        <f>IF(AJ134=0,0,(AK134-AJ134)/AJ134*100)</f>
        <v>-3.47222222222222</v>
      </c>
      <c r="AM134" s="267">
        <f>IF(AND(method_reg="Метод индексации",god&lt;&gt;first_year),_xlfn.SUMIFS(INDEX('Калькуляция (МИ корр)'!$AJ$25:$BC$315,,MATCH(AM$8,'Калькуляция (МИ корр)'!$AJ$8:$BC$8,0)),'Калькуляция (МИ корр)'!$F$25:$F$315,$F134,'Калькуляция (МИ корр)'!$G$25:$G$315,$G134),IF(method_reg="Метод экономически обоснованных расходов",_xlfn.SUMIFS('Калькуляция (МЭОР)'!$AJ$25:$AJ$197,'Калькуляция (МЭОР)'!$F$25:$F$197,$F134,'Калькуляция (МЭОР)'!$G$25:$G$197,$G134),IF(method_reg="Метод сравнения аналогов",_xlfn.SUMIFS('Калькуляция (МСА)'!$AE$25:$AE$65,'Калькуляция (МСА)'!$F$25:$F$65,$F134,'Калькуляция (МСА)'!$G$25:$G$65,$G134),_xlfn.SUMIFS(INDEX('Калькуляция (МИ)'!$AJ$25:$BC$315,,MATCH(AM$8,'Калькуляция (МИ)'!$AJ$8:$BC$8,0)),'Калькуляция (МИ)'!$F$25:$F$315,$F134,'Калькуляция (МИ)'!$G$25:$G$315,$G134))))</f>
        <v>2.88</v>
      </c>
      <c r="AN134" s="267">
        <f>IF(AND(method_reg="Метод индексации",god&lt;&gt;first_year),_xlfn.SUMIFS(INDEX('Калькуляция (МИ корр)'!$AJ$25:$BC$315,,MATCH(AN$8,'Калькуляция (МИ корр)'!$AJ$8:$BC$8,0)),'Калькуляция (МИ корр)'!$F$25:$F$315,$F134,'Калькуляция (МИ корр)'!$G$25:$G$315,$G134),IF(method_reg="Метод экономически обоснованных расходов",_xlfn.SUMIFS('Калькуляция (МЭОР)'!$AK$25:$AK$197,'Калькуляция (МЭОР)'!$F$25:$F$197,$F134,'Калькуляция (МЭОР)'!$G$25:$G$197,$G134),IF(method_reg="Метод сравнения аналогов",_xlfn.SUMIFS('Калькуляция (МСА)'!$AF$25:$AF$65,'Калькуляция (МСА)'!$F$25:$F$65,$F134,'Калькуляция (МСА)'!$G$25:$G$65,$G134),_xlfn.SUMIFS(INDEX('Калькуляция (МИ)'!$AJ$25:$BC$315,,MATCH(AN$8,'Калькуляция (МИ)'!$AJ$8:$BC$8,0)),'Калькуляция (МИ)'!$F$25:$F$315,$F134,'Калькуляция (МИ)'!$G$25:$G$315,$G134))))</f>
        <v>2.78</v>
      </c>
      <c r="AO134" s="262">
        <f>IF(AM134=0,0,(AN134-AM134)/AM134*100)</f>
        <v>-3.47222222222222</v>
      </c>
      <c r="AP134" s="267">
        <f>IF(AND(method_reg="Метод индексации",god&lt;&gt;first_year),_xlfn.SUMIFS(INDEX('Калькуляция (МИ корр)'!$AJ$25:$BC$315,,MATCH(AP$8,'Калькуляция (МИ корр)'!$AJ$8:$BC$8,0)),'Калькуляция (МИ корр)'!$F$25:$F$315,$F134,'Калькуляция (МИ корр)'!$G$25:$G$315,$G134),IF(method_reg="Метод экономически обоснованных расходов",_xlfn.SUMIFS('Калькуляция (МЭОР)'!$AJ$25:$AJ$197,'Калькуляция (МЭОР)'!$F$25:$F$197,$F134,'Калькуляция (МЭОР)'!$G$25:$G$197,$G134),IF(method_reg="Метод сравнения аналогов",_xlfn.SUMIFS('Калькуляция (МСА)'!$AE$25:$AE$65,'Калькуляция (МСА)'!$F$25:$F$65,$F134,'Калькуляция (МСА)'!$G$25:$G$65,$G134),_xlfn.SUMIFS(INDEX('Калькуляция (МИ)'!$AJ$25:$BC$315,,MATCH(AP$8,'Калькуляция (МИ)'!$AJ$8:$BC$8,0)),'Калькуляция (МИ)'!$F$25:$F$315,$F134,'Калькуляция (МИ)'!$G$25:$G$315,$G134))))</f>
        <v>2.88</v>
      </c>
      <c r="AQ134" s="267">
        <f>IF(AND(method_reg="Метод индексации",god&lt;&gt;first_year),_xlfn.SUMIFS(INDEX('Калькуляция (МИ корр)'!$AJ$25:$BC$315,,MATCH(AQ$8,'Калькуляция (МИ корр)'!$AJ$8:$BC$8,0)),'Калькуляция (МИ корр)'!$F$25:$F$315,$F134,'Калькуляция (МИ корр)'!$G$25:$G$315,$G134),IF(method_reg="Метод экономически обоснованных расходов",_xlfn.SUMIFS('Калькуляция (МЭОР)'!$AK$25:$AK$197,'Калькуляция (МЭОР)'!$F$25:$F$197,$F134,'Калькуляция (МЭОР)'!$G$25:$G$197,$G134),IF(method_reg="Метод сравнения аналогов",_xlfn.SUMIFS('Калькуляция (МСА)'!$AF$25:$AF$65,'Калькуляция (МСА)'!$F$25:$F$65,$F134,'Калькуляция (МСА)'!$G$25:$G$65,$G134),_xlfn.SUMIFS(INDEX('Калькуляция (МИ)'!$AJ$25:$BC$315,,MATCH(AQ$8,'Калькуляция (МИ)'!$AJ$8:$BC$8,0)),'Калькуляция (МИ)'!$F$25:$F$315,$F134,'Калькуляция (МИ)'!$G$25:$G$315,$G134))))</f>
        <v>2.78</v>
      </c>
      <c r="AR134" s="262">
        <f>IF(AP134=0,0,(AQ134-AP134)/AP134*100)</f>
        <v>-3.47222222222222</v>
      </c>
      <c r="AS134" s="267">
        <f>IF(AND(method_reg="Метод индексации",god&lt;&gt;first_year),_xlfn.SUMIFS(INDEX('Калькуляция (МИ корр)'!$AJ$25:$BC$315,,MATCH(AS$8,'Калькуляция (МИ корр)'!$AJ$8:$BC$8,0)),'Калькуляция (МИ корр)'!$F$25:$F$315,$F134,'Калькуляция (МИ корр)'!$G$25:$G$315,$G134),IF(method_reg="Метод экономически обоснованных расходов",_xlfn.SUMIFS('Калькуляция (МЭОР)'!$AJ$25:$AJ$197,'Калькуляция (МЭОР)'!$F$25:$F$197,$F134,'Калькуляция (МЭОР)'!$G$25:$G$197,$G134),IF(method_reg="Метод сравнения аналогов",_xlfn.SUMIFS('Калькуляция (МСА)'!$AE$25:$AE$65,'Калькуляция (МСА)'!$F$25:$F$65,$F134,'Калькуляция (МСА)'!$G$25:$G$65,$G134),_xlfn.SUMIFS(INDEX('Калькуляция (МИ)'!$AJ$25:$BC$315,,MATCH(AS$8,'Калькуляция (МИ)'!$AJ$8:$BC$8,0)),'Калькуляция (МИ)'!$F$25:$F$315,$F134,'Калькуляция (МИ)'!$G$25:$G$315,$G134))))</f>
        <v>2.88</v>
      </c>
      <c r="AT134" s="267">
        <f>IF(AND(method_reg="Метод индексации",god&lt;&gt;first_year),_xlfn.SUMIFS(INDEX('Калькуляция (МИ корр)'!$AJ$25:$BC$315,,MATCH(AT$8,'Калькуляция (МИ корр)'!$AJ$8:$BC$8,0)),'Калькуляция (МИ корр)'!$F$25:$F$315,$F134,'Калькуляция (МИ корр)'!$G$25:$G$315,$G134),IF(method_reg="Метод экономически обоснованных расходов",_xlfn.SUMIFS('Калькуляция (МЭОР)'!$AK$25:$AK$197,'Калькуляция (МЭОР)'!$F$25:$F$197,$F134,'Калькуляция (МЭОР)'!$G$25:$G$197,$G134),IF(method_reg="Метод сравнения аналогов",_xlfn.SUMIFS('Калькуляция (МСА)'!$AF$25:$AF$65,'Калькуляция (МСА)'!$F$25:$F$65,$F134,'Калькуляция (МСА)'!$G$25:$G$65,$G134),_xlfn.SUMIFS(INDEX('Калькуляция (МИ)'!$AJ$25:$BC$315,,MATCH(AT$8,'Калькуляция (МИ)'!$AJ$8:$BC$8,0)),'Калькуляция (МИ)'!$F$25:$F$315,$F134,'Калькуляция (МИ)'!$G$25:$G$315,$G134))))</f>
        <v>2.78</v>
      </c>
      <c r="AU134" s="262">
        <f>IF(AS134=0,0,(AT134-AS134)/AS134*100)</f>
        <v>-3.47222222222222</v>
      </c>
      <c r="AV134" s="267">
        <f>IF(AND(method_reg="Метод индексации",god&lt;&gt;first_year),_xlfn.SUMIFS(INDEX('Калькуляция (МИ корр)'!$AJ$25:$BC$315,,MATCH(AV$8,'Калькуляция (МИ корр)'!$AJ$8:$BC$8,0)),'Калькуляция (МИ корр)'!$F$25:$F$315,$F134,'Калькуляция (МИ корр)'!$G$25:$G$315,$G134),IF(method_reg="Метод экономически обоснованных расходов",_xlfn.SUMIFS('Калькуляция (МЭОР)'!$AJ$25:$AJ$197,'Калькуляция (МЭОР)'!$F$25:$F$197,$F134,'Калькуляция (МЭОР)'!$G$25:$G$197,$G134),IF(method_reg="Метод сравнения аналогов",_xlfn.SUMIFS('Калькуляция (МСА)'!$AE$25:$AE$65,'Калькуляция (МСА)'!$F$25:$F$65,$F134,'Калькуляция (МСА)'!$G$25:$G$65,$G134),_xlfn.SUMIFS(INDEX('Калькуляция (МИ)'!$AJ$25:$BC$315,,MATCH(AV$8,'Калькуляция (МИ)'!$AJ$8:$BC$8,0)),'Калькуляция (МИ)'!$F$25:$F$315,$F134,'Калькуляция (МИ)'!$G$25:$G$315,$G134))))</f>
        <v>2.88</v>
      </c>
      <c r="AW134" s="267">
        <f>IF(AND(method_reg="Метод индексации",god&lt;&gt;first_year),_xlfn.SUMIFS(INDEX('Калькуляция (МИ корр)'!$AJ$25:$BC$315,,MATCH(AW$8,'Калькуляция (МИ корр)'!$AJ$8:$BC$8,0)),'Калькуляция (МИ корр)'!$F$25:$F$315,$F134,'Калькуляция (МИ корр)'!$G$25:$G$315,$G134),IF(method_reg="Метод экономически обоснованных расходов",_xlfn.SUMIFS('Калькуляция (МЭОР)'!$AK$25:$AK$197,'Калькуляция (МЭОР)'!$F$25:$F$197,$F134,'Калькуляция (МЭОР)'!$G$25:$G$197,$G134),IF(method_reg="Метод сравнения аналогов",_xlfn.SUMIFS('Калькуляция (МСА)'!$AF$25:$AF$65,'Калькуляция (МСА)'!$F$25:$F$65,$F134,'Калькуляция (МСА)'!$G$25:$G$65,$G134),_xlfn.SUMIFS(INDEX('Калькуляция (МИ)'!$AJ$25:$BC$315,,MATCH(AW$8,'Калькуляция (МИ)'!$AJ$8:$BC$8,0)),'Калькуляция (МИ)'!$F$25:$F$315,$F134,'Калькуляция (МИ)'!$G$25:$G$315,$G134))))</f>
        <v>2.78</v>
      </c>
      <c r="AX134" s="262">
        <f>IF(AV134=0,0,(AW134-AV134)/AV134*100)</f>
        <v>-3.47222222222222</v>
      </c>
      <c r="AY134" s="267">
        <f>IF(AND(method_reg="Метод индексации",god&lt;&gt;first_year),_xlfn.SUMIFS(INDEX('Калькуляция (МИ корр)'!$AJ$25:$BC$315,,MATCH(AY$8,'Калькуляция (МИ корр)'!$AJ$8:$BC$8,0)),'Калькуляция (МИ корр)'!$F$25:$F$315,$F134,'Калькуляция (МИ корр)'!$G$25:$G$315,$G134),IF(method_reg="Метод экономически обоснованных расходов",_xlfn.SUMIFS('Калькуляция (МЭОР)'!$AJ$25:$AJ$197,'Калькуляция (МЭОР)'!$F$25:$F$197,$F134,'Калькуляция (МЭОР)'!$G$25:$G$197,$G134),IF(method_reg="Метод сравнения аналогов",_xlfn.SUMIFS('Калькуляция (МСА)'!$AE$25:$AE$65,'Калькуляция (МСА)'!$F$25:$F$65,$F134,'Калькуляция (МСА)'!$G$25:$G$65,$G134),_xlfn.SUMIFS(INDEX('Калькуляция (МИ)'!$AJ$25:$BC$315,,MATCH(AY$8,'Калькуляция (МИ)'!$AJ$8:$BC$8,0)),'Калькуляция (МИ)'!$F$25:$F$315,$F134,'Калькуляция (МИ)'!$G$25:$G$315,$G134))))</f>
        <v>2.88</v>
      </c>
      <c r="AZ134" s="267">
        <f>IF(AND(method_reg="Метод индексации",god&lt;&gt;first_year),_xlfn.SUMIFS(INDEX('Калькуляция (МИ корр)'!$AJ$25:$BC$315,,MATCH(AZ$8,'Калькуляция (МИ корр)'!$AJ$8:$BC$8,0)),'Калькуляция (МИ корр)'!$F$25:$F$315,$F134,'Калькуляция (МИ корр)'!$G$25:$G$315,$G134),IF(method_reg="Метод экономически обоснованных расходов",_xlfn.SUMIFS('Калькуляция (МЭОР)'!$AK$25:$AK$197,'Калькуляция (МЭОР)'!$F$25:$F$197,$F134,'Калькуляция (МЭОР)'!$G$25:$G$197,$G134),IF(method_reg="Метод сравнения аналогов",_xlfn.SUMIFS('Калькуляция (МСА)'!$AF$25:$AF$65,'Калькуляция (МСА)'!$F$25:$F$65,$F134,'Калькуляция (МСА)'!$G$25:$G$65,$G134),_xlfn.SUMIFS(INDEX('Калькуляция (МИ)'!$AJ$25:$BC$315,,MATCH(AZ$8,'Калькуляция (МИ)'!$AJ$8:$BC$8,0)),'Калькуляция (МИ)'!$F$25:$F$315,$F134,'Калькуляция (МИ)'!$G$25:$G$315,$G134))))</f>
        <v>2.78</v>
      </c>
      <c r="BA134" s="262">
        <f>IF(AY134=0,0,(AZ134-AY134)/AY134*100)</f>
        <v>-3.47222222222222</v>
      </c>
      <c r="BB134" s="267">
        <f>IF(AND(method_reg="Метод индексации",god&lt;&gt;first_year),_xlfn.SUMIFS(INDEX('Калькуляция (МИ корр)'!$AJ$25:$BC$315,,MATCH(BB$8,'Калькуляция (МИ корр)'!$AJ$8:$BC$8,0)),'Калькуляция (МИ корр)'!$F$25:$F$315,$F134,'Калькуляция (МИ корр)'!$G$25:$G$315,$G134),IF(method_reg="Метод экономически обоснованных расходов",_xlfn.SUMIFS('Калькуляция (МЭОР)'!$AJ$25:$AJ$197,'Калькуляция (МЭОР)'!$F$25:$F$197,$F134,'Калькуляция (МЭОР)'!$G$25:$G$197,$G134),IF(method_reg="Метод сравнения аналогов",_xlfn.SUMIFS('Калькуляция (МСА)'!$AE$25:$AE$65,'Калькуляция (МСА)'!$F$25:$F$65,$F134,'Калькуляция (МСА)'!$G$25:$G$65,$G134),_xlfn.SUMIFS(INDEX('Калькуляция (МИ)'!$AJ$25:$BC$315,,MATCH(BB$8,'Калькуляция (МИ)'!$AJ$8:$BC$8,0)),'Калькуляция (МИ)'!$F$25:$F$315,$F134,'Калькуляция (МИ)'!$G$25:$G$315,$G134))))</f>
        <v>2.88</v>
      </c>
      <c r="BC134" s="267">
        <f>IF(AND(method_reg="Метод индексации",god&lt;&gt;first_year),_xlfn.SUMIFS(INDEX('Калькуляция (МИ корр)'!$AJ$25:$BC$315,,MATCH(BC$8,'Калькуляция (МИ корр)'!$AJ$8:$BC$8,0)),'Калькуляция (МИ корр)'!$F$25:$F$315,$F134,'Калькуляция (МИ корр)'!$G$25:$G$315,$G134),IF(method_reg="Метод экономически обоснованных расходов",_xlfn.SUMIFS('Калькуляция (МЭОР)'!$AK$25:$AK$197,'Калькуляция (МЭОР)'!$F$25:$F$197,$F134,'Калькуляция (МЭОР)'!$G$25:$G$197,$G134),IF(method_reg="Метод сравнения аналогов",_xlfn.SUMIFS('Калькуляция (МСА)'!$AF$25:$AF$65,'Калькуляция (МСА)'!$F$25:$F$65,$F134,'Калькуляция (МСА)'!$G$25:$G$65,$G134),_xlfn.SUMIFS(INDEX('Калькуляция (МИ)'!$AJ$25:$BC$315,,MATCH(BC$8,'Калькуляция (МИ)'!$AJ$8:$BC$8,0)),'Калькуляция (МИ)'!$F$25:$F$315,$F134,'Калькуляция (МИ)'!$G$25:$G$315,$G134))))</f>
        <v>2.78</v>
      </c>
      <c r="BD134" s="262">
        <f>IF(BB134=0,0,(BC134-BB134)/BB134*100)</f>
        <v>-3.47222222222222</v>
      </c>
      <c r="BE134" s="267">
        <f>IF(AND(method_reg="Метод индексации",god&lt;&gt;first_year),_xlfn.SUMIFS(INDEX('Калькуляция (МИ корр)'!$AJ$25:$BC$315,,MATCH(BE$8,'Калькуляция (МИ корр)'!$AJ$8:$BC$8,0)),'Калькуляция (МИ корр)'!$F$25:$F$315,$F134,'Калькуляция (МИ корр)'!$G$25:$G$315,$G134),IF(method_reg="Метод экономически обоснованных расходов",_xlfn.SUMIFS('Калькуляция (МЭОР)'!$AJ$25:$AJ$197,'Калькуляция (МЭОР)'!$F$25:$F$197,$F134,'Калькуляция (МЭОР)'!$G$25:$G$197,$G134),IF(method_reg="Метод сравнения аналогов",_xlfn.SUMIFS('Калькуляция (МСА)'!$AE$25:$AE$65,'Калькуляция (МСА)'!$F$25:$F$65,$F134,'Калькуляция (МСА)'!$G$25:$G$65,$G134),_xlfn.SUMIFS(INDEX('Калькуляция (МИ)'!$AJ$25:$BC$315,,MATCH(BE$8,'Калькуляция (МИ)'!$AJ$8:$BC$8,0)),'Калькуляция (МИ)'!$F$25:$F$315,$F134,'Калькуляция (МИ)'!$G$25:$G$315,$G134))))</f>
        <v>2.88</v>
      </c>
      <c r="BF134" s="267">
        <f>IF(AND(method_reg="Метод индексации",god&lt;&gt;first_year),_xlfn.SUMIFS(INDEX('Калькуляция (МИ корр)'!$AJ$25:$BC$315,,MATCH(BF$8,'Калькуляция (МИ корр)'!$AJ$8:$BC$8,0)),'Калькуляция (МИ корр)'!$F$25:$F$315,$F134,'Калькуляция (МИ корр)'!$G$25:$G$315,$G134),IF(method_reg="Метод экономически обоснованных расходов",_xlfn.SUMIFS('Калькуляция (МЭОР)'!$AK$25:$AK$197,'Калькуляция (МЭОР)'!$F$25:$F$197,$F134,'Калькуляция (МЭОР)'!$G$25:$G$197,$G134),IF(method_reg="Метод сравнения аналогов",_xlfn.SUMIFS('Калькуляция (МСА)'!$AF$25:$AF$65,'Калькуляция (МСА)'!$F$25:$F$65,$F134,'Калькуляция (МСА)'!$G$25:$G$65,$G134),_xlfn.SUMIFS(INDEX('Калькуляция (МИ)'!$AJ$25:$BC$315,,MATCH(BF$8,'Калькуляция (МИ)'!$AJ$8:$BC$8,0)),'Калькуляция (МИ)'!$F$25:$F$315,$F134,'Калькуляция (МИ)'!$G$25:$G$315,$G134))))</f>
        <v>2.78</v>
      </c>
      <c r="BG134" s="262">
        <f>IF(BE134=0,0,(BF134-BE134)/BE134*100)</f>
        <v>-3.47222222222222</v>
      </c>
      <c r="BH134" s="267"/>
      <c r="BI134" s="267"/>
      <c r="BJ134" s="262">
        <f>IF(BH134=0,0,(BI134-BH134)/BH134*100)</f>
        <v>0</v>
      </c>
      <c r="BK134" s="267"/>
      <c r="BL134" s="267"/>
      <c r="BM134" s="262">
        <f>IF(BK134=0,0,(BL134-BK134)/BK134*100)</f>
        <v>0</v>
      </c>
      <c r="BN134" s="267"/>
      <c r="BO134" s="267"/>
      <c r="BP134" s="262">
        <f>IF(BN134=0,0,(BO134-BN134)/BN134*100)</f>
        <v>0</v>
      </c>
      <c r="BQ134" s="267"/>
      <c r="BR134" s="267"/>
      <c r="BS134" s="262">
        <f>IF(BQ134=0,0,(BR134-BQ134)/BQ134*100)</f>
        <v>0</v>
      </c>
      <c r="BT134" s="267"/>
      <c r="BU134" s="267"/>
      <c r="BV134" s="262">
        <f>IF(BT134=0,0,(BU134-BT134)/BT134*100)</f>
        <v>0</v>
      </c>
      <c r="BW134" s="267"/>
      <c r="BX134" s="267"/>
      <c r="BY134" s="262">
        <f>IF(BW134=0,0,(BX134-BW134)/BW134*100)</f>
        <v>0</v>
      </c>
      <c r="BZ134" s="267"/>
      <c r="CA134" s="267"/>
      <c r="CB134" s="262">
        <f>IF(BZ134=0,0,(CA134-BZ134)/BZ134*100)</f>
        <v>0</v>
      </c>
      <c r="CC134" s="267"/>
      <c r="CD134" s="267"/>
      <c r="CE134" s="262">
        <f>IF(CC134=0,0,(CD134-CC134)/CC134*100)</f>
        <v>0</v>
      </c>
      <c r="CF134" s="267"/>
      <c r="CG134" s="267"/>
      <c r="CH134" s="262">
        <f>IF(CF134=0,0,(CG134-CF134)/CF134*100)</f>
        <v>0</v>
      </c>
      <c r="CI134" s="267"/>
      <c r="CJ134" s="267"/>
      <c r="CK134" s="262">
        <f>IF(CI134=0,0,(CJ134-CI134)/CI134*100)</f>
        <v>0</v>
      </c>
      <c r="CL134" s="267"/>
      <c r="CM134" s="267"/>
      <c r="CN134" s="262">
        <f>IF(CL134=0,0,(CM134-CL134)/CL134*100)</f>
        <v>0</v>
      </c>
      <c r="CO134" s="267"/>
      <c r="CP134" s="267"/>
      <c r="CQ134" s="262">
        <f>IF(CO134=0,0,(CP134-CO134)/CO134*100)</f>
        <v>0</v>
      </c>
      <c r="CR134" s="267"/>
      <c r="CS134" s="267"/>
      <c r="CT134" s="262">
        <f>IF(CR134=0,0,(CS134-CR134)/CR134*100)</f>
        <v>0</v>
      </c>
      <c r="CU134" s="267"/>
      <c r="CV134" s="267"/>
      <c r="CW134" s="262">
        <f>IF(CU134=0,0,(CV134-CU134)/CU134*100)</f>
        <v>0</v>
      </c>
      <c r="CX134" s="267"/>
      <c r="CY134" s="267"/>
      <c r="CZ134" s="262">
        <f>IF(CX134=0,0,(CY134-CX134)/CX134*100)</f>
        <v>0</v>
      </c>
      <c r="DA134" s="267"/>
      <c r="DB134" s="267"/>
      <c r="DC134" s="262">
        <f>IF(DA134=0,0,(DB134-DA134)/DA134*100)</f>
        <v>0</v>
      </c>
      <c r="DD134" s="267"/>
      <c r="DE134" s="267"/>
      <c r="DF134" s="262">
        <f>IF(DD134=0,0,(DE134-DD134)/DD134*100)</f>
        <v>0</v>
      </c>
      <c r="DG134" s="267"/>
      <c r="DH134" s="267"/>
      <c r="DI134" s="262">
        <f>IF(DG134=0,0,(DH134-DG134)/DG134*100)</f>
        <v>0</v>
      </c>
      <c r="DJ134" s="267"/>
      <c r="DK134" s="267"/>
      <c r="DL134" s="262">
        <f>IF(DJ134=0,0,(DK134-DJ134)/DJ134*100)</f>
        <v>0</v>
      </c>
      <c r="DM134" s="267"/>
      <c r="DN134" s="267"/>
      <c r="DO134" s="262">
        <f>IF(DM134=0,0,(DN134-DM134)/DM134*100)</f>
        <v>0</v>
      </c>
      <c r="DP134" s="267"/>
      <c r="DQ134" s="267"/>
      <c r="DR134" s="262">
        <f>IF(DP134=0,0,(DQ134-DP134)/DP134*100)</f>
        <v>0</v>
      </c>
      <c r="DS134" s="267"/>
      <c r="DT134" s="267"/>
      <c r="DU134" s="262">
        <f>IF(DS134=0,0,(DT134-DS134)/DS134*100)</f>
        <v>0</v>
      </c>
      <c r="DV134" s="267"/>
      <c r="DW134" s="267"/>
      <c r="DX134" s="262">
        <f>IF(DV134=0,0,(DW134-DV134)/DV134*100)</f>
        <v>0</v>
      </c>
      <c r="DY134" s="267"/>
      <c r="DZ134" s="267"/>
      <c r="EA134" s="262">
        <f>IF(DY134=0,0,(DZ134-DY134)/DY134*100)</f>
        <v>0</v>
      </c>
      <c r="EB134" s="267"/>
      <c r="EC134" s="267"/>
      <c r="ED134" s="262">
        <f>IF(EB134=0,0,(EC134-EB134)/EB134*100)</f>
        <v>0</v>
      </c>
      <c r="EE134" s="267"/>
      <c r="EF134" s="267"/>
      <c r="EG134" s="262">
        <f>IF(EE134=0,0,(EF134-EE134)/EE134*100)</f>
        <v>0</v>
      </c>
      <c r="EH134" s="267"/>
      <c r="EI134" s="267"/>
      <c r="EJ134" s="262">
        <f>IF(EH134=0,0,(EI134-EH134)/EH134*100)</f>
        <v>0</v>
      </c>
      <c r="EK134" s="267"/>
      <c r="EL134" s="267"/>
      <c r="EM134" s="262">
        <f>IF(EK134=0,0,(EL134-EK134)/EK134*100)</f>
        <v>0</v>
      </c>
      <c r="EN134" s="267"/>
      <c r="EO134" s="267"/>
      <c r="EP134" s="262">
        <f>IF(EN134=0,0,(EO134-EN134)/EN134*100)</f>
        <v>0</v>
      </c>
      <c r="EQ134" s="267"/>
      <c r="ER134" s="267"/>
      <c r="ES134" s="262">
        <f>IF(EQ134=0,0,(ER134-EQ134)/EQ134*100)</f>
        <v>0</v>
      </c>
      <c r="ET134" s="267"/>
      <c r="EU134" s="267"/>
      <c r="EV134" s="262">
        <f>IF(ET134=0,0,(EU134-ET134)/ET134*100)</f>
        <v>0</v>
      </c>
      <c r="EW134" s="267"/>
      <c r="EX134" s="267"/>
      <c r="EY134" s="262">
        <f>IF(EW134=0,0,(EX134-EW134)/EW134*100)</f>
        <v>0</v>
      </c>
      <c r="EZ134" s="267"/>
      <c r="FA134" s="267"/>
      <c r="FB134" s="262">
        <f>IF(EZ134=0,0,(FA134-EZ134)/EZ134*100)</f>
        <v>0</v>
      </c>
      <c r="FC134" s="267"/>
      <c r="FD134" s="267"/>
      <c r="FE134" s="262">
        <f>IF(FC134=0,0,(FD134-FC134)/FC134*100)</f>
        <v>0</v>
      </c>
      <c r="FF134" s="267"/>
      <c r="FG134" s="267"/>
      <c r="FH134" s="262">
        <f>IF(FF134=0,0,(FG134-FF134)/FF134*100)</f>
        <v>0</v>
      </c>
      <c r="FI134" s="267"/>
      <c r="FJ134" s="267"/>
      <c r="FK134" s="262">
        <f>IF(FI134=0,0,(FJ134-FI134)/FI134*100)</f>
        <v>0</v>
      </c>
      <c r="FL134" s="267"/>
      <c r="FM134" s="267"/>
      <c r="FN134" s="262">
        <f>IF(FL134=0,0,(FM134-FL134)/FL134*100)</f>
        <v>0</v>
      </c>
      <c r="FO134" s="267"/>
      <c r="FP134" s="267"/>
      <c r="FQ134" s="262">
        <f>IF(FO134=0,0,(FP134-FO134)/FO134*100)</f>
        <v>0</v>
      </c>
      <c r="FR134" s="267"/>
      <c r="FS134" s="267"/>
      <c r="FT134" s="262">
        <f>IF(FR134=0,0,(FS134-FR134)/FR134*100)</f>
        <v>0</v>
      </c>
      <c r="FU134" s="267"/>
      <c r="FV134" s="267"/>
      <c r="FW134" s="262">
        <f>IF(FU134=0,0,(FV134-FU134)/FU134*100)</f>
        <v>0</v>
      </c>
      <c r="FX134" s="258"/>
      <c r="FY134" s="258"/>
      <c r="FZ134" s="1032" t="s">
        <v>1551</v>
      </c>
      <c r="GA134" s="1032"/>
      <c r="GB134" s="1032"/>
      <c r="GC134" s="1033"/>
      <c r="GD134" s="1033"/>
    </row>
    <row s="3250" customFormat="1" customHeight="1" ht="23.25">
      <c r="A135" s="873"/>
      <c r="B135" s="901" cm="1" t="str">
        <f t="array" ref="B135:B135">B134</f>
        <v>true</v>
      </c>
      <c r="C135" s="873"/>
      <c r="D135" s="873"/>
      <c r="E135" s="816">
        <v>24.5</v>
      </c>
      <c r="F135" s="50" cm="1" t="str">
        <f t="array" ref="F135:F135">OFFSET(E135,-1,1)</f>
        <v>1</v>
      </c>
      <c r="G135" s="73" t="s">
        <v>1478</v>
      </c>
      <c r="H135" s="466" t="s">
        <v>434</v>
      </c>
      <c r="I135" s="466" t="s">
        <v>1552</v>
      </c>
      <c r="J135" s="873"/>
      <c r="K135" s="873"/>
      <c r="L135" s="873"/>
      <c r="M135" s="873"/>
      <c r="N135" s="873"/>
      <c r="O135" s="873"/>
      <c r="P135" s="873"/>
      <c r="Q135" s="873"/>
      <c r="R135" s="873"/>
      <c r="S135" s="466"/>
      <c r="T135" s="438" cm="1" t="str">
        <f t="array" ref="T135:T135">T134</f>
        <v>true</v>
      </c>
      <c r="U135" s="873"/>
      <c r="V135" s="873"/>
      <c r="W135" s="873"/>
      <c r="X135" s="1541"/>
      <c r="Y135" s="873"/>
      <c r="Z135" s="1493"/>
      <c r="AA135" s="873"/>
      <c r="AB135" s="185" t="s">
        <v>1553</v>
      </c>
      <c r="AC135" s="200" t="s">
        <v>1476</v>
      </c>
      <c r="AD135" s="267">
        <f>IF(AND(method_reg="Метод индексации",god&lt;&gt;first_year),_xlfn.SUMIFS(INDEX('Калькуляция (МИ корр)'!$AJ$25:$BC$315,,MATCH(AD$8,'Калькуляция (МИ корр)'!$AJ$8:$BC$8,0)),'Калькуляция (МИ корр)'!$F$25:$F$315,$F135,'Калькуляция (МИ корр)'!$G$25:$G$315,$G135),IF(method_reg="Метод экономически обоснованных расходов",_xlfn.SUMIFS('Калькуляция (МЭОР)'!$AJ$25:$AJ$197,'Калькуляция (МЭОР)'!$F$25:$F$197,$F135,'Калькуляция (МЭОР)'!$G$25:$G$197,$G135),IF(method_reg="Метод сравнения аналогов",_xlfn.SUMIFS('Калькуляция (МСА)'!$AE$25:$AE$65,'Калькуляция (МСА)'!$F$25:$F$65,$F135,'Калькуляция (МСА)'!$G$25:$G$65,$G135),_xlfn.SUMIFS(INDEX('Калькуляция (МИ)'!$AJ$25:$BC$315,,MATCH(AD$8,'Калькуляция (МИ)'!$AJ$8:$BC$8,0)),'Калькуляция (МИ)'!$F$25:$F$315,$F135,'Калькуляция (МИ)'!$G$25:$G$315,$G135))))</f>
        <v>4.01249561691584</v>
      </c>
      <c r="AE135" s="267">
        <f>IF(AND(method_reg="Метод индексации",god&lt;&gt;first_year),_xlfn.SUMIFS(INDEX('Калькуляция (МИ корр)'!$AJ$25:$BC$315,,MATCH(AE$8,'Калькуляция (МИ корр)'!$AJ$8:$BC$8,0)),'Калькуляция (МИ корр)'!$F$25:$F$315,$F135,'Калькуляция (МИ корр)'!$G$25:$G$315,$G135),IF(method_reg="Метод экономически обоснованных расходов",_xlfn.SUMIFS('Калькуляция (МЭОР)'!$AK$25:$AK$197,'Калькуляция (МЭОР)'!$F$25:$F$197,$F135,'Калькуляция (МЭОР)'!$G$25:$G$197,$G135),IF(method_reg="Метод сравнения аналогов",_xlfn.SUMIFS('Калькуляция (МСА)'!$AF$25:$AF$65,'Калькуляция (МСА)'!$F$25:$F$65,$F135,'Калькуляция (МСА)'!$G$25:$G$65,$G135),_xlfn.SUMIFS(INDEX('Калькуляция (МИ)'!$AJ$25:$BC$315,,MATCH(AE$8,'Калькуляция (МИ)'!$AJ$8:$BC$8,0)),'Калькуляция (МИ)'!$F$25:$F$315,$F135,'Калькуляция (МИ)'!$G$25:$G$315,$G135))))</f>
        <v>2.77733310308477</v>
      </c>
      <c r="AF135" s="262">
        <f>IF(AD135=0,0,(AE135-AD135)/AD135*100)</f>
        <v>-30.7829000142426</v>
      </c>
      <c r="AG135" s="267">
        <f>IF(AND(method_reg="Метод индексации",god&lt;&gt;first_year),_xlfn.SUMIFS(INDEX('Калькуляция (МИ корр)'!$AJ$25:$BC$315,,MATCH(AG$8,'Калькуляция (МИ корр)'!$AJ$8:$BC$8,0)),'Калькуляция (МИ корр)'!$F$25:$F$315,$F135,'Калькуляция (МИ корр)'!$G$25:$G$315,$G135),IF(method_reg="Метод экономически обоснованных расходов",_xlfn.SUMIFS('Калькуляция (МЭОР)'!$AJ$25:$AJ$197,'Калькуляция (МЭОР)'!$F$25:$F$197,$F135,'Калькуляция (МЭОР)'!$G$25:$G$197,$G135),IF(method_reg="Метод сравнения аналогов",_xlfn.SUMIFS('Калькуляция (МСА)'!$AE$25:$AE$65,'Калькуляция (МСА)'!$F$25:$F$65,$F135,'Калькуляция (МСА)'!$G$25:$G$65,$G135),_xlfn.SUMIFS(INDEX('Калькуляция (МИ)'!$AJ$25:$BC$315,,MATCH(AG$8,'Калькуляция (МИ)'!$AJ$8:$BC$8,0)),'Калькуляция (МИ)'!$F$25:$F$315,$F135,'Калькуляция (МИ)'!$G$25:$G$315,$G135))))</f>
        <v>4.01249561691584</v>
      </c>
      <c r="AH135" s="267">
        <f>IF(AND(method_reg="Метод индексации",god&lt;&gt;first_year),_xlfn.SUMIFS(INDEX('Калькуляция (МИ корр)'!$AJ$25:$BC$315,,MATCH(AH$8,'Калькуляция (МИ корр)'!$AJ$8:$BC$8,0)),'Калькуляция (МИ корр)'!$F$25:$F$315,$F135,'Калькуляция (МИ корр)'!$G$25:$G$315,$G135),IF(method_reg="Метод экономически обоснованных расходов",_xlfn.SUMIFS('Калькуляция (МЭОР)'!$AK$25:$AK$197,'Калькуляция (МЭОР)'!$F$25:$F$197,$F135,'Калькуляция (МЭОР)'!$G$25:$G$197,$G135),IF(method_reg="Метод сравнения аналогов",_xlfn.SUMIFS('Калькуляция (МСА)'!$AF$25:$AF$65,'Калькуляция (МСА)'!$F$25:$F$65,$F135,'Калькуляция (МСА)'!$G$25:$G$65,$G135),_xlfn.SUMIFS(INDEX('Калькуляция (МИ)'!$AJ$25:$BC$315,,MATCH(AH$8,'Калькуляция (МИ)'!$AJ$8:$BC$8,0)),'Калькуляция (МИ)'!$F$25:$F$315,$F135,'Калькуляция (МИ)'!$G$25:$G$315,$G135))))</f>
        <v>2.77733310308477</v>
      </c>
      <c r="AI135" s="262">
        <f>IF(AG135=0,0,(AH135-AG135)/AG135*100)</f>
        <v>-30.7829000142426</v>
      </c>
      <c r="AJ135" s="267">
        <f>IF(AND(method_reg="Метод индексации",god&lt;&gt;first_year),_xlfn.SUMIFS(INDEX('Калькуляция (МИ корр)'!$AJ$25:$BC$315,,MATCH(AJ$8,'Калькуляция (МИ корр)'!$AJ$8:$BC$8,0)),'Калькуляция (МИ корр)'!$F$25:$F$315,$F135,'Калькуляция (МИ корр)'!$G$25:$G$315,$G135),IF(method_reg="Метод экономически обоснованных расходов",_xlfn.SUMIFS('Калькуляция (МЭОР)'!$AJ$25:$AJ$197,'Калькуляция (МЭОР)'!$F$25:$F$197,$F135,'Калькуляция (МЭОР)'!$G$25:$G$197,$G135),IF(method_reg="Метод сравнения аналогов",_xlfn.SUMIFS('Калькуляция (МСА)'!$AE$25:$AE$65,'Калькуляция (МСА)'!$F$25:$F$65,$F135,'Калькуляция (МСА)'!$G$25:$G$65,$G135),_xlfn.SUMIFS(INDEX('Калькуляция (МИ)'!$AJ$25:$BC$315,,MATCH(AJ$8,'Калькуляция (МИ)'!$AJ$8:$BC$8,0)),'Калькуляция (МИ)'!$F$25:$F$315,$F135,'Калькуляция (МИ)'!$G$25:$G$315,$G135))))</f>
        <v>4.01249561691584</v>
      </c>
      <c r="AK135" s="267">
        <f>IF(AND(method_reg="Метод индексации",god&lt;&gt;first_year),_xlfn.SUMIFS(INDEX('Калькуляция (МИ корр)'!$AJ$25:$BC$315,,MATCH(AK$8,'Калькуляция (МИ корр)'!$AJ$8:$BC$8,0)),'Калькуляция (МИ корр)'!$F$25:$F$315,$F135,'Калькуляция (МИ корр)'!$G$25:$G$315,$G135),IF(method_reg="Метод экономически обоснованных расходов",_xlfn.SUMIFS('Калькуляция (МЭОР)'!$AK$25:$AK$197,'Калькуляция (МЭОР)'!$F$25:$F$197,$F135,'Калькуляция (МЭОР)'!$G$25:$G$197,$G135),IF(method_reg="Метод сравнения аналогов",_xlfn.SUMIFS('Калькуляция (МСА)'!$AF$25:$AF$65,'Калькуляция (МСА)'!$F$25:$F$65,$F135,'Калькуляция (МСА)'!$G$25:$G$65,$G135),_xlfn.SUMIFS(INDEX('Калькуляция (МИ)'!$AJ$25:$BC$315,,MATCH(AK$8,'Калькуляция (МИ)'!$AJ$8:$BC$8,0)),'Калькуляция (МИ)'!$F$25:$F$315,$F135,'Калькуляция (МИ)'!$G$25:$G$315,$G135))))</f>
        <v>2.77733310308477</v>
      </c>
      <c r="AL135" s="262">
        <f>IF(AJ135=0,0,(AK135-AJ135)/AJ135*100)</f>
        <v>-30.7829000142426</v>
      </c>
      <c r="AM135" s="267">
        <f>IF(AND(method_reg="Метод индексации",god&lt;&gt;first_year),_xlfn.SUMIFS(INDEX('Калькуляция (МИ корр)'!$AJ$25:$BC$315,,MATCH(AM$8,'Калькуляция (МИ корр)'!$AJ$8:$BC$8,0)),'Калькуляция (МИ корр)'!$F$25:$F$315,$F135,'Калькуляция (МИ корр)'!$G$25:$G$315,$G135),IF(method_reg="Метод экономически обоснованных расходов",_xlfn.SUMIFS('Калькуляция (МЭОР)'!$AJ$25:$AJ$197,'Калькуляция (МЭОР)'!$F$25:$F$197,$F135,'Калькуляция (МЭОР)'!$G$25:$G$197,$G135),IF(method_reg="Метод сравнения аналогов",_xlfn.SUMIFS('Калькуляция (МСА)'!$AE$25:$AE$65,'Калькуляция (МСА)'!$F$25:$F$65,$F135,'Калькуляция (МСА)'!$G$25:$G$65,$G135),_xlfn.SUMIFS(INDEX('Калькуляция (МИ)'!$AJ$25:$BC$315,,MATCH(AM$8,'Калькуляция (МИ)'!$AJ$8:$BC$8,0)),'Калькуляция (МИ)'!$F$25:$F$315,$F135,'Калькуляция (МИ)'!$G$25:$G$315,$G135))))</f>
        <v>4.01249561691584</v>
      </c>
      <c r="AN135" s="267">
        <f>IF(AND(method_reg="Метод индексации",god&lt;&gt;first_year),_xlfn.SUMIFS(INDEX('Калькуляция (МИ корр)'!$AJ$25:$BC$315,,MATCH(AN$8,'Калькуляция (МИ корр)'!$AJ$8:$BC$8,0)),'Калькуляция (МИ корр)'!$F$25:$F$315,$F135,'Калькуляция (МИ корр)'!$G$25:$G$315,$G135),IF(method_reg="Метод экономически обоснованных расходов",_xlfn.SUMIFS('Калькуляция (МЭОР)'!$AK$25:$AK$197,'Калькуляция (МЭОР)'!$F$25:$F$197,$F135,'Калькуляция (МЭОР)'!$G$25:$G$197,$G135),IF(method_reg="Метод сравнения аналогов",_xlfn.SUMIFS('Калькуляция (МСА)'!$AF$25:$AF$65,'Калькуляция (МСА)'!$F$25:$F$65,$F135,'Калькуляция (МСА)'!$G$25:$G$65,$G135),_xlfn.SUMIFS(INDEX('Калькуляция (МИ)'!$AJ$25:$BC$315,,MATCH(AN$8,'Калькуляция (МИ)'!$AJ$8:$BC$8,0)),'Калькуляция (МИ)'!$F$25:$F$315,$F135,'Калькуляция (МИ)'!$G$25:$G$315,$G135))))</f>
        <v>2.77733310308477</v>
      </c>
      <c r="AO135" s="262">
        <f>IF(AM135=0,0,(AN135-AM135)/AM135*100)</f>
        <v>-30.7829000142426</v>
      </c>
      <c r="AP135" s="267">
        <f>IF(AND(method_reg="Метод индексации",god&lt;&gt;first_year),_xlfn.SUMIFS(INDEX('Калькуляция (МИ корр)'!$AJ$25:$BC$315,,MATCH(AP$8,'Калькуляция (МИ корр)'!$AJ$8:$BC$8,0)),'Калькуляция (МИ корр)'!$F$25:$F$315,$F135,'Калькуляция (МИ корр)'!$G$25:$G$315,$G135),IF(method_reg="Метод экономически обоснованных расходов",_xlfn.SUMIFS('Калькуляция (МЭОР)'!$AJ$25:$AJ$197,'Калькуляция (МЭОР)'!$F$25:$F$197,$F135,'Калькуляция (МЭОР)'!$G$25:$G$197,$G135),IF(method_reg="Метод сравнения аналогов",_xlfn.SUMIFS('Калькуляция (МСА)'!$AE$25:$AE$65,'Калькуляция (МСА)'!$F$25:$F$65,$F135,'Калькуляция (МСА)'!$G$25:$G$65,$G135),_xlfn.SUMIFS(INDEX('Калькуляция (МИ)'!$AJ$25:$BC$315,,MATCH(AP$8,'Калькуляция (МИ)'!$AJ$8:$BC$8,0)),'Калькуляция (МИ)'!$F$25:$F$315,$F135,'Калькуляция (МИ)'!$G$25:$G$315,$G135))))</f>
        <v>4.01249561691584</v>
      </c>
      <c r="AQ135" s="267">
        <f>IF(AND(method_reg="Метод индексации",god&lt;&gt;first_year),_xlfn.SUMIFS(INDEX('Калькуляция (МИ корр)'!$AJ$25:$BC$315,,MATCH(AQ$8,'Калькуляция (МИ корр)'!$AJ$8:$BC$8,0)),'Калькуляция (МИ корр)'!$F$25:$F$315,$F135,'Калькуляция (МИ корр)'!$G$25:$G$315,$G135),IF(method_reg="Метод экономически обоснованных расходов",_xlfn.SUMIFS('Калькуляция (МЭОР)'!$AK$25:$AK$197,'Калькуляция (МЭОР)'!$F$25:$F$197,$F135,'Калькуляция (МЭОР)'!$G$25:$G$197,$G135),IF(method_reg="Метод сравнения аналогов",_xlfn.SUMIFS('Калькуляция (МСА)'!$AF$25:$AF$65,'Калькуляция (МСА)'!$F$25:$F$65,$F135,'Калькуляция (МСА)'!$G$25:$G$65,$G135),_xlfn.SUMIFS(INDEX('Калькуляция (МИ)'!$AJ$25:$BC$315,,MATCH(AQ$8,'Калькуляция (МИ)'!$AJ$8:$BC$8,0)),'Калькуляция (МИ)'!$F$25:$F$315,$F135,'Калькуляция (МИ)'!$G$25:$G$315,$G135))))</f>
        <v>2.77733310308477</v>
      </c>
      <c r="AR135" s="262">
        <f>IF(AP135=0,0,(AQ135-AP135)/AP135*100)</f>
        <v>-30.7829000142426</v>
      </c>
      <c r="AS135" s="267">
        <f>IF(AND(method_reg="Метод индексации",god&lt;&gt;first_year),_xlfn.SUMIFS(INDEX('Калькуляция (МИ корр)'!$AJ$25:$BC$315,,MATCH(AS$8,'Калькуляция (МИ корр)'!$AJ$8:$BC$8,0)),'Калькуляция (МИ корр)'!$F$25:$F$315,$F135,'Калькуляция (МИ корр)'!$G$25:$G$315,$G135),IF(method_reg="Метод экономически обоснованных расходов",_xlfn.SUMIFS('Калькуляция (МЭОР)'!$AJ$25:$AJ$197,'Калькуляция (МЭОР)'!$F$25:$F$197,$F135,'Калькуляция (МЭОР)'!$G$25:$G$197,$G135),IF(method_reg="Метод сравнения аналогов",_xlfn.SUMIFS('Калькуляция (МСА)'!$AE$25:$AE$65,'Калькуляция (МСА)'!$F$25:$F$65,$F135,'Калькуляция (МСА)'!$G$25:$G$65,$G135),_xlfn.SUMIFS(INDEX('Калькуляция (МИ)'!$AJ$25:$BC$315,,MATCH(AS$8,'Калькуляция (МИ)'!$AJ$8:$BC$8,0)),'Калькуляция (МИ)'!$F$25:$F$315,$F135,'Калькуляция (МИ)'!$G$25:$G$315,$G135))))</f>
        <v>4.01249561691584</v>
      </c>
      <c r="AT135" s="267">
        <f>IF(AND(method_reg="Метод индексации",god&lt;&gt;first_year),_xlfn.SUMIFS(INDEX('Калькуляция (МИ корр)'!$AJ$25:$BC$315,,MATCH(AT$8,'Калькуляция (МИ корр)'!$AJ$8:$BC$8,0)),'Калькуляция (МИ корр)'!$F$25:$F$315,$F135,'Калькуляция (МИ корр)'!$G$25:$G$315,$G135),IF(method_reg="Метод экономически обоснованных расходов",_xlfn.SUMIFS('Калькуляция (МЭОР)'!$AK$25:$AK$197,'Калькуляция (МЭОР)'!$F$25:$F$197,$F135,'Калькуляция (МЭОР)'!$G$25:$G$197,$G135),IF(method_reg="Метод сравнения аналогов",_xlfn.SUMIFS('Калькуляция (МСА)'!$AF$25:$AF$65,'Калькуляция (МСА)'!$F$25:$F$65,$F135,'Калькуляция (МСА)'!$G$25:$G$65,$G135),_xlfn.SUMIFS(INDEX('Калькуляция (МИ)'!$AJ$25:$BC$315,,MATCH(AT$8,'Калькуляция (МИ)'!$AJ$8:$BC$8,0)),'Калькуляция (МИ)'!$F$25:$F$315,$F135,'Калькуляция (МИ)'!$G$25:$G$315,$G135))))</f>
        <v>2.77733310308477</v>
      </c>
      <c r="AU135" s="262">
        <f>IF(AS135=0,0,(AT135-AS135)/AS135*100)</f>
        <v>-30.7829000142426</v>
      </c>
      <c r="AV135" s="267">
        <f>IF(AND(method_reg="Метод индексации",god&lt;&gt;first_year),_xlfn.SUMIFS(INDEX('Калькуляция (МИ корр)'!$AJ$25:$BC$315,,MATCH(AV$8,'Калькуляция (МИ корр)'!$AJ$8:$BC$8,0)),'Калькуляция (МИ корр)'!$F$25:$F$315,$F135,'Калькуляция (МИ корр)'!$G$25:$G$315,$G135),IF(method_reg="Метод экономически обоснованных расходов",_xlfn.SUMIFS('Калькуляция (МЭОР)'!$AJ$25:$AJ$197,'Калькуляция (МЭОР)'!$F$25:$F$197,$F135,'Калькуляция (МЭОР)'!$G$25:$G$197,$G135),IF(method_reg="Метод сравнения аналогов",_xlfn.SUMIFS('Калькуляция (МСА)'!$AE$25:$AE$65,'Калькуляция (МСА)'!$F$25:$F$65,$F135,'Калькуляция (МСА)'!$G$25:$G$65,$G135),_xlfn.SUMIFS(INDEX('Калькуляция (МИ)'!$AJ$25:$BC$315,,MATCH(AV$8,'Калькуляция (МИ)'!$AJ$8:$BC$8,0)),'Калькуляция (МИ)'!$F$25:$F$315,$F135,'Калькуляция (МИ)'!$G$25:$G$315,$G135))))</f>
        <v>4.01249561691584</v>
      </c>
      <c r="AW135" s="267">
        <f>IF(AND(method_reg="Метод индексации",god&lt;&gt;first_year),_xlfn.SUMIFS(INDEX('Калькуляция (МИ корр)'!$AJ$25:$BC$315,,MATCH(AW$8,'Калькуляция (МИ корр)'!$AJ$8:$BC$8,0)),'Калькуляция (МИ корр)'!$F$25:$F$315,$F135,'Калькуляция (МИ корр)'!$G$25:$G$315,$G135),IF(method_reg="Метод экономически обоснованных расходов",_xlfn.SUMIFS('Калькуляция (МЭОР)'!$AK$25:$AK$197,'Калькуляция (МЭОР)'!$F$25:$F$197,$F135,'Калькуляция (МЭОР)'!$G$25:$G$197,$G135),IF(method_reg="Метод сравнения аналогов",_xlfn.SUMIFS('Калькуляция (МСА)'!$AF$25:$AF$65,'Калькуляция (МСА)'!$F$25:$F$65,$F135,'Калькуляция (МСА)'!$G$25:$G$65,$G135),_xlfn.SUMIFS(INDEX('Калькуляция (МИ)'!$AJ$25:$BC$315,,MATCH(AW$8,'Калькуляция (МИ)'!$AJ$8:$BC$8,0)),'Калькуляция (МИ)'!$F$25:$F$315,$F135,'Калькуляция (МИ)'!$G$25:$G$315,$G135))))</f>
        <v>2.77733310308477</v>
      </c>
      <c r="AX135" s="262">
        <f>IF(AV135=0,0,(AW135-AV135)/AV135*100)</f>
        <v>-30.7829000142426</v>
      </c>
      <c r="AY135" s="267">
        <f>IF(AND(method_reg="Метод индексации",god&lt;&gt;first_year),_xlfn.SUMIFS(INDEX('Калькуляция (МИ корр)'!$AJ$25:$BC$315,,MATCH(AY$8,'Калькуляция (МИ корр)'!$AJ$8:$BC$8,0)),'Калькуляция (МИ корр)'!$F$25:$F$315,$F135,'Калькуляция (МИ корр)'!$G$25:$G$315,$G135),IF(method_reg="Метод экономически обоснованных расходов",_xlfn.SUMIFS('Калькуляция (МЭОР)'!$AJ$25:$AJ$197,'Калькуляция (МЭОР)'!$F$25:$F$197,$F135,'Калькуляция (МЭОР)'!$G$25:$G$197,$G135),IF(method_reg="Метод сравнения аналогов",_xlfn.SUMIFS('Калькуляция (МСА)'!$AE$25:$AE$65,'Калькуляция (МСА)'!$F$25:$F$65,$F135,'Калькуляция (МСА)'!$G$25:$G$65,$G135),_xlfn.SUMIFS(INDEX('Калькуляция (МИ)'!$AJ$25:$BC$315,,MATCH(AY$8,'Калькуляция (МИ)'!$AJ$8:$BC$8,0)),'Калькуляция (МИ)'!$F$25:$F$315,$F135,'Калькуляция (МИ)'!$G$25:$G$315,$G135))))</f>
        <v>4.01249561691584</v>
      </c>
      <c r="AZ135" s="267">
        <f>IF(AND(method_reg="Метод индексации",god&lt;&gt;first_year),_xlfn.SUMIFS(INDEX('Калькуляция (МИ корр)'!$AJ$25:$BC$315,,MATCH(AZ$8,'Калькуляция (МИ корр)'!$AJ$8:$BC$8,0)),'Калькуляция (МИ корр)'!$F$25:$F$315,$F135,'Калькуляция (МИ корр)'!$G$25:$G$315,$G135),IF(method_reg="Метод экономически обоснованных расходов",_xlfn.SUMIFS('Калькуляция (МЭОР)'!$AK$25:$AK$197,'Калькуляция (МЭОР)'!$F$25:$F$197,$F135,'Калькуляция (МЭОР)'!$G$25:$G$197,$G135),IF(method_reg="Метод сравнения аналогов",_xlfn.SUMIFS('Калькуляция (МСА)'!$AF$25:$AF$65,'Калькуляция (МСА)'!$F$25:$F$65,$F135,'Калькуляция (МСА)'!$G$25:$G$65,$G135),_xlfn.SUMIFS(INDEX('Калькуляция (МИ)'!$AJ$25:$BC$315,,MATCH(AZ$8,'Калькуляция (МИ)'!$AJ$8:$BC$8,0)),'Калькуляция (МИ)'!$F$25:$F$315,$F135,'Калькуляция (МИ)'!$G$25:$G$315,$G135))))</f>
        <v>2.77733310308477</v>
      </c>
      <c r="BA135" s="262">
        <f>IF(AY135=0,0,(AZ135-AY135)/AY135*100)</f>
        <v>-30.7829000142426</v>
      </c>
      <c r="BB135" s="267">
        <f>IF(AND(method_reg="Метод индексации",god&lt;&gt;first_year),_xlfn.SUMIFS(INDEX('Калькуляция (МИ корр)'!$AJ$25:$BC$315,,MATCH(BB$8,'Калькуляция (МИ корр)'!$AJ$8:$BC$8,0)),'Калькуляция (МИ корр)'!$F$25:$F$315,$F135,'Калькуляция (МИ корр)'!$G$25:$G$315,$G135),IF(method_reg="Метод экономически обоснованных расходов",_xlfn.SUMIFS('Калькуляция (МЭОР)'!$AJ$25:$AJ$197,'Калькуляция (МЭОР)'!$F$25:$F$197,$F135,'Калькуляция (МЭОР)'!$G$25:$G$197,$G135),IF(method_reg="Метод сравнения аналогов",_xlfn.SUMIFS('Калькуляция (МСА)'!$AE$25:$AE$65,'Калькуляция (МСА)'!$F$25:$F$65,$F135,'Калькуляция (МСА)'!$G$25:$G$65,$G135),_xlfn.SUMIFS(INDEX('Калькуляция (МИ)'!$AJ$25:$BC$315,,MATCH(BB$8,'Калькуляция (МИ)'!$AJ$8:$BC$8,0)),'Калькуляция (МИ)'!$F$25:$F$315,$F135,'Калькуляция (МИ)'!$G$25:$G$315,$G135))))</f>
        <v>4.01249561691584</v>
      </c>
      <c r="BC135" s="267">
        <f>IF(AND(method_reg="Метод индексации",god&lt;&gt;first_year),_xlfn.SUMIFS(INDEX('Калькуляция (МИ корр)'!$AJ$25:$BC$315,,MATCH(BC$8,'Калькуляция (МИ корр)'!$AJ$8:$BC$8,0)),'Калькуляция (МИ корр)'!$F$25:$F$315,$F135,'Калькуляция (МИ корр)'!$G$25:$G$315,$G135),IF(method_reg="Метод экономически обоснованных расходов",_xlfn.SUMIFS('Калькуляция (МЭОР)'!$AK$25:$AK$197,'Калькуляция (МЭОР)'!$F$25:$F$197,$F135,'Калькуляция (МЭОР)'!$G$25:$G$197,$G135),IF(method_reg="Метод сравнения аналогов",_xlfn.SUMIFS('Калькуляция (МСА)'!$AF$25:$AF$65,'Калькуляция (МСА)'!$F$25:$F$65,$F135,'Калькуляция (МСА)'!$G$25:$G$65,$G135),_xlfn.SUMIFS(INDEX('Калькуляция (МИ)'!$AJ$25:$BC$315,,MATCH(BC$8,'Калькуляция (МИ)'!$AJ$8:$BC$8,0)),'Калькуляция (МИ)'!$F$25:$F$315,$F135,'Калькуляция (МИ)'!$G$25:$G$315,$G135))))</f>
        <v>2.77733310308477</v>
      </c>
      <c r="BD135" s="262">
        <f>IF(BB135=0,0,(BC135-BB135)/BB135*100)</f>
        <v>-30.7829000142426</v>
      </c>
      <c r="BE135" s="267">
        <f>IF(AND(method_reg="Метод индексации",god&lt;&gt;first_year),_xlfn.SUMIFS(INDEX('Калькуляция (МИ корр)'!$AJ$25:$BC$315,,MATCH(BE$8,'Калькуляция (МИ корр)'!$AJ$8:$BC$8,0)),'Калькуляция (МИ корр)'!$F$25:$F$315,$F135,'Калькуляция (МИ корр)'!$G$25:$G$315,$G135),IF(method_reg="Метод экономически обоснованных расходов",_xlfn.SUMIFS('Калькуляция (МЭОР)'!$AJ$25:$AJ$197,'Калькуляция (МЭОР)'!$F$25:$F$197,$F135,'Калькуляция (МЭОР)'!$G$25:$G$197,$G135),IF(method_reg="Метод сравнения аналогов",_xlfn.SUMIFS('Калькуляция (МСА)'!$AE$25:$AE$65,'Калькуляция (МСА)'!$F$25:$F$65,$F135,'Калькуляция (МСА)'!$G$25:$G$65,$G135),_xlfn.SUMIFS(INDEX('Калькуляция (МИ)'!$AJ$25:$BC$315,,MATCH(BE$8,'Калькуляция (МИ)'!$AJ$8:$BC$8,0)),'Калькуляция (МИ)'!$F$25:$F$315,$F135,'Калькуляция (МИ)'!$G$25:$G$315,$G135))))</f>
        <v>4.01249561691584</v>
      </c>
      <c r="BF135" s="267">
        <f>IF(AND(method_reg="Метод индексации",god&lt;&gt;first_year),_xlfn.SUMIFS(INDEX('Калькуляция (МИ корр)'!$AJ$25:$BC$315,,MATCH(BF$8,'Калькуляция (МИ корр)'!$AJ$8:$BC$8,0)),'Калькуляция (МИ корр)'!$F$25:$F$315,$F135,'Калькуляция (МИ корр)'!$G$25:$G$315,$G135),IF(method_reg="Метод экономически обоснованных расходов",_xlfn.SUMIFS('Калькуляция (МЭОР)'!$AK$25:$AK$197,'Калькуляция (МЭОР)'!$F$25:$F$197,$F135,'Калькуляция (МЭОР)'!$G$25:$G$197,$G135),IF(method_reg="Метод сравнения аналогов",_xlfn.SUMIFS('Калькуляция (МСА)'!$AF$25:$AF$65,'Калькуляция (МСА)'!$F$25:$F$65,$F135,'Калькуляция (МСА)'!$G$25:$G$65,$G135),_xlfn.SUMIFS(INDEX('Калькуляция (МИ)'!$AJ$25:$BC$315,,MATCH(BF$8,'Калькуляция (МИ)'!$AJ$8:$BC$8,0)),'Калькуляция (МИ)'!$F$25:$F$315,$F135,'Калькуляция (МИ)'!$G$25:$G$315,$G135))))</f>
        <v>2.77733310308477</v>
      </c>
      <c r="BG135" s="262">
        <f>IF(BE135=0,0,(BF135-BE135)/BE135*100)</f>
        <v>-30.7829000142426</v>
      </c>
      <c r="BH135" s="267"/>
      <c r="BI135" s="267"/>
      <c r="BJ135" s="262">
        <f>IF(BH135=0,0,(BI135-BH135)/BH135*100)</f>
        <v>0</v>
      </c>
      <c r="BK135" s="267"/>
      <c r="BL135" s="267"/>
      <c r="BM135" s="262">
        <f>IF(BK135=0,0,(BL135-BK135)/BK135*100)</f>
        <v>0</v>
      </c>
      <c r="BN135" s="267"/>
      <c r="BO135" s="267"/>
      <c r="BP135" s="262">
        <f>IF(BN135=0,0,(BO135-BN135)/BN135*100)</f>
        <v>0</v>
      </c>
      <c r="BQ135" s="267"/>
      <c r="BR135" s="267"/>
      <c r="BS135" s="262">
        <f>IF(BQ135=0,0,(BR135-BQ135)/BQ135*100)</f>
        <v>0</v>
      </c>
      <c r="BT135" s="267"/>
      <c r="BU135" s="267"/>
      <c r="BV135" s="262">
        <f>IF(BT135=0,0,(BU135-BT135)/BT135*100)</f>
        <v>0</v>
      </c>
      <c r="BW135" s="267"/>
      <c r="BX135" s="267"/>
      <c r="BY135" s="262">
        <f>IF(BW135=0,0,(BX135-BW135)/BW135*100)</f>
        <v>0</v>
      </c>
      <c r="BZ135" s="267"/>
      <c r="CA135" s="267"/>
      <c r="CB135" s="262">
        <f>IF(BZ135=0,0,(CA135-BZ135)/BZ135*100)</f>
        <v>0</v>
      </c>
      <c r="CC135" s="267"/>
      <c r="CD135" s="267"/>
      <c r="CE135" s="262">
        <f>IF(CC135=0,0,(CD135-CC135)/CC135*100)</f>
        <v>0</v>
      </c>
      <c r="CF135" s="267"/>
      <c r="CG135" s="267"/>
      <c r="CH135" s="262">
        <f>IF(CF135=0,0,(CG135-CF135)/CF135*100)</f>
        <v>0</v>
      </c>
      <c r="CI135" s="267"/>
      <c r="CJ135" s="267"/>
      <c r="CK135" s="262">
        <f>IF(CI135=0,0,(CJ135-CI135)/CI135*100)</f>
        <v>0</v>
      </c>
      <c r="CL135" s="267"/>
      <c r="CM135" s="267"/>
      <c r="CN135" s="262">
        <f>IF(CL135=0,0,(CM135-CL135)/CL135*100)</f>
        <v>0</v>
      </c>
      <c r="CO135" s="267"/>
      <c r="CP135" s="267"/>
      <c r="CQ135" s="262">
        <f>IF(CO135=0,0,(CP135-CO135)/CO135*100)</f>
        <v>0</v>
      </c>
      <c r="CR135" s="267"/>
      <c r="CS135" s="267"/>
      <c r="CT135" s="262">
        <f>IF(CR135=0,0,(CS135-CR135)/CR135*100)</f>
        <v>0</v>
      </c>
      <c r="CU135" s="267"/>
      <c r="CV135" s="267"/>
      <c r="CW135" s="262">
        <f>IF(CU135=0,0,(CV135-CU135)/CU135*100)</f>
        <v>0</v>
      </c>
      <c r="CX135" s="267"/>
      <c r="CY135" s="267"/>
      <c r="CZ135" s="262">
        <f>IF(CX135=0,0,(CY135-CX135)/CX135*100)</f>
        <v>0</v>
      </c>
      <c r="DA135" s="267"/>
      <c r="DB135" s="267"/>
      <c r="DC135" s="262">
        <f>IF(DA135=0,0,(DB135-DA135)/DA135*100)</f>
        <v>0</v>
      </c>
      <c r="DD135" s="267"/>
      <c r="DE135" s="267"/>
      <c r="DF135" s="262">
        <f>IF(DD135=0,0,(DE135-DD135)/DD135*100)</f>
        <v>0</v>
      </c>
      <c r="DG135" s="267"/>
      <c r="DH135" s="267"/>
      <c r="DI135" s="262">
        <f>IF(DG135=0,0,(DH135-DG135)/DG135*100)</f>
        <v>0</v>
      </c>
      <c r="DJ135" s="267"/>
      <c r="DK135" s="267"/>
      <c r="DL135" s="262">
        <f>IF(DJ135=0,0,(DK135-DJ135)/DJ135*100)</f>
        <v>0</v>
      </c>
      <c r="DM135" s="267"/>
      <c r="DN135" s="267"/>
      <c r="DO135" s="262">
        <f>IF(DM135=0,0,(DN135-DM135)/DM135*100)</f>
        <v>0</v>
      </c>
      <c r="DP135" s="267"/>
      <c r="DQ135" s="267"/>
      <c r="DR135" s="262">
        <f>IF(DP135=0,0,(DQ135-DP135)/DP135*100)</f>
        <v>0</v>
      </c>
      <c r="DS135" s="267"/>
      <c r="DT135" s="267"/>
      <c r="DU135" s="262">
        <f>IF(DS135=0,0,(DT135-DS135)/DS135*100)</f>
        <v>0</v>
      </c>
      <c r="DV135" s="267"/>
      <c r="DW135" s="267"/>
      <c r="DX135" s="262">
        <f>IF(DV135=0,0,(DW135-DV135)/DV135*100)</f>
        <v>0</v>
      </c>
      <c r="DY135" s="267"/>
      <c r="DZ135" s="267"/>
      <c r="EA135" s="262">
        <f>IF(DY135=0,0,(DZ135-DY135)/DY135*100)</f>
        <v>0</v>
      </c>
      <c r="EB135" s="267"/>
      <c r="EC135" s="267"/>
      <c r="ED135" s="262">
        <f>IF(EB135=0,0,(EC135-EB135)/EB135*100)</f>
        <v>0</v>
      </c>
      <c r="EE135" s="267"/>
      <c r="EF135" s="267"/>
      <c r="EG135" s="262">
        <f>IF(EE135=0,0,(EF135-EE135)/EE135*100)</f>
        <v>0</v>
      </c>
      <c r="EH135" s="267"/>
      <c r="EI135" s="267"/>
      <c r="EJ135" s="262">
        <f>IF(EH135=0,0,(EI135-EH135)/EH135*100)</f>
        <v>0</v>
      </c>
      <c r="EK135" s="267"/>
      <c r="EL135" s="267"/>
      <c r="EM135" s="262">
        <f>IF(EK135=0,0,(EL135-EK135)/EK135*100)</f>
        <v>0</v>
      </c>
      <c r="EN135" s="267"/>
      <c r="EO135" s="267"/>
      <c r="EP135" s="262">
        <f>IF(EN135=0,0,(EO135-EN135)/EN135*100)</f>
        <v>0</v>
      </c>
      <c r="EQ135" s="267"/>
      <c r="ER135" s="267"/>
      <c r="ES135" s="262">
        <f>IF(EQ135=0,0,(ER135-EQ135)/EQ135*100)</f>
        <v>0</v>
      </c>
      <c r="ET135" s="267"/>
      <c r="EU135" s="267"/>
      <c r="EV135" s="262">
        <f>IF(ET135=0,0,(EU135-ET135)/ET135*100)</f>
        <v>0</v>
      </c>
      <c r="EW135" s="267"/>
      <c r="EX135" s="267"/>
      <c r="EY135" s="262">
        <f>IF(EW135=0,0,(EX135-EW135)/EW135*100)</f>
        <v>0</v>
      </c>
      <c r="EZ135" s="267"/>
      <c r="FA135" s="267"/>
      <c r="FB135" s="262">
        <f>IF(EZ135=0,0,(FA135-EZ135)/EZ135*100)</f>
        <v>0</v>
      </c>
      <c r="FC135" s="267"/>
      <c r="FD135" s="267"/>
      <c r="FE135" s="262">
        <f>IF(FC135=0,0,(FD135-FC135)/FC135*100)</f>
        <v>0</v>
      </c>
      <c r="FF135" s="267"/>
      <c r="FG135" s="267"/>
      <c r="FH135" s="262">
        <f>IF(FF135=0,0,(FG135-FF135)/FF135*100)</f>
        <v>0</v>
      </c>
      <c r="FI135" s="267"/>
      <c r="FJ135" s="267"/>
      <c r="FK135" s="262">
        <f>IF(FI135=0,0,(FJ135-FI135)/FI135*100)</f>
        <v>0</v>
      </c>
      <c r="FL135" s="267"/>
      <c r="FM135" s="267"/>
      <c r="FN135" s="262">
        <f>IF(FL135=0,0,(FM135-FL135)/FL135*100)</f>
        <v>0</v>
      </c>
      <c r="FO135" s="267"/>
      <c r="FP135" s="267"/>
      <c r="FQ135" s="262">
        <f>IF(FO135=0,0,(FP135-FO135)/FO135*100)</f>
        <v>0</v>
      </c>
      <c r="FR135" s="267"/>
      <c r="FS135" s="267"/>
      <c r="FT135" s="262">
        <f>IF(FR135=0,0,(FS135-FR135)/FR135*100)</f>
        <v>0</v>
      </c>
      <c r="FU135" s="267"/>
      <c r="FV135" s="267"/>
      <c r="FW135" s="262">
        <f>IF(FU135=0,0,(FV135-FU135)/FU135*100)</f>
        <v>0</v>
      </c>
      <c r="FX135" s="258"/>
      <c r="FY135" s="258"/>
      <c r="FZ135" s="1032" t="s">
        <v>1554</v>
      </c>
      <c r="GA135" s="1032"/>
      <c r="GB135" s="1032"/>
      <c r="GC135" s="1033"/>
      <c r="GD135" s="1033"/>
    </row>
    <row s="1624" customFormat="1" customHeight="1" ht="14.25">
      <c r="A136" s="466"/>
      <c r="B136" s="901" cm="1" t="str">
        <f t="array" ref="B136:B136">B135</f>
        <v>true</v>
      </c>
      <c r="C136" s="466"/>
      <c r="D136" s="466"/>
      <c r="E136" s="816">
        <v>15</v>
      </c>
      <c r="F136" s="50" cm="1" t="str">
        <f t="array" ref="F136:F136">OFFSET(E136,-1,1)</f>
        <v>1</v>
      </c>
      <c r="G136" s="466"/>
      <c r="H136" s="466" t="s">
        <v>438</v>
      </c>
      <c r="I136" s="466"/>
      <c r="J136" s="466"/>
      <c r="K136" s="466"/>
      <c r="L136" s="466"/>
      <c r="M136" s="466"/>
      <c r="N136" s="466"/>
      <c r="O136" s="466"/>
      <c r="P136" s="466"/>
      <c r="Q136" s="466"/>
      <c r="R136" s="466"/>
      <c r="S136" s="466"/>
      <c r="T136" s="438" cm="1" t="str">
        <f t="array" ref="T136:T136">T135</f>
        <v>true</v>
      </c>
      <c r="U136" s="466"/>
      <c r="V136" s="466"/>
      <c r="W136" s="466"/>
      <c r="X136" s="1541"/>
      <c r="Y136" s="466"/>
      <c r="Z136" s="1493"/>
      <c r="AA136" s="466"/>
      <c r="AB136" s="1066" t="s">
        <v>1555</v>
      </c>
      <c r="AC136" s="742" t="s">
        <v>430</v>
      </c>
      <c r="AD136" s="1070">
        <f>IF(AD134=0,0,AD135/AD134)*100</f>
        <v>139.322764476244</v>
      </c>
      <c r="AE136" s="1070">
        <f>IF(AE134=0,0,AE135/AE134)*100</f>
        <v>99.9040684562867</v>
      </c>
      <c r="AF136" s="1087"/>
      <c r="AG136" s="1070">
        <f>IF(AG134=0,0,AG135/AG134)*100</f>
        <v>139.322764476244</v>
      </c>
      <c r="AH136" s="1070">
        <f>IF(AH134=0,0,AH135/AH134)*100</f>
        <v>99.9040684562867</v>
      </c>
      <c r="AI136" s="1087"/>
      <c r="AJ136" s="1070">
        <f>IF(AJ134=0,0,AJ135/AJ134)*100</f>
        <v>139.322764476244</v>
      </c>
      <c r="AK136" s="1070">
        <f>IF(AK134=0,0,AK135/AK134)*100</f>
        <v>99.9040684562867</v>
      </c>
      <c r="AL136" s="1087"/>
      <c r="AM136" s="1070">
        <f>IF(AM134=0,0,AM135/AM134)*100</f>
        <v>139.322764476244</v>
      </c>
      <c r="AN136" s="1070">
        <f>IF(AN134=0,0,AN135/AN134)*100</f>
        <v>99.9040684562867</v>
      </c>
      <c r="AO136" s="1087"/>
      <c r="AP136" s="1070">
        <f>IF(AP134=0,0,AP135/AP134)*100</f>
        <v>139.322764476244</v>
      </c>
      <c r="AQ136" s="1070">
        <f>IF(AQ134=0,0,AQ135/AQ134)*100</f>
        <v>99.9040684562867</v>
      </c>
      <c r="AR136" s="1087"/>
      <c r="AS136" s="1070">
        <f>IF(AS134=0,0,AS135/AS134)*100</f>
        <v>139.322764476244</v>
      </c>
      <c r="AT136" s="1070">
        <f>IF(AT134=0,0,AT135/AT134)*100</f>
        <v>99.9040684562867</v>
      </c>
      <c r="AU136" s="1087"/>
      <c r="AV136" s="1070">
        <f>IF(AV134=0,0,AV135/AV134)*100</f>
        <v>139.322764476244</v>
      </c>
      <c r="AW136" s="1070">
        <f>IF(AW134=0,0,AW135/AW134)*100</f>
        <v>99.9040684562867</v>
      </c>
      <c r="AX136" s="1087"/>
      <c r="AY136" s="1070">
        <f>IF(AY134=0,0,AY135/AY134)*100</f>
        <v>139.322764476244</v>
      </c>
      <c r="AZ136" s="1070">
        <f>IF(AZ134=0,0,AZ135/AZ134)*100</f>
        <v>99.9040684562867</v>
      </c>
      <c r="BA136" s="1087"/>
      <c r="BB136" s="1070">
        <f>IF(BB134=0,0,BB135/BB134)*100</f>
        <v>139.322764476244</v>
      </c>
      <c r="BC136" s="1070">
        <f>IF(BC134=0,0,BC135/BC134)*100</f>
        <v>99.9040684562867</v>
      </c>
      <c r="BD136" s="1087"/>
      <c r="BE136" s="1070">
        <f>IF(BE134=0,0,BE135/BE134)*100</f>
        <v>139.322764476244</v>
      </c>
      <c r="BF136" s="1070">
        <f>IF(BF134=0,0,BF135/BF134)*100</f>
        <v>99.9040684562867</v>
      </c>
      <c r="BG136" s="1087"/>
      <c r="BH136" s="1070">
        <f>IF(BH134=0,0,BH135/BH134)*100</f>
        <v>0</v>
      </c>
      <c r="BI136" s="1070">
        <f>IF(BI134=0,0,BI135/BI134)*100</f>
        <v>0</v>
      </c>
      <c r="BJ136" s="1087"/>
      <c r="BK136" s="1070">
        <f>IF(BK134=0,0,BK135/BK134)*100</f>
        <v>0</v>
      </c>
      <c r="BL136" s="1070">
        <f>IF(BL134=0,0,BL135/BL134)*100</f>
        <v>0</v>
      </c>
      <c r="BM136" s="1087"/>
      <c r="BN136" s="1070">
        <f>IF(BN134=0,0,BN135/BN134)*100</f>
        <v>0</v>
      </c>
      <c r="BO136" s="1070">
        <f>IF(BO134=0,0,BO135/BO134)*100</f>
        <v>0</v>
      </c>
      <c r="BP136" s="1087"/>
      <c r="BQ136" s="1070">
        <f>IF(BQ134=0,0,BQ135/BQ134)*100</f>
        <v>0</v>
      </c>
      <c r="BR136" s="1070">
        <f>IF(BR134=0,0,BR135/BR134)*100</f>
        <v>0</v>
      </c>
      <c r="BS136" s="1087"/>
      <c r="BT136" s="1070">
        <f>IF(BT134=0,0,BT135/BT134)*100</f>
        <v>0</v>
      </c>
      <c r="BU136" s="1070">
        <f>IF(BU134=0,0,BU135/BU134)*100</f>
        <v>0</v>
      </c>
      <c r="BV136" s="1087"/>
      <c r="BW136" s="1070">
        <f>IF(BW134=0,0,BW135/BW134)*100</f>
        <v>0</v>
      </c>
      <c r="BX136" s="1070">
        <f>IF(BX134=0,0,BX135/BX134)*100</f>
        <v>0</v>
      </c>
      <c r="BY136" s="1087"/>
      <c r="BZ136" s="1070">
        <f>IF(BZ134=0,0,BZ135/BZ134)*100</f>
        <v>0</v>
      </c>
      <c r="CA136" s="1070">
        <f>IF(CA134=0,0,CA135/CA134)*100</f>
        <v>0</v>
      </c>
      <c r="CB136" s="1087"/>
      <c r="CC136" s="1070">
        <f>IF(CC134=0,0,CC135/CC134)*100</f>
        <v>0</v>
      </c>
      <c r="CD136" s="1070">
        <f>IF(CD134=0,0,CD135/CD134)*100</f>
        <v>0</v>
      </c>
      <c r="CE136" s="1087"/>
      <c r="CF136" s="1070">
        <f>IF(CF134=0,0,CF135/CF134)*100</f>
        <v>0</v>
      </c>
      <c r="CG136" s="1070">
        <f>IF(CG134=0,0,CG135/CG134)*100</f>
        <v>0</v>
      </c>
      <c r="CH136" s="1087"/>
      <c r="CI136" s="1070">
        <f>IF(CI134=0,0,CI135/CI134)*100</f>
        <v>0</v>
      </c>
      <c r="CJ136" s="1070">
        <f>IF(CJ134=0,0,CJ135/CJ134)*100</f>
        <v>0</v>
      </c>
      <c r="CK136" s="1087"/>
      <c r="CL136" s="1070">
        <f>IF(CL134=0,0,CL135/CL134)*100</f>
        <v>0</v>
      </c>
      <c r="CM136" s="1070">
        <f>IF(CM134=0,0,CM135/CM134)*100</f>
        <v>0</v>
      </c>
      <c r="CN136" s="1087"/>
      <c r="CO136" s="1070">
        <f>IF(CO134=0,0,CO135/CO134)*100</f>
        <v>0</v>
      </c>
      <c r="CP136" s="1070">
        <f>IF(CP134=0,0,CP135/CP134)*100</f>
        <v>0</v>
      </c>
      <c r="CQ136" s="1087"/>
      <c r="CR136" s="1070">
        <f>IF(CR134=0,0,CR135/CR134)*100</f>
        <v>0</v>
      </c>
      <c r="CS136" s="1070">
        <f>IF(CS134=0,0,CS135/CS134)*100</f>
        <v>0</v>
      </c>
      <c r="CT136" s="1087"/>
      <c r="CU136" s="1070">
        <f>IF(CU134=0,0,CU135/CU134)*100</f>
        <v>0</v>
      </c>
      <c r="CV136" s="1070">
        <f>IF(CV134=0,0,CV135/CV134)*100</f>
        <v>0</v>
      </c>
      <c r="CW136" s="1087"/>
      <c r="CX136" s="1070">
        <f>IF(CX134=0,0,CX135/CX134)*100</f>
        <v>0</v>
      </c>
      <c r="CY136" s="1070">
        <f>IF(CY134=0,0,CY135/CY134)*100</f>
        <v>0</v>
      </c>
      <c r="CZ136" s="1087"/>
      <c r="DA136" s="1070">
        <f>IF(DA134=0,0,DA135/DA134)*100</f>
        <v>0</v>
      </c>
      <c r="DB136" s="1070">
        <f>IF(DB134=0,0,DB135/DB134)*100</f>
        <v>0</v>
      </c>
      <c r="DC136" s="1087"/>
      <c r="DD136" s="1070">
        <f>IF(DD134=0,0,DD135/DD134)*100</f>
        <v>0</v>
      </c>
      <c r="DE136" s="1070">
        <f>IF(DE134=0,0,DE135/DE134)*100</f>
        <v>0</v>
      </c>
      <c r="DF136" s="1087"/>
      <c r="DG136" s="1070">
        <f>IF(DG134=0,0,DG135/DG134)*100</f>
        <v>0</v>
      </c>
      <c r="DH136" s="1070">
        <f>IF(DH134=0,0,DH135/DH134)*100</f>
        <v>0</v>
      </c>
      <c r="DI136" s="1087"/>
      <c r="DJ136" s="1070">
        <f>IF(DJ134=0,0,DJ135/DJ134)*100</f>
        <v>0</v>
      </c>
      <c r="DK136" s="1070">
        <f>IF(DK134=0,0,DK135/DK134)*100</f>
        <v>0</v>
      </c>
      <c r="DL136" s="1087"/>
      <c r="DM136" s="1070">
        <f>IF(DM134=0,0,DM135/DM134)*100</f>
        <v>0</v>
      </c>
      <c r="DN136" s="1070">
        <f>IF(DN134=0,0,DN135/DN134)*100</f>
        <v>0</v>
      </c>
      <c r="DO136" s="1087"/>
      <c r="DP136" s="1070">
        <f>IF(DP134=0,0,DP135/DP134)*100</f>
        <v>0</v>
      </c>
      <c r="DQ136" s="1070">
        <f>IF(DQ134=0,0,DQ135/DQ134)*100</f>
        <v>0</v>
      </c>
      <c r="DR136" s="1087"/>
      <c r="DS136" s="1070">
        <f>IF(DS134=0,0,DS135/DS134)*100</f>
        <v>0</v>
      </c>
      <c r="DT136" s="1070">
        <f>IF(DT134=0,0,DT135/DT134)*100</f>
        <v>0</v>
      </c>
      <c r="DU136" s="1087"/>
      <c r="DV136" s="1070">
        <f>IF(DV134=0,0,DV135/DV134)*100</f>
        <v>0</v>
      </c>
      <c r="DW136" s="1070">
        <f>IF(DW134=0,0,DW135/DW134)*100</f>
        <v>0</v>
      </c>
      <c r="DX136" s="1087"/>
      <c r="DY136" s="1070">
        <f>IF(DY134=0,0,DY135/DY134)*100</f>
        <v>0</v>
      </c>
      <c r="DZ136" s="1070">
        <f>IF(DZ134=0,0,DZ135/DZ134)*100</f>
        <v>0</v>
      </c>
      <c r="EA136" s="1087"/>
      <c r="EB136" s="1070">
        <f>IF(EB134=0,0,EB135/EB134)*100</f>
        <v>0</v>
      </c>
      <c r="EC136" s="1070">
        <f>IF(EC134=0,0,EC135/EC134)*100</f>
        <v>0</v>
      </c>
      <c r="ED136" s="1087"/>
      <c r="EE136" s="1070">
        <f>IF(EE134=0,0,EE135/EE134)*100</f>
        <v>0</v>
      </c>
      <c r="EF136" s="1070">
        <f>IF(EF134=0,0,EF135/EF134)*100</f>
        <v>0</v>
      </c>
      <c r="EG136" s="1087"/>
      <c r="EH136" s="1070">
        <f>IF(EH134=0,0,EH135/EH134)*100</f>
        <v>0</v>
      </c>
      <c r="EI136" s="1070">
        <f>IF(EI134=0,0,EI135/EI134)*100</f>
        <v>0</v>
      </c>
      <c r="EJ136" s="1087"/>
      <c r="EK136" s="1070">
        <f>IF(EK134=0,0,EK135/EK134)*100</f>
        <v>0</v>
      </c>
      <c r="EL136" s="1070">
        <f>IF(EL134=0,0,EL135/EL134)*100</f>
        <v>0</v>
      </c>
      <c r="EM136" s="1087"/>
      <c r="EN136" s="1070">
        <f>IF(EN134=0,0,EN135/EN134)*100</f>
        <v>0</v>
      </c>
      <c r="EO136" s="1070">
        <f>IF(EO134=0,0,EO135/EO134)*100</f>
        <v>0</v>
      </c>
      <c r="EP136" s="1087"/>
      <c r="EQ136" s="1070">
        <f>IF(EQ134=0,0,EQ135/EQ134)*100</f>
        <v>0</v>
      </c>
      <c r="ER136" s="1070">
        <f>IF(ER134=0,0,ER135/ER134)*100</f>
        <v>0</v>
      </c>
      <c r="ES136" s="1087"/>
      <c r="ET136" s="1070">
        <f>IF(ET134=0,0,ET135/ET134)*100</f>
        <v>0</v>
      </c>
      <c r="EU136" s="1070">
        <f>IF(EU134=0,0,EU135/EU134)*100</f>
        <v>0</v>
      </c>
      <c r="EV136" s="1087"/>
      <c r="EW136" s="1070">
        <f>IF(EW134=0,0,EW135/EW134)*100</f>
        <v>0</v>
      </c>
      <c r="EX136" s="1070">
        <f>IF(EX134=0,0,EX135/EX134)*100</f>
        <v>0</v>
      </c>
      <c r="EY136" s="1087"/>
      <c r="EZ136" s="1070">
        <f>IF(EZ134=0,0,EZ135/EZ134)*100</f>
        <v>0</v>
      </c>
      <c r="FA136" s="1070">
        <f>IF(FA134=0,0,FA135/FA134)*100</f>
        <v>0</v>
      </c>
      <c r="FB136" s="1087"/>
      <c r="FC136" s="1070">
        <f>IF(FC134=0,0,FC135/FC134)*100</f>
        <v>0</v>
      </c>
      <c r="FD136" s="1070">
        <f>IF(FD134=0,0,FD135/FD134)*100</f>
        <v>0</v>
      </c>
      <c r="FE136" s="1087"/>
      <c r="FF136" s="1070">
        <f>IF(FF134=0,0,FF135/FF134)*100</f>
        <v>0</v>
      </c>
      <c r="FG136" s="1070">
        <f>IF(FG134=0,0,FG135/FG134)*100</f>
        <v>0</v>
      </c>
      <c r="FH136" s="1087"/>
      <c r="FI136" s="1070">
        <f>IF(FI134=0,0,FI135/FI134)*100</f>
        <v>0</v>
      </c>
      <c r="FJ136" s="1070">
        <f>IF(FJ134=0,0,FJ135/FJ134)*100</f>
        <v>0</v>
      </c>
      <c r="FK136" s="1087"/>
      <c r="FL136" s="1070">
        <f>IF(FL134=0,0,FL135/FL134)*100</f>
        <v>0</v>
      </c>
      <c r="FM136" s="1070">
        <f>IF(FM134=0,0,FM135/FM134)*100</f>
        <v>0</v>
      </c>
      <c r="FN136" s="1087"/>
      <c r="FO136" s="1070">
        <f>IF(FO134=0,0,FO135/FO134)*100</f>
        <v>0</v>
      </c>
      <c r="FP136" s="1070">
        <f>IF(FP134=0,0,FP135/FP134)*100</f>
        <v>0</v>
      </c>
      <c r="FQ136" s="1087"/>
      <c r="FR136" s="1070">
        <f>IF(FR134=0,0,FR135/FR134)*100</f>
        <v>0</v>
      </c>
      <c r="FS136" s="1070">
        <f>IF(FS134=0,0,FS135/FS134)*100</f>
        <v>0</v>
      </c>
      <c r="FT136" s="1087"/>
      <c r="FU136" s="1070">
        <f>IF(FU134=0,0,FU135/FU134)*100</f>
        <v>0</v>
      </c>
      <c r="FV136" s="1070">
        <f>IF(FV134=0,0,FV135/FV134)*100</f>
        <v>0</v>
      </c>
      <c r="FW136" s="1088"/>
      <c r="FX136" s="258"/>
      <c r="FY136" s="1282"/>
      <c r="FZ136" s="1032" t="s">
        <v>1556</v>
      </c>
      <c r="GA136" s="1284"/>
      <c r="GB136" s="1284"/>
      <c r="GC136" s="1283"/>
      <c r="GD136" s="1283"/>
    </row>
    <row s="1624" customFormat="1" customHeight="1" ht="14.25">
      <c r="A137" s="466"/>
      <c r="B137" s="901" cm="1" t="str">
        <f t="array" ref="B137:B137">B136</f>
        <v>true</v>
      </c>
      <c r="C137" s="466"/>
      <c r="D137" s="466"/>
      <c r="E137" s="816">
        <v>15</v>
      </c>
      <c r="F137" s="50" cm="1" t="str">
        <f t="array" ref="F137:F137">OFFSET(E137,-1,1)</f>
        <v>1</v>
      </c>
      <c r="G137" s="73" t="s">
        <v>1485</v>
      </c>
      <c r="H137" s="466"/>
      <c r="I137" s="466"/>
      <c r="J137" s="466"/>
      <c r="K137" s="466"/>
      <c r="L137" s="466"/>
      <c r="M137" s="466"/>
      <c r="N137" s="466"/>
      <c r="O137" s="466"/>
      <c r="P137" s="466"/>
      <c r="Q137" s="466"/>
      <c r="R137" s="466"/>
      <c r="S137" s="466"/>
      <c r="T137" s="438" cm="1" t="str">
        <f t="array" ref="T137:T137">T136</f>
        <v>true</v>
      </c>
      <c r="U137" s="466"/>
      <c r="V137" s="466"/>
      <c r="W137" s="466"/>
      <c r="X137" s="1541"/>
      <c r="Y137" s="466"/>
      <c r="Z137" s="1493"/>
      <c r="AA137" s="466"/>
      <c r="AB137" s="876" t="s">
        <v>1486</v>
      </c>
      <c r="AC137" s="840" t="s">
        <v>506</v>
      </c>
      <c r="AD137" s="1072">
        <f>IF(AND(method_reg="Метод индексации",god&lt;&gt;first_year),_xlfn.SUMIFS(INDEX('Калькуляция (МИ корр)'!$AJ$25:$BC$315,,MATCH(AD$8,'Калькуляция (МИ корр)'!$AJ$8:$BC$8,0)),'Калькуляция (МИ корр)'!$F$25:$F$315,$F137,'Калькуляция (МИ корр)'!$G$25:$G$315,$G137),IF(method_reg="Метод экономически обоснованных расходов",_xlfn.SUMIFS('Калькуляция (МЭОР)'!$AJ$25:$AJ$197,'Калькуляция (МЭОР)'!$F$25:$F$197,$F137,'Калькуляция (МЭОР)'!$G$25:$G$197,$G137),IF(method_reg="Метод сравнения аналогов",_xlfn.SUMIFS('Калькуляция (МСА)'!$AE$25:$AE$65,'Калькуляция (МСА)'!$F$25:$F$65,$F137,'Калькуляция (МСА)'!$G$25:$G$65,$G137),_xlfn.SUMIFS(INDEX('Калькуляция (МИ)'!$AJ$25:$BC$315,,MATCH(AD$8,'Калькуляция (МИ)'!$AJ$8:$BC$8,0)),'Калькуляция (МИ)'!$F$25:$F$315,$F137,'Калькуляция (МИ)'!$G$25:$G$315,$G137))))</f>
        <v>36.311</v>
      </c>
      <c r="AE137" s="1072">
        <f>IF(AND(method_reg="Метод индексации",god&lt;&gt;first_year),_xlfn.SUMIFS(INDEX('Калькуляция (МИ корр)'!$AJ$25:$BC$315,,MATCH(AE$8,'Калькуляция (МИ корр)'!$AJ$8:$BC$8,0)),'Калькуляция (МИ корр)'!$F$25:$F$315,$F137,'Калькуляция (МИ корр)'!$G$25:$G$315,$G137),IF(method_reg="Метод экономически обоснованных расходов",_xlfn.SUMIFS('Калькуляция (МЭОР)'!$AK$25:$AK$197,'Калькуляция (МЭОР)'!$F$25:$F$197,$F137,'Калькуляция (МЭОР)'!$G$25:$G$197,$G137),IF(method_reg="Метод сравнения аналогов",_xlfn.SUMIFS('Калькуляция (МСА)'!$AF$25:$AF$65,'Калькуляция (МСА)'!$F$25:$F$65,$F137,'Калькуляция (МСА)'!$G$25:$G$65,$G137),_xlfn.SUMIFS(INDEX('Калькуляция (МИ)'!$AJ$25:$BC$315,,MATCH(AE$8,'Калькуляция (МИ)'!$AJ$8:$BC$8,0)),'Калькуляция (МИ)'!$F$25:$F$315,$F137,'Калькуляция (МИ)'!$G$25:$G$315,$G137))))</f>
        <v>35.62504</v>
      </c>
      <c r="AF137" s="1073">
        <f>IF(AD137=0,0,(AE137-AD137)/AD137*100)</f>
        <v>-1.88912450772494</v>
      </c>
      <c r="AG137" s="1072">
        <f>IF(AND(method_reg="Метод индексации",god&lt;&gt;first_year),_xlfn.SUMIFS(INDEX('Калькуляция (МИ корр)'!$AJ$25:$BC$315,,MATCH(AG$8,'Калькуляция (МИ корр)'!$AJ$8:$BC$8,0)),'Калькуляция (МИ корр)'!$F$25:$F$315,$F137,'Калькуляция (МИ корр)'!$G$25:$G$315,$G137),IF(method_reg="Метод экономически обоснованных расходов",_xlfn.SUMIFS('Калькуляция (МЭОР)'!$AJ$25:$AJ$197,'Калькуляция (МЭОР)'!$F$25:$F$197,$F137,'Калькуляция (МЭОР)'!$G$25:$G$197,$G137),IF(method_reg="Метод сравнения аналогов",_xlfn.SUMIFS('Калькуляция (МСА)'!$AE$25:$AE$65,'Калькуляция (МСА)'!$F$25:$F$65,$F137,'Калькуляция (МСА)'!$G$25:$G$65,$G137),_xlfn.SUMIFS(INDEX('Калькуляция (МИ)'!$AJ$25:$BC$315,,MATCH(AG$8,'Калькуляция (МИ)'!$AJ$8:$BC$8,0)),'Калькуляция (МИ)'!$F$25:$F$315,$F137,'Калькуляция (МИ)'!$G$25:$G$315,$G137))))</f>
        <v>36.311</v>
      </c>
      <c r="AH137" s="1072">
        <f>IF(AND(method_reg="Метод индексации",god&lt;&gt;first_year),_xlfn.SUMIFS(INDEX('Калькуляция (МИ корр)'!$AJ$25:$BC$315,,MATCH(AH$8,'Калькуляция (МИ корр)'!$AJ$8:$BC$8,0)),'Калькуляция (МИ корр)'!$F$25:$F$315,$F137,'Калькуляция (МИ корр)'!$G$25:$G$315,$G137),IF(method_reg="Метод экономически обоснованных расходов",_xlfn.SUMIFS('Калькуляция (МЭОР)'!$AK$25:$AK$197,'Калькуляция (МЭОР)'!$F$25:$F$197,$F137,'Калькуляция (МЭОР)'!$G$25:$G$197,$G137),IF(method_reg="Метод сравнения аналогов",_xlfn.SUMIFS('Калькуляция (МСА)'!$AF$25:$AF$65,'Калькуляция (МСА)'!$F$25:$F$65,$F137,'Калькуляция (МСА)'!$G$25:$G$65,$G137),_xlfn.SUMIFS(INDEX('Калькуляция (МИ)'!$AJ$25:$BC$315,,MATCH(AH$8,'Калькуляция (МИ)'!$AJ$8:$BC$8,0)),'Калькуляция (МИ)'!$F$25:$F$315,$F137,'Калькуляция (МИ)'!$G$25:$G$315,$G137))))</f>
        <v>35.62504</v>
      </c>
      <c r="AI137" s="1073">
        <f>IF(AG137=0,0,(AH137-AG137)/AG137*100)</f>
        <v>-1.88912450772494</v>
      </c>
      <c r="AJ137" s="1072">
        <f>IF(AND(method_reg="Метод индексации",god&lt;&gt;first_year),_xlfn.SUMIFS(INDEX('Калькуляция (МИ корр)'!$AJ$25:$BC$315,,MATCH(AJ$8,'Калькуляция (МИ корр)'!$AJ$8:$BC$8,0)),'Калькуляция (МИ корр)'!$F$25:$F$315,$F137,'Калькуляция (МИ корр)'!$G$25:$G$315,$G137),IF(method_reg="Метод экономически обоснованных расходов",_xlfn.SUMIFS('Калькуляция (МЭОР)'!$AJ$25:$AJ$197,'Калькуляция (МЭОР)'!$F$25:$F$197,$F137,'Калькуляция (МЭОР)'!$G$25:$G$197,$G137),IF(method_reg="Метод сравнения аналогов",_xlfn.SUMIFS('Калькуляция (МСА)'!$AE$25:$AE$65,'Калькуляция (МСА)'!$F$25:$F$65,$F137,'Калькуляция (МСА)'!$G$25:$G$65,$G137),_xlfn.SUMIFS(INDEX('Калькуляция (МИ)'!$AJ$25:$BC$315,,MATCH(AJ$8,'Калькуляция (МИ)'!$AJ$8:$BC$8,0)),'Калькуляция (МИ)'!$F$25:$F$315,$F137,'Калькуляция (МИ)'!$G$25:$G$315,$G137))))</f>
        <v>36.311</v>
      </c>
      <c r="AK137" s="1072">
        <f>IF(AND(method_reg="Метод индексации",god&lt;&gt;first_year),_xlfn.SUMIFS(INDEX('Калькуляция (МИ корр)'!$AJ$25:$BC$315,,MATCH(AK$8,'Калькуляция (МИ корр)'!$AJ$8:$BC$8,0)),'Калькуляция (МИ корр)'!$F$25:$F$315,$F137,'Калькуляция (МИ корр)'!$G$25:$G$315,$G137),IF(method_reg="Метод экономически обоснованных расходов",_xlfn.SUMIFS('Калькуляция (МЭОР)'!$AK$25:$AK$197,'Калькуляция (МЭОР)'!$F$25:$F$197,$F137,'Калькуляция (МЭОР)'!$G$25:$G$197,$G137),IF(method_reg="Метод сравнения аналогов",_xlfn.SUMIFS('Калькуляция (МСА)'!$AF$25:$AF$65,'Калькуляция (МСА)'!$F$25:$F$65,$F137,'Калькуляция (МСА)'!$G$25:$G$65,$G137),_xlfn.SUMIFS(INDEX('Калькуляция (МИ)'!$AJ$25:$BC$315,,MATCH(AK$8,'Калькуляция (МИ)'!$AJ$8:$BC$8,0)),'Калькуляция (МИ)'!$F$25:$F$315,$F137,'Калькуляция (МИ)'!$G$25:$G$315,$G137))))</f>
        <v>35.62504</v>
      </c>
      <c r="AL137" s="1073">
        <f>IF(AJ137=0,0,(AK137-AJ137)/AJ137*100)</f>
        <v>-1.88912450772494</v>
      </c>
      <c r="AM137" s="1072">
        <f>IF(AND(method_reg="Метод индексации",god&lt;&gt;first_year),_xlfn.SUMIFS(INDEX('Калькуляция (МИ корр)'!$AJ$25:$BC$315,,MATCH(AM$8,'Калькуляция (МИ корр)'!$AJ$8:$BC$8,0)),'Калькуляция (МИ корр)'!$F$25:$F$315,$F137,'Калькуляция (МИ корр)'!$G$25:$G$315,$G137),IF(method_reg="Метод экономически обоснованных расходов",_xlfn.SUMIFS('Калькуляция (МЭОР)'!$AJ$25:$AJ$197,'Калькуляция (МЭОР)'!$F$25:$F$197,$F137,'Калькуляция (МЭОР)'!$G$25:$G$197,$G137),IF(method_reg="Метод сравнения аналогов",_xlfn.SUMIFS('Калькуляция (МСА)'!$AE$25:$AE$65,'Калькуляция (МСА)'!$F$25:$F$65,$F137,'Калькуляция (МСА)'!$G$25:$G$65,$G137),_xlfn.SUMIFS(INDEX('Калькуляция (МИ)'!$AJ$25:$BC$315,,MATCH(AM$8,'Калькуляция (МИ)'!$AJ$8:$BC$8,0)),'Калькуляция (МИ)'!$F$25:$F$315,$F137,'Калькуляция (МИ)'!$G$25:$G$315,$G137))))</f>
        <v>36.311</v>
      </c>
      <c r="AN137" s="1072">
        <f>IF(AND(method_reg="Метод индексации",god&lt;&gt;first_year),_xlfn.SUMIFS(INDEX('Калькуляция (МИ корр)'!$AJ$25:$BC$315,,MATCH(AN$8,'Калькуляция (МИ корр)'!$AJ$8:$BC$8,0)),'Калькуляция (МИ корр)'!$F$25:$F$315,$F137,'Калькуляция (МИ корр)'!$G$25:$G$315,$G137),IF(method_reg="Метод экономически обоснованных расходов",_xlfn.SUMIFS('Калькуляция (МЭОР)'!$AK$25:$AK$197,'Калькуляция (МЭОР)'!$F$25:$F$197,$F137,'Калькуляция (МЭОР)'!$G$25:$G$197,$G137),IF(method_reg="Метод сравнения аналогов",_xlfn.SUMIFS('Калькуляция (МСА)'!$AF$25:$AF$65,'Калькуляция (МСА)'!$F$25:$F$65,$F137,'Калькуляция (МСА)'!$G$25:$G$65,$G137),_xlfn.SUMIFS(INDEX('Калькуляция (МИ)'!$AJ$25:$BC$315,,MATCH(AN$8,'Калькуляция (МИ)'!$AJ$8:$BC$8,0)),'Калькуляция (МИ)'!$F$25:$F$315,$F137,'Калькуляция (МИ)'!$G$25:$G$315,$G137))))</f>
        <v>35.62504</v>
      </c>
      <c r="AO137" s="1073">
        <f>IF(AM137=0,0,(AN137-AM137)/AM137*100)</f>
        <v>-1.88912450772494</v>
      </c>
      <c r="AP137" s="1072">
        <f>IF(AND(method_reg="Метод индексации",god&lt;&gt;first_year),_xlfn.SUMIFS(INDEX('Калькуляция (МИ корр)'!$AJ$25:$BC$315,,MATCH(AP$8,'Калькуляция (МИ корр)'!$AJ$8:$BC$8,0)),'Калькуляция (МИ корр)'!$F$25:$F$315,$F137,'Калькуляция (МИ корр)'!$G$25:$G$315,$G137),IF(method_reg="Метод экономически обоснованных расходов",_xlfn.SUMIFS('Калькуляция (МЭОР)'!$AJ$25:$AJ$197,'Калькуляция (МЭОР)'!$F$25:$F$197,$F137,'Калькуляция (МЭОР)'!$G$25:$G$197,$G137),IF(method_reg="Метод сравнения аналогов",_xlfn.SUMIFS('Калькуляция (МСА)'!$AE$25:$AE$65,'Калькуляция (МСА)'!$F$25:$F$65,$F137,'Калькуляция (МСА)'!$G$25:$G$65,$G137),_xlfn.SUMIFS(INDEX('Калькуляция (МИ)'!$AJ$25:$BC$315,,MATCH(AP$8,'Калькуляция (МИ)'!$AJ$8:$BC$8,0)),'Калькуляция (МИ)'!$F$25:$F$315,$F137,'Калькуляция (МИ)'!$G$25:$G$315,$G137))))</f>
        <v>36.311</v>
      </c>
      <c r="AQ137" s="1072">
        <f>IF(AND(method_reg="Метод индексации",god&lt;&gt;first_year),_xlfn.SUMIFS(INDEX('Калькуляция (МИ корр)'!$AJ$25:$BC$315,,MATCH(AQ$8,'Калькуляция (МИ корр)'!$AJ$8:$BC$8,0)),'Калькуляция (МИ корр)'!$F$25:$F$315,$F137,'Калькуляция (МИ корр)'!$G$25:$G$315,$G137),IF(method_reg="Метод экономически обоснованных расходов",_xlfn.SUMIFS('Калькуляция (МЭОР)'!$AK$25:$AK$197,'Калькуляция (МЭОР)'!$F$25:$F$197,$F137,'Калькуляция (МЭОР)'!$G$25:$G$197,$G137),IF(method_reg="Метод сравнения аналогов",_xlfn.SUMIFS('Калькуляция (МСА)'!$AF$25:$AF$65,'Калькуляция (МСА)'!$F$25:$F$65,$F137,'Калькуляция (МСА)'!$G$25:$G$65,$G137),_xlfn.SUMIFS(INDEX('Калькуляция (МИ)'!$AJ$25:$BC$315,,MATCH(AQ$8,'Калькуляция (МИ)'!$AJ$8:$BC$8,0)),'Калькуляция (МИ)'!$F$25:$F$315,$F137,'Калькуляция (МИ)'!$G$25:$G$315,$G137))))</f>
        <v>35.62504</v>
      </c>
      <c r="AR137" s="1073">
        <f>IF(AP137=0,0,(AQ137-AP137)/AP137*100)</f>
        <v>-1.88912450772494</v>
      </c>
      <c r="AS137" s="1072">
        <f>IF(AND(method_reg="Метод индексации",god&lt;&gt;first_year),_xlfn.SUMIFS(INDEX('Калькуляция (МИ корр)'!$AJ$25:$BC$315,,MATCH(AS$8,'Калькуляция (МИ корр)'!$AJ$8:$BC$8,0)),'Калькуляция (МИ корр)'!$F$25:$F$315,$F137,'Калькуляция (МИ корр)'!$G$25:$G$315,$G137),IF(method_reg="Метод экономически обоснованных расходов",_xlfn.SUMIFS('Калькуляция (МЭОР)'!$AJ$25:$AJ$197,'Калькуляция (МЭОР)'!$F$25:$F$197,$F137,'Калькуляция (МЭОР)'!$G$25:$G$197,$G137),IF(method_reg="Метод сравнения аналогов",_xlfn.SUMIFS('Калькуляция (МСА)'!$AE$25:$AE$65,'Калькуляция (МСА)'!$F$25:$F$65,$F137,'Калькуляция (МСА)'!$G$25:$G$65,$G137),_xlfn.SUMIFS(INDEX('Калькуляция (МИ)'!$AJ$25:$BC$315,,MATCH(AS$8,'Калькуляция (МИ)'!$AJ$8:$BC$8,0)),'Калькуляция (МИ)'!$F$25:$F$315,$F137,'Калькуляция (МИ)'!$G$25:$G$315,$G137))))</f>
        <v>36.311</v>
      </c>
      <c r="AT137" s="1072">
        <f>IF(AND(method_reg="Метод индексации",god&lt;&gt;first_year),_xlfn.SUMIFS(INDEX('Калькуляция (МИ корр)'!$AJ$25:$BC$315,,MATCH(AT$8,'Калькуляция (МИ корр)'!$AJ$8:$BC$8,0)),'Калькуляция (МИ корр)'!$F$25:$F$315,$F137,'Калькуляция (МИ корр)'!$G$25:$G$315,$G137),IF(method_reg="Метод экономически обоснованных расходов",_xlfn.SUMIFS('Калькуляция (МЭОР)'!$AK$25:$AK$197,'Калькуляция (МЭОР)'!$F$25:$F$197,$F137,'Калькуляция (МЭОР)'!$G$25:$G$197,$G137),IF(method_reg="Метод сравнения аналогов",_xlfn.SUMIFS('Калькуляция (МСА)'!$AF$25:$AF$65,'Калькуляция (МСА)'!$F$25:$F$65,$F137,'Калькуляция (МСА)'!$G$25:$G$65,$G137),_xlfn.SUMIFS(INDEX('Калькуляция (МИ)'!$AJ$25:$BC$315,,MATCH(AT$8,'Калькуляция (МИ)'!$AJ$8:$BC$8,0)),'Калькуляция (МИ)'!$F$25:$F$315,$F137,'Калькуляция (МИ)'!$G$25:$G$315,$G137))))</f>
        <v>35.62504</v>
      </c>
      <c r="AU137" s="1073">
        <f>IF(AS137=0,0,(AT137-AS137)/AS137*100)</f>
        <v>-1.88912450772494</v>
      </c>
      <c r="AV137" s="1072">
        <f>IF(AND(method_reg="Метод индексации",god&lt;&gt;first_year),_xlfn.SUMIFS(INDEX('Калькуляция (МИ корр)'!$AJ$25:$BC$315,,MATCH(AV$8,'Калькуляция (МИ корр)'!$AJ$8:$BC$8,0)),'Калькуляция (МИ корр)'!$F$25:$F$315,$F137,'Калькуляция (МИ корр)'!$G$25:$G$315,$G137),IF(method_reg="Метод экономически обоснованных расходов",_xlfn.SUMIFS('Калькуляция (МЭОР)'!$AJ$25:$AJ$197,'Калькуляция (МЭОР)'!$F$25:$F$197,$F137,'Калькуляция (МЭОР)'!$G$25:$G$197,$G137),IF(method_reg="Метод сравнения аналогов",_xlfn.SUMIFS('Калькуляция (МСА)'!$AE$25:$AE$65,'Калькуляция (МСА)'!$F$25:$F$65,$F137,'Калькуляция (МСА)'!$G$25:$G$65,$G137),_xlfn.SUMIFS(INDEX('Калькуляция (МИ)'!$AJ$25:$BC$315,,MATCH(AV$8,'Калькуляция (МИ)'!$AJ$8:$BC$8,0)),'Калькуляция (МИ)'!$F$25:$F$315,$F137,'Калькуляция (МИ)'!$G$25:$G$315,$G137))))</f>
        <v>36.311</v>
      </c>
      <c r="AW137" s="1072">
        <f>IF(AND(method_reg="Метод индексации",god&lt;&gt;first_year),_xlfn.SUMIFS(INDEX('Калькуляция (МИ корр)'!$AJ$25:$BC$315,,MATCH(AW$8,'Калькуляция (МИ корр)'!$AJ$8:$BC$8,0)),'Калькуляция (МИ корр)'!$F$25:$F$315,$F137,'Калькуляция (МИ корр)'!$G$25:$G$315,$G137),IF(method_reg="Метод экономически обоснованных расходов",_xlfn.SUMIFS('Калькуляция (МЭОР)'!$AK$25:$AK$197,'Калькуляция (МЭОР)'!$F$25:$F$197,$F137,'Калькуляция (МЭОР)'!$G$25:$G$197,$G137),IF(method_reg="Метод сравнения аналогов",_xlfn.SUMIFS('Калькуляция (МСА)'!$AF$25:$AF$65,'Калькуляция (МСА)'!$F$25:$F$65,$F137,'Калькуляция (МСА)'!$G$25:$G$65,$G137),_xlfn.SUMIFS(INDEX('Калькуляция (МИ)'!$AJ$25:$BC$315,,MATCH(AW$8,'Калькуляция (МИ)'!$AJ$8:$BC$8,0)),'Калькуляция (МИ)'!$F$25:$F$315,$F137,'Калькуляция (МИ)'!$G$25:$G$315,$G137))))</f>
        <v>35.62504</v>
      </c>
      <c r="AX137" s="1073">
        <f>IF(AV137=0,0,(AW137-AV137)/AV137*100)</f>
        <v>-1.88912450772494</v>
      </c>
      <c r="AY137" s="1072">
        <f>IF(AND(method_reg="Метод индексации",god&lt;&gt;first_year),_xlfn.SUMIFS(INDEX('Калькуляция (МИ корр)'!$AJ$25:$BC$315,,MATCH(AY$8,'Калькуляция (МИ корр)'!$AJ$8:$BC$8,0)),'Калькуляция (МИ корр)'!$F$25:$F$315,$F137,'Калькуляция (МИ корр)'!$G$25:$G$315,$G137),IF(method_reg="Метод экономически обоснованных расходов",_xlfn.SUMIFS('Калькуляция (МЭОР)'!$AJ$25:$AJ$197,'Калькуляция (МЭОР)'!$F$25:$F$197,$F137,'Калькуляция (МЭОР)'!$G$25:$G$197,$G137),IF(method_reg="Метод сравнения аналогов",_xlfn.SUMIFS('Калькуляция (МСА)'!$AE$25:$AE$65,'Калькуляция (МСА)'!$F$25:$F$65,$F137,'Калькуляция (МСА)'!$G$25:$G$65,$G137),_xlfn.SUMIFS(INDEX('Калькуляция (МИ)'!$AJ$25:$BC$315,,MATCH(AY$8,'Калькуляция (МИ)'!$AJ$8:$BC$8,0)),'Калькуляция (МИ)'!$F$25:$F$315,$F137,'Калькуляция (МИ)'!$G$25:$G$315,$G137))))</f>
        <v>36.311</v>
      </c>
      <c r="AZ137" s="1072">
        <f>IF(AND(method_reg="Метод индексации",god&lt;&gt;first_year),_xlfn.SUMIFS(INDEX('Калькуляция (МИ корр)'!$AJ$25:$BC$315,,MATCH(AZ$8,'Калькуляция (МИ корр)'!$AJ$8:$BC$8,0)),'Калькуляция (МИ корр)'!$F$25:$F$315,$F137,'Калькуляция (МИ корр)'!$G$25:$G$315,$G137),IF(method_reg="Метод экономически обоснованных расходов",_xlfn.SUMIFS('Калькуляция (МЭОР)'!$AK$25:$AK$197,'Калькуляция (МЭОР)'!$F$25:$F$197,$F137,'Калькуляция (МЭОР)'!$G$25:$G$197,$G137),IF(method_reg="Метод сравнения аналогов",_xlfn.SUMIFS('Калькуляция (МСА)'!$AF$25:$AF$65,'Калькуляция (МСА)'!$F$25:$F$65,$F137,'Калькуляция (МСА)'!$G$25:$G$65,$G137),_xlfn.SUMIFS(INDEX('Калькуляция (МИ)'!$AJ$25:$BC$315,,MATCH(AZ$8,'Калькуляция (МИ)'!$AJ$8:$BC$8,0)),'Калькуляция (МИ)'!$F$25:$F$315,$F137,'Калькуляция (МИ)'!$G$25:$G$315,$G137))))</f>
        <v>35.62504</v>
      </c>
      <c r="BA137" s="1073">
        <f>IF(AY137=0,0,(AZ137-AY137)/AY137*100)</f>
        <v>-1.88912450772494</v>
      </c>
      <c r="BB137" s="1072">
        <f>IF(AND(method_reg="Метод индексации",god&lt;&gt;first_year),_xlfn.SUMIFS(INDEX('Калькуляция (МИ корр)'!$AJ$25:$BC$315,,MATCH(BB$8,'Калькуляция (МИ корр)'!$AJ$8:$BC$8,0)),'Калькуляция (МИ корр)'!$F$25:$F$315,$F137,'Калькуляция (МИ корр)'!$G$25:$G$315,$G137),IF(method_reg="Метод экономически обоснованных расходов",_xlfn.SUMIFS('Калькуляция (МЭОР)'!$AJ$25:$AJ$197,'Калькуляция (МЭОР)'!$F$25:$F$197,$F137,'Калькуляция (МЭОР)'!$G$25:$G$197,$G137),IF(method_reg="Метод сравнения аналогов",_xlfn.SUMIFS('Калькуляция (МСА)'!$AE$25:$AE$65,'Калькуляция (МСА)'!$F$25:$F$65,$F137,'Калькуляция (МСА)'!$G$25:$G$65,$G137),_xlfn.SUMIFS(INDEX('Калькуляция (МИ)'!$AJ$25:$BC$315,,MATCH(BB$8,'Калькуляция (МИ)'!$AJ$8:$BC$8,0)),'Калькуляция (МИ)'!$F$25:$F$315,$F137,'Калькуляция (МИ)'!$G$25:$G$315,$G137))))</f>
        <v>36.311</v>
      </c>
      <c r="BC137" s="1072">
        <f>IF(AND(method_reg="Метод индексации",god&lt;&gt;first_year),_xlfn.SUMIFS(INDEX('Калькуляция (МИ корр)'!$AJ$25:$BC$315,,MATCH(BC$8,'Калькуляция (МИ корр)'!$AJ$8:$BC$8,0)),'Калькуляция (МИ корр)'!$F$25:$F$315,$F137,'Калькуляция (МИ корр)'!$G$25:$G$315,$G137),IF(method_reg="Метод экономически обоснованных расходов",_xlfn.SUMIFS('Калькуляция (МЭОР)'!$AK$25:$AK$197,'Калькуляция (МЭОР)'!$F$25:$F$197,$F137,'Калькуляция (МЭОР)'!$G$25:$G$197,$G137),IF(method_reg="Метод сравнения аналогов",_xlfn.SUMIFS('Калькуляция (МСА)'!$AF$25:$AF$65,'Калькуляция (МСА)'!$F$25:$F$65,$F137,'Калькуляция (МСА)'!$G$25:$G$65,$G137),_xlfn.SUMIFS(INDEX('Калькуляция (МИ)'!$AJ$25:$BC$315,,MATCH(BC$8,'Калькуляция (МИ)'!$AJ$8:$BC$8,0)),'Калькуляция (МИ)'!$F$25:$F$315,$F137,'Калькуляция (МИ)'!$G$25:$G$315,$G137))))</f>
        <v>35.62504</v>
      </c>
      <c r="BD137" s="1073">
        <f>IF(BB137=0,0,(BC137-BB137)/BB137*100)</f>
        <v>-1.88912450772494</v>
      </c>
      <c r="BE137" s="1072">
        <f>IF(AND(method_reg="Метод индексации",god&lt;&gt;first_year),_xlfn.SUMIFS(INDEX('Калькуляция (МИ корр)'!$AJ$25:$BC$315,,MATCH(BE$8,'Калькуляция (МИ корр)'!$AJ$8:$BC$8,0)),'Калькуляция (МИ корр)'!$F$25:$F$315,$F137,'Калькуляция (МИ корр)'!$G$25:$G$315,$G137),IF(method_reg="Метод экономически обоснованных расходов",_xlfn.SUMIFS('Калькуляция (МЭОР)'!$AJ$25:$AJ$197,'Калькуляция (МЭОР)'!$F$25:$F$197,$F137,'Калькуляция (МЭОР)'!$G$25:$G$197,$G137),IF(method_reg="Метод сравнения аналогов",_xlfn.SUMIFS('Калькуляция (МСА)'!$AE$25:$AE$65,'Калькуляция (МСА)'!$F$25:$F$65,$F137,'Калькуляция (МСА)'!$G$25:$G$65,$G137),_xlfn.SUMIFS(INDEX('Калькуляция (МИ)'!$AJ$25:$BC$315,,MATCH(BE$8,'Калькуляция (МИ)'!$AJ$8:$BC$8,0)),'Калькуляция (МИ)'!$F$25:$F$315,$F137,'Калькуляция (МИ)'!$G$25:$G$315,$G137))))</f>
        <v>36.311</v>
      </c>
      <c r="BF137" s="1072">
        <f>IF(AND(method_reg="Метод индексации",god&lt;&gt;first_year),_xlfn.SUMIFS(INDEX('Калькуляция (МИ корр)'!$AJ$25:$BC$315,,MATCH(BF$8,'Калькуляция (МИ корр)'!$AJ$8:$BC$8,0)),'Калькуляция (МИ корр)'!$F$25:$F$315,$F137,'Калькуляция (МИ корр)'!$G$25:$G$315,$G137),IF(method_reg="Метод экономически обоснованных расходов",_xlfn.SUMIFS('Калькуляция (МЭОР)'!$AK$25:$AK$197,'Калькуляция (МЭОР)'!$F$25:$F$197,$F137,'Калькуляция (МЭОР)'!$G$25:$G$197,$G137),IF(method_reg="Метод сравнения аналогов",_xlfn.SUMIFS('Калькуляция (МСА)'!$AF$25:$AF$65,'Калькуляция (МСА)'!$F$25:$F$65,$F137,'Калькуляция (МСА)'!$G$25:$G$65,$G137),_xlfn.SUMIFS(INDEX('Калькуляция (МИ)'!$AJ$25:$BC$315,,MATCH(BF$8,'Калькуляция (МИ)'!$AJ$8:$BC$8,0)),'Калькуляция (МИ)'!$F$25:$F$315,$F137,'Калькуляция (МИ)'!$G$25:$G$315,$G137))))</f>
        <v>35.62504</v>
      </c>
      <c r="BG137" s="1073">
        <f>IF(BE137=0,0,(BF137-BE137)/BE137*100)</f>
        <v>-1.88912450772494</v>
      </c>
      <c r="BH137" s="1072"/>
      <c r="BI137" s="1072"/>
      <c r="BJ137" s="1073">
        <f>IF(BH137=0,0,(BI137-BH137)/BH137*100)</f>
        <v>0</v>
      </c>
      <c r="BK137" s="1072"/>
      <c r="BL137" s="1072"/>
      <c r="BM137" s="1073">
        <f>IF(BK137=0,0,(BL137-BK137)/BK137*100)</f>
        <v>0</v>
      </c>
      <c r="BN137" s="1072"/>
      <c r="BO137" s="1072"/>
      <c r="BP137" s="1073">
        <f>IF(BN137=0,0,(BO137-BN137)/BN137*100)</f>
        <v>0</v>
      </c>
      <c r="BQ137" s="1072"/>
      <c r="BR137" s="1072"/>
      <c r="BS137" s="1073">
        <f>IF(BQ137=0,0,(BR137-BQ137)/BQ137*100)</f>
        <v>0</v>
      </c>
      <c r="BT137" s="1072"/>
      <c r="BU137" s="1072"/>
      <c r="BV137" s="1073">
        <f>IF(BT137=0,0,(BU137-BT137)/BT137*100)</f>
        <v>0</v>
      </c>
      <c r="BW137" s="1072"/>
      <c r="BX137" s="1072"/>
      <c r="BY137" s="1073">
        <f>IF(BW137=0,0,(BX137-BW137)/BW137*100)</f>
        <v>0</v>
      </c>
      <c r="BZ137" s="1072"/>
      <c r="CA137" s="1072"/>
      <c r="CB137" s="1073">
        <f>IF(BZ137=0,0,(CA137-BZ137)/BZ137*100)</f>
        <v>0</v>
      </c>
      <c r="CC137" s="1072"/>
      <c r="CD137" s="1072"/>
      <c r="CE137" s="1073">
        <f>IF(CC137=0,0,(CD137-CC137)/CC137*100)</f>
        <v>0</v>
      </c>
      <c r="CF137" s="1072"/>
      <c r="CG137" s="1072"/>
      <c r="CH137" s="1073">
        <f>IF(CF137=0,0,(CG137-CF137)/CF137*100)</f>
        <v>0</v>
      </c>
      <c r="CI137" s="1072"/>
      <c r="CJ137" s="1072"/>
      <c r="CK137" s="1073">
        <f>IF(CI137=0,0,(CJ137-CI137)/CI137*100)</f>
        <v>0</v>
      </c>
      <c r="CL137" s="1072"/>
      <c r="CM137" s="1072"/>
      <c r="CN137" s="1073">
        <f>IF(CL137=0,0,(CM137-CL137)/CL137*100)</f>
        <v>0</v>
      </c>
      <c r="CO137" s="1072"/>
      <c r="CP137" s="1072"/>
      <c r="CQ137" s="1073">
        <f>IF(CO137=0,0,(CP137-CO137)/CO137*100)</f>
        <v>0</v>
      </c>
      <c r="CR137" s="1072"/>
      <c r="CS137" s="1072"/>
      <c r="CT137" s="1073">
        <f>IF(CR137=0,0,(CS137-CR137)/CR137*100)</f>
        <v>0</v>
      </c>
      <c r="CU137" s="1072"/>
      <c r="CV137" s="1072"/>
      <c r="CW137" s="1073">
        <f>IF(CU137=0,0,(CV137-CU137)/CU137*100)</f>
        <v>0</v>
      </c>
      <c r="CX137" s="1072"/>
      <c r="CY137" s="1072"/>
      <c r="CZ137" s="1073">
        <f>IF(CX137=0,0,(CY137-CX137)/CX137*100)</f>
        <v>0</v>
      </c>
      <c r="DA137" s="1072"/>
      <c r="DB137" s="1072"/>
      <c r="DC137" s="1073">
        <f>IF(DA137=0,0,(DB137-DA137)/DA137*100)</f>
        <v>0</v>
      </c>
      <c r="DD137" s="1072"/>
      <c r="DE137" s="1072"/>
      <c r="DF137" s="1073">
        <f>IF(DD137=0,0,(DE137-DD137)/DD137*100)</f>
        <v>0</v>
      </c>
      <c r="DG137" s="1072"/>
      <c r="DH137" s="1072"/>
      <c r="DI137" s="1073">
        <f>IF(DG137=0,0,(DH137-DG137)/DG137*100)</f>
        <v>0</v>
      </c>
      <c r="DJ137" s="1072"/>
      <c r="DK137" s="1072"/>
      <c r="DL137" s="1073">
        <f>IF(DJ137=0,0,(DK137-DJ137)/DJ137*100)</f>
        <v>0</v>
      </c>
      <c r="DM137" s="1072"/>
      <c r="DN137" s="1072"/>
      <c r="DO137" s="1073">
        <f>IF(DM137=0,0,(DN137-DM137)/DM137*100)</f>
        <v>0</v>
      </c>
      <c r="DP137" s="1072"/>
      <c r="DQ137" s="1072"/>
      <c r="DR137" s="1073">
        <f>IF(DP137=0,0,(DQ137-DP137)/DP137*100)</f>
        <v>0</v>
      </c>
      <c r="DS137" s="1072"/>
      <c r="DT137" s="1072"/>
      <c r="DU137" s="1073">
        <f>IF(DS137=0,0,(DT137-DS137)/DS137*100)</f>
        <v>0</v>
      </c>
      <c r="DV137" s="1072"/>
      <c r="DW137" s="1072"/>
      <c r="DX137" s="1073">
        <f>IF(DV137=0,0,(DW137-DV137)/DV137*100)</f>
        <v>0</v>
      </c>
      <c r="DY137" s="1072"/>
      <c r="DZ137" s="1072"/>
      <c r="EA137" s="1073">
        <f>IF(DY137=0,0,(DZ137-DY137)/DY137*100)</f>
        <v>0</v>
      </c>
      <c r="EB137" s="1072"/>
      <c r="EC137" s="1072"/>
      <c r="ED137" s="1073">
        <f>IF(EB137=0,0,(EC137-EB137)/EB137*100)</f>
        <v>0</v>
      </c>
      <c r="EE137" s="1072"/>
      <c r="EF137" s="1072"/>
      <c r="EG137" s="1073">
        <f>IF(EE137=0,0,(EF137-EE137)/EE137*100)</f>
        <v>0</v>
      </c>
      <c r="EH137" s="1072"/>
      <c r="EI137" s="1072"/>
      <c r="EJ137" s="1073">
        <f>IF(EH137=0,0,(EI137-EH137)/EH137*100)</f>
        <v>0</v>
      </c>
      <c r="EK137" s="1072"/>
      <c r="EL137" s="1072"/>
      <c r="EM137" s="1073">
        <f>IF(EK137=0,0,(EL137-EK137)/EK137*100)</f>
        <v>0</v>
      </c>
      <c r="EN137" s="1072"/>
      <c r="EO137" s="1072"/>
      <c r="EP137" s="1073">
        <f>IF(EN137=0,0,(EO137-EN137)/EN137*100)</f>
        <v>0</v>
      </c>
      <c r="EQ137" s="1072"/>
      <c r="ER137" s="1072"/>
      <c r="ES137" s="1073">
        <f>IF(EQ137=0,0,(ER137-EQ137)/EQ137*100)</f>
        <v>0</v>
      </c>
      <c r="ET137" s="1072"/>
      <c r="EU137" s="1072"/>
      <c r="EV137" s="1073">
        <f>IF(ET137=0,0,(EU137-ET137)/ET137*100)</f>
        <v>0</v>
      </c>
      <c r="EW137" s="1072"/>
      <c r="EX137" s="1072"/>
      <c r="EY137" s="1073">
        <f>IF(EW137=0,0,(EX137-EW137)/EW137*100)</f>
        <v>0</v>
      </c>
      <c r="EZ137" s="1072"/>
      <c r="FA137" s="1072"/>
      <c r="FB137" s="1073">
        <f>IF(EZ137=0,0,(FA137-EZ137)/EZ137*100)</f>
        <v>0</v>
      </c>
      <c r="FC137" s="1072"/>
      <c r="FD137" s="1072"/>
      <c r="FE137" s="1073">
        <f>IF(FC137=0,0,(FD137-FC137)/FC137*100)</f>
        <v>0</v>
      </c>
      <c r="FF137" s="1072"/>
      <c r="FG137" s="1072"/>
      <c r="FH137" s="1073">
        <f>IF(FF137=0,0,(FG137-FF137)/FF137*100)</f>
        <v>0</v>
      </c>
      <c r="FI137" s="1072"/>
      <c r="FJ137" s="1072"/>
      <c r="FK137" s="1073">
        <f>IF(FI137=0,0,(FJ137-FI137)/FI137*100)</f>
        <v>0</v>
      </c>
      <c r="FL137" s="1072"/>
      <c r="FM137" s="1072"/>
      <c r="FN137" s="1073">
        <f>IF(FL137=0,0,(FM137-FL137)/FL137*100)</f>
        <v>0</v>
      </c>
      <c r="FO137" s="1072"/>
      <c r="FP137" s="1072"/>
      <c r="FQ137" s="1073">
        <f>IF(FO137=0,0,(FP137-FO137)/FO137*100)</f>
        <v>0</v>
      </c>
      <c r="FR137" s="1072"/>
      <c r="FS137" s="1072"/>
      <c r="FT137" s="1073">
        <f>IF(FR137=0,0,(FS137-FR137)/FR137*100)</f>
        <v>0</v>
      </c>
      <c r="FU137" s="1072"/>
      <c r="FV137" s="1072"/>
      <c r="FW137" s="1073">
        <f>IF(FU137=0,0,(FV137-FU137)/FU137*100)</f>
        <v>0</v>
      </c>
      <c r="FX137" s="258"/>
      <c r="FY137" s="1282"/>
      <c r="FZ137" s="1032" t="s">
        <v>1557</v>
      </c>
      <c r="GA137" s="1284"/>
      <c r="GB137" s="1284"/>
      <c r="GC137" s="1283"/>
      <c r="GD137" s="1283"/>
    </row>
    <row s="1624" customFormat="1" customHeight="1" ht="18" hidden="1">
      <c r="A138" s="466"/>
      <c r="B138" s="901" cm="1" t="str">
        <f t="array" ref="B138:B138">B137</f>
        <v>true</v>
      </c>
      <c r="C138" s="466"/>
      <c r="D138" s="466"/>
      <c r="E138" s="816">
        <v>18.75</v>
      </c>
      <c r="F138" s="50" cm="1" t="str">
        <f t="array" ref="F138:F138">OFFSET(E138,-1,1)</f>
        <v>1</v>
      </c>
      <c r="G138" s="466"/>
      <c r="H138" s="466" t="s">
        <v>434</v>
      </c>
      <c r="I138" s="466" cm="1" t="str">
        <f t="array" ref="I138:I138">AB138</f>
        <v>0</v>
      </c>
      <c r="J138" s="466"/>
      <c r="K138" s="466"/>
      <c r="L138" s="466"/>
      <c r="M138" s="466"/>
      <c r="N138" s="466"/>
      <c r="O138" s="466"/>
      <c r="P138" s="466"/>
      <c r="Q138" s="466"/>
      <c r="R138" s="466"/>
      <c r="S138" s="466"/>
      <c r="T138" s="438">
        <f>AND(F138&gt;0,Y138&gt;0)</f>
        <v>0</v>
      </c>
      <c r="U138" s="466"/>
      <c r="V138" s="466"/>
      <c r="W138" s="466" t="s">
        <v>172</v>
      </c>
      <c r="X138" s="1541"/>
      <c r="Y138" s="466">
        <v>0</v>
      </c>
      <c r="Z138" s="1493"/>
      <c r="AA138" s="638" t="s">
        <v>173</v>
      </c>
      <c r="AB138" s="2936"/>
      <c r="AC138" s="840" t="s">
        <v>1476</v>
      </c>
      <c r="AD138" s="2912"/>
      <c r="AE138" s="2913"/>
      <c r="AF138" s="1071">
        <f>IF(AD138=0,0,(AE138-AD138)/AD138*100)</f>
        <v>0</v>
      </c>
      <c r="AG138" s="2913"/>
      <c r="AH138" s="2913"/>
      <c r="AI138" s="1071">
        <f>IF(AG138=0,0,(AH138-AG138)/AG138*100)</f>
        <v>0</v>
      </c>
      <c r="AJ138" s="2913"/>
      <c r="AK138" s="2913"/>
      <c r="AL138" s="1071">
        <f>IF(AJ138=0,0,(AK138-AJ138)/AJ138*100)</f>
        <v>0</v>
      </c>
      <c r="AM138" s="2913"/>
      <c r="AN138" s="2913"/>
      <c r="AO138" s="1071">
        <f>IF(AM138=0,0,(AN138-AM138)/AM138*100)</f>
        <v>0</v>
      </c>
      <c r="AP138" s="2913"/>
      <c r="AQ138" s="2913"/>
      <c r="AR138" s="1071">
        <f>IF(AP138=0,0,(AQ138-AP138)/AP138*100)</f>
        <v>0</v>
      </c>
      <c r="AS138" s="2913"/>
      <c r="AT138" s="2913"/>
      <c r="AU138" s="1071">
        <f>IF(AS138=0,0,(AT138-AS138)/AS138*100)</f>
        <v>0</v>
      </c>
      <c r="AV138" s="2913"/>
      <c r="AW138" s="2913"/>
      <c r="AX138" s="1071">
        <f>IF(AV138=0,0,(AW138-AV138)/AV138*100)</f>
        <v>0</v>
      </c>
      <c r="AY138" s="2913"/>
      <c r="AZ138" s="2913"/>
      <c r="BA138" s="1071">
        <f>IF(AY138=0,0,(AZ138-AY138)/AY138*100)</f>
        <v>0</v>
      </c>
      <c r="BB138" s="2913"/>
      <c r="BC138" s="2913"/>
      <c r="BD138" s="1071">
        <f>IF(BB138=0,0,(BC138-BB138)/BB138*100)</f>
        <v>0</v>
      </c>
      <c r="BE138" s="2913"/>
      <c r="BF138" s="2913"/>
      <c r="BG138" s="1071">
        <f>IF(BE138=0,0,(BF138-BE138)/BE138*100)</f>
        <v>0</v>
      </c>
      <c r="BH138" s="2913"/>
      <c r="BI138" s="2913"/>
      <c r="BJ138" s="1071">
        <f>IF(BH138=0,0,(BI138-BH138)/BH138*100)</f>
        <v>0</v>
      </c>
      <c r="BK138" s="2913"/>
      <c r="BL138" s="2913"/>
      <c r="BM138" s="1071">
        <f>IF(BK138=0,0,(BL138-BK138)/BK138*100)</f>
        <v>0</v>
      </c>
      <c r="BN138" s="2913"/>
      <c r="BO138" s="2913"/>
      <c r="BP138" s="1071">
        <f>IF(BN138=0,0,(BO138-BN138)/BN138*100)</f>
        <v>0</v>
      </c>
      <c r="BQ138" s="2913"/>
      <c r="BR138" s="2913"/>
      <c r="BS138" s="1071">
        <f>IF(BQ138=0,0,(BR138-BQ138)/BQ138*100)</f>
        <v>0</v>
      </c>
      <c r="BT138" s="2913"/>
      <c r="BU138" s="2913"/>
      <c r="BV138" s="1071">
        <f>IF(BT138=0,0,(BU138-BT138)/BT138*100)</f>
        <v>0</v>
      </c>
      <c r="BW138" s="2913"/>
      <c r="BX138" s="2913"/>
      <c r="BY138" s="1071">
        <f>IF(BW138=0,0,(BX138-BW138)/BW138*100)</f>
        <v>0</v>
      </c>
      <c r="BZ138" s="2913"/>
      <c r="CA138" s="2913"/>
      <c r="CB138" s="1071">
        <f>IF(BZ138=0,0,(CA138-BZ138)/BZ138*100)</f>
        <v>0</v>
      </c>
      <c r="CC138" s="2913"/>
      <c r="CD138" s="2913"/>
      <c r="CE138" s="1071">
        <f>IF(CC138=0,0,(CD138-CC138)/CC138*100)</f>
        <v>0</v>
      </c>
      <c r="CF138" s="2913"/>
      <c r="CG138" s="2913"/>
      <c r="CH138" s="1071">
        <f>IF(CF138=0,0,(CG138-CF138)/CF138*100)</f>
        <v>0</v>
      </c>
      <c r="CI138" s="2913"/>
      <c r="CJ138" s="2913"/>
      <c r="CK138" s="1071">
        <f>IF(CI138=0,0,(CJ138-CI138)/CI138*100)</f>
        <v>0</v>
      </c>
      <c r="CL138" s="2913"/>
      <c r="CM138" s="2913"/>
      <c r="CN138" s="1071">
        <f>IF(CL138=0,0,(CM138-CL138)/CL138*100)</f>
        <v>0</v>
      </c>
      <c r="CO138" s="2913"/>
      <c r="CP138" s="2913"/>
      <c r="CQ138" s="1071">
        <f>IF(CO138=0,0,(CP138-CO138)/CO138*100)</f>
        <v>0</v>
      </c>
      <c r="CR138" s="2913"/>
      <c r="CS138" s="2913"/>
      <c r="CT138" s="1071">
        <f>IF(CR138=0,0,(CS138-CR138)/CR138*100)</f>
        <v>0</v>
      </c>
      <c r="CU138" s="2913"/>
      <c r="CV138" s="2913"/>
      <c r="CW138" s="1071">
        <f>IF(CU138=0,0,(CV138-CU138)/CU138*100)</f>
        <v>0</v>
      </c>
      <c r="CX138" s="2913"/>
      <c r="CY138" s="2913"/>
      <c r="CZ138" s="1071">
        <f>IF(CX138=0,0,(CY138-CX138)/CX138*100)</f>
        <v>0</v>
      </c>
      <c r="DA138" s="2913"/>
      <c r="DB138" s="2913"/>
      <c r="DC138" s="1071">
        <f>IF(DA138=0,0,(DB138-DA138)/DA138*100)</f>
        <v>0</v>
      </c>
      <c r="DD138" s="2913"/>
      <c r="DE138" s="2913"/>
      <c r="DF138" s="1071">
        <f>IF(DD138=0,0,(DE138-DD138)/DD138*100)</f>
        <v>0</v>
      </c>
      <c r="DG138" s="2913"/>
      <c r="DH138" s="2913"/>
      <c r="DI138" s="1071">
        <f>IF(DG138=0,0,(DH138-DG138)/DG138*100)</f>
        <v>0</v>
      </c>
      <c r="DJ138" s="2913"/>
      <c r="DK138" s="2913"/>
      <c r="DL138" s="1071">
        <f>IF(DJ138=0,0,(DK138-DJ138)/DJ138*100)</f>
        <v>0</v>
      </c>
      <c r="DM138" s="2913"/>
      <c r="DN138" s="2913"/>
      <c r="DO138" s="1071">
        <f>IF(DM138=0,0,(DN138-DM138)/DM138*100)</f>
        <v>0</v>
      </c>
      <c r="DP138" s="2913"/>
      <c r="DQ138" s="2913"/>
      <c r="DR138" s="1071">
        <f>IF(DP138=0,0,(DQ138-DP138)/DP138*100)</f>
        <v>0</v>
      </c>
      <c r="DS138" s="2913"/>
      <c r="DT138" s="2913"/>
      <c r="DU138" s="1071">
        <f>IF(DS138=0,0,(DT138-DS138)/DS138*100)</f>
        <v>0</v>
      </c>
      <c r="DV138" s="2913"/>
      <c r="DW138" s="2913"/>
      <c r="DX138" s="1071">
        <f>IF(DV138=0,0,(DW138-DV138)/DV138*100)</f>
        <v>0</v>
      </c>
      <c r="DY138" s="2913"/>
      <c r="DZ138" s="2913"/>
      <c r="EA138" s="1071">
        <f>IF(DY138=0,0,(DZ138-DY138)/DY138*100)</f>
        <v>0</v>
      </c>
      <c r="EB138" s="2913"/>
      <c r="EC138" s="2913"/>
      <c r="ED138" s="1071">
        <f>IF(EB138=0,0,(EC138-EB138)/EB138*100)</f>
        <v>0</v>
      </c>
      <c r="EE138" s="2913"/>
      <c r="EF138" s="2913"/>
      <c r="EG138" s="1071">
        <f>IF(EE138=0,0,(EF138-EE138)/EE138*100)</f>
        <v>0</v>
      </c>
      <c r="EH138" s="2913"/>
      <c r="EI138" s="2913"/>
      <c r="EJ138" s="1071">
        <f>IF(EH138=0,0,(EI138-EH138)/EH138*100)</f>
        <v>0</v>
      </c>
      <c r="EK138" s="2913"/>
      <c r="EL138" s="2913"/>
      <c r="EM138" s="1071">
        <f>IF(EK138=0,0,(EL138-EK138)/EK138*100)</f>
        <v>0</v>
      </c>
      <c r="EN138" s="2913"/>
      <c r="EO138" s="2913"/>
      <c r="EP138" s="1071">
        <f>IF(EN138=0,0,(EO138-EN138)/EN138*100)</f>
        <v>0</v>
      </c>
      <c r="EQ138" s="2913"/>
      <c r="ER138" s="2913"/>
      <c r="ES138" s="1071">
        <f>IF(EQ138=0,0,(ER138-EQ138)/EQ138*100)</f>
        <v>0</v>
      </c>
      <c r="ET138" s="2913"/>
      <c r="EU138" s="2913"/>
      <c r="EV138" s="1071">
        <f>IF(ET138=0,0,(EU138-ET138)/ET138*100)</f>
        <v>0</v>
      </c>
      <c r="EW138" s="2913"/>
      <c r="EX138" s="2913"/>
      <c r="EY138" s="1071">
        <f>IF(EW138=0,0,(EX138-EW138)/EW138*100)</f>
        <v>0</v>
      </c>
      <c r="EZ138" s="2913"/>
      <c r="FA138" s="2913"/>
      <c r="FB138" s="1071">
        <f>IF(EZ138=0,0,(FA138-EZ138)/EZ138*100)</f>
        <v>0</v>
      </c>
      <c r="FC138" s="2913"/>
      <c r="FD138" s="2913"/>
      <c r="FE138" s="1071">
        <f>IF(FC138=0,0,(FD138-FC138)/FC138*100)</f>
        <v>0</v>
      </c>
      <c r="FF138" s="2913"/>
      <c r="FG138" s="2913"/>
      <c r="FH138" s="1071">
        <f>IF(FF138=0,0,(FG138-FF138)/FF138*100)</f>
        <v>0</v>
      </c>
      <c r="FI138" s="2913"/>
      <c r="FJ138" s="2913"/>
      <c r="FK138" s="1071">
        <f>IF(FI138=0,0,(FJ138-FI138)/FI138*100)</f>
        <v>0</v>
      </c>
      <c r="FL138" s="2913"/>
      <c r="FM138" s="2913"/>
      <c r="FN138" s="1071">
        <f>IF(FL138=0,0,(FM138-FL138)/FL138*100)</f>
        <v>0</v>
      </c>
      <c r="FO138" s="2913"/>
      <c r="FP138" s="2913"/>
      <c r="FQ138" s="1071">
        <f>IF(FO138=0,0,(FP138-FO138)/FO138*100)</f>
        <v>0</v>
      </c>
      <c r="FR138" s="2913"/>
      <c r="FS138" s="2913"/>
      <c r="FT138" s="1071">
        <f>IF(FR138=0,0,(FS138-FR138)/FR138*100)</f>
        <v>0</v>
      </c>
      <c r="FU138" s="2913"/>
      <c r="FV138" s="2913"/>
      <c r="FW138" s="1071">
        <f>IF(FU138=0,0,(FV138-FU138)/FU138*100)</f>
        <v>0</v>
      </c>
      <c r="FX138" s="258"/>
      <c r="FY138" s="1282"/>
      <c r="FZ138" s="1032" t="s">
        <v>1558</v>
      </c>
      <c r="GA138" s="992" t="s">
        <v>1559</v>
      </c>
      <c r="GB138" s="992" cm="1" t="str">
        <f t="array" ref="GB138:GB138">AB138</f>
        <v>0</v>
      </c>
      <c r="GC138" s="1283"/>
      <c r="GD138" s="607" t="b">
        <v>1</v>
      </c>
    </row>
    <row s="1624" customFormat="1" customHeight="1" ht="14.25">
      <c r="A139" s="1282"/>
      <c r="B139" s="901" cm="1" t="str">
        <f t="array" ref="B139:B139">B138</f>
        <v>true</v>
      </c>
      <c r="C139" s="1282"/>
      <c r="D139" s="466"/>
      <c r="E139" s="816">
        <v>15</v>
      </c>
      <c r="F139" s="50" cm="1" t="str">
        <f t="array" ref="F139:F139">OFFSET(E139,-1,1)</f>
        <v>1</v>
      </c>
      <c r="G139" s="466"/>
      <c r="H139" s="1282"/>
      <c r="I139" s="64" t="s">
        <v>1560</v>
      </c>
      <c r="J139" s="1282"/>
      <c r="K139" s="1282"/>
      <c r="L139" s="1282"/>
      <c r="M139" s="1282"/>
      <c r="N139" s="1282"/>
      <c r="O139" s="1282"/>
      <c r="P139" s="1282"/>
      <c r="Q139" s="1282"/>
      <c r="R139" s="1282"/>
      <c r="S139" s="1282"/>
      <c r="T139" s="438">
        <f>F139&gt;0</f>
        <v>1</v>
      </c>
      <c r="U139" s="1282"/>
      <c r="V139" s="1282"/>
      <c r="W139" s="733" t="s">
        <v>1506</v>
      </c>
      <c r="X139" s="1541"/>
      <c r="Y139" s="1282"/>
      <c r="Z139" s="1493"/>
      <c r="AA139" s="1282"/>
      <c r="AB139" s="226" t="s">
        <v>176</v>
      </c>
      <c r="AC139" s="230"/>
      <c r="AD139" s="228"/>
      <c r="AE139" s="228"/>
      <c r="AF139" s="228"/>
      <c r="AG139" s="228"/>
      <c r="AH139" s="228"/>
      <c r="AI139" s="228"/>
      <c r="AJ139" s="228"/>
      <c r="AK139" s="228"/>
      <c r="AL139" s="228"/>
      <c r="AM139" s="228"/>
      <c r="AN139" s="228"/>
      <c r="AO139" s="228"/>
      <c r="AP139" s="228"/>
      <c r="AQ139" s="228"/>
      <c r="AR139" s="228"/>
      <c r="AS139" s="228"/>
      <c r="AT139" s="228"/>
      <c r="AU139" s="228"/>
      <c r="AV139" s="228"/>
      <c r="AW139" s="228"/>
      <c r="AX139" s="228"/>
      <c r="AY139" s="228"/>
      <c r="AZ139" s="228"/>
      <c r="BA139" s="228"/>
      <c r="BB139" s="228"/>
      <c r="BC139" s="228"/>
      <c r="BD139" s="228"/>
      <c r="BE139" s="228"/>
      <c r="BF139" s="228"/>
      <c r="BG139" s="228"/>
      <c r="BH139" s="228"/>
      <c r="BI139" s="228"/>
      <c r="BJ139" s="228"/>
      <c r="BK139" s="228"/>
      <c r="BL139" s="228"/>
      <c r="BM139" s="228"/>
      <c r="BN139" s="228"/>
      <c r="BO139" s="228"/>
      <c r="BP139" s="228"/>
      <c r="BQ139" s="228"/>
      <c r="BR139" s="228"/>
      <c r="BS139" s="228"/>
      <c r="BT139" s="228"/>
      <c r="BU139" s="228"/>
      <c r="BV139" s="228"/>
      <c r="BW139" s="228"/>
      <c r="BX139" s="228"/>
      <c r="BY139" s="228"/>
      <c r="BZ139" s="228"/>
      <c r="CA139" s="228"/>
      <c r="CB139" s="228"/>
      <c r="CC139" s="228"/>
      <c r="CD139" s="228"/>
      <c r="CE139" s="228"/>
      <c r="CF139" s="228"/>
      <c r="CG139" s="228"/>
      <c r="CH139" s="228"/>
      <c r="CI139" s="228"/>
      <c r="CJ139" s="228"/>
      <c r="CK139" s="228"/>
      <c r="CL139" s="228"/>
      <c r="CM139" s="228"/>
      <c r="CN139" s="228"/>
      <c r="CO139" s="228"/>
      <c r="CP139" s="228"/>
      <c r="CQ139" s="228"/>
      <c r="CR139" s="228"/>
      <c r="CS139" s="228"/>
      <c r="CT139" s="228"/>
      <c r="CU139" s="228"/>
      <c r="CV139" s="228"/>
      <c r="CW139" s="228"/>
      <c r="CX139" s="228"/>
      <c r="CY139" s="228"/>
      <c r="CZ139" s="228"/>
      <c r="DA139" s="228"/>
      <c r="DB139" s="228"/>
      <c r="DC139" s="228"/>
      <c r="DD139" s="228"/>
      <c r="DE139" s="228"/>
      <c r="DF139" s="228"/>
      <c r="DG139" s="228"/>
      <c r="DH139" s="228"/>
      <c r="DI139" s="228"/>
      <c r="DJ139" s="228"/>
      <c r="DK139" s="228"/>
      <c r="DL139" s="228"/>
      <c r="DM139" s="228"/>
      <c r="DN139" s="228"/>
      <c r="DO139" s="228"/>
      <c r="DP139" s="228"/>
      <c r="DQ139" s="228"/>
      <c r="DR139" s="228"/>
      <c r="DS139" s="228"/>
      <c r="DT139" s="228"/>
      <c r="DU139" s="228"/>
      <c r="DV139" s="228"/>
      <c r="DW139" s="228"/>
      <c r="DX139" s="228"/>
      <c r="DY139" s="228"/>
      <c r="DZ139" s="228"/>
      <c r="EA139" s="228"/>
      <c r="EB139" s="228"/>
      <c r="EC139" s="228"/>
      <c r="ED139" s="228"/>
      <c r="EE139" s="228"/>
      <c r="EF139" s="228"/>
      <c r="EG139" s="228"/>
      <c r="EH139" s="228"/>
      <c r="EI139" s="228"/>
      <c r="EJ139" s="228"/>
      <c r="EK139" s="228"/>
      <c r="EL139" s="228"/>
      <c r="EM139" s="228"/>
      <c r="EN139" s="228"/>
      <c r="EO139" s="228"/>
      <c r="EP139" s="228"/>
      <c r="EQ139" s="228"/>
      <c r="ER139" s="228"/>
      <c r="ES139" s="228"/>
      <c r="ET139" s="228"/>
      <c r="EU139" s="228"/>
      <c r="EV139" s="228"/>
      <c r="EW139" s="228"/>
      <c r="EX139" s="228"/>
      <c r="EY139" s="228"/>
      <c r="EZ139" s="228"/>
      <c r="FA139" s="228"/>
      <c r="FB139" s="228"/>
      <c r="FC139" s="228"/>
      <c r="FD139" s="228"/>
      <c r="FE139" s="228"/>
      <c r="FF139" s="228"/>
      <c r="FG139" s="228"/>
      <c r="FH139" s="228"/>
      <c r="FI139" s="228"/>
      <c r="FJ139" s="228"/>
      <c r="FK139" s="228"/>
      <c r="FL139" s="228"/>
      <c r="FM139" s="228"/>
      <c r="FN139" s="228"/>
      <c r="FO139" s="228"/>
      <c r="FP139" s="228"/>
      <c r="FQ139" s="228"/>
      <c r="FR139" s="228"/>
      <c r="FS139" s="228"/>
      <c r="FT139" s="228"/>
      <c r="FU139" s="228"/>
      <c r="FV139" s="228"/>
      <c r="FW139" s="229"/>
      <c r="FX139" s="1282"/>
      <c r="FY139" s="1282"/>
      <c r="FZ139" s="1284"/>
      <c r="GA139" s="1284"/>
      <c r="GB139" s="1284"/>
      <c r="GC139" s="607" t="s">
        <v>1559</v>
      </c>
      <c r="GD139" s="1283"/>
    </row>
    <row s="1624" customFormat="1" customHeight="1" ht="10.5">
      <c r="A140" s="64"/>
      <c r="B140" s="881"/>
      <c r="C140" s="64"/>
      <c r="D140" s="466"/>
      <c r="E140" s="816">
        <v>11.5</v>
      </c>
      <c r="F140" s="1315"/>
      <c r="G140" s="466"/>
      <c r="H140" s="64"/>
      <c r="I140" s="64"/>
      <c r="J140" s="64"/>
      <c r="K140" s="64"/>
      <c r="L140" s="64"/>
      <c r="M140" s="64"/>
      <c r="N140" s="64"/>
      <c r="O140" s="64"/>
      <c r="P140" s="64"/>
      <c r="Q140" s="64"/>
      <c r="R140" s="64"/>
      <c r="S140" s="64"/>
      <c r="T140" s="438" cm="1" t="str">
        <f t="array" ref="T140:T140">T139</f>
        <v>true</v>
      </c>
      <c r="U140" s="64"/>
      <c r="V140" s="64"/>
      <c r="W140" s="733"/>
      <c r="X140" s="1541"/>
      <c r="Y140" s="64"/>
      <c r="Z140" s="1493"/>
      <c r="AA140" s="64"/>
      <c r="AB140" s="173"/>
      <c r="AC140" s="1399"/>
      <c r="AD140" s="1282"/>
      <c r="AE140" s="1282"/>
      <c r="AF140" s="1282"/>
      <c r="AG140" s="1282"/>
      <c r="AH140" s="1282"/>
      <c r="AI140" s="1282"/>
      <c r="AJ140" s="1282"/>
      <c r="AK140" s="1282"/>
      <c r="AL140" s="1282"/>
      <c r="AM140" s="1282"/>
      <c r="AN140" s="1282"/>
      <c r="AO140" s="1282"/>
      <c r="AP140" s="1282"/>
      <c r="AQ140" s="1282"/>
      <c r="AR140" s="1282"/>
      <c r="AS140" s="1282"/>
      <c r="AT140" s="1282"/>
      <c r="AU140" s="1282"/>
      <c r="AV140" s="1282"/>
      <c r="AW140" s="1282"/>
      <c r="AX140" s="1282"/>
      <c r="AY140" s="1282"/>
      <c r="AZ140" s="1282"/>
      <c r="BA140" s="1282"/>
      <c r="BB140" s="1282"/>
      <c r="BC140" s="1282"/>
      <c r="BD140" s="1282"/>
      <c r="BE140" s="1282"/>
      <c r="BF140" s="1282"/>
      <c r="BG140" s="1282"/>
      <c r="BH140" s="1282"/>
      <c r="BI140" s="1282"/>
      <c r="BJ140" s="1282"/>
      <c r="BK140" s="1282"/>
      <c r="BL140" s="1282"/>
      <c r="BM140" s="1282"/>
      <c r="BN140" s="1282"/>
      <c r="BO140" s="1282"/>
      <c r="BP140" s="1282"/>
      <c r="BQ140" s="1282"/>
      <c r="BR140" s="1282"/>
      <c r="BS140" s="1282"/>
      <c r="BT140" s="1282"/>
      <c r="BU140" s="1282"/>
      <c r="BV140" s="1282"/>
      <c r="BW140" s="1282"/>
      <c r="BX140" s="1282"/>
      <c r="BY140" s="1282"/>
      <c r="BZ140" s="1282"/>
      <c r="CA140" s="1282"/>
      <c r="CB140" s="1282"/>
      <c r="CC140" s="1282"/>
      <c r="CD140" s="1282"/>
      <c r="CE140" s="1282"/>
      <c r="CF140" s="1282"/>
      <c r="CG140" s="1282"/>
      <c r="CH140" s="1282"/>
      <c r="CI140" s="1282"/>
      <c r="CJ140" s="1282"/>
      <c r="CK140" s="1282"/>
      <c r="CL140" s="1282"/>
      <c r="CM140" s="1282"/>
      <c r="CN140" s="1282"/>
      <c r="CO140" s="1282"/>
      <c r="CP140" s="1282"/>
      <c r="CQ140" s="1282"/>
      <c r="CR140" s="1282"/>
      <c r="CS140" s="1282"/>
      <c r="CT140" s="1282"/>
      <c r="CU140" s="1282"/>
      <c r="CV140" s="1282"/>
      <c r="CW140" s="1282"/>
      <c r="CX140" s="1282"/>
      <c r="CY140" s="1282"/>
      <c r="CZ140" s="1282"/>
      <c r="DA140" s="1282"/>
      <c r="DB140" s="1282"/>
      <c r="DC140" s="1282"/>
      <c r="DD140" s="1282"/>
      <c r="DE140" s="1282"/>
      <c r="DF140" s="1282"/>
      <c r="DG140" s="1282"/>
      <c r="DH140" s="1282"/>
      <c r="DI140" s="1282"/>
      <c r="DJ140" s="1282"/>
      <c r="DK140" s="1282"/>
      <c r="DL140" s="1282"/>
      <c r="DM140" s="1282"/>
      <c r="DN140" s="1282"/>
      <c r="DO140" s="1282"/>
      <c r="DP140" s="1282"/>
      <c r="DQ140" s="1282"/>
      <c r="DR140" s="1282"/>
      <c r="DS140" s="1282"/>
      <c r="DT140" s="1282"/>
      <c r="DU140" s="1282"/>
      <c r="DV140" s="1282"/>
      <c r="DW140" s="1282"/>
      <c r="DX140" s="1282"/>
      <c r="DY140" s="1282"/>
      <c r="DZ140" s="1282"/>
      <c r="EA140" s="1282"/>
      <c r="EB140" s="1282"/>
      <c r="EC140" s="1282"/>
      <c r="ED140" s="1282"/>
      <c r="EE140" s="1282"/>
      <c r="EF140" s="1282"/>
      <c r="EG140" s="1282"/>
      <c r="EH140" s="1282"/>
      <c r="EI140" s="1282"/>
      <c r="EJ140" s="1282"/>
      <c r="EK140" s="1282"/>
      <c r="EL140" s="1282"/>
      <c r="EM140" s="1282"/>
      <c r="EN140" s="1282"/>
      <c r="EO140" s="1282"/>
      <c r="EP140" s="1282"/>
      <c r="EQ140" s="1282"/>
      <c r="ER140" s="1282"/>
      <c r="ES140" s="1282"/>
      <c r="ET140" s="1282"/>
      <c r="EU140" s="1282"/>
      <c r="EV140" s="1282"/>
      <c r="EW140" s="1282"/>
      <c r="EX140" s="1282"/>
      <c r="EY140" s="1282"/>
      <c r="EZ140" s="1282"/>
      <c r="FA140" s="1282"/>
      <c r="FB140" s="1282"/>
      <c r="FC140" s="1282"/>
      <c r="FD140" s="1282"/>
      <c r="FE140" s="1282"/>
      <c r="FF140" s="1282"/>
      <c r="FG140" s="1282"/>
      <c r="FH140" s="1282"/>
      <c r="FI140" s="1282"/>
      <c r="FJ140" s="1282"/>
      <c r="FK140" s="1282"/>
      <c r="FL140" s="1282"/>
      <c r="FM140" s="1282"/>
      <c r="FN140" s="1282"/>
      <c r="FO140" s="1282"/>
      <c r="FP140" s="1282"/>
      <c r="FQ140" s="1282"/>
      <c r="FR140" s="1282"/>
      <c r="FS140" s="1282"/>
      <c r="FT140" s="1282"/>
      <c r="FU140" s="1282"/>
      <c r="FV140" s="1282"/>
      <c r="FW140" s="1282"/>
      <c r="FX140" s="1282"/>
      <c r="FY140" s="1282"/>
      <c r="FZ140" s="983"/>
      <c r="GA140" s="983"/>
      <c r="GB140" s="978"/>
      <c r="GC140" s="651"/>
      <c r="GD140" s="651"/>
    </row>
    <row s="1624" customFormat="1" customHeight="1" ht="10.96875">
      <c r="A141" s="442"/>
      <c r="B141" s="902"/>
      <c r="C141" s="442"/>
      <c r="D141" s="455"/>
      <c r="E141" s="842">
        <v>11.25</v>
      </c>
      <c r="F141" s="905"/>
      <c r="G141" s="455"/>
      <c r="H141" s="442"/>
      <c r="I141" s="442"/>
      <c r="J141" s="442"/>
      <c r="K141" s="442"/>
      <c r="L141" s="442"/>
      <c r="M141" s="442"/>
      <c r="N141" s="442"/>
      <c r="O141" s="442"/>
      <c r="P141" s="442"/>
      <c r="Q141" s="442"/>
      <c r="R141" s="442"/>
      <c r="S141" s="455"/>
      <c r="T141" s="442"/>
      <c r="U141" s="442" t="s">
        <v>176</v>
      </c>
      <c r="V141" s="106" t="s">
        <v>1561</v>
      </c>
      <c r="W141" s="442"/>
      <c r="X141" s="442"/>
      <c r="Y141" s="442"/>
      <c r="Z141" s="442"/>
      <c r="AA141" s="442"/>
      <c r="AC141" s="66"/>
      <c r="AD141" s="66"/>
      <c r="AE141" s="66"/>
      <c r="AF141" s="66"/>
      <c r="AG141" s="1624"/>
      <c r="AH141" s="1624"/>
      <c r="AI141" s="1624"/>
      <c r="AJ141" s="1624"/>
      <c r="AK141" s="1624"/>
      <c r="AL141" s="1624"/>
      <c r="AM141" s="1624"/>
      <c r="AN141" s="1624"/>
      <c r="AO141" s="1624"/>
      <c r="AP141" s="1624"/>
      <c r="AQ141" s="67"/>
      <c r="AR141" s="1624"/>
      <c r="AS141" s="1624"/>
      <c r="AT141" s="1624"/>
      <c r="AU141" s="1624"/>
      <c r="AV141" s="1624"/>
      <c r="AW141" s="1624"/>
      <c r="AX141" s="1624"/>
      <c r="AY141" s="1624"/>
      <c r="AZ141" s="1624"/>
      <c r="BA141" s="1624"/>
      <c r="BB141" s="1624"/>
      <c r="BC141" s="1624"/>
      <c r="BD141" s="1624"/>
      <c r="BE141" s="1624"/>
      <c r="BF141" s="1624"/>
      <c r="BG141" s="1624"/>
      <c r="BH141" s="1624"/>
      <c r="BI141" s="1624"/>
      <c r="BJ141" s="1624"/>
      <c r="BK141" s="1624"/>
      <c r="BL141" s="1624"/>
      <c r="BM141" s="1624"/>
      <c r="BN141" s="1624"/>
      <c r="BO141" s="1624"/>
      <c r="BP141" s="1624"/>
      <c r="BQ141" s="1624"/>
      <c r="BR141" s="1624"/>
      <c r="BS141" s="1624"/>
      <c r="BT141" s="1624"/>
      <c r="BU141" s="1624"/>
      <c r="BV141" s="1624"/>
      <c r="BW141" s="1624"/>
      <c r="BX141" s="1624"/>
      <c r="BY141" s="1624"/>
      <c r="BZ141" s="1624"/>
      <c r="CA141" s="1624"/>
      <c r="CB141" s="1624"/>
      <c r="CC141" s="1624"/>
      <c r="CD141" s="1624"/>
      <c r="CE141" s="1624"/>
      <c r="CF141" s="1624"/>
      <c r="CG141" s="1624"/>
      <c r="CH141" s="1624"/>
      <c r="CI141" s="1624"/>
      <c r="CJ141" s="1624"/>
      <c r="CK141" s="1624"/>
      <c r="CL141" s="1624"/>
      <c r="CM141" s="1624"/>
      <c r="CN141" s="1624"/>
      <c r="CO141" s="1624"/>
      <c r="CP141" s="1624"/>
      <c r="CQ141" s="1624"/>
      <c r="CR141" s="1624"/>
      <c r="CS141" s="1624"/>
      <c r="CT141" s="1624"/>
      <c r="CU141" s="1624"/>
      <c r="CV141" s="1624"/>
      <c r="CW141" s="1624"/>
      <c r="CX141" s="1624"/>
      <c r="CY141" s="1624"/>
      <c r="CZ141" s="1624"/>
      <c r="DA141" s="1624"/>
      <c r="DB141" s="1624"/>
      <c r="DC141" s="1624"/>
      <c r="DD141" s="1624"/>
      <c r="DE141" s="1624"/>
      <c r="DF141" s="1624"/>
      <c r="DG141" s="1624"/>
      <c r="DH141" s="1624"/>
      <c r="DI141" s="1624"/>
      <c r="DJ141" s="1624"/>
      <c r="DK141" s="1624"/>
      <c r="DL141" s="1624"/>
      <c r="DM141" s="1624"/>
      <c r="DN141" s="1624"/>
      <c r="DO141" s="1624"/>
      <c r="DP141" s="1624"/>
      <c r="DQ141" s="1624"/>
      <c r="DR141" s="1624"/>
      <c r="DS141" s="1624"/>
      <c r="DT141" s="1624"/>
      <c r="DU141" s="1624"/>
      <c r="DV141" s="1624"/>
      <c r="DW141" s="1624"/>
      <c r="DX141" s="1624"/>
      <c r="DY141" s="1624"/>
      <c r="DZ141" s="1624"/>
      <c r="EA141" s="1624"/>
      <c r="EB141" s="1624"/>
      <c r="EC141" s="1624"/>
      <c r="ED141" s="1624"/>
      <c r="EE141" s="1624"/>
      <c r="EF141" s="1624"/>
      <c r="EG141" s="1624"/>
      <c r="EH141" s="1624"/>
      <c r="EI141" s="1624"/>
      <c r="EJ141" s="1624"/>
      <c r="EK141" s="1624"/>
      <c r="EL141" s="1624"/>
      <c r="EM141" s="1624"/>
      <c r="EN141" s="1624"/>
      <c r="EO141" s="1624"/>
      <c r="EP141" s="1624"/>
      <c r="EQ141" s="1624"/>
      <c r="ER141" s="1624"/>
      <c r="ES141" s="1624"/>
      <c r="ET141" s="1624"/>
      <c r="EU141" s="1624"/>
      <c r="EV141" s="1624"/>
      <c r="EW141" s="1624"/>
      <c r="EX141" s="1624"/>
      <c r="EY141" s="1624"/>
      <c r="EZ141" s="1624"/>
      <c r="FA141" s="1624"/>
      <c r="FB141" s="1624"/>
      <c r="FC141" s="1624"/>
      <c r="FD141" s="1624"/>
      <c r="FE141" s="1624"/>
      <c r="FF141" s="1624"/>
      <c r="FG141" s="1624"/>
      <c r="FH141" s="1624"/>
      <c r="FI141" s="1624"/>
      <c r="FJ141" s="1624"/>
      <c r="FK141" s="1624"/>
      <c r="FL141" s="1624"/>
      <c r="FM141" s="1624"/>
      <c r="FN141" s="1624"/>
      <c r="FO141" s="1624"/>
      <c r="FP141" s="1624"/>
      <c r="FQ141" s="1624"/>
      <c r="FR141" s="1624"/>
      <c r="FS141" s="1624"/>
      <c r="FT141" s="1624"/>
      <c r="FU141" s="1624"/>
      <c r="FV141" s="1624"/>
      <c r="FW141" s="1624"/>
      <c r="FZ141" s="996"/>
      <c r="GA141" s="996"/>
      <c r="GB141" s="1035"/>
      <c r="GC141" s="662"/>
      <c r="GD141" s="662"/>
    </row>
    <row customHeight="1" ht="14.625">
      <c r="E142" s="607">
        <v>15</v>
      </c>
      <c r="AB142" s="1522" t="s">
        <v>392</v>
      </c>
      <c r="AC142" s="1522"/>
      <c r="AD142" s="1522"/>
      <c r="AE142" s="1522"/>
      <c r="AF142" s="1522"/>
      <c r="AG142" s="1522"/>
      <c r="AH142" s="1522"/>
      <c r="AI142" s="1522"/>
      <c r="AJ142" s="1522"/>
      <c r="AK142" s="1522"/>
      <c r="AL142" s="1522"/>
      <c r="AM142" s="1522"/>
      <c r="AN142" s="1522"/>
      <c r="AO142" s="1522"/>
      <c r="AP142" s="1522"/>
      <c r="AQ142" s="1522"/>
      <c r="AR142" s="1522"/>
      <c r="AS142" s="1522"/>
      <c r="AT142" s="1522"/>
      <c r="AU142" s="1522"/>
      <c r="AV142" s="1522"/>
      <c r="AW142" s="1522"/>
      <c r="AX142" s="1522"/>
      <c r="AY142" s="1522"/>
      <c r="AZ142" s="1522"/>
      <c r="BA142" s="1522"/>
      <c r="BB142" s="1522"/>
      <c r="BC142" s="1522"/>
      <c r="BD142" s="1522"/>
      <c r="BE142" s="1522"/>
      <c r="BF142" s="1522"/>
      <c r="BG142" s="1522"/>
      <c r="BH142" s="1282"/>
      <c r="BI142" s="1282"/>
      <c r="BJ142" s="1282"/>
      <c r="BK142" s="1282"/>
      <c r="BL142" s="1282"/>
      <c r="BM142" s="1282"/>
      <c r="BN142" s="1282"/>
      <c r="BO142" s="1282"/>
      <c r="BP142" s="1282"/>
      <c r="BQ142" s="1282"/>
      <c r="BR142" s="1282"/>
      <c r="BS142" s="1282"/>
      <c r="BT142" s="1282"/>
      <c r="BU142" s="1282"/>
      <c r="BV142" s="1282"/>
      <c r="BW142" s="1282"/>
      <c r="BX142" s="1282"/>
      <c r="BY142" s="1282"/>
      <c r="BZ142" s="1282"/>
      <c r="CA142" s="1282"/>
      <c r="CB142" s="1282"/>
      <c r="CC142" s="1282"/>
      <c r="CD142" s="1282"/>
      <c r="CE142" s="1282"/>
      <c r="CF142" s="1282"/>
      <c r="CG142" s="1282"/>
      <c r="CH142" s="1282"/>
      <c r="CI142" s="1282"/>
      <c r="CJ142" s="1282"/>
      <c r="CK142" s="1282"/>
      <c r="CL142" s="1282"/>
      <c r="CM142" s="1282"/>
      <c r="CN142" s="1282"/>
      <c r="CO142" s="1282"/>
      <c r="CP142" s="1282"/>
      <c r="CQ142" s="1282"/>
      <c r="CR142" s="1282"/>
      <c r="CS142" s="1282"/>
      <c r="CT142" s="1282"/>
      <c r="CU142" s="1282"/>
      <c r="CV142" s="1282"/>
      <c r="CW142" s="1282"/>
      <c r="CX142" s="1282"/>
      <c r="CY142" s="1282"/>
      <c r="CZ142" s="1282"/>
      <c r="DA142" s="1282"/>
      <c r="DB142" s="1282"/>
      <c r="DC142" s="1282"/>
      <c r="DD142" s="1282"/>
      <c r="DE142" s="1282"/>
      <c r="DF142" s="1282"/>
      <c r="DG142" s="1282"/>
      <c r="DH142" s="1282"/>
      <c r="DI142" s="1282"/>
      <c r="DJ142" s="1282"/>
      <c r="DK142" s="1282"/>
      <c r="DL142" s="1282"/>
      <c r="DM142" s="1282"/>
      <c r="DN142" s="1282"/>
      <c r="DO142" s="1282"/>
      <c r="DP142" s="1282"/>
      <c r="DQ142" s="1282"/>
      <c r="DR142" s="1282"/>
      <c r="DS142" s="1282"/>
      <c r="DT142" s="1282"/>
      <c r="DU142" s="1282"/>
      <c r="DV142" s="1282"/>
      <c r="DW142" s="1282"/>
      <c r="DX142" s="1282"/>
      <c r="DY142" s="1282"/>
      <c r="DZ142" s="1282"/>
      <c r="EA142" s="1282"/>
      <c r="EB142" s="1282"/>
      <c r="EC142" s="1282"/>
      <c r="ED142" s="1282"/>
      <c r="EE142" s="1282"/>
      <c r="EF142" s="1282"/>
      <c r="EG142" s="1282"/>
      <c r="EH142" s="1282"/>
      <c r="EI142" s="1282"/>
      <c r="EJ142" s="1282"/>
      <c r="EK142" s="1282"/>
      <c r="EL142" s="1282"/>
      <c r="EM142" s="1282"/>
      <c r="EN142" s="1282"/>
      <c r="EO142" s="1282"/>
      <c r="EP142" s="1282"/>
      <c r="EQ142" s="1282"/>
      <c r="ER142" s="1282"/>
      <c r="ES142" s="1282"/>
      <c r="ET142" s="1282"/>
      <c r="EU142" s="1282"/>
      <c r="EV142" s="1282"/>
      <c r="EW142" s="1282"/>
      <c r="EX142" s="1282"/>
      <c r="EY142" s="1282"/>
      <c r="EZ142" s="1282"/>
      <c r="FA142" s="1282"/>
      <c r="FB142" s="1282"/>
      <c r="FC142" s="1282"/>
      <c r="FD142" s="1282"/>
      <c r="FE142" s="1282"/>
      <c r="FF142" s="1282"/>
      <c r="FG142" s="1282"/>
      <c r="FH142" s="1282"/>
      <c r="FI142" s="1282"/>
      <c r="FJ142" s="1282"/>
      <c r="FK142" s="1282"/>
      <c r="FL142" s="1282"/>
      <c r="FM142" s="1282"/>
      <c r="FN142" s="1282"/>
      <c r="FO142" s="1282"/>
      <c r="FP142" s="1282"/>
      <c r="FQ142" s="1282"/>
      <c r="FR142" s="1282"/>
      <c r="FS142" s="1282"/>
      <c r="FT142" s="1282"/>
      <c r="FU142" s="1282"/>
      <c r="FV142" s="1282"/>
      <c r="FW142" s="1282"/>
    </row>
    <row customHeight="1" ht="14.625">
      <c r="E143" s="607">
        <v>15</v>
      </c>
      <c r="AA143" s="637"/>
      <c r="AB143" s="1585"/>
      <c r="AC143" s="1585"/>
      <c r="AD143" s="1585"/>
      <c r="AE143" s="1585"/>
      <c r="AF143" s="1585"/>
      <c r="AG143" s="3404"/>
      <c r="AH143" s="3404"/>
      <c r="AI143" s="3404"/>
      <c r="AJ143" s="3404"/>
      <c r="AK143" s="3404"/>
      <c r="AL143" s="3404"/>
      <c r="AM143" s="3404"/>
      <c r="AN143" s="3404"/>
      <c r="AO143" s="3404"/>
      <c r="AP143" s="3404"/>
      <c r="AQ143" s="3404"/>
      <c r="AR143" s="3404"/>
      <c r="AS143" s="3404"/>
      <c r="AT143" s="3404"/>
      <c r="AU143" s="3404"/>
      <c r="AV143" s="3404"/>
      <c r="AW143" s="3404"/>
      <c r="AX143" s="3404"/>
      <c r="AY143" s="3404"/>
      <c r="AZ143" s="3404"/>
      <c r="BA143" s="3404"/>
      <c r="BB143" s="3404"/>
      <c r="BC143" s="3404"/>
      <c r="BD143" s="3404"/>
      <c r="BE143" s="3404"/>
      <c r="BF143" s="3404"/>
      <c r="BG143" s="3404"/>
      <c r="BH143" s="1282"/>
      <c r="BI143" s="1282"/>
      <c r="BJ143" s="1282"/>
      <c r="BK143" s="1282"/>
      <c r="BL143" s="1282"/>
      <c r="BM143" s="1282"/>
      <c r="BN143" s="1282"/>
      <c r="BO143" s="1282"/>
      <c r="BP143" s="1282"/>
      <c r="BQ143" s="1282"/>
      <c r="BR143" s="1282"/>
      <c r="BS143" s="1282"/>
      <c r="BT143" s="1282"/>
      <c r="BU143" s="1282"/>
      <c r="BV143" s="1282"/>
      <c r="BW143" s="1282"/>
      <c r="BX143" s="1282"/>
      <c r="BY143" s="1282"/>
      <c r="BZ143" s="1282"/>
      <c r="CA143" s="1282"/>
      <c r="CB143" s="1282"/>
      <c r="CC143" s="1282"/>
      <c r="CD143" s="1282"/>
      <c r="CE143" s="1282"/>
      <c r="CF143" s="1282"/>
      <c r="CG143" s="1282"/>
      <c r="CH143" s="1282"/>
      <c r="CI143" s="1282"/>
      <c r="CJ143" s="1282"/>
      <c r="CK143" s="1282"/>
      <c r="CL143" s="1282"/>
      <c r="CM143" s="1282"/>
      <c r="CN143" s="1282"/>
      <c r="CO143" s="1282"/>
      <c r="CP143" s="1282"/>
      <c r="CQ143" s="1282"/>
      <c r="CR143" s="1282"/>
      <c r="CS143" s="1282"/>
      <c r="CT143" s="1282"/>
      <c r="CU143" s="1282"/>
      <c r="CV143" s="1282"/>
      <c r="CW143" s="1282"/>
      <c r="CX143" s="1282"/>
      <c r="CY143" s="1282"/>
      <c r="CZ143" s="1282"/>
      <c r="DA143" s="1282"/>
      <c r="DB143" s="1282"/>
      <c r="DC143" s="1282"/>
      <c r="DD143" s="1282"/>
      <c r="DE143" s="1282"/>
      <c r="DF143" s="1282"/>
      <c r="DG143" s="1282"/>
      <c r="DH143" s="1282"/>
      <c r="DI143" s="1282"/>
      <c r="DJ143" s="1282"/>
      <c r="DK143" s="1282"/>
      <c r="DL143" s="1282"/>
      <c r="DM143" s="1282"/>
      <c r="DN143" s="1282"/>
      <c r="DO143" s="1282"/>
      <c r="DP143" s="1282"/>
      <c r="DQ143" s="1282"/>
      <c r="DR143" s="1282"/>
      <c r="DS143" s="1282"/>
      <c r="DT143" s="1282"/>
      <c r="DU143" s="1282"/>
      <c r="DV143" s="1282"/>
      <c r="DW143" s="1282"/>
      <c r="DX143" s="1282"/>
      <c r="DY143" s="1282"/>
      <c r="DZ143" s="1282"/>
      <c r="EA143" s="1282"/>
      <c r="EB143" s="1282"/>
      <c r="EC143" s="1282"/>
      <c r="ED143" s="1282"/>
      <c r="EE143" s="1282"/>
      <c r="EF143" s="1282"/>
      <c r="EG143" s="1282"/>
      <c r="EH143" s="1282"/>
      <c r="EI143" s="1282"/>
      <c r="EJ143" s="1282"/>
      <c r="EK143" s="1282"/>
      <c r="EL143" s="1282"/>
      <c r="EM143" s="1282"/>
      <c r="EN143" s="1282"/>
      <c r="EO143" s="1282"/>
      <c r="EP143" s="1282"/>
      <c r="EQ143" s="1282"/>
      <c r="ER143" s="1282"/>
      <c r="ES143" s="1282"/>
      <c r="ET143" s="1282"/>
      <c r="EU143" s="1282"/>
      <c r="EV143" s="1282"/>
      <c r="EW143" s="1282"/>
      <c r="EX143" s="1282"/>
      <c r="EY143" s="1282"/>
      <c r="EZ143" s="1282"/>
      <c r="FA143" s="1282"/>
      <c r="FB143" s="1282"/>
      <c r="FC143" s="1282"/>
      <c r="FD143" s="1282"/>
      <c r="FE143" s="1282"/>
      <c r="FF143" s="1282"/>
      <c r="FG143" s="1282"/>
      <c r="FH143" s="1282"/>
      <c r="FI143" s="1282"/>
      <c r="FJ143" s="1282"/>
      <c r="FK143" s="1282"/>
      <c r="FL143" s="1282"/>
      <c r="FM143" s="1282"/>
      <c r="FN143" s="1282"/>
      <c r="FO143" s="1282"/>
      <c r="FP143" s="1282"/>
      <c r="FQ143" s="1282"/>
      <c r="FR143" s="1282"/>
      <c r="FS143" s="1282"/>
      <c r="FT143" s="1282"/>
      <c r="FU143" s="1282"/>
      <c r="FV143" s="1282"/>
      <c r="FW143" s="1282"/>
    </row>
    <row customHeight="1" ht="14.625" hidden="1">
      <c r="A144" s="1282"/>
      <c r="B144" s="848"/>
      <c r="C144" s="1282"/>
      <c r="D144" s="1282"/>
      <c r="E144" s="607">
        <v>15</v>
      </c>
      <c r="F144" s="1315"/>
      <c r="G144" s="1282"/>
      <c r="H144" s="1282"/>
      <c r="I144" s="1282"/>
      <c r="J144" s="1282"/>
      <c r="K144" s="1282"/>
      <c r="L144" s="1282"/>
      <c r="M144" s="1282"/>
      <c r="N144" s="1282"/>
      <c r="O144" s="1282"/>
      <c r="P144" s="1282"/>
      <c r="Q144" s="1282"/>
      <c r="R144" s="1282"/>
      <c r="S144" s="1282"/>
      <c r="T144" s="438">
        <f>ROW(W144)&gt;ROW(W$144)</f>
        <v>0</v>
      </c>
      <c r="U144" s="1282"/>
      <c r="V144" s="1282"/>
      <c r="W144" s="64" t="s">
        <v>172</v>
      </c>
      <c r="X144" s="1282"/>
      <c r="Y144" s="1282"/>
      <c r="Z144" s="1282"/>
      <c r="AA144" s="638" t="s">
        <v>173</v>
      </c>
      <c r="AB144" s="2242"/>
      <c r="AC144" s="1832"/>
      <c r="AD144" s="1832"/>
      <c r="AE144" s="1832"/>
      <c r="AF144" s="1832"/>
      <c r="AG144" s="1832"/>
      <c r="AH144" s="1832"/>
      <c r="AI144" s="1832"/>
      <c r="AJ144" s="1832"/>
      <c r="AK144" s="1832"/>
      <c r="AL144" s="1832"/>
      <c r="AM144" s="1832"/>
      <c r="AN144" s="1832"/>
      <c r="AO144" s="1832"/>
      <c r="AP144" s="1832"/>
      <c r="AQ144" s="1832"/>
      <c r="AR144" s="1832"/>
      <c r="AS144" s="1832"/>
      <c r="AT144" s="1832"/>
      <c r="AU144" s="1832"/>
      <c r="AV144" s="1832"/>
      <c r="AW144" s="1832"/>
      <c r="AX144" s="1832"/>
      <c r="AY144" s="1832"/>
      <c r="AZ144" s="1832"/>
      <c r="BA144" s="1832"/>
      <c r="BB144" s="1832"/>
      <c r="BC144" s="1832"/>
      <c r="BD144" s="1832"/>
      <c r="BE144" s="1832"/>
      <c r="BF144" s="1832"/>
      <c r="BG144" s="2243"/>
      <c r="BH144" s="1282"/>
      <c r="BI144" s="1282"/>
      <c r="BJ144" s="1282"/>
      <c r="BK144" s="1282"/>
      <c r="BL144" s="1282"/>
      <c r="BM144" s="1282"/>
      <c r="BN144" s="1282"/>
      <c r="BO144" s="1282"/>
      <c r="BP144" s="1282"/>
      <c r="BQ144" s="1282"/>
      <c r="BR144" s="1282"/>
      <c r="BS144" s="1282"/>
      <c r="BT144" s="1282"/>
      <c r="BU144" s="1282"/>
      <c r="BV144" s="1282"/>
      <c r="BW144" s="1282"/>
      <c r="BX144" s="1282"/>
      <c r="BY144" s="1282"/>
      <c r="BZ144" s="1282"/>
      <c r="CA144" s="1282"/>
      <c r="CB144" s="1282"/>
      <c r="CC144" s="1282"/>
      <c r="CD144" s="1282"/>
      <c r="CE144" s="1282"/>
      <c r="CF144" s="1282"/>
      <c r="CG144" s="1282"/>
      <c r="CH144" s="1282"/>
      <c r="CI144" s="1282"/>
      <c r="CJ144" s="1282"/>
      <c r="CK144" s="1282"/>
      <c r="CL144" s="1282"/>
      <c r="CM144" s="1282"/>
      <c r="CN144" s="1282"/>
      <c r="CO144" s="1282"/>
      <c r="CP144" s="1282"/>
      <c r="CQ144" s="1282"/>
      <c r="CR144" s="1282"/>
      <c r="CS144" s="1282"/>
      <c r="CT144" s="1282"/>
      <c r="CU144" s="1282"/>
      <c r="CV144" s="1282"/>
      <c r="CW144" s="1282"/>
      <c r="CX144" s="1282"/>
      <c r="CY144" s="1282"/>
      <c r="CZ144" s="1282"/>
      <c r="DA144" s="1282"/>
      <c r="DB144" s="1282"/>
      <c r="DC144" s="1282"/>
      <c r="DD144" s="1282"/>
      <c r="DE144" s="1282"/>
      <c r="DF144" s="1282"/>
      <c r="DG144" s="1282"/>
      <c r="DH144" s="1282"/>
      <c r="DI144" s="1282"/>
      <c r="DJ144" s="1282"/>
      <c r="DK144" s="1282"/>
      <c r="DL144" s="1282"/>
      <c r="DM144" s="1282"/>
      <c r="DN144" s="1282"/>
      <c r="DO144" s="1282"/>
      <c r="DP144" s="1282"/>
      <c r="DQ144" s="1282"/>
      <c r="DR144" s="1282"/>
      <c r="DS144" s="1282"/>
      <c r="DT144" s="1282"/>
      <c r="DU144" s="1282"/>
      <c r="DV144" s="1282"/>
      <c r="DW144" s="1282"/>
      <c r="DX144" s="1282"/>
      <c r="DY144" s="1282"/>
      <c r="DZ144" s="1282"/>
      <c r="EA144" s="1282"/>
      <c r="EB144" s="1282"/>
      <c r="EC144" s="1282"/>
      <c r="ED144" s="1282"/>
      <c r="EE144" s="1282"/>
      <c r="EF144" s="1282"/>
      <c r="EG144" s="1282"/>
      <c r="EH144" s="1282"/>
      <c r="EI144" s="1282"/>
      <c r="EJ144" s="1282"/>
      <c r="EK144" s="1282"/>
      <c r="EL144" s="1282"/>
      <c r="EM144" s="1282"/>
      <c r="EN144" s="1282"/>
      <c r="EO144" s="1282"/>
      <c r="EP144" s="1282"/>
      <c r="EQ144" s="1282"/>
      <c r="ER144" s="1282"/>
      <c r="ES144" s="1282"/>
      <c r="ET144" s="1282"/>
      <c r="EU144" s="1282"/>
      <c r="EV144" s="1282"/>
      <c r="EW144" s="1282"/>
      <c r="EX144" s="1282"/>
      <c r="EY144" s="1282"/>
      <c r="EZ144" s="1282"/>
      <c r="FA144" s="1282"/>
      <c r="FB144" s="1282"/>
      <c r="FC144" s="1282"/>
      <c r="FD144" s="1282"/>
      <c r="FE144" s="1282"/>
      <c r="FF144" s="1282"/>
      <c r="FG144" s="1282"/>
      <c r="FH144" s="1282"/>
      <c r="FI144" s="1282"/>
      <c r="FJ144" s="1282"/>
      <c r="FK144" s="1282"/>
      <c r="FL144" s="1282"/>
      <c r="FM144" s="1282"/>
      <c r="FN144" s="1282"/>
      <c r="FO144" s="1282"/>
      <c r="FP144" s="1282"/>
      <c r="FQ144" s="1282"/>
      <c r="FR144" s="1282"/>
      <c r="FS144" s="1282"/>
      <c r="FT144" s="1282"/>
      <c r="FU144" s="1282"/>
      <c r="FV144" s="1282"/>
      <c r="FW144" s="1282"/>
      <c r="FX144" s="1282"/>
      <c r="FY144" s="1282"/>
      <c r="FZ144" s="1284"/>
      <c r="GA144" s="1284"/>
      <c r="GB144" s="1284"/>
      <c r="GC144" s="1283"/>
      <c r="GD144" s="1283"/>
    </row>
    <row customHeight="1" ht="14.625">
      <c r="E145" s="607">
        <v>15</v>
      </c>
      <c r="W145" s="733" t="s">
        <v>396</v>
      </c>
      <c r="AB145" s="1583" t="s">
        <v>397</v>
      </c>
      <c r="AC145" s="1584"/>
      <c r="AD145" s="276"/>
      <c r="AE145" s="276"/>
      <c r="AF145" s="276"/>
      <c r="AG145" s="276"/>
      <c r="AH145" s="276"/>
      <c r="AI145" s="276"/>
      <c r="AJ145" s="276"/>
      <c r="AK145" s="276"/>
      <c r="AL145" s="276"/>
      <c r="AM145" s="276"/>
      <c r="AN145" s="276"/>
      <c r="AO145" s="276"/>
      <c r="AP145" s="276"/>
      <c r="AQ145" s="276"/>
      <c r="AR145" s="276"/>
      <c r="AS145" s="276"/>
      <c r="AT145" s="276"/>
      <c r="AU145" s="276"/>
      <c r="AV145" s="276"/>
      <c r="AW145" s="276"/>
      <c r="AX145" s="276"/>
      <c r="AY145" s="276"/>
      <c r="AZ145" s="276"/>
      <c r="BA145" s="276"/>
      <c r="BB145" s="276"/>
      <c r="BC145" s="276"/>
      <c r="BD145" s="276"/>
      <c r="BE145" s="276"/>
      <c r="BF145" s="276"/>
      <c r="BG145" s="241"/>
      <c r="BH145" s="1282"/>
      <c r="BI145" s="1282"/>
      <c r="BJ145" s="1282"/>
      <c r="BK145" s="1282"/>
      <c r="BL145" s="1282"/>
      <c r="BM145" s="1282"/>
      <c r="BN145" s="1282"/>
      <c r="BO145" s="1282"/>
      <c r="BP145" s="1282"/>
      <c r="BQ145" s="1282"/>
      <c r="BR145" s="1282"/>
      <c r="BS145" s="1282"/>
      <c r="BT145" s="1282"/>
      <c r="BU145" s="1282"/>
      <c r="BV145" s="1282"/>
      <c r="BW145" s="1282"/>
      <c r="BX145" s="1282"/>
      <c r="BY145" s="1282"/>
      <c r="BZ145" s="1282"/>
      <c r="CA145" s="1282"/>
      <c r="CB145" s="1282"/>
      <c r="CC145" s="1282"/>
      <c r="CD145" s="1282"/>
      <c r="CE145" s="1282"/>
      <c r="CF145" s="1282"/>
      <c r="CG145" s="1282"/>
      <c r="CH145" s="1282"/>
      <c r="CI145" s="1282"/>
      <c r="CJ145" s="1282"/>
      <c r="CK145" s="1282"/>
      <c r="CL145" s="1282"/>
      <c r="CM145" s="1282"/>
      <c r="CN145" s="1282"/>
      <c r="CO145" s="1282"/>
      <c r="CP145" s="1282"/>
      <c r="CQ145" s="1282"/>
      <c r="CR145" s="1282"/>
      <c r="CS145" s="1282"/>
      <c r="CT145" s="1282"/>
      <c r="CU145" s="1282"/>
      <c r="CV145" s="1282"/>
      <c r="CW145" s="1282"/>
      <c r="CX145" s="1282"/>
      <c r="CY145" s="1282"/>
      <c r="CZ145" s="1282"/>
      <c r="DA145" s="1282"/>
      <c r="DB145" s="1282"/>
      <c r="DC145" s="1282"/>
      <c r="DD145" s="1282"/>
      <c r="DE145" s="1282"/>
      <c r="DF145" s="1282"/>
      <c r="DG145" s="1282"/>
      <c r="DH145" s="1282"/>
      <c r="DI145" s="1282"/>
      <c r="DJ145" s="1282"/>
      <c r="DK145" s="1282"/>
      <c r="DL145" s="1282"/>
      <c r="DM145" s="1282"/>
      <c r="DN145" s="1282"/>
      <c r="DO145" s="1282"/>
      <c r="DP145" s="1282"/>
      <c r="DQ145" s="1282"/>
      <c r="DR145" s="1282"/>
      <c r="DS145" s="1282"/>
      <c r="DT145" s="1282"/>
      <c r="DU145" s="1282"/>
      <c r="DV145" s="1282"/>
      <c r="DW145" s="1282"/>
      <c r="DX145" s="1282"/>
      <c r="DY145" s="1282"/>
      <c r="DZ145" s="1282"/>
      <c r="EA145" s="1282"/>
      <c r="EB145" s="1282"/>
      <c r="EC145" s="1282"/>
      <c r="ED145" s="1282"/>
      <c r="EE145" s="1282"/>
      <c r="EF145" s="1282"/>
      <c r="EG145" s="1282"/>
      <c r="EH145" s="1282"/>
      <c r="EI145" s="1282"/>
      <c r="EJ145" s="1282"/>
      <c r="EK145" s="1282"/>
      <c r="EL145" s="1282"/>
      <c r="EM145" s="1282"/>
      <c r="EN145" s="1282"/>
      <c r="EO145" s="1282"/>
      <c r="EP145" s="1282"/>
      <c r="EQ145" s="1282"/>
      <c r="ER145" s="1282"/>
      <c r="ES145" s="1282"/>
      <c r="ET145" s="1282"/>
      <c r="EU145" s="1282"/>
      <c r="EV145" s="1282"/>
      <c r="EW145" s="1282"/>
      <c r="EX145" s="1282"/>
      <c r="EY145" s="1282"/>
      <c r="EZ145" s="1282"/>
      <c r="FA145" s="1282"/>
      <c r="FB145" s="1282"/>
      <c r="FC145" s="1282"/>
      <c r="FD145" s="1282"/>
      <c r="FE145" s="1282"/>
      <c r="FF145" s="1282"/>
      <c r="FG145" s="1282"/>
      <c r="FH145" s="1282"/>
      <c r="FI145" s="1282"/>
      <c r="FJ145" s="1282"/>
      <c r="FK145" s="1282"/>
      <c r="FL145" s="1282"/>
      <c r="FM145" s="1282"/>
      <c r="FN145" s="1282"/>
      <c r="FO145" s="1282"/>
      <c r="FP145" s="1282"/>
      <c r="FQ145" s="1282"/>
      <c r="FR145" s="1282"/>
      <c r="FS145" s="1282"/>
      <c r="FT145" s="1282"/>
      <c r="FU145" s="1282"/>
      <c r="FV145" s="1282"/>
      <c r="FW145" s="1282"/>
    </row>
    <row customHeight="1" ht="10.96875">
      <c r="E146" s="607">
        <v>11.25</v>
      </c>
      <c r="AG146" s="1282"/>
      <c r="AH146" s="1282"/>
      <c r="AI146" s="1282"/>
      <c r="AJ146" s="1282"/>
      <c r="AK146" s="1282"/>
      <c r="AL146" s="1282"/>
      <c r="AM146" s="1282"/>
      <c r="AN146" s="1282"/>
      <c r="AO146" s="1282"/>
      <c r="AP146" s="1282"/>
      <c r="AQ146" s="1282"/>
      <c r="AR146" s="1282"/>
      <c r="AS146" s="1282"/>
      <c r="AT146" s="1282"/>
      <c r="AU146" s="1282"/>
      <c r="AV146" s="1282"/>
      <c r="AW146" s="1282"/>
      <c r="AX146" s="1282"/>
      <c r="AY146" s="1282"/>
      <c r="AZ146" s="1282"/>
      <c r="BA146" s="1282"/>
      <c r="BB146" s="1282"/>
      <c r="BC146" s="1282"/>
      <c r="BD146" s="1282"/>
      <c r="BE146" s="1282"/>
      <c r="BF146" s="1282"/>
      <c r="BG146" s="1282"/>
      <c r="BH146" s="1282"/>
      <c r="BI146" s="1282"/>
      <c r="BJ146" s="1282"/>
      <c r="BK146" s="1282"/>
      <c r="BL146" s="1282"/>
      <c r="BM146" s="1282"/>
      <c r="BN146" s="1282"/>
      <c r="BO146" s="1282"/>
      <c r="BP146" s="1282"/>
      <c r="BQ146" s="1282"/>
      <c r="BR146" s="1282"/>
      <c r="BS146" s="1282"/>
      <c r="BT146" s="1282"/>
      <c r="BU146" s="1282"/>
      <c r="BV146" s="1282"/>
      <c r="BW146" s="1282"/>
      <c r="BX146" s="1282"/>
      <c r="BY146" s="1282"/>
      <c r="BZ146" s="1282"/>
      <c r="CA146" s="1282"/>
      <c r="CB146" s="1282"/>
      <c r="CC146" s="1282"/>
      <c r="CD146" s="1282"/>
      <c r="CE146" s="1282"/>
      <c r="CF146" s="1282"/>
      <c r="CG146" s="1282"/>
      <c r="CH146" s="1282"/>
      <c r="CI146" s="1282"/>
      <c r="CJ146" s="1282"/>
      <c r="CK146" s="1282"/>
      <c r="CL146" s="1282"/>
      <c r="CM146" s="1282"/>
      <c r="CN146" s="1282"/>
      <c r="CO146" s="1282"/>
      <c r="CP146" s="1282"/>
      <c r="CQ146" s="1282"/>
      <c r="CR146" s="1282"/>
      <c r="CS146" s="1282"/>
      <c r="CT146" s="1282"/>
      <c r="CU146" s="1282"/>
      <c r="CV146" s="1282"/>
      <c r="CW146" s="1282"/>
      <c r="CX146" s="1282"/>
      <c r="CY146" s="1282"/>
      <c r="CZ146" s="1282"/>
      <c r="DA146" s="1282"/>
      <c r="DB146" s="1282"/>
      <c r="DC146" s="1282"/>
      <c r="DD146" s="1282"/>
      <c r="DE146" s="1282"/>
      <c r="DF146" s="1282"/>
      <c r="DG146" s="1282"/>
      <c r="DH146" s="1282"/>
      <c r="DI146" s="1282"/>
      <c r="DJ146" s="1282"/>
      <c r="DK146" s="1282"/>
      <c r="DL146" s="1282"/>
      <c r="DM146" s="1282"/>
      <c r="DN146" s="1282"/>
      <c r="DO146" s="1282"/>
      <c r="DP146" s="1282"/>
      <c r="DQ146" s="1282"/>
      <c r="DR146" s="1282"/>
      <c r="DS146" s="1282"/>
      <c r="DT146" s="1282"/>
      <c r="DU146" s="1282"/>
      <c r="DV146" s="1282"/>
      <c r="DW146" s="1282"/>
      <c r="DX146" s="1282"/>
      <c r="DY146" s="1282"/>
      <c r="DZ146" s="1282"/>
      <c r="EA146" s="1282"/>
      <c r="EB146" s="1282"/>
      <c r="EC146" s="1282"/>
      <c r="ED146" s="1282"/>
      <c r="EE146" s="1282"/>
      <c r="EF146" s="1282"/>
      <c r="EG146" s="1282"/>
      <c r="EH146" s="1282"/>
      <c r="EI146" s="1282"/>
      <c r="EJ146" s="1282"/>
      <c r="EK146" s="1282"/>
      <c r="EL146" s="1282"/>
      <c r="EM146" s="1282"/>
      <c r="EN146" s="1282"/>
      <c r="EO146" s="1282"/>
      <c r="EP146" s="1282"/>
      <c r="EQ146" s="1282"/>
      <c r="ER146" s="1282"/>
      <c r="ES146" s="1282"/>
      <c r="ET146" s="1282"/>
      <c r="EU146" s="1282"/>
      <c r="EV146" s="1282"/>
      <c r="EW146" s="1282"/>
      <c r="EX146" s="1282"/>
      <c r="EY146" s="1282"/>
      <c r="EZ146" s="1282"/>
      <c r="FA146" s="1282"/>
      <c r="FB146" s="1282"/>
      <c r="FC146" s="1282"/>
      <c r="FD146" s="1282"/>
      <c r="FE146" s="1282"/>
      <c r="FF146" s="1282"/>
      <c r="FG146" s="1282"/>
      <c r="FH146" s="1282"/>
      <c r="FI146" s="1282"/>
      <c r="FJ146" s="1282"/>
      <c r="FK146" s="1282"/>
      <c r="FL146" s="1282"/>
      <c r="FM146" s="1282"/>
      <c r="FN146" s="1282"/>
      <c r="FO146" s="1282"/>
      <c r="FP146" s="1282"/>
      <c r="FQ146" s="1282"/>
      <c r="FR146" s="1282"/>
      <c r="FS146" s="1282"/>
      <c r="FT146" s="1282"/>
      <c r="FU146" s="1282"/>
      <c r="FV146" s="1282"/>
      <c r="FW146" s="1282"/>
      <c r="FX146" s="398"/>
    </row>
  </sheetData>
  <sheetProtection formatColumns="0" formatRows="0" insertRows="0" deleteColumns="0" deleteRows="0" sort="0" autoFilter="0" insertColumns="1"/>
  <mergeCells count="76">
    <mergeCell ref="DS25:DU25"/>
    <mergeCell ref="DV25:DX25"/>
    <mergeCell ref="DY25:EA25"/>
    <mergeCell ref="EB25:ED25"/>
    <mergeCell ref="EE25:EG25"/>
    <mergeCell ref="EH25:EJ25"/>
    <mergeCell ref="EK25:EM25"/>
    <mergeCell ref="EN25:EP25"/>
    <mergeCell ref="EQ25:ES25"/>
    <mergeCell ref="ET25:EV25"/>
    <mergeCell ref="FU25:FW25"/>
    <mergeCell ref="EW25:EY25"/>
    <mergeCell ref="EZ25:FB25"/>
    <mergeCell ref="FC25:FE25"/>
    <mergeCell ref="FF25:FH25"/>
    <mergeCell ref="FI25:FK25"/>
    <mergeCell ref="FL25:FN25"/>
    <mergeCell ref="FO25:FQ25"/>
    <mergeCell ref="FR25:FT25"/>
    <mergeCell ref="DG25:DI25"/>
    <mergeCell ref="DJ25:DL25"/>
    <mergeCell ref="DM25:DO25"/>
    <mergeCell ref="DP25:DR25"/>
    <mergeCell ref="CO25:CQ25"/>
    <mergeCell ref="CR25:CT25"/>
    <mergeCell ref="CU25:CW25"/>
    <mergeCell ref="CX25:CZ25"/>
    <mergeCell ref="DA25:DC25"/>
    <mergeCell ref="DD25:DF25"/>
    <mergeCell ref="BZ25:CB25"/>
    <mergeCell ref="CC25:CE25"/>
    <mergeCell ref="CF25:CH25"/>
    <mergeCell ref="CI25:CK25"/>
    <mergeCell ref="CL25:CN25"/>
    <mergeCell ref="BK25:BM25"/>
    <mergeCell ref="BN25:BP25"/>
    <mergeCell ref="BQ25:BS25"/>
    <mergeCell ref="BT25:BV25"/>
    <mergeCell ref="BW25:BY25"/>
    <mergeCell ref="AB145:AC145"/>
    <mergeCell ref="AB143:BG143"/>
    <mergeCell ref="AB142:BG142"/>
    <mergeCell ref="Y70:Y75"/>
    <mergeCell ref="AA70:AA75"/>
    <mergeCell ref="AB144:BG144"/>
    <mergeCell ref="Y42:Y43"/>
    <mergeCell ref="AB29:AC29"/>
    <mergeCell ref="AB30:AC30"/>
    <mergeCell ref="AB31:AC31"/>
    <mergeCell ref="AB32:AC32"/>
    <mergeCell ref="X29:X84"/>
    <mergeCell ref="Z29:Z8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AA42:AA43"/>
    <mergeCell ref="Y126:Y131"/>
    <mergeCell ref="AA126:AA131"/>
    <mergeCell ref="Y98:Y99"/>
    <mergeCell ref="AB85:AC85"/>
    <mergeCell ref="AB86:AC86"/>
    <mergeCell ref="AB87:AC87"/>
    <mergeCell ref="AB88:AC88"/>
    <mergeCell ref="X85:X140"/>
    <mergeCell ref="Z85:Z140"/>
    <mergeCell ref="AA98:AA99"/>
  </mergeCells>
  <dataValidations count="1">
    <dataValidation type="decimal" allowBlank="1" showErrorMessage="1" errorTitle="Ошибка" error="Допускается ввод только неотрицательных чисел!" sqref="BE78:BF79 BB78:BC79 AY78:AZ79 AV78:AW79 AS78:AT79 AP78:AQ79 AM78:AN79 AJ78:AK79 AG78:AH79 FU82:FV82 AD59:AE60 AY50:AZ51 AV50:AW51 AS50:AT51 AP50:AQ51 AM50:AN51 AJ50:AK51 AG50:AH51 AG59:AH60 AD50:AE51 AG56:AH57 BB50:BC51 AY56:AZ57 AV56:AW57 AS56:AT57 AP56:AQ57 AM56:AN57 AJ56:AK57 BB59:BC60 AD56:AE57 BB56:BC57 AY59:AZ60 AV59:AW60 AS59:AT60 AP59:AQ60 AM59:AN60 AJ59:AK60 AD53:AE54 AD68:AE72 BE59:BF60 AD78:AE79 BB47:BC48 AY47:AZ48 AV47:AW48 AS47:AT48 AP47:AQ48 AM47:AN48 AJ47:AK48 BB68:BC72 AY68:AZ72 AV68:AW72 AS68:AT72 AP68:AQ72 AM68:AN72 AJ68:AK72 BE68:BF72 AG65:AH66 AY53:AZ54 AV53:AW54 AS53:AT54 AP53:AQ54 AM53:AN54 AJ53:AK54 AG47:AH48 AD47:AE48 BE53:BF54 AD62:AE63 BB62:BC63 AY62:AZ63 AV62:AW63 AS62:AT63 AP62:AQ63 AM62:AN63 AJ62:AK63 AG62:AH63 AJ65:AK66 AM65:AN66 AP65:AQ66 AS65:AT66 AV65:AW66 AY65:AZ66 BB65:BC66 BE65:BF66 AG53:AH54 BE50:BF51 BE56:BF57 BB53:BC54 BE47:BF48 BE62:BF63 FU78:FV79 BH68:BI72 BH59:BI60 BK68:BL72 BH53:BI54 BH65:BI66 BH50:BI51 BH56:BI57 BH47:BI48 BH62:BI63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N68:BO72 BQ68:BR72 BT68:BU72 BW68:BX72 BZ68:CA72 CC68:CD72 CF68:CG72 CI68:CJ72 CL68:CM72 CO68:CP72 CR68:CS72 CU68:CV72 CX68:CY72 DA68:DB72 DD68:DE72 DG68:DH72 DJ68:DK72 DM68:DN72 DP68:DQ72 DS68:DT72 DV68:DW72 DY68:DZ72 EB68:EC72 EE68:EF72 EH68:EI72 EK68:EL72 EN68:EO72 EQ68:ER72 ET68:EU72 EW68:EX72 EZ68:FA72 FC68:FD72 FF68:FG72 FI68:FJ72 FL68:FM72 FO68:FP72 FR68:FS72 FU68:FV72 FU42:FV42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65:BL66 BN65:BO66 BQ65:BR66 BT65:BU66 BW65:BX66 BZ65:CA66 CC65:CD66 CF65:CG66 CI65:CJ66 CL65:CM66 CO65:CP66 CR65:CS66 CU65:CV66 CX65:CY66 DA65:DB66 DD65:DE66 DG65:DH66 DJ65:DK66 DM65:DN66 DP65:DQ66 DS65:DT66 DV65:DW66 DY65:DZ66 EB65:EC66 EE65:EF66 EH65:EI66 EK65:EL66 EN65:EO66 EQ65:ER66 ET65:EU66 EW65:EX66 EZ65:FA66 FC65:FD66 FF65:FG66 FI65:FJ66 FL65:FM66 FO65:FP66 FR65:FS66 FU65:FV66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FI50:FJ51 FL50:FM51 FO50:FP51 FR50:FS51 FU50:FV51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47:BL48 BN47:BO48 BQ47:BR48 BT47:BU48 BW47:BX48 BZ47:CA48 CC47:CD48 CF47:CG48 CI47:CJ48 CL47:CM48 CO47:CP48 CR47:CS48 CU47:CV48 CX47:CY48 DA47:DB48 DD47:DE48 DG47:DH48 DJ47:DK48 DM47:DN48 DP47:DQ48 DS47:DT48 DV47:DW48 DY47:DZ48 EB47:EC48 EE47:EF48 EH47:EI48 EK47:EL48 EN47:EO48 EQ47:ER48 ET47:EU48 EW47:EX48 EZ47:FA48 FC47:FD48 FF47:FG48 FI47:FJ48 FL47:FM48 FO47:FP48 FR47:FS48 FU47:FV48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H78:BI79 BK78:BL79 BN78:BO79 BQ78:BR79 BT78:BU79 BW78:BX79 BZ78:CA79 CC78:CD79 CF78:CG79 CI78:CJ79 CL78:CM79 CO78:CP79 CR78:CS79 CU78:CV79 CX78:CY79 DA78:DB79 DD78:DE79 DG78:DH79 DJ78:DK79 DM78:DN79 DP78:DQ79 DS78:DT79 DV78:DW79 DY78:DZ79 EB78:EC79 EE78:EF79 EH78:EI79 EK78:EL79 EN78:EO79 EQ78:ER79 ET78:EU79 EW78:EX79 EZ78:FA79 FC78:FD79 FF78:FG79 FI78:FJ79 FL78:FM79 FO78:FP79 FR78:FS79 AD42:AE42 AG42:AH42 AJ42:AK42 AM42:AN42 AP42:AQ42 AS42:AT42 AV42:AW42 AY42:AZ42 BB42:BC42 BE42:BF42 BH42:BI42 BK42:BL42 BN42:BO42 BQ42:BR42 BT42:BU42 BW42:BX42 BZ42:CA42 CC42:CD42 CF42:CG42 CI42:CJ42 CL42:CM42 CO42:CP42 CR42:CS42 CU42:CV42 CX42:CY42 DA42:DB42 DD42:DE42 DG42:DH42 DJ42:DK42 DM42:DN42 DP42:DQ42 DS42:DT42 DV42:DW42 DY42:DZ42 EB42:EC42 EE42:EF42 EH42:EI42 EK42:EL42 EN42:EO42 EQ42:ER42 ET42:EU42 EW42:EX42 EZ42:FA42 FC42:FD42 FF42:FG42 FI42:FJ42 FL42:FM42 FO42:FP42 FR42:FS42 AD65:AE66 AD74:AE75 AG74:AH75 AJ74:AK75 AM74:AN75 AP74:AQ75 AS74:AT75 AV74:AW75 AY74:AZ75 BB74:BC75 BE74:BF75 BH74:BI75 BK74:BL75 BN74:BO75 BQ74:BR75 BT74:BU75 BW74:BX75 BZ74:CA75 CC74:CD75 CF74:CG75 CI74:CJ75 CL74:CM75 CO74:CP75 CR74:CS75 CU74:CV75 CX74:CY75 DA74:DB75 DD74:DE75 DG74:DH75 DJ74:DK75 DM74:DN75 DP74:DQ75 DS74:DT75 DV74:DW75 DY74:DZ75 EB74:EC75 EE74:EF75 EH74:EI75 EK74:EL75 EN74:EO75 EQ74:ER75 ET74:EU75 EW74:EX75 EZ74:FA75 FC74:FD75 FF74:FG75 FI74:FJ75 FL74:FM75 FO74:FP75 FR74:FS75 FU74:FV75 BE82:BF82 BB82:BC82 AY82:AZ82 AV82:AW82 AS82:AT82 AP82:AQ82 AM82:AN82 AJ82:AK82 AG82:AH82 AD82:AE82 BH82:BI82 BK82:BL82 BN82:BO82 BQ82:BR82 BT82:BU82 BW82:BX82 BZ82:CA82 CC82:CD82 CF82:CG82 CI82:CJ82 CL82:CM82 CO82:CP82 CR82:CS82 CU82:CV82 CX82:CY82 DA82:DB82 DD82:DE82 DG82:DH82 DJ82:DK82 DM82:DN82 DP82:DQ82 DS82:DT82 DV82:DW82 DY82:DZ82 EB82:EC82 EE82:EF82 EH82:EI82 EK82:EL82 EN82:EO82 EQ82:ER82 ET82:EU82 EW82:EX82 EZ82:FA82 FC82:FD82 FF82:FG82 FI82:FJ82 FL82:FM82 FO82:FP82 FR82:FS82 AG68:AH72 AD98 AE98 AG98 AH98 AJ98 AK98 AM98 AN98 AP98 AQ98 AS98 AT98 AV98 AW98 AY98 AZ98 BB98 BC98 BE98 BF98 BH98 BI98 BK98 BL98 BN98 BO98 BQ98 BR98 BT98 BU98 BW98 BX98 BZ98 CA98 CC98 CD98 CF98 CG98 CI98 CJ98 CL98 CM98 CO98 CP98 CR98 CS98 CU98 CV98 CX98 CY98 DA98 DB98 DD98 DE98 DG98 DH98 DJ98 DK98 DM98 DN98 DP98 DQ98 DS98 DT98 DV98 DW98 DY98 DZ98 EB98 EC98 EE98 EF98 EH98 EI98 EK98 EL98 EN98 EO98 EQ98 ER98 ET98 EU98 EW98 EX98 EZ98 FA98 FC98 FD98 FF98 FG98 FI98 FJ98 FL98 FM98 FO98 FP98 FR98 FS98 FU98 FV98 AD103 AE103 AG103 AH103 AJ103 AK103 AM103 AN103 AP103 AQ103 AS103 AT103 AV103 AW103 AY103 AZ103 BB103 BC103 BE103 BF103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AD104 AE104 AG104 AH104 AJ104 AK104 AM104 AN104 AP104 AQ104 AS104 AT104 AV104 AW104 AY104 AZ104 BB104 BC104 BE104 BF104 BH104 BI104 BK104 BL104 BN104 BO104 BQ104 BR104 BT104 BU104 BW104 BX104 BZ104 CA104 CC104 CD104 CF104 CG104 CI104 CJ104 CL104 CM104 CO104 CP104 CR104 CS104 CU104 CV104 CX104 CY104 DA104 DB104 DD104 DE104 DG104 DH104 DJ104 DK104 DM104 DN104 DP104 DQ104 DS104 DT104 DV104 DW104 DY104 DZ104 EB104 EC104 EE104 EF104 EH104 EI104 EK104 EL104 EN104 EO104 EQ104 ER104 ET104 EU104 EW104 EX104 EZ104 FA104 FC104 FD104 FF104 FG104 FI104 FJ104 FL104 FM104 FO104 FP104 FR104 FS104 FU104 FV104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7 AE107 AG107 AH107 AJ107 AK107 AM107 AN107 AP107 AQ107 AS107 AT107 AV107 AW107 AY107 AZ107 BB107 BC107 BE107 BF107 BH107 BI107 BK107 BL107 BN107 BO107 BQ107 BR107 BT107 BU107 BW107 BX107 BZ107 CA107 CC107 CD107 CF107 CG107 CI107 CJ107 CL107 CM107 CO107 CP107 CR107 CS107 CU107 CV107 CX107 CY107 DA107 DB107 DD107 DE107 DG107 DH107 DJ107 DK107 DM107 DN107 DP107 DQ107 DS107 DT107 DV107 DW107 DY107 DZ107 EB107 EC107 EE107 EF107 EH107 EI107 EK107 EL107 EN107 EO107 EQ107 ER107 ET107 EU107 EW107 EX107 EZ107 FA107 FC107 FD107 FF107 FG107 FI107 FJ107 FL107 FM107 FO107 FP107 FR107 FS107 FU107 FV107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0 AE110 AG110 AH110 AJ110 AK110 AM110 AN110 AP110 AQ110 AS110 AT110 AV110 AW110 AY110 AZ110 BB110 BC110 BE110 BF110 BH110 BI110 BK110 BL110 BN110 BO110 BQ110 BR110 BT110 BU110 BW110 BX110 BZ110 CA110 CC110 CD110 CF110 CG110 CI110 CJ110 CL110 CM110 CO110 CP110 CR110 CS110 CU110 CV110 CX110 CY110 DA110 DB110 DD110 DE110 DG110 DH110 DJ110 DK110 DM110 DN110 DP110 DQ110 DS110 DT110 DV110 DW110 DY110 DZ110 EB110 EC110 EE110 EF110 EH110 EI110 EK110 EL110 EN110 EO110 EQ110 ER110 ET110 EU110 EW110 EX110 EZ110 FA110 FC110 FD110 FF110 FG110 FI110 FJ110 FL110 FM110 FO110 FP110 FR110 FS110 FU110 FV110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3 AE113 AG113 AH113 AJ113 AK113 AM113 AN113 AP113 AQ113 AS113 AT113 AV113 AW113 AY113 AZ113 BB113 BC113 BE113 BF113 BH113 BI113 BK113 BL113 BN113 BO113 BQ113 BR113 BT113 BU113 BW113 BX113 BZ113 CA113 CC113 CD113 CF113 CG113 CI113 CJ113 CL113 CM113 CO113 CP113 CR113 CS113 CU113 CV113 CX113 CY113 DA113 DB113 DD113 DE113 DG113 DH113 DJ113 DK113 DM113 DN113 DP113 DQ113 DS113 DT113 DV113 DW113 DY113 DZ113 EB113 EC113 EE113 EF113 EH113 EI113 EK113 EL113 EN113 EO113 EQ113 ER113 ET113 EU113 EW113 EX113 EZ113 FA113 FC113 FD113 FF113 FG113 FI113 FJ113 FL113 FM113 FO113 FP113 FR113 FS113 FU113 FV113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6 AE116 AG116 AH116 AJ116 AK116 AM116 AN116 AP116 AQ116 AS116 AT116 AV116 AW116 AY116 AZ116 BB116 BC116 BE116 BF116 BH116 BI116 BK116 BL116 BN116 BO116 BQ116 BR116 BT116 BU116 BW116 BX116 BZ116 CA116 CC116 CD116 CF116 CG116 CI116 CJ116 CL116 CM116 CO116 CP116 CR116 CS116 CU116 CV116 CX116 CY116 DA116 DB116 DD116 DE116 DG116 DH116 DJ116 DK116 DM116 DN116 DP116 DQ116 DS116 DT116 DV116 DW116 DY116 DZ116 EB116 EC116 EE116 EF116 EH116 EI116 EK116 EL116 EN116 EO116 EQ116 ER116 ET116 EU116 EW116 EX116 EZ116 FA116 FC116 FD116 FF116 FG116 FI116 FJ116 FL116 FM116 FO116 FP116 FR116 FS116 FU116 FV116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AD119 AE119 AG119 AH119 AJ119 AK119 AM119 AN119 AP119 AQ119 AS119 AT119 AV119 AW119 AY119 AZ119 BB119 BC119 BE119 BF119 BH119 BI119 BK119 BL119 BN119 BO119 BQ119 BR119 BT119 BU119 BW119 BX119 BZ119 CA119 CC119 CD119 CF119 CG119 CI119 CJ119 CL119 CM119 CO119 CP119 CR119 CS119 CU119 CV119 CX119 CY119 DA119 DB119 DD119 DE119 DG119 DH119 DJ119 DK119 DM119 DN119 DP119 DQ119 DS119 DT119 DV119 DW119 DY119 DZ119 EB119 EC119 EE119 EF119 EH119 EI119 EK119 EL119 EN119 EO119 EQ119 ER119 ET119 EU119 EW119 EX119 EZ119 FA119 FC119 FD119 FF119 FG119 FI119 FJ119 FL119 FM119 FO119 FP119 FR119 FS119 FU119 FV119 AD121 AE121 AG121 AH121 AJ121 AK121 AM121 AN121 AP121 AQ121 AS121 AT121 AV121 AW121 AY121 AZ121 BB121 BC121 BE121 BF121 BH121 BI121 BK121 BL121 BN121 BO121 BQ121 BR121 BT121 BU121 BW121 BX121 BZ121 CA121 CC121 CD121 CF121 CG121 CI121 CJ121 CL121 CM121 CO121 CP121 CR121 CS121 CU121 CV121 CX121 CY121 DA121 DB121 DD121 DE121 DG121 DH121 DJ121 DK121 DM121 DN121 DP121 DQ121 DS121 DT121 DV121 DW121 DY121 DZ121 EB121 EC121 EE121 EF121 EH121 EI121 EK121 EL121 EN121 EO121 EQ121 ER121 ET121 EU121 EW121 EX121 EZ121 FA121 FC121 FD121 FF121 FG121 FI121 FJ121 FL121 FM121 FO121 FP121 FR121 FS121 FU121 FV121 AD122 AE122 AG122 AH122 AJ122 AK122 AM122 AN122 AP122 AQ122 AS122 AT122 AV122 AW122 AY122 AZ122 BB122 BC122 BE122 BF122 BH122 BI122 BK122 BL122 BN122 BO122 BQ122 BR122 BT122 BU122 BW122 BX122 BZ122 CA122 CC122 CD122 CF122 CG122 CI122 CJ122 CL122 CM122 CO122 CP122 CR122 CS122 CU122 CV122 CX122 CY122 DA122 DB122 DD122 DE122 DG122 DH122 DJ122 DK122 DM122 DN122 DP122 DQ122 DS122 DT122 DV122 DW122 DY122 DZ122 EB122 EC122 EE122 EF122 EH122 EI122 EK122 EL122 EN122 EO122 EQ122 ER122 ET122 EU122 EW122 EX122 EZ122 FA122 FC122 FD122 FF122 FG122 FI122 FJ122 FL122 FM122 FO122 FP122 FR122 FS122 FU122 FV122 AD124 AE124 AG124 AH124 AJ124 AK124 AM124 AN124 AP124 AQ124 AS124 AT124 AV124 AW124 AY124 AZ124 BB124 BC124 BE124 BF124 BH124 BI124 BK124 BL124 BN124 BO124 BQ124 BR124 BT124 BU124 BW124 BX124 BZ124 CA124 CC124 CD124 CF124 CG124 CI124 CJ124 CL124 CM124 CO124 CP124 CR124 CS124 CU124 CV124 CX124 CY124 DA124 DB124 DD124 DE124 DG124 DH124 DJ124 DK124 DM124 DN124 DP124 DQ124 DS124 DT124 DV124 DW124 DY124 DZ124 EB124 EC124 EE124 EF124 EH124 EI124 EK124 EL124 EN124 EO124 EQ124 ER124 ET124 EU124 EW124 EX124 EZ124 FA124 FC124 FD124 FF124 FG124 FI124 FJ124 FL124 FM124 FO124 FP124 FR124 FS124 FU124 FV124 AD125 AE125 AG125 AH125 AJ125 AK125 AM125 AN125 AP125 AQ125 AS125 AT125 AV125 AW125 AY125 AZ125 BB125 BC125 BE125 BF125 BH125 BI125 BK125 BL125 BN125 BO125 BQ125 BR125 BT125 BU125 BW125 BX125 BZ125 CA125 CC125 CD125 CF125 CG125 CI125 CJ125 CL125 CM125 CO125 CP125 CR125 CS125 CU125 CV125 CX125 CY125 DA125 DB125 DD125 DE125 DG125 DH125 DJ125 DK125 DM125 DN125 DP125 DQ125 DS125 DT125 DV125 DW125 DY125 DZ125 EB125 EC125 EE125 EF125 EH125 EI125 EK125 EL125 EN125 EO125 EQ125 ER125 ET125 EU125 EW125 EX125 EZ125 FA125 FC125 FD125 FF125 FG125 FI125 FJ125 FL125 FM125 FO125 FP125 FR125 FS125 FU125 FV125 AD126 AE126 AG126 AH126 AJ126 AK126 AM126 AN126 AP126 AQ126 AS126 AT126 AV126 AW126 AY126 AZ126 BB126 BC126 BE126 BF126 BH126 BI126 BK126 BL126 BN126 BO126 BQ126 BR126 BT126 BU126 BW126 BX126 BZ126 CA126 CC126 CD126 CF126 CG126 CI126 CJ126 CL126 CM126 CO126 CP126 CR126 CS126 CU126 CV126 CX126 CY126 DA126 DB126 DD126 DE126 DG126 DH126 DJ126 DK126 DM126 DN126 DP126 DQ126 DS126 DT126 DV126 DW126 DY126 DZ126 EB126 EC126 EE126 EF126 EH126 EI126 EK126 EL126 EN126 EO126 EQ126 ER126 ET126 EU126 EW126 EX126 EZ126 FA126 FC126 FD126 FF126 FG126 FI126 FJ126 FL126 FM126 FO126 FP126 FR126 FS126 FU126 FV126 AD127 AE127 AG127 AH127 AJ127 AK127 AM127 AN127 AP127 AQ127 AS127 AT127 AV127 AW127 AY127 AZ127 BB127 BC127 BE127 BF127 BH127 BI127 BK127 BL127 BN127 BO127 BQ127 BR127 BT127 BU127 BW127 BX127 BZ127 CA127 CC127 CD127 CF127 CG127 CI127 CJ127 CL127 CM127 CO127 CP127 CR127 CS127 CU127 CV127 CX127 CY127 DA127 DB127 DD127 DE127 DG127 DH127 DJ127 DK127 DM127 DN127 DP127 DQ127 DS127 DT127 DV127 DW127 DY127 DZ127 EB127 EC127 EE127 EF127 EH127 EI127 EK127 EL127 EN127 EO127 EQ127 ER127 ET127 EU127 EW127 EX127 EZ127 FA127 FC127 FD127 FF127 FG127 FI127 FJ127 FL127 FM127 FO127 FP127 FR127 FS127 FU127 FV127 AD128 AE128 AG128 AH128 AJ128 AK128 AM128 AN128 AP128 AQ128 AS128 AT128 AV128 AW128 AY128 AZ128 BB128 BC128 BE128 BF128 BH128 BI128 BK128 BL128 BN128 BO128 BQ128 BR128 BT128 BU128 BW128 BX128 BZ128 CA128 CC128 CD128 CF128 CG128 CI128 CJ128 CL128 CM128 CO128 CP128 CR128 CS128 CU128 CV128 CX128 CY128 DA128 DB128 DD128 DE128 DG128 DH128 DJ128 DK128 DM128 DN128 DP128 DQ128 DS128 DT128 DV128 DW128 DY128 DZ128 EB128 EC128 EE128 EF128 EH128 EI128 EK128 EL128 EN128 EO128 EQ128 ER128 ET128 EU128 EW128 EX128 EZ128 FA128 FC128 FD128 FF128 FG128 FI128 FJ128 FL128 FM128 FO128 FP128 FR128 FS128 FU128 FV128 AD130 AE130 AG130 AH130 AJ130 AK130 AM130 AN130 AP130 AQ130 AS130 AT130 AV130 AW130 AY130 AZ130 BB130 BC130 BE130 BF130 BH130 BI130 BK130 BL130 BN130 BO130 BQ130 BR130 BT130 BU130 BW130 BX130 BZ130 CA130 CC130 CD130 CF130 CG130 CI130 CJ130 CL130 CM130 CO130 CP130 CR130 CS130 CU130 CV130 CX130 CY130 DA130 DB130 DD130 DE130 DG130 DH130 DJ130 DK130 DM130 DN130 DP130 DQ130 DS130 DT130 DV130 DW130 DY130 DZ130 EB130 EC130 EE130 EF130 EH130 EI130 EK130 EL130 EN130 EO130 EQ130 ER130 ET130 EU130 EW130 EX130 EZ130 FA130 FC130 FD130 FF130 FG130 FI130 FJ130 FL130 FM130 FO130 FP130 FR130 FS130 FU130 FV130 AD131 AE131 AG131 AH131 AJ131 AK131 AM131 AN131 AP131 AQ131 AS131 AT131 AV131 AW131 AY131 AZ131 BB131 BC131 BE131 BF131 BH131 BI131 BK131 BL131 BN131 BO131 BQ131 BR131 BT131 BU131 BW131 BX131 BZ131 CA131 CC131 CD131 CF131 CG131 CI131 CJ131 CL131 CM131 CO131 CP131 CR131 CS131 CU131 CV131 CX131 CY131 DA131 DB131 DD131 DE131 DG131 DH131 DJ131 DK131 DM131 DN131 DP131 DQ131 DS131 DT131 DV131 DW131 DY131 DZ131 EB131 EC131 EE131 EF131 EH131 EI131 EK131 EL131 EN131 EO131 EQ131 ER131 ET131 EU131 EW131 EX131 EZ131 FA131 FC131 FD131 FF131 FG131 FI131 FJ131 FL131 FM131 FO131 FP131 FR131 FS131 FU131 FV131 AD134 AE134 AG134 AH134 AJ134 AK134 AM134 AN134 AP134 AQ134 AS134 AT134 AV134 AW134 AY134 AZ134 BB134 BC134 BE134 BF134 BH134 BI134 BK134 BL134 BN134 BO134 BQ134 BR134 BT134 BU134 BW134 BX134 BZ134 CA134 CC134 CD134 CF134 CG134 CI134 CJ134 CL134 CM134 CO134 CP134 CR134 CS134 CU134 CV134 CX134 CY134 DA134 DB134 DD134 DE134 DG134 DH134 DJ134 DK134 DM134 DN134 DP134 DQ134 DS134 DT134 DV134 DW134 DY134 DZ134 EB134 EC134 EE134 EF134 EH134 EI134 EK134 EL134 EN134 EO134 EQ134 ER134 ET134 EU134 EW134 EX134 EZ134 FA134 FC134 FD134 FF134 FG134 FI134 FJ134 FL134 FM134 FO134 FP134 FR134 FS134 FU134 FV134 AD135 AE135 AG135 AH135 AJ135 AK135 AM135 AN135 AP135 AQ135 AS135 AT135 AV135 AW135 AY135 AZ135 BB135 BC135 BE135 BF135 BH135 BI135 BK135 BL135 BN135 BO135 BQ135 BR135 BT135 BU135 BW135 BX135 BZ135 CA135 CC135 CD135 CF135 CG135 CI135 CJ135 CL135 CM135 CO135 CP135 CR135 CS135 CU135 CV135 CX135 CY135 DA135 DB135 DD135 DE135 DG135 DH135 DJ135 DK135 DM135 DN135 DP135 DQ135 DS135 DT135 DV135 DW135 DY135 DZ135 EB135 EC135 EE135 EF135 EH135 EI135 EK135 EL135 EN135 EO135 EQ135 ER135 ET135 EU135 EW135 EX135 EZ135 FA135 FC135 FD135 FF135 FG135 FI135 FJ135 FL135 FM135 FO135 FP135 FR135 FS135 FU135 FV135 AD138 AE138 AG138 AH138 AJ138 AK138 AM138 AN138 AP138 AQ138 AS138 AT138 AV138 AW138 AY138 AZ138 BB138 BC138 BE138 BF138 BH138 BI138 BK138 BL138 BN138 BO138 BQ138 BR138 BT138 BU138 BW138 BX138 BZ138 CA138 CC138 CD138 CF138 CG138 CI138 CJ138 CL138 CM138 CO138 CP138 CR138 CS138 CU138 CV138 CX138 CY138 DA138 DB138 DD138 DE138 DG138 DH138 DJ138 DK138 DM138 DN138 DP138 DQ138 DS138 DT138 DV138 DW138 DY138 DZ138 EB138 EC138 EE138 EF138 EH138 EI138 EK138 EL138 EN138 EO138 EQ138 ER138 ET138 EU138 EW138 EX138 EZ138 FA138 FC138 FD138 FF138 FG138 FI138 FJ138 FL138 FM138 FO138 FP138 FR138 FS138 FU138 FV13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1EC6D8-1928-1D28-6935-0D268B334C77}" mc:Ignorable="x14ac xr xr2 xr3">
  <sheetPr>
    <tabColor rgb="FF92D050"/>
    <outlinePr summaryBelow="0"/>
  </sheetPr>
  <dimension ref="A1:AV202"/>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5"/>
  <cols>
    <col min="1" max="1" style="1361" width="4.00390625" hidden="1" customWidth="1"/>
    <col min="2" max="2" style="1361" width="11.00390625" hidden="1" customWidth="1"/>
    <col min="3" max="4" style="1361" width="4.00390625" hidden="1" customWidth="1"/>
    <col min="5" max="5" style="1036" width="4.00390625" hidden="1" customWidth="1"/>
    <col min="6" max="6" style="1361" width="4.00390625" hidden="1" customWidth="1"/>
    <col min="7" max="7" style="1361" width="10.140625" hidden="1" customWidth="1"/>
    <col min="8" max="8" style="1361" width="10.421875" hidden="1" customWidth="1"/>
    <col min="9" max="15" style="1361" width="4.00390625" hidden="1" customWidth="1"/>
    <col min="16" max="16" style="1361" width="3.7109375" hidden="1" customWidth="1"/>
    <col min="17" max="19" style="1361" width="4.00390625" hidden="1" customWidth="1"/>
    <col min="20" max="20" style="1361" width="8.57421875" hidden="1" customWidth="1"/>
    <col min="21" max="21" style="1361" width="5.8515625" hidden="1" customWidth="1"/>
    <col min="22" max="23" style="1361" width="6.140625" hidden="1" customWidth="1"/>
    <col min="24" max="24" style="1361" width="5.7109375" hidden="1" customWidth="1"/>
    <col min="25" max="25" style="1361" width="5.57421875" hidden="1" customWidth="1"/>
    <col min="26" max="26" style="1361" width="5.28125" hidden="1" customWidth="1"/>
    <col min="27" max="27" style="1361" width="3.00390625" customWidth="1"/>
    <col min="28" max="28" style="1361" width="11.00390625" customWidth="1"/>
    <col min="29" max="29" style="1361" width="75.00390625" customWidth="1"/>
    <col min="30" max="30" style="1361" width="11.29296875" customWidth="1"/>
    <col min="31" max="33" style="1361" width="13.00390625" customWidth="1"/>
    <col min="34" max="34" style="1361" width="15.140625" customWidth="1"/>
    <col min="35" max="37" style="1361" width="13.00390625" customWidth="1"/>
    <col min="38" max="38" style="1361" width="23.57421875" customWidth="1"/>
    <col min="39" max="40" style="1361" width="20.00390625" customWidth="1"/>
    <col min="41" max="41" style="1361" width="32.7109375" customWidth="1"/>
    <col min="42" max="42" style="1361" width="3.00390625" customWidth="1"/>
    <col min="43" max="43" style="1361" width="9.140625" hidden="1"/>
    <col min="44" max="46" style="1039" width="9.140625" hidden="1"/>
    <col min="47" max="48" style="1036" width="9.140625" hidden="1"/>
  </cols>
  <sheetData>
    <row customHeight="1" ht="15" hidden="1">
      <c r="E1" s="552"/>
      <c r="F1" s="948" t="s">
        <v>309</v>
      </c>
      <c r="I1" s="948" t="s">
        <v>320</v>
      </c>
      <c r="J1" s="948" t="s">
        <v>346</v>
      </c>
      <c r="T1" s="438" t="s">
        <v>92</v>
      </c>
      <c r="U1" s="438" t="s">
        <v>97</v>
      </c>
      <c r="V1" s="438" t="s">
        <v>93</v>
      </c>
      <c r="W1" s="438" t="s">
        <v>94</v>
      </c>
      <c r="X1" s="438" t="s">
        <v>95</v>
      </c>
      <c r="Y1" s="440" t="s">
        <v>311</v>
      </c>
      <c r="Z1" s="438" t="s">
        <v>99</v>
      </c>
      <c r="AA1" s="440" t="s">
        <v>96</v>
      </c>
      <c r="AC1" s="439" t="s">
        <v>98</v>
      </c>
      <c r="AE1" s="1361"/>
      <c r="AF1" s="1361"/>
      <c r="AG1" s="1361"/>
      <c r="AH1" s="1361"/>
      <c r="AI1" s="1361"/>
      <c r="AR1" s="1039" t="s">
        <v>312</v>
      </c>
      <c r="AS1" s="1039" t="s">
        <v>313</v>
      </c>
      <c r="AT1" s="1039" t="s">
        <v>314</v>
      </c>
      <c r="AU1" s="1036" t="s">
        <v>317</v>
      </c>
      <c r="AV1" s="1036" t="s">
        <v>318</v>
      </c>
    </row>
    <row customHeight="1" ht="15" hidden="1">
      <c r="B2" s="1203" t="s">
        <v>18</v>
      </c>
      <c r="E2" s="552"/>
      <c r="AE2" s="554">
        <f>FIRST_TIME_REG="нет"</f>
        <v>1</v>
      </c>
      <c r="AF2" s="554">
        <f>FIRST_TIME_REG="нет"</f>
        <v>1</v>
      </c>
      <c r="AG2" s="554">
        <f>FIRST_TIME_REG="нет"</f>
        <v>1</v>
      </c>
      <c r="AH2" s="554">
        <f>FIRST_TIME_REG="нет"</f>
        <v>1</v>
      </c>
      <c r="AI2" s="554">
        <f>FIRST_TIME_REG="нет"</f>
        <v>1</v>
      </c>
    </row>
    <row customHeight="1" ht="15" hidden="1">
      <c r="E3" s="552"/>
      <c r="AE3" s="1361"/>
      <c r="AF3" s="1361"/>
      <c r="AG3" s="1361"/>
      <c r="AH3" s="1361"/>
      <c r="AI3" s="1361"/>
    </row>
    <row customHeight="1" ht="15" hidden="1">
      <c r="E4" s="552"/>
      <c r="AE4" s="1361"/>
      <c r="AF4" s="1361"/>
      <c r="AG4" s="1361"/>
      <c r="AH4" s="1361"/>
      <c r="AI4" s="1361"/>
    </row>
    <row s="1036" customFormat="1" customHeight="1" ht="15" hidden="1">
      <c r="A5" s="552"/>
      <c r="B5" s="552"/>
      <c r="C5" s="552"/>
      <c r="D5" s="552"/>
      <c r="E5" s="671" t="s">
        <v>19</v>
      </c>
      <c r="AA5" s="671">
        <v>3</v>
      </c>
      <c r="AB5" s="671">
        <v>11</v>
      </c>
      <c r="AC5" s="671">
        <v>75</v>
      </c>
      <c r="AD5" s="671">
        <v>11.29</v>
      </c>
      <c r="AE5" s="671">
        <v>13</v>
      </c>
      <c r="AF5" s="671">
        <v>13</v>
      </c>
      <c r="AG5" s="671">
        <v>13</v>
      </c>
      <c r="AH5" s="671">
        <v>15.14</v>
      </c>
      <c r="AI5" s="671">
        <v>13</v>
      </c>
      <c r="AJ5" s="671">
        <v>13</v>
      </c>
      <c r="AK5" s="671">
        <v>13</v>
      </c>
      <c r="AL5" s="671">
        <v>23.57</v>
      </c>
      <c r="AM5" s="671">
        <v>20</v>
      </c>
      <c r="AN5" s="671">
        <v>20</v>
      </c>
      <c r="AO5" s="671">
        <v>32.71</v>
      </c>
      <c r="AP5" s="671">
        <v>3</v>
      </c>
      <c r="AR5" s="1037"/>
      <c r="AS5" s="1037"/>
      <c r="AT5" s="1037"/>
    </row>
    <row customHeight="1" ht="11.25" hidden="1">
      <c r="A6" s="1059" t="s">
        <v>1562</v>
      </c>
      <c r="AE6" s="1361"/>
      <c r="AF6" s="1361"/>
      <c r="AG6" s="1361"/>
      <c r="AH6" s="1361"/>
      <c r="AI6" s="1361"/>
      <c r="AM6" s="552" cm="1" t="str">
        <f t="array" ref="AM6:AM6">AM24</f>
        <v>Указание на подтверждающие документы / URL-ссылка на копии подтверждающих документов</v>
      </c>
      <c r="AN6" s="552" cm="1" t="str">
        <f t="array" ref="AN6:AN6">AN24</f>
        <v>Ссылка на правовую норму (основание для принятия показателя в расчет тарифа)</v>
      </c>
      <c r="AO6" s="552" cm="1" t="str">
        <f t="array" ref="AO6:AO6">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customHeight="1" ht="11.25" hidden="1">
      <c r="A7" s="948" t="s">
        <v>349</v>
      </c>
      <c r="AE7" s="553">
        <f>god-2</f>
        <v>2024</v>
      </c>
      <c r="AF7" s="553">
        <f>god-2</f>
        <v>2024</v>
      </c>
      <c r="AG7" s="553">
        <f>god-2</f>
        <v>2024</v>
      </c>
      <c r="AH7" s="553">
        <f>god-2</f>
        <v>2024</v>
      </c>
      <c r="AI7" s="554">
        <f>god-1</f>
        <v>2025</v>
      </c>
      <c r="AJ7" s="554" cm="1" t="str">
        <f t="array" ref="AJ7:AJ7">god</f>
        <v>2026</v>
      </c>
      <c r="AK7" s="554" cm="1" t="str">
        <f t="array" ref="AK7:AK7">god</f>
        <v>2026</v>
      </c>
    </row>
    <row customHeight="1" ht="11.25" hidden="1">
      <c r="A8" s="948" t="s">
        <v>350</v>
      </c>
      <c r="AE8" s="554" cm="1" t="str">
        <f t="array" ref="AE8:AE8">AE25</f>
        <v>Принято органом регулирования</v>
      </c>
      <c r="AF8" s="554" cm="1" t="str">
        <f t="array" ref="AF8:AF8">AF25</f>
        <v>Факт по данным организации</v>
      </c>
      <c r="AG8" s="554" cm="1" t="str">
        <f t="array" ref="AG8:AG8">AG25</f>
        <v>Факт, принятый органом регулирования</v>
      </c>
      <c r="AH8" s="554" cm="1" t="str">
        <f t="array" ref="AH8:AH8">AH25</f>
        <v>отклонение факта по данным организации к факту принятому органом регулирования</v>
      </c>
      <c r="AI8" s="554" cm="1" t="str">
        <f t="array" ref="AI8:AI8">AI25</f>
        <v>Принято органом регулирования</v>
      </c>
      <c r="AJ8" s="554" cm="1" t="str">
        <f t="array" ref="AJ8:AJ8">AJ25</f>
        <v>Предложение организации</v>
      </c>
      <c r="AK8" s="554" cm="1" t="str">
        <f t="array" ref="AK8:AK8">AK25</f>
        <v>Принято органом регулирования</v>
      </c>
    </row>
    <row customHeight="1" ht="11.25" hidden="1">
      <c r="AE9" s="554" t="str">
        <f>AE7&amp;AE8</f>
        <v>2024Принято органом регулирования</v>
      </c>
      <c r="AF9" s="554" t="str">
        <f>AF7&amp;AF8</f>
        <v>2024Факт по данным организации</v>
      </c>
      <c r="AG9" s="554" t="str">
        <f>AG7&amp;AG8</f>
        <v>2024Факт, принятый органом регулирования</v>
      </c>
      <c r="AH9" s="554" t="str">
        <f>AH7&amp;AH8</f>
        <v>2024отклонение факта по данным организации к факту принятому органом регулирования</v>
      </c>
      <c r="AI9" s="554" t="str">
        <f>AI7&amp;AI8</f>
        <v>2025Принято органом регулирования</v>
      </c>
      <c r="AJ9" s="554" t="str">
        <f>AJ7&amp;AJ8</f>
        <v>2026Предложение организации</v>
      </c>
      <c r="AK9" s="554" t="str">
        <f>AK7&amp;AK8</f>
        <v>2026Принято органом регулирования</v>
      </c>
    </row>
    <row s="1039" customFormat="1" customHeight="1" ht="11.25" hidden="1">
      <c r="A10" s="1204" t="s">
        <v>354</v>
      </c>
      <c r="AE10" s="1038" cm="1" t="str">
        <f t="array" ref="AE10:AE10">AE7</f>
        <v>2024</v>
      </c>
      <c r="AF10" s="1038" cm="1" t="str">
        <f t="array" ref="AF10:AF10">AF7</f>
        <v>2024</v>
      </c>
      <c r="AG10" s="1038" cm="1" t="str">
        <f t="array" ref="AG10:AG10">AG7</f>
        <v>2024</v>
      </c>
      <c r="AH10" s="1038" cm="1" t="str">
        <f t="array" ref="AH10:AH10">AH7</f>
        <v>2024</v>
      </c>
      <c r="AI10" s="1038" cm="1" t="str">
        <f t="array" ref="AI10:AI10">AI7</f>
        <v>2025</v>
      </c>
      <c r="AJ10" s="1038" cm="1" t="str">
        <f t="array" ref="AJ10:AJ10">AJ7</f>
        <v>2026</v>
      </c>
      <c r="AK10" s="1038" cm="1" t="str">
        <f t="array" ref="AK10:AK10">AK7</f>
        <v>2026</v>
      </c>
      <c r="AL10" s="1038"/>
      <c r="AU10" s="671"/>
      <c r="AV10" s="671"/>
    </row>
    <row s="1039" customFormat="1" customHeight="1" ht="11.25" hidden="1">
      <c r="A11" s="974" t="s">
        <v>355</v>
      </c>
      <c r="AE11" s="1038" cm="1" t="str">
        <f t="array" ref="AE11:AE11">AE25</f>
        <v>Принято органом регулирования</v>
      </c>
      <c r="AF11" s="1038" cm="1" t="str">
        <f t="array" ref="AF11:AF11">AF25</f>
        <v>Факт по данным организации</v>
      </c>
      <c r="AG11" s="1038" cm="1" t="str">
        <f t="array" ref="AG11:AG11">AG25</f>
        <v>Факт, принятый органом регулирования</v>
      </c>
      <c r="AH11" s="1038" cm="1" t="str">
        <f t="array" ref="AH11:AH11">AH25</f>
        <v>отклонение факта по данным организации к факту принятому органом регулирования</v>
      </c>
      <c r="AI11" s="1038" cm="1" t="str">
        <f t="array" ref="AI11:AI11">AI25</f>
        <v>Принято органом регулирования</v>
      </c>
      <c r="AJ11" s="1038" cm="1" t="str">
        <f t="array" ref="AJ11:AJ11">AJ25</f>
        <v>Предложение организации</v>
      </c>
      <c r="AK11" s="1038" cm="1" t="str">
        <f t="array" ref="AK11:AK11">AK25</f>
        <v>Принято органом регулирования</v>
      </c>
      <c r="AL11" s="1038" cm="1" t="str">
        <f t="array" ref="AL11:AL11">AL24</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1" s="671"/>
      <c r="AV11" s="671"/>
    </row>
    <row s="1039" customFormat="1" customHeight="1" ht="11.25" hidden="1">
      <c r="A12" s="974" t="s">
        <v>356</v>
      </c>
      <c r="AE12" s="1038"/>
      <c r="AF12" s="1038"/>
      <c r="AG12" s="1038"/>
      <c r="AH12" s="1038"/>
      <c r="AI12" s="1038"/>
      <c r="AJ12" s="1038"/>
      <c r="AK12" s="1038"/>
      <c r="AM12" s="1037" cm="1" t="str">
        <f t="array" ref="AM12:AM12">AM24</f>
        <v>Указание на подтверждающие документы / URL-ссылка на копии подтверждающих документов</v>
      </c>
      <c r="AN12" s="1037" cm="1" t="str">
        <f t="array" ref="AN12:AN12">AN24</f>
        <v>Ссылка на правовую норму (основание для принятия показателя в расчет тарифа)</v>
      </c>
      <c r="AO12" s="1037" cm="1" t="str">
        <f t="array" ref="AO12:AO12">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2" s="671"/>
      <c r="AV12" s="671"/>
    </row>
    <row s="1039" customFormat="1" customHeight="1" ht="11.25" hidden="1">
      <c r="A13" s="1039" t="s">
        <v>327</v>
      </c>
      <c r="AC13" s="1039" t="s">
        <v>314</v>
      </c>
      <c r="AE13" s="1038"/>
      <c r="AF13" s="1038"/>
      <c r="AG13" s="1038"/>
      <c r="AH13" s="1038"/>
      <c r="AI13" s="1038"/>
      <c r="AJ13" s="1038"/>
      <c r="AK13" s="1038"/>
      <c r="AU13" s="671"/>
      <c r="AV13" s="671"/>
    </row>
    <row customHeight="1" ht="11.25" hidden="1">
      <c r="AE14" s="1361"/>
      <c r="AF14" s="1361"/>
      <c r="AG14" s="1361"/>
      <c r="AH14" s="1361"/>
      <c r="AI14" s="1361"/>
    </row>
    <row customHeight="1" ht="11.25" hidden="1">
      <c r="AE15" s="1361"/>
      <c r="AF15" s="1361"/>
      <c r="AG15" s="1361"/>
      <c r="AH15" s="1361"/>
      <c r="AI15" s="1361"/>
    </row>
    <row customHeight="1" ht="11.25" hidden="1">
      <c r="AE16" s="1361"/>
      <c r="AF16" s="1361"/>
      <c r="AG16" s="1361"/>
      <c r="AH16" s="1361"/>
      <c r="AI16" s="1361"/>
    </row>
    <row customHeight="1" ht="11.25" hidden="1">
      <c r="AE17" s="1361"/>
      <c r="AF17" s="1361"/>
      <c r="AG17" s="1361"/>
      <c r="AH17" s="1361"/>
      <c r="AI17" s="1361"/>
      <c r="AJ17" s="490"/>
    </row>
    <row customHeight="1" ht="11.25" hidden="1">
      <c r="A18" s="705" t="s">
        <v>357</v>
      </c>
      <c r="AC18" s="705" t="s">
        <v>358</v>
      </c>
      <c r="AE18" s="1361"/>
      <c r="AF18" s="1361"/>
      <c r="AG18" s="1361"/>
      <c r="AH18" s="1361"/>
      <c r="AI18" s="1361"/>
    </row>
    <row customHeight="1" ht="11.25" hidden="1">
      <c r="AE19" s="1361"/>
      <c r="AF19" s="1361"/>
      <c r="AG19" s="1361"/>
      <c r="AH19" s="1361"/>
      <c r="AI19" s="1361"/>
    </row>
    <row customHeight="1" ht="11.25" hidden="1">
      <c r="AE20" s="1361"/>
      <c r="AF20" s="1361"/>
      <c r="AG20" s="1361"/>
      <c r="AH20" s="1361"/>
      <c r="AI20" s="1361"/>
    </row>
    <row customHeight="1" ht="14.625">
      <c r="E21" s="671">
        <v>15</v>
      </c>
      <c r="AA21" s="670"/>
      <c r="AC21" s="555" cm="1" t="str">
        <f t="array" ref="AC21:AC21">tpl_title</f>
        <v>Кемеровская область / 2026 / ОАО «СКЭК» (ИНН:4205153492, КПП:420501001) / ДПР: 2026-2026</v>
      </c>
      <c r="AE21" s="1361"/>
      <c r="AF21" s="1361"/>
      <c r="AG21" s="1361"/>
      <c r="AH21" s="1361"/>
      <c r="AI21" s="1361"/>
    </row>
    <row customHeight="1" ht="19.5">
      <c r="E22" s="671">
        <v>20</v>
      </c>
      <c r="AB22" s="556" t="s">
        <v>1563</v>
      </c>
      <c r="AC22" s="557"/>
      <c r="AD22" s="557"/>
      <c r="AE22" s="557"/>
      <c r="AF22" s="557"/>
      <c r="AG22" s="557"/>
      <c r="AH22" s="557"/>
      <c r="AI22" s="557"/>
      <c r="AJ22" s="557"/>
      <c r="AK22" s="557"/>
      <c r="AL22" s="557"/>
      <c r="AM22" s="557"/>
      <c r="AN22" s="557"/>
      <c r="AO22" s="557"/>
    </row>
    <row customHeight="1" ht="14.625">
      <c r="E23" s="671">
        <v>15</v>
      </c>
      <c r="AB23" s="558"/>
      <c r="AC23" s="558"/>
      <c r="AD23" s="558"/>
      <c r="AE23" s="558"/>
      <c r="AF23" s="558"/>
      <c r="AG23" s="558"/>
      <c r="AH23" s="558"/>
      <c r="AI23" s="558"/>
      <c r="AJ23" s="558"/>
      <c r="AK23" s="558"/>
      <c r="AL23" s="558"/>
      <c r="AM23" s="558"/>
      <c r="AN23" s="558"/>
      <c r="AO23" s="558"/>
    </row>
    <row customHeight="1" ht="25.59375">
      <c r="E24" s="671">
        <v>26.25</v>
      </c>
      <c r="AB24" s="1525" t="s">
        <v>21</v>
      </c>
      <c r="AC24" s="1525" t="s">
        <v>358</v>
      </c>
      <c r="AD24" s="1525" t="s">
        <v>359</v>
      </c>
      <c r="AE24" s="559" t="str">
        <f>god-2&amp;" год"</f>
        <v>2024 год</v>
      </c>
      <c r="AF24" s="1105" t="str">
        <f>god-2&amp;" год"</f>
        <v>2024 год</v>
      </c>
      <c r="AG24" s="559" t="str">
        <f>god-2&amp;" год"</f>
        <v>2024 год</v>
      </c>
      <c r="AH24" s="559" t="str">
        <f>god-2&amp;" год"</f>
        <v>2024 год</v>
      </c>
      <c r="AI24" s="560" t="str">
        <f>god-1&amp;" год"</f>
        <v>2025 год</v>
      </c>
      <c r="AJ24" s="1107" t="str">
        <f>god&amp;" год"</f>
        <v>2026 год</v>
      </c>
      <c r="AK24" s="559" t="str">
        <f>god&amp;" год"</f>
        <v>2026 год</v>
      </c>
      <c r="AL24" s="1522" t="s">
        <v>1564</v>
      </c>
      <c r="AM24" s="1537" t="s">
        <v>1565</v>
      </c>
      <c r="AN24" s="1535" t="s">
        <v>500</v>
      </c>
      <c r="AO24" s="1535" t="s">
        <v>1566</v>
      </c>
    </row>
    <row customHeight="1" ht="77.5125">
      <c r="E25" s="671">
        <v>79.5</v>
      </c>
      <c r="AB25" s="1525"/>
      <c r="AC25" s="1525"/>
      <c r="AD25" s="1525"/>
      <c r="AE25" s="560" t="s">
        <v>351</v>
      </c>
      <c r="AF25" s="1106" t="s">
        <v>424</v>
      </c>
      <c r="AG25" s="560" t="s">
        <v>425</v>
      </c>
      <c r="AH25" s="559" t="s">
        <v>1567</v>
      </c>
      <c r="AI25" s="560" t="s">
        <v>351</v>
      </c>
      <c r="AJ25" s="1108" t="s">
        <v>352</v>
      </c>
      <c r="AK25" s="559" t="s">
        <v>351</v>
      </c>
      <c r="AL25" s="1522"/>
      <c r="AM25" s="1537"/>
      <c r="AN25" s="1535"/>
      <c r="AO25" s="1535"/>
    </row>
    <row customHeight="1" ht="11.25" hidden="1">
      <c r="E26" s="671">
        <v>0</v>
      </c>
      <c r="AB26" s="715"/>
      <c r="AC26" s="716"/>
      <c r="AD26" s="716"/>
      <c r="AE26" s="717"/>
      <c r="AF26" s="717"/>
      <c r="AG26" s="717"/>
      <c r="AH26" s="718"/>
      <c r="AI26" s="717"/>
      <c r="AJ26" s="718"/>
      <c r="AK26" s="718"/>
      <c r="AL26" s="719"/>
      <c r="AM26" s="718"/>
      <c r="AN26" s="718"/>
      <c r="AO26" s="718"/>
    </row>
    <row customHeight="1" ht="14.625" hidden="1">
      <c r="A27" s="1361"/>
      <c r="B27" s="1361"/>
      <c r="C27" s="1361"/>
      <c r="D27" s="1361"/>
      <c r="E27" s="671">
        <v>15</v>
      </c>
      <c r="F27" s="554" cm="1" t="str">
        <f t="array" ref="F27:F27">X27</f>
        <v>0</v>
      </c>
      <c r="G27" s="672" cm="1" t="str">
        <f t="array" ref="G27:G27">INDEX('Общие сведения'!$AK$179:$AK$208,MATCH($X27,'Общие сведения'!$Z$179:$Z$208,0))</f>
        <v>одноставочный</v>
      </c>
      <c r="H27" s="1361"/>
      <c r="I27" s="1361"/>
      <c r="J27" s="1361"/>
      <c r="K27" s="1361"/>
      <c r="L27" s="1361"/>
      <c r="M27" s="1361"/>
      <c r="N27" s="1361"/>
      <c r="O27" s="1361"/>
      <c r="P27" s="1361"/>
      <c r="Q27" s="1361"/>
      <c r="R27" s="1361"/>
      <c r="S27" s="1361"/>
      <c r="T27" s="438">
        <f>X27&gt;0</f>
        <v>0</v>
      </c>
      <c r="U27" s="1361"/>
      <c r="V27" s="670" t="s">
        <v>267</v>
      </c>
      <c r="W27" s="1361"/>
      <c r="X27" s="1586">
        <v>0</v>
      </c>
      <c r="Y27" s="1361"/>
      <c r="Z27" s="1587"/>
      <c r="AA27" s="1361"/>
      <c r="AB27" s="1205" cm="1" t="str">
        <f t="array" ref="AB27:AB27">INDEX('Общие сведения'!$AG$179:$AG$208,MATCH($X27,'Общие сведения'!$Z$179:$Z$208,0))</f>
        <v>Тариф 0 () - тариф на транспортировку сточных вод</v>
      </c>
      <c r="AC27" s="561"/>
      <c r="AD27" s="561"/>
      <c r="AE27" s="561"/>
      <c r="AF27" s="561"/>
      <c r="AG27" s="561"/>
      <c r="AH27" s="561"/>
      <c r="AI27" s="561"/>
      <c r="AJ27" s="561"/>
      <c r="AK27" s="561"/>
      <c r="AL27" s="561"/>
      <c r="AM27" s="561"/>
      <c r="AN27" s="561"/>
      <c r="AO27" s="561"/>
      <c r="AP27" s="1361"/>
      <c r="AQ27" s="1361"/>
      <c r="AR27" s="1039"/>
      <c r="AS27" s="1039"/>
      <c r="AT27" s="1039"/>
      <c r="AU27" s="1036"/>
      <c r="AV27" s="1036"/>
    </row>
    <row customHeight="1" ht="14.625" hidden="1">
      <c r="A28" s="1361"/>
      <c r="B28" s="1361"/>
      <c r="C28" s="1361"/>
      <c r="D28" s="1361"/>
      <c r="E28" s="671">
        <v>15</v>
      </c>
      <c r="F28" s="50" cm="1" t="str">
        <f t="array" ref="F28:F28">OFFSET(E28,-1,1)</f>
        <v>0</v>
      </c>
      <c r="G28" s="1361"/>
      <c r="H28" s="1361"/>
      <c r="I28" s="562" t="s">
        <v>321</v>
      </c>
      <c r="J28" s="562"/>
      <c r="K28" s="562"/>
      <c r="L28" s="562"/>
      <c r="M28" s="562"/>
      <c r="N28" s="562"/>
      <c r="O28" s="562"/>
      <c r="P28" s="562"/>
      <c r="Q28" s="562"/>
      <c r="R28" s="562"/>
      <c r="S28" s="562"/>
      <c r="T28" s="438" cm="1" t="str">
        <f t="array" ref="T28:T28">T27</f>
        <v>false</v>
      </c>
      <c r="U28" s="1361"/>
      <c r="V28" s="1361"/>
      <c r="W28" s="1361"/>
      <c r="X28" s="1586"/>
      <c r="Y28" s="1361"/>
      <c r="Z28" s="1587"/>
      <c r="AA28" s="1361"/>
      <c r="AB28" s="775" t="s">
        <v>281</v>
      </c>
      <c r="AC28" s="776" t="s">
        <v>1568</v>
      </c>
      <c r="AD28" s="735" t="s">
        <v>789</v>
      </c>
      <c r="AE28" s="777">
        <f>AE29+AE33+AE43+AE44+AE47+AE48+AE49</f>
        <v>0</v>
      </c>
      <c r="AF28" s="777">
        <f>AF29+AF33+AF43+AF44+AF47+AF48+AF49</f>
        <v>0</v>
      </c>
      <c r="AG28" s="777">
        <f>AG29+AG33+AG43+AG44+AG47+AG48+AG49</f>
        <v>0</v>
      </c>
      <c r="AH28" s="777">
        <f>AG28-AF28</f>
        <v>0</v>
      </c>
      <c r="AI28" s="777">
        <f>AI29+AI33+AI43+AI44+AI47+AI48+AI49</f>
        <v>0</v>
      </c>
      <c r="AJ28" s="777">
        <f>AJ29+AJ33+AJ43+AJ44+AJ47+AJ48+AJ49</f>
        <v>0</v>
      </c>
      <c r="AK28" s="777">
        <f>AK29+AK33+AK43+AK44+AK47+AK48+AK49</f>
        <v>0</v>
      </c>
      <c r="AL28" s="778">
        <f>IF(AI28=0,0,(AK28-AI28)/AI28*100)</f>
        <v>0</v>
      </c>
      <c r="AM28" s="3430"/>
      <c r="AN28" s="3431"/>
      <c r="AO28" s="3430"/>
      <c r="AP28" s="1361"/>
      <c r="AQ28" s="1361"/>
      <c r="AR28" s="1039" t="s">
        <v>491</v>
      </c>
      <c r="AS28" s="1039"/>
      <c r="AT28" s="1039"/>
      <c r="AU28" s="1036"/>
      <c r="AV28" s="1036"/>
    </row>
    <row s="563" customFormat="1" customHeight="1" ht="21.9375" hidden="1">
      <c r="A29" s="563"/>
      <c r="B29" s="563"/>
      <c r="C29" s="563"/>
      <c r="D29" s="563"/>
      <c r="E29" s="673">
        <v>22.5</v>
      </c>
      <c r="F29" s="50" cm="1" t="str">
        <f t="array" ref="F29:F29">OFFSET(E29,-1,1)</f>
        <v>0</v>
      </c>
      <c r="G29" s="563"/>
      <c r="H29" s="563"/>
      <c r="I29" s="674" t="s">
        <v>434</v>
      </c>
      <c r="J29" s="674"/>
      <c r="K29" s="674"/>
      <c r="L29" s="674"/>
      <c r="M29" s="674"/>
      <c r="N29" s="674"/>
      <c r="O29" s="674"/>
      <c r="P29" s="674"/>
      <c r="Q29" s="674"/>
      <c r="R29" s="674"/>
      <c r="S29" s="674"/>
      <c r="T29" s="438" cm="1" t="str">
        <f t="array" ref="T29:T29">T28</f>
        <v>false</v>
      </c>
      <c r="U29" s="563"/>
      <c r="V29" s="563"/>
      <c r="W29" s="563"/>
      <c r="X29" s="1586"/>
      <c r="Y29" s="563"/>
      <c r="Z29" s="1587"/>
      <c r="AA29" s="563"/>
      <c r="AB29" s="780" t="s">
        <v>844</v>
      </c>
      <c r="AC29" s="781" t="s">
        <v>1569</v>
      </c>
      <c r="AD29" s="565" t="s">
        <v>789</v>
      </c>
      <c r="AE29" s="777">
        <f>SUM(AE30:AE32)</f>
        <v>0</v>
      </c>
      <c r="AF29" s="777">
        <f>SUM(AF30:AF32)</f>
        <v>0</v>
      </c>
      <c r="AG29" s="777">
        <f>SUM(AG30:AG32)</f>
        <v>0</v>
      </c>
      <c r="AH29" s="777">
        <f>AG29-AF29</f>
        <v>0</v>
      </c>
      <c r="AI29" s="777">
        <f>SUM(AI30:AI32)</f>
        <v>0</v>
      </c>
      <c r="AJ29" s="777">
        <f>SUM(AJ30:AJ32)</f>
        <v>0</v>
      </c>
      <c r="AK29" s="777">
        <f>SUM(AK30:AK32)</f>
        <v>0</v>
      </c>
      <c r="AL29" s="777">
        <f>IF(AI29=0,0,(AK29-AI29)/AI29*100)</f>
        <v>0</v>
      </c>
      <c r="AM29" s="3438"/>
      <c r="AN29" s="3438"/>
      <c r="AO29" s="3438"/>
      <c r="AP29" s="563"/>
      <c r="AQ29" s="563"/>
      <c r="AR29" s="1040" t="s">
        <v>1570</v>
      </c>
      <c r="AS29" s="1040"/>
      <c r="AT29" s="1040"/>
      <c r="AU29" s="673"/>
      <c r="AV29" s="673"/>
    </row>
    <row customHeight="1" ht="14.625" hidden="1">
      <c r="A30" s="1361"/>
      <c r="B30" s="1361"/>
      <c r="C30" s="1361"/>
      <c r="D30" s="1361"/>
      <c r="E30" s="671">
        <v>15</v>
      </c>
      <c r="F30" s="50" cm="1" t="str">
        <f t="array" ref="F30:F30">OFFSET(E30,-1,1)</f>
        <v>0</v>
      </c>
      <c r="G30" s="1361"/>
      <c r="H30" s="1361"/>
      <c r="I30" s="562" t="s">
        <v>947</v>
      </c>
      <c r="J30" s="562"/>
      <c r="K30" s="562"/>
      <c r="L30" s="562"/>
      <c r="M30" s="562"/>
      <c r="N30" s="562"/>
      <c r="O30" s="562"/>
      <c r="P30" s="562"/>
      <c r="Q30" s="562"/>
      <c r="R30" s="562"/>
      <c r="S30" s="562"/>
      <c r="T30" s="438" cm="1" t="str">
        <f t="array" ref="T30:T30">T29</f>
        <v>false</v>
      </c>
      <c r="U30" s="1361"/>
      <c r="V30" s="1361"/>
      <c r="W30" s="1361"/>
      <c r="X30" s="1586"/>
      <c r="Y30" s="1361"/>
      <c r="Z30" s="1587"/>
      <c r="AA30" s="1361"/>
      <c r="AB30" s="783" t="s">
        <v>948</v>
      </c>
      <c r="AC30" s="784" t="s">
        <v>1571</v>
      </c>
      <c r="AD30" s="735" t="s">
        <v>789</v>
      </c>
      <c r="AE30" s="778">
        <f>_xlfn.SUMIFS('Сырье и материалы'!AE$25:AE$35,'Сырье и материалы'!$F$25:$F$35,$F30,'Сырье и материалы'!$AC$25:$AC$35,"Всего по тарифу")</f>
        <v>0</v>
      </c>
      <c r="AF30" s="778">
        <f>_xlfn.SUMIFS('Сырье и материалы'!AF$25:AF$35,'Сырье и материалы'!$F$25:$F$35,$F30,'Сырье и материалы'!$AC$25:$AC$35,"Всего по тарифу")</f>
        <v>0</v>
      </c>
      <c r="AG30" s="778">
        <f>_xlfn.SUMIFS('Сырье и материалы'!AG$25:AG$35,'Сырье и материалы'!$F$25:$F$35,$F30,'Сырье и материалы'!$AC$25:$AC$35,"Всего по тарифу")</f>
        <v>0</v>
      </c>
      <c r="AH30" s="778">
        <f>AG30-AF30</f>
        <v>0</v>
      </c>
      <c r="AI30" s="778">
        <f>_xlfn.SUMIFS('Сырье и материалы'!AH$25:AH$35,'Сырье и материалы'!$F$25:$F$35,$F30,'Сырье и материалы'!$AC$25:$AC$35,"Всего по тарифу")</f>
        <v>0</v>
      </c>
      <c r="AJ30" s="778">
        <f>_xlfn.SUMIFS('Сырье и материалы'!AI$25:AI$35,'Сырье и материалы'!$F$25:$F$35,$F30,'Сырье и материалы'!$AC$25:$AC$35,"Всего по тарифу")</f>
        <v>0</v>
      </c>
      <c r="AK30" s="778">
        <f>_xlfn.SUMIFS('Сырье и материалы'!AS$25:AS$35,'Сырье и материалы'!$F$25:$F$35,$F30,'Сырье и материалы'!$AC$25:$AC$35,"Всего по тарифу")</f>
        <v>0</v>
      </c>
      <c r="AL30" s="778">
        <f>IF(AI30=0,0,(AK30-AI30)/AI30*100)</f>
        <v>0</v>
      </c>
      <c r="AM30" s="3430"/>
      <c r="AN30" s="3431" t="str">
        <f>IF(_xlfn.IFERROR(INDEX('Сырье и материалы'!$K$26:$L$35,MATCH($F30&amp;"komm",'Сырье и материалы'!$K$26:$K$35,0),2),"")=0,"",_xlfn.IFERROR(INDEX('Сырье и материалы'!$K$26:$L$35,MATCH($F30&amp;"komm",'Сырье и материалы'!$K$26:$K$35,0),2),""))</f>
        <v/>
      </c>
      <c r="AO30" s="3430"/>
      <c r="AP30" s="1361"/>
      <c r="AQ30" s="1361"/>
      <c r="AR30" s="1039" t="s">
        <v>1572</v>
      </c>
      <c r="AS30" s="1039"/>
      <c r="AT30" s="1039"/>
      <c r="AU30" s="1036"/>
      <c r="AV30" s="1036"/>
    </row>
    <row customHeight="1" ht="14.625" hidden="1">
      <c r="A31" s="1361"/>
      <c r="B31" s="1361"/>
      <c r="C31" s="1361"/>
      <c r="D31" s="1361"/>
      <c r="E31" s="671">
        <v>15</v>
      </c>
      <c r="F31" s="50" cm="1" t="str">
        <f t="array" ref="F31:F31">OFFSET(E31,-1,1)</f>
        <v>0</v>
      </c>
      <c r="G31" s="1361"/>
      <c r="H31" s="1361"/>
      <c r="I31" s="562" t="s">
        <v>951</v>
      </c>
      <c r="J31" s="562"/>
      <c r="K31" s="562"/>
      <c r="L31" s="562"/>
      <c r="M31" s="562"/>
      <c r="N31" s="562"/>
      <c r="O31" s="562"/>
      <c r="P31" s="562"/>
      <c r="Q31" s="562"/>
      <c r="R31" s="562"/>
      <c r="S31" s="562"/>
      <c r="T31" s="438" cm="1" t="str">
        <f t="array" ref="T31:T31">T30</f>
        <v>false</v>
      </c>
      <c r="U31" s="1361"/>
      <c r="V31" s="1361"/>
      <c r="W31" s="1361"/>
      <c r="X31" s="1586"/>
      <c r="Y31" s="1361"/>
      <c r="Z31" s="1587"/>
      <c r="AA31" s="1361"/>
      <c r="AB31" s="783" t="s">
        <v>952</v>
      </c>
      <c r="AC31" s="784" t="s">
        <v>1573</v>
      </c>
      <c r="AD31" s="735" t="s">
        <v>789</v>
      </c>
      <c r="AE31" s="785"/>
      <c r="AF31" s="785"/>
      <c r="AG31" s="785"/>
      <c r="AH31" s="778">
        <f>AG31-AF31</f>
        <v>0</v>
      </c>
      <c r="AI31" s="785"/>
      <c r="AJ31" s="3443"/>
      <c r="AK31" s="3443"/>
      <c r="AL31" s="778">
        <f>IF(AI31=0,0,(AK31-AI31)/AI31*100)</f>
        <v>0</v>
      </c>
      <c r="AM31" s="3430"/>
      <c r="AN31" s="3430"/>
      <c r="AO31" s="3430"/>
      <c r="AP31" s="1361"/>
      <c r="AQ31" s="1361"/>
      <c r="AR31" s="1039" t="s">
        <v>1574</v>
      </c>
      <c r="AS31" s="1039"/>
      <c r="AT31" s="1039"/>
      <c r="AU31" s="1036"/>
      <c r="AV31" s="1036"/>
    </row>
    <row customHeight="1" ht="14.625" hidden="1">
      <c r="A32" s="1361"/>
      <c r="B32" s="1361"/>
      <c r="C32" s="1361"/>
      <c r="D32" s="1361"/>
      <c r="E32" s="671">
        <v>15</v>
      </c>
      <c r="F32" s="50" cm="1" t="str">
        <f t="array" ref="F32:F32">OFFSET(E32,-1,1)</f>
        <v>0</v>
      </c>
      <c r="G32" s="1361"/>
      <c r="H32" s="1361"/>
      <c r="I32" s="562" t="s">
        <v>1183</v>
      </c>
      <c r="J32" s="562"/>
      <c r="K32" s="562"/>
      <c r="L32" s="562"/>
      <c r="M32" s="562"/>
      <c r="N32" s="562"/>
      <c r="O32" s="562"/>
      <c r="P32" s="562"/>
      <c r="Q32" s="562"/>
      <c r="R32" s="562"/>
      <c r="S32" s="562"/>
      <c r="T32" s="438" cm="1" t="str">
        <f t="array" ref="T32:T32">T31</f>
        <v>false</v>
      </c>
      <c r="U32" s="1361"/>
      <c r="V32" s="1361"/>
      <c r="W32" s="1361"/>
      <c r="X32" s="1586"/>
      <c r="Y32" s="1361"/>
      <c r="Z32" s="1587"/>
      <c r="AA32" s="1361"/>
      <c r="AB32" s="783" t="s">
        <v>1184</v>
      </c>
      <c r="AC32" s="784" t="s">
        <v>1575</v>
      </c>
      <c r="AD32" s="735" t="s">
        <v>789</v>
      </c>
      <c r="AE32" s="785"/>
      <c r="AF32" s="785"/>
      <c r="AG32" s="785"/>
      <c r="AH32" s="778">
        <f>AG32-AF32</f>
        <v>0</v>
      </c>
      <c r="AI32" s="785"/>
      <c r="AJ32" s="3443"/>
      <c r="AK32" s="3443"/>
      <c r="AL32" s="778">
        <f>IF(AI32=0,0,(AK32-AI32)/AI32*100)</f>
        <v>0</v>
      </c>
      <c r="AM32" s="3430"/>
      <c r="AN32" s="3430"/>
      <c r="AO32" s="3430"/>
      <c r="AP32" s="1361"/>
      <c r="AQ32" s="1361"/>
      <c r="AR32" s="1039" t="s">
        <v>1576</v>
      </c>
      <c r="AS32" s="1039"/>
      <c r="AT32" s="1039"/>
      <c r="AU32" s="1036"/>
      <c r="AV32" s="1036"/>
    </row>
    <row s="563" customFormat="1" customHeight="1" ht="21.9375" hidden="1">
      <c r="A33" s="563"/>
      <c r="B33" s="563"/>
      <c r="C33" s="563"/>
      <c r="D33" s="563"/>
      <c r="E33" s="673">
        <v>22.5</v>
      </c>
      <c r="F33" s="50" cm="1" t="str">
        <f t="array" ref="F33:F33">OFFSET(E33,-1,1)</f>
        <v>0</v>
      </c>
      <c r="G33" s="563"/>
      <c r="H33" s="563"/>
      <c r="I33" s="674" t="s">
        <v>438</v>
      </c>
      <c r="J33" s="674"/>
      <c r="K33" s="674"/>
      <c r="L33" s="674"/>
      <c r="M33" s="674"/>
      <c r="N33" s="674"/>
      <c r="O33" s="674"/>
      <c r="P33" s="674"/>
      <c r="Q33" s="674"/>
      <c r="R33" s="674"/>
      <c r="S33" s="674"/>
      <c r="T33" s="438" cm="1" t="str">
        <f t="array" ref="T33:T33">T32</f>
        <v>false</v>
      </c>
      <c r="U33" s="563"/>
      <c r="V33" s="563"/>
      <c r="W33" s="563"/>
      <c r="X33" s="1586"/>
      <c r="Y33" s="563"/>
      <c r="Z33" s="1587"/>
      <c r="AA33" s="563"/>
      <c r="AB33" s="780" t="s">
        <v>847</v>
      </c>
      <c r="AC33" s="781" t="s">
        <v>1577</v>
      </c>
      <c r="AD33" s="565" t="s">
        <v>789</v>
      </c>
      <c r="AE33" s="777">
        <f>SUM(AE34:AE42)</f>
        <v>0</v>
      </c>
      <c r="AF33" s="777">
        <f>SUM(AF34:AF42)</f>
        <v>0</v>
      </c>
      <c r="AG33" s="777">
        <f>SUM(AG34:AG42)</f>
        <v>0</v>
      </c>
      <c r="AH33" s="777">
        <f>AG33-AF33</f>
        <v>0</v>
      </c>
      <c r="AI33" s="777">
        <f>SUM(AI34:AI42)</f>
        <v>0</v>
      </c>
      <c r="AJ33" s="777">
        <f>SUM(AJ34:AJ42)</f>
        <v>0</v>
      </c>
      <c r="AK33" s="777">
        <f>SUM(AK34:AK42)</f>
        <v>0</v>
      </c>
      <c r="AL33" s="777">
        <f>IF(AI33=0,0,(AK33-AI33)/AI33*100)</f>
        <v>0</v>
      </c>
      <c r="AM33" s="3438"/>
      <c r="AN33" s="3438"/>
      <c r="AO33" s="3438"/>
      <c r="AP33" s="563"/>
      <c r="AQ33" s="563"/>
      <c r="AR33" s="1040" t="s">
        <v>1578</v>
      </c>
      <c r="AS33" s="1040"/>
      <c r="AT33" s="1040"/>
      <c r="AU33" s="673"/>
      <c r="AV33" s="673"/>
    </row>
    <row customHeight="1" ht="14.625" hidden="1">
      <c r="A34" s="1361"/>
      <c r="B34" s="1361"/>
      <c r="C34" s="1361"/>
      <c r="D34" s="1361"/>
      <c r="E34" s="671">
        <v>15</v>
      </c>
      <c r="F34" s="50" cm="1" t="str">
        <f t="array" ref="F34:F34">OFFSET(E34,-1,1)</f>
        <v>0</v>
      </c>
      <c r="G34" s="1361"/>
      <c r="H34" s="1361"/>
      <c r="I34" s="562" t="s">
        <v>1208</v>
      </c>
      <c r="J34" s="562"/>
      <c r="K34" s="562"/>
      <c r="L34" s="562"/>
      <c r="M34" s="562"/>
      <c r="N34" s="562"/>
      <c r="O34" s="562"/>
      <c r="P34" s="562"/>
      <c r="Q34" s="562"/>
      <c r="R34" s="562"/>
      <c r="S34" s="562"/>
      <c r="T34" s="438" cm="1" t="str">
        <f t="array" ref="T34:T34">T33</f>
        <v>false</v>
      </c>
      <c r="U34" s="1361"/>
      <c r="V34" s="1361"/>
      <c r="W34" s="1361"/>
      <c r="X34" s="1586"/>
      <c r="Y34" s="1361"/>
      <c r="Z34" s="1587"/>
      <c r="AA34" s="1361"/>
      <c r="AB34" s="783" t="s">
        <v>1209</v>
      </c>
      <c r="AC34" s="784" t="s">
        <v>1579</v>
      </c>
      <c r="AD34" s="735" t="s">
        <v>789</v>
      </c>
      <c r="AE34" s="778">
        <f>_xlfn.SUMIFS(ЭЭ!AE$25:AE$67,ЭЭ!$F$25:$F$67,$F34,ЭЭ!$AC$25:$AC$67,"Всего по тарифу")</f>
        <v>0</v>
      </c>
      <c r="AF34" s="778">
        <f>_xlfn.SUMIFS(ЭЭ!AF$25:AF$67,ЭЭ!$F$25:$F$67,$F34,ЭЭ!$AC$25:$AC$67,"Всего по тарифу")</f>
        <v>0</v>
      </c>
      <c r="AG34" s="778">
        <f>_xlfn.SUMIFS(ЭЭ!AG$25:AG$67,ЭЭ!$F$25:$F$67,$F34,ЭЭ!$AC$25:$AC$67,"Всего по тарифу")</f>
        <v>0</v>
      </c>
      <c r="AH34" s="778">
        <f>AG34-AF34</f>
        <v>0</v>
      </c>
      <c r="AI34" s="778">
        <f>_xlfn.SUMIFS(ЭЭ!AH$25:AH$67,ЭЭ!$F$25:$F$67,$F34,ЭЭ!$AC$25:$AC$67,"Всего по тарифу")</f>
        <v>0</v>
      </c>
      <c r="AJ34" s="778">
        <f>_xlfn.SUMIFS(ЭЭ!AI$25:AI$67,ЭЭ!$F$25:$F$67,$F34,ЭЭ!$AC$25:$AC$67,"Всего по тарифу")</f>
        <v>0</v>
      </c>
      <c r="AK34" s="778">
        <f>_xlfn.SUMIFS(ЭЭ!AS$25:AS$67,ЭЭ!$F$25:$F$67,$F34,ЭЭ!$AC$25:$AC$67,"Всего по тарифу")</f>
        <v>0</v>
      </c>
      <c r="AL34" s="778">
        <f>IF(AI34=0,0,(AK34-AI34)/AI34*100)</f>
        <v>0</v>
      </c>
      <c r="AM34" s="3430"/>
      <c r="AN34" s="3431" t="str">
        <f>IF(_xlfn.IFERROR(INDEX(ЭЭ!$K$26:$L$67,MATCH($F34&amp;"komm",ЭЭ!$K$26:$K$67,0),2),"")=0,"",_xlfn.IFERROR(INDEX(ЭЭ!$K$26:$L$67,MATCH($F34&amp;"komm",ЭЭ!$K$26:$K$67,0),2),""))</f>
        <v/>
      </c>
      <c r="AO34" s="3430"/>
      <c r="AP34" s="1361"/>
      <c r="AQ34" s="1361"/>
      <c r="AR34" s="1039" t="s">
        <v>1580</v>
      </c>
      <c r="AS34" s="1039"/>
      <c r="AT34" s="1039"/>
      <c r="AU34" s="1036"/>
      <c r="AV34" s="1036"/>
    </row>
    <row customHeight="1" ht="14.625" hidden="1">
      <c r="A35" s="1361"/>
      <c r="B35" s="1361"/>
      <c r="C35" s="1361"/>
      <c r="D35" s="1361"/>
      <c r="E35" s="671">
        <v>15</v>
      </c>
      <c r="F35" s="50" cm="1" t="str">
        <f t="array" ref="F35:F35">OFFSET(E35,-1,1)</f>
        <v>0</v>
      </c>
      <c r="G35" s="552" t="s">
        <v>1023</v>
      </c>
      <c r="H35" s="1361"/>
      <c r="I35" s="562" t="s">
        <v>1211</v>
      </c>
      <c r="J35" s="562"/>
      <c r="K35" s="562"/>
      <c r="L35" s="562"/>
      <c r="M35" s="562"/>
      <c r="N35" s="562"/>
      <c r="O35" s="562"/>
      <c r="P35" s="562"/>
      <c r="Q35" s="562"/>
      <c r="R35" s="562"/>
      <c r="S35" s="562"/>
      <c r="T35" s="438" cm="1" t="str">
        <f t="array" ref="T35:T35">T34</f>
        <v>false</v>
      </c>
      <c r="U35" s="1361"/>
      <c r="V35" s="1361"/>
      <c r="W35" s="1361"/>
      <c r="X35" s="1586"/>
      <c r="Y35" s="1361"/>
      <c r="Z35" s="1587"/>
      <c r="AA35" s="1361"/>
      <c r="AB35" s="783" t="s">
        <v>1212</v>
      </c>
      <c r="AC35" s="784" t="s">
        <v>1581</v>
      </c>
      <c r="AD35" s="735" t="s">
        <v>789</v>
      </c>
      <c r="AE35" s="778">
        <f>_xlfn.SUMIFS(Покупка!AE$25:AE$87,Покупка!$F$25:$F$87,$F35,Покупка!$AC$25:$AC$87,$G35)</f>
        <v>0</v>
      </c>
      <c r="AF35" s="778">
        <f>_xlfn.SUMIFS(Покупка!AF$25:AF$87,Покупка!$F$25:$F$87,$F35,Покупка!$AC$25:$AC$87,$G35)</f>
        <v>0</v>
      </c>
      <c r="AG35" s="778">
        <f>_xlfn.SUMIFS(Покупка!AG$25:AG$87,Покупка!$F$25:$F$87,$F35,Покупка!$AC$25:$AC$87,$G35)</f>
        <v>0</v>
      </c>
      <c r="AH35" s="778">
        <f>AG35-AF35</f>
        <v>0</v>
      </c>
      <c r="AI35" s="778">
        <f>_xlfn.SUMIFS(Покупка!AH$25:AH$87,Покупка!$F$25:$F$87,$F35,Покупка!$AC$25:$AC$87,$G35)</f>
        <v>0</v>
      </c>
      <c r="AJ35" s="778">
        <f>_xlfn.SUMIFS(Покупка!AI$25:AI$87,Покупка!$F$25:$F$87,$F35,Покупка!$AC$25:$AC$87,$G35)</f>
        <v>0</v>
      </c>
      <c r="AK35" s="778">
        <f>_xlfn.SUMIFS(Покупка!AS$25:AS$87,Покупка!$F$25:$F$87,$F35,Покупка!$AC$25:$AC$87,$G35)</f>
        <v>0</v>
      </c>
      <c r="AL35" s="778">
        <f>IF(AI35=0,0,(AK35-AI35)/AI35*100)</f>
        <v>0</v>
      </c>
      <c r="AM35" s="3430"/>
      <c r="AN35" s="3431" t="str">
        <f>IF(_xlfn.IFERROR(INDEX(Покупка!$K$26:$L$87,MATCH($F35&amp;"6komm",Покупка!$K$26:$K$87,0),2),"")=0,"",_xlfn.IFERROR(INDEX(Покупка!$K$26:$L$87,MATCH($F35&amp;"6komm",Покупка!$K$26:$K$87,0),2),""))</f>
        <v/>
      </c>
      <c r="AO35" s="3430"/>
      <c r="AP35" s="1361"/>
      <c r="AQ35" s="1361"/>
      <c r="AR35" s="1039" t="s">
        <v>1024</v>
      </c>
      <c r="AS35" s="1039"/>
      <c r="AT35" s="1039"/>
      <c r="AU35" s="1036"/>
      <c r="AV35" s="1036"/>
    </row>
    <row customHeight="1" ht="14.625" hidden="1">
      <c r="A36" s="1361"/>
      <c r="B36" s="1361"/>
      <c r="C36" s="1361"/>
      <c r="D36" s="1361"/>
      <c r="E36" s="671">
        <v>15</v>
      </c>
      <c r="F36" s="50" cm="1" t="str">
        <f t="array" ref="F36:F36">OFFSET(E36,-1,1)</f>
        <v>0</v>
      </c>
      <c r="G36" s="552" t="s">
        <v>1025</v>
      </c>
      <c r="H36" s="1361"/>
      <c r="I36" s="562" t="s">
        <v>1215</v>
      </c>
      <c r="J36" s="562"/>
      <c r="K36" s="562"/>
      <c r="L36" s="562"/>
      <c r="M36" s="562"/>
      <c r="N36" s="562"/>
      <c r="O36" s="562"/>
      <c r="P36" s="562"/>
      <c r="Q36" s="562"/>
      <c r="R36" s="562"/>
      <c r="S36" s="562"/>
      <c r="T36" s="438" cm="1" t="str">
        <f t="array" ref="T36:T36">T35</f>
        <v>false</v>
      </c>
      <c r="U36" s="1361"/>
      <c r="V36" s="1361"/>
      <c r="W36" s="1361"/>
      <c r="X36" s="1586"/>
      <c r="Y36" s="1361"/>
      <c r="Z36" s="1587"/>
      <c r="AA36" s="1361"/>
      <c r="AB36" s="783" t="s">
        <v>1216</v>
      </c>
      <c r="AC36" s="784" t="s">
        <v>1582</v>
      </c>
      <c r="AD36" s="735" t="s">
        <v>789</v>
      </c>
      <c r="AE36" s="778">
        <f>_xlfn.SUMIFS(Покупка!AE$25:AE$87,Покупка!$F$25:$F$87,$F36,Покупка!$AC$25:$AC$87,$G36)</f>
        <v>0</v>
      </c>
      <c r="AF36" s="778">
        <f>_xlfn.SUMIFS(Покупка!AF$25:AF$87,Покупка!$F$25:$F$87,$F36,Покупка!$AC$25:$AC$87,$G36)</f>
        <v>0</v>
      </c>
      <c r="AG36" s="778">
        <f>_xlfn.SUMIFS(Покупка!AG$25:AG$87,Покупка!$F$25:$F$87,$F36,Покупка!$AC$25:$AC$87,$G36)</f>
        <v>0</v>
      </c>
      <c r="AH36" s="778">
        <f>AG36-AF36</f>
        <v>0</v>
      </c>
      <c r="AI36" s="778">
        <f>_xlfn.SUMIFS(Покупка!AH$25:AH$87,Покупка!$F$25:$F$87,$F36,Покупка!$AC$25:$AC$87,$G36)</f>
        <v>0</v>
      </c>
      <c r="AJ36" s="778">
        <f>_xlfn.SUMIFS(Покупка!AI$25:AI$87,Покупка!$F$25:$F$87,$F36,Покупка!$AC$25:$AC$87,$G36)</f>
        <v>0</v>
      </c>
      <c r="AK36" s="778">
        <f>_xlfn.SUMIFS(Покупка!AS$25:AS$87,Покупка!$F$25:$F$87,$F36,Покупка!$AC$25:$AC$87,$G36)</f>
        <v>0</v>
      </c>
      <c r="AL36" s="778">
        <f>IF(AI36=0,0,(AK36-AI36)/AI36*100)</f>
        <v>0</v>
      </c>
      <c r="AM36" s="3430"/>
      <c r="AN36" s="3431" t="str">
        <f>IF(_xlfn.IFERROR(INDEX(Покупка!$K$26:$L$87,MATCH($F36&amp;"7komm",Покупка!$K$26:$K$87,0),2),"")=0,"",_xlfn.IFERROR(INDEX(Покупка!$K$26:$L$87,MATCH($F36&amp;"7komm",Покупка!$K$26:$K$87,0),2),""))</f>
        <v/>
      </c>
      <c r="AO36" s="3430"/>
      <c r="AP36" s="1361"/>
      <c r="AQ36" s="1361"/>
      <c r="AR36" s="1039" t="s">
        <v>1026</v>
      </c>
      <c r="AS36" s="1039"/>
      <c r="AT36" s="1039"/>
      <c r="AU36" s="1036"/>
      <c r="AV36" s="1036"/>
    </row>
    <row customHeight="1" ht="14.625" hidden="1">
      <c r="A37" s="1361"/>
      <c r="B37" s="1361"/>
      <c r="C37" s="1361"/>
      <c r="D37" s="1361"/>
      <c r="E37" s="671">
        <v>15</v>
      </c>
      <c r="F37" s="50" cm="1" t="str">
        <f t="array" ref="F37:F37">OFFSET(E37,-1,1)</f>
        <v>0</v>
      </c>
      <c r="G37" s="728" t="s">
        <v>1029</v>
      </c>
      <c r="H37" s="1361"/>
      <c r="I37" s="562" t="s">
        <v>1374</v>
      </c>
      <c r="J37" s="562"/>
      <c r="K37" s="562"/>
      <c r="L37" s="562"/>
      <c r="M37" s="562"/>
      <c r="N37" s="562"/>
      <c r="O37" s="562"/>
      <c r="P37" s="562"/>
      <c r="Q37" s="562"/>
      <c r="R37" s="562"/>
      <c r="S37" s="562"/>
      <c r="T37" s="438" cm="1" t="str">
        <f t="array" ref="T37:T37">T36</f>
        <v>false</v>
      </c>
      <c r="U37" s="1361"/>
      <c r="V37" s="1361"/>
      <c r="W37" s="1361"/>
      <c r="X37" s="1586"/>
      <c r="Y37" s="1361"/>
      <c r="Z37" s="1587"/>
      <c r="AA37" s="1361"/>
      <c r="AB37" s="783" t="s">
        <v>1583</v>
      </c>
      <c r="AC37" s="784" t="s">
        <v>1584</v>
      </c>
      <c r="AD37" s="735" t="s">
        <v>789</v>
      </c>
      <c r="AE37" s="778">
        <f>_xlfn.SUMIFS(Покупка!AE$25:AE$87,Покупка!$F$25:$F$87,$F37,Покупка!$AC$25:$AC$87,$G37)</f>
        <v>0</v>
      </c>
      <c r="AF37" s="778">
        <f>_xlfn.SUMIFS(Покупка!AF$25:AF$87,Покупка!$F$25:$F$87,$F37,Покупка!$AC$25:$AC$87,$G37)</f>
        <v>0</v>
      </c>
      <c r="AG37" s="778">
        <f>_xlfn.SUMIFS(Покупка!AG$25:AG$87,Покупка!$F$25:$F$87,$F37,Покупка!$AC$25:$AC$87,$G37)</f>
        <v>0</v>
      </c>
      <c r="AH37" s="778">
        <f>AG37-AF37</f>
        <v>0</v>
      </c>
      <c r="AI37" s="778">
        <f>_xlfn.SUMIFS(Покупка!AH$25:AH$87,Покупка!$F$25:$F$87,$F37,Покупка!$AC$25:$AC$87,$G37)</f>
        <v>0</v>
      </c>
      <c r="AJ37" s="778">
        <f>_xlfn.SUMIFS(Покупка!AI$25:AI$87,Покупка!$F$25:$F$87,$F37,Покупка!$AC$25:$AC$87,$G37)</f>
        <v>0</v>
      </c>
      <c r="AK37" s="778">
        <f>_xlfn.SUMIFS(Покупка!AS$25:AS$87,Покупка!$F$25:$F$87,$F37,Покупка!$AC$25:$AC$87,$G37)</f>
        <v>0</v>
      </c>
      <c r="AL37" s="778">
        <f>IF(AI37=0,0,(AK37-AI37)/AI37*100)</f>
        <v>0</v>
      </c>
      <c r="AM37" s="3430"/>
      <c r="AN37" s="3431" t="str">
        <f>IF(_xlfn.IFERROR(INDEX(Покупка!$K$26:$L$87,MATCH($F37&amp;"9komm",Покупка!$K$26:$K$87,0),2),"")=0,"",_xlfn.IFERROR(INDEX(Покупка!$K$26:$L$87,MATCH($F37&amp;"9komm",Покупка!$K$26:$K$87,0),2),""))</f>
        <v/>
      </c>
      <c r="AO37" s="3430"/>
      <c r="AP37" s="1361"/>
      <c r="AQ37" s="1361"/>
      <c r="AR37" s="1039" t="s">
        <v>1030</v>
      </c>
      <c r="AS37" s="1039"/>
      <c r="AT37" s="1039"/>
      <c r="AU37" s="1036"/>
      <c r="AV37" s="1036"/>
    </row>
    <row customHeight="1" ht="14.625" hidden="1">
      <c r="A38" s="1361"/>
      <c r="B38" s="1361"/>
      <c r="C38" s="1361"/>
      <c r="D38" s="1361"/>
      <c r="E38" s="671">
        <v>15</v>
      </c>
      <c r="F38" s="50" cm="1" t="str">
        <f t="array" ref="F38:F38">OFFSET(E38,-1,1)</f>
        <v>0</v>
      </c>
      <c r="G38" s="552" t="s">
        <v>991</v>
      </c>
      <c r="H38" s="1361"/>
      <c r="I38" s="562" t="s">
        <v>1378</v>
      </c>
      <c r="J38" s="562"/>
      <c r="K38" s="562"/>
      <c r="L38" s="562"/>
      <c r="M38" s="562"/>
      <c r="N38" s="562"/>
      <c r="O38" s="562"/>
      <c r="P38" s="562"/>
      <c r="Q38" s="562"/>
      <c r="R38" s="562"/>
      <c r="S38" s="562"/>
      <c r="T38" s="438" cm="1" t="str">
        <f t="array" ref="T38:T38">T37</f>
        <v>false</v>
      </c>
      <c r="U38" s="1361"/>
      <c r="V38" s="1361"/>
      <c r="W38" s="1361"/>
      <c r="X38" s="1586"/>
      <c r="Y38" s="1361"/>
      <c r="Z38" s="1587"/>
      <c r="AA38" s="1361"/>
      <c r="AB38" s="783" t="s">
        <v>1585</v>
      </c>
      <c r="AC38" s="784" t="s">
        <v>1586</v>
      </c>
      <c r="AD38" s="735" t="s">
        <v>789</v>
      </c>
      <c r="AE38" s="778">
        <f>_xlfn.SUMIFS(Покупка!AE$25:AE$87,Покупка!$F$25:$F$87,$F38,Покупка!$AC$25:$AC$87,$G38)</f>
        <v>0</v>
      </c>
      <c r="AF38" s="778">
        <f>_xlfn.SUMIFS(Покупка!AF$25:AF$87,Покупка!$F$25:$F$87,$F38,Покупка!$AC$25:$AC$87,$G38)</f>
        <v>0</v>
      </c>
      <c r="AG38" s="778">
        <f>_xlfn.SUMIFS(Покупка!AG$25:AG$87,Покупка!$F$25:$F$87,$F38,Покупка!$AC$25:$AC$87,$G38)</f>
        <v>0</v>
      </c>
      <c r="AH38" s="778">
        <f>AG38-AF38</f>
        <v>0</v>
      </c>
      <c r="AI38" s="778">
        <f>_xlfn.SUMIFS(Покупка!AH$25:AH$87,Покупка!$F$25:$F$87,$F38,Покупка!$AC$25:$AC$87,$G38)</f>
        <v>0</v>
      </c>
      <c r="AJ38" s="778">
        <f>_xlfn.SUMIFS(Покупка!AI$25:AI$87,Покупка!$F$25:$F$87,$F38,Покупка!$AC$25:$AC$87,$G38)</f>
        <v>0</v>
      </c>
      <c r="AK38" s="778">
        <f>_xlfn.SUMIFS(Покупка!AS$25:AS$87,Покупка!$F$25:$F$87,$F38,Покупка!$AC$25:$AC$87,$G38)</f>
        <v>0</v>
      </c>
      <c r="AL38" s="778">
        <f>IF(AI38=0,0,(AK38-AI38)/AI38*100)</f>
        <v>0</v>
      </c>
      <c r="AM38" s="3430"/>
      <c r="AN38" s="3431" t="str">
        <f>IF(_xlfn.IFERROR(INDEX(Покупка!$K$26:$L$87,MATCH($F38&amp;"1komm",Покупка!$K$26:$K$87,0),2),"")=0,"",_xlfn.IFERROR(INDEX(Покупка!$K$26:$L$87,MATCH($F38&amp;"1komm",Покупка!$K$26:$K$87,0),2),""))</f>
        <v/>
      </c>
      <c r="AO38" s="3430"/>
      <c r="AP38" s="1361"/>
      <c r="AQ38" s="1361"/>
      <c r="AR38" s="1039" t="s">
        <v>1587</v>
      </c>
      <c r="AS38" s="1039"/>
      <c r="AT38" s="1039"/>
      <c r="AU38" s="1036"/>
      <c r="AV38" s="1036"/>
    </row>
    <row customHeight="1" ht="14.625" hidden="1">
      <c r="A39" s="1361"/>
      <c r="B39" s="1361"/>
      <c r="C39" s="1361"/>
      <c r="D39" s="1361"/>
      <c r="E39" s="671">
        <v>15</v>
      </c>
      <c r="F39" s="50" cm="1" t="str">
        <f t="array" ref="F39:F39">OFFSET(E39,-1,1)</f>
        <v>0</v>
      </c>
      <c r="G39" s="552" t="s">
        <v>1000</v>
      </c>
      <c r="H39" s="1361"/>
      <c r="I39" s="562" t="s">
        <v>1383</v>
      </c>
      <c r="J39" s="562"/>
      <c r="K39" s="562"/>
      <c r="L39" s="562"/>
      <c r="M39" s="562"/>
      <c r="N39" s="562"/>
      <c r="O39" s="562"/>
      <c r="P39" s="562"/>
      <c r="Q39" s="562"/>
      <c r="R39" s="562"/>
      <c r="S39" s="562"/>
      <c r="T39" s="438" cm="1" t="str">
        <f t="array" ref="T39:T39">T38</f>
        <v>false</v>
      </c>
      <c r="U39" s="1361"/>
      <c r="V39" s="1361"/>
      <c r="W39" s="1361"/>
      <c r="X39" s="1586"/>
      <c r="Y39" s="1361"/>
      <c r="Z39" s="1587"/>
      <c r="AA39" s="1361"/>
      <c r="AB39" s="783" t="s">
        <v>1588</v>
      </c>
      <c r="AC39" s="784" t="s">
        <v>1589</v>
      </c>
      <c r="AD39" s="735" t="s">
        <v>789</v>
      </c>
      <c r="AE39" s="778">
        <f>_xlfn.SUMIFS(Покупка!AE$25:AE$87,Покупка!$F$25:$F$87,$F39,Покупка!$AC$25:$AC$87,$G39)</f>
        <v>0</v>
      </c>
      <c r="AF39" s="778">
        <f>_xlfn.SUMIFS(Покупка!AF$25:AF$87,Покупка!$F$25:$F$87,$F39,Покупка!$AC$25:$AC$87,$G39)</f>
        <v>0</v>
      </c>
      <c r="AG39" s="778">
        <f>_xlfn.SUMIFS(Покупка!AG$25:AG$87,Покупка!$F$25:$F$87,$F39,Покупка!$AC$25:$AC$87,$G39)</f>
        <v>0</v>
      </c>
      <c r="AH39" s="778">
        <f>AG39-AF39</f>
        <v>0</v>
      </c>
      <c r="AI39" s="778">
        <f>_xlfn.SUMIFS(Покупка!AH$25:AH$87,Покупка!$F$25:$F$87,$F39,Покупка!$AC$25:$AC$87,$G39)</f>
        <v>0</v>
      </c>
      <c r="AJ39" s="778">
        <f>_xlfn.SUMIFS(Покупка!AI$25:AI$87,Покупка!$F$25:$F$87,$F39,Покупка!$AC$25:$AC$87,$G39)</f>
        <v>0</v>
      </c>
      <c r="AK39" s="778">
        <f>_xlfn.SUMIFS(Покупка!AS$25:AS$87,Покупка!$F$25:$F$87,$F39,Покупка!$AC$25:$AC$87,$G39)</f>
        <v>0</v>
      </c>
      <c r="AL39" s="778">
        <f>IF(AI39=0,0,(AK39-AI39)/AI39*100)</f>
        <v>0</v>
      </c>
      <c r="AM39" s="3430"/>
      <c r="AN39" s="3431" t="str">
        <f>IF(_xlfn.IFERROR(INDEX(Покупка!$K$26:$L$87,MATCH($F39&amp;"2komm",Покупка!$K$26:$K$87,0),2),"")=0,"",_xlfn.IFERROR(INDEX(Покупка!$K$26:$L$87,MATCH($F39&amp;"2komm",Покупка!$K$26:$K$87,0),2),""))</f>
        <v/>
      </c>
      <c r="AO39" s="3430"/>
      <c r="AP39" s="1361"/>
      <c r="AQ39" s="1361"/>
      <c r="AR39" s="1039" t="s">
        <v>1590</v>
      </c>
      <c r="AS39" s="1039"/>
      <c r="AT39" s="1039"/>
      <c r="AU39" s="1036"/>
      <c r="AV39" s="1036"/>
    </row>
    <row customHeight="1" ht="14.625" hidden="1">
      <c r="A40" s="1361"/>
      <c r="B40" s="1361"/>
      <c r="C40" s="1361"/>
      <c r="D40" s="1361"/>
      <c r="E40" s="671">
        <v>15</v>
      </c>
      <c r="F40" s="50" cm="1" t="str">
        <f t="array" ref="F40:F40">OFFSET(E40,-1,1)</f>
        <v>0</v>
      </c>
      <c r="G40" s="552" t="s">
        <v>1005</v>
      </c>
      <c r="H40" s="1361"/>
      <c r="I40" s="562" t="s">
        <v>1392</v>
      </c>
      <c r="J40" s="562"/>
      <c r="K40" s="562"/>
      <c r="L40" s="562"/>
      <c r="M40" s="562"/>
      <c r="N40" s="562"/>
      <c r="O40" s="562"/>
      <c r="P40" s="562"/>
      <c r="Q40" s="562"/>
      <c r="R40" s="562"/>
      <c r="S40" s="562"/>
      <c r="T40" s="438" cm="1" t="str">
        <f t="array" ref="T40:T40">T39</f>
        <v>false</v>
      </c>
      <c r="U40" s="1361"/>
      <c r="V40" s="1361"/>
      <c r="W40" s="1361"/>
      <c r="X40" s="1586"/>
      <c r="Y40" s="1361"/>
      <c r="Z40" s="1587"/>
      <c r="AA40" s="1361"/>
      <c r="AB40" s="783" t="s">
        <v>1591</v>
      </c>
      <c r="AC40" s="784" t="s">
        <v>1592</v>
      </c>
      <c r="AD40" s="735" t="s">
        <v>789</v>
      </c>
      <c r="AE40" s="778">
        <f>_xlfn.SUMIFS(Покупка!AE$25:AE$87,Покупка!$F$25:$F$87,$F40,Покупка!$AC$25:$AC$87,$G40)</f>
        <v>0</v>
      </c>
      <c r="AF40" s="778">
        <f>_xlfn.SUMIFS(Покупка!AF$25:AF$87,Покупка!$F$25:$F$87,$F40,Покупка!$AC$25:$AC$87,$G40)</f>
        <v>0</v>
      </c>
      <c r="AG40" s="778">
        <f>_xlfn.SUMIFS(Покупка!AG$25:AG$87,Покупка!$F$25:$F$87,$F40,Покупка!$AC$25:$AC$87,$G40)</f>
        <v>0</v>
      </c>
      <c r="AH40" s="778">
        <f>AG40-AF40</f>
        <v>0</v>
      </c>
      <c r="AI40" s="778">
        <f>_xlfn.SUMIFS(Покупка!AH$25:AH$87,Покупка!$F$25:$F$87,$F40,Покупка!$AC$25:$AC$87,$G40)</f>
        <v>0</v>
      </c>
      <c r="AJ40" s="778">
        <f>_xlfn.SUMIFS(Покупка!AI$25:AI$87,Покупка!$F$25:$F$87,$F40,Покупка!$AC$25:$AC$87,$G40)</f>
        <v>0</v>
      </c>
      <c r="AK40" s="778">
        <f>_xlfn.SUMIFS(Покупка!AS$25:AS$87,Покупка!$F$25:$F$87,$F40,Покупка!$AC$25:$AC$87,$G40)</f>
        <v>0</v>
      </c>
      <c r="AL40" s="778">
        <f>IF(AI40=0,0,(AK40-AI40)/AI40*100)</f>
        <v>0</v>
      </c>
      <c r="AM40" s="3430"/>
      <c r="AN40" s="3431" t="str">
        <f>IF(_xlfn.IFERROR(INDEX(Покупка!$K$26:$L$87,MATCH($F40&amp;"3komm",Покупка!$K$26:$K$87,0),2),"")=0,"",_xlfn.IFERROR(INDEX(Покупка!$K$26:$L$87,MATCH($F40&amp;"3komm",Покупка!$K$26:$K$87,0),2),""))</f>
        <v/>
      </c>
      <c r="AO40" s="3430"/>
      <c r="AP40" s="1361"/>
      <c r="AQ40" s="1361"/>
      <c r="AR40" s="1039" t="s">
        <v>1593</v>
      </c>
      <c r="AS40" s="1039"/>
      <c r="AT40" s="1039"/>
      <c r="AU40" s="1036"/>
      <c r="AV40" s="1036"/>
    </row>
    <row customHeight="1" ht="14.625" hidden="1">
      <c r="A41" s="1361"/>
      <c r="B41" s="1361"/>
      <c r="C41" s="1361"/>
      <c r="D41" s="1361"/>
      <c r="E41" s="671">
        <v>15</v>
      </c>
      <c r="F41" s="50" cm="1" t="str">
        <f t="array" ref="F41:F41">OFFSET(E41,-1,1)</f>
        <v>0</v>
      </c>
      <c r="G41" s="552" t="s">
        <v>1011</v>
      </c>
      <c r="H41" s="1361"/>
      <c r="I41" s="562" t="s">
        <v>1397</v>
      </c>
      <c r="J41" s="562"/>
      <c r="K41" s="562"/>
      <c r="L41" s="562"/>
      <c r="M41" s="562"/>
      <c r="N41" s="562"/>
      <c r="O41" s="562"/>
      <c r="P41" s="562"/>
      <c r="Q41" s="562"/>
      <c r="R41" s="562"/>
      <c r="S41" s="562"/>
      <c r="T41" s="438" cm="1" t="str">
        <f t="array" ref="T41:T41">T40</f>
        <v>false</v>
      </c>
      <c r="U41" s="1361"/>
      <c r="V41" s="1361"/>
      <c r="W41" s="1361"/>
      <c r="X41" s="1586"/>
      <c r="Y41" s="1361"/>
      <c r="Z41" s="1587"/>
      <c r="AA41" s="1361"/>
      <c r="AB41" s="783" t="s">
        <v>1594</v>
      </c>
      <c r="AC41" s="784" t="s">
        <v>1595</v>
      </c>
      <c r="AD41" s="735" t="s">
        <v>789</v>
      </c>
      <c r="AE41" s="778">
        <f>_xlfn.SUMIFS(Покупка!AE$25:AE$87,Покупка!$F$25:$F$87,$F41,Покупка!$AC$25:$AC$87,$G41)</f>
        <v>0</v>
      </c>
      <c r="AF41" s="778">
        <f>_xlfn.SUMIFS(Покупка!AF$25:AF$87,Покупка!$F$25:$F$87,$F41,Покупка!$AC$25:$AC$87,$G41)</f>
        <v>0</v>
      </c>
      <c r="AG41" s="778">
        <f>_xlfn.SUMIFS(Покупка!AG$25:AG$87,Покупка!$F$25:$F$87,$F41,Покупка!$AC$25:$AC$87,$G41)</f>
        <v>0</v>
      </c>
      <c r="AH41" s="778">
        <f>AG41-AF41</f>
        <v>0</v>
      </c>
      <c r="AI41" s="778">
        <f>_xlfn.SUMIFS(Покупка!AH$25:AH$87,Покупка!$F$25:$F$87,$F41,Покупка!$AC$25:$AC$87,$G41)</f>
        <v>0</v>
      </c>
      <c r="AJ41" s="778">
        <f>_xlfn.SUMIFS(Покупка!AI$25:AI$87,Покупка!$F$25:$F$87,$F41,Покупка!$AC$25:$AC$87,$G41)</f>
        <v>0</v>
      </c>
      <c r="AK41" s="778">
        <f>_xlfn.SUMIFS(Покупка!AS$25:AS$87,Покупка!$F$25:$F$87,$F41,Покупка!$AC$25:$AC$87,$G41)</f>
        <v>0</v>
      </c>
      <c r="AL41" s="778">
        <f>IF(AI41=0,0,(AK41-AI41)/AI41*100)</f>
        <v>0</v>
      </c>
      <c r="AM41" s="3430"/>
      <c r="AN41" s="3431" t="str">
        <f>IF(_xlfn.IFERROR(INDEX(Покупка!$K$26:$L$87,MATCH($F41&amp;"4komm",Покупка!$K$26:$K$87,0),2),"")=0,"",_xlfn.IFERROR(INDEX(Покупка!$K$26:$L$87,MATCH($F41&amp;"4komm",Покупка!$K$26:$K$87,0),2),""))</f>
        <v/>
      </c>
      <c r="AO41" s="3430"/>
      <c r="AP41" s="1361"/>
      <c r="AQ41" s="1361"/>
      <c r="AR41" s="1039" t="s">
        <v>1596</v>
      </c>
      <c r="AS41" s="1039"/>
      <c r="AT41" s="1039"/>
      <c r="AU41" s="1036"/>
      <c r="AV41" s="1036"/>
    </row>
    <row customHeight="1" ht="14.625" hidden="1">
      <c r="A42" s="1361"/>
      <c r="B42" s="1361"/>
      <c r="C42" s="1361"/>
      <c r="D42" s="1361"/>
      <c r="E42" s="671">
        <v>15</v>
      </c>
      <c r="F42" s="50" cm="1" t="str">
        <f t="array" ref="F42:F42">OFFSET(E42,-1,1)</f>
        <v>0</v>
      </c>
      <c r="G42" s="552" t="s">
        <v>1017</v>
      </c>
      <c r="H42" s="1361"/>
      <c r="I42" s="562" t="s">
        <v>1407</v>
      </c>
      <c r="J42" s="562"/>
      <c r="K42" s="562"/>
      <c r="L42" s="562"/>
      <c r="M42" s="562"/>
      <c r="N42" s="562"/>
      <c r="O42" s="562"/>
      <c r="P42" s="562"/>
      <c r="Q42" s="562"/>
      <c r="R42" s="562"/>
      <c r="S42" s="562"/>
      <c r="T42" s="438" cm="1" t="str">
        <f t="array" ref="T42:T42">T41</f>
        <v>false</v>
      </c>
      <c r="U42" s="1361"/>
      <c r="V42" s="1361"/>
      <c r="W42" s="1361"/>
      <c r="X42" s="1586"/>
      <c r="Y42" s="1361"/>
      <c r="Z42" s="1587"/>
      <c r="AA42" s="1361"/>
      <c r="AB42" s="783" t="s">
        <v>1597</v>
      </c>
      <c r="AC42" s="784" t="s">
        <v>1598</v>
      </c>
      <c r="AD42" s="735" t="s">
        <v>789</v>
      </c>
      <c r="AE42" s="778">
        <f>_xlfn.SUMIFS(Покупка!AE$25:AE$87,Покупка!$F$25:$F$87,$F42,Покупка!$AC$25:$AC$87,$G42)</f>
        <v>0</v>
      </c>
      <c r="AF42" s="778">
        <f>_xlfn.SUMIFS(Покупка!AF$25:AF$87,Покупка!$F$25:$F$87,$F42,Покупка!$AC$25:$AC$87,$G42)</f>
        <v>0</v>
      </c>
      <c r="AG42" s="778">
        <f>_xlfn.SUMIFS(Покупка!AG$25:AG$87,Покупка!$F$25:$F$87,$F42,Покупка!$AC$25:$AC$87,$G42)</f>
        <v>0</v>
      </c>
      <c r="AH42" s="778">
        <f>AG42-AF42</f>
        <v>0</v>
      </c>
      <c r="AI42" s="778">
        <f>_xlfn.SUMIFS(Покупка!AH$25:AH$87,Покупка!$F$25:$F$87,$F42,Покупка!$AC$25:$AC$87,$G42)</f>
        <v>0</v>
      </c>
      <c r="AJ42" s="778">
        <f>_xlfn.SUMIFS(Покупка!AI$25:AI$87,Покупка!$F$25:$F$87,$F42,Покупка!$AC$25:$AC$87,$G42)</f>
        <v>0</v>
      </c>
      <c r="AK42" s="778">
        <f>_xlfn.SUMIFS(Покупка!AS$25:AS$87,Покупка!$F$25:$F$87,$F42,Покупка!$AC$25:$AC$87,$G42)</f>
        <v>0</v>
      </c>
      <c r="AL42" s="778">
        <f>IF(AI42=0,0,(AK42-AI42)/AI42*100)</f>
        <v>0</v>
      </c>
      <c r="AM42" s="3430"/>
      <c r="AN42" s="3431" t="str">
        <f>IF(_xlfn.IFERROR(INDEX(Покупка!$K$26:$L$87,MATCH($F42&amp;"5komm",Покупка!$K$26:$K$87,0),2),"")=0,"",_xlfn.IFERROR(INDEX(Покупка!$K$26:$L$87,MATCH($F42&amp;"5komm",Покупка!$K$26:$K$87,0),2),""))</f>
        <v/>
      </c>
      <c r="AO42" s="3430"/>
      <c r="AP42" s="1361"/>
      <c r="AQ42" s="1361"/>
      <c r="AR42" s="1039" t="s">
        <v>1599</v>
      </c>
      <c r="AS42" s="1039"/>
      <c r="AT42" s="1039"/>
      <c r="AU42" s="1036"/>
      <c r="AV42" s="1036"/>
    </row>
    <row s="563" customFormat="1" customHeight="1" ht="43.875" hidden="1">
      <c r="A43" s="563"/>
      <c r="B43" s="563"/>
      <c r="C43" s="563"/>
      <c r="D43" s="563"/>
      <c r="E43" s="673">
        <v>45</v>
      </c>
      <c r="F43" s="50" cm="1" t="str">
        <f t="array" ref="F43:F43">OFFSET(E43,-1,1)</f>
        <v>0</v>
      </c>
      <c r="G43" s="563"/>
      <c r="H43" s="563"/>
      <c r="I43" s="674" t="s">
        <v>441</v>
      </c>
      <c r="J43" s="674"/>
      <c r="K43" s="674"/>
      <c r="L43" s="674"/>
      <c r="M43" s="674"/>
      <c r="N43" s="674"/>
      <c r="O43" s="674"/>
      <c r="P43" s="674"/>
      <c r="Q43" s="674"/>
      <c r="R43" s="674"/>
      <c r="S43" s="674"/>
      <c r="T43" s="438" cm="1" t="str">
        <f t="array" ref="T43:T43">T42</f>
        <v>false</v>
      </c>
      <c r="U43" s="563"/>
      <c r="V43" s="563"/>
      <c r="W43" s="563"/>
      <c r="X43" s="1586"/>
      <c r="Y43" s="563"/>
      <c r="Z43" s="1587"/>
      <c r="AA43" s="563"/>
      <c r="AB43" s="780" t="s">
        <v>850</v>
      </c>
      <c r="AC43" s="781" t="s">
        <v>1600</v>
      </c>
      <c r="AD43" s="565" t="s">
        <v>789</v>
      </c>
      <c r="AE43" s="786"/>
      <c r="AF43" s="786"/>
      <c r="AG43" s="786"/>
      <c r="AH43" s="777">
        <f>AG43-AF43</f>
        <v>0</v>
      </c>
      <c r="AI43" s="786"/>
      <c r="AJ43" s="3447"/>
      <c r="AK43" s="3447"/>
      <c r="AL43" s="777">
        <f>IF(AI43=0,0,(AK43-AI43)/AI43*100)</f>
        <v>0</v>
      </c>
      <c r="AM43" s="3438"/>
      <c r="AN43" s="3438"/>
      <c r="AO43" s="3438"/>
      <c r="AP43" s="563"/>
      <c r="AQ43" s="563"/>
      <c r="AR43" s="1040" t="s">
        <v>1601</v>
      </c>
      <c r="AS43" s="1040"/>
      <c r="AT43" s="1040"/>
      <c r="AU43" s="673"/>
      <c r="AV43" s="673"/>
    </row>
    <row s="563" customFormat="1" customHeight="1" ht="43.875" hidden="1">
      <c r="A44" s="563"/>
      <c r="B44" s="563"/>
      <c r="C44" s="563"/>
      <c r="D44" s="563"/>
      <c r="E44" s="673">
        <v>45</v>
      </c>
      <c r="F44" s="50" cm="1" t="str">
        <f t="array" ref="F44:F44">OFFSET(E44,-1,1)</f>
        <v>0</v>
      </c>
      <c r="G44" s="563"/>
      <c r="H44" s="563"/>
      <c r="I44" s="674" t="s">
        <v>445</v>
      </c>
      <c r="J44" s="674"/>
      <c r="K44" s="674"/>
      <c r="L44" s="674"/>
      <c r="M44" s="674"/>
      <c r="N44" s="674"/>
      <c r="O44" s="674"/>
      <c r="P44" s="674"/>
      <c r="Q44" s="674"/>
      <c r="R44" s="674"/>
      <c r="S44" s="674"/>
      <c r="T44" s="438" cm="1" t="str">
        <f t="array" ref="T44:T44">T43</f>
        <v>false</v>
      </c>
      <c r="U44" s="563"/>
      <c r="V44" s="563"/>
      <c r="W44" s="563"/>
      <c r="X44" s="1586"/>
      <c r="Y44" s="563"/>
      <c r="Z44" s="1587"/>
      <c r="AA44" s="563"/>
      <c r="AB44" s="780" t="s">
        <v>853</v>
      </c>
      <c r="AC44" s="781" t="s">
        <v>1602</v>
      </c>
      <c r="AD44" s="565" t="s">
        <v>789</v>
      </c>
      <c r="AE44" s="777">
        <f>AE45+AE46</f>
        <v>0</v>
      </c>
      <c r="AF44" s="777">
        <f>AF45+AF46</f>
        <v>0</v>
      </c>
      <c r="AG44" s="777">
        <f>AG45+AG46</f>
        <v>0</v>
      </c>
      <c r="AH44" s="777">
        <f>AG44-AF44</f>
        <v>0</v>
      </c>
      <c r="AI44" s="777">
        <f>AI45+AI46</f>
        <v>0</v>
      </c>
      <c r="AJ44" s="777">
        <f>AJ45+AJ46</f>
        <v>0</v>
      </c>
      <c r="AK44" s="777">
        <f>AK45+AK46</f>
        <v>0</v>
      </c>
      <c r="AL44" s="777">
        <f>IF(AI44=0,0,(AK44-AI44)/AI44*100)</f>
        <v>0</v>
      </c>
      <c r="AM44" s="3438"/>
      <c r="AN44" s="3438"/>
      <c r="AO44" s="3438"/>
      <c r="AP44" s="563"/>
      <c r="AQ44" s="563"/>
      <c r="AR44" s="1040" t="s">
        <v>1603</v>
      </c>
      <c r="AS44" s="1040"/>
      <c r="AT44" s="1040"/>
      <c r="AU44" s="673"/>
      <c r="AV44" s="673"/>
    </row>
    <row customHeight="1" ht="14.625" hidden="1">
      <c r="A45" s="1361"/>
      <c r="B45" s="1361"/>
      <c r="C45" s="1361"/>
      <c r="D45" s="1361"/>
      <c r="E45" s="671">
        <v>15</v>
      </c>
      <c r="F45" s="50" cm="1" t="str">
        <f t="array" ref="F45:F45">OFFSET(E45,-1,1)</f>
        <v>0</v>
      </c>
      <c r="G45" s="675" t="s">
        <v>1033</v>
      </c>
      <c r="H45" s="1361"/>
      <c r="I45" s="562" t="s">
        <v>1235</v>
      </c>
      <c r="J45" s="562"/>
      <c r="K45" s="562"/>
      <c r="L45" s="562"/>
      <c r="M45" s="562"/>
      <c r="N45" s="562"/>
      <c r="O45" s="562"/>
      <c r="P45" s="674"/>
      <c r="Q45" s="562"/>
      <c r="R45" s="562"/>
      <c r="S45" s="562"/>
      <c r="T45" s="438" cm="1" t="str">
        <f t="array" ref="T45:T45">T44</f>
        <v>false</v>
      </c>
      <c r="U45" s="1361"/>
      <c r="V45" s="1361"/>
      <c r="W45" s="1361"/>
      <c r="X45" s="1586"/>
      <c r="Y45" s="1361"/>
      <c r="Z45" s="1587"/>
      <c r="AA45" s="1361"/>
      <c r="AB45" s="783" t="s">
        <v>964</v>
      </c>
      <c r="AC45" s="784" t="s">
        <v>1604</v>
      </c>
      <c r="AD45" s="735" t="s">
        <v>789</v>
      </c>
      <c r="AE45" s="778">
        <f>_xlfn.SUMIFS(ФОТ!AE$25:AE$77,ФОТ!$F$25:$F$77,$F45,ФОТ!$G$25:$G$77,$G45)</f>
        <v>0</v>
      </c>
      <c r="AF45" s="778">
        <f>_xlfn.SUMIFS(ФОТ!AF$25:AF$77,ФОТ!$F$25:$F$77,$F45,ФОТ!$G$25:$G$77,$G45)</f>
        <v>0</v>
      </c>
      <c r="AG45" s="778">
        <f>_xlfn.SUMIFS(ФОТ!AG$25:AG$77,ФОТ!$F$25:$F$77,$F45,ФОТ!$G$25:$G$77,$G45)</f>
        <v>0</v>
      </c>
      <c r="AH45" s="778">
        <f>AG45-AF45</f>
        <v>0</v>
      </c>
      <c r="AI45" s="778">
        <f>_xlfn.SUMIFS(ФОТ!AH$25:AH$77,ФОТ!$F$25:$F$77,$F45,ФОТ!$G$25:$G$77,$G45)</f>
        <v>0</v>
      </c>
      <c r="AJ45" s="778">
        <f>_xlfn.SUMIFS(ФОТ!AI$25:AI$77,ФОТ!$F$25:$F$77,$F45,ФОТ!$G$25:$G$77,$G45)</f>
        <v>0</v>
      </c>
      <c r="AK45" s="778">
        <f>_xlfn.SUMIFS(ФОТ!AJ$25:AJ$77,ФОТ!$F$25:$F$77,$F45,ФОТ!$G$25:$G$77,$G45)</f>
        <v>0</v>
      </c>
      <c r="AL45" s="778">
        <f>IF(AI45=0,0,(AK45-AI45)/AI45*100)</f>
        <v>0</v>
      </c>
      <c r="AM45" s="3430"/>
      <c r="AN45" s="3431" t="str">
        <f>IF(_xlfn.IFERROR(INDEX(ФОТ!$K$26:$L$77,MATCH($F45&amp;"1komm",ФОТ!$K$26:$K$77,0),2),"")=0,"",_xlfn.IFERROR(INDEX(ФОТ!$K$26:$L$77,MATCH($F45&amp;"1komm",ФОТ!$K$26:$K$77,0),2),""))</f>
        <v/>
      </c>
      <c r="AO45" s="3430"/>
      <c r="AP45" s="1361"/>
      <c r="AQ45" s="1361"/>
      <c r="AR45" s="1039" t="s">
        <v>1605</v>
      </c>
      <c r="AS45" s="1039"/>
      <c r="AT45" s="1039"/>
      <c r="AU45" s="1036"/>
      <c r="AV45" s="1036"/>
    </row>
    <row customHeight="1" ht="21.9375" hidden="1">
      <c r="A46" s="1361"/>
      <c r="B46" s="1361"/>
      <c r="C46" s="1361"/>
      <c r="D46" s="1361"/>
      <c r="E46" s="671">
        <v>22.5</v>
      </c>
      <c r="F46" s="50" cm="1" t="str">
        <f t="array" ref="F46:F46">OFFSET(E46,-1,1)</f>
        <v>0</v>
      </c>
      <c r="G46" s="675" t="s">
        <v>1045</v>
      </c>
      <c r="H46" s="1361"/>
      <c r="I46" s="562" t="s">
        <v>1236</v>
      </c>
      <c r="J46" s="562"/>
      <c r="K46" s="562"/>
      <c r="L46" s="562"/>
      <c r="M46" s="562"/>
      <c r="N46" s="562"/>
      <c r="O46" s="562"/>
      <c r="P46" s="674"/>
      <c r="Q46" s="562"/>
      <c r="R46" s="562"/>
      <c r="S46" s="562"/>
      <c r="T46" s="438" cm="1" t="str">
        <f t="array" ref="T46:T46">T45</f>
        <v>false</v>
      </c>
      <c r="U46" s="1361"/>
      <c r="V46" s="1361"/>
      <c r="W46" s="1361"/>
      <c r="X46" s="1586"/>
      <c r="Y46" s="1361"/>
      <c r="Z46" s="1587"/>
      <c r="AA46" s="1361"/>
      <c r="AB46" s="783" t="s">
        <v>967</v>
      </c>
      <c r="AC46" s="784" t="s">
        <v>1606</v>
      </c>
      <c r="AD46" s="735" t="s">
        <v>789</v>
      </c>
      <c r="AE46" s="778">
        <f>_xlfn.SUMIFS(ФОТ!AE$25:AE$77,ФОТ!$F$25:$F$77,$F46,ФОТ!$G$25:$G$77,$G46)</f>
        <v>0</v>
      </c>
      <c r="AF46" s="778">
        <f>_xlfn.SUMIFS(ФОТ!AF$25:AF$77,ФОТ!$F$25:$F$77,$F46,ФОТ!$G$25:$G$77,$G46)</f>
        <v>0</v>
      </c>
      <c r="AG46" s="778">
        <f>_xlfn.SUMIFS(ФОТ!AG$25:AG$77,ФОТ!$F$25:$F$77,$F46,ФОТ!$G$25:$G$77,$G46)</f>
        <v>0</v>
      </c>
      <c r="AH46" s="778">
        <f>AG46-AF46</f>
        <v>0</v>
      </c>
      <c r="AI46" s="778">
        <f>_xlfn.SUMIFS(ФОТ!AH$25:AH$77,ФОТ!$F$25:$F$77,$F46,ФОТ!$G$25:$G$77,$G46)</f>
        <v>0</v>
      </c>
      <c r="AJ46" s="778">
        <f>_xlfn.SUMIFS(ФОТ!AI$25:AI$77,ФОТ!$F$25:$F$77,$F46,ФОТ!$G$25:$G$77,$G46)</f>
        <v>0</v>
      </c>
      <c r="AK46" s="778">
        <f>_xlfn.SUMIFS(ФОТ!AJ$25:AJ$77,ФОТ!$F$25:$F$77,$F46,ФОТ!$G$25:$G$77,$G46)</f>
        <v>0</v>
      </c>
      <c r="AL46" s="778">
        <f>IF(AI46=0,0,(AK46-AI46)/AI46*100)</f>
        <v>0</v>
      </c>
      <c r="AM46" s="3430"/>
      <c r="AN46" s="3431" t="str">
        <f>IF(_xlfn.IFERROR(INDEX(ФОТ!$K$26:$L$77,MATCH($F46&amp;"2komm",ФОТ!$K$26:$K$77,0),2),"")=0,"",_xlfn.IFERROR(INDEX(ФОТ!$K$26:$L$77,MATCH($F46&amp;"2komm",ФОТ!$K$26:$K$77,0),2),""))</f>
        <v/>
      </c>
      <c r="AO46" s="3430"/>
      <c r="AP46" s="1361"/>
      <c r="AQ46" s="1361"/>
      <c r="AR46" s="1039" t="s">
        <v>1607</v>
      </c>
      <c r="AS46" s="1039"/>
      <c r="AT46" s="1039"/>
      <c r="AU46" s="1036"/>
      <c r="AV46" s="1036"/>
    </row>
    <row s="563" customFormat="1" customHeight="1" ht="14.625" hidden="1">
      <c r="A47" s="563"/>
      <c r="B47" s="563"/>
      <c r="C47" s="563"/>
      <c r="D47" s="563"/>
      <c r="E47" s="673">
        <v>15</v>
      </c>
      <c r="F47" s="50" cm="1" t="str">
        <f t="array" ref="F47:F47">OFFSET(E47,-1,1)</f>
        <v>0</v>
      </c>
      <c r="G47" s="563"/>
      <c r="H47" s="563"/>
      <c r="I47" s="674" t="s">
        <v>856</v>
      </c>
      <c r="J47" s="674"/>
      <c r="K47" s="674"/>
      <c r="L47" s="674"/>
      <c r="M47" s="674"/>
      <c r="N47" s="674"/>
      <c r="O47" s="674"/>
      <c r="P47" s="674"/>
      <c r="Q47" s="674"/>
      <c r="R47" s="674"/>
      <c r="S47" s="674"/>
      <c r="T47" s="438" cm="1" t="str">
        <f t="array" ref="T47:T47">T46</f>
        <v>false</v>
      </c>
      <c r="U47" s="563"/>
      <c r="V47" s="563"/>
      <c r="W47" s="563"/>
      <c r="X47" s="1586"/>
      <c r="Y47" s="563"/>
      <c r="Z47" s="1587"/>
      <c r="AA47" s="563"/>
      <c r="AB47" s="780" t="s">
        <v>857</v>
      </c>
      <c r="AC47" s="781" t="s">
        <v>1608</v>
      </c>
      <c r="AD47" s="565" t="s">
        <v>789</v>
      </c>
      <c r="AE47" s="786"/>
      <c r="AF47" s="786"/>
      <c r="AG47" s="786"/>
      <c r="AH47" s="777">
        <f>AG47-AF47</f>
        <v>0</v>
      </c>
      <c r="AI47" s="786"/>
      <c r="AJ47" s="3447"/>
      <c r="AK47" s="3447"/>
      <c r="AL47" s="777">
        <f>IF(AI47=0,0,(AK47-AI47)/AI47*100)</f>
        <v>0</v>
      </c>
      <c r="AM47" s="3438"/>
      <c r="AN47" s="3438"/>
      <c r="AO47" s="3438"/>
      <c r="AP47" s="563"/>
      <c r="AQ47" s="563"/>
      <c r="AR47" s="1040" t="s">
        <v>1214</v>
      </c>
      <c r="AS47" s="1040"/>
      <c r="AT47" s="1040"/>
      <c r="AU47" s="673"/>
      <c r="AV47" s="673"/>
    </row>
    <row s="563" customFormat="1" customHeight="1" ht="14.625" hidden="1">
      <c r="A48" s="563"/>
      <c r="B48" s="563"/>
      <c r="C48" s="563"/>
      <c r="D48" s="563"/>
      <c r="E48" s="673">
        <v>15</v>
      </c>
      <c r="F48" s="50" cm="1" t="str">
        <f t="array" ref="F48:F48">OFFSET(E48,-1,1)</f>
        <v>0</v>
      </c>
      <c r="G48" s="563"/>
      <c r="H48" s="563"/>
      <c r="I48" s="674" t="s">
        <v>1609</v>
      </c>
      <c r="J48" s="674"/>
      <c r="K48" s="674"/>
      <c r="L48" s="674"/>
      <c r="M48" s="674"/>
      <c r="N48" s="674"/>
      <c r="O48" s="674"/>
      <c r="P48" s="674"/>
      <c r="Q48" s="674"/>
      <c r="R48" s="674"/>
      <c r="S48" s="674"/>
      <c r="T48" s="438" cm="1" t="str">
        <f t="array" ref="T48:T48">T47</f>
        <v>false</v>
      </c>
      <c r="U48" s="563"/>
      <c r="V48" s="563"/>
      <c r="W48" s="563"/>
      <c r="X48" s="1586"/>
      <c r="Y48" s="563"/>
      <c r="Z48" s="1587"/>
      <c r="AA48" s="563"/>
      <c r="AB48" s="780" t="s">
        <v>1610</v>
      </c>
      <c r="AC48" s="781" t="s">
        <v>1611</v>
      </c>
      <c r="AD48" s="565" t="s">
        <v>789</v>
      </c>
      <c r="AE48" s="786"/>
      <c r="AF48" s="786"/>
      <c r="AG48" s="786"/>
      <c r="AH48" s="777">
        <f>AG48-AF48</f>
        <v>0</v>
      </c>
      <c r="AI48" s="786"/>
      <c r="AJ48" s="3447"/>
      <c r="AK48" s="3447"/>
      <c r="AL48" s="777">
        <f>IF(AI48=0,0,(AK48-AI48)/AI48*100)</f>
        <v>0</v>
      </c>
      <c r="AM48" s="3438"/>
      <c r="AN48" s="3438"/>
      <c r="AO48" s="3438"/>
      <c r="AP48" s="563"/>
      <c r="AQ48" s="563"/>
      <c r="AR48" s="1040" t="s">
        <v>1612</v>
      </c>
      <c r="AS48" s="1040"/>
      <c r="AT48" s="1040"/>
      <c r="AU48" s="673"/>
      <c r="AV48" s="673"/>
    </row>
    <row s="563" customFormat="1" customHeight="1" ht="14.625" hidden="1">
      <c r="A49" s="563"/>
      <c r="B49" s="563"/>
      <c r="C49" s="563"/>
      <c r="D49" s="563"/>
      <c r="E49" s="673">
        <v>15</v>
      </c>
      <c r="F49" s="50" cm="1" t="str">
        <f t="array" ref="F49:F49">OFFSET(E49,-1,1)</f>
        <v>0</v>
      </c>
      <c r="G49" s="563"/>
      <c r="H49" s="563"/>
      <c r="I49" s="674" t="s">
        <v>1613</v>
      </c>
      <c r="J49" s="674"/>
      <c r="K49" s="674"/>
      <c r="L49" s="674"/>
      <c r="M49" s="674"/>
      <c r="N49" s="674"/>
      <c r="O49" s="674"/>
      <c r="P49" s="674"/>
      <c r="Q49" s="674"/>
      <c r="R49" s="674"/>
      <c r="S49" s="674"/>
      <c r="T49" s="438" cm="1" t="str">
        <f t="array" ref="T49:T49">T48</f>
        <v>false</v>
      </c>
      <c r="U49" s="563"/>
      <c r="V49" s="563"/>
      <c r="W49" s="563"/>
      <c r="X49" s="1586"/>
      <c r="Y49" s="563"/>
      <c r="Z49" s="1587"/>
      <c r="AA49" s="563"/>
      <c r="AB49" s="780" t="s">
        <v>1614</v>
      </c>
      <c r="AC49" s="781" t="s">
        <v>1615</v>
      </c>
      <c r="AD49" s="565" t="s">
        <v>789</v>
      </c>
      <c r="AE49" s="777">
        <f>SUM(AE50:AE55)</f>
        <v>0</v>
      </c>
      <c r="AF49" s="777">
        <f>SUM(AF50:AF55)</f>
        <v>0</v>
      </c>
      <c r="AG49" s="777">
        <f>SUM(AG50:AG55)</f>
        <v>0</v>
      </c>
      <c r="AH49" s="777">
        <f>AG49-AF49</f>
        <v>0</v>
      </c>
      <c r="AI49" s="777">
        <f>SUM(AI50:AI55)</f>
        <v>0</v>
      </c>
      <c r="AJ49" s="777">
        <f>SUM(AJ50:AJ55)</f>
        <v>0</v>
      </c>
      <c r="AK49" s="777">
        <f>SUM(AK50:AK55)</f>
        <v>0</v>
      </c>
      <c r="AL49" s="777">
        <f>IF(AI49=0,0,(AK49-AI49)/AI49*100)</f>
        <v>0</v>
      </c>
      <c r="AM49" s="3438"/>
      <c r="AN49" s="3438"/>
      <c r="AO49" s="3438"/>
      <c r="AP49" s="563"/>
      <c r="AQ49" s="563"/>
      <c r="AR49" s="1040" t="s">
        <v>1616</v>
      </c>
      <c r="AS49" s="1040"/>
      <c r="AT49" s="1040"/>
      <c r="AU49" s="673"/>
      <c r="AV49" s="673"/>
    </row>
    <row customHeight="1" ht="14.625" hidden="1">
      <c r="A50" s="1361"/>
      <c r="B50" s="1361"/>
      <c r="C50" s="1361"/>
      <c r="D50" s="1361"/>
      <c r="E50" s="671">
        <v>15</v>
      </c>
      <c r="F50" s="50" cm="1" t="str">
        <f t="array" ref="F50:F50">OFFSET(E50,-1,1)</f>
        <v>0</v>
      </c>
      <c r="G50" s="1361"/>
      <c r="H50" s="1361"/>
      <c r="I50" s="562" t="s">
        <v>1613</v>
      </c>
      <c r="J50" s="963" t="s">
        <v>1617</v>
      </c>
      <c r="K50" s="1361"/>
      <c r="L50" s="562"/>
      <c r="M50" s="562"/>
      <c r="N50" s="562"/>
      <c r="O50" s="562"/>
      <c r="P50" s="562"/>
      <c r="Q50" s="562"/>
      <c r="R50" s="562"/>
      <c r="S50" s="562"/>
      <c r="T50" s="438" cm="1" t="str">
        <f t="array" ref="T50:T50">T49</f>
        <v>false</v>
      </c>
      <c r="U50" s="1361"/>
      <c r="V50" s="1361"/>
      <c r="W50" s="1361"/>
      <c r="X50" s="1586"/>
      <c r="Y50" s="1361"/>
      <c r="Z50" s="1587"/>
      <c r="AA50" s="1361"/>
      <c r="AB50" s="783" t="s">
        <v>1618</v>
      </c>
      <c r="AC50" s="784" t="s">
        <v>1619</v>
      </c>
      <c r="AD50" s="735" t="s">
        <v>789</v>
      </c>
      <c r="AE50" s="785"/>
      <c r="AF50" s="785"/>
      <c r="AG50" s="785"/>
      <c r="AH50" s="778">
        <f>AG50-AF50</f>
        <v>0</v>
      </c>
      <c r="AI50" s="785"/>
      <c r="AJ50" s="3443"/>
      <c r="AK50" s="3443"/>
      <c r="AL50" s="778">
        <f>IF(AI50=0,0,(AK50-AI50)/AI50*100)</f>
        <v>0</v>
      </c>
      <c r="AM50" s="3430"/>
      <c r="AN50" s="3430"/>
      <c r="AO50" s="3430"/>
      <c r="AP50" s="1361"/>
      <c r="AQ50" s="1361"/>
      <c r="AR50" s="1039" t="s">
        <v>1620</v>
      </c>
      <c r="AS50" s="1039"/>
      <c r="AT50" s="1039"/>
      <c r="AU50" s="1036"/>
      <c r="AV50" s="1036"/>
    </row>
    <row customHeight="1" ht="14.625" hidden="1">
      <c r="A51" s="1361"/>
      <c r="B51" s="1361"/>
      <c r="C51" s="1361"/>
      <c r="D51" s="1361"/>
      <c r="E51" s="671">
        <v>15</v>
      </c>
      <c r="F51" s="50" cm="1" t="str">
        <f t="array" ref="F51:F51">OFFSET(E51,-1,1)</f>
        <v>0</v>
      </c>
      <c r="G51" s="1361"/>
      <c r="H51" s="1361"/>
      <c r="I51" s="562" t="s">
        <v>1613</v>
      </c>
      <c r="J51" s="963" t="s">
        <v>1621</v>
      </c>
      <c r="K51" s="1361"/>
      <c r="L51" s="562"/>
      <c r="M51" s="562"/>
      <c r="N51" s="562"/>
      <c r="O51" s="562"/>
      <c r="P51" s="562"/>
      <c r="Q51" s="562"/>
      <c r="R51" s="562"/>
      <c r="S51" s="562"/>
      <c r="T51" s="438" cm="1" t="str">
        <f t="array" ref="T51:T51">T50</f>
        <v>false</v>
      </c>
      <c r="U51" s="1361"/>
      <c r="V51" s="1361"/>
      <c r="W51" s="1361"/>
      <c r="X51" s="1586"/>
      <c r="Y51" s="1361"/>
      <c r="Z51" s="1587"/>
      <c r="AA51" s="1361"/>
      <c r="AB51" s="783" t="s">
        <v>1622</v>
      </c>
      <c r="AC51" s="784" t="s">
        <v>1623</v>
      </c>
      <c r="AD51" s="735" t="s">
        <v>789</v>
      </c>
      <c r="AE51" s="785"/>
      <c r="AF51" s="785"/>
      <c r="AG51" s="785"/>
      <c r="AH51" s="778">
        <f>AG51-AF51</f>
        <v>0</v>
      </c>
      <c r="AI51" s="785"/>
      <c r="AJ51" s="3443"/>
      <c r="AK51" s="3443"/>
      <c r="AL51" s="778">
        <f>IF(AI51=0,0,(AK51-AI51)/AI51*100)</f>
        <v>0</v>
      </c>
      <c r="AM51" s="3430"/>
      <c r="AN51" s="3430"/>
      <c r="AO51" s="3430"/>
      <c r="AP51" s="1361"/>
      <c r="AQ51" s="1361"/>
      <c r="AR51" s="1039" t="s">
        <v>1624</v>
      </c>
      <c r="AS51" s="1039"/>
      <c r="AT51" s="1039"/>
      <c r="AU51" s="1036"/>
      <c r="AV51" s="1036"/>
    </row>
    <row customHeight="1" ht="14.625" hidden="1">
      <c r="A52" s="1361"/>
      <c r="B52" s="1361"/>
      <c r="C52" s="1361"/>
      <c r="D52" s="1361"/>
      <c r="E52" s="671">
        <v>15</v>
      </c>
      <c r="F52" s="50" cm="1" t="str">
        <f t="array" ref="F52:F52">OFFSET(E52,-1,1)</f>
        <v>0</v>
      </c>
      <c r="G52" s="1361"/>
      <c r="H52" s="1361"/>
      <c r="I52" s="562" t="s">
        <v>1613</v>
      </c>
      <c r="J52" s="963" t="s">
        <v>1625</v>
      </c>
      <c r="K52" s="1361"/>
      <c r="L52" s="562"/>
      <c r="M52" s="562"/>
      <c r="N52" s="562"/>
      <c r="O52" s="562"/>
      <c r="P52" s="562"/>
      <c r="Q52" s="562"/>
      <c r="R52" s="562"/>
      <c r="S52" s="562"/>
      <c r="T52" s="438" cm="1" t="str">
        <f t="array" ref="T52:T52">T51</f>
        <v>false</v>
      </c>
      <c r="U52" s="1361"/>
      <c r="V52" s="1361"/>
      <c r="W52" s="1361"/>
      <c r="X52" s="1586"/>
      <c r="Y52" s="1361"/>
      <c r="Z52" s="1587"/>
      <c r="AA52" s="1361"/>
      <c r="AB52" s="783" t="s">
        <v>1626</v>
      </c>
      <c r="AC52" s="784" t="s">
        <v>1627</v>
      </c>
      <c r="AD52" s="735" t="s">
        <v>789</v>
      </c>
      <c r="AE52" s="785"/>
      <c r="AF52" s="785"/>
      <c r="AG52" s="785"/>
      <c r="AH52" s="778">
        <f>AG52-AF52</f>
        <v>0</v>
      </c>
      <c r="AI52" s="785"/>
      <c r="AJ52" s="3443"/>
      <c r="AK52" s="3443"/>
      <c r="AL52" s="778">
        <f>IF(AI52=0,0,(AK52-AI52)/AI52*100)</f>
        <v>0</v>
      </c>
      <c r="AM52" s="3430"/>
      <c r="AN52" s="3430"/>
      <c r="AO52" s="3430"/>
      <c r="AP52" s="1361"/>
      <c r="AQ52" s="1361"/>
      <c r="AR52" s="1039" t="s">
        <v>1628</v>
      </c>
      <c r="AS52" s="1039"/>
      <c r="AT52" s="1039"/>
      <c r="AU52" s="1036"/>
      <c r="AV52" s="1036"/>
    </row>
    <row customHeight="1" ht="14.625" hidden="1">
      <c r="A53" s="1361"/>
      <c r="B53" s="1361"/>
      <c r="C53" s="1361"/>
      <c r="D53" s="1361"/>
      <c r="E53" s="671">
        <v>15</v>
      </c>
      <c r="F53" s="50" cm="1" t="str">
        <f t="array" ref="F53:F53">OFFSET(E53,-1,1)</f>
        <v>0</v>
      </c>
      <c r="G53" s="1361"/>
      <c r="H53" s="1361"/>
      <c r="I53" s="562" t="s">
        <v>1613</v>
      </c>
      <c r="J53" s="963" t="s">
        <v>1629</v>
      </c>
      <c r="K53" s="1361"/>
      <c r="L53" s="562"/>
      <c r="M53" s="562"/>
      <c r="N53" s="562"/>
      <c r="O53" s="562"/>
      <c r="P53" s="562"/>
      <c r="Q53" s="562"/>
      <c r="R53" s="562"/>
      <c r="S53" s="562"/>
      <c r="T53" s="438" cm="1" t="str">
        <f t="array" ref="T53:T53">T52</f>
        <v>false</v>
      </c>
      <c r="U53" s="1361"/>
      <c r="V53" s="1361"/>
      <c r="W53" s="1361"/>
      <c r="X53" s="1586"/>
      <c r="Y53" s="1361"/>
      <c r="Z53" s="1587"/>
      <c r="AA53" s="1361"/>
      <c r="AB53" s="783" t="s">
        <v>1630</v>
      </c>
      <c r="AC53" s="784" t="s">
        <v>1631</v>
      </c>
      <c r="AD53" s="735" t="s">
        <v>789</v>
      </c>
      <c r="AE53" s="785"/>
      <c r="AF53" s="785"/>
      <c r="AG53" s="785"/>
      <c r="AH53" s="778">
        <f>AG53-AF53</f>
        <v>0</v>
      </c>
      <c r="AI53" s="785"/>
      <c r="AJ53" s="3443"/>
      <c r="AK53" s="3443"/>
      <c r="AL53" s="778">
        <f>IF(AI53=0,0,(AK53-AI53)/AI53*100)</f>
        <v>0</v>
      </c>
      <c r="AM53" s="3430"/>
      <c r="AN53" s="3430"/>
      <c r="AO53" s="3430"/>
      <c r="AP53" s="1361"/>
      <c r="AQ53" s="1361"/>
      <c r="AR53" s="1039" t="s">
        <v>1632</v>
      </c>
      <c r="AS53" s="1039"/>
      <c r="AT53" s="1039"/>
      <c r="AU53" s="1036"/>
      <c r="AV53" s="1036"/>
    </row>
    <row customHeight="1" ht="14.625" hidden="1">
      <c r="A54" s="1361"/>
      <c r="B54" s="1361"/>
      <c r="C54" s="1361"/>
      <c r="D54" s="1361"/>
      <c r="E54" s="671">
        <v>15</v>
      </c>
      <c r="F54" s="50" cm="1" t="str">
        <f t="array" ref="F54:F54">OFFSET(E54,-1,1)</f>
        <v>0</v>
      </c>
      <c r="G54" s="1361"/>
      <c r="H54" s="1361"/>
      <c r="I54" s="562" t="s">
        <v>1613</v>
      </c>
      <c r="J54" s="552" cm="1" t="str">
        <f t="array" ref="J54:J54">AC54</f>
        <v>0</v>
      </c>
      <c r="K54" s="1361"/>
      <c r="L54" s="562"/>
      <c r="M54" s="562"/>
      <c r="N54" s="562"/>
      <c r="O54" s="562"/>
      <c r="P54" s="562"/>
      <c r="Q54" s="562"/>
      <c r="R54" s="562"/>
      <c r="S54" s="562"/>
      <c r="T54" s="438">
        <f>AND(F54&gt;0,Y54&gt;4)</f>
        <v>0</v>
      </c>
      <c r="U54" s="1361"/>
      <c r="V54" s="1361"/>
      <c r="W54" s="733" t="s">
        <v>172</v>
      </c>
      <c r="X54" s="1586"/>
      <c r="Y54" s="552">
        <v>4</v>
      </c>
      <c r="Z54" s="1587"/>
      <c r="AA54" s="1206" t="s">
        <v>173</v>
      </c>
      <c r="AB54" s="677" t="str">
        <f>"1.7."&amp;Y54</f>
        <v>1.7.4</v>
      </c>
      <c r="AC54" s="3452"/>
      <c r="AD54" s="735" t="s">
        <v>789</v>
      </c>
      <c r="AE54" s="785"/>
      <c r="AF54" s="785"/>
      <c r="AG54" s="785"/>
      <c r="AH54" s="778">
        <f>AG54-AF54</f>
        <v>0</v>
      </c>
      <c r="AI54" s="785"/>
      <c r="AJ54" s="3453"/>
      <c r="AK54" s="3453"/>
      <c r="AL54" s="778">
        <f>IF(AI54=0,0,(AK54-AI54)/AI54*100)</f>
        <v>0</v>
      </c>
      <c r="AM54" s="3454"/>
      <c r="AN54" s="3454"/>
      <c r="AO54" s="3454"/>
      <c r="AP54" s="1361"/>
      <c r="AQ54" s="1361"/>
      <c r="AR54" s="1039" t="s">
        <v>1633</v>
      </c>
      <c r="AS54" s="1039" t="s">
        <v>1634</v>
      </c>
      <c r="AT54" s="1037" cm="1" t="str">
        <f t="array" ref="AT54:AT54">AC54</f>
        <v>0</v>
      </c>
      <c r="AU54" s="1036"/>
      <c r="AV54" s="671" t="b">
        <v>1</v>
      </c>
    </row>
    <row customHeight="1" ht="14.625" hidden="1">
      <c r="A55" s="1361"/>
      <c r="B55" s="1361"/>
      <c r="C55" s="1361"/>
      <c r="D55" s="1361"/>
      <c r="E55" s="671">
        <v>15</v>
      </c>
      <c r="F55" s="50" cm="1" t="str">
        <f t="array" ref="F55:F55">OFFSET(E55,-1,1)</f>
        <v>0</v>
      </c>
      <c r="G55" s="1361"/>
      <c r="H55" s="1361"/>
      <c r="I55" s="672"/>
      <c r="J55" s="672" t="s">
        <v>1635</v>
      </c>
      <c r="K55" s="672"/>
      <c r="L55" s="672"/>
      <c r="M55" s="672"/>
      <c r="N55" s="672"/>
      <c r="O55" s="672"/>
      <c r="P55" s="672"/>
      <c r="Q55" s="672"/>
      <c r="R55" s="672"/>
      <c r="S55" s="672"/>
      <c r="T55" s="438">
        <f>F55&gt;0</f>
        <v>0</v>
      </c>
      <c r="U55" s="1361"/>
      <c r="V55" s="1361"/>
      <c r="W55" s="805" t="s">
        <v>388</v>
      </c>
      <c r="X55" s="1586"/>
      <c r="Y55" s="1361"/>
      <c r="Z55" s="1587"/>
      <c r="AA55" s="1361"/>
      <c r="AB55" s="1207"/>
      <c r="AC55" s="1208" t="s">
        <v>176</v>
      </c>
      <c r="AD55" s="1209"/>
      <c r="AE55" s="1209"/>
      <c r="AF55" s="1209"/>
      <c r="AG55" s="1209"/>
      <c r="AH55" s="1209"/>
      <c r="AI55" s="1209"/>
      <c r="AJ55" s="1209"/>
      <c r="AK55" s="1209"/>
      <c r="AL55" s="1209"/>
      <c r="AM55" s="1209"/>
      <c r="AN55" s="1209"/>
      <c r="AO55" s="1210"/>
      <c r="AP55" s="1361"/>
      <c r="AQ55" s="1361"/>
      <c r="AR55" s="1039"/>
      <c r="AS55" s="1039"/>
      <c r="AT55" s="1039"/>
      <c r="AU55" s="1036" t="s">
        <v>1634</v>
      </c>
      <c r="AV55" s="1036"/>
    </row>
    <row s="563" customFormat="1" customHeight="1" ht="14.625" hidden="1">
      <c r="A56" s="563"/>
      <c r="B56" s="563"/>
      <c r="C56" s="563"/>
      <c r="D56" s="563"/>
      <c r="E56" s="673">
        <v>15</v>
      </c>
      <c r="F56" s="50" cm="1" t="str">
        <f t="array" ref="F56:F56">OFFSET(E56,-1,1)</f>
        <v>0</v>
      </c>
      <c r="G56" s="563"/>
      <c r="H56" s="563"/>
      <c r="I56" s="674" t="s">
        <v>322</v>
      </c>
      <c r="J56" s="674"/>
      <c r="K56" s="674"/>
      <c r="L56" s="674"/>
      <c r="M56" s="674"/>
      <c r="N56" s="674"/>
      <c r="O56" s="674"/>
      <c r="P56" s="674"/>
      <c r="Q56" s="674"/>
      <c r="R56" s="674"/>
      <c r="S56" s="674"/>
      <c r="T56" s="438" cm="1" t="str">
        <f t="array" ref="T56:T56">T55</f>
        <v>false</v>
      </c>
      <c r="U56" s="563"/>
      <c r="V56" s="563"/>
      <c r="W56" s="563"/>
      <c r="X56" s="1586"/>
      <c r="Y56" s="563"/>
      <c r="Z56" s="1587"/>
      <c r="AA56" s="563"/>
      <c r="AB56" s="780" t="s">
        <v>504</v>
      </c>
      <c r="AC56" s="776" t="s">
        <v>1636</v>
      </c>
      <c r="AD56" s="788" t="s">
        <v>789</v>
      </c>
      <c r="AE56" s="764">
        <f>AE57+AE58</f>
        <v>0</v>
      </c>
      <c r="AF56" s="764">
        <f>AF57+AF58</f>
        <v>0</v>
      </c>
      <c r="AG56" s="764">
        <f>AG57+AG58</f>
        <v>0</v>
      </c>
      <c r="AH56" s="777">
        <f>AG56-AF56</f>
        <v>0</v>
      </c>
      <c r="AI56" s="764">
        <f>AI57+AI58</f>
        <v>0</v>
      </c>
      <c r="AJ56" s="764">
        <f>AJ57+AJ58</f>
        <v>0</v>
      </c>
      <c r="AK56" s="764">
        <f>AK57+AK58</f>
        <v>0</v>
      </c>
      <c r="AL56" s="777">
        <f>IF(AI56=0,0,(AK56-AI56)/AI56*100)</f>
        <v>0</v>
      </c>
      <c r="AM56" s="3438"/>
      <c r="AN56" s="3438"/>
      <c r="AO56" s="3438"/>
      <c r="AP56" s="563"/>
      <c r="AQ56" s="563"/>
      <c r="AR56" s="1040" t="s">
        <v>1637</v>
      </c>
      <c r="AS56" s="1040"/>
      <c r="AT56" s="1040"/>
      <c r="AU56" s="673"/>
      <c r="AV56" s="673"/>
    </row>
    <row customHeight="1" ht="32.90625" hidden="1">
      <c r="A57" s="1361"/>
      <c r="B57" s="1361"/>
      <c r="C57" s="1361"/>
      <c r="D57" s="1361"/>
      <c r="E57" s="671">
        <v>33.75</v>
      </c>
      <c r="F57" s="50" cm="1" t="str">
        <f t="array" ref="F57:F57">OFFSET(E57,-1,1)</f>
        <v>0</v>
      </c>
      <c r="G57" s="1361"/>
      <c r="H57" s="1361"/>
      <c r="I57" s="562" t="s">
        <v>452</v>
      </c>
      <c r="J57" s="562"/>
      <c r="K57" s="562"/>
      <c r="L57" s="562"/>
      <c r="M57" s="562"/>
      <c r="N57" s="562"/>
      <c r="O57" s="562"/>
      <c r="P57" s="562"/>
      <c r="Q57" s="562"/>
      <c r="R57" s="562"/>
      <c r="S57" s="562"/>
      <c r="T57" s="438" cm="1" t="str">
        <f t="array" ref="T57:T57">T56</f>
        <v>false</v>
      </c>
      <c r="U57" s="1361"/>
      <c r="V57" s="1361"/>
      <c r="W57" s="1361"/>
      <c r="X57" s="1586"/>
      <c r="Y57" s="1361"/>
      <c r="Z57" s="1587"/>
      <c r="AA57" s="1361"/>
      <c r="AB57" s="783" t="s">
        <v>509</v>
      </c>
      <c r="AC57" s="789" t="s">
        <v>1638</v>
      </c>
      <c r="AD57" s="790" t="s">
        <v>789</v>
      </c>
      <c r="AE57" s="785"/>
      <c r="AF57" s="785"/>
      <c r="AG57" s="785"/>
      <c r="AH57" s="778">
        <f>AG57-AF57</f>
        <v>0</v>
      </c>
      <c r="AI57" s="785"/>
      <c r="AJ57" s="3443"/>
      <c r="AK57" s="3443"/>
      <c r="AL57" s="778">
        <f>IF(AI57=0,0,(AK57-AI57)/AI57*100)</f>
        <v>0</v>
      </c>
      <c r="AM57" s="3430"/>
      <c r="AN57" s="3430"/>
      <c r="AO57" s="3430"/>
      <c r="AP57" s="1361"/>
      <c r="AQ57" s="1361"/>
      <c r="AR57" s="1039" t="s">
        <v>1639</v>
      </c>
      <c r="AS57" s="1039"/>
      <c r="AT57" s="1039"/>
      <c r="AU57" s="1036"/>
      <c r="AV57" s="1036"/>
    </row>
    <row customHeight="1" ht="35.1" hidden="1">
      <c r="A58" s="1361"/>
      <c r="B58" s="1361"/>
      <c r="C58" s="1361"/>
      <c r="D58" s="1361"/>
      <c r="E58" s="671">
        <v>36</v>
      </c>
      <c r="F58" s="50" cm="1" t="str">
        <f t="array" ref="F58:F58">OFFSET(E58,-1,1)</f>
        <v>0</v>
      </c>
      <c r="G58" s="1361"/>
      <c r="H58" s="1361"/>
      <c r="I58" s="562" t="s">
        <v>455</v>
      </c>
      <c r="J58" s="562"/>
      <c r="K58" s="562"/>
      <c r="L58" s="562"/>
      <c r="M58" s="562"/>
      <c r="N58" s="562"/>
      <c r="O58" s="562"/>
      <c r="P58" s="562"/>
      <c r="Q58" s="562"/>
      <c r="R58" s="562"/>
      <c r="S58" s="562"/>
      <c r="T58" s="438" cm="1" t="str">
        <f t="array" ref="T58:T58">T57</f>
        <v>false</v>
      </c>
      <c r="U58" s="1361"/>
      <c r="V58" s="1361"/>
      <c r="W58" s="1361"/>
      <c r="X58" s="1586"/>
      <c r="Y58" s="1361"/>
      <c r="Z58" s="1587"/>
      <c r="AA58" s="1361"/>
      <c r="AB58" s="783" t="s">
        <v>513</v>
      </c>
      <c r="AC58" s="789" t="s">
        <v>1640</v>
      </c>
      <c r="AD58" s="790" t="s">
        <v>789</v>
      </c>
      <c r="AE58" s="791">
        <f>AE59+AE60</f>
        <v>0</v>
      </c>
      <c r="AF58" s="791">
        <f>AF59+AF60</f>
        <v>0</v>
      </c>
      <c r="AG58" s="791">
        <f>AG59+AG60</f>
        <v>0</v>
      </c>
      <c r="AH58" s="778">
        <f>AG58-AF58</f>
        <v>0</v>
      </c>
      <c r="AI58" s="791">
        <f>AI59+AI60</f>
        <v>0</v>
      </c>
      <c r="AJ58" s="791">
        <f>AJ59+AJ60</f>
        <v>0</v>
      </c>
      <c r="AK58" s="791">
        <f>AK59+AK60</f>
        <v>0</v>
      </c>
      <c r="AL58" s="778">
        <f>IF(AI58=0,0,(AK58-AI58)/AI58*100)</f>
        <v>0</v>
      </c>
      <c r="AM58" s="3430"/>
      <c r="AN58" s="3430"/>
      <c r="AO58" s="3430"/>
      <c r="AP58" s="1361"/>
      <c r="AQ58" s="1361"/>
      <c r="AR58" s="1039" t="s">
        <v>1641</v>
      </c>
      <c r="AS58" s="1039"/>
      <c r="AT58" s="1039"/>
      <c r="AU58" s="1036"/>
      <c r="AV58" s="1036"/>
    </row>
    <row customHeight="1" ht="14.625" hidden="1">
      <c r="A59" s="1361"/>
      <c r="B59" s="1361"/>
      <c r="C59" s="1361"/>
      <c r="D59" s="1361"/>
      <c r="E59" s="671">
        <v>15</v>
      </c>
      <c r="F59" s="50" cm="1" t="str">
        <f t="array" ref="F59:F59">OFFSET(E59,-1,1)</f>
        <v>0</v>
      </c>
      <c r="G59" s="552" t="s">
        <v>1048</v>
      </c>
      <c r="H59" s="1361"/>
      <c r="I59" s="562" t="s">
        <v>1642</v>
      </c>
      <c r="J59" s="562"/>
      <c r="K59" s="562"/>
      <c r="L59" s="562"/>
      <c r="M59" s="562"/>
      <c r="N59" s="562"/>
      <c r="O59" s="562"/>
      <c r="P59" s="562"/>
      <c r="Q59" s="562"/>
      <c r="R59" s="562"/>
      <c r="S59" s="562"/>
      <c r="T59" s="438" cm="1" t="str">
        <f t="array" ref="T59:T59">T58</f>
        <v>false</v>
      </c>
      <c r="U59" s="1361"/>
      <c r="V59" s="1361"/>
      <c r="W59" s="1361"/>
      <c r="X59" s="1586"/>
      <c r="Y59" s="1361"/>
      <c r="Z59" s="1587"/>
      <c r="AA59" s="1361"/>
      <c r="AB59" s="783" t="s">
        <v>466</v>
      </c>
      <c r="AC59" s="784" t="s">
        <v>1643</v>
      </c>
      <c r="AD59" s="790" t="s">
        <v>789</v>
      </c>
      <c r="AE59" s="778">
        <f>_xlfn.SUMIFS(ФОТ!AE$25:AE$77,ФОТ!$F$25:$F$77,$F59,ФОТ!$G$25:$G$77,$G59)</f>
        <v>0</v>
      </c>
      <c r="AF59" s="778">
        <f>_xlfn.SUMIFS(ФОТ!AF$25:AF$77,ФОТ!$F$25:$F$77,$F59,ФОТ!$G$25:$G$77,$G59)</f>
        <v>0</v>
      </c>
      <c r="AG59" s="778">
        <f>_xlfn.SUMIFS(ФОТ!AG$25:AG$77,ФОТ!$F$25:$F$77,$F59,ФОТ!$G$25:$G$77,$G59)</f>
        <v>0</v>
      </c>
      <c r="AH59" s="778">
        <f>AG59-AF59</f>
        <v>0</v>
      </c>
      <c r="AI59" s="778">
        <f>_xlfn.SUMIFS(ФОТ!AH$25:AH$77,ФОТ!$F$25:$F$77,$F59,ФОТ!$G$25:$G$77,$G59)</f>
        <v>0</v>
      </c>
      <c r="AJ59" s="778">
        <f>_xlfn.SUMIFS(ФОТ!AI$25:AI$77,ФОТ!$F$25:$F$77,$F59,ФОТ!$G$25:$G$77,$G59)</f>
        <v>0</v>
      </c>
      <c r="AK59" s="778">
        <f>_xlfn.SUMIFS(ФОТ!AJ$25:AJ$77,ФОТ!$F$25:$F$77,$F59,ФОТ!$G$25:$G$77,$G59)</f>
        <v>0</v>
      </c>
      <c r="AL59" s="778">
        <f>IF(AI59=0,0,(AK59-AI59)/AI59*100)</f>
        <v>0</v>
      </c>
      <c r="AM59" s="3430"/>
      <c r="AN59" s="3431" t="str">
        <f>IF(_xlfn.IFERROR(INDEX(ФОТ!$K$26:$L$77,MATCH($F59&amp;"3komm",ФОТ!$K$26:$K$77,0),2),"")=0,"",_xlfn.IFERROR(INDEX(ФОТ!$K$26:$L$77,MATCH($F59&amp;"3komm",ФОТ!$K$26:$K$77,0),2),""))</f>
        <v/>
      </c>
      <c r="AO59" s="3430"/>
      <c r="AP59" s="1361"/>
      <c r="AQ59" s="1361"/>
      <c r="AR59" s="1039" t="s">
        <v>1644</v>
      </c>
      <c r="AS59" s="1039"/>
      <c r="AT59" s="1039"/>
      <c r="AU59" s="1036"/>
      <c r="AV59" s="1036"/>
    </row>
    <row customHeight="1" ht="21.9375" hidden="1">
      <c r="A60" s="1361"/>
      <c r="B60" s="1361"/>
      <c r="C60" s="1361"/>
      <c r="D60" s="1361"/>
      <c r="E60" s="671">
        <v>22.5</v>
      </c>
      <c r="F60" s="50" cm="1" t="str">
        <f t="array" ref="F60:F60">OFFSET(E60,-1,1)</f>
        <v>0</v>
      </c>
      <c r="G60" s="552" t="s">
        <v>1053</v>
      </c>
      <c r="H60" s="1361"/>
      <c r="I60" s="562" t="s">
        <v>1645</v>
      </c>
      <c r="J60" s="562"/>
      <c r="K60" s="562"/>
      <c r="L60" s="562"/>
      <c r="M60" s="562"/>
      <c r="N60" s="562"/>
      <c r="O60" s="562"/>
      <c r="P60" s="562"/>
      <c r="Q60" s="562"/>
      <c r="R60" s="562"/>
      <c r="S60" s="562"/>
      <c r="T60" s="438" cm="1" t="str">
        <f t="array" ref="T60:T60">T59</f>
        <v>false</v>
      </c>
      <c r="U60" s="1361"/>
      <c r="V60" s="1361"/>
      <c r="W60" s="1361"/>
      <c r="X60" s="1586"/>
      <c r="Y60" s="1361"/>
      <c r="Z60" s="1587"/>
      <c r="AA60" s="1361"/>
      <c r="AB60" s="783" t="s">
        <v>1310</v>
      </c>
      <c r="AC60" s="784" t="s">
        <v>1646</v>
      </c>
      <c r="AD60" s="790" t="s">
        <v>789</v>
      </c>
      <c r="AE60" s="778">
        <f>_xlfn.SUMIFS(ФОТ!AE$25:AE$77,ФОТ!$F$25:$F$77,$F60,ФОТ!$G$25:$G$77,$G60)</f>
        <v>0</v>
      </c>
      <c r="AF60" s="778">
        <f>_xlfn.SUMIFS(ФОТ!AF$25:AF$77,ФОТ!$F$25:$F$77,$F60,ФОТ!$G$25:$G$77,$G60)</f>
        <v>0</v>
      </c>
      <c r="AG60" s="778">
        <f>_xlfn.SUMIFS(ФОТ!AG$25:AG$77,ФОТ!$F$25:$F$77,$F60,ФОТ!$G$25:$G$77,$G60)</f>
        <v>0</v>
      </c>
      <c r="AH60" s="778">
        <f>AG60-AF60</f>
        <v>0</v>
      </c>
      <c r="AI60" s="778">
        <f>_xlfn.SUMIFS(ФОТ!AH$25:AH$77,ФОТ!$F$25:$F$77,$F60,ФОТ!$G$25:$G$77,$G60)</f>
        <v>0</v>
      </c>
      <c r="AJ60" s="778">
        <f>_xlfn.SUMIFS(ФОТ!AI$25:AI$77,ФОТ!$F$25:$F$77,$F60,ФОТ!$G$25:$G$77,$G60)</f>
        <v>0</v>
      </c>
      <c r="AK60" s="778">
        <f>_xlfn.SUMIFS(ФОТ!AJ$25:AJ$77,ФОТ!$F$25:$F$77,$F60,ФОТ!$G$25:$G$77,$G60)</f>
        <v>0</v>
      </c>
      <c r="AL60" s="778">
        <f>IF(AI60=0,0,(AK60-AI60)/AI60*100)</f>
        <v>0</v>
      </c>
      <c r="AM60" s="3430"/>
      <c r="AN60" s="3431" t="str">
        <f>IF(_xlfn.IFERROR(INDEX(ФОТ!$K$26:$L$77,MATCH($F60&amp;"4komm",ФОТ!$K$26:$K$77,0),2),"")=0,"",_xlfn.IFERROR(INDEX(ФОТ!$K$26:$L$77,MATCH($F60&amp;"4komm",ФОТ!$K$26:$K$77,0),2),""))</f>
        <v/>
      </c>
      <c r="AO60" s="3430"/>
      <c r="AP60" s="1361"/>
      <c r="AQ60" s="1361"/>
      <c r="AR60" s="1039" t="s">
        <v>1647</v>
      </c>
      <c r="AS60" s="1039"/>
      <c r="AT60" s="1039"/>
      <c r="AU60" s="1036"/>
      <c r="AV60" s="1036"/>
    </row>
    <row s="563" customFormat="1" customHeight="1" ht="14.625" hidden="1">
      <c r="A61" s="563"/>
      <c r="B61" s="563"/>
      <c r="C61" s="563"/>
      <c r="D61" s="563"/>
      <c r="E61" s="673">
        <v>15</v>
      </c>
      <c r="F61" s="50" cm="1" t="str">
        <f t="array" ref="F61:F61">OFFSET(E61,-1,1)</f>
        <v>0</v>
      </c>
      <c r="G61" s="563"/>
      <c r="H61" s="563"/>
      <c r="I61" s="674" t="s">
        <v>323</v>
      </c>
      <c r="J61" s="674"/>
      <c r="K61" s="674"/>
      <c r="L61" s="674"/>
      <c r="M61" s="674"/>
      <c r="N61" s="674"/>
      <c r="O61" s="674"/>
      <c r="P61" s="674"/>
      <c r="Q61" s="674"/>
      <c r="R61" s="674"/>
      <c r="S61" s="674"/>
      <c r="T61" s="438" cm="1" t="str">
        <f t="array" ref="T61:T61">T60</f>
        <v>false</v>
      </c>
      <c r="U61" s="563"/>
      <c r="V61" s="563"/>
      <c r="W61" s="563"/>
      <c r="X61" s="1586"/>
      <c r="Y61" s="563"/>
      <c r="Z61" s="1587"/>
      <c r="AA61" s="563"/>
      <c r="AB61" s="780" t="s">
        <v>319</v>
      </c>
      <c r="AC61" s="776" t="s">
        <v>1648</v>
      </c>
      <c r="AD61" s="788" t="s">
        <v>789</v>
      </c>
      <c r="AE61" s="777">
        <f>AE62+AE63+AE66+AE67+AE68+AE69+AE70</f>
        <v>0</v>
      </c>
      <c r="AF61" s="777">
        <f>AF62+AF63+AF66+AF67+AF68+AF69+AF70</f>
        <v>0</v>
      </c>
      <c r="AG61" s="777">
        <f>AG62+AG63+AG66+AG67+AG68+AG69+AG70</f>
        <v>0</v>
      </c>
      <c r="AH61" s="777">
        <f>AG61-AF61</f>
        <v>0</v>
      </c>
      <c r="AI61" s="777">
        <f>AI62+AI63+AI66+AI67+AI68+AI69+AI70</f>
        <v>0</v>
      </c>
      <c r="AJ61" s="777">
        <f>AJ62+AJ63+AJ66+AJ67+AJ68+AJ69+AJ70</f>
        <v>0</v>
      </c>
      <c r="AK61" s="777">
        <f>AK62+AK63+AK66+AK67+AK68+AK69+AK70</f>
        <v>0</v>
      </c>
      <c r="AL61" s="777">
        <f>IF(AI61=0,0,(AK61-AI61)/AI61*100)</f>
        <v>0</v>
      </c>
      <c r="AM61" s="3438"/>
      <c r="AN61" s="3438"/>
      <c r="AO61" s="3438"/>
      <c r="AP61" s="563"/>
      <c r="AQ61" s="563"/>
      <c r="AR61" s="1040" t="s">
        <v>1649</v>
      </c>
      <c r="AS61" s="1040"/>
      <c r="AT61" s="1040"/>
      <c r="AU61" s="673"/>
      <c r="AV61" s="673"/>
    </row>
    <row customHeight="1" ht="21.9375" hidden="1">
      <c r="A62" s="1361"/>
      <c r="B62" s="1361"/>
      <c r="C62" s="1361"/>
      <c r="D62" s="1361"/>
      <c r="E62" s="671">
        <v>22.5</v>
      </c>
      <c r="F62" s="50" cm="1" t="str">
        <f t="array" ref="F62:F62">OFFSET(E62,-1,1)</f>
        <v>0</v>
      </c>
      <c r="G62" s="552" t="s">
        <v>1074</v>
      </c>
      <c r="H62" s="1361"/>
      <c r="I62" s="562" t="s">
        <v>874</v>
      </c>
      <c r="J62" s="562"/>
      <c r="K62" s="562"/>
      <c r="L62" s="562"/>
      <c r="M62" s="562"/>
      <c r="N62" s="562"/>
      <c r="O62" s="562"/>
      <c r="P62" s="562"/>
      <c r="Q62" s="562"/>
      <c r="R62" s="562"/>
      <c r="S62" s="562"/>
      <c r="T62" s="438" cm="1" t="str">
        <f t="array" ref="T62:T62">T61</f>
        <v>false</v>
      </c>
      <c r="U62" s="1361"/>
      <c r="V62" s="1361"/>
      <c r="W62" s="1361"/>
      <c r="X62" s="1586"/>
      <c r="Y62" s="1361"/>
      <c r="Z62" s="1587"/>
      <c r="AA62" s="1361"/>
      <c r="AB62" s="783" t="s">
        <v>523</v>
      </c>
      <c r="AC62" s="789" t="s">
        <v>1650</v>
      </c>
      <c r="AD62" s="790" t="s">
        <v>789</v>
      </c>
      <c r="AE62" s="225">
        <f>_xlfn.SUMIFS(Административные!AE$25:AE$65,Административные!$F$25:$F$65,$F62,Административные!$G$25:$G$65,$G62)</f>
        <v>0</v>
      </c>
      <c r="AF62" s="225">
        <f>_xlfn.SUMIFS(Административные!AF$25:AF$65,Административные!$F$25:$F$65,$F62,Административные!$G$25:$G$65,$G62)</f>
        <v>0</v>
      </c>
      <c r="AG62" s="225">
        <f>_xlfn.SUMIFS(Административные!AG$25:AG$65,Административные!$F$25:$F$65,$F62,Административные!$G$25:$G$65,$G62)</f>
        <v>0</v>
      </c>
      <c r="AH62" s="778">
        <f>AG62-AF62</f>
        <v>0</v>
      </c>
      <c r="AI62" s="225">
        <f>_xlfn.SUMIFS(Административные!AH$25:AH$65,Административные!$F$25:$F$65,$F62,Административные!$G$25:$G$65,$G62)</f>
        <v>0</v>
      </c>
      <c r="AJ62" s="225">
        <f>_xlfn.SUMIFS(Административные!AI$25:AI$65,Административные!$F$25:$F$65,$F62,Административные!$G$25:$G$65,$G62)</f>
        <v>0</v>
      </c>
      <c r="AK62" s="225">
        <f>_xlfn.SUMIFS(Административные!AJ$25:AJ$65,Административные!$F$25:$F$65,$F62,Административные!$G$25:$G$65,$G62)</f>
        <v>0</v>
      </c>
      <c r="AL62" s="778">
        <f>IF(AI62=0,0,(AK62-AI62)/AI62*100)</f>
        <v>0</v>
      </c>
      <c r="AM62" s="3430"/>
      <c r="AN62" s="3431" t="str">
        <f>IF(_xlfn.IFERROR(INDEX(Административные!$K$26:$L$65,MATCH($F62&amp;"17komm",Административные!$K$26:$K$65,0),2),"")=0,"",_xlfn.IFERROR(INDEX(Административные!$K$26:$L$65,MATCH($F62&amp;"17komm",Административные!$K$26:$K$65,0),2),""))</f>
        <v/>
      </c>
      <c r="AO62" s="3430"/>
      <c r="AP62" s="1361"/>
      <c r="AQ62" s="1361"/>
      <c r="AR62" s="1039" t="s">
        <v>1076</v>
      </c>
      <c r="AS62" s="1039"/>
      <c r="AT62" s="1039"/>
      <c r="AU62" s="1036"/>
      <c r="AV62" s="1036"/>
    </row>
    <row customHeight="1" ht="32.90625" hidden="1">
      <c r="A63" s="1361"/>
      <c r="B63" s="1361"/>
      <c r="C63" s="1361"/>
      <c r="D63" s="1361"/>
      <c r="E63" s="671">
        <v>33.75</v>
      </c>
      <c r="F63" s="50" cm="1" t="str">
        <f t="array" ref="F63:F63">OFFSET(E63,-1,1)</f>
        <v>0</v>
      </c>
      <c r="G63" s="1361"/>
      <c r="H63" s="1361"/>
      <c r="I63" s="562" t="s">
        <v>876</v>
      </c>
      <c r="J63" s="562"/>
      <c r="K63" s="562"/>
      <c r="L63" s="562"/>
      <c r="M63" s="562"/>
      <c r="N63" s="562"/>
      <c r="O63" s="562"/>
      <c r="P63" s="562"/>
      <c r="Q63" s="562"/>
      <c r="R63" s="562"/>
      <c r="S63" s="562"/>
      <c r="T63" s="438" cm="1" t="str">
        <f t="array" ref="T63:T63">T62</f>
        <v>false</v>
      </c>
      <c r="U63" s="1361"/>
      <c r="V63" s="1361"/>
      <c r="W63" s="1361"/>
      <c r="X63" s="1586"/>
      <c r="Y63" s="1361"/>
      <c r="Z63" s="1587"/>
      <c r="AA63" s="1361"/>
      <c r="AB63" s="783" t="s">
        <v>527</v>
      </c>
      <c r="AC63" s="789" t="s">
        <v>1651</v>
      </c>
      <c r="AD63" s="790" t="s">
        <v>789</v>
      </c>
      <c r="AE63" s="778">
        <f>AE64+AE65</f>
        <v>0</v>
      </c>
      <c r="AF63" s="778">
        <f>AF64+AF65</f>
        <v>0</v>
      </c>
      <c r="AG63" s="778">
        <f>AG64+AG65</f>
        <v>0</v>
      </c>
      <c r="AH63" s="778">
        <f>AG63-AF63</f>
        <v>0</v>
      </c>
      <c r="AI63" s="778">
        <f>AI64+AI65</f>
        <v>0</v>
      </c>
      <c r="AJ63" s="778">
        <f>AJ64+AJ65</f>
        <v>0</v>
      </c>
      <c r="AK63" s="778">
        <f>AK64+AK65</f>
        <v>0</v>
      </c>
      <c r="AL63" s="778">
        <f>IF(AI63=0,0,(AK63-AI63)/AI63*100)</f>
        <v>0</v>
      </c>
      <c r="AM63" s="3430"/>
      <c r="AN63" s="3430"/>
      <c r="AO63" s="3430"/>
      <c r="AP63" s="1361"/>
      <c r="AQ63" s="1361"/>
      <c r="AR63" s="1039" t="s">
        <v>1652</v>
      </c>
      <c r="AS63" s="1039"/>
      <c r="AT63" s="1039"/>
      <c r="AU63" s="1036"/>
      <c r="AV63" s="1036"/>
    </row>
    <row customHeight="1" ht="21.9375" hidden="1">
      <c r="A64" s="1361"/>
      <c r="B64" s="1361"/>
      <c r="C64" s="1361"/>
      <c r="D64" s="1361"/>
      <c r="E64" s="671">
        <v>22.5</v>
      </c>
      <c r="F64" s="50" cm="1" t="str">
        <f t="array" ref="F64:F64">OFFSET(E64,-1,1)</f>
        <v>0</v>
      </c>
      <c r="G64" s="1211" t="s">
        <v>1056</v>
      </c>
      <c r="H64" s="1361"/>
      <c r="I64" s="562" t="s">
        <v>470</v>
      </c>
      <c r="J64" s="562"/>
      <c r="K64" s="562"/>
      <c r="L64" s="562"/>
      <c r="M64" s="562"/>
      <c r="N64" s="562"/>
      <c r="O64" s="562"/>
      <c r="P64" s="562"/>
      <c r="Q64" s="562"/>
      <c r="R64" s="562"/>
      <c r="S64" s="562"/>
      <c r="T64" s="438" cm="1" t="str">
        <f t="array" ref="T64:T64">T63</f>
        <v>false</v>
      </c>
      <c r="U64" s="1361"/>
      <c r="V64" s="1361"/>
      <c r="W64" s="1361"/>
      <c r="X64" s="1586"/>
      <c r="Y64" s="1361"/>
      <c r="Z64" s="1587"/>
      <c r="AA64" s="1361"/>
      <c r="AB64" s="783" t="s">
        <v>738</v>
      </c>
      <c r="AC64" s="784" t="s">
        <v>1653</v>
      </c>
      <c r="AD64" s="790" t="s">
        <v>789</v>
      </c>
      <c r="AE64" s="778">
        <f>_xlfn.SUMIFS(ФОТ!AE$25:AE$77,ФОТ!$F$25:$F$77,$F64,ФОТ!$G$25:$G$77,$G64)</f>
        <v>0</v>
      </c>
      <c r="AF64" s="778">
        <f>_xlfn.SUMIFS(ФОТ!AF$25:AF$77,ФОТ!$F$25:$F$77,$F64,ФОТ!$G$25:$G$77,$G64)</f>
        <v>0</v>
      </c>
      <c r="AG64" s="778">
        <f>_xlfn.SUMIFS(ФОТ!AG$25:AG$77,ФОТ!$F$25:$F$77,$F64,ФОТ!$G$25:$G$77,$G64)</f>
        <v>0</v>
      </c>
      <c r="AH64" s="778">
        <f>AG64-AF64</f>
        <v>0</v>
      </c>
      <c r="AI64" s="778">
        <f>_xlfn.SUMIFS(ФОТ!AH$25:AH$77,ФОТ!$F$25:$F$77,$F64,ФОТ!$G$25:$G$77,$G64)</f>
        <v>0</v>
      </c>
      <c r="AJ64" s="778">
        <f>_xlfn.SUMIFS(ФОТ!AI$25:AI$77,ФОТ!$F$25:$F$77,$F64,ФОТ!$G$25:$G$77,$G64)</f>
        <v>0</v>
      </c>
      <c r="AK64" s="778">
        <f>_xlfn.SUMIFS(ФОТ!AJ$25:AJ$77,ФОТ!$F$25:$F$77,$F64,ФОТ!$G$25:$G$77,$G64)</f>
        <v>0</v>
      </c>
      <c r="AL64" s="778">
        <f>IF(AI64=0,0,(AK64-AI64)/AI64*100)</f>
        <v>0</v>
      </c>
      <c r="AM64" s="3430"/>
      <c r="AN64" s="3431" t="str">
        <f>IF(_xlfn.IFERROR(INDEX(ФОТ!$K$26:$L$77,MATCH($F64&amp;"5komm",ФОТ!$K$26:$K$77,0),2),"")=0,"",_xlfn.IFERROR(INDEX(ФОТ!$K$26:$L$77,MATCH($F64&amp;"5komm",ФОТ!$K$26:$K$77,0),2),""))</f>
        <v/>
      </c>
      <c r="AO64" s="3430"/>
      <c r="AP64" s="1361"/>
      <c r="AQ64" s="1361"/>
      <c r="AR64" s="1039" t="s">
        <v>1073</v>
      </c>
      <c r="AS64" s="1039"/>
      <c r="AT64" s="1039"/>
      <c r="AU64" s="1036"/>
      <c r="AV64" s="1036"/>
    </row>
    <row customHeight="1" ht="32.90625" hidden="1">
      <c r="A65" s="1361"/>
      <c r="B65" s="1361"/>
      <c r="C65" s="1361"/>
      <c r="D65" s="1361"/>
      <c r="E65" s="671">
        <v>33.75</v>
      </c>
      <c r="F65" s="50" cm="1" t="str">
        <f t="array" ref="F65:F65">OFFSET(E65,-1,1)</f>
        <v>0</v>
      </c>
      <c r="G65" s="471" t="s">
        <v>1061</v>
      </c>
      <c r="H65" s="1361"/>
      <c r="I65" s="562" t="s">
        <v>475</v>
      </c>
      <c r="J65" s="562"/>
      <c r="K65" s="562"/>
      <c r="L65" s="562"/>
      <c r="M65" s="562"/>
      <c r="N65" s="562"/>
      <c r="O65" s="562"/>
      <c r="P65" s="562"/>
      <c r="Q65" s="562"/>
      <c r="R65" s="562"/>
      <c r="S65" s="562"/>
      <c r="T65" s="438" cm="1" t="str">
        <f t="array" ref="T65:T65">T64</f>
        <v>false</v>
      </c>
      <c r="U65" s="1361"/>
      <c r="V65" s="1361"/>
      <c r="W65" s="1361"/>
      <c r="X65" s="1586"/>
      <c r="Y65" s="1361"/>
      <c r="Z65" s="1587"/>
      <c r="AA65" s="1361"/>
      <c r="AB65" s="783" t="s">
        <v>741</v>
      </c>
      <c r="AC65" s="784" t="s">
        <v>1654</v>
      </c>
      <c r="AD65" s="790" t="s">
        <v>789</v>
      </c>
      <c r="AE65" s="778">
        <f>_xlfn.SUMIFS(ФОТ!AE$25:AE$77,ФОТ!$F$25:$F$77,$F65,ФОТ!$G$25:$G$77,$G65)</f>
        <v>0</v>
      </c>
      <c r="AF65" s="778">
        <f>_xlfn.SUMIFS(ФОТ!AF$25:AF$77,ФОТ!$F$25:$F$77,$F65,ФОТ!$G$25:$G$77,$G65)</f>
        <v>0</v>
      </c>
      <c r="AG65" s="778">
        <f>_xlfn.SUMIFS(ФОТ!AG$25:AG$77,ФОТ!$F$25:$F$77,$F65,ФОТ!$G$25:$G$77,$G65)</f>
        <v>0</v>
      </c>
      <c r="AH65" s="778">
        <f>AG65-AF65</f>
        <v>0</v>
      </c>
      <c r="AI65" s="778">
        <f>_xlfn.SUMIFS(ФОТ!AH$25:AH$77,ФОТ!$F$25:$F$77,$F65,ФОТ!$G$25:$G$77,$G65)</f>
        <v>0</v>
      </c>
      <c r="AJ65" s="778">
        <f>_xlfn.SUMIFS(ФОТ!AI$25:AI$77,ФОТ!$F$25:$F$77,$F65,ФОТ!$G$25:$G$77,$G65)</f>
        <v>0</v>
      </c>
      <c r="AK65" s="778">
        <f>_xlfn.SUMIFS(ФОТ!AJ$25:AJ$77,ФОТ!$F$25:$F$77,$F65,ФОТ!$G$25:$G$77,$G65)</f>
        <v>0</v>
      </c>
      <c r="AL65" s="778">
        <f>IF(AI65=0,0,(AK65-AI65)/AI65*100)</f>
        <v>0</v>
      </c>
      <c r="AM65" s="3430"/>
      <c r="AN65" s="3431" t="str">
        <f>IF(_xlfn.IFERROR(INDEX(ФОТ!$K$26:$L$77,MATCH($F65&amp;"6komm",ФОТ!$K$26:$K$77,0),2),"")=0,"",_xlfn.IFERROR(INDEX(ФОТ!$K$26:$L$77,MATCH($F65&amp;"6komm",ФОТ!$K$26:$K$77,0),2),""))</f>
        <v/>
      </c>
      <c r="AO65" s="3430"/>
      <c r="AP65" s="1361"/>
      <c r="AQ65" s="1361"/>
      <c r="AR65" s="1039" t="s">
        <v>1655</v>
      </c>
      <c r="AS65" s="1039"/>
      <c r="AT65" s="1039"/>
      <c r="AU65" s="1036"/>
      <c r="AV65" s="1036"/>
    </row>
    <row customHeight="1" ht="32.90625" hidden="1">
      <c r="A66" s="1361"/>
      <c r="B66" s="1361"/>
      <c r="C66" s="1361"/>
      <c r="D66" s="1361"/>
      <c r="E66" s="671">
        <v>33.75</v>
      </c>
      <c r="F66" s="50" cm="1" t="str">
        <f t="array" ref="F66:F66">OFFSET(E66,-1,1)</f>
        <v>0</v>
      </c>
      <c r="G66" s="552" t="s">
        <v>1102</v>
      </c>
      <c r="H66" s="1361"/>
      <c r="I66" s="562" t="s">
        <v>878</v>
      </c>
      <c r="J66" s="562"/>
      <c r="K66" s="562"/>
      <c r="L66" s="562"/>
      <c r="M66" s="562"/>
      <c r="N66" s="562"/>
      <c r="O66" s="562"/>
      <c r="P66" s="562"/>
      <c r="Q66" s="562"/>
      <c r="R66" s="562"/>
      <c r="S66" s="562"/>
      <c r="T66" s="438" cm="1" t="str">
        <f t="array" ref="T66:T66">T65</f>
        <v>false</v>
      </c>
      <c r="U66" s="1361"/>
      <c r="V66" s="1361"/>
      <c r="W66" s="1361"/>
      <c r="X66" s="1586"/>
      <c r="Y66" s="1361"/>
      <c r="Z66" s="1587"/>
      <c r="AA66" s="1361"/>
      <c r="AB66" s="783" t="s">
        <v>744</v>
      </c>
      <c r="AC66" s="789" t="s">
        <v>1656</v>
      </c>
      <c r="AD66" s="790" t="s">
        <v>789</v>
      </c>
      <c r="AE66" s="778">
        <f>_xlfn.SUMIFS(Административные!AE$25:AE$65,Административные!$F$25:$F$65,$F66,Административные!$G$25:$G$65,$G66)</f>
        <v>0</v>
      </c>
      <c r="AF66" s="778">
        <f>_xlfn.SUMIFS(Административные!AF$25:AF$65,Административные!$F$25:$F$65,$F66,Административные!$G$25:$G$65,$G66)</f>
        <v>0</v>
      </c>
      <c r="AG66" s="778">
        <f>_xlfn.SUMIFS(Административные!AG$25:AG$65,Административные!$F$25:$F$65,$F66,Административные!$G$25:$G$65,$G66)</f>
        <v>0</v>
      </c>
      <c r="AH66" s="778">
        <f>AG66-AF66</f>
        <v>0</v>
      </c>
      <c r="AI66" s="778">
        <f>_xlfn.SUMIFS(Административные!AH$25:AH$65,Административные!$F$25:$F$65,$F66,Административные!$G$25:$G$65,$G66)</f>
        <v>0</v>
      </c>
      <c r="AJ66" s="778">
        <f>_xlfn.SUMIFS(Административные!AI$25:AI$65,Административные!$F$25:$F$65,$F66,Административные!$G$25:$G$65,$G66)</f>
        <v>0</v>
      </c>
      <c r="AK66" s="778">
        <f>_xlfn.SUMIFS(Административные!AJ$25:AJ$65,Административные!$F$25:$F$65,$F66,Административные!$G$25:$G$65,$G66)</f>
        <v>0</v>
      </c>
      <c r="AL66" s="778">
        <f>IF(AI66=0,0,(AK66-AI66)/AI66*100)</f>
        <v>0</v>
      </c>
      <c r="AM66" s="3430"/>
      <c r="AN66" s="3431" t="str">
        <f>IF(_xlfn.IFERROR(INDEX(Административные!$K$26:$L$65,MATCH($F66&amp;"2komm",Административные!$K$26:$K$65,0),2),"")=0,"",_xlfn.IFERROR(INDEX(Административные!$K$26:$L$65,MATCH($F66&amp;"2komm",Административные!$K$26:$K$65,0),2),""))</f>
        <v/>
      </c>
      <c r="AO66" s="3430"/>
      <c r="AP66" s="1361"/>
      <c r="AQ66" s="1361"/>
      <c r="AR66" s="1039" t="s">
        <v>1104</v>
      </c>
      <c r="AS66" s="1039"/>
      <c r="AT66" s="1039"/>
      <c r="AU66" s="1036"/>
      <c r="AV66" s="1036"/>
    </row>
    <row customHeight="1" ht="14.625" hidden="1">
      <c r="A67" s="1361"/>
      <c r="B67" s="1361"/>
      <c r="C67" s="1361"/>
      <c r="D67" s="1361"/>
      <c r="E67" s="671">
        <v>15</v>
      </c>
      <c r="F67" s="50" cm="1" t="str">
        <f t="array" ref="F67:F67">OFFSET(E67,-1,1)</f>
        <v>0</v>
      </c>
      <c r="G67" s="552" t="s">
        <v>1105</v>
      </c>
      <c r="H67" s="1361"/>
      <c r="I67" s="562" t="s">
        <v>880</v>
      </c>
      <c r="J67" s="562"/>
      <c r="K67" s="562"/>
      <c r="L67" s="562"/>
      <c r="M67" s="562"/>
      <c r="N67" s="562"/>
      <c r="O67" s="562"/>
      <c r="P67" s="562"/>
      <c r="Q67" s="562"/>
      <c r="R67" s="562"/>
      <c r="S67" s="562"/>
      <c r="T67" s="438" cm="1" t="str">
        <f t="array" ref="T67:T67">T66</f>
        <v>false</v>
      </c>
      <c r="U67" s="1361"/>
      <c r="V67" s="1361"/>
      <c r="W67" s="1361"/>
      <c r="X67" s="1586"/>
      <c r="Y67" s="1361"/>
      <c r="Z67" s="1587"/>
      <c r="AA67" s="1361"/>
      <c r="AB67" s="783" t="s">
        <v>881</v>
      </c>
      <c r="AC67" s="789" t="s">
        <v>1106</v>
      </c>
      <c r="AD67" s="790" t="s">
        <v>789</v>
      </c>
      <c r="AE67" s="778">
        <f>_xlfn.SUMIFS(Административные!AE$25:AE$65,Административные!$F$25:$F$65,$F67,Административные!$G$25:$G$65,$G67)</f>
        <v>0</v>
      </c>
      <c r="AF67" s="778">
        <f>_xlfn.SUMIFS(Административные!AF$25:AF$65,Административные!$F$25:$F$65,$F67,Административные!$G$25:$G$65,$G67)</f>
        <v>0</v>
      </c>
      <c r="AG67" s="778">
        <f>_xlfn.SUMIFS(Административные!AG$25:AG$65,Административные!$F$25:$F$65,$F67,Административные!$G$25:$G$65,$G67)</f>
        <v>0</v>
      </c>
      <c r="AH67" s="778">
        <f>AG67-AF67</f>
        <v>0</v>
      </c>
      <c r="AI67" s="778">
        <f>_xlfn.SUMIFS(Административные!AH$25:AH$65,Административные!$F$25:$F$65,$F67,Административные!$G$25:$G$65,$G67)</f>
        <v>0</v>
      </c>
      <c r="AJ67" s="778">
        <f>_xlfn.SUMIFS(Административные!AI$25:AI$65,Административные!$F$25:$F$65,$F67,Административные!$G$25:$G$65,$G67)</f>
        <v>0</v>
      </c>
      <c r="AK67" s="778">
        <f>_xlfn.SUMIFS(Административные!AJ$25:AJ$65,Административные!$F$25:$F$65,$F67,Административные!$G$25:$G$65,$G67)</f>
        <v>0</v>
      </c>
      <c r="AL67" s="778">
        <f>IF(AI67=0,0,(AK67-AI67)/AI67*100)</f>
        <v>0</v>
      </c>
      <c r="AM67" s="3430"/>
      <c r="AN67" s="3431" t="str">
        <f>IF(_xlfn.IFERROR(INDEX(Административные!$K$26:$L$65,MATCH($F67&amp;"3komm",Административные!$K$26:$K$65,0),2),"")=0,"",_xlfn.IFERROR(INDEX(Административные!$K$26:$L$65,MATCH($F67&amp;"3komm",Административные!$K$26:$K$65,0),2),""))</f>
        <v/>
      </c>
      <c r="AO67" s="3430"/>
      <c r="AP67" s="1361"/>
      <c r="AQ67" s="1361"/>
      <c r="AR67" s="1039" t="s">
        <v>1107</v>
      </c>
      <c r="AS67" s="1039"/>
      <c r="AT67" s="1039"/>
      <c r="AU67" s="1036"/>
      <c r="AV67" s="1036"/>
    </row>
    <row customHeight="1" ht="14.625" hidden="1">
      <c r="A68" s="1361"/>
      <c r="B68" s="1361"/>
      <c r="C68" s="1361"/>
      <c r="D68" s="1361"/>
      <c r="E68" s="671">
        <v>15</v>
      </c>
      <c r="F68" s="50" cm="1" t="str">
        <f t="array" ref="F68:F68">OFFSET(E68,-1,1)</f>
        <v>0</v>
      </c>
      <c r="G68" s="552" t="s">
        <v>1108</v>
      </c>
      <c r="H68" s="1361"/>
      <c r="I68" s="562" t="s">
        <v>883</v>
      </c>
      <c r="J68" s="562"/>
      <c r="K68" s="562"/>
      <c r="L68" s="562"/>
      <c r="M68" s="562"/>
      <c r="N68" s="562"/>
      <c r="O68" s="562"/>
      <c r="P68" s="562"/>
      <c r="Q68" s="562"/>
      <c r="R68" s="562"/>
      <c r="S68" s="562"/>
      <c r="T68" s="438" cm="1" t="str">
        <f t="array" ref="T68:T68">T67</f>
        <v>false</v>
      </c>
      <c r="U68" s="1361"/>
      <c r="V68" s="1361"/>
      <c r="W68" s="1361"/>
      <c r="X68" s="1586"/>
      <c r="Y68" s="1361"/>
      <c r="Z68" s="1587"/>
      <c r="AA68" s="1361"/>
      <c r="AB68" s="783" t="s">
        <v>884</v>
      </c>
      <c r="AC68" s="789" t="s">
        <v>1109</v>
      </c>
      <c r="AD68" s="790" t="s">
        <v>789</v>
      </c>
      <c r="AE68" s="778">
        <f>_xlfn.SUMIFS(Административные!AE$25:AE$65,Административные!$F$25:$F$65,$F68,Административные!$G$25:$G$65,$G68)</f>
        <v>0</v>
      </c>
      <c r="AF68" s="778">
        <f>_xlfn.SUMIFS(Административные!AF$25:AF$65,Административные!$F$25:$F$65,$F68,Административные!$G$25:$G$65,$G68)</f>
        <v>0</v>
      </c>
      <c r="AG68" s="778">
        <f>_xlfn.SUMIFS(Административные!AG$25:AG$65,Административные!$F$25:$F$65,$F68,Административные!$G$25:$G$65,$G68)</f>
        <v>0</v>
      </c>
      <c r="AH68" s="778">
        <f>AG68-AF68</f>
        <v>0</v>
      </c>
      <c r="AI68" s="778">
        <f>_xlfn.SUMIFS(Административные!AH$25:AH$65,Административные!$F$25:$F$65,$F68,Административные!$G$25:$G$65,$G68)</f>
        <v>0</v>
      </c>
      <c r="AJ68" s="778">
        <f>_xlfn.SUMIFS(Административные!AI$25:AI$65,Административные!$F$25:$F$65,$F68,Административные!$G$25:$G$65,$G68)</f>
        <v>0</v>
      </c>
      <c r="AK68" s="778">
        <f>_xlfn.SUMIFS(Административные!AJ$25:AJ$65,Административные!$F$25:$F$65,$F68,Административные!$G$25:$G$65,$G68)</f>
        <v>0</v>
      </c>
      <c r="AL68" s="778">
        <f>IF(AI68=0,0,(AK68-AI68)/AI68*100)</f>
        <v>0</v>
      </c>
      <c r="AM68" s="3430"/>
      <c r="AN68" s="3431" t="str">
        <f>IF(_xlfn.IFERROR(INDEX(Административные!$K$26:$L$65,MATCH($F68&amp;"4komm",Административные!$K$26:$K$65,0),2),"")=0,"",_xlfn.IFERROR(INDEX(Административные!$K$26:$L$65,MATCH($F68&amp;"4komm",Административные!$K$26:$K$65,0),2),""))</f>
        <v/>
      </c>
      <c r="AO68" s="3430"/>
      <c r="AP68" s="1361"/>
      <c r="AQ68" s="1361"/>
      <c r="AR68" s="1039" t="s">
        <v>1110</v>
      </c>
      <c r="AS68" s="1039"/>
      <c r="AT68" s="1039"/>
      <c r="AU68" s="1036"/>
      <c r="AV68" s="1036"/>
    </row>
    <row customHeight="1" ht="14.625" hidden="1">
      <c r="A69" s="1361"/>
      <c r="B69" s="1361"/>
      <c r="C69" s="1361"/>
      <c r="D69" s="1361"/>
      <c r="E69" s="671">
        <v>15</v>
      </c>
      <c r="F69" s="50" cm="1" t="str">
        <f t="array" ref="F69:F69">OFFSET(E69,-1,1)</f>
        <v>0</v>
      </c>
      <c r="G69" s="552" t="s">
        <v>1111</v>
      </c>
      <c r="H69" s="1361"/>
      <c r="I69" s="562" t="s">
        <v>1093</v>
      </c>
      <c r="J69" s="562"/>
      <c r="K69" s="562"/>
      <c r="L69" s="562"/>
      <c r="M69" s="562"/>
      <c r="N69" s="562"/>
      <c r="O69" s="562"/>
      <c r="P69" s="562"/>
      <c r="Q69" s="562"/>
      <c r="R69" s="562"/>
      <c r="S69" s="562"/>
      <c r="T69" s="438" cm="1" t="str">
        <f t="array" ref="T69:T69">T68</f>
        <v>false</v>
      </c>
      <c r="U69" s="1361"/>
      <c r="V69" s="1361"/>
      <c r="W69" s="1361"/>
      <c r="X69" s="1586"/>
      <c r="Y69" s="1361"/>
      <c r="Z69" s="1587"/>
      <c r="AA69" s="1361"/>
      <c r="AB69" s="783" t="s">
        <v>1094</v>
      </c>
      <c r="AC69" s="789" t="s">
        <v>1112</v>
      </c>
      <c r="AD69" s="790" t="s">
        <v>789</v>
      </c>
      <c r="AE69" s="778">
        <f>_xlfn.SUMIFS(Административные!AE$25:AE$65,Административные!$F$25:$F$65,$F69,Административные!$G$25:$G$65,$G69)</f>
        <v>0</v>
      </c>
      <c r="AF69" s="778">
        <f>_xlfn.SUMIFS(Административные!AF$25:AF$65,Административные!$F$25:$F$65,$F69,Административные!$G$25:$G$65,$G69)</f>
        <v>0</v>
      </c>
      <c r="AG69" s="778">
        <f>_xlfn.SUMIFS(Административные!AG$25:AG$65,Административные!$F$25:$F$65,$F69,Административные!$G$25:$G$65,$G69)</f>
        <v>0</v>
      </c>
      <c r="AH69" s="778">
        <f>AG69-AF69</f>
        <v>0</v>
      </c>
      <c r="AI69" s="778">
        <f>_xlfn.SUMIFS(Административные!AH$25:AH$65,Административные!$F$25:$F$65,$F69,Административные!$G$25:$G$65,$G69)</f>
        <v>0</v>
      </c>
      <c r="AJ69" s="778">
        <f>_xlfn.SUMIFS(Административные!AI$25:AI$65,Административные!$F$25:$F$65,$F69,Административные!$G$25:$G$65,$G69)</f>
        <v>0</v>
      </c>
      <c r="AK69" s="778">
        <f>_xlfn.SUMIFS(Административные!AJ$25:AJ$65,Административные!$F$25:$F$65,$F69,Административные!$G$25:$G$65,$G69)</f>
        <v>0</v>
      </c>
      <c r="AL69" s="778">
        <f>IF(AI69=0,0,(AK69-AI69)/AI69*100)</f>
        <v>0</v>
      </c>
      <c r="AM69" s="3430"/>
      <c r="AN69" s="3431" t="str">
        <f>IF(_xlfn.IFERROR(INDEX(Административные!$K$26:$L$65,MATCH($F65&amp;"5komm",Административные!$K$26:$K$65,0),2),"")=0,"",_xlfn.IFERROR(INDEX(Административные!$K$26:$L$65,MATCH($F65&amp;"5komm",Административные!$K$26:$K$65,0),2),""))</f>
        <v/>
      </c>
      <c r="AO69" s="3430"/>
      <c r="AP69" s="1361"/>
      <c r="AQ69" s="1361"/>
      <c r="AR69" s="1039" t="s">
        <v>1657</v>
      </c>
      <c r="AS69" s="1039"/>
      <c r="AT69" s="1039"/>
      <c r="AU69" s="1036"/>
      <c r="AV69" s="1036"/>
    </row>
    <row customHeight="1" ht="14.625" hidden="1">
      <c r="A70" s="1361"/>
      <c r="B70" s="1361"/>
      <c r="C70" s="1361"/>
      <c r="D70" s="1361"/>
      <c r="E70" s="671">
        <v>15</v>
      </c>
      <c r="F70" s="50" cm="1" t="str">
        <f t="array" ref="F70:F70">OFFSET(E70,-1,1)</f>
        <v>0</v>
      </c>
      <c r="G70" s="552" t="s">
        <v>1114</v>
      </c>
      <c r="H70" s="1361"/>
      <c r="I70" s="562" t="s">
        <v>1098</v>
      </c>
      <c r="J70" s="562"/>
      <c r="K70" s="562"/>
      <c r="L70" s="562"/>
      <c r="M70" s="562"/>
      <c r="N70" s="562"/>
      <c r="O70" s="562"/>
      <c r="P70" s="562"/>
      <c r="Q70" s="562"/>
      <c r="R70" s="562"/>
      <c r="S70" s="562"/>
      <c r="T70" s="438" cm="1" t="str">
        <f t="array" ref="T70:T70">T69</f>
        <v>false</v>
      </c>
      <c r="U70" s="1361"/>
      <c r="V70" s="1361"/>
      <c r="W70" s="1361"/>
      <c r="X70" s="1586"/>
      <c r="Y70" s="1361"/>
      <c r="Z70" s="1587"/>
      <c r="AA70" s="1361"/>
      <c r="AB70" s="783" t="s">
        <v>1099</v>
      </c>
      <c r="AC70" s="789" t="s">
        <v>1658</v>
      </c>
      <c r="AD70" s="790" t="s">
        <v>789</v>
      </c>
      <c r="AE70" s="778">
        <f>_xlfn.SUMIFS(Административные!AE$25:AE$65,Административные!$F$25:$F$65,$F70,Административные!$G$25:$G$65,$G70)</f>
        <v>0</v>
      </c>
      <c r="AF70" s="778">
        <f>_xlfn.SUMIFS(Административные!AF$25:AF$65,Административные!$F$25:$F$65,$F70,Административные!$G$25:$G$65,$G70)</f>
        <v>0</v>
      </c>
      <c r="AG70" s="778">
        <f>_xlfn.SUMIFS(Административные!AG$25:AG$65,Административные!$F$25:$F$65,$F70,Административные!$G$25:$G$65,$G70)</f>
        <v>0</v>
      </c>
      <c r="AH70" s="778">
        <f>AG70-AF70</f>
        <v>0</v>
      </c>
      <c r="AI70" s="778">
        <f>_xlfn.SUMIFS(Административные!AH$25:AH$65,Административные!$F$25:$F$65,$F70,Административные!$G$25:$G$65,$G70)</f>
        <v>0</v>
      </c>
      <c r="AJ70" s="778">
        <f>_xlfn.SUMIFS(Административные!AI$25:AI$65,Административные!$F$25:$F$65,$F70,Административные!$G$25:$G$65,$G70)</f>
        <v>0</v>
      </c>
      <c r="AK70" s="778">
        <f>_xlfn.SUMIFS(Административные!AJ$25:AJ$65,Административные!$F$25:$F$65,$F70,Административные!$G$25:$G$65,$G70)</f>
        <v>0</v>
      </c>
      <c r="AL70" s="778">
        <f>IF(AI70=0,0,(AK70-AI70)/AI70*100)</f>
        <v>0</v>
      </c>
      <c r="AM70" s="3430"/>
      <c r="AN70" s="3431" t="str">
        <f>IF(_xlfn.IFERROR(INDEX(Административные!$K$26:$L$65,MATCH($F70&amp;"6komm",Административные!$K$26:$K$65,0),2),"")=0,"",_xlfn.IFERROR(INDEX(Административные!$K$26:$L$65,MATCH($F65&amp;"6komm",Административные!$K$26:$K$65,0),2),""))</f>
        <v/>
      </c>
      <c r="AO70" s="3430"/>
      <c r="AP70" s="1361"/>
      <c r="AQ70" s="1361"/>
      <c r="AR70" s="1039" t="s">
        <v>1659</v>
      </c>
      <c r="AS70" s="1039"/>
      <c r="AT70" s="1039"/>
      <c r="AU70" s="1036"/>
      <c r="AV70" s="1036"/>
    </row>
    <row customHeight="1" ht="14.625" hidden="1">
      <c r="A71" s="1361"/>
      <c r="B71" s="1361"/>
      <c r="C71" s="1361"/>
      <c r="D71" s="1361"/>
      <c r="E71" s="671">
        <v>15</v>
      </c>
      <c r="F71" s="50" cm="1" t="str">
        <f t="array" ref="F71:F71">OFFSET(E71,-1,1)</f>
        <v>0</v>
      </c>
      <c r="G71" s="552" t="s">
        <v>1116</v>
      </c>
      <c r="H71" s="1361"/>
      <c r="I71" s="562" t="s">
        <v>1660</v>
      </c>
      <c r="J71" s="562"/>
      <c r="K71" s="562"/>
      <c r="L71" s="562"/>
      <c r="M71" s="562"/>
      <c r="N71" s="562"/>
      <c r="O71" s="562"/>
      <c r="P71" s="562"/>
      <c r="Q71" s="562"/>
      <c r="R71" s="562"/>
      <c r="S71" s="562"/>
      <c r="T71" s="438" cm="1" t="str">
        <f t="array" ref="T71:T71">T70</f>
        <v>false</v>
      </c>
      <c r="U71" s="1361"/>
      <c r="V71" s="1361"/>
      <c r="W71" s="1361"/>
      <c r="X71" s="1586"/>
      <c r="Y71" s="1361"/>
      <c r="Z71" s="1587"/>
      <c r="AA71" s="1361"/>
      <c r="AB71" s="783" t="s">
        <v>1661</v>
      </c>
      <c r="AC71" s="784" t="s">
        <v>1662</v>
      </c>
      <c r="AD71" s="790" t="s">
        <v>789</v>
      </c>
      <c r="AE71" s="778">
        <f>_xlfn.SUMIFS(Административные!AE$25:AE$65,Административные!$F$25:$F$65,$F71,Административные!$G$25:$G$65,$G71)</f>
        <v>0</v>
      </c>
      <c r="AF71" s="778">
        <f>_xlfn.SUMIFS(Административные!AF$25:AF$65,Административные!$F$25:$F$65,$F71,Административные!$G$25:$G$65,$G71)</f>
        <v>0</v>
      </c>
      <c r="AG71" s="778">
        <f>_xlfn.SUMIFS(Административные!AG$25:AG$65,Административные!$F$25:$F$65,$F71,Административные!$G$25:$G$65,$G71)</f>
        <v>0</v>
      </c>
      <c r="AH71" s="778">
        <f>AG71-AF71</f>
        <v>0</v>
      </c>
      <c r="AI71" s="778">
        <f>_xlfn.SUMIFS(Административные!AH$25:AH$65,Административные!$F$25:$F$65,$F71,Административные!$G$25:$G$65,$G71)</f>
        <v>0</v>
      </c>
      <c r="AJ71" s="778">
        <f>_xlfn.SUMIFS(Административные!AI$25:AI$65,Административные!$F$25:$F$65,$F71,Административные!$G$25:$G$65,$G71)</f>
        <v>0</v>
      </c>
      <c r="AK71" s="778">
        <f>_xlfn.SUMIFS(Административные!AJ$25:AJ$65,Административные!$F$25:$F$65,$F71,Административные!$G$25:$G$65,$G71)</f>
        <v>0</v>
      </c>
      <c r="AL71" s="778">
        <f>IF(AI71=0,0,(AK71-AI71)/AI71*100)</f>
        <v>0</v>
      </c>
      <c r="AM71" s="3430"/>
      <c r="AN71" s="3431" t="str">
        <f>IF(_xlfn.IFERROR(INDEX(Административные!$K$26:$L$65,MATCH($F71&amp;"7komm",Административные!$K$26:$K$65,0),2),"")=0,"",_xlfn.IFERROR(INDEX(Административные!$K$26:$L$65,MATCH($F66&amp;"7komm",Административные!$K$26:$K$65,0),2),""))</f>
        <v/>
      </c>
      <c r="AO71" s="3430"/>
      <c r="AP71" s="1361"/>
      <c r="AQ71" s="1361"/>
      <c r="AR71" s="1039" t="s">
        <v>1663</v>
      </c>
      <c r="AS71" s="1039"/>
      <c r="AT71" s="1039"/>
      <c r="AU71" s="1036"/>
      <c r="AV71" s="1036"/>
    </row>
    <row customHeight="1" ht="43.875" hidden="1">
      <c r="A72" s="1361"/>
      <c r="B72" s="1361"/>
      <c r="C72" s="1361"/>
      <c r="D72" s="1361"/>
      <c r="E72" s="671">
        <v>45</v>
      </c>
      <c r="F72" s="50" cm="1" t="str">
        <f t="array" ref="F72:F72">OFFSET(E72,-1,1)</f>
        <v>0</v>
      </c>
      <c r="G72" s="552" t="s">
        <v>1119</v>
      </c>
      <c r="H72" s="1361"/>
      <c r="I72" s="562" t="s">
        <v>1664</v>
      </c>
      <c r="J72" s="562"/>
      <c r="K72" s="562"/>
      <c r="L72" s="562"/>
      <c r="M72" s="562"/>
      <c r="N72" s="562"/>
      <c r="O72" s="562"/>
      <c r="P72" s="562"/>
      <c r="Q72" s="562"/>
      <c r="R72" s="562"/>
      <c r="S72" s="562"/>
      <c r="T72" s="438" cm="1" t="str">
        <f t="array" ref="T72:T72">T71</f>
        <v>false</v>
      </c>
      <c r="U72" s="1361"/>
      <c r="V72" s="1361"/>
      <c r="W72" s="1361"/>
      <c r="X72" s="1586"/>
      <c r="Y72" s="1361"/>
      <c r="Z72" s="1587"/>
      <c r="AA72" s="1361"/>
      <c r="AB72" s="783" t="s">
        <v>1665</v>
      </c>
      <c r="AC72" s="738" t="s">
        <v>1120</v>
      </c>
      <c r="AD72" s="790" t="s">
        <v>789</v>
      </c>
      <c r="AE72" s="778">
        <f>_xlfn.SUMIFS(Административные!AE$25:AE$65,Административные!$F$25:$F$65,$F72,Административные!$G$25:$G$65,$G72)</f>
        <v>0</v>
      </c>
      <c r="AF72" s="778">
        <f>_xlfn.SUMIFS(Административные!AF$25:AF$65,Административные!$F$25:$F$65,$F72,Административные!$G$25:$G$65,$G72)</f>
        <v>0</v>
      </c>
      <c r="AG72" s="778">
        <f>_xlfn.SUMIFS(Административные!AG$25:AG$65,Административные!$F$25:$F$65,$F72,Административные!$G$25:$G$65,$G72)</f>
        <v>0</v>
      </c>
      <c r="AH72" s="778">
        <f>AG72-AF72</f>
        <v>0</v>
      </c>
      <c r="AI72" s="778">
        <f>_xlfn.SUMIFS(Административные!AH$25:AH$65,Административные!$F$25:$F$65,$F72,Административные!$G$25:$G$65,$G72)</f>
        <v>0</v>
      </c>
      <c r="AJ72" s="778">
        <f>_xlfn.SUMIFS(Административные!AI$25:AI$65,Административные!$F$25:$F$65,$F72,Административные!$G$25:$G$65,$G72)</f>
        <v>0</v>
      </c>
      <c r="AK72" s="778">
        <f>_xlfn.SUMIFS(Административные!AJ$25:AJ$65,Административные!$F$25:$F$65,$F72,Административные!$G$25:$G$65,$G72)</f>
        <v>0</v>
      </c>
      <c r="AL72" s="778">
        <f>IF(AI72=0,0,(AK72-AI72)/AI72*100)</f>
        <v>0</v>
      </c>
      <c r="AM72" s="3430"/>
      <c r="AN72" s="3431" t="str">
        <f>IF(_xlfn.IFERROR(INDEX(Административные!$K$26:$L$65,MATCH($F72&amp;"8komm",Административные!$K$26:$K$65,0),2),"")=0,"",_xlfn.IFERROR(INDEX(Административные!$K$26:$L$65,MATCH($F67&amp;"8komm",Административные!$K$26:$K$65,0),2),""))</f>
        <v/>
      </c>
      <c r="AO72" s="3430"/>
      <c r="AP72" s="1361"/>
      <c r="AQ72" s="1361"/>
      <c r="AR72" s="1039" t="s">
        <v>1666</v>
      </c>
      <c r="AS72" s="1039"/>
      <c r="AT72" s="1039"/>
      <c r="AU72" s="1036"/>
      <c r="AV72" s="1036"/>
    </row>
    <row customHeight="1" ht="14.625" hidden="1">
      <c r="A73" s="1361"/>
      <c r="B73" s="1361"/>
      <c r="C73" s="1361"/>
      <c r="D73" s="1361"/>
      <c r="E73" s="671">
        <v>15</v>
      </c>
      <c r="F73" s="50" cm="1" t="str">
        <f t="array" ref="F73:F73">OFFSET(E73,-1,1)</f>
        <v>0</v>
      </c>
      <c r="G73" s="552" t="s">
        <v>1122</v>
      </c>
      <c r="H73" s="1361"/>
      <c r="I73" s="562" t="s">
        <v>1667</v>
      </c>
      <c r="J73" s="562"/>
      <c r="K73" s="562"/>
      <c r="L73" s="562"/>
      <c r="M73" s="562"/>
      <c r="N73" s="562"/>
      <c r="O73" s="562"/>
      <c r="P73" s="562"/>
      <c r="Q73" s="562"/>
      <c r="R73" s="562"/>
      <c r="S73" s="562"/>
      <c r="T73" s="438" cm="1" t="str">
        <f t="array" ref="T73:T73">T72</f>
        <v>false</v>
      </c>
      <c r="U73" s="1361"/>
      <c r="V73" s="1361"/>
      <c r="W73" s="1361"/>
      <c r="X73" s="1586"/>
      <c r="Y73" s="1361"/>
      <c r="Z73" s="1587"/>
      <c r="AA73" s="1361"/>
      <c r="AB73" s="783" t="s">
        <v>1668</v>
      </c>
      <c r="AC73" s="784" t="s">
        <v>1123</v>
      </c>
      <c r="AD73" s="790" t="s">
        <v>789</v>
      </c>
      <c r="AE73" s="778">
        <f>_xlfn.SUMIFS(Административные!AE$25:AE$65,Административные!$F$25:$F$65,$F73,Административные!$G$25:$G$65,$G73)</f>
        <v>0</v>
      </c>
      <c r="AF73" s="778">
        <f>_xlfn.SUMIFS(Административные!AF$25:AF$65,Административные!$F$25:$F$65,$F73,Административные!$G$25:$G$65,$G73)</f>
        <v>0</v>
      </c>
      <c r="AG73" s="778">
        <f>_xlfn.SUMIFS(Административные!AG$25:AG$65,Административные!$F$25:$F$65,$F73,Административные!$G$25:$G$65,$G73)</f>
        <v>0</v>
      </c>
      <c r="AH73" s="778">
        <f>AG73-AF73</f>
        <v>0</v>
      </c>
      <c r="AI73" s="778">
        <f>_xlfn.SUMIFS(Административные!AH$25:AH$65,Административные!$F$25:$F$65,$F73,Административные!$G$25:$G$65,$G73)</f>
        <v>0</v>
      </c>
      <c r="AJ73" s="1094">
        <f>_xlfn.SUMIFS(Административные!AI$25:AI$65,Административные!$F$25:$F$65,$F73,Административные!$G$25:$G$65,$G73)</f>
        <v>0</v>
      </c>
      <c r="AK73" s="1094">
        <f>_xlfn.SUMIFS(Административные!AJ$25:AJ$65,Административные!$F$25:$F$65,$F73,Административные!$G$25:$G$65,$G73)</f>
        <v>0</v>
      </c>
      <c r="AL73" s="778">
        <f>IF(AI73=0,0,(AK73-AI73)/AI73*100)</f>
        <v>0</v>
      </c>
      <c r="AM73" s="3430"/>
      <c r="AN73" s="3431" t="str">
        <f>IF(_xlfn.IFERROR(INDEX(Административные!$K$26:$L$65,MATCH($F73&amp;"9komm",Административные!$K$26:$K$65,0),2),"")=0,"",_xlfn.IFERROR(INDEX(Административные!$K$26:$L$65,MATCH($F68&amp;"9komm",Административные!$K$26:$K$65,0),2),""))</f>
        <v/>
      </c>
      <c r="AO73" s="3430"/>
      <c r="AP73" s="1361"/>
      <c r="AQ73" s="1361"/>
      <c r="AR73" s="1039" t="s">
        <v>1669</v>
      </c>
      <c r="AS73" s="1039"/>
      <c r="AT73" s="1039"/>
      <c r="AU73" s="1036"/>
      <c r="AV73" s="1036"/>
    </row>
    <row s="563" customFormat="1" customHeight="1" ht="14.625" hidden="1">
      <c r="A74" s="563"/>
      <c r="B74" s="563">
        <f>STATUS_GO="да"</f>
        <v>0</v>
      </c>
      <c r="C74" s="563"/>
      <c r="D74" s="563"/>
      <c r="E74" s="673">
        <v>15</v>
      </c>
      <c r="F74" s="50" cm="1" t="str">
        <f t="array" ref="F74:F74">OFFSET(E74,-1,1)</f>
        <v>0</v>
      </c>
      <c r="G74" s="563"/>
      <c r="H74" s="563"/>
      <c r="I74" s="674" t="s">
        <v>325</v>
      </c>
      <c r="J74" s="674"/>
      <c r="K74" s="674"/>
      <c r="L74" s="674"/>
      <c r="M74" s="674"/>
      <c r="N74" s="674"/>
      <c r="O74" s="674"/>
      <c r="P74" s="674"/>
      <c r="Q74" s="674"/>
      <c r="R74" s="674"/>
      <c r="S74" s="674"/>
      <c r="T74" s="438" cm="1" t="str">
        <f t="array" ref="T74:T74">T73</f>
        <v>false</v>
      </c>
      <c r="U74" s="563"/>
      <c r="V74" s="563"/>
      <c r="W74" s="563"/>
      <c r="X74" s="1586"/>
      <c r="Y74" s="563"/>
      <c r="Z74" s="1587"/>
      <c r="AA74" s="563"/>
      <c r="AB74" s="780" t="s">
        <v>530</v>
      </c>
      <c r="AC74" s="776" t="s">
        <v>1670</v>
      </c>
      <c r="AD74" s="788" t="s">
        <v>789</v>
      </c>
      <c r="AE74" s="777">
        <f>_xlfn.SUMIFS('Сбытовые расходы ГО'!AE$25:AE$51,'Сбытовые расходы ГО'!$F$25:$F$51,$F74,'Сбытовые расходы ГО'!$G$25:$G$51,"l0")</f>
        <v>0</v>
      </c>
      <c r="AF74" s="777">
        <f>_xlfn.SUMIFS('Сбытовые расходы ГО'!AF$25:AF$51,'Сбытовые расходы ГО'!$F$25:$F$51,$F74,'Сбытовые расходы ГО'!$G$25:$G$51,"l0")</f>
        <v>0</v>
      </c>
      <c r="AG74" s="777">
        <f>_xlfn.SUMIFS('Сбытовые расходы ГО'!AG$25:AG$51,'Сбытовые расходы ГО'!$F$25:$F$51,$F74,'Сбытовые расходы ГО'!$G$25:$G$51,"l0")</f>
        <v>0</v>
      </c>
      <c r="AH74" s="777">
        <f>AG74-AF74</f>
        <v>0</v>
      </c>
      <c r="AI74" s="777">
        <f>_xlfn.SUMIFS('Сбытовые расходы ГО'!AH$25:AH$51,'Сбытовые расходы ГО'!$F$25:$F$51,$F74,'Сбытовые расходы ГО'!$G$25:$G$51,"l0")</f>
        <v>0</v>
      </c>
      <c r="AJ74" s="777">
        <f>_xlfn.SUMIFS('Сбытовые расходы ГО'!AI$25:AI$51,'Сбытовые расходы ГО'!$F$25:$F$51,$F74,'Сбытовые расходы ГО'!$G$25:$G$51,"l0")</f>
        <v>0</v>
      </c>
      <c r="AK74" s="777">
        <f>_xlfn.SUMIFS('Сбытовые расходы ГО'!AJ$25:AJ$51,'Сбытовые расходы ГО'!$F$25:$F$51,$F74,'Сбытовые расходы ГО'!$G$25:$G$51,"l0")</f>
        <v>0</v>
      </c>
      <c r="AL74" s="777">
        <f>IF(AI74=0,0,(AK74-AI74)/AI74*100)</f>
        <v>0</v>
      </c>
      <c r="AM74" s="3438"/>
      <c r="AN74" s="3431"/>
      <c r="AO74" s="3438"/>
      <c r="AP74" s="563"/>
      <c r="AQ74" s="563"/>
      <c r="AR74" s="1040" t="s">
        <v>1671</v>
      </c>
      <c r="AS74" s="1040"/>
      <c r="AT74" s="1040"/>
      <c r="AU74" s="673"/>
      <c r="AV74" s="673"/>
    </row>
    <row s="563" customFormat="1" customHeight="1" ht="14.625" hidden="1">
      <c r="A75" s="563"/>
      <c r="B75" s="563"/>
      <c r="C75" s="563"/>
      <c r="D75" s="563"/>
      <c r="E75" s="673">
        <v>15</v>
      </c>
      <c r="F75" s="50" cm="1" t="str">
        <f t="array" ref="F75:F75">OFFSET(E75,-1,1)</f>
        <v>0</v>
      </c>
      <c r="G75" s="563"/>
      <c r="H75" s="563"/>
      <c r="I75" s="674" t="s">
        <v>324</v>
      </c>
      <c r="J75" s="674"/>
      <c r="K75" s="674"/>
      <c r="L75" s="674"/>
      <c r="M75" s="674"/>
      <c r="N75" s="674"/>
      <c r="O75" s="674"/>
      <c r="P75" s="674"/>
      <c r="Q75" s="674"/>
      <c r="R75" s="674"/>
      <c r="S75" s="674"/>
      <c r="T75" s="438" cm="1" t="str">
        <f t="array" ref="T75:T75">T74</f>
        <v>false</v>
      </c>
      <c r="U75" s="563"/>
      <c r="V75" s="563"/>
      <c r="W75" s="563"/>
      <c r="X75" s="1586"/>
      <c r="Y75" s="563"/>
      <c r="Z75" s="1587"/>
      <c r="AA75" s="563"/>
      <c r="AB75" s="780" t="s">
        <v>485</v>
      </c>
      <c r="AC75" s="564" t="s">
        <v>1672</v>
      </c>
      <c r="AD75" s="788" t="s">
        <v>789</v>
      </c>
      <c r="AE75" s="777">
        <f>_xlfn.SUMIFS(Амортизация!AE$25:AE$125,Амортизация!$F$25:$F$125,$F75,Амортизация!$AC$25:$AC$125,"Сумма амортизационных отчислений")</f>
        <v>0</v>
      </c>
      <c r="AF75" s="777">
        <f>_xlfn.SUMIFS(Амортизация!AF$25:AF$125,Амортизация!$F$25:$F$125,$F75,Амортизация!$AC$25:$AC$125,"Сумма амортизационных отчислений")</f>
        <v>0</v>
      </c>
      <c r="AG75" s="777">
        <f>_xlfn.SUMIFS(Амортизация!AG$25:AG$125,Амортизация!$F$25:$F$125,$F75,Амортизация!$AC$25:$AC$125,"Сумма амортизационных отчислений")</f>
        <v>0</v>
      </c>
      <c r="AH75" s="777">
        <f>AG75-AF75</f>
        <v>0</v>
      </c>
      <c r="AI75" s="777">
        <f>_xlfn.SUMIFS(Амортизация!AH$25:AH$125,Амортизация!$F$25:$F$125,$F75,Амортизация!$AC$25:$AC$125,"Сумма амортизационных отчислений")</f>
        <v>0</v>
      </c>
      <c r="AJ75" s="777">
        <f>_xlfn.SUMIFS(Амортизация!AI$25:AI$125,Амортизация!$F$25:$F$125,$F75,Амортизация!$AC$25:$AC$125,"Сумма амортизационных отчислений")</f>
        <v>0</v>
      </c>
      <c r="AK75" s="777">
        <f>_xlfn.SUMIFS(Амортизация!AS$25:AS$125,Амортизация!$F$25:$F$125,$F75,Амортизация!$AC$25:$AC$125,"Сумма амортизационных отчислений")</f>
        <v>0</v>
      </c>
      <c r="AL75" s="777">
        <f>IF(AI75=0,0,(AK75-AI75)/AI75*100)</f>
        <v>0</v>
      </c>
      <c r="AM75" s="3438"/>
      <c r="AN75" s="3431" t="str">
        <f>IF(_xlfn.IFERROR(INDEX(Амортизация!$K$26:$L$125,MATCH($F75&amp;"komm",Амортизация!$K$26:$K$525,0),2),"")=0,"",_xlfn.IFERROR(INDEX(Амортизация!$K$26:$L$125,MATCH($F75&amp;"komm",Амортизация!$K$26:$K$525,0),2),""))</f>
        <v/>
      </c>
      <c r="AO75" s="3438"/>
      <c r="AP75" s="563"/>
      <c r="AQ75" s="563"/>
      <c r="AR75" s="1040" t="s">
        <v>1118</v>
      </c>
      <c r="AS75" s="1040"/>
      <c r="AT75" s="1040"/>
      <c r="AU75" s="673"/>
      <c r="AV75" s="673"/>
    </row>
    <row customHeight="1" ht="14.625" hidden="1">
      <c r="A76" s="1361"/>
      <c r="B76" s="1361"/>
      <c r="C76" s="1361"/>
      <c r="D76" s="1361"/>
      <c r="E76" s="671">
        <v>15</v>
      </c>
      <c r="F76" s="50" cm="1" t="str">
        <f t="array" ref="F76:F76">OFFSET(E76,-1,1)</f>
        <v>0</v>
      </c>
      <c r="G76" s="1361"/>
      <c r="H76" s="1361"/>
      <c r="I76" s="562" t="s">
        <v>522</v>
      </c>
      <c r="J76" s="562"/>
      <c r="K76" s="562"/>
      <c r="L76" s="562"/>
      <c r="M76" s="562"/>
      <c r="N76" s="562"/>
      <c r="O76" s="562"/>
      <c r="P76" s="562"/>
      <c r="Q76" s="562"/>
      <c r="R76" s="562"/>
      <c r="S76" s="562"/>
      <c r="T76" s="438" cm="1" t="str">
        <f t="array" ref="T76:T76">T75</f>
        <v>false</v>
      </c>
      <c r="U76" s="1361"/>
      <c r="V76" s="1361"/>
      <c r="W76" s="1361"/>
      <c r="X76" s="1586"/>
      <c r="Y76" s="1361"/>
      <c r="Z76" s="1587"/>
      <c r="AA76" s="1361"/>
      <c r="AB76" s="783" t="s">
        <v>653</v>
      </c>
      <c r="AC76" s="789" t="s">
        <v>1673</v>
      </c>
      <c r="AD76" s="790" t="s">
        <v>789</v>
      </c>
      <c r="AE76" s="785">
        <f>_xlfn.SUMIFS('ИП + источники'!AF$27:AF$87,'ИП + источники'!$F$27:$F$87,$F76,'ИП + источники'!$AC$27:$AC$87,"Амортизационные отчисления")+_xlfn.SUMIFS('ИП + источники'!AF$27:AF$87,'ИП + источники'!$F$27:$F$87,$F76,'ИП + источники'!$AC$27:$AC$87,"погашение займов и кредитов из амортизации")</f>
        <v>0</v>
      </c>
      <c r="AF76" s="785">
        <f>_xlfn.SUMIFS('ИП + источники'!AG$27:AG$87,'ИП + источники'!$F$27:$F$87,$F76,'ИП + источники'!$AC$27:$AC$87,"Амортизационные отчисления")+_xlfn.SUMIFS('ИП + источники'!AG$27:AG$87,'ИП + источники'!$F$27:$F$87,$F76,'ИП + источники'!$AC$27:$AC$87,"погашение займов и кредитов из амортизации")</f>
        <v>0</v>
      </c>
      <c r="AG76" s="785">
        <f>_xlfn.SUMIFS('ИП + источники'!AH$27:AH$87,'ИП + источники'!$F$27:$F$87,$F76,'ИП + источники'!$AC$27:$AC$87,"Амортизационные отчисления")+_xlfn.SUMIFS('ИП + источники'!AH$27:AH$87,'ИП + источники'!$F$27:$F$87,$F76,'ИП + источники'!$AC$27:$AC$87,"погашение займов и кредитов из амортизации")</f>
        <v>0</v>
      </c>
      <c r="AH76" s="778">
        <f>AG76-AF76</f>
        <v>0</v>
      </c>
      <c r="AI76" s="785">
        <f>_xlfn.SUMIFS('ИП + источники'!AH$27:AH$87,'ИП + источники'!$F$27:$F$87,$F76,'ИП + источники'!$AC$27:$AC$87,"Амортизационные отчисления")+_xlfn.SUMIFS('ИП + источники'!AH$27:AH$87,'ИП + источники'!$F$27:$F$87,$F76,'ИП + источники'!$AC$27:$AC$87,"погашение займов и кредитов из амортизации")</f>
        <v>0</v>
      </c>
      <c r="AJ76" s="3443">
        <f>_xlfn.SUMIFS('ИП + источники'!AI$27:AI$87,'ИП + источники'!$F$27:$F$87,$F76,'ИП + источники'!$AC$27:$AC$87,"Амортизационные отчисления")+_xlfn.SUMIFS('ИП + источники'!AI$27:AI$87,'ИП + источники'!$F$27:$F$87,$F76,'ИП + источники'!$AC$27:$AC$87,"погашение займов и кредитов из амортизации")</f>
        <v>0</v>
      </c>
      <c r="AK76" s="3443">
        <f>_xlfn.SUMIFS('ИП + источники'!AJ$27:AJ$87,'ИП + источники'!$F$27:$F$87,$F76,'ИП + источники'!$AC$27:$AC$87,"Амортизационные отчисления")+_xlfn.SUMIFS('ИП + источники'!AJ$27:AJ$87,'ИП + источники'!$F$27:$F$87,$F76,'ИП + источники'!$AC$27:$AC$87,"погашение займов и кредитов из амортизации")</f>
        <v>0</v>
      </c>
      <c r="AL76" s="778">
        <f>IF(AI76=0,0,(AK76-AI76)/AI76*100)</f>
        <v>0</v>
      </c>
      <c r="AM76" s="3430"/>
      <c r="AN76" s="3430"/>
      <c r="AO76" s="3430"/>
      <c r="AP76" s="1361"/>
      <c r="AQ76" s="1361"/>
      <c r="AR76" s="1039" t="s">
        <v>1674</v>
      </c>
      <c r="AS76" s="1039"/>
      <c r="AT76" s="1039"/>
      <c r="AU76" s="1036"/>
      <c r="AV76" s="1036"/>
    </row>
    <row s="563" customFormat="1" customHeight="1" ht="21.9375" hidden="1">
      <c r="A77" s="563"/>
      <c r="B77" s="563"/>
      <c r="C77" s="563"/>
      <c r="D77" s="563"/>
      <c r="E77" s="673">
        <v>22.5</v>
      </c>
      <c r="F77" s="50" cm="1" t="str">
        <f t="array" ref="F77:F77">OFFSET(E77,-1,1)</f>
        <v>0</v>
      </c>
      <c r="G77" s="563"/>
      <c r="H77" s="563"/>
      <c r="I77" s="674" t="s">
        <v>484</v>
      </c>
      <c r="J77" s="674"/>
      <c r="K77" s="674"/>
      <c r="L77" s="674"/>
      <c r="M77" s="674"/>
      <c r="N77" s="674"/>
      <c r="O77" s="674"/>
      <c r="P77" s="674"/>
      <c r="Q77" s="674"/>
      <c r="R77" s="674"/>
      <c r="S77" s="674"/>
      <c r="T77" s="438" cm="1" t="str">
        <f t="array" ref="T77:T77">T76</f>
        <v>false</v>
      </c>
      <c r="U77" s="563"/>
      <c r="V77" s="563"/>
      <c r="W77" s="563"/>
      <c r="X77" s="1586"/>
      <c r="Y77" s="563"/>
      <c r="Z77" s="1587"/>
      <c r="AA77" s="563"/>
      <c r="AB77" s="780" t="s">
        <v>489</v>
      </c>
      <c r="AC77" s="564" t="s">
        <v>1675</v>
      </c>
      <c r="AD77" s="788" t="s">
        <v>789</v>
      </c>
      <c r="AE77" s="777">
        <f>_xlfn.SUMIFS(Аренда!AE$25:AE$47,Аренда!$F$25:$F$47,$F77,Аренда!$G$25:$G$47,"Арендная и концессионная плата, лизинговые платежи")</f>
        <v>0</v>
      </c>
      <c r="AF77" s="777">
        <f>_xlfn.SUMIFS(Аренда!AF$25:AF$47,Аренда!$F$25:$F$47,$F77,Аренда!$G$25:$G$47,"Арендная и концессионная плата, лизинговые платежи")</f>
        <v>0</v>
      </c>
      <c r="AG77" s="777">
        <f>_xlfn.SUMIFS(Аренда!AG$25:AG$47,Аренда!$F$25:$F$47,$F77,Аренда!$G$25:$G$47,"Арендная и концессионная плата, лизинговые платежи")</f>
        <v>0</v>
      </c>
      <c r="AH77" s="777">
        <f>AG77-AF77</f>
        <v>0</v>
      </c>
      <c r="AI77" s="777">
        <f>_xlfn.SUMIFS(Аренда!AH$25:AH$47,Аренда!$F$25:$F$47,$F77,Аренда!$G$25:$G$47,"Арендная и концессионная плата, лизинговые платежи")</f>
        <v>0</v>
      </c>
      <c r="AJ77" s="777">
        <f>_xlfn.SUMIFS(Аренда!AI$25:AI$47,Аренда!$F$25:$F$47,$F77,Аренда!$G$25:$G$47,"Арендная и концессионная плата, лизинговые платежи")</f>
        <v>0</v>
      </c>
      <c r="AK77" s="777">
        <f>_xlfn.SUMIFS(Аренда!AS$25:AS$47,Аренда!$F$25:$F$47,$F77,Аренда!$G$25:$G$47,"Арендная и концессионная плата, лизинговые платежи")</f>
        <v>0</v>
      </c>
      <c r="AL77" s="777">
        <f>IF(AI77=0,0,(AK77-AI77)/AI77*100)</f>
        <v>0</v>
      </c>
      <c r="AM77" s="3438"/>
      <c r="AN77" s="3431" t="str">
        <f>IF(_xlfn.IFERROR(INDEX(Аренда!$K$26:$L$47,MATCH($F77&amp;"komm",Аренда!$K$26:$K$47,0),2),"")=0,"",_xlfn.IFERROR(INDEX(Аренда!$K$26:$L$47,MATCH($F77&amp;"komm",Аренда!$K$26:$K$47,0),2),""))</f>
        <v/>
      </c>
      <c r="AO77" s="3438"/>
      <c r="AP77" s="563"/>
      <c r="AQ77" s="563"/>
      <c r="AR77" s="1040" t="s">
        <v>1676</v>
      </c>
      <c r="AS77" s="1040"/>
      <c r="AT77" s="1040"/>
      <c r="AU77" s="673"/>
      <c r="AV77" s="673"/>
    </row>
    <row s="563" customFormat="1" customHeight="1" ht="14.625" hidden="1">
      <c r="A78" s="563"/>
      <c r="B78" s="563"/>
      <c r="C78" s="563"/>
      <c r="D78" s="563"/>
      <c r="E78" s="673">
        <v>15</v>
      </c>
      <c r="F78" s="50" cm="1" t="str">
        <f t="array" ref="F78:F78">OFFSET(E78,-1,1)</f>
        <v>0</v>
      </c>
      <c r="G78" s="563"/>
      <c r="H78" s="563"/>
      <c r="I78" s="674" t="s">
        <v>488</v>
      </c>
      <c r="J78" s="674"/>
      <c r="K78" s="674"/>
      <c r="L78" s="674"/>
      <c r="M78" s="674"/>
      <c r="N78" s="674"/>
      <c r="O78" s="674"/>
      <c r="P78" s="674"/>
      <c r="Q78" s="674"/>
      <c r="R78" s="674"/>
      <c r="S78" s="674"/>
      <c r="T78" s="438" cm="1" t="str">
        <f t="array" ref="T78:T78">T77</f>
        <v>false</v>
      </c>
      <c r="U78" s="563"/>
      <c r="V78" s="563"/>
      <c r="W78" s="563"/>
      <c r="X78" s="1586"/>
      <c r="Y78" s="563"/>
      <c r="Z78" s="1587"/>
      <c r="AA78" s="563"/>
      <c r="AB78" s="780" t="s">
        <v>551</v>
      </c>
      <c r="AC78" s="564" t="s">
        <v>1677</v>
      </c>
      <c r="AD78" s="788" t="s">
        <v>789</v>
      </c>
      <c r="AE78" s="777">
        <f>_xlfn.SUMIFS(Налоги!AE$25:AE$55,Налоги!$F$25:$F$55,$F78,Налоги!$AC$25:$AC$55,"Налоги и платежи, относимые на указанный вид деятельности")</f>
        <v>0</v>
      </c>
      <c r="AF78" s="777">
        <f>_xlfn.SUMIFS(Налоги!AF$25:AF$55,Налоги!$F$25:$F$55,$F78,Налоги!$AC$25:$AC$55,"Налоги и платежи, относимые на указанный вид деятельности")</f>
        <v>0</v>
      </c>
      <c r="AG78" s="777">
        <f>_xlfn.SUMIFS(Налоги!AG$25:AG$55,Налоги!$F$25:$F$55,$F78,Налоги!$AC$25:$AC$55,"Налоги и платежи, относимые на указанный вид деятельности")</f>
        <v>0</v>
      </c>
      <c r="AH78" s="777">
        <f>AG78-AF78</f>
        <v>0</v>
      </c>
      <c r="AI78" s="777">
        <f>_xlfn.SUMIFS(Налоги!AH$25:AH$55,Налоги!$F$25:$F$55,$F78,Налоги!$AC$25:$AC$55,"Налоги и платежи, относимые на указанный вид деятельности")</f>
        <v>0</v>
      </c>
      <c r="AJ78" s="777">
        <f>_xlfn.SUMIFS(Налоги!AI$25:AI$55,Налоги!$F$25:$F$55,$F78,Налоги!$AC$25:$AC$55,"Налоги и платежи, относимые на указанный вид деятельности")</f>
        <v>0</v>
      </c>
      <c r="AK78" s="777">
        <f>_xlfn.SUMIFS(Налоги!AS$25:AS$55,Налоги!$F$25:$F$55,$F78,Налоги!$AC$25:$AC$55,"Налоги и платежи, относимые на указанный вид деятельности")</f>
        <v>0</v>
      </c>
      <c r="AL78" s="777">
        <f>IF(AI78=0,0,(AK78-AI78)/AI78*100)</f>
        <v>0</v>
      </c>
      <c r="AM78" s="3438"/>
      <c r="AN78" s="3431" t="str">
        <f>IF(_xlfn.IFERROR(INDEX(Налоги!$K$26:$L$55,MATCH($F78&amp;"komm",Налоги!$K$26:$K$55,0),2),"")=0,"",_xlfn.IFERROR(INDEX(Налоги!$K$26:$L$55,MATCH($F78&amp;"komm",Налоги!$K$26:$K$55,0),2),""))</f>
        <v/>
      </c>
      <c r="AO78" s="3438"/>
      <c r="AP78" s="563"/>
      <c r="AQ78" s="563"/>
      <c r="AR78" s="1040" t="s">
        <v>1146</v>
      </c>
      <c r="AS78" s="1040"/>
      <c r="AT78" s="1040"/>
      <c r="AU78" s="673"/>
      <c r="AV78" s="673"/>
    </row>
    <row s="563" customFormat="1" customHeight="1" ht="14.625" hidden="1">
      <c r="A79" s="563"/>
      <c r="B79" s="563"/>
      <c r="C79" s="563"/>
      <c r="D79" s="563"/>
      <c r="E79" s="673">
        <v>15</v>
      </c>
      <c r="F79" s="50" cm="1" t="str">
        <f t="array" ref="F79:F79">OFFSET(E79,-1,1)</f>
        <v>0</v>
      </c>
      <c r="G79" s="563"/>
      <c r="H79" s="563"/>
      <c r="I79" s="674" t="s">
        <v>535</v>
      </c>
      <c r="J79" s="674"/>
      <c r="K79" s="674"/>
      <c r="L79" s="674"/>
      <c r="M79" s="674"/>
      <c r="N79" s="674"/>
      <c r="O79" s="674"/>
      <c r="P79" s="674"/>
      <c r="Q79" s="674"/>
      <c r="R79" s="674"/>
      <c r="S79" s="674"/>
      <c r="T79" s="438" cm="1" t="str">
        <f t="array" ref="T79:T79">T78</f>
        <v>false</v>
      </c>
      <c r="U79" s="563"/>
      <c r="V79" s="563"/>
      <c r="W79" s="563"/>
      <c r="X79" s="1586"/>
      <c r="Y79" s="563"/>
      <c r="Z79" s="1587"/>
      <c r="AA79" s="563"/>
      <c r="AB79" s="780" t="s">
        <v>559</v>
      </c>
      <c r="AC79" s="564" t="s">
        <v>1678</v>
      </c>
      <c r="AD79" s="565" t="s">
        <v>789</v>
      </c>
      <c r="AE79" s="764">
        <f>AE80+AE81+AE82</f>
        <v>0</v>
      </c>
      <c r="AF79" s="764">
        <f>AF80+AF81+AF82</f>
        <v>0</v>
      </c>
      <c r="AG79" s="764">
        <f>AG80+AG81+AG82</f>
        <v>0</v>
      </c>
      <c r="AH79" s="764">
        <f>AG79-AF79</f>
        <v>0</v>
      </c>
      <c r="AI79" s="764">
        <f>AI80+AI81+AI82</f>
        <v>0</v>
      </c>
      <c r="AJ79" s="764">
        <f>AJ80+AJ81+AJ82</f>
        <v>0</v>
      </c>
      <c r="AK79" s="764">
        <f>AK80+AK81+AK82</f>
        <v>0</v>
      </c>
      <c r="AL79" s="777">
        <f>IF(AI79=0,0,(AK79-AI79)/AI79*100)</f>
        <v>0</v>
      </c>
      <c r="AM79" s="3438"/>
      <c r="AN79" s="3431"/>
      <c r="AO79" s="3438"/>
      <c r="AP79" s="563"/>
      <c r="AQ79" s="563"/>
      <c r="AR79" s="1040" t="s">
        <v>1381</v>
      </c>
      <c r="AS79" s="1040"/>
      <c r="AT79" s="1040"/>
      <c r="AU79" s="673"/>
      <c r="AV79" s="673"/>
    </row>
    <row customHeight="1" ht="14.625" hidden="1">
      <c r="A80" s="1361"/>
      <c r="B80" s="1361"/>
      <c r="C80" s="1361"/>
      <c r="D80" s="1361"/>
      <c r="E80" s="671">
        <v>15</v>
      </c>
      <c r="F80" s="50" cm="1" t="str">
        <f t="array" ref="F80:F80">OFFSET(E80,-1,1)</f>
        <v>0</v>
      </c>
      <c r="G80" s="1361"/>
      <c r="H80" s="1361"/>
      <c r="I80" s="562" t="s">
        <v>538</v>
      </c>
      <c r="J80" s="562"/>
      <c r="K80" s="562"/>
      <c r="L80" s="562"/>
      <c r="M80" s="562"/>
      <c r="N80" s="562"/>
      <c r="O80" s="562"/>
      <c r="P80" s="562"/>
      <c r="Q80" s="562"/>
      <c r="R80" s="562"/>
      <c r="S80" s="562"/>
      <c r="T80" s="438" cm="1" t="str">
        <f t="array" ref="T80:T80">T79</f>
        <v>false</v>
      </c>
      <c r="U80" s="1361"/>
      <c r="V80" s="1361"/>
      <c r="W80" s="1361"/>
      <c r="X80" s="1586"/>
      <c r="Y80" s="1361"/>
      <c r="Z80" s="1587"/>
      <c r="AA80" s="1361"/>
      <c r="AB80" s="783" t="s">
        <v>563</v>
      </c>
      <c r="AC80" s="789" t="s">
        <v>1679</v>
      </c>
      <c r="AD80" s="790" t="s">
        <v>789</v>
      </c>
      <c r="AE80" s="785">
        <f>_xlfn.SUMIFS('ИП + источники'!AF$26:AF$87,'ИП + источники'!$F$26:$F$87,$F80,'ИП + источники'!$AC$26:$AC$87,"погашение займов и кредитов из нормативной прибыли")+_xlfn.SUMIFS('ИП + источники'!AF$26:AF$87,'ИП + источники'!$F$26:$F$87,$F80,'ИП + источники'!$AC$26:$AC$87,"уплата процентов по кредитам из нормативной прибыли")</f>
        <v>0</v>
      </c>
      <c r="AF80" s="785">
        <f>_xlfn.SUMIFS('ИП + источники'!AG$26:AG$87,'ИП + источники'!$F$26:$F$87,$F80,'ИП + источники'!$AC$26:$AC$87,"погашение займов и кредитов из нормативной прибыли")+_xlfn.SUMIFS('ИП + источники'!AG$26:AG$87,'ИП + источники'!$F$26:$F$87,$F80,'ИП + источники'!$AC$26:$AC$87,"уплата процентов по кредитам из нормативной прибыли")</f>
        <v>0</v>
      </c>
      <c r="AG80" s="785">
        <f>_xlfn.SUMIFS('ИП + источники'!AH$26:AH$87,'ИП + источники'!$F$26:$F$87,$F80,'ИП + источники'!$AC$26:$AC$87,"погашение займов и кредитов из нормативной прибыли")+_xlfn.SUMIFS('ИП + источники'!AH$26:AH$87,'ИП + источники'!$F$26:$F$87,$F80,'ИП + источники'!$AC$26:$AC$87,"уплата процентов по кредитам из нормативной прибыли")</f>
        <v>0</v>
      </c>
      <c r="AH80" s="778">
        <f>AG80-AF80</f>
        <v>0</v>
      </c>
      <c r="AI80" s="785">
        <f>_xlfn.SUMIFS('ИП + источники'!AJ$26:AJ$87,'ИП + источники'!$F$26:$F$87,$F80,'ИП + источники'!$AC$26:$AC$87,"погашение займов и кредитов из нормативной прибыли")+_xlfn.SUMIFS('ИП + источники'!AJ$26:AJ$87,'ИП + источники'!$F$26:$F$87,$F80,'ИП + источники'!$AC$26:$AC$87,"уплата процентов по кредитам из нормативной прибыли")</f>
        <v>0</v>
      </c>
      <c r="AJ80" s="3443">
        <f>_xlfn.SUMIFS('ИП + источники'!AK$26:AK$87,'ИП + источники'!$F$26:$F$87,$F80,'ИП + источники'!$AC$26:$AC$87,"погашение займов и кредитов из нормативной прибыли")+_xlfn.SUMIFS('ИП + источники'!AK$26:AK$87,'ИП + источники'!$F$26:$F$87,$F80,'ИП + источники'!$AC$26:$AC$87,"уплата процентов по кредитам из нормативной прибыли")</f>
        <v>0</v>
      </c>
      <c r="AK80" s="3443">
        <f>_xlfn.SUMIFS('ИП + источники'!AU$26:AU$87,'ИП + источники'!$F$26:$F$87,$F80,'ИП + источники'!$AC$26:$AC$87,"погашение займов и кредитов из нормативной прибыли")+_xlfn.SUMIFS('ИП + источники'!AU$26:AU$87,'ИП + источники'!$F$26:$F$87,$F80,'ИП + источники'!$AC$26:$AC$87,"уплата процентов по кредитам из нормативной прибыли")</f>
        <v>0</v>
      </c>
      <c r="AL80" s="778">
        <f>IF(AI80=0,0,(AK80-AI80)/AI80*100)</f>
        <v>0</v>
      </c>
      <c r="AM80" s="3430"/>
      <c r="AN80" s="3431" t="str">
        <f>IF(_xlfn.IFERROR(INDEX('ИП + источники'!$K$28:$L$87,MATCH($F80&amp;"1komm",'ИП + источники'!$K$28:$K$87,0),2),"")=0,"",_xlfn.IFERROR(INDEX('ИП + источники'!$K$28:$L$87,MATCH($F80&amp;"1komm",'ИП + источники'!$K$28:$K$87,0),2),""))</f>
        <v/>
      </c>
      <c r="AO80" s="3430"/>
      <c r="AP80" s="1361"/>
      <c r="AQ80" s="1361"/>
      <c r="AR80" s="1039" t="s">
        <v>1139</v>
      </c>
      <c r="AS80" s="1039"/>
      <c r="AT80" s="1039"/>
      <c r="AU80" s="1036"/>
      <c r="AV80" s="1036"/>
    </row>
    <row customHeight="1" ht="14.625" hidden="1">
      <c r="A81" s="1361"/>
      <c r="B81" s="1361"/>
      <c r="C81" s="1361"/>
      <c r="D81" s="1361"/>
      <c r="E81" s="671">
        <v>15</v>
      </c>
      <c r="F81" s="50" cm="1" t="str">
        <f t="array" ref="F81:F81">OFFSET(E81,-1,1)</f>
        <v>0</v>
      </c>
      <c r="G81" s="1361"/>
      <c r="H81" s="1361"/>
      <c r="I81" s="562" t="s">
        <v>542</v>
      </c>
      <c r="J81" s="562"/>
      <c r="K81" s="562"/>
      <c r="L81" s="562"/>
      <c r="M81" s="562"/>
      <c r="N81" s="562"/>
      <c r="O81" s="562"/>
      <c r="P81" s="562"/>
      <c r="Q81" s="562"/>
      <c r="R81" s="562"/>
      <c r="S81" s="562"/>
      <c r="T81" s="438" cm="1" t="str">
        <f t="array" ref="T81:T81">T80</f>
        <v>false</v>
      </c>
      <c r="U81" s="1361"/>
      <c r="V81" s="1361"/>
      <c r="W81" s="1361"/>
      <c r="X81" s="1586"/>
      <c r="Y81" s="1361"/>
      <c r="Z81" s="1587"/>
      <c r="AA81" s="1361"/>
      <c r="AB81" s="783" t="s">
        <v>580</v>
      </c>
      <c r="AC81" s="789" t="s">
        <v>1680</v>
      </c>
      <c r="AD81" s="790" t="s">
        <v>789</v>
      </c>
      <c r="AE81" s="785">
        <f>_xlfn.SUMIFS('ИП + источники'!AF$27:AF$87,'ИП + источники'!$F$27:$F$87,$F81,'ИП + источники'!$AC$27:$AC$87,"Прибыль на капвложения")</f>
        <v>0</v>
      </c>
      <c r="AF81" s="785">
        <f>_xlfn.SUMIFS('ИП + источники'!AG$27:AG$87,'ИП + источники'!$F$27:$F$87,$F81,'ИП + источники'!$AC$27:$AC$87,"Прибыль на капвложения")</f>
        <v>0</v>
      </c>
      <c r="AG81" s="785">
        <f>_xlfn.SUMIFS('ИП + источники'!AH$27:AH$87,'ИП + источники'!$F$27:$F$87,$F81,'ИП + источники'!$AC$27:$AC$87,"Прибыль на капвложения")</f>
        <v>0</v>
      </c>
      <c r="AH81" s="778">
        <f>AG81-AF81</f>
        <v>0</v>
      </c>
      <c r="AI81" s="785">
        <f>_xlfn.SUMIFS('ИП + источники'!AJ$27:AJ$87,'ИП + источники'!$F$27:$F$87,$F81,'ИП + источники'!$AC$27:$AC$87,"Прибыль на капвложения")</f>
        <v>0</v>
      </c>
      <c r="AJ81" s="3443">
        <f>_xlfn.SUMIFS('ИП + источники'!AK$27:AK$87,'ИП + источники'!$F$27:$F$87,$F81,'ИП + источники'!$AC$27:$AC$87,"Прибыль на капвложения")</f>
        <v>0</v>
      </c>
      <c r="AK81" s="3443">
        <f>_xlfn.SUMIFS('ИП + источники'!AU$27:AU$87,'ИП + источники'!$F$27:$F$87,$F81,'ИП + источники'!$AC$27:$AC$87,"Прибыль на капвложения")</f>
        <v>0</v>
      </c>
      <c r="AL81" s="778">
        <f>IF(AI81=0,0,(AK81-AI81)/AI81*100)</f>
        <v>0</v>
      </c>
      <c r="AM81" s="3430"/>
      <c r="AN81" s="3431" t="str">
        <f>IF(_xlfn.IFERROR(INDEX('ИП + источники'!$K$28:$L$87,MATCH($F81&amp;"2komm",'ИП + источники'!$K$28:$K$87,0),2),"")=0,"",_xlfn.IFERROR(INDEX('ИП + источники'!$K$28:$L$87,MATCH($F81&amp;"2komm",'ИП + источники'!$K$28:$K$87,0),2),""))</f>
        <v/>
      </c>
      <c r="AO81" s="3430"/>
      <c r="AP81" s="1361"/>
      <c r="AQ81" s="1361"/>
      <c r="AR81" s="1039" t="s">
        <v>1681</v>
      </c>
      <c r="AS81" s="1039"/>
      <c r="AT81" s="1039"/>
      <c r="AU81" s="1036"/>
      <c r="AV81" s="1036"/>
    </row>
    <row customHeight="1" ht="21.9375" hidden="1">
      <c r="A82" s="1361"/>
      <c r="B82" s="1361"/>
      <c r="C82" s="1361"/>
      <c r="D82" s="1361"/>
      <c r="E82" s="671">
        <v>22.5</v>
      </c>
      <c r="F82" s="50" cm="1" t="str">
        <f t="array" ref="F82:F82">OFFSET(E82,-1,1)</f>
        <v>0</v>
      </c>
      <c r="G82" s="1361"/>
      <c r="H82" s="1361"/>
      <c r="I82" s="562" t="s">
        <v>546</v>
      </c>
      <c r="J82" s="562"/>
      <c r="K82" s="562"/>
      <c r="L82" s="562"/>
      <c r="M82" s="562"/>
      <c r="N82" s="562"/>
      <c r="O82" s="562"/>
      <c r="P82" s="562"/>
      <c r="Q82" s="562"/>
      <c r="R82" s="562"/>
      <c r="S82" s="562"/>
      <c r="T82" s="438" cm="1" t="str">
        <f t="array" ref="T82:T82">T81</f>
        <v>false</v>
      </c>
      <c r="U82" s="1361"/>
      <c r="V82" s="1361"/>
      <c r="W82" s="1361"/>
      <c r="X82" s="1586"/>
      <c r="Y82" s="1361"/>
      <c r="Z82" s="1587"/>
      <c r="AA82" s="1361"/>
      <c r="AB82" s="783" t="s">
        <v>592</v>
      </c>
      <c r="AC82" s="789" t="s">
        <v>1682</v>
      </c>
      <c r="AD82" s="790" t="s">
        <v>789</v>
      </c>
      <c r="AE82" s="785"/>
      <c r="AF82" s="785"/>
      <c r="AG82" s="785"/>
      <c r="AH82" s="778"/>
      <c r="AI82" s="785"/>
      <c r="AJ82" s="3443"/>
      <c r="AK82" s="3443"/>
      <c r="AL82" s="778">
        <f>IF(AI82=0,0,(AK82-AI82)/AI82*100)</f>
        <v>0</v>
      </c>
      <c r="AM82" s="3430"/>
      <c r="AN82" s="3430"/>
      <c r="AO82" s="3430"/>
      <c r="AP82" s="1361"/>
      <c r="AQ82" s="1361"/>
      <c r="AR82" s="1039" t="s">
        <v>1683</v>
      </c>
      <c r="AS82" s="1039"/>
      <c r="AT82" s="1039"/>
      <c r="AU82" s="1036"/>
      <c r="AV82" s="1036"/>
    </row>
    <row s="563" customFormat="1" customHeight="1" ht="21.9375" hidden="1">
      <c r="A83" s="563"/>
      <c r="B83" s="563">
        <f>STATUS_GO="да"</f>
        <v>0</v>
      </c>
      <c r="C83" s="563"/>
      <c r="D83" s="563"/>
      <c r="E83" s="673">
        <v>22.5</v>
      </c>
      <c r="F83" s="50" cm="1" t="str">
        <f t="array" ref="F83:F83">OFFSET(E83,-1,1)</f>
        <v>0</v>
      </c>
      <c r="G83" s="563"/>
      <c r="H83" s="563"/>
      <c r="I83" s="674" t="s">
        <v>550</v>
      </c>
      <c r="J83" s="674"/>
      <c r="K83" s="674"/>
      <c r="L83" s="674"/>
      <c r="M83" s="674"/>
      <c r="N83" s="674"/>
      <c r="O83" s="674"/>
      <c r="P83" s="674"/>
      <c r="Q83" s="674"/>
      <c r="R83" s="674"/>
      <c r="S83" s="674"/>
      <c r="T83" s="438" cm="1" t="str">
        <f t="array" ref="T83:T83">T82</f>
        <v>false</v>
      </c>
      <c r="U83" s="563"/>
      <c r="V83" s="563"/>
      <c r="W83" s="563"/>
      <c r="X83" s="1586"/>
      <c r="Y83" s="563"/>
      <c r="Z83" s="1587"/>
      <c r="AA83" s="563"/>
      <c r="AB83" s="780" t="s">
        <v>717</v>
      </c>
      <c r="AC83" s="776" t="s">
        <v>1684</v>
      </c>
      <c r="AD83" s="788" t="s">
        <v>789</v>
      </c>
      <c r="AE83" s="786"/>
      <c r="AF83" s="786"/>
      <c r="AG83" s="786"/>
      <c r="AH83" s="777">
        <f>AG83-AF83</f>
        <v>0</v>
      </c>
      <c r="AI83" s="786"/>
      <c r="AJ83" s="3447"/>
      <c r="AK83" s="3447"/>
      <c r="AL83" s="777">
        <f>IF(AI83=0,0,(AK83-AI83)/AI83*100)</f>
        <v>0</v>
      </c>
      <c r="AM83" s="3438"/>
      <c r="AN83" s="3438"/>
      <c r="AO83" s="3438"/>
      <c r="AP83" s="563"/>
      <c r="AQ83" s="563"/>
      <c r="AR83" s="1040" t="s">
        <v>1685</v>
      </c>
      <c r="AS83" s="1040"/>
      <c r="AT83" s="1040"/>
      <c r="AU83" s="673"/>
      <c r="AV83" s="673"/>
    </row>
    <row customHeight="1" ht="14.625" hidden="1">
      <c r="A84" s="1361"/>
      <c r="B84" s="1361"/>
      <c r="C84" s="1361"/>
      <c r="D84" s="1361"/>
      <c r="E84" s="671">
        <v>15</v>
      </c>
      <c r="F84" s="50" cm="1" t="str">
        <f t="array" ref="F84:F84">OFFSET(E84,-1,1)</f>
        <v>0</v>
      </c>
      <c r="G84" s="1361"/>
      <c r="H84" s="1361"/>
      <c r="I84" s="562" t="s">
        <v>558</v>
      </c>
      <c r="J84" s="562"/>
      <c r="K84" s="562"/>
      <c r="L84" s="562"/>
      <c r="M84" s="562"/>
      <c r="N84" s="562"/>
      <c r="O84" s="562"/>
      <c r="P84" s="562"/>
      <c r="Q84" s="562"/>
      <c r="R84" s="562"/>
      <c r="S84" s="562"/>
      <c r="T84" s="438" cm="1" t="str">
        <f t="array" ref="T84:T84">T83</f>
        <v>false</v>
      </c>
      <c r="U84" s="1361"/>
      <c r="V84" s="1361"/>
      <c r="W84" s="1361"/>
      <c r="X84" s="1586"/>
      <c r="Y84" s="1361"/>
      <c r="Z84" s="1587"/>
      <c r="AA84" s="1361"/>
      <c r="AB84" s="783" t="s">
        <v>720</v>
      </c>
      <c r="AC84" s="792" t="s">
        <v>1336</v>
      </c>
      <c r="AD84" s="790" t="s">
        <v>789</v>
      </c>
      <c r="AE84" s="785"/>
      <c r="AF84" s="785"/>
      <c r="AG84" s="785"/>
      <c r="AH84" s="778"/>
      <c r="AI84" s="3473"/>
      <c r="AJ84" s="3473"/>
      <c r="AK84" s="3473"/>
      <c r="AL84" s="778">
        <f>IF(AI84=0,0,(AK84-AI84)/AI84*100)</f>
        <v>0</v>
      </c>
      <c r="AM84" s="3430"/>
      <c r="AN84" s="3430"/>
      <c r="AO84" s="3430"/>
      <c r="AP84" s="1361"/>
      <c r="AQ84" s="1361"/>
      <c r="AR84" s="1039" t="s">
        <v>1686</v>
      </c>
      <c r="AS84" s="1039"/>
      <c r="AT84" s="1039"/>
      <c r="AU84" s="1036"/>
      <c r="AV84" s="1036"/>
    </row>
    <row customHeight="1" ht="101.25" hidden="1">
      <c r="A85" s="1361"/>
      <c r="B85" s="1361"/>
      <c r="C85" s="1361"/>
      <c r="D85" s="1361"/>
      <c r="E85" s="671">
        <v>0</v>
      </c>
      <c r="F85" s="50" cm="1" t="str">
        <f t="array" ref="F85:F85">OFFSET(E85,-1,1)</f>
        <v>0</v>
      </c>
      <c r="G85" s="1361"/>
      <c r="H85" s="490">
        <f>ISERR(SEARCH("Водоснабжение",AB27))</f>
        <v>1</v>
      </c>
      <c r="I85" s="562" t="s">
        <v>716</v>
      </c>
      <c r="J85" s="562"/>
      <c r="K85" s="562"/>
      <c r="L85" s="562"/>
      <c r="M85" s="562"/>
      <c r="N85" s="562"/>
      <c r="O85" s="562"/>
      <c r="P85" s="562"/>
      <c r="Q85" s="562"/>
      <c r="R85" s="562"/>
      <c r="S85" s="562"/>
      <c r="T85" s="438" cm="1" t="str">
        <f t="array" ref="T85:T85">T84</f>
        <v>false</v>
      </c>
      <c r="U85" s="1361"/>
      <c r="V85" s="1361"/>
      <c r="W85" s="1361"/>
      <c r="X85" s="1586"/>
      <c r="Y85" s="1361"/>
      <c r="Z85" s="1587"/>
      <c r="AA85" s="1361"/>
      <c r="AB85" s="783" t="s">
        <v>971</v>
      </c>
      <c r="AC85" s="792" t="s">
        <v>1687</v>
      </c>
      <c r="AD85" s="735" t="s">
        <v>789</v>
      </c>
      <c r="AE85" s="785"/>
      <c r="AF85" s="785"/>
      <c r="AG85" s="785"/>
      <c r="AH85" s="778">
        <f>AG85-AF85</f>
        <v>0</v>
      </c>
      <c r="AI85" s="785"/>
      <c r="AJ85" s="3443"/>
      <c r="AK85" s="3443">
        <f>_xlfn.IFERROR(_xlfn.SUMIFS('Плата за негативное возд'!$AL$25:$AL$32,'Плата за негативное возд'!$F$25:$F$32,F85,'Плата за негативное возд'!$G$25:$G$32,"1"),0)</f>
        <v>0</v>
      </c>
      <c r="AL85" s="778">
        <f>IF(AI85=0,0,(AK85-AI85)/AI85*100)</f>
        <v>0</v>
      </c>
      <c r="AM85" s="3430"/>
      <c r="AN85" s="3430"/>
      <c r="AO85" s="3430"/>
      <c r="AP85" s="1361"/>
      <c r="AQ85" s="1361"/>
      <c r="AR85" s="1039" t="s">
        <v>1238</v>
      </c>
      <c r="AS85" s="1039"/>
      <c r="AT85" s="1039"/>
      <c r="AU85" s="1036"/>
      <c r="AV85" s="1036"/>
    </row>
    <row customHeight="1" ht="67.5" hidden="1">
      <c r="A86" s="1361"/>
      <c r="B86" s="1361"/>
      <c r="C86" s="1361"/>
      <c r="D86" s="1361"/>
      <c r="E86" s="671">
        <v>0</v>
      </c>
      <c r="F86" s="50" cm="1" t="str">
        <f t="array" ref="F86:F86">OFFSET(E86,-1,1)</f>
        <v>0</v>
      </c>
      <c r="G86" s="1361"/>
      <c r="H86" s="490">
        <f>ISERR(SEARCH("Водоснабжение",AB27))</f>
        <v>1</v>
      </c>
      <c r="I86" s="562" t="s">
        <v>719</v>
      </c>
      <c r="J86" s="562"/>
      <c r="K86" s="562"/>
      <c r="L86" s="562"/>
      <c r="M86" s="562"/>
      <c r="N86" s="562"/>
      <c r="O86" s="562"/>
      <c r="P86" s="562"/>
      <c r="Q86" s="562"/>
      <c r="R86" s="562"/>
      <c r="S86" s="562"/>
      <c r="T86" s="438" cm="1" t="str">
        <f t="array" ref="T86:T86">T85</f>
        <v>false</v>
      </c>
      <c r="U86" s="1361"/>
      <c r="V86" s="1361"/>
      <c r="W86" s="1361"/>
      <c r="X86" s="1586"/>
      <c r="Y86" s="1361"/>
      <c r="Z86" s="1587"/>
      <c r="AA86" s="1361"/>
      <c r="AB86" s="783" t="s">
        <v>1688</v>
      </c>
      <c r="AC86" s="792" t="s">
        <v>1689</v>
      </c>
      <c r="AD86" s="735" t="s">
        <v>789</v>
      </c>
      <c r="AE86" s="785"/>
      <c r="AF86" s="785"/>
      <c r="AG86" s="785"/>
      <c r="AH86" s="778">
        <f>AG86-AF86</f>
        <v>0</v>
      </c>
      <c r="AI86" s="785"/>
      <c r="AJ86" s="3443"/>
      <c r="AK86" s="3443">
        <f>_xlfn.IFERROR(_xlfn.SUMIFS('Плата за негативное возд'!$AL$25:$AL$32,'Плата за негативное возд'!$F$25:$F$32,F86,'Плата за негативное возд'!$G$25:$G$32,"2"),0)</f>
        <v>0</v>
      </c>
      <c r="AL86" s="778">
        <f>IF(AI86=0,0,(AK86-AI86)/AI86*100)</f>
        <v>0</v>
      </c>
      <c r="AM86" s="3430"/>
      <c r="AN86" s="3430"/>
      <c r="AO86" s="3430"/>
      <c r="AP86" s="1361"/>
      <c r="AQ86" s="1361"/>
      <c r="AR86" s="1039" t="s">
        <v>1242</v>
      </c>
      <c r="AS86" s="1039"/>
      <c r="AT86" s="1039"/>
      <c r="AU86" s="1036"/>
      <c r="AV86" s="1036"/>
    </row>
    <row customHeight="1" ht="14.625" hidden="1">
      <c r="A87" s="1361"/>
      <c r="B87" s="1361"/>
      <c r="C87" s="1361"/>
      <c r="D87" s="1361"/>
      <c r="E87" s="671">
        <v>15</v>
      </c>
      <c r="F87" s="50" cm="1" t="str">
        <f t="array" ref="F87:F87">OFFSET(E87,-1,1)</f>
        <v>0</v>
      </c>
      <c r="G87" s="1361"/>
      <c r="H87" s="1361"/>
      <c r="I87" s="562" t="s">
        <v>754</v>
      </c>
      <c r="J87" s="562"/>
      <c r="K87" s="562"/>
      <c r="L87" s="562"/>
      <c r="M87" s="562"/>
      <c r="N87" s="562"/>
      <c r="O87" s="562"/>
      <c r="P87" s="562"/>
      <c r="Q87" s="562"/>
      <c r="R87" s="562"/>
      <c r="S87" s="562"/>
      <c r="T87" s="438" cm="1" t="str">
        <f t="array" ref="T87:T87">T86</f>
        <v>false</v>
      </c>
      <c r="U87" s="1361"/>
      <c r="V87" s="1361"/>
      <c r="W87" s="1361"/>
      <c r="X87" s="1586"/>
      <c r="Y87" s="1361"/>
      <c r="Z87" s="1587"/>
      <c r="AA87" s="1361"/>
      <c r="AB87" s="783" t="s">
        <v>1690</v>
      </c>
      <c r="AC87" s="794" t="s">
        <v>1691</v>
      </c>
      <c r="AD87" s="790" t="s">
        <v>789</v>
      </c>
      <c r="AE87" s="785"/>
      <c r="AF87" s="785"/>
      <c r="AG87" s="785"/>
      <c r="AH87" s="778">
        <f>AG87-AF87</f>
        <v>0</v>
      </c>
      <c r="AI87" s="785"/>
      <c r="AJ87" s="3443"/>
      <c r="AK87" s="3443"/>
      <c r="AL87" s="778">
        <f>IF(AI87=0,0,(AK87-AI87)/AI87*100)</f>
        <v>0</v>
      </c>
      <c r="AM87" s="3430"/>
      <c r="AN87" s="3430"/>
      <c r="AO87" s="3430"/>
      <c r="AP87" s="1361"/>
      <c r="AQ87" s="1361"/>
      <c r="AR87" s="1039" t="s">
        <v>1124</v>
      </c>
      <c r="AS87" s="1039"/>
      <c r="AT87" s="1039"/>
      <c r="AU87" s="1036"/>
      <c r="AV87" s="1036"/>
    </row>
    <row s="563" customFormat="1" customHeight="1" ht="21.9375" hidden="1">
      <c r="A88" s="563"/>
      <c r="B88" s="563"/>
      <c r="C88" s="563"/>
      <c r="D88" s="563"/>
      <c r="E88" s="673">
        <v>22.5</v>
      </c>
      <c r="F88" s="50" cm="1" t="str">
        <f t="array" ref="F88:F88">OFFSET(E88,-1,1)</f>
        <v>0</v>
      </c>
      <c r="G88" s="563"/>
      <c r="H88" s="563"/>
      <c r="I88" s="674" t="s">
        <v>755</v>
      </c>
      <c r="J88" s="674"/>
      <c r="K88" s="674"/>
      <c r="L88" s="674"/>
      <c r="M88" s="674"/>
      <c r="N88" s="674"/>
      <c r="O88" s="674"/>
      <c r="P88" s="674"/>
      <c r="Q88" s="674"/>
      <c r="R88" s="674"/>
      <c r="S88" s="674"/>
      <c r="T88" s="438" cm="1" t="str">
        <f t="array" ref="T88:T88">T87</f>
        <v>false</v>
      </c>
      <c r="U88" s="563"/>
      <c r="V88" s="563"/>
      <c r="W88" s="563"/>
      <c r="X88" s="1586"/>
      <c r="Y88" s="563"/>
      <c r="Z88" s="1587"/>
      <c r="AA88" s="563"/>
      <c r="AB88" s="780" t="s">
        <v>1692</v>
      </c>
      <c r="AC88" s="564" t="s">
        <v>1693</v>
      </c>
      <c r="AD88" s="788" t="s">
        <v>789</v>
      </c>
      <c r="AE88" s="764">
        <f>AE89+AE90</f>
        <v>0</v>
      </c>
      <c r="AF88" s="764">
        <f>AF89+AF90</f>
        <v>0</v>
      </c>
      <c r="AG88" s="764">
        <f>AG89+AG90</f>
        <v>0</v>
      </c>
      <c r="AH88" s="777">
        <f>AG88-AF88</f>
        <v>0</v>
      </c>
      <c r="AI88" s="764">
        <f>AI89+AI90</f>
        <v>0</v>
      </c>
      <c r="AJ88" s="764">
        <f>AJ89+AJ90</f>
        <v>0</v>
      </c>
      <c r="AK88" s="764">
        <f>AK89+AK90</f>
        <v>0</v>
      </c>
      <c r="AL88" s="777">
        <f>IF(AI88=0,0,(AK88-AI88)/AI88*100)</f>
        <v>0</v>
      </c>
      <c r="AM88" s="3438"/>
      <c r="AN88" s="3438"/>
      <c r="AO88" s="3438"/>
      <c r="AP88" s="563"/>
      <c r="AQ88" s="563"/>
      <c r="AR88" s="1040" t="s">
        <v>1419</v>
      </c>
      <c r="AS88" s="1040"/>
      <c r="AT88" s="1040"/>
      <c r="AU88" s="673"/>
      <c r="AV88" s="673"/>
    </row>
    <row customHeight="1" ht="21.9375" hidden="1">
      <c r="A89" s="1361"/>
      <c r="B89" s="1361"/>
      <c r="C89" s="1361"/>
      <c r="D89" s="1361"/>
      <c r="E89" s="671">
        <v>22.5</v>
      </c>
      <c r="F89" s="50" cm="1" t="str">
        <f t="array" ref="F89:F89">OFFSET(E89,-1,1)</f>
        <v>0</v>
      </c>
      <c r="G89" s="1361"/>
      <c r="H89" s="1361"/>
      <c r="I89" s="562" t="s">
        <v>1694</v>
      </c>
      <c r="J89" s="562"/>
      <c r="K89" s="562"/>
      <c r="L89" s="562"/>
      <c r="M89" s="562"/>
      <c r="N89" s="562"/>
      <c r="O89" s="562"/>
      <c r="P89" s="562"/>
      <c r="Q89" s="562"/>
      <c r="R89" s="562"/>
      <c r="S89" s="562"/>
      <c r="T89" s="438" cm="1" t="str">
        <f t="array" ref="T89:T89">T88</f>
        <v>false</v>
      </c>
      <c r="U89" s="1361"/>
      <c r="V89" s="1361"/>
      <c r="W89" s="1361"/>
      <c r="X89" s="1586"/>
      <c r="Y89" s="1361"/>
      <c r="Z89" s="1587"/>
      <c r="AA89" s="1361"/>
      <c r="AB89" s="783" t="s">
        <v>1695</v>
      </c>
      <c r="AC89" s="795" t="s">
        <v>1420</v>
      </c>
      <c r="AD89" s="790" t="s">
        <v>789</v>
      </c>
      <c r="AE89" s="785"/>
      <c r="AF89" s="785"/>
      <c r="AG89" s="785"/>
      <c r="AH89" s="778">
        <f>AG89-AF89</f>
        <v>0</v>
      </c>
      <c r="AI89" s="785"/>
      <c r="AJ89" s="3443"/>
      <c r="AK89" s="3443"/>
      <c r="AL89" s="778">
        <f>IF(AI89=0,0,(AK89-AI89)/AI89*100)</f>
        <v>0</v>
      </c>
      <c r="AM89" s="3430"/>
      <c r="AN89" s="3430"/>
      <c r="AO89" s="3430"/>
      <c r="AP89" s="1361"/>
      <c r="AQ89" s="1361"/>
      <c r="AR89" s="1039" t="s">
        <v>1458</v>
      </c>
      <c r="AS89" s="1039"/>
      <c r="AT89" s="1039"/>
      <c r="AU89" s="1036"/>
      <c r="AV89" s="1036"/>
    </row>
    <row customHeight="1" ht="21.9375" hidden="1">
      <c r="A90" s="1361"/>
      <c r="B90" s="1361"/>
      <c r="C90" s="1361"/>
      <c r="D90" s="1361"/>
      <c r="E90" s="671">
        <v>22.5</v>
      </c>
      <c r="F90" s="50" cm="1" t="str">
        <f t="array" ref="F90:F90">OFFSET(E90,-1,1)</f>
        <v>0</v>
      </c>
      <c r="G90" s="1361"/>
      <c r="H90" s="1361"/>
      <c r="I90" s="562" t="s">
        <v>1696</v>
      </c>
      <c r="J90" s="562"/>
      <c r="K90" s="562"/>
      <c r="L90" s="562"/>
      <c r="M90" s="562"/>
      <c r="N90" s="562"/>
      <c r="O90" s="562"/>
      <c r="P90" s="562"/>
      <c r="Q90" s="562"/>
      <c r="R90" s="562"/>
      <c r="S90" s="562"/>
      <c r="T90" s="438" cm="1" t="str">
        <f t="array" ref="T90:T90">T89</f>
        <v>false</v>
      </c>
      <c r="U90" s="1361"/>
      <c r="V90" s="1361"/>
      <c r="W90" s="1361"/>
      <c r="X90" s="1586"/>
      <c r="Y90" s="1361"/>
      <c r="Z90" s="1587"/>
      <c r="AA90" s="1361"/>
      <c r="AB90" s="783" t="s">
        <v>1697</v>
      </c>
      <c r="AC90" s="795" t="s">
        <v>1422</v>
      </c>
      <c r="AD90" s="790" t="s">
        <v>789</v>
      </c>
      <c r="AE90" s="785"/>
      <c r="AF90" s="785"/>
      <c r="AG90" s="785"/>
      <c r="AH90" s="778">
        <f>AG90-AF90</f>
        <v>0</v>
      </c>
      <c r="AI90" s="785"/>
      <c r="AJ90" s="3443"/>
      <c r="AK90" s="3443"/>
      <c r="AL90" s="778">
        <f>IF(AI90=0,0,(AK90-AI90)/AI90*100)</f>
        <v>0</v>
      </c>
      <c r="AM90" s="3430"/>
      <c r="AN90" s="3430"/>
      <c r="AO90" s="3430"/>
      <c r="AP90" s="1361"/>
      <c r="AQ90" s="1361"/>
      <c r="AR90" s="1039" t="s">
        <v>1698</v>
      </c>
      <c r="AS90" s="1039"/>
      <c r="AT90" s="1039"/>
      <c r="AU90" s="1036"/>
      <c r="AV90" s="1036"/>
    </row>
    <row customHeight="1" ht="14.625" hidden="1">
      <c r="A91" s="1361"/>
      <c r="B91" s="1361"/>
      <c r="C91" s="1361"/>
      <c r="D91" s="1361"/>
      <c r="E91" s="671">
        <v>15</v>
      </c>
      <c r="F91" s="50" cm="1" t="str">
        <f t="array" ref="F91:F91">OFFSET(E91,-1,1)</f>
        <v>0</v>
      </c>
      <c r="G91" s="1361"/>
      <c r="H91" s="1361"/>
      <c r="I91" s="562" t="s">
        <v>1699</v>
      </c>
      <c r="J91" s="562"/>
      <c r="K91" s="562"/>
      <c r="L91" s="562"/>
      <c r="M91" s="562"/>
      <c r="N91" s="562"/>
      <c r="O91" s="562"/>
      <c r="P91" s="562"/>
      <c r="Q91" s="562"/>
      <c r="R91" s="562"/>
      <c r="S91" s="562"/>
      <c r="T91" s="438" cm="1" t="str">
        <f t="array" ref="T91:T91">T90</f>
        <v>false</v>
      </c>
      <c r="U91" s="1361"/>
      <c r="V91" s="1361"/>
      <c r="W91" s="1361"/>
      <c r="X91" s="1586"/>
      <c r="Y91" s="1361"/>
      <c r="Z91" s="1587"/>
      <c r="AA91" s="1361"/>
      <c r="AB91" s="796" t="s">
        <v>330</v>
      </c>
      <c r="AC91" s="797" t="s">
        <v>1424</v>
      </c>
      <c r="AD91" s="790" t="s">
        <v>789</v>
      </c>
      <c r="AE91" s="785"/>
      <c r="AF91" s="785"/>
      <c r="AG91" s="785"/>
      <c r="AH91" s="778">
        <f>AG91-AF91</f>
        <v>0</v>
      </c>
      <c r="AI91" s="785"/>
      <c r="AJ91" s="3443"/>
      <c r="AK91" s="3443"/>
      <c r="AL91" s="778">
        <f>IF(AI91=0,0,(AK91-AI91)/AI91*100)</f>
        <v>0</v>
      </c>
      <c r="AM91" s="3430"/>
      <c r="AN91" s="3430"/>
      <c r="AO91" s="3430"/>
      <c r="AP91" s="1361"/>
      <c r="AQ91" s="1361"/>
      <c r="AR91" s="1039" t="s">
        <v>1425</v>
      </c>
      <c r="AS91" s="1039"/>
      <c r="AT91" s="1039"/>
      <c r="AU91" s="1036"/>
      <c r="AV91" s="1036"/>
    </row>
    <row customHeight="1" ht="14.625" hidden="1">
      <c r="A92" s="1361"/>
      <c r="B92" s="1361"/>
      <c r="C92" s="1361"/>
      <c r="D92" s="1361"/>
      <c r="E92" s="671">
        <v>15</v>
      </c>
      <c r="F92" s="50" cm="1" t="str">
        <f t="array" ref="F92:F92">OFFSET(E92,-1,1)</f>
        <v>0</v>
      </c>
      <c r="G92" s="1361"/>
      <c r="H92" s="1361"/>
      <c r="I92" s="562" t="s">
        <v>1700</v>
      </c>
      <c r="J92" s="562"/>
      <c r="K92" s="562"/>
      <c r="L92" s="562"/>
      <c r="M92" s="562"/>
      <c r="N92" s="562"/>
      <c r="O92" s="562"/>
      <c r="P92" s="562"/>
      <c r="Q92" s="562"/>
      <c r="R92" s="562"/>
      <c r="S92" s="562"/>
      <c r="T92" s="438" cm="1" t="str">
        <f t="array" ref="T92:T92">T91</f>
        <v>false</v>
      </c>
      <c r="U92" s="1361"/>
      <c r="V92" s="1361"/>
      <c r="W92" s="1361"/>
      <c r="X92" s="1586"/>
      <c r="Y92" s="1361"/>
      <c r="Z92" s="1587"/>
      <c r="AA92" s="1361"/>
      <c r="AB92" s="796" t="s">
        <v>1701</v>
      </c>
      <c r="AC92" s="797" t="s">
        <v>1426</v>
      </c>
      <c r="AD92" s="790" t="s">
        <v>789</v>
      </c>
      <c r="AE92" s="785"/>
      <c r="AF92" s="785"/>
      <c r="AG92" s="785"/>
      <c r="AH92" s="778">
        <f>AG92-AF92</f>
        <v>0</v>
      </c>
      <c r="AI92" s="785"/>
      <c r="AJ92" s="3443"/>
      <c r="AK92" s="3443"/>
      <c r="AL92" s="778">
        <f>IF(AI92=0,0,(AK92-AI92)/AI92*100)</f>
        <v>0</v>
      </c>
      <c r="AM92" s="3430"/>
      <c r="AN92" s="3430"/>
      <c r="AO92" s="3430"/>
      <c r="AP92" s="1361"/>
      <c r="AQ92" s="1361"/>
      <c r="AR92" s="1039" t="s">
        <v>1427</v>
      </c>
      <c r="AS92" s="1039"/>
      <c r="AT92" s="1039"/>
      <c r="AU92" s="1036"/>
      <c r="AV92" s="1036"/>
    </row>
    <row s="563" customFormat="1" customHeight="1" ht="14.625" hidden="1">
      <c r="A93" s="563"/>
      <c r="B93" s="563"/>
      <c r="C93" s="563"/>
      <c r="D93" s="563"/>
      <c r="E93" s="673">
        <v>15</v>
      </c>
      <c r="F93" s="50" cm="1" t="str">
        <f t="array" ref="F93:F93">OFFSET(E93,-1,1)</f>
        <v>0</v>
      </c>
      <c r="G93" s="563"/>
      <c r="H93" s="563"/>
      <c r="I93" s="674" t="s">
        <v>1702</v>
      </c>
      <c r="J93" s="674"/>
      <c r="K93" s="674"/>
      <c r="L93" s="674"/>
      <c r="M93" s="674"/>
      <c r="N93" s="674"/>
      <c r="O93" s="674"/>
      <c r="P93" s="674"/>
      <c r="Q93" s="674"/>
      <c r="R93" s="674"/>
      <c r="S93" s="674"/>
      <c r="T93" s="438" cm="1" t="str">
        <f t="array" ref="T93:T93">T92</f>
        <v>false</v>
      </c>
      <c r="U93" s="563"/>
      <c r="V93" s="563"/>
      <c r="W93" s="563"/>
      <c r="X93" s="1586"/>
      <c r="Y93" s="563"/>
      <c r="Z93" s="1587"/>
      <c r="AA93" s="563"/>
      <c r="AB93" s="780" t="s">
        <v>1703</v>
      </c>
      <c r="AC93" s="564" t="s">
        <v>1704</v>
      </c>
      <c r="AD93" s="788" t="s">
        <v>789</v>
      </c>
      <c r="AE93" s="764">
        <f>AE28+AE56+AE61+AE74+AE75+AE77+AE78+AE79+AE83+AE84-AE85-AE86+AE87-AE88+AE91+AE92</f>
        <v>0</v>
      </c>
      <c r="AF93" s="764">
        <f>AF28+AF56+AF61+AF74+AF75+AF77+AF78+AF79+AF83+AF84-AF85-AF86+AF87-AF88+AF91+AF92</f>
        <v>0</v>
      </c>
      <c r="AG93" s="764">
        <f>AG28+AG56+AG61+AG74+AG75+AG77+AG78+AG79+AG83+AG84-AG85-AG86+AG87-AG88+AG91+AG92</f>
        <v>0</v>
      </c>
      <c r="AH93" s="777">
        <f>AG93-AF93</f>
        <v>0</v>
      </c>
      <c r="AI93" s="764">
        <f>AI28+AI56+AI61+AI74+AI75+AI77+AI78+AI79+AI83+AI84-AI85-AI86+AI87-AI88+AI91+AI92</f>
        <v>0</v>
      </c>
      <c r="AJ93" s="764">
        <f>AJ28+AJ56+AJ61+AJ74+AJ75+AJ77+AJ78+AJ79+AJ83+AJ84-AJ85-AJ86+AJ87-AJ88+AJ91+AJ92</f>
        <v>0</v>
      </c>
      <c r="AK93" s="764">
        <f>AK28+AK56+AK61+AK74+AK75+AK77+AK78+AK79+AK83+AK84-AK85-AK86+AK87-AK88+AK91+AK92</f>
        <v>0</v>
      </c>
      <c r="AL93" s="777">
        <f>IF(AI93=0,0,(AK93-AI93)/AI93*100)</f>
        <v>0</v>
      </c>
      <c r="AM93" s="3438"/>
      <c r="AN93" s="3438"/>
      <c r="AO93" s="3438"/>
      <c r="AP93" s="563"/>
      <c r="AQ93" s="563"/>
      <c r="AR93" s="1040" t="s">
        <v>1705</v>
      </c>
      <c r="AS93" s="1040"/>
      <c r="AT93" s="1040"/>
      <c r="AU93" s="673"/>
      <c r="AV93" s="673"/>
    </row>
    <row customHeight="1" ht="15" hidden="1">
      <c r="A94" s="1361"/>
      <c r="B94" s="552">
        <f>G27="двухставочный"</f>
        <v>0</v>
      </c>
      <c r="C94" s="1361"/>
      <c r="D94" s="1361"/>
      <c r="E94" s="671">
        <v>0</v>
      </c>
      <c r="F94" s="50" cm="1" t="str">
        <f t="array" ref="F94:F94">OFFSET(E94,-1,1)</f>
        <v>0</v>
      </c>
      <c r="G94" s="1361"/>
      <c r="H94" s="1361"/>
      <c r="I94" s="562" t="s">
        <v>1706</v>
      </c>
      <c r="J94" s="562"/>
      <c r="K94" s="562"/>
      <c r="L94" s="562"/>
      <c r="M94" s="562"/>
      <c r="N94" s="562"/>
      <c r="O94" s="562"/>
      <c r="P94" s="562"/>
      <c r="Q94" s="562"/>
      <c r="R94" s="562"/>
      <c r="S94" s="562"/>
      <c r="T94" s="438" cm="1" t="str">
        <f t="array" ref="T94:T94">T93</f>
        <v>false</v>
      </c>
      <c r="U94" s="1361"/>
      <c r="V94" s="1361"/>
      <c r="W94" s="1361"/>
      <c r="X94" s="1586"/>
      <c r="Y94" s="1361"/>
      <c r="Z94" s="1587"/>
      <c r="AA94" s="1361"/>
      <c r="AB94" s="783" t="s">
        <v>1707</v>
      </c>
      <c r="AC94" s="795" t="s">
        <v>1708</v>
      </c>
      <c r="AD94" s="790" t="s">
        <v>789</v>
      </c>
      <c r="AE94" s="785"/>
      <c r="AF94" s="785"/>
      <c r="AG94" s="785"/>
      <c r="AH94" s="778">
        <f>AG94-AF94</f>
        <v>0</v>
      </c>
      <c r="AI94" s="785"/>
      <c r="AJ94" s="3443"/>
      <c r="AK94" s="3443"/>
      <c r="AL94" s="778">
        <f>IF(AI94=0,0,(AK94-AI94)/AI94*100)</f>
        <v>0</v>
      </c>
      <c r="AM94" s="3430"/>
      <c r="AN94" s="3430"/>
      <c r="AO94" s="3430"/>
      <c r="AP94" s="1361"/>
      <c r="AQ94" s="1361"/>
      <c r="AR94" s="1039" t="s">
        <v>1709</v>
      </c>
      <c r="AS94" s="1039"/>
      <c r="AT94" s="1039"/>
      <c r="AU94" s="1036"/>
      <c r="AV94" s="1036"/>
    </row>
    <row customHeight="1" ht="15" hidden="1">
      <c r="A95" s="1361"/>
      <c r="B95" s="552">
        <f>G27="двухставочный"</f>
        <v>0</v>
      </c>
      <c r="C95" s="1361"/>
      <c r="D95" s="1361"/>
      <c r="E95" s="671">
        <v>0</v>
      </c>
      <c r="F95" s="50" cm="1" t="str">
        <f t="array" ref="F95:F95">OFFSET(E95,-1,1)</f>
        <v>0</v>
      </c>
      <c r="G95" s="1361"/>
      <c r="H95" s="1361"/>
      <c r="I95" s="562" t="s">
        <v>1710</v>
      </c>
      <c r="J95" s="562"/>
      <c r="K95" s="562"/>
      <c r="L95" s="562"/>
      <c r="M95" s="562"/>
      <c r="N95" s="562"/>
      <c r="O95" s="562"/>
      <c r="P95" s="562"/>
      <c r="Q95" s="562"/>
      <c r="R95" s="562"/>
      <c r="S95" s="562"/>
      <c r="T95" s="438" cm="1" t="str">
        <f t="array" ref="T95:T95">T94</f>
        <v>false</v>
      </c>
      <c r="U95" s="1361"/>
      <c r="V95" s="1361"/>
      <c r="W95" s="1361"/>
      <c r="X95" s="1586"/>
      <c r="Y95" s="1361"/>
      <c r="Z95" s="1587"/>
      <c r="AA95" s="1361"/>
      <c r="AB95" s="783" t="s">
        <v>1711</v>
      </c>
      <c r="AC95" s="795" t="s">
        <v>1712</v>
      </c>
      <c r="AD95" s="790" t="s">
        <v>789</v>
      </c>
      <c r="AE95" s="785"/>
      <c r="AF95" s="785"/>
      <c r="AG95" s="785"/>
      <c r="AH95" s="778">
        <f>AG95-AF95</f>
        <v>0</v>
      </c>
      <c r="AI95" s="785"/>
      <c r="AJ95" s="3443"/>
      <c r="AK95" s="3443"/>
      <c r="AL95" s="778">
        <f>IF(AI95=0,0,(AK95-AI95)/AI95*100)</f>
        <v>0</v>
      </c>
      <c r="AM95" s="3430"/>
      <c r="AN95" s="3430"/>
      <c r="AO95" s="3430"/>
      <c r="AP95" s="1361"/>
      <c r="AQ95" s="1361"/>
      <c r="AR95" s="1039" t="s">
        <v>1713</v>
      </c>
      <c r="AS95" s="1039"/>
      <c r="AT95" s="1039"/>
      <c r="AU95" s="1036"/>
      <c r="AV95" s="1036"/>
    </row>
    <row s="563" customFormat="1" customHeight="1" ht="14.625" hidden="1">
      <c r="A96" s="563"/>
      <c r="B96" s="563"/>
      <c r="C96" s="563"/>
      <c r="D96" s="563"/>
      <c r="E96" s="673">
        <v>15</v>
      </c>
      <c r="F96" s="50" cm="1" t="str">
        <f t="array" ref="F96:F96">OFFSET(E96,-1,1)</f>
        <v>0</v>
      </c>
      <c r="G96" s="553" t="s">
        <v>1485</v>
      </c>
      <c r="H96" s="563"/>
      <c r="I96" s="674" t="s">
        <v>1714</v>
      </c>
      <c r="J96" s="674"/>
      <c r="K96" s="674"/>
      <c r="L96" s="674"/>
      <c r="M96" s="674"/>
      <c r="N96" s="674"/>
      <c r="O96" s="674"/>
      <c r="P96" s="674"/>
      <c r="Q96" s="674"/>
      <c r="R96" s="674"/>
      <c r="S96" s="674"/>
      <c r="T96" s="438" cm="1" t="str">
        <f t="array" ref="T96:T96">T95</f>
        <v>false</v>
      </c>
      <c r="U96" s="563"/>
      <c r="V96" s="563"/>
      <c r="W96" s="563"/>
      <c r="X96" s="1586"/>
      <c r="Y96" s="563"/>
      <c r="Z96" s="1587"/>
      <c r="AA96" s="563"/>
      <c r="AB96" s="780" t="s">
        <v>1715</v>
      </c>
      <c r="AC96" s="564" t="s">
        <v>1716</v>
      </c>
      <c r="AD96" s="788" t="s">
        <v>506</v>
      </c>
      <c r="AE96" s="798">
        <f>_xlfn.SUMIFS(Баланс!AE$26:AE$209,Баланс!$F$26:$F$209,$F96,Баланс!$G$26:$G$209,"ПО")</f>
        <v>0</v>
      </c>
      <c r="AF96" s="798">
        <f>_xlfn.SUMIFS(Баланс!AF$26:AF$209,Баланс!$F$26:$F$209,$F96,Баланс!$G$26:$G$209,"ПО")</f>
        <v>0</v>
      </c>
      <c r="AG96" s="798">
        <f>_xlfn.SUMIFS(Баланс!AG$26:AG$209,Баланс!$F$26:$F$209,$F96,Баланс!$G$26:$G$209,"ПО")</f>
        <v>0</v>
      </c>
      <c r="AH96" s="798">
        <f>AG96-AF96</f>
        <v>0</v>
      </c>
      <c r="AI96" s="798">
        <f>_xlfn.SUMIFS(Баланс!AH$26:AH$209,Баланс!$F$26:$F$209,$F96,Баланс!$G$26:$G$209,"ПО")</f>
        <v>0</v>
      </c>
      <c r="AJ96" s="798">
        <f>_xlfn.SUMIFS(Баланс!AI$26:AI$209,Баланс!$F$26:$F$209,$F96,Баланс!$G$26:$G$209,"ПО")</f>
        <v>0</v>
      </c>
      <c r="AK96" s="798">
        <f>_xlfn.SUMIFS(Баланс!AS$26:AS$209,Баланс!$F$26:$F$209,$F96,Баланс!$G$26:$G$209,"ПО")</f>
        <v>0</v>
      </c>
      <c r="AL96" s="799"/>
      <c r="AM96" s="3438"/>
      <c r="AN96" s="3438"/>
      <c r="AO96" s="3438"/>
      <c r="AP96" s="563"/>
      <c r="AQ96" s="563"/>
      <c r="AR96" s="1040" t="s">
        <v>1717</v>
      </c>
      <c r="AS96" s="1040"/>
      <c r="AT96" s="1040"/>
      <c r="AU96" s="673"/>
      <c r="AV96" s="673"/>
    </row>
    <row customHeight="1" ht="14.625" hidden="1">
      <c r="A97" s="1361"/>
      <c r="B97" s="1361"/>
      <c r="C97" s="1361"/>
      <c r="D97" s="1361"/>
      <c r="E97" s="671">
        <v>15</v>
      </c>
      <c r="F97" s="50" cm="1" t="str">
        <f t="array" ref="F97:F97">OFFSET(E97,-1,1)</f>
        <v>0</v>
      </c>
      <c r="G97" s="553" t="s">
        <v>1512</v>
      </c>
      <c r="H97" s="1361"/>
      <c r="I97" s="562" t="s">
        <v>1718</v>
      </c>
      <c r="J97" s="562"/>
      <c r="K97" s="562"/>
      <c r="L97" s="562"/>
      <c r="M97" s="562"/>
      <c r="N97" s="562"/>
      <c r="O97" s="562"/>
      <c r="P97" s="562"/>
      <c r="Q97" s="562"/>
      <c r="R97" s="562"/>
      <c r="S97" s="562"/>
      <c r="T97" s="438" cm="1" t="str">
        <f t="array" ref="T97:T97">T96</f>
        <v>false</v>
      </c>
      <c r="U97" s="1361"/>
      <c r="V97" s="1361"/>
      <c r="W97" s="1361"/>
      <c r="X97" s="1586"/>
      <c r="Y97" s="1361"/>
      <c r="Z97" s="1587"/>
      <c r="AA97" s="1361"/>
      <c r="AB97" s="783" t="s">
        <v>1719</v>
      </c>
      <c r="AC97" s="1089" t="s">
        <v>1720</v>
      </c>
      <c r="AD97" s="790" t="s">
        <v>506</v>
      </c>
      <c r="AE97" s="800">
        <f>AE96/2</f>
        <v>0</v>
      </c>
      <c r="AF97" s="800">
        <f>AF96/2</f>
        <v>0</v>
      </c>
      <c r="AG97" s="800">
        <f>AG96/2</f>
        <v>0</v>
      </c>
      <c r="AH97" s="801">
        <f>AG97-AF97</f>
        <v>0</v>
      </c>
      <c r="AI97" s="800">
        <f>AI96/2</f>
        <v>0</v>
      </c>
      <c r="AJ97" s="3484">
        <f>IF(god=2026,AJ96/12*9,AJ96/2)</f>
        <v>0</v>
      </c>
      <c r="AK97" s="3484">
        <f>IF(god=2026,AK96/12*9,AK96/2)</f>
        <v>0</v>
      </c>
      <c r="AL97" s="793"/>
      <c r="AM97" s="3430"/>
      <c r="AN97" s="3430"/>
      <c r="AO97" s="3430"/>
      <c r="AP97" s="1361"/>
      <c r="AQ97" s="1361"/>
      <c r="AR97" s="1039" t="s">
        <v>1721</v>
      </c>
      <c r="AS97" s="1039"/>
      <c r="AT97" s="1039"/>
      <c r="AU97" s="1036"/>
      <c r="AV97" s="1036"/>
    </row>
    <row customHeight="1" ht="14.625" hidden="1">
      <c r="A98" s="1361"/>
      <c r="B98" s="1361"/>
      <c r="C98" s="1361"/>
      <c r="D98" s="1361"/>
      <c r="E98" s="671">
        <v>15</v>
      </c>
      <c r="F98" s="50" cm="1" t="str">
        <f t="array" ref="F98:F98">OFFSET(E98,-1,1)</f>
        <v>0</v>
      </c>
      <c r="G98" s="553" t="s">
        <v>1473</v>
      </c>
      <c r="H98" s="1361"/>
      <c r="I98" s="562" t="s">
        <v>1722</v>
      </c>
      <c r="J98" s="562"/>
      <c r="K98" s="562"/>
      <c r="L98" s="562"/>
      <c r="M98" s="562"/>
      <c r="N98" s="562"/>
      <c r="O98" s="562"/>
      <c r="P98" s="562"/>
      <c r="Q98" s="562"/>
      <c r="R98" s="562"/>
      <c r="S98" s="562"/>
      <c r="T98" s="438" cm="1" t="str">
        <f t="array" ref="T98:T98">T97</f>
        <v>false</v>
      </c>
      <c r="U98" s="1361"/>
      <c r="V98" s="1361"/>
      <c r="W98" s="1361"/>
      <c r="X98" s="1586"/>
      <c r="Y98" s="1361"/>
      <c r="Z98" s="1587"/>
      <c r="AA98" s="1361"/>
      <c r="AB98" s="783" t="s">
        <v>1723</v>
      </c>
      <c r="AC98" s="1089" t="s">
        <v>1724</v>
      </c>
      <c r="AD98" s="790" t="s">
        <v>1476</v>
      </c>
      <c r="AE98" s="785"/>
      <c r="AF98" s="785"/>
      <c r="AG98" s="785"/>
      <c r="AH98" s="778">
        <f>AG98-AF98</f>
        <v>0</v>
      </c>
      <c r="AI98" s="785"/>
      <c r="AJ98" s="3443"/>
      <c r="AK98" s="3443"/>
      <c r="AL98" s="793"/>
      <c r="AM98" s="3430"/>
      <c r="AN98" s="3430"/>
      <c r="AO98" s="3430"/>
      <c r="AP98" s="1361"/>
      <c r="AQ98" s="1361"/>
      <c r="AR98" s="1039" t="s">
        <v>1725</v>
      </c>
      <c r="AS98" s="1039"/>
      <c r="AT98" s="1039"/>
      <c r="AU98" s="1036"/>
      <c r="AV98" s="1036"/>
    </row>
    <row customHeight="1" ht="14.625" hidden="1">
      <c r="A99" s="1361"/>
      <c r="B99" s="1361"/>
      <c r="C99" s="1361"/>
      <c r="D99" s="1361"/>
      <c r="E99" s="671">
        <v>15</v>
      </c>
      <c r="F99" s="50" cm="1" t="str">
        <f t="array" ref="F99:F99">OFFSET(E99,-1,1)</f>
        <v>0</v>
      </c>
      <c r="G99" s="553" t="s">
        <v>1525</v>
      </c>
      <c r="H99" s="1361"/>
      <c r="I99" s="562" t="s">
        <v>1726</v>
      </c>
      <c r="J99" s="562"/>
      <c r="K99" s="562"/>
      <c r="L99" s="562"/>
      <c r="M99" s="562"/>
      <c r="N99" s="562"/>
      <c r="O99" s="562"/>
      <c r="P99" s="562"/>
      <c r="Q99" s="562"/>
      <c r="R99" s="562"/>
      <c r="S99" s="562"/>
      <c r="T99" s="438" cm="1" t="str">
        <f t="array" ref="T99:T99">T98</f>
        <v>false</v>
      </c>
      <c r="U99" s="1361"/>
      <c r="V99" s="1361"/>
      <c r="W99" s="1361"/>
      <c r="X99" s="1586"/>
      <c r="Y99" s="1361"/>
      <c r="Z99" s="1587"/>
      <c r="AA99" s="1361"/>
      <c r="AB99" s="783" t="s">
        <v>1727</v>
      </c>
      <c r="AC99" s="1089" t="s">
        <v>1728</v>
      </c>
      <c r="AD99" s="790" t="s">
        <v>506</v>
      </c>
      <c r="AE99" s="801">
        <f>AE96-AE97</f>
        <v>0</v>
      </c>
      <c r="AF99" s="801">
        <f>AF96-AF97</f>
        <v>0</v>
      </c>
      <c r="AG99" s="801">
        <f>AG96-AG97</f>
        <v>0</v>
      </c>
      <c r="AH99" s="801">
        <f>AG99-AF99</f>
        <v>0</v>
      </c>
      <c r="AI99" s="801">
        <f>AI96-AI97</f>
        <v>0</v>
      </c>
      <c r="AJ99" s="801">
        <f>AJ96-AJ97</f>
        <v>0</v>
      </c>
      <c r="AK99" s="801">
        <f>AK96-AK97</f>
        <v>0</v>
      </c>
      <c r="AL99" s="793"/>
      <c r="AM99" s="3430"/>
      <c r="AN99" s="3430"/>
      <c r="AO99" s="3430"/>
      <c r="AP99" s="1361"/>
      <c r="AQ99" s="1361"/>
      <c r="AR99" s="1039" t="s">
        <v>1729</v>
      </c>
      <c r="AS99" s="1039"/>
      <c r="AT99" s="1039"/>
      <c r="AU99" s="1036"/>
      <c r="AV99" s="1036"/>
    </row>
    <row customHeight="1" ht="14.625" hidden="1">
      <c r="A100" s="1361"/>
      <c r="B100" s="1361"/>
      <c r="C100" s="1361"/>
      <c r="D100" s="1361"/>
      <c r="E100" s="671">
        <v>15</v>
      </c>
      <c r="F100" s="50" cm="1" t="str">
        <f t="array" ref="F100:F100">OFFSET(E100,-1,1)</f>
        <v>0</v>
      </c>
      <c r="G100" s="553" t="s">
        <v>1478</v>
      </c>
      <c r="H100" s="1361"/>
      <c r="I100" s="562" t="s">
        <v>1730</v>
      </c>
      <c r="J100" s="562"/>
      <c r="K100" s="562"/>
      <c r="L100" s="562"/>
      <c r="M100" s="562"/>
      <c r="N100" s="562"/>
      <c r="O100" s="562"/>
      <c r="P100" s="562"/>
      <c r="Q100" s="562"/>
      <c r="R100" s="562"/>
      <c r="S100" s="562"/>
      <c r="T100" s="438" cm="1" t="str">
        <f t="array" ref="T100:T100">T99</f>
        <v>false</v>
      </c>
      <c r="U100" s="1361"/>
      <c r="V100" s="1361"/>
      <c r="W100" s="1361"/>
      <c r="X100" s="1586"/>
      <c r="Y100" s="1361"/>
      <c r="Z100" s="1587"/>
      <c r="AA100" s="1361"/>
      <c r="AB100" s="783" t="s">
        <v>1731</v>
      </c>
      <c r="AC100" s="1089" t="s">
        <v>1732</v>
      </c>
      <c r="AD100" s="790" t="s">
        <v>1476</v>
      </c>
      <c r="AE100" s="785">
        <f>IF(AE99=0,0,(AE93-AE97*AE98)/AE99)</f>
        <v>0</v>
      </c>
      <c r="AF100" s="785">
        <f>IF(AF99=0,0,(AF93-AF97*AF98)/AF99)</f>
        <v>0</v>
      </c>
      <c r="AG100" s="785">
        <f>IF(AG99=0,0,(AG93-AG97*AG98)/AG99)</f>
        <v>0</v>
      </c>
      <c r="AH100" s="778">
        <f>AG100-AF100</f>
        <v>0</v>
      </c>
      <c r="AI100" s="785">
        <f>IF(AI99=0,0,(AI93-AI97*AI98)/AI99)</f>
        <v>0</v>
      </c>
      <c r="AJ100" s="3443">
        <f>IF(AJ99=0,0,(AJ93-AJ97*AJ98)/AJ99)</f>
        <v>0</v>
      </c>
      <c r="AK100" s="3443">
        <f>IF(AK99=0,0,(AK93-AK97*AK98)/AK99)</f>
        <v>0</v>
      </c>
      <c r="AL100" s="793"/>
      <c r="AM100" s="3430"/>
      <c r="AN100" s="3430"/>
      <c r="AO100" s="3430"/>
      <c r="AP100" s="1361"/>
      <c r="AQ100" s="1361"/>
      <c r="AR100" s="1039" t="s">
        <v>1733</v>
      </c>
      <c r="AS100" s="1039"/>
      <c r="AT100" s="1039"/>
      <c r="AU100" s="1036"/>
      <c r="AV100" s="1036"/>
    </row>
    <row customHeight="1" ht="14.625" hidden="1">
      <c r="A101" s="1361"/>
      <c r="B101" s="1361"/>
      <c r="C101" s="1361"/>
      <c r="D101" s="1361"/>
      <c r="E101" s="671">
        <v>15</v>
      </c>
      <c r="F101" s="50" cm="1" t="str">
        <f t="array" ref="F101:F101">OFFSET(E101,-1,1)</f>
        <v>0</v>
      </c>
      <c r="G101" s="553"/>
      <c r="H101" s="1361"/>
      <c r="I101" s="562" t="s">
        <v>1734</v>
      </c>
      <c r="J101" s="562"/>
      <c r="K101" s="562"/>
      <c r="L101" s="562"/>
      <c r="M101" s="562"/>
      <c r="N101" s="562"/>
      <c r="O101" s="562"/>
      <c r="P101" s="562"/>
      <c r="Q101" s="562"/>
      <c r="R101" s="562"/>
      <c r="S101" s="562"/>
      <c r="T101" s="438" cm="1" t="str">
        <f t="array" ref="T101:T101">T100</f>
        <v>false</v>
      </c>
      <c r="U101" s="1361"/>
      <c r="V101" s="1361"/>
      <c r="W101" s="1361"/>
      <c r="X101" s="1586"/>
      <c r="Y101" s="1361"/>
      <c r="Z101" s="1587"/>
      <c r="AA101" s="1361"/>
      <c r="AB101" s="783" t="s">
        <v>1735</v>
      </c>
      <c r="AC101" s="1089" t="s">
        <v>1736</v>
      </c>
      <c r="AD101" s="790" t="s">
        <v>430</v>
      </c>
      <c r="AE101" s="778">
        <f>IF(AE98=0,0,AE100/AE98*100)</f>
        <v>0</v>
      </c>
      <c r="AF101" s="778">
        <f>IF(AF98=0,0,AF100/AF98*100)</f>
        <v>0</v>
      </c>
      <c r="AG101" s="778">
        <f>IF(AG98=0,0,AG100/AG98*100)</f>
        <v>0</v>
      </c>
      <c r="AH101" s="793"/>
      <c r="AI101" s="778">
        <f>IF(AI98=0,0,AI100/AI98*100)</f>
        <v>0</v>
      </c>
      <c r="AJ101" s="778">
        <f>IF(AJ98=0,0,AJ100/AJ98*100)</f>
        <v>0</v>
      </c>
      <c r="AK101" s="778">
        <f>IF(AK98=0,0,AK100/AK98*100)</f>
        <v>0</v>
      </c>
      <c r="AL101" s="793"/>
      <c r="AM101" s="3430"/>
      <c r="AN101" s="3430"/>
      <c r="AO101" s="3430"/>
      <c r="AP101" s="1361"/>
      <c r="AQ101" s="1361"/>
      <c r="AR101" s="1039" t="s">
        <v>1737</v>
      </c>
      <c r="AS101" s="1039"/>
      <c r="AT101" s="1039"/>
      <c r="AU101" s="1036"/>
      <c r="AV101" s="1036"/>
    </row>
    <row customHeight="1" ht="14.625" hidden="1">
      <c r="A102" s="1361"/>
      <c r="B102" s="1361"/>
      <c r="C102" s="1361"/>
      <c r="D102" s="1361"/>
      <c r="E102" s="671">
        <v>15</v>
      </c>
      <c r="F102" s="50" cm="1" t="str">
        <f t="array" ref="F102:F102">OFFSET(E102,-1,1)</f>
        <v>0</v>
      </c>
      <c r="G102" s="553"/>
      <c r="H102" s="1361"/>
      <c r="I102" s="562" t="s">
        <v>1738</v>
      </c>
      <c r="J102" s="562"/>
      <c r="K102" s="562"/>
      <c r="L102" s="562"/>
      <c r="M102" s="562"/>
      <c r="N102" s="562"/>
      <c r="O102" s="562"/>
      <c r="P102" s="562"/>
      <c r="Q102" s="562"/>
      <c r="R102" s="562"/>
      <c r="S102" s="562"/>
      <c r="T102" s="438" cm="1" t="str">
        <f t="array" ref="T102:T102">T101</f>
        <v>false</v>
      </c>
      <c r="U102" s="1361"/>
      <c r="V102" s="1361"/>
      <c r="W102" s="1361"/>
      <c r="X102" s="1586"/>
      <c r="Y102" s="1361"/>
      <c r="Z102" s="1587"/>
      <c r="AA102" s="1361"/>
      <c r="AB102" s="783" t="s">
        <v>1739</v>
      </c>
      <c r="AC102" s="1089" t="s">
        <v>1740</v>
      </c>
      <c r="AD102" s="790" t="s">
        <v>1476</v>
      </c>
      <c r="AE102" s="785">
        <f>IF(AE96=0,0,AE93/AE96)</f>
        <v>0</v>
      </c>
      <c r="AF102" s="785">
        <f>IF(AF96=0,0,AF93/AF96)</f>
        <v>0</v>
      </c>
      <c r="AG102" s="785">
        <f>IF(AG96=0,0,AG93/AG96)</f>
        <v>0</v>
      </c>
      <c r="AH102" s="778">
        <f>AG102-AF102</f>
        <v>0</v>
      </c>
      <c r="AI102" s="785">
        <f>IF(AI96=0,0,AI93/AI96)</f>
        <v>0</v>
      </c>
      <c r="AJ102" s="3443">
        <f>IF(AJ96=0,0,AJ93/AJ96)</f>
        <v>0</v>
      </c>
      <c r="AK102" s="3443">
        <f>IF(AK96=0,0,AK93/AK96)</f>
        <v>0</v>
      </c>
      <c r="AL102" s="793"/>
      <c r="AM102" s="3430"/>
      <c r="AN102" s="3430"/>
      <c r="AO102" s="3430"/>
      <c r="AP102" s="1361"/>
      <c r="AQ102" s="1361"/>
      <c r="AR102" s="1039" t="s">
        <v>1741</v>
      </c>
      <c r="AS102" s="1039"/>
      <c r="AT102" s="1039"/>
      <c r="AU102" s="1036"/>
      <c r="AV102" s="1036"/>
    </row>
    <row s="563" customFormat="1" customHeight="1" ht="14.625" hidden="1">
      <c r="A103" s="563"/>
      <c r="B103" s="563"/>
      <c r="C103" s="563"/>
      <c r="D103" s="563"/>
      <c r="E103" s="673">
        <v>15</v>
      </c>
      <c r="F103" s="50" cm="1" t="str">
        <f t="array" ref="F103:F103">OFFSET(E103,-1,1)</f>
        <v>0</v>
      </c>
      <c r="G103" s="676"/>
      <c r="H103" s="563"/>
      <c r="I103" s="674" t="s">
        <v>1742</v>
      </c>
      <c r="J103" s="674"/>
      <c r="K103" s="674"/>
      <c r="L103" s="674"/>
      <c r="M103" s="674"/>
      <c r="N103" s="674"/>
      <c r="O103" s="674"/>
      <c r="P103" s="674"/>
      <c r="Q103" s="674"/>
      <c r="R103" s="674"/>
      <c r="S103" s="674"/>
      <c r="T103" s="438" cm="1" t="str">
        <f t="array" ref="T103:T103">T102</f>
        <v>false</v>
      </c>
      <c r="U103" s="563"/>
      <c r="V103" s="563"/>
      <c r="W103" s="563"/>
      <c r="X103" s="1586"/>
      <c r="Y103" s="563"/>
      <c r="Z103" s="1587"/>
      <c r="AA103" s="563"/>
      <c r="AB103" s="780" t="s">
        <v>1743</v>
      </c>
      <c r="AC103" s="178" t="s">
        <v>1744</v>
      </c>
      <c r="AD103" s="788" t="s">
        <v>789</v>
      </c>
      <c r="AE103" s="1212">
        <f>IF(AE96=0,0,AE93/AE96*AE104)</f>
        <v>0</v>
      </c>
      <c r="AF103" s="1212">
        <f>IF(AF96=0,0,AF93/AF96*AF104)</f>
        <v>0</v>
      </c>
      <c r="AG103" s="1212">
        <f>IF(AG96=0,0,AG93/AG96*AG104)</f>
        <v>0</v>
      </c>
      <c r="AH103" s="764">
        <f>AH105*AH106+AH107*AH108</f>
        <v>0</v>
      </c>
      <c r="AI103" s="1212">
        <f>IF(AI96=0,0,AI93/AI96*AI104)</f>
        <v>0</v>
      </c>
      <c r="AJ103" s="3488">
        <f>IF(AJ96=0,0,AJ93/AJ96*AJ104)</f>
        <v>0</v>
      </c>
      <c r="AK103" s="3488">
        <f>IF(AK96=0,0,AK93/AK96*AK104)</f>
        <v>0</v>
      </c>
      <c r="AL103" s="777">
        <f>IF(AI103=0,0,(AK103-AI103)/AI103*100)</f>
        <v>0</v>
      </c>
      <c r="AM103" s="3438"/>
      <c r="AN103" s="3438"/>
      <c r="AO103" s="3438"/>
      <c r="AP103" s="563"/>
      <c r="AQ103" s="563"/>
      <c r="AR103" s="1040" t="s">
        <v>1745</v>
      </c>
      <c r="AS103" s="1040"/>
      <c r="AT103" s="1040"/>
      <c r="AU103" s="673"/>
      <c r="AV103" s="673"/>
    </row>
    <row s="563" customFormat="1" customHeight="1" ht="14.625" hidden="1">
      <c r="A104" s="563"/>
      <c r="B104" s="563"/>
      <c r="C104" s="563"/>
      <c r="D104" s="563"/>
      <c r="E104" s="673">
        <v>15</v>
      </c>
      <c r="F104" s="50" cm="1" t="str">
        <f t="array" ref="F104:F104">OFFSET(E104,-1,1)</f>
        <v>0</v>
      </c>
      <c r="G104" s="553" t="s">
        <v>1498</v>
      </c>
      <c r="H104" s="563"/>
      <c r="I104" s="674" t="s">
        <v>1746</v>
      </c>
      <c r="J104" s="674"/>
      <c r="K104" s="674"/>
      <c r="L104" s="674"/>
      <c r="M104" s="674"/>
      <c r="N104" s="674"/>
      <c r="O104" s="674"/>
      <c r="P104" s="674"/>
      <c r="Q104" s="674"/>
      <c r="R104" s="674"/>
      <c r="S104" s="674"/>
      <c r="T104" s="438" cm="1" t="str">
        <f t="array" ref="T104:T104">T103</f>
        <v>false</v>
      </c>
      <c r="U104" s="563"/>
      <c r="V104" s="563"/>
      <c r="W104" s="563"/>
      <c r="X104" s="1586"/>
      <c r="Y104" s="563"/>
      <c r="Z104" s="1587"/>
      <c r="AA104" s="563"/>
      <c r="AB104" s="780" t="s">
        <v>1747</v>
      </c>
      <c r="AC104" s="178" t="s">
        <v>1748</v>
      </c>
      <c r="AD104" s="788" t="s">
        <v>506</v>
      </c>
      <c r="AE104" s="798">
        <f>_xlfn.SUMIFS(Баланс!AE$26:AE$209,Баланс!$F$26:$F$209,$F104,Баланс!$G$26:$G$209,"население")</f>
        <v>0</v>
      </c>
      <c r="AF104" s="798">
        <f>_xlfn.SUMIFS(Баланс!AF$26:AF$209,Баланс!$F$26:$F$209,$F104,Баланс!$G$26:$G$209,"население")</f>
        <v>0</v>
      </c>
      <c r="AG104" s="798">
        <f>_xlfn.SUMIFS(Баланс!AG$26:AG$209,Баланс!$F$26:$F$209,$F104,Баланс!$G$26:$G$209,"население")</f>
        <v>0</v>
      </c>
      <c r="AH104" s="798">
        <f>AG104-AF104</f>
        <v>0</v>
      </c>
      <c r="AI104" s="798">
        <f>_xlfn.SUMIFS(Баланс!AH$26:AH$209,Баланс!$F$26:$F$209,$F104,Баланс!$G$26:$G$209,"население")</f>
        <v>0</v>
      </c>
      <c r="AJ104" s="798">
        <f>_xlfn.SUMIFS(Баланс!AI$26:AI$209,Баланс!$F$26:$F$209,$F104,Баланс!$G$26:$G$209,"население")</f>
        <v>0</v>
      </c>
      <c r="AK104" s="798">
        <f>_xlfn.SUMIFS(Баланс!AS$26:AS$209,Баланс!$F$26:$F$209,$F104,Баланс!$G$26:$G$209,"население")</f>
        <v>0</v>
      </c>
      <c r="AL104" s="799"/>
      <c r="AM104" s="3438"/>
      <c r="AN104" s="3438"/>
      <c r="AO104" s="3438"/>
      <c r="AP104" s="563"/>
      <c r="AQ104" s="563"/>
      <c r="AR104" s="1040" t="s">
        <v>1749</v>
      </c>
      <c r="AS104" s="1040"/>
      <c r="AT104" s="1040"/>
      <c r="AU104" s="673"/>
      <c r="AV104" s="673"/>
    </row>
    <row customHeight="1" ht="14.625" hidden="1">
      <c r="A105" s="1361"/>
      <c r="B105" s="1361"/>
      <c r="C105" s="1361"/>
      <c r="D105" s="1361"/>
      <c r="E105" s="671">
        <v>15</v>
      </c>
      <c r="F105" s="50" cm="1" t="str">
        <f t="array" ref="F105:F105">OFFSET(E105,-1,1)</f>
        <v>0</v>
      </c>
      <c r="G105" s="553" t="s">
        <v>1532</v>
      </c>
      <c r="H105" s="1361"/>
      <c r="I105" s="562" t="s">
        <v>1750</v>
      </c>
      <c r="J105" s="562"/>
      <c r="K105" s="562"/>
      <c r="L105" s="562"/>
      <c r="M105" s="562"/>
      <c r="N105" s="562"/>
      <c r="O105" s="562"/>
      <c r="P105" s="562"/>
      <c r="Q105" s="562"/>
      <c r="R105" s="562"/>
      <c r="S105" s="562"/>
      <c r="T105" s="438" cm="1" t="str">
        <f t="array" ref="T105:T105">T104</f>
        <v>false</v>
      </c>
      <c r="U105" s="1361"/>
      <c r="V105" s="1361"/>
      <c r="W105" s="1361"/>
      <c r="X105" s="1586"/>
      <c r="Y105" s="1361"/>
      <c r="Z105" s="1587"/>
      <c r="AA105" s="1361"/>
      <c r="AB105" s="783" t="s">
        <v>1751</v>
      </c>
      <c r="AC105" s="1089" t="s">
        <v>1752</v>
      </c>
      <c r="AD105" s="790" t="s">
        <v>506</v>
      </c>
      <c r="AE105" s="800">
        <f>AE104/2</f>
        <v>0</v>
      </c>
      <c r="AF105" s="800">
        <f>AF104/2</f>
        <v>0</v>
      </c>
      <c r="AG105" s="800">
        <f>AG104/2</f>
        <v>0</v>
      </c>
      <c r="AH105" s="801">
        <f>AG105-AF105</f>
        <v>0</v>
      </c>
      <c r="AI105" s="800">
        <f>AI104/2</f>
        <v>0</v>
      </c>
      <c r="AJ105" s="3484">
        <f>IF(god=2026,AJ104/12*9,AJ104/2)</f>
        <v>0</v>
      </c>
      <c r="AK105" s="3484">
        <f>IF(god=2026,AK104/12*9,AK104/2)</f>
        <v>0</v>
      </c>
      <c r="AL105" s="793"/>
      <c r="AM105" s="3430"/>
      <c r="AN105" s="3430"/>
      <c r="AO105" s="3430"/>
      <c r="AP105" s="1361"/>
      <c r="AQ105" s="1361"/>
      <c r="AR105" s="1039" t="s">
        <v>1753</v>
      </c>
      <c r="AS105" s="1039"/>
      <c r="AT105" s="1039"/>
      <c r="AU105" s="1036"/>
      <c r="AV105" s="1036"/>
    </row>
    <row customHeight="1" ht="14.625" hidden="1">
      <c r="A106" s="1361"/>
      <c r="B106" s="1361"/>
      <c r="C106" s="1361"/>
      <c r="D106" s="1361"/>
      <c r="E106" s="671">
        <v>15</v>
      </c>
      <c r="F106" s="50" cm="1" t="str">
        <f t="array" ref="F106:F106">OFFSET(E106,-1,1)</f>
        <v>0</v>
      </c>
      <c r="G106" s="553" t="s">
        <v>1488</v>
      </c>
      <c r="H106" s="1361"/>
      <c r="I106" s="562" t="s">
        <v>1754</v>
      </c>
      <c r="J106" s="562"/>
      <c r="K106" s="562"/>
      <c r="L106" s="562"/>
      <c r="M106" s="562"/>
      <c r="N106" s="562"/>
      <c r="O106" s="562"/>
      <c r="P106" s="562"/>
      <c r="Q106" s="562"/>
      <c r="R106" s="562"/>
      <c r="S106" s="562"/>
      <c r="T106" s="438" cm="1" t="str">
        <f t="array" ref="T106:T106">T105</f>
        <v>false</v>
      </c>
      <c r="U106" s="1361"/>
      <c r="V106" s="1361"/>
      <c r="W106" s="1361"/>
      <c r="X106" s="1586"/>
      <c r="Y106" s="1361"/>
      <c r="Z106" s="1587"/>
      <c r="AA106" s="1361"/>
      <c r="AB106" s="783" t="s">
        <v>1755</v>
      </c>
      <c r="AC106" s="1089" t="s">
        <v>1756</v>
      </c>
      <c r="AD106" s="790" t="s">
        <v>1476</v>
      </c>
      <c r="AE106" s="1333">
        <f>IF(AE104=0,0,AE98*(1+Сценарии!AE$26))</f>
        <v>0</v>
      </c>
      <c r="AF106" s="1333">
        <f>IF(AF104=0,0,AF98*(1+Сценарии!AF$26))</f>
        <v>0</v>
      </c>
      <c r="AG106" s="1333">
        <f>IF(AG104=0,0,AG98*(1+Сценарии!AG$26))</f>
        <v>0</v>
      </c>
      <c r="AH106" s="778">
        <f>AG106-AF106</f>
        <v>0</v>
      </c>
      <c r="AI106" s="1333">
        <f>IF(AI104=0,0,AI98*(1+Сценарии!AI$26))</f>
        <v>0</v>
      </c>
      <c r="AJ106" s="3490">
        <f>IF(AJ104=0,0,AJ98*(1+Сценарии!AJ$26))</f>
        <v>0</v>
      </c>
      <c r="AK106" s="3490">
        <f>IF(AK104=0,0,AK98*(1+Сценарии!AK$26))</f>
        <v>0</v>
      </c>
      <c r="AL106" s="793"/>
      <c r="AM106" s="3430"/>
      <c r="AN106" s="3430"/>
      <c r="AO106" s="3430"/>
      <c r="AP106" s="1361"/>
      <c r="AQ106" s="1361"/>
      <c r="AR106" s="1039" t="s">
        <v>1757</v>
      </c>
      <c r="AS106" s="1039"/>
      <c r="AT106" s="1039"/>
      <c r="AU106" s="1036"/>
      <c r="AV106" s="1036"/>
    </row>
    <row customHeight="1" ht="14.625" hidden="1">
      <c r="A107" s="1361"/>
      <c r="B107" s="1361"/>
      <c r="C107" s="1361"/>
      <c r="D107" s="1361"/>
      <c r="E107" s="671">
        <v>15</v>
      </c>
      <c r="F107" s="50" cm="1" t="str">
        <f t="array" ref="F107:F107">OFFSET(E107,-1,1)</f>
        <v>0</v>
      </c>
      <c r="G107" s="553" t="s">
        <v>1539</v>
      </c>
      <c r="H107" s="1361"/>
      <c r="I107" s="562" t="s">
        <v>1758</v>
      </c>
      <c r="J107" s="562"/>
      <c r="K107" s="562"/>
      <c r="L107" s="562"/>
      <c r="M107" s="562"/>
      <c r="N107" s="562"/>
      <c r="O107" s="562"/>
      <c r="P107" s="562"/>
      <c r="Q107" s="562"/>
      <c r="R107" s="562"/>
      <c r="S107" s="562"/>
      <c r="T107" s="438" cm="1" t="str">
        <f t="array" ref="T107:T107">T106</f>
        <v>false</v>
      </c>
      <c r="U107" s="1361"/>
      <c r="V107" s="1361"/>
      <c r="W107" s="1361"/>
      <c r="X107" s="1586"/>
      <c r="Y107" s="1361"/>
      <c r="Z107" s="1587"/>
      <c r="AA107" s="1361"/>
      <c r="AB107" s="783" t="s">
        <v>1759</v>
      </c>
      <c r="AC107" s="1089" t="s">
        <v>1728</v>
      </c>
      <c r="AD107" s="790" t="s">
        <v>506</v>
      </c>
      <c r="AE107" s="801">
        <f>AE104-AE105</f>
        <v>0</v>
      </c>
      <c r="AF107" s="801">
        <f>AF104-AF105</f>
        <v>0</v>
      </c>
      <c r="AG107" s="801">
        <f>AG104-AG105</f>
        <v>0</v>
      </c>
      <c r="AH107" s="801">
        <f>AG107-AF107</f>
        <v>0</v>
      </c>
      <c r="AI107" s="801">
        <f>AI104-AI105</f>
        <v>0</v>
      </c>
      <c r="AJ107" s="801">
        <f>AJ104-AJ105</f>
        <v>0</v>
      </c>
      <c r="AK107" s="801">
        <f>AK104-AK105</f>
        <v>0</v>
      </c>
      <c r="AL107" s="793"/>
      <c r="AM107" s="3430"/>
      <c r="AN107" s="3430"/>
      <c r="AO107" s="3430"/>
      <c r="AP107" s="1361"/>
      <c r="AQ107" s="1361"/>
      <c r="AR107" s="1039" t="s">
        <v>1760</v>
      </c>
      <c r="AS107" s="1039"/>
      <c r="AT107" s="1039"/>
      <c r="AU107" s="1036"/>
      <c r="AV107" s="1036"/>
    </row>
    <row customHeight="1" ht="14.625" hidden="1">
      <c r="A108" s="1361"/>
      <c r="B108" s="1361"/>
      <c r="C108" s="1361"/>
      <c r="D108" s="1361"/>
      <c r="E108" s="671">
        <v>15</v>
      </c>
      <c r="F108" s="50" cm="1" t="str">
        <f t="array" ref="F108:F108">OFFSET(E108,-1,1)</f>
        <v>0</v>
      </c>
      <c r="G108" s="553" t="s">
        <v>1492</v>
      </c>
      <c r="H108" s="1361"/>
      <c r="I108" s="562" t="s">
        <v>1761</v>
      </c>
      <c r="J108" s="562"/>
      <c r="K108" s="562"/>
      <c r="L108" s="562"/>
      <c r="M108" s="562"/>
      <c r="N108" s="562"/>
      <c r="O108" s="562"/>
      <c r="P108" s="562"/>
      <c r="Q108" s="562"/>
      <c r="R108" s="562"/>
      <c r="S108" s="562"/>
      <c r="T108" s="438" cm="1" t="str">
        <f t="array" ref="T108:T108">T107</f>
        <v>false</v>
      </c>
      <c r="U108" s="1361"/>
      <c r="V108" s="1361"/>
      <c r="W108" s="1361"/>
      <c r="X108" s="1586"/>
      <c r="Y108" s="1361"/>
      <c r="Z108" s="1587"/>
      <c r="AA108" s="1361"/>
      <c r="AB108" s="783" t="s">
        <v>1762</v>
      </c>
      <c r="AC108" s="1089" t="s">
        <v>1763</v>
      </c>
      <c r="AD108" s="790" t="s">
        <v>1476</v>
      </c>
      <c r="AE108" s="785">
        <f>IF(AE104=0,0,AE100*(1+Сценарии!AE$26))</f>
        <v>0</v>
      </c>
      <c r="AF108" s="785">
        <f>IF(AF104=0,0,AF100*(1+Сценарии!AF$26))</f>
        <v>0</v>
      </c>
      <c r="AG108" s="785">
        <f>IF(AG104=0,0,AG100*(1+Сценарии!AG$26))</f>
        <v>0</v>
      </c>
      <c r="AH108" s="778">
        <f>AG108-AF108</f>
        <v>0</v>
      </c>
      <c r="AI108" s="785">
        <f>IF(AI104=0,0,AI100*(1+Сценарии!AI$26))</f>
        <v>0</v>
      </c>
      <c r="AJ108" s="3443">
        <f>IF(AJ104=0,0,AJ100*(1+Сценарии!AJ$26))</f>
        <v>0</v>
      </c>
      <c r="AK108" s="3443">
        <f>IF(AK104=0,0,AK100*(1+Сценарии!AK$26))</f>
        <v>0</v>
      </c>
      <c r="AL108" s="793"/>
      <c r="AM108" s="3430"/>
      <c r="AN108" s="3430"/>
      <c r="AO108" s="3430"/>
      <c r="AP108" s="1361"/>
      <c r="AQ108" s="1361"/>
      <c r="AR108" s="1039" t="s">
        <v>1764</v>
      </c>
      <c r="AS108" s="1039"/>
      <c r="AT108" s="1039"/>
      <c r="AU108" s="1036"/>
      <c r="AV108" s="1036"/>
    </row>
    <row customHeight="1" ht="14.625" hidden="1">
      <c r="A109" s="1361"/>
      <c r="B109" s="1361"/>
      <c r="C109" s="1361"/>
      <c r="D109" s="1361"/>
      <c r="E109" s="671">
        <v>15</v>
      </c>
      <c r="F109" s="50" cm="1" t="str">
        <f t="array" ref="F109:F109">OFFSET(E109,-1,1)</f>
        <v>0</v>
      </c>
      <c r="G109" s="553"/>
      <c r="H109" s="1361"/>
      <c r="I109" s="562"/>
      <c r="J109" s="562"/>
      <c r="K109" s="562"/>
      <c r="L109" s="562"/>
      <c r="M109" s="562"/>
      <c r="N109" s="562"/>
      <c r="O109" s="562"/>
      <c r="P109" s="562"/>
      <c r="Q109" s="562"/>
      <c r="R109" s="562"/>
      <c r="S109" s="562"/>
      <c r="T109" s="438" cm="1" t="str">
        <f t="array" ref="T109:T109">T108</f>
        <v>false</v>
      </c>
      <c r="U109" s="1361"/>
      <c r="V109" s="1361"/>
      <c r="W109" s="1361"/>
      <c r="X109" s="1586"/>
      <c r="Y109" s="1361"/>
      <c r="Z109" s="1587"/>
      <c r="AA109" s="1361"/>
      <c r="AB109" s="184" t="s">
        <v>1765</v>
      </c>
      <c r="AC109" s="178" t="s">
        <v>1766</v>
      </c>
      <c r="AD109" s="177" t="s">
        <v>789</v>
      </c>
      <c r="AE109" s="785"/>
      <c r="AF109" s="785"/>
      <c r="AG109" s="785"/>
      <c r="AH109" s="778">
        <f>AG109-AF109</f>
        <v>0</v>
      </c>
      <c r="AI109" s="785"/>
      <c r="AJ109" s="3443"/>
      <c r="AK109" s="3443"/>
      <c r="AL109" s="793"/>
      <c r="AM109" s="3430"/>
      <c r="AN109" s="3430"/>
      <c r="AO109" s="3430"/>
      <c r="AP109" s="1361"/>
      <c r="AQ109" s="1361"/>
      <c r="AR109" s="1039" t="s">
        <v>1767</v>
      </c>
      <c r="AS109" s="1039"/>
      <c r="AT109" s="1039"/>
      <c r="AU109" s="1036"/>
      <c r="AV109" s="1036"/>
    </row>
    <row customHeight="1" ht="21.9375" hidden="1">
      <c r="A110" s="1361"/>
      <c r="B110" s="1361"/>
      <c r="C110" s="1361"/>
      <c r="D110" s="1361"/>
      <c r="E110" s="671">
        <v>22.5</v>
      </c>
      <c r="F110" s="50" cm="1" t="str">
        <f t="array" ref="F110:F110">OFFSET(E110,-1,1)</f>
        <v>0</v>
      </c>
      <c r="G110" s="553"/>
      <c r="H110" s="1361"/>
      <c r="I110" s="562"/>
      <c r="J110" s="562"/>
      <c r="K110" s="562"/>
      <c r="L110" s="562"/>
      <c r="M110" s="562"/>
      <c r="N110" s="562"/>
      <c r="O110" s="562"/>
      <c r="P110" s="562"/>
      <c r="Q110" s="562"/>
      <c r="R110" s="562"/>
      <c r="S110" s="562"/>
      <c r="T110" s="438" cm="1" t="str">
        <f t="array" ref="T110:T110">T109</f>
        <v>false</v>
      </c>
      <c r="U110" s="1361"/>
      <c r="V110" s="1361"/>
      <c r="W110" s="1361"/>
      <c r="X110" s="1586"/>
      <c r="Y110" s="1361"/>
      <c r="Z110" s="1587"/>
      <c r="AA110" s="1361"/>
      <c r="AB110" s="265" t="s">
        <v>1768</v>
      </c>
      <c r="AC110" s="738" t="s">
        <v>1769</v>
      </c>
      <c r="AD110" s="266" t="s">
        <v>789</v>
      </c>
      <c r="AE110" s="785"/>
      <c r="AF110" s="785"/>
      <c r="AG110" s="785"/>
      <c r="AH110" s="778">
        <f>AG110-AF110</f>
        <v>0</v>
      </c>
      <c r="AI110" s="785"/>
      <c r="AJ110" s="3443"/>
      <c r="AK110" s="3443"/>
      <c r="AL110" s="793"/>
      <c r="AM110" s="3430"/>
      <c r="AN110" s="3430"/>
      <c r="AO110" s="3430"/>
      <c r="AP110" s="1361"/>
      <c r="AQ110" s="1361"/>
      <c r="AR110" s="1039" t="s">
        <v>1770</v>
      </c>
      <c r="AS110" s="1039"/>
      <c r="AT110" s="1039"/>
      <c r="AU110" s="1036"/>
      <c r="AV110" s="1036"/>
    </row>
    <row customHeight="1" ht="70.2" hidden="1">
      <c r="A111" s="1361"/>
      <c r="B111" s="1361"/>
      <c r="C111" s="1361"/>
      <c r="D111" s="1361"/>
      <c r="E111" s="671">
        <v>72</v>
      </c>
      <c r="F111" s="50" cm="1" t="str">
        <f t="array" ref="F111:F111">OFFSET(E111,-1,1)</f>
        <v>0</v>
      </c>
      <c r="G111" s="553"/>
      <c r="H111" s="1361"/>
      <c r="I111" s="562"/>
      <c r="J111" s="562"/>
      <c r="K111" s="562"/>
      <c r="L111" s="562"/>
      <c r="M111" s="562"/>
      <c r="N111" s="562"/>
      <c r="O111" s="562"/>
      <c r="P111" s="562"/>
      <c r="Q111" s="562"/>
      <c r="R111" s="562"/>
      <c r="S111" s="562"/>
      <c r="T111" s="438" cm="1" t="str">
        <f t="array" ref="T111:T111">T110</f>
        <v>false</v>
      </c>
      <c r="U111" s="1361"/>
      <c r="V111" s="1361"/>
      <c r="W111" s="1361"/>
      <c r="X111" s="1586"/>
      <c r="Y111" s="1361"/>
      <c r="Z111" s="1587"/>
      <c r="AA111" s="1361"/>
      <c r="AB111" s="265" t="s">
        <v>1771</v>
      </c>
      <c r="AC111" s="738" t="s">
        <v>1772</v>
      </c>
      <c r="AD111" s="266" t="s">
        <v>789</v>
      </c>
      <c r="AE111" s="785"/>
      <c r="AF111" s="785"/>
      <c r="AG111" s="785"/>
      <c r="AH111" s="778">
        <f>AG111-AF111</f>
        <v>0</v>
      </c>
      <c r="AI111" s="785"/>
      <c r="AJ111" s="3443"/>
      <c r="AK111" s="3443"/>
      <c r="AL111" s="793"/>
      <c r="AM111" s="3430"/>
      <c r="AN111" s="3430"/>
      <c r="AO111" s="3430"/>
      <c r="AP111" s="1361"/>
      <c r="AQ111" s="1361"/>
      <c r="AR111" s="1039" t="s">
        <v>1773</v>
      </c>
      <c r="AS111" s="1039"/>
      <c r="AT111" s="1039"/>
      <c r="AU111" s="1036"/>
      <c r="AV111" s="1036"/>
    </row>
    <row s="1624" customFormat="1" customHeight="1" ht="14.25">
      <c r="A112" s="1361"/>
      <c r="B112" s="1361"/>
      <c r="C112" s="1361"/>
      <c r="D112" s="1361"/>
      <c r="E112" s="671">
        <v>15</v>
      </c>
      <c r="F112" s="554" cm="1" t="str">
        <f t="array" ref="F112:F112">X112</f>
        <v>1</v>
      </c>
      <c r="G112" s="672" cm="1" t="str">
        <f t="array" ref="G112:G112">INDEX('Общие сведения'!$AK$179:$AK$208,MATCH($X112,'Общие сведения'!$Z$179:$Z$208,0))</f>
        <v>одноставочный</v>
      </c>
      <c r="H112" s="1361"/>
      <c r="I112" s="1361"/>
      <c r="J112" s="1361"/>
      <c r="K112" s="1361"/>
      <c r="L112" s="1361"/>
      <c r="M112" s="1361"/>
      <c r="N112" s="1361"/>
      <c r="O112" s="1361"/>
      <c r="P112" s="1361"/>
      <c r="Q112" s="1361"/>
      <c r="R112" s="1361"/>
      <c r="S112" s="1361"/>
      <c r="T112" s="438">
        <f>X112&gt;0</f>
        <v>1</v>
      </c>
      <c r="U112" s="1361"/>
      <c r="V112" s="670" cm="1" t="str">
        <f t="array" ref="V112:V112">ТМ!$AD$85</f>
        <v>Тариф 1 (Водоотведение) - тариф на транспортировку сточных вод</v>
      </c>
      <c r="W112" s="1361"/>
      <c r="X112" s="1586" t="s">
        <v>281</v>
      </c>
      <c r="Y112" s="1361"/>
      <c r="Z112" s="1587"/>
      <c r="AA112" s="1361"/>
      <c r="AB112" s="1205" cm="1" t="str">
        <f t="array" ref="AB112:AB112">ТМ!$AD$85</f>
        <v>Тариф 1 (Водоотведение) - тариф на транспортировку сточных вод</v>
      </c>
      <c r="AC112" s="561"/>
      <c r="AD112" s="561"/>
      <c r="AE112" s="561"/>
      <c r="AF112" s="561"/>
      <c r="AG112" s="561"/>
      <c r="AH112" s="561"/>
      <c r="AI112" s="561"/>
      <c r="AJ112" s="561"/>
      <c r="AK112" s="561"/>
      <c r="AL112" s="561"/>
      <c r="AM112" s="561"/>
      <c r="AN112" s="561"/>
      <c r="AO112" s="561"/>
      <c r="AP112" s="1361"/>
      <c r="AQ112" s="1361"/>
      <c r="AR112" s="1039"/>
      <c r="AS112" s="1039"/>
      <c r="AT112" s="1039"/>
      <c r="AU112" s="1036"/>
      <c r="AV112" s="1036"/>
    </row>
    <row s="1624" customFormat="1" customHeight="1" ht="14.25">
      <c r="A113" s="1361"/>
      <c r="B113" s="1361"/>
      <c r="C113" s="1361"/>
      <c r="D113" s="1361"/>
      <c r="E113" s="671">
        <v>15</v>
      </c>
      <c r="F113" s="50" cm="1" t="str">
        <f t="array" ref="F113:F113">OFFSET(E113,-1,1)</f>
        <v>1</v>
      </c>
      <c r="G113" s="1361"/>
      <c r="H113" s="1361"/>
      <c r="I113" s="562" t="s">
        <v>321</v>
      </c>
      <c r="J113" s="562"/>
      <c r="K113" s="562"/>
      <c r="L113" s="562"/>
      <c r="M113" s="562"/>
      <c r="N113" s="562"/>
      <c r="O113" s="562"/>
      <c r="P113" s="562"/>
      <c r="Q113" s="562"/>
      <c r="R113" s="562"/>
      <c r="S113" s="562"/>
      <c r="T113" s="438" cm="1" t="str">
        <f t="array" ref="T113:T113">T112</f>
        <v>true</v>
      </c>
      <c r="U113" s="1361"/>
      <c r="V113" s="1361"/>
      <c r="W113" s="1361"/>
      <c r="X113" s="1586"/>
      <c r="Y113" s="1361"/>
      <c r="Z113" s="1587"/>
      <c r="AA113" s="1361"/>
      <c r="AB113" s="775" t="s">
        <v>281</v>
      </c>
      <c r="AC113" s="776" t="s">
        <v>1568</v>
      </c>
      <c r="AD113" s="735" t="s">
        <v>789</v>
      </c>
      <c r="AE113" s="777">
        <f>AE114+AE118+AE128+AE129+AE132+AE133+AE134</f>
        <v>0</v>
      </c>
      <c r="AF113" s="777">
        <f>AF114+AF118+AF128+AF129+AF132+AF133+AF134</f>
        <v>0</v>
      </c>
      <c r="AG113" s="777">
        <f>AG114+AG118+AG128+AG129+AG132+AG133+AG134</f>
        <v>0</v>
      </c>
      <c r="AH113" s="777">
        <f>AG113-AF113</f>
        <v>0</v>
      </c>
      <c r="AI113" s="777">
        <f>AI114+AI118+AI128+AI129+AI132+AI133+AI134</f>
        <v>0</v>
      </c>
      <c r="AJ113" s="777">
        <f>AJ114+AJ118+AJ128+AJ129+AJ132+AJ133+AJ134</f>
        <v>0</v>
      </c>
      <c r="AK113" s="777">
        <f>AK114+AK118+AK128+AK129+AK132+AK133+AK134</f>
        <v>0</v>
      </c>
      <c r="AL113" s="778">
        <f>IF(AI113=0,0,(AK113-AI113)/AI113*100)</f>
        <v>0</v>
      </c>
      <c r="AM113" s="779"/>
      <c r="AN113" s="886"/>
      <c r="AO113" s="779"/>
      <c r="AP113" s="1361"/>
      <c r="AQ113" s="1361"/>
      <c r="AR113" s="1039" t="s">
        <v>491</v>
      </c>
      <c r="AS113" s="1039"/>
      <c r="AT113" s="1039"/>
      <c r="AU113" s="1036"/>
      <c r="AV113" s="1036"/>
    </row>
    <row s="3493" customFormat="1" customHeight="1" ht="21.75">
      <c r="A114" s="563"/>
      <c r="B114" s="563"/>
      <c r="C114" s="563"/>
      <c r="D114" s="563"/>
      <c r="E114" s="673">
        <v>22.5</v>
      </c>
      <c r="F114" s="50" cm="1" t="str">
        <f t="array" ref="F114:F114">OFFSET(E114,-1,1)</f>
        <v>1</v>
      </c>
      <c r="G114" s="563"/>
      <c r="H114" s="563"/>
      <c r="I114" s="674" t="s">
        <v>434</v>
      </c>
      <c r="J114" s="674"/>
      <c r="K114" s="674"/>
      <c r="L114" s="674"/>
      <c r="M114" s="674"/>
      <c r="N114" s="674"/>
      <c r="O114" s="674"/>
      <c r="P114" s="674"/>
      <c r="Q114" s="674"/>
      <c r="R114" s="674"/>
      <c r="S114" s="674"/>
      <c r="T114" s="438" cm="1" t="str">
        <f t="array" ref="T114:T114">T113</f>
        <v>true</v>
      </c>
      <c r="U114" s="563"/>
      <c r="V114" s="563"/>
      <c r="W114" s="563"/>
      <c r="X114" s="1586"/>
      <c r="Y114" s="563"/>
      <c r="Z114" s="1587"/>
      <c r="AA114" s="563"/>
      <c r="AB114" s="780" t="s">
        <v>844</v>
      </c>
      <c r="AC114" s="781" t="s">
        <v>1569</v>
      </c>
      <c r="AD114" s="565" t="s">
        <v>789</v>
      </c>
      <c r="AE114" s="777">
        <f>SUM(AE115:AE117)</f>
        <v>0</v>
      </c>
      <c r="AF114" s="777">
        <f>SUM(AF115:AF117)</f>
        <v>0</v>
      </c>
      <c r="AG114" s="777">
        <f>SUM(AG115:AG117)</f>
        <v>0</v>
      </c>
      <c r="AH114" s="777">
        <f>AG114-AF114</f>
        <v>0</v>
      </c>
      <c r="AI114" s="777">
        <f>SUM(AI115:AI117)</f>
        <v>0</v>
      </c>
      <c r="AJ114" s="777">
        <f>SUM(AJ115:AJ117)</f>
        <v>0</v>
      </c>
      <c r="AK114" s="777">
        <f>SUM(AK115:AK117)</f>
        <v>0</v>
      </c>
      <c r="AL114" s="777">
        <f>IF(AI114=0,0,(AK114-AI114)/AI114*100)</f>
        <v>0</v>
      </c>
      <c r="AM114" s="782"/>
      <c r="AN114" s="782"/>
      <c r="AO114" s="782"/>
      <c r="AP114" s="563"/>
      <c r="AQ114" s="563"/>
      <c r="AR114" s="1040" t="s">
        <v>1570</v>
      </c>
      <c r="AS114" s="1040"/>
      <c r="AT114" s="1040"/>
      <c r="AU114" s="673"/>
      <c r="AV114" s="673"/>
    </row>
    <row s="1624" customFormat="1" customHeight="1" ht="14.25">
      <c r="A115" s="1361"/>
      <c r="B115" s="1361"/>
      <c r="C115" s="1361"/>
      <c r="D115" s="1361"/>
      <c r="E115" s="671">
        <v>15</v>
      </c>
      <c r="F115" s="50" cm="1" t="str">
        <f t="array" ref="F115:F115">OFFSET(E115,-1,1)</f>
        <v>1</v>
      </c>
      <c r="G115" s="1361"/>
      <c r="H115" s="1361"/>
      <c r="I115" s="562" t="s">
        <v>947</v>
      </c>
      <c r="J115" s="562"/>
      <c r="K115" s="562"/>
      <c r="L115" s="562"/>
      <c r="M115" s="562"/>
      <c r="N115" s="562"/>
      <c r="O115" s="562"/>
      <c r="P115" s="562"/>
      <c r="Q115" s="562"/>
      <c r="R115" s="562"/>
      <c r="S115" s="562"/>
      <c r="T115" s="438" cm="1" t="str">
        <f t="array" ref="T115:T115">T114</f>
        <v>true</v>
      </c>
      <c r="U115" s="1361"/>
      <c r="V115" s="1361"/>
      <c r="W115" s="1361"/>
      <c r="X115" s="1586"/>
      <c r="Y115" s="1361"/>
      <c r="Z115" s="1587"/>
      <c r="AA115" s="1361"/>
      <c r="AB115" s="783" t="s">
        <v>948</v>
      </c>
      <c r="AC115" s="784" t="s">
        <v>1571</v>
      </c>
      <c r="AD115" s="735" t="s">
        <v>789</v>
      </c>
      <c r="AE115" s="778">
        <f>_xlfn.SUMIFS('Сырье и материалы'!AE$25:AE$35,'Сырье и материалы'!$F$25:$F$35,$F115,'Сырье и материалы'!$AC$25:$AC$35,"Всего по тарифу")</f>
        <v>0</v>
      </c>
      <c r="AF115" s="778">
        <f>_xlfn.SUMIFS('Сырье и материалы'!AF$25:AF$35,'Сырье и материалы'!$F$25:$F$35,$F115,'Сырье и материалы'!$AC$25:$AC$35,"Всего по тарифу")</f>
        <v>0</v>
      </c>
      <c r="AG115" s="778">
        <f>_xlfn.SUMIFS('Сырье и материалы'!AG$25:AG$35,'Сырье и материалы'!$F$25:$F$35,$F115,'Сырье и материалы'!$AC$25:$AC$35,"Всего по тарифу")</f>
        <v>0</v>
      </c>
      <c r="AH115" s="778">
        <f>AG115-AF115</f>
        <v>0</v>
      </c>
      <c r="AI115" s="778">
        <f>_xlfn.SUMIFS('Сырье и материалы'!AH$25:AH$35,'Сырье и материалы'!$F$25:$F$35,$F115,'Сырье и материалы'!$AC$25:$AC$35,"Всего по тарифу")</f>
        <v>0</v>
      </c>
      <c r="AJ115" s="778">
        <f>_xlfn.SUMIFS('Сырье и материалы'!AI$25:AI$35,'Сырье и материалы'!$F$25:$F$35,$F115,'Сырье и материалы'!$AC$25:$AC$35,"Всего по тарифу")</f>
        <v>0</v>
      </c>
      <c r="AK115" s="778">
        <f>_xlfn.SUMIFS('Сырье и материалы'!AS$25:AS$35,'Сырье и материалы'!$F$25:$F$35,$F115,'Сырье и материалы'!$AC$25:$AC$35,"Всего по тарифу")</f>
        <v>0</v>
      </c>
      <c r="AL115" s="778">
        <f>IF(AI115=0,0,(AK115-AI115)/AI115*100)</f>
        <v>0</v>
      </c>
      <c r="AM115" s="779"/>
      <c r="AN115" s="886" t="str">
        <f>IF(_xlfn.IFERROR(INDEX('Сырье и материалы'!$K$26:$L$35,MATCH($F115&amp;"komm",'Сырье и материалы'!$K$26:$K$35,0),2),"")=0,"",_xlfn.IFERROR(INDEX('Сырье и материалы'!$K$26:$L$35,MATCH($F115&amp;"komm",'Сырье и материалы'!$K$26:$K$35,0),2),""))</f>
        <v/>
      </c>
      <c r="AO115" s="779"/>
      <c r="AP115" s="1361"/>
      <c r="AQ115" s="1361"/>
      <c r="AR115" s="1039" t="s">
        <v>1572</v>
      </c>
      <c r="AS115" s="1039"/>
      <c r="AT115" s="1039"/>
      <c r="AU115" s="1036"/>
      <c r="AV115" s="1036"/>
    </row>
    <row s="1624" customFormat="1" customHeight="1" ht="14.25">
      <c r="A116" s="1361"/>
      <c r="B116" s="1361"/>
      <c r="C116" s="1361"/>
      <c r="D116" s="1361"/>
      <c r="E116" s="671">
        <v>15</v>
      </c>
      <c r="F116" s="50" cm="1" t="str">
        <f t="array" ref="F116:F116">OFFSET(E116,-1,1)</f>
        <v>1</v>
      </c>
      <c r="G116" s="1361"/>
      <c r="H116" s="1361"/>
      <c r="I116" s="562" t="s">
        <v>951</v>
      </c>
      <c r="J116" s="562"/>
      <c r="K116" s="562"/>
      <c r="L116" s="562"/>
      <c r="M116" s="562"/>
      <c r="N116" s="562"/>
      <c r="O116" s="562"/>
      <c r="P116" s="562"/>
      <c r="Q116" s="562"/>
      <c r="R116" s="562"/>
      <c r="S116" s="562"/>
      <c r="T116" s="438" cm="1" t="str">
        <f t="array" ref="T116:T116">T115</f>
        <v>true</v>
      </c>
      <c r="U116" s="1361"/>
      <c r="V116" s="1361"/>
      <c r="W116" s="1361"/>
      <c r="X116" s="1586"/>
      <c r="Y116" s="1361"/>
      <c r="Z116" s="1587"/>
      <c r="AA116" s="1361"/>
      <c r="AB116" s="783" t="s">
        <v>952</v>
      </c>
      <c r="AC116" s="784" t="s">
        <v>1573</v>
      </c>
      <c r="AD116" s="735" t="s">
        <v>789</v>
      </c>
      <c r="AE116" s="785"/>
      <c r="AF116" s="785"/>
      <c r="AG116" s="785"/>
      <c r="AH116" s="778">
        <f>AG116-AF116</f>
        <v>0</v>
      </c>
      <c r="AI116" s="785"/>
      <c r="AJ116" s="785"/>
      <c r="AK116" s="785"/>
      <c r="AL116" s="778">
        <f>IF(AI116=0,0,(AK116-AI116)/AI116*100)</f>
        <v>0</v>
      </c>
      <c r="AM116" s="779"/>
      <c r="AN116" s="779"/>
      <c r="AO116" s="779"/>
      <c r="AP116" s="1361"/>
      <c r="AQ116" s="1361"/>
      <c r="AR116" s="1039" t="s">
        <v>1574</v>
      </c>
      <c r="AS116" s="1039"/>
      <c r="AT116" s="1039"/>
      <c r="AU116" s="1036"/>
      <c r="AV116" s="1036"/>
    </row>
    <row s="1624" customFormat="1" customHeight="1" ht="14.25">
      <c r="A117" s="1361"/>
      <c r="B117" s="1361"/>
      <c r="C117" s="1361"/>
      <c r="D117" s="1361"/>
      <c r="E117" s="671">
        <v>15</v>
      </c>
      <c r="F117" s="50" cm="1" t="str">
        <f t="array" ref="F117:F117">OFFSET(E117,-1,1)</f>
        <v>1</v>
      </c>
      <c r="G117" s="1361"/>
      <c r="H117" s="1361"/>
      <c r="I117" s="562" t="s">
        <v>1183</v>
      </c>
      <c r="J117" s="562"/>
      <c r="K117" s="562"/>
      <c r="L117" s="562"/>
      <c r="M117" s="562"/>
      <c r="N117" s="562"/>
      <c r="O117" s="562"/>
      <c r="P117" s="562"/>
      <c r="Q117" s="562"/>
      <c r="R117" s="562"/>
      <c r="S117" s="562"/>
      <c r="T117" s="438" cm="1" t="str">
        <f t="array" ref="T117:T117">T116</f>
        <v>true</v>
      </c>
      <c r="U117" s="1361"/>
      <c r="V117" s="1361"/>
      <c r="W117" s="1361"/>
      <c r="X117" s="1586"/>
      <c r="Y117" s="1361"/>
      <c r="Z117" s="1587"/>
      <c r="AA117" s="1361"/>
      <c r="AB117" s="783" t="s">
        <v>1184</v>
      </c>
      <c r="AC117" s="784" t="s">
        <v>1575</v>
      </c>
      <c r="AD117" s="735" t="s">
        <v>789</v>
      </c>
      <c r="AE117" s="785"/>
      <c r="AF117" s="785"/>
      <c r="AG117" s="785"/>
      <c r="AH117" s="778">
        <f>AG117-AF117</f>
        <v>0</v>
      </c>
      <c r="AI117" s="785"/>
      <c r="AJ117" s="785"/>
      <c r="AK117" s="785"/>
      <c r="AL117" s="778">
        <f>IF(AI117=0,0,(AK117-AI117)/AI117*100)</f>
        <v>0</v>
      </c>
      <c r="AM117" s="779"/>
      <c r="AN117" s="779"/>
      <c r="AO117" s="779"/>
      <c r="AP117" s="1361"/>
      <c r="AQ117" s="1361"/>
      <c r="AR117" s="1039" t="s">
        <v>1576</v>
      </c>
      <c r="AS117" s="1039"/>
      <c r="AT117" s="1039"/>
      <c r="AU117" s="1036"/>
      <c r="AV117" s="1036"/>
    </row>
    <row s="3495" customFormat="1" customHeight="1" ht="21.75">
      <c r="A118" s="563"/>
      <c r="B118" s="563"/>
      <c r="C118" s="563"/>
      <c r="D118" s="563"/>
      <c r="E118" s="673">
        <v>22.5</v>
      </c>
      <c r="F118" s="50" cm="1" t="str">
        <f t="array" ref="F118:F118">OFFSET(E118,-1,1)</f>
        <v>1</v>
      </c>
      <c r="G118" s="563"/>
      <c r="H118" s="563"/>
      <c r="I118" s="674" t="s">
        <v>438</v>
      </c>
      <c r="J118" s="674"/>
      <c r="K118" s="674"/>
      <c r="L118" s="674"/>
      <c r="M118" s="674"/>
      <c r="N118" s="674"/>
      <c r="O118" s="674"/>
      <c r="P118" s="674"/>
      <c r="Q118" s="674"/>
      <c r="R118" s="674"/>
      <c r="S118" s="674"/>
      <c r="T118" s="438" cm="1" t="str">
        <f t="array" ref="T118:T118">T117</f>
        <v>true</v>
      </c>
      <c r="U118" s="563"/>
      <c r="V118" s="563"/>
      <c r="W118" s="563"/>
      <c r="X118" s="1586"/>
      <c r="Y118" s="563"/>
      <c r="Z118" s="1587"/>
      <c r="AA118" s="563"/>
      <c r="AB118" s="780" t="s">
        <v>847</v>
      </c>
      <c r="AC118" s="781" t="s">
        <v>1577</v>
      </c>
      <c r="AD118" s="565" t="s">
        <v>789</v>
      </c>
      <c r="AE118" s="777">
        <f>SUM(AE119:AE127)</f>
        <v>0</v>
      </c>
      <c r="AF118" s="777">
        <f>SUM(AF119:AF127)</f>
        <v>0</v>
      </c>
      <c r="AG118" s="777">
        <f>SUM(AG119:AG127)</f>
        <v>0</v>
      </c>
      <c r="AH118" s="777">
        <f>AG118-AF118</f>
        <v>0</v>
      </c>
      <c r="AI118" s="777">
        <f>SUM(AI119:AI127)</f>
        <v>0</v>
      </c>
      <c r="AJ118" s="777">
        <f>SUM(AJ119:AJ127)</f>
        <v>0</v>
      </c>
      <c r="AK118" s="777">
        <f>SUM(AK119:AK127)</f>
        <v>0</v>
      </c>
      <c r="AL118" s="777">
        <f>IF(AI118=0,0,(AK118-AI118)/AI118*100)</f>
        <v>0</v>
      </c>
      <c r="AM118" s="782"/>
      <c r="AN118" s="782"/>
      <c r="AO118" s="782"/>
      <c r="AP118" s="563"/>
      <c r="AQ118" s="563"/>
      <c r="AR118" s="1040" t="s">
        <v>1578</v>
      </c>
      <c r="AS118" s="1040"/>
      <c r="AT118" s="1040"/>
      <c r="AU118" s="673"/>
      <c r="AV118" s="673"/>
    </row>
    <row s="1624" customFormat="1" customHeight="1" ht="14.25">
      <c r="A119" s="1361"/>
      <c r="B119" s="1361"/>
      <c r="C119" s="1361"/>
      <c r="D119" s="1361"/>
      <c r="E119" s="671">
        <v>15</v>
      </c>
      <c r="F119" s="50" cm="1" t="str">
        <f t="array" ref="F119:F119">OFFSET(E119,-1,1)</f>
        <v>1</v>
      </c>
      <c r="G119" s="1361"/>
      <c r="H119" s="1361"/>
      <c r="I119" s="562" t="s">
        <v>1208</v>
      </c>
      <c r="J119" s="562"/>
      <c r="K119" s="562"/>
      <c r="L119" s="562"/>
      <c r="M119" s="562"/>
      <c r="N119" s="562"/>
      <c r="O119" s="562"/>
      <c r="P119" s="562"/>
      <c r="Q119" s="562"/>
      <c r="R119" s="562"/>
      <c r="S119" s="562"/>
      <c r="T119" s="438" cm="1" t="str">
        <f t="array" ref="T119:T119">T118</f>
        <v>true</v>
      </c>
      <c r="U119" s="1361"/>
      <c r="V119" s="1361"/>
      <c r="W119" s="1361"/>
      <c r="X119" s="1586"/>
      <c r="Y119" s="1361"/>
      <c r="Z119" s="1587"/>
      <c r="AA119" s="1361"/>
      <c r="AB119" s="783" t="s">
        <v>1209</v>
      </c>
      <c r="AC119" s="784" t="s">
        <v>1579</v>
      </c>
      <c r="AD119" s="735" t="s">
        <v>789</v>
      </c>
      <c r="AE119" s="778">
        <f>_xlfn.SUMIFS(ЭЭ!AE$25:AE$67,ЭЭ!$F$25:$F$67,$F119,ЭЭ!$AC$25:$AC$67,"Всего по тарифу")</f>
        <v>0</v>
      </c>
      <c r="AF119" s="778">
        <f>_xlfn.SUMIFS(ЭЭ!AF$25:AF$67,ЭЭ!$F$25:$F$67,$F119,ЭЭ!$AC$25:$AC$67,"Всего по тарифу")</f>
        <v>0</v>
      </c>
      <c r="AG119" s="778">
        <f>_xlfn.SUMIFS(ЭЭ!AG$25:AG$67,ЭЭ!$F$25:$F$67,$F119,ЭЭ!$AC$25:$AC$67,"Всего по тарифу")</f>
        <v>0</v>
      </c>
      <c r="AH119" s="778">
        <f>AG119-AF119</f>
        <v>0</v>
      </c>
      <c r="AI119" s="778">
        <f>_xlfn.SUMIFS(ЭЭ!AH$25:AH$67,ЭЭ!$F$25:$F$67,$F119,ЭЭ!$AC$25:$AC$67,"Всего по тарифу")</f>
        <v>0</v>
      </c>
      <c r="AJ119" s="778">
        <f>_xlfn.SUMIFS(ЭЭ!AI$25:AI$67,ЭЭ!$F$25:$F$67,$F119,ЭЭ!$AC$25:$AC$67,"Всего по тарифу")</f>
        <v>0</v>
      </c>
      <c r="AK119" s="778">
        <f>_xlfn.SUMIFS(ЭЭ!AS$25:AS$67,ЭЭ!$F$25:$F$67,$F119,ЭЭ!$AC$25:$AC$67,"Всего по тарифу")</f>
        <v>0</v>
      </c>
      <c r="AL119" s="778">
        <f>IF(AI119=0,0,(AK119-AI119)/AI119*100)</f>
        <v>0</v>
      </c>
      <c r="AM119" s="779"/>
      <c r="AN119" s="886" t="str">
        <f>IF(_xlfn.IFERROR(INDEX(ЭЭ!$K$26:$L$67,MATCH($F119&amp;"komm",ЭЭ!$K$26:$K$67,0),2),"")=0,"",_xlfn.IFERROR(INDEX(ЭЭ!$K$26:$L$67,MATCH($F119&amp;"komm",ЭЭ!$K$26:$K$67,0),2),""))</f>
        <v/>
      </c>
      <c r="AO119" s="779"/>
      <c r="AP119" s="1361"/>
      <c r="AQ119" s="1361"/>
      <c r="AR119" s="1039" t="s">
        <v>1580</v>
      </c>
      <c r="AS119" s="1039"/>
      <c r="AT119" s="1039"/>
      <c r="AU119" s="1036"/>
      <c r="AV119" s="1036"/>
    </row>
    <row s="1624" customFormat="1" customHeight="1" ht="14.25">
      <c r="A120" s="1361"/>
      <c r="B120" s="1361"/>
      <c r="C120" s="1361"/>
      <c r="D120" s="1361"/>
      <c r="E120" s="671">
        <v>15</v>
      </c>
      <c r="F120" s="50" cm="1" t="str">
        <f t="array" ref="F120:F120">OFFSET(E120,-1,1)</f>
        <v>1</v>
      </c>
      <c r="G120" s="552" t="s">
        <v>1023</v>
      </c>
      <c r="H120" s="1361"/>
      <c r="I120" s="562" t="s">
        <v>1211</v>
      </c>
      <c r="J120" s="562"/>
      <c r="K120" s="562"/>
      <c r="L120" s="562"/>
      <c r="M120" s="562"/>
      <c r="N120" s="562"/>
      <c r="O120" s="562"/>
      <c r="P120" s="562"/>
      <c r="Q120" s="562"/>
      <c r="R120" s="562"/>
      <c r="S120" s="562"/>
      <c r="T120" s="438" cm="1" t="str">
        <f t="array" ref="T120:T120">T119</f>
        <v>true</v>
      </c>
      <c r="U120" s="1361"/>
      <c r="V120" s="1361"/>
      <c r="W120" s="1361"/>
      <c r="X120" s="1586"/>
      <c r="Y120" s="1361"/>
      <c r="Z120" s="1587"/>
      <c r="AA120" s="1361"/>
      <c r="AB120" s="783" t="s">
        <v>1212</v>
      </c>
      <c r="AC120" s="784" t="s">
        <v>1581</v>
      </c>
      <c r="AD120" s="735" t="s">
        <v>789</v>
      </c>
      <c r="AE120" s="778">
        <f>_xlfn.SUMIFS(Покупка!AE$25:AE$87,Покупка!$F$25:$F$87,$F120,Покупка!$AC$25:$AC$87,$G120)</f>
        <v>0</v>
      </c>
      <c r="AF120" s="778">
        <f>_xlfn.SUMIFS(Покупка!AF$25:AF$87,Покупка!$F$25:$F$87,$F120,Покупка!$AC$25:$AC$87,$G120)</f>
        <v>0</v>
      </c>
      <c r="AG120" s="778">
        <f>_xlfn.SUMIFS(Покупка!AG$25:AG$87,Покупка!$F$25:$F$87,$F120,Покупка!$AC$25:$AC$87,$G120)</f>
        <v>0</v>
      </c>
      <c r="AH120" s="778">
        <f>AG120-AF120</f>
        <v>0</v>
      </c>
      <c r="AI120" s="778">
        <f>_xlfn.SUMIFS(Покупка!AH$25:AH$87,Покупка!$F$25:$F$87,$F120,Покупка!$AC$25:$AC$87,$G120)</f>
        <v>0</v>
      </c>
      <c r="AJ120" s="778">
        <f>_xlfn.SUMIFS(Покупка!AI$25:AI$87,Покупка!$F$25:$F$87,$F120,Покупка!$AC$25:$AC$87,$G120)</f>
        <v>0</v>
      </c>
      <c r="AK120" s="778">
        <f>_xlfn.SUMIFS(Покупка!AS$25:AS$87,Покупка!$F$25:$F$87,$F120,Покупка!$AC$25:$AC$87,$G120)</f>
        <v>0</v>
      </c>
      <c r="AL120" s="778">
        <f>IF(AI120=0,0,(AK120-AI120)/AI120*100)</f>
        <v>0</v>
      </c>
      <c r="AM120" s="779"/>
      <c r="AN120" s="886" t="str">
        <f>IF(_xlfn.IFERROR(INDEX(Покупка!$K$26:$L$87,MATCH($F120&amp;"6komm",Покупка!$K$26:$K$87,0),2),"")=0,"",_xlfn.IFERROR(INDEX(Покупка!$K$26:$L$87,MATCH($F120&amp;"6komm",Покупка!$K$26:$K$87,0),2),""))</f>
        <v/>
      </c>
      <c r="AO120" s="779"/>
      <c r="AP120" s="1361"/>
      <c r="AQ120" s="1361"/>
      <c r="AR120" s="1039" t="s">
        <v>1024</v>
      </c>
      <c r="AS120" s="1039"/>
      <c r="AT120" s="1039"/>
      <c r="AU120" s="1036"/>
      <c r="AV120" s="1036"/>
    </row>
    <row s="1624" customFormat="1" customHeight="1" ht="14.25">
      <c r="A121" s="1361"/>
      <c r="B121" s="1361"/>
      <c r="C121" s="1361"/>
      <c r="D121" s="1361"/>
      <c r="E121" s="671">
        <v>15</v>
      </c>
      <c r="F121" s="50" cm="1" t="str">
        <f t="array" ref="F121:F121">OFFSET(E121,-1,1)</f>
        <v>1</v>
      </c>
      <c r="G121" s="552" t="s">
        <v>1025</v>
      </c>
      <c r="H121" s="1361"/>
      <c r="I121" s="562" t="s">
        <v>1215</v>
      </c>
      <c r="J121" s="562"/>
      <c r="K121" s="562"/>
      <c r="L121" s="562"/>
      <c r="M121" s="562"/>
      <c r="N121" s="562"/>
      <c r="O121" s="562"/>
      <c r="P121" s="562"/>
      <c r="Q121" s="562"/>
      <c r="R121" s="562"/>
      <c r="S121" s="562"/>
      <c r="T121" s="438" cm="1" t="str">
        <f t="array" ref="T121:T121">T120</f>
        <v>true</v>
      </c>
      <c r="U121" s="1361"/>
      <c r="V121" s="1361"/>
      <c r="W121" s="1361"/>
      <c r="X121" s="1586"/>
      <c r="Y121" s="1361"/>
      <c r="Z121" s="1587"/>
      <c r="AA121" s="1361"/>
      <c r="AB121" s="783" t="s">
        <v>1216</v>
      </c>
      <c r="AC121" s="784" t="s">
        <v>1582</v>
      </c>
      <c r="AD121" s="735" t="s">
        <v>789</v>
      </c>
      <c r="AE121" s="778">
        <f>_xlfn.SUMIFS(Покупка!AE$25:AE$87,Покупка!$F$25:$F$87,$F121,Покупка!$AC$25:$AC$87,$G121)</f>
        <v>0</v>
      </c>
      <c r="AF121" s="778">
        <f>_xlfn.SUMIFS(Покупка!AF$25:AF$87,Покупка!$F$25:$F$87,$F121,Покупка!$AC$25:$AC$87,$G121)</f>
        <v>0</v>
      </c>
      <c r="AG121" s="778">
        <f>_xlfn.SUMIFS(Покупка!AG$25:AG$87,Покупка!$F$25:$F$87,$F121,Покупка!$AC$25:$AC$87,$G121)</f>
        <v>0</v>
      </c>
      <c r="AH121" s="778">
        <f>AG121-AF121</f>
        <v>0</v>
      </c>
      <c r="AI121" s="778">
        <f>_xlfn.SUMIFS(Покупка!AH$25:AH$87,Покупка!$F$25:$F$87,$F121,Покупка!$AC$25:$AC$87,$G121)</f>
        <v>0</v>
      </c>
      <c r="AJ121" s="778">
        <f>_xlfn.SUMIFS(Покупка!AI$25:AI$87,Покупка!$F$25:$F$87,$F121,Покупка!$AC$25:$AC$87,$G121)</f>
        <v>0</v>
      </c>
      <c r="AK121" s="778">
        <f>_xlfn.SUMIFS(Покупка!AS$25:AS$87,Покупка!$F$25:$F$87,$F121,Покупка!$AC$25:$AC$87,$G121)</f>
        <v>0</v>
      </c>
      <c r="AL121" s="778">
        <f>IF(AI121=0,0,(AK121-AI121)/AI121*100)</f>
        <v>0</v>
      </c>
      <c r="AM121" s="779"/>
      <c r="AN121" s="886" t="str">
        <f>IF(_xlfn.IFERROR(INDEX(Покупка!$K$26:$L$87,MATCH($F121&amp;"7komm",Покупка!$K$26:$K$87,0),2),"")=0,"",_xlfn.IFERROR(INDEX(Покупка!$K$26:$L$87,MATCH($F121&amp;"7komm",Покупка!$K$26:$K$87,0),2),""))</f>
        <v/>
      </c>
      <c r="AO121" s="779"/>
      <c r="AP121" s="1361"/>
      <c r="AQ121" s="1361"/>
      <c r="AR121" s="1039" t="s">
        <v>1026</v>
      </c>
      <c r="AS121" s="1039"/>
      <c r="AT121" s="1039"/>
      <c r="AU121" s="1036"/>
      <c r="AV121" s="1036"/>
    </row>
    <row s="1624" customFormat="1" customHeight="1" ht="14.25">
      <c r="A122" s="1361"/>
      <c r="B122" s="1361"/>
      <c r="C122" s="1361"/>
      <c r="D122" s="1361"/>
      <c r="E122" s="671">
        <v>15</v>
      </c>
      <c r="F122" s="50" cm="1" t="str">
        <f t="array" ref="F122:F122">OFFSET(E122,-1,1)</f>
        <v>1</v>
      </c>
      <c r="G122" s="728" t="s">
        <v>1029</v>
      </c>
      <c r="H122" s="1361"/>
      <c r="I122" s="562" t="s">
        <v>1374</v>
      </c>
      <c r="J122" s="562"/>
      <c r="K122" s="562"/>
      <c r="L122" s="562"/>
      <c r="M122" s="562"/>
      <c r="N122" s="562"/>
      <c r="O122" s="562"/>
      <c r="P122" s="562"/>
      <c r="Q122" s="562"/>
      <c r="R122" s="562"/>
      <c r="S122" s="562"/>
      <c r="T122" s="438" cm="1" t="str">
        <f t="array" ref="T122:T122">T121</f>
        <v>true</v>
      </c>
      <c r="U122" s="1361"/>
      <c r="V122" s="1361"/>
      <c r="W122" s="1361"/>
      <c r="X122" s="1586"/>
      <c r="Y122" s="1361"/>
      <c r="Z122" s="1587"/>
      <c r="AA122" s="1361"/>
      <c r="AB122" s="783" t="s">
        <v>1583</v>
      </c>
      <c r="AC122" s="784" t="s">
        <v>1584</v>
      </c>
      <c r="AD122" s="735" t="s">
        <v>789</v>
      </c>
      <c r="AE122" s="778">
        <f>_xlfn.SUMIFS(Покупка!AE$25:AE$87,Покупка!$F$25:$F$87,$F122,Покупка!$AC$25:$AC$87,$G122)</f>
        <v>0</v>
      </c>
      <c r="AF122" s="778">
        <f>_xlfn.SUMIFS(Покупка!AF$25:AF$87,Покупка!$F$25:$F$87,$F122,Покупка!$AC$25:$AC$87,$G122)</f>
        <v>0</v>
      </c>
      <c r="AG122" s="778">
        <f>_xlfn.SUMIFS(Покупка!AG$25:AG$87,Покупка!$F$25:$F$87,$F122,Покупка!$AC$25:$AC$87,$G122)</f>
        <v>0</v>
      </c>
      <c r="AH122" s="778">
        <f>AG122-AF122</f>
        <v>0</v>
      </c>
      <c r="AI122" s="778">
        <f>_xlfn.SUMIFS(Покупка!AH$25:AH$87,Покупка!$F$25:$F$87,$F122,Покупка!$AC$25:$AC$87,$G122)</f>
        <v>0</v>
      </c>
      <c r="AJ122" s="778">
        <f>_xlfn.SUMIFS(Покупка!AI$25:AI$87,Покупка!$F$25:$F$87,$F122,Покупка!$AC$25:$AC$87,$G122)</f>
        <v>0</v>
      </c>
      <c r="AK122" s="778">
        <f>_xlfn.SUMIFS(Покупка!AS$25:AS$87,Покупка!$F$25:$F$87,$F122,Покупка!$AC$25:$AC$87,$G122)</f>
        <v>0</v>
      </c>
      <c r="AL122" s="778">
        <f>IF(AI122=0,0,(AK122-AI122)/AI122*100)</f>
        <v>0</v>
      </c>
      <c r="AM122" s="779"/>
      <c r="AN122" s="886" t="str">
        <f>IF(_xlfn.IFERROR(INDEX(Покупка!$K$26:$L$87,MATCH($F122&amp;"9komm",Покупка!$K$26:$K$87,0),2),"")=0,"",_xlfn.IFERROR(INDEX(Покупка!$K$26:$L$87,MATCH($F122&amp;"9komm",Покупка!$K$26:$K$87,0),2),""))</f>
        <v/>
      </c>
      <c r="AO122" s="779"/>
      <c r="AP122" s="1361"/>
      <c r="AQ122" s="1361"/>
      <c r="AR122" s="1039" t="s">
        <v>1030</v>
      </c>
      <c r="AS122" s="1039"/>
      <c r="AT122" s="1039"/>
      <c r="AU122" s="1036"/>
      <c r="AV122" s="1036"/>
    </row>
    <row s="1624" customFormat="1" customHeight="1" ht="14.25">
      <c r="A123" s="1361"/>
      <c r="B123" s="1361"/>
      <c r="C123" s="1361"/>
      <c r="D123" s="1361"/>
      <c r="E123" s="671">
        <v>15</v>
      </c>
      <c r="F123" s="50" cm="1" t="str">
        <f t="array" ref="F123:F123">OFFSET(E123,-1,1)</f>
        <v>1</v>
      </c>
      <c r="G123" s="552" t="s">
        <v>991</v>
      </c>
      <c r="H123" s="1361"/>
      <c r="I123" s="562" t="s">
        <v>1378</v>
      </c>
      <c r="J123" s="562"/>
      <c r="K123" s="562"/>
      <c r="L123" s="562"/>
      <c r="M123" s="562"/>
      <c r="N123" s="562"/>
      <c r="O123" s="562"/>
      <c r="P123" s="562"/>
      <c r="Q123" s="562"/>
      <c r="R123" s="562"/>
      <c r="S123" s="562"/>
      <c r="T123" s="438" cm="1" t="str">
        <f t="array" ref="T123:T123">T122</f>
        <v>true</v>
      </c>
      <c r="U123" s="1361"/>
      <c r="V123" s="1361"/>
      <c r="W123" s="1361"/>
      <c r="X123" s="1586"/>
      <c r="Y123" s="1361"/>
      <c r="Z123" s="1587"/>
      <c r="AA123" s="1361"/>
      <c r="AB123" s="783" t="s">
        <v>1585</v>
      </c>
      <c r="AC123" s="784" t="s">
        <v>1586</v>
      </c>
      <c r="AD123" s="735" t="s">
        <v>789</v>
      </c>
      <c r="AE123" s="778">
        <f>_xlfn.SUMIFS(Покупка!AE$25:AE$87,Покупка!$F$25:$F$87,$F123,Покупка!$AC$25:$AC$87,$G123)</f>
        <v>0</v>
      </c>
      <c r="AF123" s="778">
        <f>_xlfn.SUMIFS(Покупка!AF$25:AF$87,Покупка!$F$25:$F$87,$F123,Покупка!$AC$25:$AC$87,$G123)</f>
        <v>0</v>
      </c>
      <c r="AG123" s="778">
        <f>_xlfn.SUMIFS(Покупка!AG$25:AG$87,Покупка!$F$25:$F$87,$F123,Покупка!$AC$25:$AC$87,$G123)</f>
        <v>0</v>
      </c>
      <c r="AH123" s="778">
        <f>AG123-AF123</f>
        <v>0</v>
      </c>
      <c r="AI123" s="778">
        <f>_xlfn.SUMIFS(Покупка!AH$25:AH$87,Покупка!$F$25:$F$87,$F123,Покупка!$AC$25:$AC$87,$G123)</f>
        <v>0</v>
      </c>
      <c r="AJ123" s="778">
        <f>_xlfn.SUMIFS(Покупка!AI$25:AI$87,Покупка!$F$25:$F$87,$F123,Покупка!$AC$25:$AC$87,$G123)</f>
        <v>0</v>
      </c>
      <c r="AK123" s="778">
        <f>_xlfn.SUMIFS(Покупка!AS$25:AS$87,Покупка!$F$25:$F$87,$F123,Покупка!$AC$25:$AC$87,$G123)</f>
        <v>0</v>
      </c>
      <c r="AL123" s="778">
        <f>IF(AI123=0,0,(AK123-AI123)/AI123*100)</f>
        <v>0</v>
      </c>
      <c r="AM123" s="779"/>
      <c r="AN123" s="886" t="str">
        <f>IF(_xlfn.IFERROR(INDEX(Покупка!$K$26:$L$87,MATCH($F123&amp;"1komm",Покупка!$K$26:$K$87,0),2),"")=0,"",_xlfn.IFERROR(INDEX(Покупка!$K$26:$L$87,MATCH($F123&amp;"1komm",Покупка!$K$26:$K$87,0),2),""))</f>
        <v/>
      </c>
      <c r="AO123" s="779"/>
      <c r="AP123" s="1361"/>
      <c r="AQ123" s="1361"/>
      <c r="AR123" s="1039" t="s">
        <v>1587</v>
      </c>
      <c r="AS123" s="1039"/>
      <c r="AT123" s="1039"/>
      <c r="AU123" s="1036"/>
      <c r="AV123" s="1036"/>
    </row>
    <row s="1624" customFormat="1" customHeight="1" ht="14.25">
      <c r="A124" s="1361"/>
      <c r="B124" s="1361"/>
      <c r="C124" s="1361"/>
      <c r="D124" s="1361"/>
      <c r="E124" s="671">
        <v>15</v>
      </c>
      <c r="F124" s="50" cm="1" t="str">
        <f t="array" ref="F124:F124">OFFSET(E124,-1,1)</f>
        <v>1</v>
      </c>
      <c r="G124" s="552" t="s">
        <v>1000</v>
      </c>
      <c r="H124" s="1361"/>
      <c r="I124" s="562" t="s">
        <v>1383</v>
      </c>
      <c r="J124" s="562"/>
      <c r="K124" s="562"/>
      <c r="L124" s="562"/>
      <c r="M124" s="562"/>
      <c r="N124" s="562"/>
      <c r="O124" s="562"/>
      <c r="P124" s="562"/>
      <c r="Q124" s="562"/>
      <c r="R124" s="562"/>
      <c r="S124" s="562"/>
      <c r="T124" s="438" cm="1" t="str">
        <f t="array" ref="T124:T124">T123</f>
        <v>true</v>
      </c>
      <c r="U124" s="1361"/>
      <c r="V124" s="1361"/>
      <c r="W124" s="1361"/>
      <c r="X124" s="1586"/>
      <c r="Y124" s="1361"/>
      <c r="Z124" s="1587"/>
      <c r="AA124" s="1361"/>
      <c r="AB124" s="783" t="s">
        <v>1588</v>
      </c>
      <c r="AC124" s="784" t="s">
        <v>1589</v>
      </c>
      <c r="AD124" s="735" t="s">
        <v>789</v>
      </c>
      <c r="AE124" s="778">
        <f>_xlfn.SUMIFS(Покупка!AE$25:AE$87,Покупка!$F$25:$F$87,$F124,Покупка!$AC$25:$AC$87,$G124)</f>
        <v>0</v>
      </c>
      <c r="AF124" s="778">
        <f>_xlfn.SUMIFS(Покупка!AF$25:AF$87,Покупка!$F$25:$F$87,$F124,Покупка!$AC$25:$AC$87,$G124)</f>
        <v>0</v>
      </c>
      <c r="AG124" s="778">
        <f>_xlfn.SUMIFS(Покупка!AG$25:AG$87,Покупка!$F$25:$F$87,$F124,Покупка!$AC$25:$AC$87,$G124)</f>
        <v>0</v>
      </c>
      <c r="AH124" s="778">
        <f>AG124-AF124</f>
        <v>0</v>
      </c>
      <c r="AI124" s="778">
        <f>_xlfn.SUMIFS(Покупка!AH$25:AH$87,Покупка!$F$25:$F$87,$F124,Покупка!$AC$25:$AC$87,$G124)</f>
        <v>0</v>
      </c>
      <c r="AJ124" s="778">
        <f>_xlfn.SUMIFS(Покупка!AI$25:AI$87,Покупка!$F$25:$F$87,$F124,Покупка!$AC$25:$AC$87,$G124)</f>
        <v>0</v>
      </c>
      <c r="AK124" s="778">
        <f>_xlfn.SUMIFS(Покупка!AS$25:AS$87,Покупка!$F$25:$F$87,$F124,Покупка!$AC$25:$AC$87,$G124)</f>
        <v>0</v>
      </c>
      <c r="AL124" s="778">
        <f>IF(AI124=0,0,(AK124-AI124)/AI124*100)</f>
        <v>0</v>
      </c>
      <c r="AM124" s="779"/>
      <c r="AN124" s="886" t="str">
        <f>IF(_xlfn.IFERROR(INDEX(Покупка!$K$26:$L$87,MATCH($F124&amp;"2komm",Покупка!$K$26:$K$87,0),2),"")=0,"",_xlfn.IFERROR(INDEX(Покупка!$K$26:$L$87,MATCH($F124&amp;"2komm",Покупка!$K$26:$K$87,0),2),""))</f>
        <v/>
      </c>
      <c r="AO124" s="779"/>
      <c r="AP124" s="1361"/>
      <c r="AQ124" s="1361"/>
      <c r="AR124" s="1039" t="s">
        <v>1590</v>
      </c>
      <c r="AS124" s="1039"/>
      <c r="AT124" s="1039"/>
      <c r="AU124" s="1036"/>
      <c r="AV124" s="1036"/>
    </row>
    <row s="1624" customFormat="1" customHeight="1" ht="14.25">
      <c r="A125" s="1361"/>
      <c r="B125" s="1361"/>
      <c r="C125" s="1361"/>
      <c r="D125" s="1361"/>
      <c r="E125" s="671">
        <v>15</v>
      </c>
      <c r="F125" s="50" cm="1" t="str">
        <f t="array" ref="F125:F125">OFFSET(E125,-1,1)</f>
        <v>1</v>
      </c>
      <c r="G125" s="552" t="s">
        <v>1005</v>
      </c>
      <c r="H125" s="1361"/>
      <c r="I125" s="562" t="s">
        <v>1392</v>
      </c>
      <c r="J125" s="562"/>
      <c r="K125" s="562"/>
      <c r="L125" s="562"/>
      <c r="M125" s="562"/>
      <c r="N125" s="562"/>
      <c r="O125" s="562"/>
      <c r="P125" s="562"/>
      <c r="Q125" s="562"/>
      <c r="R125" s="562"/>
      <c r="S125" s="562"/>
      <c r="T125" s="438" cm="1" t="str">
        <f t="array" ref="T125:T125">T124</f>
        <v>true</v>
      </c>
      <c r="U125" s="1361"/>
      <c r="V125" s="1361"/>
      <c r="W125" s="1361"/>
      <c r="X125" s="1586"/>
      <c r="Y125" s="1361"/>
      <c r="Z125" s="1587"/>
      <c r="AA125" s="1361"/>
      <c r="AB125" s="783" t="s">
        <v>1591</v>
      </c>
      <c r="AC125" s="784" t="s">
        <v>1592</v>
      </c>
      <c r="AD125" s="735" t="s">
        <v>789</v>
      </c>
      <c r="AE125" s="778">
        <f>_xlfn.SUMIFS(Покупка!AE$25:AE$87,Покупка!$F$25:$F$87,$F125,Покупка!$AC$25:$AC$87,$G125)</f>
        <v>0</v>
      </c>
      <c r="AF125" s="778">
        <f>_xlfn.SUMIFS(Покупка!AF$25:AF$87,Покупка!$F$25:$F$87,$F125,Покупка!$AC$25:$AC$87,$G125)</f>
        <v>0</v>
      </c>
      <c r="AG125" s="778">
        <f>_xlfn.SUMIFS(Покупка!AG$25:AG$87,Покупка!$F$25:$F$87,$F125,Покупка!$AC$25:$AC$87,$G125)</f>
        <v>0</v>
      </c>
      <c r="AH125" s="778">
        <f>AG125-AF125</f>
        <v>0</v>
      </c>
      <c r="AI125" s="778">
        <f>_xlfn.SUMIFS(Покупка!AH$25:AH$87,Покупка!$F$25:$F$87,$F125,Покупка!$AC$25:$AC$87,$G125)</f>
        <v>0</v>
      </c>
      <c r="AJ125" s="778">
        <f>_xlfn.SUMIFS(Покупка!AI$25:AI$87,Покупка!$F$25:$F$87,$F125,Покупка!$AC$25:$AC$87,$G125)</f>
        <v>0</v>
      </c>
      <c r="AK125" s="778">
        <f>_xlfn.SUMIFS(Покупка!AS$25:AS$87,Покупка!$F$25:$F$87,$F125,Покупка!$AC$25:$AC$87,$G125)</f>
        <v>0</v>
      </c>
      <c r="AL125" s="778">
        <f>IF(AI125=0,0,(AK125-AI125)/AI125*100)</f>
        <v>0</v>
      </c>
      <c r="AM125" s="779"/>
      <c r="AN125" s="886" t="str">
        <f>IF(_xlfn.IFERROR(INDEX(Покупка!$K$26:$L$87,MATCH($F125&amp;"3komm",Покупка!$K$26:$K$87,0),2),"")=0,"",_xlfn.IFERROR(INDEX(Покупка!$K$26:$L$87,MATCH($F125&amp;"3komm",Покупка!$K$26:$K$87,0),2),""))</f>
        <v/>
      </c>
      <c r="AO125" s="779"/>
      <c r="AP125" s="1361"/>
      <c r="AQ125" s="1361"/>
      <c r="AR125" s="1039" t="s">
        <v>1593</v>
      </c>
      <c r="AS125" s="1039"/>
      <c r="AT125" s="1039"/>
      <c r="AU125" s="1036"/>
      <c r="AV125" s="1036"/>
    </row>
    <row s="1624" customFormat="1" customHeight="1" ht="14.25">
      <c r="A126" s="1361"/>
      <c r="B126" s="1361"/>
      <c r="C126" s="1361"/>
      <c r="D126" s="1361"/>
      <c r="E126" s="671">
        <v>15</v>
      </c>
      <c r="F126" s="50" cm="1" t="str">
        <f t="array" ref="F126:F126">OFFSET(E126,-1,1)</f>
        <v>1</v>
      </c>
      <c r="G126" s="552" t="s">
        <v>1011</v>
      </c>
      <c r="H126" s="1361"/>
      <c r="I126" s="562" t="s">
        <v>1397</v>
      </c>
      <c r="J126" s="562"/>
      <c r="K126" s="562"/>
      <c r="L126" s="562"/>
      <c r="M126" s="562"/>
      <c r="N126" s="562"/>
      <c r="O126" s="562"/>
      <c r="P126" s="562"/>
      <c r="Q126" s="562"/>
      <c r="R126" s="562"/>
      <c r="S126" s="562"/>
      <c r="T126" s="438" cm="1" t="str">
        <f t="array" ref="T126:T126">T125</f>
        <v>true</v>
      </c>
      <c r="U126" s="1361"/>
      <c r="V126" s="1361"/>
      <c r="W126" s="1361"/>
      <c r="X126" s="1586"/>
      <c r="Y126" s="1361"/>
      <c r="Z126" s="1587"/>
      <c r="AA126" s="1361"/>
      <c r="AB126" s="783" t="s">
        <v>1594</v>
      </c>
      <c r="AC126" s="784" t="s">
        <v>1595</v>
      </c>
      <c r="AD126" s="735" t="s">
        <v>789</v>
      </c>
      <c r="AE126" s="778">
        <f>_xlfn.SUMIFS(Покупка!AE$25:AE$87,Покупка!$F$25:$F$87,$F126,Покупка!$AC$25:$AC$87,$G126)</f>
        <v>0</v>
      </c>
      <c r="AF126" s="778">
        <f>_xlfn.SUMIFS(Покупка!AF$25:AF$87,Покупка!$F$25:$F$87,$F126,Покупка!$AC$25:$AC$87,$G126)</f>
        <v>0</v>
      </c>
      <c r="AG126" s="778">
        <f>_xlfn.SUMIFS(Покупка!AG$25:AG$87,Покупка!$F$25:$F$87,$F126,Покупка!$AC$25:$AC$87,$G126)</f>
        <v>0</v>
      </c>
      <c r="AH126" s="778">
        <f>AG126-AF126</f>
        <v>0</v>
      </c>
      <c r="AI126" s="778">
        <f>_xlfn.SUMIFS(Покупка!AH$25:AH$87,Покупка!$F$25:$F$87,$F126,Покупка!$AC$25:$AC$87,$G126)</f>
        <v>0</v>
      </c>
      <c r="AJ126" s="778">
        <f>_xlfn.SUMIFS(Покупка!AI$25:AI$87,Покупка!$F$25:$F$87,$F126,Покупка!$AC$25:$AC$87,$G126)</f>
        <v>0</v>
      </c>
      <c r="AK126" s="778">
        <f>_xlfn.SUMIFS(Покупка!AS$25:AS$87,Покупка!$F$25:$F$87,$F126,Покупка!$AC$25:$AC$87,$G126)</f>
        <v>0</v>
      </c>
      <c r="AL126" s="778">
        <f>IF(AI126=0,0,(AK126-AI126)/AI126*100)</f>
        <v>0</v>
      </c>
      <c r="AM126" s="779"/>
      <c r="AN126" s="886" t="str">
        <f>IF(_xlfn.IFERROR(INDEX(Покупка!$K$26:$L$87,MATCH($F126&amp;"4komm",Покупка!$K$26:$K$87,0),2),"")=0,"",_xlfn.IFERROR(INDEX(Покупка!$K$26:$L$87,MATCH($F126&amp;"4komm",Покупка!$K$26:$K$87,0),2),""))</f>
        <v/>
      </c>
      <c r="AO126" s="779"/>
      <c r="AP126" s="1361"/>
      <c r="AQ126" s="1361"/>
      <c r="AR126" s="1039" t="s">
        <v>1596</v>
      </c>
      <c r="AS126" s="1039"/>
      <c r="AT126" s="1039"/>
      <c r="AU126" s="1036"/>
      <c r="AV126" s="1036"/>
    </row>
    <row s="1624" customFormat="1" customHeight="1" ht="14.25">
      <c r="A127" s="1361"/>
      <c r="B127" s="1361"/>
      <c r="C127" s="1361"/>
      <c r="D127" s="1361"/>
      <c r="E127" s="671">
        <v>15</v>
      </c>
      <c r="F127" s="50" cm="1" t="str">
        <f t="array" ref="F127:F127">OFFSET(E127,-1,1)</f>
        <v>1</v>
      </c>
      <c r="G127" s="552" t="s">
        <v>1017</v>
      </c>
      <c r="H127" s="1361"/>
      <c r="I127" s="562" t="s">
        <v>1407</v>
      </c>
      <c r="J127" s="562"/>
      <c r="K127" s="562"/>
      <c r="L127" s="562"/>
      <c r="M127" s="562"/>
      <c r="N127" s="562"/>
      <c r="O127" s="562"/>
      <c r="P127" s="562"/>
      <c r="Q127" s="562"/>
      <c r="R127" s="562"/>
      <c r="S127" s="562"/>
      <c r="T127" s="438" cm="1" t="str">
        <f t="array" ref="T127:T127">T126</f>
        <v>true</v>
      </c>
      <c r="U127" s="1361"/>
      <c r="V127" s="1361"/>
      <c r="W127" s="1361"/>
      <c r="X127" s="1586"/>
      <c r="Y127" s="1361"/>
      <c r="Z127" s="1587"/>
      <c r="AA127" s="1361"/>
      <c r="AB127" s="783" t="s">
        <v>1597</v>
      </c>
      <c r="AC127" s="784" t="s">
        <v>1598</v>
      </c>
      <c r="AD127" s="735" t="s">
        <v>789</v>
      </c>
      <c r="AE127" s="778">
        <f>_xlfn.SUMIFS(Покупка!AE$25:AE$87,Покупка!$F$25:$F$87,$F127,Покупка!$AC$25:$AC$87,$G127)</f>
        <v>0</v>
      </c>
      <c r="AF127" s="778">
        <f>_xlfn.SUMIFS(Покупка!AF$25:AF$87,Покупка!$F$25:$F$87,$F127,Покупка!$AC$25:$AC$87,$G127)</f>
        <v>0</v>
      </c>
      <c r="AG127" s="778">
        <f>_xlfn.SUMIFS(Покупка!AG$25:AG$87,Покупка!$F$25:$F$87,$F127,Покупка!$AC$25:$AC$87,$G127)</f>
        <v>0</v>
      </c>
      <c r="AH127" s="778">
        <f>AG127-AF127</f>
        <v>0</v>
      </c>
      <c r="AI127" s="778">
        <f>_xlfn.SUMIFS(Покупка!AH$25:AH$87,Покупка!$F$25:$F$87,$F127,Покупка!$AC$25:$AC$87,$G127)</f>
        <v>0</v>
      </c>
      <c r="AJ127" s="778">
        <f>_xlfn.SUMIFS(Покупка!AI$25:AI$87,Покупка!$F$25:$F$87,$F127,Покупка!$AC$25:$AC$87,$G127)</f>
        <v>0</v>
      </c>
      <c r="AK127" s="778">
        <f>_xlfn.SUMIFS(Покупка!AS$25:AS$87,Покупка!$F$25:$F$87,$F127,Покупка!$AC$25:$AC$87,$G127)</f>
        <v>0</v>
      </c>
      <c r="AL127" s="778">
        <f>IF(AI127=0,0,(AK127-AI127)/AI127*100)</f>
        <v>0</v>
      </c>
      <c r="AM127" s="779"/>
      <c r="AN127" s="886" t="str">
        <f>IF(_xlfn.IFERROR(INDEX(Покупка!$K$26:$L$87,MATCH($F127&amp;"5komm",Покупка!$K$26:$K$87,0),2),"")=0,"",_xlfn.IFERROR(INDEX(Покупка!$K$26:$L$87,MATCH($F127&amp;"5komm",Покупка!$K$26:$K$87,0),2),""))</f>
        <v/>
      </c>
      <c r="AO127" s="779"/>
      <c r="AP127" s="1361"/>
      <c r="AQ127" s="1361"/>
      <c r="AR127" s="1039" t="s">
        <v>1599</v>
      </c>
      <c r="AS127" s="1039"/>
      <c r="AT127" s="1039"/>
      <c r="AU127" s="1036"/>
      <c r="AV127" s="1036"/>
    </row>
    <row s="3496" customFormat="1" customHeight="1" ht="43.5">
      <c r="A128" s="563"/>
      <c r="B128" s="563"/>
      <c r="C128" s="563"/>
      <c r="D128" s="563"/>
      <c r="E128" s="673">
        <v>45</v>
      </c>
      <c r="F128" s="50" cm="1" t="str">
        <f t="array" ref="F128:F128">OFFSET(E128,-1,1)</f>
        <v>1</v>
      </c>
      <c r="G128" s="563"/>
      <c r="H128" s="563"/>
      <c r="I128" s="674" t="s">
        <v>441</v>
      </c>
      <c r="J128" s="674"/>
      <c r="K128" s="674"/>
      <c r="L128" s="674"/>
      <c r="M128" s="674"/>
      <c r="N128" s="674"/>
      <c r="O128" s="674"/>
      <c r="P128" s="674"/>
      <c r="Q128" s="674"/>
      <c r="R128" s="674"/>
      <c r="S128" s="674"/>
      <c r="T128" s="438" cm="1" t="str">
        <f t="array" ref="T128:T128">T127</f>
        <v>true</v>
      </c>
      <c r="U128" s="563"/>
      <c r="V128" s="563"/>
      <c r="W128" s="563"/>
      <c r="X128" s="1586"/>
      <c r="Y128" s="563"/>
      <c r="Z128" s="1587"/>
      <c r="AA128" s="563"/>
      <c r="AB128" s="780" t="s">
        <v>850</v>
      </c>
      <c r="AC128" s="781" t="s">
        <v>1600</v>
      </c>
      <c r="AD128" s="565" t="s">
        <v>789</v>
      </c>
      <c r="AE128" s="786"/>
      <c r="AF128" s="786"/>
      <c r="AG128" s="786"/>
      <c r="AH128" s="777">
        <f>AG128-AF128</f>
        <v>0</v>
      </c>
      <c r="AI128" s="786"/>
      <c r="AJ128" s="786"/>
      <c r="AK128" s="786"/>
      <c r="AL128" s="777">
        <f>IF(AI128=0,0,(AK128-AI128)/AI128*100)</f>
        <v>0</v>
      </c>
      <c r="AM128" s="782"/>
      <c r="AN128" s="782"/>
      <c r="AO128" s="782"/>
      <c r="AP128" s="563"/>
      <c r="AQ128" s="563"/>
      <c r="AR128" s="1040" t="s">
        <v>1601</v>
      </c>
      <c r="AS128" s="1040"/>
      <c r="AT128" s="1040"/>
      <c r="AU128" s="673"/>
      <c r="AV128" s="673"/>
    </row>
    <row s="3497" customFormat="1" customHeight="1" ht="43.5">
      <c r="A129" s="563"/>
      <c r="B129" s="563"/>
      <c r="C129" s="563"/>
      <c r="D129" s="563"/>
      <c r="E129" s="673">
        <v>45</v>
      </c>
      <c r="F129" s="50" cm="1" t="str">
        <f t="array" ref="F129:F129">OFFSET(E129,-1,1)</f>
        <v>1</v>
      </c>
      <c r="G129" s="563"/>
      <c r="H129" s="563"/>
      <c r="I129" s="674" t="s">
        <v>445</v>
      </c>
      <c r="J129" s="674"/>
      <c r="K129" s="674"/>
      <c r="L129" s="674"/>
      <c r="M129" s="674"/>
      <c r="N129" s="674"/>
      <c r="O129" s="674"/>
      <c r="P129" s="674"/>
      <c r="Q129" s="674"/>
      <c r="R129" s="674"/>
      <c r="S129" s="674"/>
      <c r="T129" s="438" cm="1" t="str">
        <f t="array" ref="T129:T129">T128</f>
        <v>true</v>
      </c>
      <c r="U129" s="563"/>
      <c r="V129" s="563"/>
      <c r="W129" s="563"/>
      <c r="X129" s="1586"/>
      <c r="Y129" s="563"/>
      <c r="Z129" s="1587"/>
      <c r="AA129" s="563"/>
      <c r="AB129" s="780" t="s">
        <v>853</v>
      </c>
      <c r="AC129" s="781" t="s">
        <v>1602</v>
      </c>
      <c r="AD129" s="565" t="s">
        <v>789</v>
      </c>
      <c r="AE129" s="777">
        <f>AE130+AE131</f>
        <v>0</v>
      </c>
      <c r="AF129" s="777">
        <f>AF130+AF131</f>
        <v>0</v>
      </c>
      <c r="AG129" s="777">
        <f>AG130+AG131</f>
        <v>0</v>
      </c>
      <c r="AH129" s="777">
        <f>AG129-AF129</f>
        <v>0</v>
      </c>
      <c r="AI129" s="777">
        <f>AI130+AI131</f>
        <v>0</v>
      </c>
      <c r="AJ129" s="777">
        <f>AJ130+AJ131</f>
        <v>0</v>
      </c>
      <c r="AK129" s="777">
        <f>AK130+AK131</f>
        <v>0</v>
      </c>
      <c r="AL129" s="777">
        <f>IF(AI129=0,0,(AK129-AI129)/AI129*100)</f>
        <v>0</v>
      </c>
      <c r="AM129" s="782"/>
      <c r="AN129" s="782"/>
      <c r="AO129" s="782"/>
      <c r="AP129" s="563"/>
      <c r="AQ129" s="563"/>
      <c r="AR129" s="1040" t="s">
        <v>1603</v>
      </c>
      <c r="AS129" s="1040"/>
      <c r="AT129" s="1040"/>
      <c r="AU129" s="673"/>
      <c r="AV129" s="673"/>
    </row>
    <row s="1624" customFormat="1" customHeight="1" ht="14.25">
      <c r="A130" s="1361"/>
      <c r="B130" s="1361"/>
      <c r="C130" s="1361"/>
      <c r="D130" s="1361"/>
      <c r="E130" s="671">
        <v>15</v>
      </c>
      <c r="F130" s="50" cm="1" t="str">
        <f t="array" ref="F130:F130">OFFSET(E130,-1,1)</f>
        <v>1</v>
      </c>
      <c r="G130" s="675" t="s">
        <v>1033</v>
      </c>
      <c r="H130" s="1361"/>
      <c r="I130" s="562" t="s">
        <v>1235</v>
      </c>
      <c r="J130" s="562"/>
      <c r="K130" s="562"/>
      <c r="L130" s="562"/>
      <c r="M130" s="562"/>
      <c r="N130" s="562"/>
      <c r="O130" s="562"/>
      <c r="P130" s="674"/>
      <c r="Q130" s="562"/>
      <c r="R130" s="562"/>
      <c r="S130" s="562"/>
      <c r="T130" s="438" cm="1" t="str">
        <f t="array" ref="T130:T130">T129</f>
        <v>true</v>
      </c>
      <c r="U130" s="1361"/>
      <c r="V130" s="1361"/>
      <c r="W130" s="1361"/>
      <c r="X130" s="1586"/>
      <c r="Y130" s="1361"/>
      <c r="Z130" s="1587"/>
      <c r="AA130" s="1361"/>
      <c r="AB130" s="783" t="s">
        <v>964</v>
      </c>
      <c r="AC130" s="784" t="s">
        <v>1604</v>
      </c>
      <c r="AD130" s="735" t="s">
        <v>789</v>
      </c>
      <c r="AE130" s="778">
        <f>_xlfn.SUMIFS(ФОТ!AE$25:AE$77,ФОТ!$F$25:$F$77,$F130,ФОТ!$G$25:$G$77,$G130)</f>
        <v>0</v>
      </c>
      <c r="AF130" s="778">
        <f>_xlfn.SUMIFS(ФОТ!AF$25:AF$77,ФОТ!$F$25:$F$77,$F130,ФОТ!$G$25:$G$77,$G130)</f>
        <v>0</v>
      </c>
      <c r="AG130" s="778">
        <f>_xlfn.SUMIFS(ФОТ!AG$25:AG$77,ФОТ!$F$25:$F$77,$F130,ФОТ!$G$25:$G$77,$G130)</f>
        <v>0</v>
      </c>
      <c r="AH130" s="778">
        <f>AG130-AF130</f>
        <v>0</v>
      </c>
      <c r="AI130" s="778">
        <f>_xlfn.SUMIFS(ФОТ!AH$25:AH$77,ФОТ!$F$25:$F$77,$F130,ФОТ!$G$25:$G$77,$G130)</f>
        <v>0</v>
      </c>
      <c r="AJ130" s="778">
        <f>_xlfn.SUMIFS(ФОТ!AI$25:AI$77,ФОТ!$F$25:$F$77,$F130,ФОТ!$G$25:$G$77,$G130)</f>
        <v>0</v>
      </c>
      <c r="AK130" s="778">
        <f>_xlfn.SUMIFS(ФОТ!AJ$25:AJ$77,ФОТ!$F$25:$F$77,$F130,ФОТ!$G$25:$G$77,$G130)</f>
        <v>0</v>
      </c>
      <c r="AL130" s="778">
        <f>IF(AI130=0,0,(AK130-AI130)/AI130*100)</f>
        <v>0</v>
      </c>
      <c r="AM130" s="779"/>
      <c r="AN130" s="886" t="str">
        <f>IF(_xlfn.IFERROR(INDEX(ФОТ!$K$26:$L$77,MATCH($F130&amp;"1komm",ФОТ!$K$26:$K$77,0),2),"")=0,"",_xlfn.IFERROR(INDEX(ФОТ!$K$26:$L$77,MATCH($F130&amp;"1komm",ФОТ!$K$26:$K$77,0),2),""))</f>
        <v/>
      </c>
      <c r="AO130" s="779"/>
      <c r="AP130" s="1361"/>
      <c r="AQ130" s="1361"/>
      <c r="AR130" s="1039" t="s">
        <v>1605</v>
      </c>
      <c r="AS130" s="1039"/>
      <c r="AT130" s="1039"/>
      <c r="AU130" s="1036"/>
      <c r="AV130" s="1036"/>
    </row>
    <row s="1624" customFormat="1" customHeight="1" ht="21.75">
      <c r="A131" s="1361"/>
      <c r="B131" s="1361"/>
      <c r="C131" s="1361"/>
      <c r="D131" s="1361"/>
      <c r="E131" s="671">
        <v>22.5</v>
      </c>
      <c r="F131" s="50" cm="1" t="str">
        <f t="array" ref="F131:F131">OFFSET(E131,-1,1)</f>
        <v>1</v>
      </c>
      <c r="G131" s="675" t="s">
        <v>1045</v>
      </c>
      <c r="H131" s="1361"/>
      <c r="I131" s="562" t="s">
        <v>1236</v>
      </c>
      <c r="J131" s="562"/>
      <c r="K131" s="562"/>
      <c r="L131" s="562"/>
      <c r="M131" s="562"/>
      <c r="N131" s="562"/>
      <c r="O131" s="562"/>
      <c r="P131" s="674"/>
      <c r="Q131" s="562"/>
      <c r="R131" s="562"/>
      <c r="S131" s="562"/>
      <c r="T131" s="438" cm="1" t="str">
        <f t="array" ref="T131:T131">T130</f>
        <v>true</v>
      </c>
      <c r="U131" s="1361"/>
      <c r="V131" s="1361"/>
      <c r="W131" s="1361"/>
      <c r="X131" s="1586"/>
      <c r="Y131" s="1361"/>
      <c r="Z131" s="1587"/>
      <c r="AA131" s="1361"/>
      <c r="AB131" s="783" t="s">
        <v>967</v>
      </c>
      <c r="AC131" s="784" t="s">
        <v>1606</v>
      </c>
      <c r="AD131" s="735" t="s">
        <v>789</v>
      </c>
      <c r="AE131" s="778">
        <f>_xlfn.SUMIFS(ФОТ!AE$25:AE$77,ФОТ!$F$25:$F$77,$F131,ФОТ!$G$25:$G$77,$G131)</f>
        <v>0</v>
      </c>
      <c r="AF131" s="778">
        <f>_xlfn.SUMIFS(ФОТ!AF$25:AF$77,ФОТ!$F$25:$F$77,$F131,ФОТ!$G$25:$G$77,$G131)</f>
        <v>0</v>
      </c>
      <c r="AG131" s="778">
        <f>_xlfn.SUMIFS(ФОТ!AG$25:AG$77,ФОТ!$F$25:$F$77,$F131,ФОТ!$G$25:$G$77,$G131)</f>
        <v>0</v>
      </c>
      <c r="AH131" s="778">
        <f>AG131-AF131</f>
        <v>0</v>
      </c>
      <c r="AI131" s="778">
        <f>_xlfn.SUMIFS(ФОТ!AH$25:AH$77,ФОТ!$F$25:$F$77,$F131,ФОТ!$G$25:$G$77,$G131)</f>
        <v>0</v>
      </c>
      <c r="AJ131" s="778">
        <f>_xlfn.SUMIFS(ФОТ!AI$25:AI$77,ФОТ!$F$25:$F$77,$F131,ФОТ!$G$25:$G$77,$G131)</f>
        <v>0</v>
      </c>
      <c r="AK131" s="778">
        <f>_xlfn.SUMIFS(ФОТ!AJ$25:AJ$77,ФОТ!$F$25:$F$77,$F131,ФОТ!$G$25:$G$77,$G131)</f>
        <v>0</v>
      </c>
      <c r="AL131" s="778">
        <f>IF(AI131=0,0,(AK131-AI131)/AI131*100)</f>
        <v>0</v>
      </c>
      <c r="AM131" s="779"/>
      <c r="AN131" s="886" t="str">
        <f>IF(_xlfn.IFERROR(INDEX(ФОТ!$K$26:$L$77,MATCH($F131&amp;"2komm",ФОТ!$K$26:$K$77,0),2),"")=0,"",_xlfn.IFERROR(INDEX(ФОТ!$K$26:$L$77,MATCH($F131&amp;"2komm",ФОТ!$K$26:$K$77,0),2),""))</f>
        <v/>
      </c>
      <c r="AO131" s="779"/>
      <c r="AP131" s="1361"/>
      <c r="AQ131" s="1361"/>
      <c r="AR131" s="1039" t="s">
        <v>1607</v>
      </c>
      <c r="AS131" s="1039"/>
      <c r="AT131" s="1039"/>
      <c r="AU131" s="1036"/>
      <c r="AV131" s="1036"/>
    </row>
    <row s="3498" customFormat="1" customHeight="1" ht="14.25">
      <c r="A132" s="563"/>
      <c r="B132" s="563"/>
      <c r="C132" s="563"/>
      <c r="D132" s="563"/>
      <c r="E132" s="673">
        <v>15</v>
      </c>
      <c r="F132" s="50" cm="1" t="str">
        <f t="array" ref="F132:F132">OFFSET(E132,-1,1)</f>
        <v>1</v>
      </c>
      <c r="G132" s="563"/>
      <c r="H132" s="563"/>
      <c r="I132" s="674" t="s">
        <v>856</v>
      </c>
      <c r="J132" s="674"/>
      <c r="K132" s="674"/>
      <c r="L132" s="674"/>
      <c r="M132" s="674"/>
      <c r="N132" s="674"/>
      <c r="O132" s="674"/>
      <c r="P132" s="674"/>
      <c r="Q132" s="674"/>
      <c r="R132" s="674"/>
      <c r="S132" s="674"/>
      <c r="T132" s="438" cm="1" t="str">
        <f t="array" ref="T132:T132">T131</f>
        <v>true</v>
      </c>
      <c r="U132" s="563"/>
      <c r="V132" s="563"/>
      <c r="W132" s="563"/>
      <c r="X132" s="1586"/>
      <c r="Y132" s="563"/>
      <c r="Z132" s="1587"/>
      <c r="AA132" s="563"/>
      <c r="AB132" s="780" t="s">
        <v>857</v>
      </c>
      <c r="AC132" s="781" t="s">
        <v>1608</v>
      </c>
      <c r="AD132" s="565" t="s">
        <v>789</v>
      </c>
      <c r="AE132" s="786"/>
      <c r="AF132" s="786"/>
      <c r="AG132" s="786"/>
      <c r="AH132" s="777">
        <f>AG132-AF132</f>
        <v>0</v>
      </c>
      <c r="AI132" s="786"/>
      <c r="AJ132" s="786"/>
      <c r="AK132" s="786"/>
      <c r="AL132" s="777">
        <f>IF(AI132=0,0,(AK132-AI132)/AI132*100)</f>
        <v>0</v>
      </c>
      <c r="AM132" s="782"/>
      <c r="AN132" s="782"/>
      <c r="AO132" s="782"/>
      <c r="AP132" s="563"/>
      <c r="AQ132" s="563"/>
      <c r="AR132" s="1040" t="s">
        <v>1214</v>
      </c>
      <c r="AS132" s="1040"/>
      <c r="AT132" s="1040"/>
      <c r="AU132" s="673"/>
      <c r="AV132" s="673"/>
    </row>
    <row s="3499" customFormat="1" customHeight="1" ht="14.25">
      <c r="A133" s="563"/>
      <c r="B133" s="563"/>
      <c r="C133" s="563"/>
      <c r="D133" s="563"/>
      <c r="E133" s="673">
        <v>15</v>
      </c>
      <c r="F133" s="50" cm="1" t="str">
        <f t="array" ref="F133:F133">OFFSET(E133,-1,1)</f>
        <v>1</v>
      </c>
      <c r="G133" s="563"/>
      <c r="H133" s="563"/>
      <c r="I133" s="674" t="s">
        <v>1609</v>
      </c>
      <c r="J133" s="674"/>
      <c r="K133" s="674"/>
      <c r="L133" s="674"/>
      <c r="M133" s="674"/>
      <c r="N133" s="674"/>
      <c r="O133" s="674"/>
      <c r="P133" s="674"/>
      <c r="Q133" s="674"/>
      <c r="R133" s="674"/>
      <c r="S133" s="674"/>
      <c r="T133" s="438" cm="1" t="str">
        <f t="array" ref="T133:T133">T132</f>
        <v>true</v>
      </c>
      <c r="U133" s="563"/>
      <c r="V133" s="563"/>
      <c r="W133" s="563"/>
      <c r="X133" s="1586"/>
      <c r="Y133" s="563"/>
      <c r="Z133" s="1587"/>
      <c r="AA133" s="563"/>
      <c r="AB133" s="780" t="s">
        <v>1610</v>
      </c>
      <c r="AC133" s="781" t="s">
        <v>1611</v>
      </c>
      <c r="AD133" s="565" t="s">
        <v>789</v>
      </c>
      <c r="AE133" s="786"/>
      <c r="AF133" s="786"/>
      <c r="AG133" s="786"/>
      <c r="AH133" s="777">
        <f>AG133-AF133</f>
        <v>0</v>
      </c>
      <c r="AI133" s="786"/>
      <c r="AJ133" s="786"/>
      <c r="AK133" s="786"/>
      <c r="AL133" s="777">
        <f>IF(AI133=0,0,(AK133-AI133)/AI133*100)</f>
        <v>0</v>
      </c>
      <c r="AM133" s="782"/>
      <c r="AN133" s="782"/>
      <c r="AO133" s="782"/>
      <c r="AP133" s="563"/>
      <c r="AQ133" s="563"/>
      <c r="AR133" s="1040" t="s">
        <v>1612</v>
      </c>
      <c r="AS133" s="1040"/>
      <c r="AT133" s="1040"/>
      <c r="AU133" s="673"/>
      <c r="AV133" s="673"/>
    </row>
    <row s="3500" customFormat="1" customHeight="1" ht="14.25">
      <c r="A134" s="563"/>
      <c r="B134" s="563"/>
      <c r="C134" s="563"/>
      <c r="D134" s="563"/>
      <c r="E134" s="673">
        <v>15</v>
      </c>
      <c r="F134" s="50" cm="1" t="str">
        <f t="array" ref="F134:F134">OFFSET(E134,-1,1)</f>
        <v>1</v>
      </c>
      <c r="G134" s="563"/>
      <c r="H134" s="563"/>
      <c r="I134" s="674" t="s">
        <v>1613</v>
      </c>
      <c r="J134" s="674"/>
      <c r="K134" s="674"/>
      <c r="L134" s="674"/>
      <c r="M134" s="674"/>
      <c r="N134" s="674"/>
      <c r="O134" s="674"/>
      <c r="P134" s="674"/>
      <c r="Q134" s="674"/>
      <c r="R134" s="674"/>
      <c r="S134" s="674"/>
      <c r="T134" s="438" cm="1" t="str">
        <f t="array" ref="T134:T134">T133</f>
        <v>true</v>
      </c>
      <c r="U134" s="563"/>
      <c r="V134" s="563"/>
      <c r="W134" s="563"/>
      <c r="X134" s="1586"/>
      <c r="Y134" s="563"/>
      <c r="Z134" s="1587"/>
      <c r="AA134" s="563"/>
      <c r="AB134" s="780" t="s">
        <v>1614</v>
      </c>
      <c r="AC134" s="781" t="s">
        <v>1615</v>
      </c>
      <c r="AD134" s="565" t="s">
        <v>789</v>
      </c>
      <c r="AE134" s="777">
        <f>SUM(AE135:AE140)</f>
        <v>0</v>
      </c>
      <c r="AF134" s="777">
        <f>SUM(AF135:AF140)</f>
        <v>0</v>
      </c>
      <c r="AG134" s="777">
        <f>SUM(AG135:AG140)</f>
        <v>0</v>
      </c>
      <c r="AH134" s="777">
        <f>AG134-AF134</f>
        <v>0</v>
      </c>
      <c r="AI134" s="777">
        <f>SUM(AI135:AI140)</f>
        <v>0</v>
      </c>
      <c r="AJ134" s="777">
        <f>SUM(AJ135:AJ140)</f>
        <v>0</v>
      </c>
      <c r="AK134" s="777">
        <f>SUM(AK135:AK140)</f>
        <v>0</v>
      </c>
      <c r="AL134" s="777">
        <f>IF(AI134=0,0,(AK134-AI134)/AI134*100)</f>
        <v>0</v>
      </c>
      <c r="AM134" s="782"/>
      <c r="AN134" s="782"/>
      <c r="AO134" s="782"/>
      <c r="AP134" s="563"/>
      <c r="AQ134" s="563"/>
      <c r="AR134" s="1040" t="s">
        <v>1616</v>
      </c>
      <c r="AS134" s="1040"/>
      <c r="AT134" s="1040"/>
      <c r="AU134" s="673"/>
      <c r="AV134" s="673"/>
    </row>
    <row s="1624" customFormat="1" customHeight="1" ht="14.25">
      <c r="A135" s="1361"/>
      <c r="B135" s="1361"/>
      <c r="C135" s="1361"/>
      <c r="D135" s="1361"/>
      <c r="E135" s="671">
        <v>15</v>
      </c>
      <c r="F135" s="50" cm="1" t="str">
        <f t="array" ref="F135:F135">OFFSET(E135,-1,1)</f>
        <v>1</v>
      </c>
      <c r="G135" s="1361"/>
      <c r="H135" s="1361"/>
      <c r="I135" s="562" t="s">
        <v>1613</v>
      </c>
      <c r="J135" s="963" t="s">
        <v>1617</v>
      </c>
      <c r="K135" s="1361"/>
      <c r="L135" s="562"/>
      <c r="M135" s="562"/>
      <c r="N135" s="562"/>
      <c r="O135" s="562"/>
      <c r="P135" s="562"/>
      <c r="Q135" s="562"/>
      <c r="R135" s="562"/>
      <c r="S135" s="562"/>
      <c r="T135" s="438" cm="1" t="str">
        <f t="array" ref="T135:T135">T134</f>
        <v>true</v>
      </c>
      <c r="U135" s="1361"/>
      <c r="V135" s="1361"/>
      <c r="W135" s="1361"/>
      <c r="X135" s="1586"/>
      <c r="Y135" s="1361"/>
      <c r="Z135" s="1587"/>
      <c r="AA135" s="1361"/>
      <c r="AB135" s="783" t="s">
        <v>1618</v>
      </c>
      <c r="AC135" s="784" t="s">
        <v>1619</v>
      </c>
      <c r="AD135" s="735" t="s">
        <v>789</v>
      </c>
      <c r="AE135" s="785"/>
      <c r="AF135" s="785"/>
      <c r="AG135" s="785"/>
      <c r="AH135" s="778">
        <f>AG135-AF135</f>
        <v>0</v>
      </c>
      <c r="AI135" s="785"/>
      <c r="AJ135" s="785"/>
      <c r="AK135" s="785"/>
      <c r="AL135" s="778">
        <f>IF(AI135=0,0,(AK135-AI135)/AI135*100)</f>
        <v>0</v>
      </c>
      <c r="AM135" s="779"/>
      <c r="AN135" s="779"/>
      <c r="AO135" s="779"/>
      <c r="AP135" s="1361"/>
      <c r="AQ135" s="1361"/>
      <c r="AR135" s="1039" t="s">
        <v>1620</v>
      </c>
      <c r="AS135" s="1039"/>
      <c r="AT135" s="1039"/>
      <c r="AU135" s="1036"/>
      <c r="AV135" s="1036"/>
    </row>
    <row s="1624" customFormat="1" customHeight="1" ht="14.25">
      <c r="A136" s="1361"/>
      <c r="B136" s="1361"/>
      <c r="C136" s="1361"/>
      <c r="D136" s="1361"/>
      <c r="E136" s="671">
        <v>15</v>
      </c>
      <c r="F136" s="50" cm="1" t="str">
        <f t="array" ref="F136:F136">OFFSET(E136,-1,1)</f>
        <v>1</v>
      </c>
      <c r="G136" s="1361"/>
      <c r="H136" s="1361"/>
      <c r="I136" s="562" t="s">
        <v>1613</v>
      </c>
      <c r="J136" s="963" t="s">
        <v>1621</v>
      </c>
      <c r="K136" s="1361"/>
      <c r="L136" s="562"/>
      <c r="M136" s="562"/>
      <c r="N136" s="562"/>
      <c r="O136" s="562"/>
      <c r="P136" s="562"/>
      <c r="Q136" s="562"/>
      <c r="R136" s="562"/>
      <c r="S136" s="562"/>
      <c r="T136" s="438" cm="1" t="str">
        <f t="array" ref="T136:T136">T135</f>
        <v>true</v>
      </c>
      <c r="U136" s="1361"/>
      <c r="V136" s="1361"/>
      <c r="W136" s="1361"/>
      <c r="X136" s="1586"/>
      <c r="Y136" s="1361"/>
      <c r="Z136" s="1587"/>
      <c r="AA136" s="1361"/>
      <c r="AB136" s="783" t="s">
        <v>1622</v>
      </c>
      <c r="AC136" s="784" t="s">
        <v>1623</v>
      </c>
      <c r="AD136" s="735" t="s">
        <v>789</v>
      </c>
      <c r="AE136" s="785"/>
      <c r="AF136" s="785"/>
      <c r="AG136" s="785"/>
      <c r="AH136" s="778">
        <f>AG136-AF136</f>
        <v>0</v>
      </c>
      <c r="AI136" s="785"/>
      <c r="AJ136" s="785"/>
      <c r="AK136" s="785"/>
      <c r="AL136" s="778">
        <f>IF(AI136=0,0,(AK136-AI136)/AI136*100)</f>
        <v>0</v>
      </c>
      <c r="AM136" s="779"/>
      <c r="AN136" s="779"/>
      <c r="AO136" s="779"/>
      <c r="AP136" s="1361"/>
      <c r="AQ136" s="1361"/>
      <c r="AR136" s="1039" t="s">
        <v>1624</v>
      </c>
      <c r="AS136" s="1039"/>
      <c r="AT136" s="1039"/>
      <c r="AU136" s="1036"/>
      <c r="AV136" s="1036"/>
    </row>
    <row s="1624" customFormat="1" customHeight="1" ht="14.25">
      <c r="A137" s="1361"/>
      <c r="B137" s="1361"/>
      <c r="C137" s="1361"/>
      <c r="D137" s="1361"/>
      <c r="E137" s="671">
        <v>15</v>
      </c>
      <c r="F137" s="50" cm="1" t="str">
        <f t="array" ref="F137:F137">OFFSET(E137,-1,1)</f>
        <v>1</v>
      </c>
      <c r="G137" s="1361"/>
      <c r="H137" s="1361"/>
      <c r="I137" s="562" t="s">
        <v>1613</v>
      </c>
      <c r="J137" s="963" t="s">
        <v>1625</v>
      </c>
      <c r="K137" s="1361"/>
      <c r="L137" s="562"/>
      <c r="M137" s="562"/>
      <c r="N137" s="562"/>
      <c r="O137" s="562"/>
      <c r="P137" s="562"/>
      <c r="Q137" s="562"/>
      <c r="R137" s="562"/>
      <c r="S137" s="562"/>
      <c r="T137" s="438" cm="1" t="str">
        <f t="array" ref="T137:T137">T136</f>
        <v>true</v>
      </c>
      <c r="U137" s="1361"/>
      <c r="V137" s="1361"/>
      <c r="W137" s="1361"/>
      <c r="X137" s="1586"/>
      <c r="Y137" s="1361"/>
      <c r="Z137" s="1587"/>
      <c r="AA137" s="1361"/>
      <c r="AB137" s="783" t="s">
        <v>1626</v>
      </c>
      <c r="AC137" s="784" t="s">
        <v>1627</v>
      </c>
      <c r="AD137" s="735" t="s">
        <v>789</v>
      </c>
      <c r="AE137" s="785"/>
      <c r="AF137" s="785"/>
      <c r="AG137" s="785"/>
      <c r="AH137" s="778">
        <f>AG137-AF137</f>
        <v>0</v>
      </c>
      <c r="AI137" s="785"/>
      <c r="AJ137" s="785"/>
      <c r="AK137" s="785"/>
      <c r="AL137" s="778">
        <f>IF(AI137=0,0,(AK137-AI137)/AI137*100)</f>
        <v>0</v>
      </c>
      <c r="AM137" s="779"/>
      <c r="AN137" s="779"/>
      <c r="AO137" s="779"/>
      <c r="AP137" s="1361"/>
      <c r="AQ137" s="1361"/>
      <c r="AR137" s="1039" t="s">
        <v>1628</v>
      </c>
      <c r="AS137" s="1039"/>
      <c r="AT137" s="1039"/>
      <c r="AU137" s="1036"/>
      <c r="AV137" s="1036"/>
    </row>
    <row s="1624" customFormat="1" customHeight="1" ht="14.25">
      <c r="A138" s="1361"/>
      <c r="B138" s="1361"/>
      <c r="C138" s="1361"/>
      <c r="D138" s="1361"/>
      <c r="E138" s="671">
        <v>15</v>
      </c>
      <c r="F138" s="50" cm="1" t="str">
        <f t="array" ref="F138:F138">OFFSET(E138,-1,1)</f>
        <v>1</v>
      </c>
      <c r="G138" s="1361"/>
      <c r="H138" s="1361"/>
      <c r="I138" s="562" t="s">
        <v>1613</v>
      </c>
      <c r="J138" s="963" t="s">
        <v>1629</v>
      </c>
      <c r="K138" s="1361"/>
      <c r="L138" s="562"/>
      <c r="M138" s="562"/>
      <c r="N138" s="562"/>
      <c r="O138" s="562"/>
      <c r="P138" s="562"/>
      <c r="Q138" s="562"/>
      <c r="R138" s="562"/>
      <c r="S138" s="562"/>
      <c r="T138" s="438" cm="1" t="str">
        <f t="array" ref="T138:T138">T137</f>
        <v>true</v>
      </c>
      <c r="U138" s="1361"/>
      <c r="V138" s="1361"/>
      <c r="W138" s="1361"/>
      <c r="X138" s="1586"/>
      <c r="Y138" s="1361"/>
      <c r="Z138" s="1587"/>
      <c r="AA138" s="1361"/>
      <c r="AB138" s="783" t="s">
        <v>1630</v>
      </c>
      <c r="AC138" s="784" t="s">
        <v>1631</v>
      </c>
      <c r="AD138" s="735" t="s">
        <v>789</v>
      </c>
      <c r="AE138" s="785"/>
      <c r="AF138" s="785"/>
      <c r="AG138" s="785"/>
      <c r="AH138" s="778">
        <f>AG138-AF138</f>
        <v>0</v>
      </c>
      <c r="AI138" s="785"/>
      <c r="AJ138" s="785"/>
      <c r="AK138" s="785"/>
      <c r="AL138" s="778">
        <f>IF(AI138=0,0,(AK138-AI138)/AI138*100)</f>
        <v>0</v>
      </c>
      <c r="AM138" s="779"/>
      <c r="AN138" s="779"/>
      <c r="AO138" s="779"/>
      <c r="AP138" s="1361"/>
      <c r="AQ138" s="1361"/>
      <c r="AR138" s="1039" t="s">
        <v>1632</v>
      </c>
      <c r="AS138" s="1039"/>
      <c r="AT138" s="1039"/>
      <c r="AU138" s="1036"/>
      <c r="AV138" s="1036"/>
    </row>
    <row s="1624" customFormat="1" customHeight="1" ht="14.25" hidden="1">
      <c r="A139" s="1361"/>
      <c r="B139" s="1361"/>
      <c r="C139" s="1361"/>
      <c r="D139" s="1361"/>
      <c r="E139" s="671">
        <v>15</v>
      </c>
      <c r="F139" s="50" cm="1" t="str">
        <f t="array" ref="F139:F139">OFFSET(E139,-1,1)</f>
        <v>1</v>
      </c>
      <c r="G139" s="1361"/>
      <c r="H139" s="1361"/>
      <c r="I139" s="562" t="s">
        <v>1613</v>
      </c>
      <c r="J139" s="552" cm="1" t="str">
        <f t="array" ref="J139:J139">AC139</f>
        <v>0</v>
      </c>
      <c r="K139" s="1361"/>
      <c r="L139" s="562"/>
      <c r="M139" s="562"/>
      <c r="N139" s="562"/>
      <c r="O139" s="562"/>
      <c r="P139" s="562"/>
      <c r="Q139" s="562"/>
      <c r="R139" s="562"/>
      <c r="S139" s="562"/>
      <c r="T139" s="438">
        <f>AND(F139&gt;0,Y139&gt;4)</f>
        <v>0</v>
      </c>
      <c r="U139" s="1361"/>
      <c r="V139" s="1361"/>
      <c r="W139" s="733" t="s">
        <v>172</v>
      </c>
      <c r="X139" s="1586"/>
      <c r="Y139" s="552">
        <v>4</v>
      </c>
      <c r="Z139" s="1587"/>
      <c r="AA139" s="1206" t="s">
        <v>173</v>
      </c>
      <c r="AB139" s="677" t="str">
        <f>"1.7."&amp;Y139</f>
        <v>1.7.4</v>
      </c>
      <c r="AC139" s="3452"/>
      <c r="AD139" s="735" t="s">
        <v>789</v>
      </c>
      <c r="AE139" s="785"/>
      <c r="AF139" s="785"/>
      <c r="AG139" s="785"/>
      <c r="AH139" s="778">
        <f>AG139-AF139</f>
        <v>0</v>
      </c>
      <c r="AI139" s="785"/>
      <c r="AJ139" s="3453"/>
      <c r="AK139" s="3453"/>
      <c r="AL139" s="778">
        <f>IF(AI139=0,0,(AK139-AI139)/AI139*100)</f>
        <v>0</v>
      </c>
      <c r="AM139" s="3454"/>
      <c r="AN139" s="3454"/>
      <c r="AO139" s="3454"/>
      <c r="AP139" s="1361"/>
      <c r="AQ139" s="1361"/>
      <c r="AR139" s="1039" t="s">
        <v>1633</v>
      </c>
      <c r="AS139" s="1039" t="s">
        <v>1634</v>
      </c>
      <c r="AT139" s="1037" cm="1" t="str">
        <f t="array" ref="AT139:AT139">AC139</f>
        <v>0</v>
      </c>
      <c r="AU139" s="1036"/>
      <c r="AV139" s="671" t="b">
        <v>1</v>
      </c>
    </row>
    <row s="1624" customFormat="1" customHeight="1" ht="14.25">
      <c r="A140" s="1361"/>
      <c r="B140" s="1361"/>
      <c r="C140" s="1361"/>
      <c r="D140" s="1361"/>
      <c r="E140" s="671">
        <v>15</v>
      </c>
      <c r="F140" s="50" cm="1" t="str">
        <f t="array" ref="F140:F140">OFFSET(E140,-1,1)</f>
        <v>1</v>
      </c>
      <c r="G140" s="1361"/>
      <c r="H140" s="1361"/>
      <c r="I140" s="672"/>
      <c r="J140" s="672" t="s">
        <v>1635</v>
      </c>
      <c r="K140" s="672"/>
      <c r="L140" s="672"/>
      <c r="M140" s="672"/>
      <c r="N140" s="672"/>
      <c r="O140" s="672"/>
      <c r="P140" s="672"/>
      <c r="Q140" s="672"/>
      <c r="R140" s="672"/>
      <c r="S140" s="672"/>
      <c r="T140" s="438">
        <f>F140&gt;0</f>
        <v>1</v>
      </c>
      <c r="U140" s="1361"/>
      <c r="V140" s="1361"/>
      <c r="W140" s="805" t="s">
        <v>388</v>
      </c>
      <c r="X140" s="1586"/>
      <c r="Y140" s="1361"/>
      <c r="Z140" s="1587"/>
      <c r="AA140" s="1361"/>
      <c r="AB140" s="1207"/>
      <c r="AC140" s="1208" t="s">
        <v>176</v>
      </c>
      <c r="AD140" s="1209"/>
      <c r="AE140" s="1209"/>
      <c r="AF140" s="1209"/>
      <c r="AG140" s="1209"/>
      <c r="AH140" s="1209"/>
      <c r="AI140" s="1209"/>
      <c r="AJ140" s="1209"/>
      <c r="AK140" s="1209"/>
      <c r="AL140" s="1209"/>
      <c r="AM140" s="1209"/>
      <c r="AN140" s="1209"/>
      <c r="AO140" s="1210"/>
      <c r="AP140" s="1361"/>
      <c r="AQ140" s="1361"/>
      <c r="AR140" s="1039"/>
      <c r="AS140" s="1039"/>
      <c r="AT140" s="1039"/>
      <c r="AU140" s="1036" t="s">
        <v>1634</v>
      </c>
      <c r="AV140" s="1036"/>
    </row>
    <row s="3515" customFormat="1" customHeight="1" ht="14.25">
      <c r="A141" s="563"/>
      <c r="B141" s="563"/>
      <c r="C141" s="563"/>
      <c r="D141" s="563"/>
      <c r="E141" s="673">
        <v>15</v>
      </c>
      <c r="F141" s="50" cm="1" t="str">
        <f t="array" ref="F141:F141">OFFSET(E141,-1,1)</f>
        <v>1</v>
      </c>
      <c r="G141" s="563"/>
      <c r="H141" s="563"/>
      <c r="I141" s="674" t="s">
        <v>322</v>
      </c>
      <c r="J141" s="674"/>
      <c r="K141" s="674"/>
      <c r="L141" s="674"/>
      <c r="M141" s="674"/>
      <c r="N141" s="674"/>
      <c r="O141" s="674"/>
      <c r="P141" s="674"/>
      <c r="Q141" s="674"/>
      <c r="R141" s="674"/>
      <c r="S141" s="674"/>
      <c r="T141" s="438" cm="1" t="str">
        <f t="array" ref="T141:T141">T140</f>
        <v>true</v>
      </c>
      <c r="U141" s="563"/>
      <c r="V141" s="563"/>
      <c r="W141" s="563"/>
      <c r="X141" s="1586"/>
      <c r="Y141" s="563"/>
      <c r="Z141" s="1587"/>
      <c r="AA141" s="563"/>
      <c r="AB141" s="780" t="s">
        <v>504</v>
      </c>
      <c r="AC141" s="776" t="s">
        <v>1636</v>
      </c>
      <c r="AD141" s="788" t="s">
        <v>789</v>
      </c>
      <c r="AE141" s="764">
        <f>AE142+AE143</f>
        <v>0</v>
      </c>
      <c r="AF141" s="764">
        <f>AF142+AF143</f>
        <v>0</v>
      </c>
      <c r="AG141" s="764">
        <f>AG142+AG143</f>
        <v>0</v>
      </c>
      <c r="AH141" s="777">
        <f>AG141-AF141</f>
        <v>0</v>
      </c>
      <c r="AI141" s="764">
        <f>AI142+AI143</f>
        <v>0</v>
      </c>
      <c r="AJ141" s="764">
        <f>AJ142+AJ143</f>
        <v>0</v>
      </c>
      <c r="AK141" s="764">
        <f>AK142+AK143</f>
        <v>0</v>
      </c>
      <c r="AL141" s="777">
        <f>IF(AI141=0,0,(AK141-AI141)/AI141*100)</f>
        <v>0</v>
      </c>
      <c r="AM141" s="782"/>
      <c r="AN141" s="782"/>
      <c r="AO141" s="782"/>
      <c r="AP141" s="563"/>
      <c r="AQ141" s="563"/>
      <c r="AR141" s="1040" t="s">
        <v>1637</v>
      </c>
      <c r="AS141" s="1040"/>
      <c r="AT141" s="1040"/>
      <c r="AU141" s="673"/>
      <c r="AV141" s="673"/>
    </row>
    <row s="1624" customFormat="1" customHeight="1" ht="32.25">
      <c r="A142" s="1361"/>
      <c r="B142" s="1361"/>
      <c r="C142" s="1361"/>
      <c r="D142" s="1361"/>
      <c r="E142" s="671">
        <v>33.75</v>
      </c>
      <c r="F142" s="50" cm="1" t="str">
        <f t="array" ref="F142:F142">OFFSET(E142,-1,1)</f>
        <v>1</v>
      </c>
      <c r="G142" s="1361"/>
      <c r="H142" s="1361"/>
      <c r="I142" s="562" t="s">
        <v>452</v>
      </c>
      <c r="J142" s="562"/>
      <c r="K142" s="562"/>
      <c r="L142" s="562"/>
      <c r="M142" s="562"/>
      <c r="N142" s="562"/>
      <c r="O142" s="562"/>
      <c r="P142" s="562"/>
      <c r="Q142" s="562"/>
      <c r="R142" s="562"/>
      <c r="S142" s="562"/>
      <c r="T142" s="438" cm="1" t="str">
        <f t="array" ref="T142:T142">T141</f>
        <v>true</v>
      </c>
      <c r="U142" s="1361"/>
      <c r="V142" s="1361"/>
      <c r="W142" s="1361"/>
      <c r="X142" s="1586"/>
      <c r="Y142" s="1361"/>
      <c r="Z142" s="1587"/>
      <c r="AA142" s="1361"/>
      <c r="AB142" s="783" t="s">
        <v>509</v>
      </c>
      <c r="AC142" s="789" t="s">
        <v>1638</v>
      </c>
      <c r="AD142" s="790" t="s">
        <v>789</v>
      </c>
      <c r="AE142" s="785"/>
      <c r="AF142" s="785"/>
      <c r="AG142" s="785"/>
      <c r="AH142" s="778">
        <f>AG142-AF142</f>
        <v>0</v>
      </c>
      <c r="AI142" s="785"/>
      <c r="AJ142" s="785"/>
      <c r="AK142" s="785"/>
      <c r="AL142" s="778">
        <f>IF(AI142=0,0,(AK142-AI142)/AI142*100)</f>
        <v>0</v>
      </c>
      <c r="AM142" s="779"/>
      <c r="AN142" s="779"/>
      <c r="AO142" s="779"/>
      <c r="AP142" s="1361"/>
      <c r="AQ142" s="1361"/>
      <c r="AR142" s="1039" t="s">
        <v>1639</v>
      </c>
      <c r="AS142" s="1039"/>
      <c r="AT142" s="1039"/>
      <c r="AU142" s="1036"/>
      <c r="AV142" s="1036"/>
    </row>
    <row s="1624" customFormat="1" customHeight="1" ht="34.5">
      <c r="A143" s="1361"/>
      <c r="B143" s="1361"/>
      <c r="C143" s="1361"/>
      <c r="D143" s="1361"/>
      <c r="E143" s="671">
        <v>36</v>
      </c>
      <c r="F143" s="50" cm="1" t="str">
        <f t="array" ref="F143:F143">OFFSET(E143,-1,1)</f>
        <v>1</v>
      </c>
      <c r="G143" s="1361"/>
      <c r="H143" s="1361"/>
      <c r="I143" s="562" t="s">
        <v>455</v>
      </c>
      <c r="J143" s="562"/>
      <c r="K143" s="562"/>
      <c r="L143" s="562"/>
      <c r="M143" s="562"/>
      <c r="N143" s="562"/>
      <c r="O143" s="562"/>
      <c r="P143" s="562"/>
      <c r="Q143" s="562"/>
      <c r="R143" s="562"/>
      <c r="S143" s="562"/>
      <c r="T143" s="438" cm="1" t="str">
        <f t="array" ref="T143:T143">T142</f>
        <v>true</v>
      </c>
      <c r="U143" s="1361"/>
      <c r="V143" s="1361"/>
      <c r="W143" s="1361"/>
      <c r="X143" s="1586"/>
      <c r="Y143" s="1361"/>
      <c r="Z143" s="1587"/>
      <c r="AA143" s="1361"/>
      <c r="AB143" s="783" t="s">
        <v>513</v>
      </c>
      <c r="AC143" s="789" t="s">
        <v>1640</v>
      </c>
      <c r="AD143" s="790" t="s">
        <v>789</v>
      </c>
      <c r="AE143" s="791">
        <f>AE144+AE145</f>
        <v>0</v>
      </c>
      <c r="AF143" s="791">
        <f>AF144+AF145</f>
        <v>0</v>
      </c>
      <c r="AG143" s="791">
        <f>AG144+AG145</f>
        <v>0</v>
      </c>
      <c r="AH143" s="778">
        <f>AG143-AF143</f>
        <v>0</v>
      </c>
      <c r="AI143" s="791">
        <f>AI144+AI145</f>
        <v>0</v>
      </c>
      <c r="AJ143" s="791">
        <f>AJ144+AJ145</f>
        <v>0</v>
      </c>
      <c r="AK143" s="791">
        <f>AK144+AK145</f>
        <v>0</v>
      </c>
      <c r="AL143" s="778">
        <f>IF(AI143=0,0,(AK143-AI143)/AI143*100)</f>
        <v>0</v>
      </c>
      <c r="AM143" s="779"/>
      <c r="AN143" s="779"/>
      <c r="AO143" s="779"/>
      <c r="AP143" s="1361"/>
      <c r="AQ143" s="1361"/>
      <c r="AR143" s="1039" t="s">
        <v>1641</v>
      </c>
      <c r="AS143" s="1039"/>
      <c r="AT143" s="1039"/>
      <c r="AU143" s="1036"/>
      <c r="AV143" s="1036"/>
    </row>
    <row s="1624" customFormat="1" customHeight="1" ht="14.25">
      <c r="A144" s="1361"/>
      <c r="B144" s="1361"/>
      <c r="C144" s="1361"/>
      <c r="D144" s="1361"/>
      <c r="E144" s="671">
        <v>15</v>
      </c>
      <c r="F144" s="50" cm="1" t="str">
        <f t="array" ref="F144:F144">OFFSET(E144,-1,1)</f>
        <v>1</v>
      </c>
      <c r="G144" s="552" t="s">
        <v>1048</v>
      </c>
      <c r="H144" s="1361"/>
      <c r="I144" s="562" t="s">
        <v>1642</v>
      </c>
      <c r="J144" s="562"/>
      <c r="K144" s="562"/>
      <c r="L144" s="562"/>
      <c r="M144" s="562"/>
      <c r="N144" s="562"/>
      <c r="O144" s="562"/>
      <c r="P144" s="562"/>
      <c r="Q144" s="562"/>
      <c r="R144" s="562"/>
      <c r="S144" s="562"/>
      <c r="T144" s="438" cm="1" t="str">
        <f t="array" ref="T144:T144">T143</f>
        <v>true</v>
      </c>
      <c r="U144" s="1361"/>
      <c r="V144" s="1361"/>
      <c r="W144" s="1361"/>
      <c r="X144" s="1586"/>
      <c r="Y144" s="1361"/>
      <c r="Z144" s="1587"/>
      <c r="AA144" s="1361"/>
      <c r="AB144" s="783" t="s">
        <v>466</v>
      </c>
      <c r="AC144" s="784" t="s">
        <v>1643</v>
      </c>
      <c r="AD144" s="790" t="s">
        <v>789</v>
      </c>
      <c r="AE144" s="778">
        <f>_xlfn.SUMIFS(ФОТ!AE$25:AE$77,ФОТ!$F$25:$F$77,$F144,ФОТ!$G$25:$G$77,$G144)</f>
        <v>0</v>
      </c>
      <c r="AF144" s="778">
        <f>_xlfn.SUMIFS(ФОТ!AF$25:AF$77,ФОТ!$F$25:$F$77,$F144,ФОТ!$G$25:$G$77,$G144)</f>
        <v>0</v>
      </c>
      <c r="AG144" s="778">
        <f>_xlfn.SUMIFS(ФОТ!AG$25:AG$77,ФОТ!$F$25:$F$77,$F144,ФОТ!$G$25:$G$77,$G144)</f>
        <v>0</v>
      </c>
      <c r="AH144" s="778">
        <f>AG144-AF144</f>
        <v>0</v>
      </c>
      <c r="AI144" s="778">
        <f>_xlfn.SUMIFS(ФОТ!AH$25:AH$77,ФОТ!$F$25:$F$77,$F144,ФОТ!$G$25:$G$77,$G144)</f>
        <v>0</v>
      </c>
      <c r="AJ144" s="778">
        <f>_xlfn.SUMIFS(ФОТ!AI$25:AI$77,ФОТ!$F$25:$F$77,$F144,ФОТ!$G$25:$G$77,$G144)</f>
        <v>0</v>
      </c>
      <c r="AK144" s="778">
        <f>_xlfn.SUMIFS(ФОТ!AJ$25:AJ$77,ФОТ!$F$25:$F$77,$F144,ФОТ!$G$25:$G$77,$G144)</f>
        <v>0</v>
      </c>
      <c r="AL144" s="778">
        <f>IF(AI144=0,0,(AK144-AI144)/AI144*100)</f>
        <v>0</v>
      </c>
      <c r="AM144" s="779"/>
      <c r="AN144" s="886" t="str">
        <f>IF(_xlfn.IFERROR(INDEX(ФОТ!$K$26:$L$77,MATCH($F144&amp;"3komm",ФОТ!$K$26:$K$77,0),2),"")=0,"",_xlfn.IFERROR(INDEX(ФОТ!$K$26:$L$77,MATCH($F144&amp;"3komm",ФОТ!$K$26:$K$77,0),2),""))</f>
        <v/>
      </c>
      <c r="AO144" s="779"/>
      <c r="AP144" s="1361"/>
      <c r="AQ144" s="1361"/>
      <c r="AR144" s="1039" t="s">
        <v>1644</v>
      </c>
      <c r="AS144" s="1039"/>
      <c r="AT144" s="1039"/>
      <c r="AU144" s="1036"/>
      <c r="AV144" s="1036"/>
    </row>
    <row s="1624" customFormat="1" customHeight="1" ht="21.75">
      <c r="A145" s="1361"/>
      <c r="B145" s="1361"/>
      <c r="C145" s="1361"/>
      <c r="D145" s="1361"/>
      <c r="E145" s="671">
        <v>22.5</v>
      </c>
      <c r="F145" s="50" cm="1" t="str">
        <f t="array" ref="F145:F145">OFFSET(E145,-1,1)</f>
        <v>1</v>
      </c>
      <c r="G145" s="552" t="s">
        <v>1053</v>
      </c>
      <c r="H145" s="1361"/>
      <c r="I145" s="562" t="s">
        <v>1645</v>
      </c>
      <c r="J145" s="562"/>
      <c r="K145" s="562"/>
      <c r="L145" s="562"/>
      <c r="M145" s="562"/>
      <c r="N145" s="562"/>
      <c r="O145" s="562"/>
      <c r="P145" s="562"/>
      <c r="Q145" s="562"/>
      <c r="R145" s="562"/>
      <c r="S145" s="562"/>
      <c r="T145" s="438" cm="1" t="str">
        <f t="array" ref="T145:T145">T144</f>
        <v>true</v>
      </c>
      <c r="U145" s="1361"/>
      <c r="V145" s="1361"/>
      <c r="W145" s="1361"/>
      <c r="X145" s="1586"/>
      <c r="Y145" s="1361"/>
      <c r="Z145" s="1587"/>
      <c r="AA145" s="1361"/>
      <c r="AB145" s="783" t="s">
        <v>1310</v>
      </c>
      <c r="AC145" s="784" t="s">
        <v>1646</v>
      </c>
      <c r="AD145" s="790" t="s">
        <v>789</v>
      </c>
      <c r="AE145" s="778">
        <f>_xlfn.SUMIFS(ФОТ!AE$25:AE$77,ФОТ!$F$25:$F$77,$F145,ФОТ!$G$25:$G$77,$G145)</f>
        <v>0</v>
      </c>
      <c r="AF145" s="778">
        <f>_xlfn.SUMIFS(ФОТ!AF$25:AF$77,ФОТ!$F$25:$F$77,$F145,ФОТ!$G$25:$G$77,$G145)</f>
        <v>0</v>
      </c>
      <c r="AG145" s="778">
        <f>_xlfn.SUMIFS(ФОТ!AG$25:AG$77,ФОТ!$F$25:$F$77,$F145,ФОТ!$G$25:$G$77,$G145)</f>
        <v>0</v>
      </c>
      <c r="AH145" s="778">
        <f>AG145-AF145</f>
        <v>0</v>
      </c>
      <c r="AI145" s="778">
        <f>_xlfn.SUMIFS(ФОТ!AH$25:AH$77,ФОТ!$F$25:$F$77,$F145,ФОТ!$G$25:$G$77,$G145)</f>
        <v>0</v>
      </c>
      <c r="AJ145" s="778">
        <f>_xlfn.SUMIFS(ФОТ!AI$25:AI$77,ФОТ!$F$25:$F$77,$F145,ФОТ!$G$25:$G$77,$G145)</f>
        <v>0</v>
      </c>
      <c r="AK145" s="778">
        <f>_xlfn.SUMIFS(ФОТ!AJ$25:AJ$77,ФОТ!$F$25:$F$77,$F145,ФОТ!$G$25:$G$77,$G145)</f>
        <v>0</v>
      </c>
      <c r="AL145" s="778">
        <f>IF(AI145=0,0,(AK145-AI145)/AI145*100)</f>
        <v>0</v>
      </c>
      <c r="AM145" s="779"/>
      <c r="AN145" s="886" t="str">
        <f>IF(_xlfn.IFERROR(INDEX(ФОТ!$K$26:$L$77,MATCH($F145&amp;"4komm",ФОТ!$K$26:$K$77,0),2),"")=0,"",_xlfn.IFERROR(INDEX(ФОТ!$K$26:$L$77,MATCH($F145&amp;"4komm",ФОТ!$K$26:$K$77,0),2),""))</f>
        <v/>
      </c>
      <c r="AO145" s="779"/>
      <c r="AP145" s="1361"/>
      <c r="AQ145" s="1361"/>
      <c r="AR145" s="1039" t="s">
        <v>1647</v>
      </c>
      <c r="AS145" s="1039"/>
      <c r="AT145" s="1039"/>
      <c r="AU145" s="1036"/>
      <c r="AV145" s="1036"/>
    </row>
    <row s="3516" customFormat="1" customHeight="1" ht="14.25">
      <c r="A146" s="563"/>
      <c r="B146" s="563"/>
      <c r="C146" s="563"/>
      <c r="D146" s="563"/>
      <c r="E146" s="673">
        <v>15</v>
      </c>
      <c r="F146" s="50" cm="1" t="str">
        <f t="array" ref="F146:F146">OFFSET(E146,-1,1)</f>
        <v>1</v>
      </c>
      <c r="G146" s="563"/>
      <c r="H146" s="563"/>
      <c r="I146" s="674" t="s">
        <v>323</v>
      </c>
      <c r="J146" s="674"/>
      <c r="K146" s="674"/>
      <c r="L146" s="674"/>
      <c r="M146" s="674"/>
      <c r="N146" s="674"/>
      <c r="O146" s="674"/>
      <c r="P146" s="674"/>
      <c r="Q146" s="674"/>
      <c r="R146" s="674"/>
      <c r="S146" s="674"/>
      <c r="T146" s="438" cm="1" t="str">
        <f t="array" ref="T146:T146">T145</f>
        <v>true</v>
      </c>
      <c r="U146" s="563"/>
      <c r="V146" s="563"/>
      <c r="W146" s="563"/>
      <c r="X146" s="1586"/>
      <c r="Y146" s="563"/>
      <c r="Z146" s="1587"/>
      <c r="AA146" s="563"/>
      <c r="AB146" s="780" t="s">
        <v>319</v>
      </c>
      <c r="AC146" s="776" t="s">
        <v>1648</v>
      </c>
      <c r="AD146" s="788" t="s">
        <v>789</v>
      </c>
      <c r="AE146" s="777">
        <f>AE147+AE148+AE151+AE152+AE153+AE154+AE155</f>
        <v>0</v>
      </c>
      <c r="AF146" s="777">
        <f>AF147+AF148+AF151+AF152+AF153+AF154+AF155</f>
        <v>0</v>
      </c>
      <c r="AG146" s="777">
        <f>AG147+AG148+AG151+AG152+AG153+AG154+AG155</f>
        <v>0</v>
      </c>
      <c r="AH146" s="777">
        <f>AG146-AF146</f>
        <v>0</v>
      </c>
      <c r="AI146" s="777">
        <f>AI147+AI148+AI151+AI152+AI153+AI154+AI155</f>
        <v>0</v>
      </c>
      <c r="AJ146" s="777">
        <f>AJ147+AJ148+AJ151+AJ152+AJ153+AJ154+AJ155</f>
        <v>0</v>
      </c>
      <c r="AK146" s="777">
        <f>AK147+AK148+AK151+AK152+AK153+AK154+AK155</f>
        <v>0</v>
      </c>
      <c r="AL146" s="777">
        <f>IF(AI146=0,0,(AK146-AI146)/AI146*100)</f>
        <v>0</v>
      </c>
      <c r="AM146" s="782"/>
      <c r="AN146" s="782"/>
      <c r="AO146" s="782"/>
      <c r="AP146" s="563"/>
      <c r="AQ146" s="563"/>
      <c r="AR146" s="1040" t="s">
        <v>1649</v>
      </c>
      <c r="AS146" s="1040"/>
      <c r="AT146" s="1040"/>
      <c r="AU146" s="673"/>
      <c r="AV146" s="673"/>
    </row>
    <row s="1624" customFormat="1" customHeight="1" ht="21.75">
      <c r="A147" s="1361"/>
      <c r="B147" s="1361"/>
      <c r="C147" s="1361"/>
      <c r="D147" s="1361"/>
      <c r="E147" s="671">
        <v>22.5</v>
      </c>
      <c r="F147" s="50" cm="1" t="str">
        <f t="array" ref="F147:F147">OFFSET(E147,-1,1)</f>
        <v>1</v>
      </c>
      <c r="G147" s="552" t="s">
        <v>1074</v>
      </c>
      <c r="H147" s="1361"/>
      <c r="I147" s="562" t="s">
        <v>874</v>
      </c>
      <c r="J147" s="562"/>
      <c r="K147" s="562"/>
      <c r="L147" s="562"/>
      <c r="M147" s="562"/>
      <c r="N147" s="562"/>
      <c r="O147" s="562"/>
      <c r="P147" s="562"/>
      <c r="Q147" s="562"/>
      <c r="R147" s="562"/>
      <c r="S147" s="562"/>
      <c r="T147" s="438" cm="1" t="str">
        <f t="array" ref="T147:T147">T146</f>
        <v>true</v>
      </c>
      <c r="U147" s="1361"/>
      <c r="V147" s="1361"/>
      <c r="W147" s="1361"/>
      <c r="X147" s="1586"/>
      <c r="Y147" s="1361"/>
      <c r="Z147" s="1587"/>
      <c r="AA147" s="1361"/>
      <c r="AB147" s="783" t="s">
        <v>523</v>
      </c>
      <c r="AC147" s="789" t="s">
        <v>1650</v>
      </c>
      <c r="AD147" s="790" t="s">
        <v>789</v>
      </c>
      <c r="AE147" s="225">
        <f>_xlfn.SUMIFS(Административные!AE$25:AE$65,Административные!$F$25:$F$65,$F147,Административные!$G$25:$G$65,$G147)</f>
        <v>0</v>
      </c>
      <c r="AF147" s="225">
        <f>_xlfn.SUMIFS(Административные!AF$25:AF$65,Административные!$F$25:$F$65,$F147,Административные!$G$25:$G$65,$G147)</f>
        <v>0</v>
      </c>
      <c r="AG147" s="225">
        <f>_xlfn.SUMIFS(Административные!AG$25:AG$65,Административные!$F$25:$F$65,$F147,Административные!$G$25:$G$65,$G147)</f>
        <v>0</v>
      </c>
      <c r="AH147" s="778">
        <f>AG147-AF147</f>
        <v>0</v>
      </c>
      <c r="AI147" s="225">
        <f>_xlfn.SUMIFS(Административные!AH$25:AH$65,Административные!$F$25:$F$65,$F147,Административные!$G$25:$G$65,$G147)</f>
        <v>0</v>
      </c>
      <c r="AJ147" s="225">
        <f>_xlfn.SUMIFS(Административные!AI$25:AI$65,Административные!$F$25:$F$65,$F147,Административные!$G$25:$G$65,$G147)</f>
        <v>0</v>
      </c>
      <c r="AK147" s="225">
        <f>_xlfn.SUMIFS(Административные!AJ$25:AJ$65,Административные!$F$25:$F$65,$F147,Административные!$G$25:$G$65,$G147)</f>
        <v>0</v>
      </c>
      <c r="AL147" s="778">
        <f>IF(AI147=0,0,(AK147-AI147)/AI147*100)</f>
        <v>0</v>
      </c>
      <c r="AM147" s="779"/>
      <c r="AN147" s="886" t="str">
        <f>IF(_xlfn.IFERROR(INDEX(Административные!$K$26:$L$65,MATCH($F147&amp;"17komm",Административные!$K$26:$K$65,0),2),"")=0,"",_xlfn.IFERROR(INDEX(Административные!$K$26:$L$65,MATCH($F147&amp;"17komm",Административные!$K$26:$K$65,0),2),""))</f>
        <v/>
      </c>
      <c r="AO147" s="779"/>
      <c r="AP147" s="1361"/>
      <c r="AQ147" s="1361"/>
      <c r="AR147" s="1039" t="s">
        <v>1076</v>
      </c>
      <c r="AS147" s="1039"/>
      <c r="AT147" s="1039"/>
      <c r="AU147" s="1036"/>
      <c r="AV147" s="1036"/>
    </row>
    <row s="1624" customFormat="1" customHeight="1" ht="32.25">
      <c r="A148" s="1361"/>
      <c r="B148" s="1361"/>
      <c r="C148" s="1361"/>
      <c r="D148" s="1361"/>
      <c r="E148" s="671">
        <v>33.75</v>
      </c>
      <c r="F148" s="50" cm="1" t="str">
        <f t="array" ref="F148:F148">OFFSET(E148,-1,1)</f>
        <v>1</v>
      </c>
      <c r="G148" s="1361"/>
      <c r="H148" s="1361"/>
      <c r="I148" s="562" t="s">
        <v>876</v>
      </c>
      <c r="J148" s="562"/>
      <c r="K148" s="562"/>
      <c r="L148" s="562"/>
      <c r="M148" s="562"/>
      <c r="N148" s="562"/>
      <c r="O148" s="562"/>
      <c r="P148" s="562"/>
      <c r="Q148" s="562"/>
      <c r="R148" s="562"/>
      <c r="S148" s="562"/>
      <c r="T148" s="438" cm="1" t="str">
        <f t="array" ref="T148:T148">T147</f>
        <v>true</v>
      </c>
      <c r="U148" s="1361"/>
      <c r="V148" s="1361"/>
      <c r="W148" s="1361"/>
      <c r="X148" s="1586"/>
      <c r="Y148" s="1361"/>
      <c r="Z148" s="1587"/>
      <c r="AA148" s="1361"/>
      <c r="AB148" s="783" t="s">
        <v>527</v>
      </c>
      <c r="AC148" s="789" t="s">
        <v>1651</v>
      </c>
      <c r="AD148" s="790" t="s">
        <v>789</v>
      </c>
      <c r="AE148" s="778">
        <f>AE149+AE150</f>
        <v>0</v>
      </c>
      <c r="AF148" s="778">
        <f>AF149+AF150</f>
        <v>0</v>
      </c>
      <c r="AG148" s="778">
        <f>AG149+AG150</f>
        <v>0</v>
      </c>
      <c r="AH148" s="778">
        <f>AG148-AF148</f>
        <v>0</v>
      </c>
      <c r="AI148" s="778">
        <f>AI149+AI150</f>
        <v>0</v>
      </c>
      <c r="AJ148" s="778">
        <f>AJ149+AJ150</f>
        <v>0</v>
      </c>
      <c r="AK148" s="778">
        <f>AK149+AK150</f>
        <v>0</v>
      </c>
      <c r="AL148" s="778">
        <f>IF(AI148=0,0,(AK148-AI148)/AI148*100)</f>
        <v>0</v>
      </c>
      <c r="AM148" s="779"/>
      <c r="AN148" s="779"/>
      <c r="AO148" s="779"/>
      <c r="AP148" s="1361"/>
      <c r="AQ148" s="1361"/>
      <c r="AR148" s="1039" t="s">
        <v>1652</v>
      </c>
      <c r="AS148" s="1039"/>
      <c r="AT148" s="1039"/>
      <c r="AU148" s="1036"/>
      <c r="AV148" s="1036"/>
    </row>
    <row s="1624" customFormat="1" customHeight="1" ht="21.75">
      <c r="A149" s="1361"/>
      <c r="B149" s="1361"/>
      <c r="C149" s="1361"/>
      <c r="D149" s="1361"/>
      <c r="E149" s="671">
        <v>22.5</v>
      </c>
      <c r="F149" s="50" cm="1" t="str">
        <f t="array" ref="F149:F149">OFFSET(E149,-1,1)</f>
        <v>1</v>
      </c>
      <c r="G149" s="1211" t="s">
        <v>1056</v>
      </c>
      <c r="H149" s="1361"/>
      <c r="I149" s="562" t="s">
        <v>470</v>
      </c>
      <c r="J149" s="562"/>
      <c r="K149" s="562"/>
      <c r="L149" s="562"/>
      <c r="M149" s="562"/>
      <c r="N149" s="562"/>
      <c r="O149" s="562"/>
      <c r="P149" s="562"/>
      <c r="Q149" s="562"/>
      <c r="R149" s="562"/>
      <c r="S149" s="562"/>
      <c r="T149" s="438" cm="1" t="str">
        <f t="array" ref="T149:T149">T148</f>
        <v>true</v>
      </c>
      <c r="U149" s="1361"/>
      <c r="V149" s="1361"/>
      <c r="W149" s="1361"/>
      <c r="X149" s="1586"/>
      <c r="Y149" s="1361"/>
      <c r="Z149" s="1587"/>
      <c r="AA149" s="1361"/>
      <c r="AB149" s="783" t="s">
        <v>738</v>
      </c>
      <c r="AC149" s="784" t="s">
        <v>1653</v>
      </c>
      <c r="AD149" s="790" t="s">
        <v>789</v>
      </c>
      <c r="AE149" s="778">
        <f>_xlfn.SUMIFS(ФОТ!AE$25:AE$77,ФОТ!$F$25:$F$77,$F149,ФОТ!$G$25:$G$77,$G149)</f>
        <v>0</v>
      </c>
      <c r="AF149" s="778">
        <f>_xlfn.SUMIFS(ФОТ!AF$25:AF$77,ФОТ!$F$25:$F$77,$F149,ФОТ!$G$25:$G$77,$G149)</f>
        <v>0</v>
      </c>
      <c r="AG149" s="778">
        <f>_xlfn.SUMIFS(ФОТ!AG$25:AG$77,ФОТ!$F$25:$F$77,$F149,ФОТ!$G$25:$G$77,$G149)</f>
        <v>0</v>
      </c>
      <c r="AH149" s="778">
        <f>AG149-AF149</f>
        <v>0</v>
      </c>
      <c r="AI149" s="778">
        <f>_xlfn.SUMIFS(ФОТ!AH$25:AH$77,ФОТ!$F$25:$F$77,$F149,ФОТ!$G$25:$G$77,$G149)</f>
        <v>0</v>
      </c>
      <c r="AJ149" s="778">
        <f>_xlfn.SUMIFS(ФОТ!AI$25:AI$77,ФОТ!$F$25:$F$77,$F149,ФОТ!$G$25:$G$77,$G149)</f>
        <v>0</v>
      </c>
      <c r="AK149" s="778">
        <f>_xlfn.SUMIFS(ФОТ!AJ$25:AJ$77,ФОТ!$F$25:$F$77,$F149,ФОТ!$G$25:$G$77,$G149)</f>
        <v>0</v>
      </c>
      <c r="AL149" s="778">
        <f>IF(AI149=0,0,(AK149-AI149)/AI149*100)</f>
        <v>0</v>
      </c>
      <c r="AM149" s="779"/>
      <c r="AN149" s="886" t="str">
        <f>IF(_xlfn.IFERROR(INDEX(ФОТ!$K$26:$L$77,MATCH($F149&amp;"5komm",ФОТ!$K$26:$K$77,0),2),"")=0,"",_xlfn.IFERROR(INDEX(ФОТ!$K$26:$L$77,MATCH($F149&amp;"5komm",ФОТ!$K$26:$K$77,0),2),""))</f>
        <v/>
      </c>
      <c r="AO149" s="779"/>
      <c r="AP149" s="1361"/>
      <c r="AQ149" s="1361"/>
      <c r="AR149" s="1039" t="s">
        <v>1073</v>
      </c>
      <c r="AS149" s="1039"/>
      <c r="AT149" s="1039"/>
      <c r="AU149" s="1036"/>
      <c r="AV149" s="1036"/>
    </row>
    <row s="1624" customFormat="1" customHeight="1" ht="32.25">
      <c r="A150" s="1361"/>
      <c r="B150" s="1361"/>
      <c r="C150" s="1361"/>
      <c r="D150" s="1361"/>
      <c r="E150" s="671">
        <v>33.75</v>
      </c>
      <c r="F150" s="50" cm="1" t="str">
        <f t="array" ref="F150:F150">OFFSET(E150,-1,1)</f>
        <v>1</v>
      </c>
      <c r="G150" s="471" t="s">
        <v>1061</v>
      </c>
      <c r="H150" s="1361"/>
      <c r="I150" s="562" t="s">
        <v>475</v>
      </c>
      <c r="J150" s="562"/>
      <c r="K150" s="562"/>
      <c r="L150" s="562"/>
      <c r="M150" s="562"/>
      <c r="N150" s="562"/>
      <c r="O150" s="562"/>
      <c r="P150" s="562"/>
      <c r="Q150" s="562"/>
      <c r="R150" s="562"/>
      <c r="S150" s="562"/>
      <c r="T150" s="438" cm="1" t="str">
        <f t="array" ref="T150:T150">T149</f>
        <v>true</v>
      </c>
      <c r="U150" s="1361"/>
      <c r="V150" s="1361"/>
      <c r="W150" s="1361"/>
      <c r="X150" s="1586"/>
      <c r="Y150" s="1361"/>
      <c r="Z150" s="1587"/>
      <c r="AA150" s="1361"/>
      <c r="AB150" s="783" t="s">
        <v>741</v>
      </c>
      <c r="AC150" s="784" t="s">
        <v>1654</v>
      </c>
      <c r="AD150" s="790" t="s">
        <v>789</v>
      </c>
      <c r="AE150" s="778">
        <f>_xlfn.SUMIFS(ФОТ!AE$25:AE$77,ФОТ!$F$25:$F$77,$F150,ФОТ!$G$25:$G$77,$G150)</f>
        <v>0</v>
      </c>
      <c r="AF150" s="778">
        <f>_xlfn.SUMIFS(ФОТ!AF$25:AF$77,ФОТ!$F$25:$F$77,$F150,ФОТ!$G$25:$G$77,$G150)</f>
        <v>0</v>
      </c>
      <c r="AG150" s="778">
        <f>_xlfn.SUMIFS(ФОТ!AG$25:AG$77,ФОТ!$F$25:$F$77,$F150,ФОТ!$G$25:$G$77,$G150)</f>
        <v>0</v>
      </c>
      <c r="AH150" s="778">
        <f>AG150-AF150</f>
        <v>0</v>
      </c>
      <c r="AI150" s="778">
        <f>_xlfn.SUMIFS(ФОТ!AH$25:AH$77,ФОТ!$F$25:$F$77,$F150,ФОТ!$G$25:$G$77,$G150)</f>
        <v>0</v>
      </c>
      <c r="AJ150" s="778">
        <f>_xlfn.SUMIFS(ФОТ!AI$25:AI$77,ФОТ!$F$25:$F$77,$F150,ФОТ!$G$25:$G$77,$G150)</f>
        <v>0</v>
      </c>
      <c r="AK150" s="778">
        <f>_xlfn.SUMIFS(ФОТ!AJ$25:AJ$77,ФОТ!$F$25:$F$77,$F150,ФОТ!$G$25:$G$77,$G150)</f>
        <v>0</v>
      </c>
      <c r="AL150" s="778">
        <f>IF(AI150=0,0,(AK150-AI150)/AI150*100)</f>
        <v>0</v>
      </c>
      <c r="AM150" s="779"/>
      <c r="AN150" s="886" t="str">
        <f>IF(_xlfn.IFERROR(INDEX(ФОТ!$K$26:$L$77,MATCH($F150&amp;"6komm",ФОТ!$K$26:$K$77,0),2),"")=0,"",_xlfn.IFERROR(INDEX(ФОТ!$K$26:$L$77,MATCH($F150&amp;"6komm",ФОТ!$K$26:$K$77,0),2),""))</f>
        <v/>
      </c>
      <c r="AO150" s="779"/>
      <c r="AP150" s="1361"/>
      <c r="AQ150" s="1361"/>
      <c r="AR150" s="1039" t="s">
        <v>1655</v>
      </c>
      <c r="AS150" s="1039"/>
      <c r="AT150" s="1039"/>
      <c r="AU150" s="1036"/>
      <c r="AV150" s="1036"/>
    </row>
    <row s="1624" customFormat="1" customHeight="1" ht="32.25">
      <c r="A151" s="1361"/>
      <c r="B151" s="1361"/>
      <c r="C151" s="1361"/>
      <c r="D151" s="1361"/>
      <c r="E151" s="671">
        <v>33.75</v>
      </c>
      <c r="F151" s="50" cm="1" t="str">
        <f t="array" ref="F151:F151">OFFSET(E151,-1,1)</f>
        <v>1</v>
      </c>
      <c r="G151" s="552" t="s">
        <v>1102</v>
      </c>
      <c r="H151" s="1361"/>
      <c r="I151" s="562" t="s">
        <v>878</v>
      </c>
      <c r="J151" s="562"/>
      <c r="K151" s="562"/>
      <c r="L151" s="562"/>
      <c r="M151" s="562"/>
      <c r="N151" s="562"/>
      <c r="O151" s="562"/>
      <c r="P151" s="562"/>
      <c r="Q151" s="562"/>
      <c r="R151" s="562"/>
      <c r="S151" s="562"/>
      <c r="T151" s="438" cm="1" t="str">
        <f t="array" ref="T151:T151">T150</f>
        <v>true</v>
      </c>
      <c r="U151" s="1361"/>
      <c r="V151" s="1361"/>
      <c r="W151" s="1361"/>
      <c r="X151" s="1586"/>
      <c r="Y151" s="1361"/>
      <c r="Z151" s="1587"/>
      <c r="AA151" s="1361"/>
      <c r="AB151" s="783" t="s">
        <v>744</v>
      </c>
      <c r="AC151" s="789" t="s">
        <v>1656</v>
      </c>
      <c r="AD151" s="790" t="s">
        <v>789</v>
      </c>
      <c r="AE151" s="778">
        <f>_xlfn.SUMIFS(Административные!AE$25:AE$65,Административные!$F$25:$F$65,$F151,Административные!$G$25:$G$65,$G151)</f>
        <v>0</v>
      </c>
      <c r="AF151" s="778">
        <f>_xlfn.SUMIFS(Административные!AF$25:AF$65,Административные!$F$25:$F$65,$F151,Административные!$G$25:$G$65,$G151)</f>
        <v>0</v>
      </c>
      <c r="AG151" s="778">
        <f>_xlfn.SUMIFS(Административные!AG$25:AG$65,Административные!$F$25:$F$65,$F151,Административные!$G$25:$G$65,$G151)</f>
        <v>0</v>
      </c>
      <c r="AH151" s="778">
        <f>AG151-AF151</f>
        <v>0</v>
      </c>
      <c r="AI151" s="778">
        <f>_xlfn.SUMIFS(Административные!AH$25:AH$65,Административные!$F$25:$F$65,$F151,Административные!$G$25:$G$65,$G151)</f>
        <v>0</v>
      </c>
      <c r="AJ151" s="778">
        <f>_xlfn.SUMIFS(Административные!AI$25:AI$65,Административные!$F$25:$F$65,$F151,Административные!$G$25:$G$65,$G151)</f>
        <v>0</v>
      </c>
      <c r="AK151" s="778">
        <f>_xlfn.SUMIFS(Административные!AJ$25:AJ$65,Административные!$F$25:$F$65,$F151,Административные!$G$25:$G$65,$G151)</f>
        <v>0</v>
      </c>
      <c r="AL151" s="778">
        <f>IF(AI151=0,0,(AK151-AI151)/AI151*100)</f>
        <v>0</v>
      </c>
      <c r="AM151" s="779"/>
      <c r="AN151" s="886" t="str">
        <f>IF(_xlfn.IFERROR(INDEX(Административные!$K$26:$L$65,MATCH($F151&amp;"2komm",Административные!$K$26:$K$65,0),2),"")=0,"",_xlfn.IFERROR(INDEX(Административные!$K$26:$L$65,MATCH($F151&amp;"2komm",Административные!$K$26:$K$65,0),2),""))</f>
        <v/>
      </c>
      <c r="AO151" s="779"/>
      <c r="AP151" s="1361"/>
      <c r="AQ151" s="1361"/>
      <c r="AR151" s="1039" t="s">
        <v>1104</v>
      </c>
      <c r="AS151" s="1039"/>
      <c r="AT151" s="1039"/>
      <c r="AU151" s="1036"/>
      <c r="AV151" s="1036"/>
    </row>
    <row s="1624" customFormat="1" customHeight="1" ht="14.25">
      <c r="A152" s="1361"/>
      <c r="B152" s="1361"/>
      <c r="C152" s="1361"/>
      <c r="D152" s="1361"/>
      <c r="E152" s="671">
        <v>15</v>
      </c>
      <c r="F152" s="50" cm="1" t="str">
        <f t="array" ref="F152:F152">OFFSET(E152,-1,1)</f>
        <v>1</v>
      </c>
      <c r="G152" s="552" t="s">
        <v>1105</v>
      </c>
      <c r="H152" s="1361"/>
      <c r="I152" s="562" t="s">
        <v>880</v>
      </c>
      <c r="J152" s="562"/>
      <c r="K152" s="562"/>
      <c r="L152" s="562"/>
      <c r="M152" s="562"/>
      <c r="N152" s="562"/>
      <c r="O152" s="562"/>
      <c r="P152" s="562"/>
      <c r="Q152" s="562"/>
      <c r="R152" s="562"/>
      <c r="S152" s="562"/>
      <c r="T152" s="438" cm="1" t="str">
        <f t="array" ref="T152:T152">T151</f>
        <v>true</v>
      </c>
      <c r="U152" s="1361"/>
      <c r="V152" s="1361"/>
      <c r="W152" s="1361"/>
      <c r="X152" s="1586"/>
      <c r="Y152" s="1361"/>
      <c r="Z152" s="1587"/>
      <c r="AA152" s="1361"/>
      <c r="AB152" s="783" t="s">
        <v>881</v>
      </c>
      <c r="AC152" s="789" t="s">
        <v>1106</v>
      </c>
      <c r="AD152" s="790" t="s">
        <v>789</v>
      </c>
      <c r="AE152" s="778">
        <f>_xlfn.SUMIFS(Административные!AE$25:AE$65,Административные!$F$25:$F$65,$F152,Административные!$G$25:$G$65,$G152)</f>
        <v>0</v>
      </c>
      <c r="AF152" s="778">
        <f>_xlfn.SUMIFS(Административные!AF$25:AF$65,Административные!$F$25:$F$65,$F152,Административные!$G$25:$G$65,$G152)</f>
        <v>0</v>
      </c>
      <c r="AG152" s="778">
        <f>_xlfn.SUMIFS(Административные!AG$25:AG$65,Административные!$F$25:$F$65,$F152,Административные!$G$25:$G$65,$G152)</f>
        <v>0</v>
      </c>
      <c r="AH152" s="778">
        <f>AG152-AF152</f>
        <v>0</v>
      </c>
      <c r="AI152" s="778">
        <f>_xlfn.SUMIFS(Административные!AH$25:AH$65,Административные!$F$25:$F$65,$F152,Административные!$G$25:$G$65,$G152)</f>
        <v>0</v>
      </c>
      <c r="AJ152" s="778">
        <f>_xlfn.SUMIFS(Административные!AI$25:AI$65,Административные!$F$25:$F$65,$F152,Административные!$G$25:$G$65,$G152)</f>
        <v>0</v>
      </c>
      <c r="AK152" s="778">
        <f>_xlfn.SUMIFS(Административные!AJ$25:AJ$65,Административные!$F$25:$F$65,$F152,Административные!$G$25:$G$65,$G152)</f>
        <v>0</v>
      </c>
      <c r="AL152" s="778">
        <f>IF(AI152=0,0,(AK152-AI152)/AI152*100)</f>
        <v>0</v>
      </c>
      <c r="AM152" s="779"/>
      <c r="AN152" s="886" t="str">
        <f>IF(_xlfn.IFERROR(INDEX(Административные!$K$26:$L$65,MATCH($F152&amp;"3komm",Административные!$K$26:$K$65,0),2),"")=0,"",_xlfn.IFERROR(INDEX(Административные!$K$26:$L$65,MATCH($F152&amp;"3komm",Административные!$K$26:$K$65,0),2),""))</f>
        <v/>
      </c>
      <c r="AO152" s="779"/>
      <c r="AP152" s="1361"/>
      <c r="AQ152" s="1361"/>
      <c r="AR152" s="1039" t="s">
        <v>1107</v>
      </c>
      <c r="AS152" s="1039"/>
      <c r="AT152" s="1039"/>
      <c r="AU152" s="1036"/>
      <c r="AV152" s="1036"/>
    </row>
    <row s="1624" customFormat="1" customHeight="1" ht="14.25">
      <c r="A153" s="1361"/>
      <c r="B153" s="1361"/>
      <c r="C153" s="1361"/>
      <c r="D153" s="1361"/>
      <c r="E153" s="671">
        <v>15</v>
      </c>
      <c r="F153" s="50" cm="1" t="str">
        <f t="array" ref="F153:F153">OFFSET(E153,-1,1)</f>
        <v>1</v>
      </c>
      <c r="G153" s="552" t="s">
        <v>1108</v>
      </c>
      <c r="H153" s="1361"/>
      <c r="I153" s="562" t="s">
        <v>883</v>
      </c>
      <c r="J153" s="562"/>
      <c r="K153" s="562"/>
      <c r="L153" s="562"/>
      <c r="M153" s="562"/>
      <c r="N153" s="562"/>
      <c r="O153" s="562"/>
      <c r="P153" s="562"/>
      <c r="Q153" s="562"/>
      <c r="R153" s="562"/>
      <c r="S153" s="562"/>
      <c r="T153" s="438" cm="1" t="str">
        <f t="array" ref="T153:T153">T152</f>
        <v>true</v>
      </c>
      <c r="U153" s="1361"/>
      <c r="V153" s="1361"/>
      <c r="W153" s="1361"/>
      <c r="X153" s="1586"/>
      <c r="Y153" s="1361"/>
      <c r="Z153" s="1587"/>
      <c r="AA153" s="1361"/>
      <c r="AB153" s="783" t="s">
        <v>884</v>
      </c>
      <c r="AC153" s="789" t="s">
        <v>1109</v>
      </c>
      <c r="AD153" s="790" t="s">
        <v>789</v>
      </c>
      <c r="AE153" s="778">
        <f>_xlfn.SUMIFS(Административные!AE$25:AE$65,Административные!$F$25:$F$65,$F153,Административные!$G$25:$G$65,$G153)</f>
        <v>0</v>
      </c>
      <c r="AF153" s="778">
        <f>_xlfn.SUMIFS(Административные!AF$25:AF$65,Административные!$F$25:$F$65,$F153,Административные!$G$25:$G$65,$G153)</f>
        <v>0</v>
      </c>
      <c r="AG153" s="778">
        <f>_xlfn.SUMIFS(Административные!AG$25:AG$65,Административные!$F$25:$F$65,$F153,Административные!$G$25:$G$65,$G153)</f>
        <v>0</v>
      </c>
      <c r="AH153" s="778">
        <f>AG153-AF153</f>
        <v>0</v>
      </c>
      <c r="AI153" s="778">
        <f>_xlfn.SUMIFS(Административные!AH$25:AH$65,Административные!$F$25:$F$65,$F153,Административные!$G$25:$G$65,$G153)</f>
        <v>0</v>
      </c>
      <c r="AJ153" s="778">
        <f>_xlfn.SUMIFS(Административные!AI$25:AI$65,Административные!$F$25:$F$65,$F153,Административные!$G$25:$G$65,$G153)</f>
        <v>0</v>
      </c>
      <c r="AK153" s="778">
        <f>_xlfn.SUMIFS(Административные!AJ$25:AJ$65,Административные!$F$25:$F$65,$F153,Административные!$G$25:$G$65,$G153)</f>
        <v>0</v>
      </c>
      <c r="AL153" s="778">
        <f>IF(AI153=0,0,(AK153-AI153)/AI153*100)</f>
        <v>0</v>
      </c>
      <c r="AM153" s="779"/>
      <c r="AN153" s="886" t="str">
        <f>IF(_xlfn.IFERROR(INDEX(Административные!$K$26:$L$65,MATCH($F153&amp;"4komm",Административные!$K$26:$K$65,0),2),"")=0,"",_xlfn.IFERROR(INDEX(Административные!$K$26:$L$65,MATCH($F153&amp;"4komm",Административные!$K$26:$K$65,0),2),""))</f>
        <v/>
      </c>
      <c r="AO153" s="779"/>
      <c r="AP153" s="1361"/>
      <c r="AQ153" s="1361"/>
      <c r="AR153" s="1039" t="s">
        <v>1110</v>
      </c>
      <c r="AS153" s="1039"/>
      <c r="AT153" s="1039"/>
      <c r="AU153" s="1036"/>
      <c r="AV153" s="1036"/>
    </row>
    <row s="1624" customFormat="1" customHeight="1" ht="14.25">
      <c r="A154" s="1361"/>
      <c r="B154" s="1361"/>
      <c r="C154" s="1361"/>
      <c r="D154" s="1361"/>
      <c r="E154" s="671">
        <v>15</v>
      </c>
      <c r="F154" s="50" cm="1" t="str">
        <f t="array" ref="F154:F154">OFFSET(E154,-1,1)</f>
        <v>1</v>
      </c>
      <c r="G154" s="552" t="s">
        <v>1111</v>
      </c>
      <c r="H154" s="1361"/>
      <c r="I154" s="562" t="s">
        <v>1093</v>
      </c>
      <c r="J154" s="562"/>
      <c r="K154" s="562"/>
      <c r="L154" s="562"/>
      <c r="M154" s="562"/>
      <c r="N154" s="562"/>
      <c r="O154" s="562"/>
      <c r="P154" s="562"/>
      <c r="Q154" s="562"/>
      <c r="R154" s="562"/>
      <c r="S154" s="562"/>
      <c r="T154" s="438" cm="1" t="str">
        <f t="array" ref="T154:T154">T153</f>
        <v>true</v>
      </c>
      <c r="U154" s="1361"/>
      <c r="V154" s="1361"/>
      <c r="W154" s="1361"/>
      <c r="X154" s="1586"/>
      <c r="Y154" s="1361"/>
      <c r="Z154" s="1587"/>
      <c r="AA154" s="1361"/>
      <c r="AB154" s="783" t="s">
        <v>1094</v>
      </c>
      <c r="AC154" s="789" t="s">
        <v>1112</v>
      </c>
      <c r="AD154" s="790" t="s">
        <v>789</v>
      </c>
      <c r="AE154" s="778">
        <f>_xlfn.SUMIFS(Административные!AE$25:AE$65,Административные!$F$25:$F$65,$F154,Административные!$G$25:$G$65,$G154)</f>
        <v>0</v>
      </c>
      <c r="AF154" s="778">
        <f>_xlfn.SUMIFS(Административные!AF$25:AF$65,Административные!$F$25:$F$65,$F154,Административные!$G$25:$G$65,$G154)</f>
        <v>0</v>
      </c>
      <c r="AG154" s="778">
        <f>_xlfn.SUMIFS(Административные!AG$25:AG$65,Административные!$F$25:$F$65,$F154,Административные!$G$25:$G$65,$G154)</f>
        <v>0</v>
      </c>
      <c r="AH154" s="778">
        <f>AG154-AF154</f>
        <v>0</v>
      </c>
      <c r="AI154" s="778">
        <f>_xlfn.SUMIFS(Административные!AH$25:AH$65,Административные!$F$25:$F$65,$F154,Административные!$G$25:$G$65,$G154)</f>
        <v>0</v>
      </c>
      <c r="AJ154" s="778">
        <f>_xlfn.SUMIFS(Административные!AI$25:AI$65,Административные!$F$25:$F$65,$F154,Административные!$G$25:$G$65,$G154)</f>
        <v>0</v>
      </c>
      <c r="AK154" s="778">
        <f>_xlfn.SUMIFS(Административные!AJ$25:AJ$65,Административные!$F$25:$F$65,$F154,Административные!$G$25:$G$65,$G154)</f>
        <v>0</v>
      </c>
      <c r="AL154" s="778">
        <f>IF(AI154=0,0,(AK154-AI154)/AI154*100)</f>
        <v>0</v>
      </c>
      <c r="AM154" s="779"/>
      <c r="AN154" s="886" t="str">
        <f>IF(_xlfn.IFERROR(INDEX(Административные!$K$26:$L$65,MATCH($F150&amp;"5komm",Административные!$K$26:$K$65,0),2),"")=0,"",_xlfn.IFERROR(INDEX(Административные!$K$26:$L$65,MATCH($F150&amp;"5komm",Административные!$K$26:$K$65,0),2),""))</f>
        <v/>
      </c>
      <c r="AO154" s="779"/>
      <c r="AP154" s="1361"/>
      <c r="AQ154" s="1361"/>
      <c r="AR154" s="1039" t="s">
        <v>1657</v>
      </c>
      <c r="AS154" s="1039"/>
      <c r="AT154" s="1039"/>
      <c r="AU154" s="1036"/>
      <c r="AV154" s="1036"/>
    </row>
    <row s="1624" customFormat="1" customHeight="1" ht="14.25">
      <c r="A155" s="1361"/>
      <c r="B155" s="1361"/>
      <c r="C155" s="1361"/>
      <c r="D155" s="1361"/>
      <c r="E155" s="671">
        <v>15</v>
      </c>
      <c r="F155" s="50" cm="1" t="str">
        <f t="array" ref="F155:F155">OFFSET(E155,-1,1)</f>
        <v>1</v>
      </c>
      <c r="G155" s="552" t="s">
        <v>1114</v>
      </c>
      <c r="H155" s="1361"/>
      <c r="I155" s="562" t="s">
        <v>1098</v>
      </c>
      <c r="J155" s="562"/>
      <c r="K155" s="562"/>
      <c r="L155" s="562"/>
      <c r="M155" s="562"/>
      <c r="N155" s="562"/>
      <c r="O155" s="562"/>
      <c r="P155" s="562"/>
      <c r="Q155" s="562"/>
      <c r="R155" s="562"/>
      <c r="S155" s="562"/>
      <c r="T155" s="438" cm="1" t="str">
        <f t="array" ref="T155:T155">T154</f>
        <v>true</v>
      </c>
      <c r="U155" s="1361"/>
      <c r="V155" s="1361"/>
      <c r="W155" s="1361"/>
      <c r="X155" s="1586"/>
      <c r="Y155" s="1361"/>
      <c r="Z155" s="1587"/>
      <c r="AA155" s="1361"/>
      <c r="AB155" s="783" t="s">
        <v>1099</v>
      </c>
      <c r="AC155" s="789" t="s">
        <v>1658</v>
      </c>
      <c r="AD155" s="790" t="s">
        <v>789</v>
      </c>
      <c r="AE155" s="778">
        <f>_xlfn.SUMIFS(Административные!AE$25:AE$65,Административные!$F$25:$F$65,$F155,Административные!$G$25:$G$65,$G155)</f>
        <v>0</v>
      </c>
      <c r="AF155" s="778">
        <f>_xlfn.SUMIFS(Административные!AF$25:AF$65,Административные!$F$25:$F$65,$F155,Административные!$G$25:$G$65,$G155)</f>
        <v>0</v>
      </c>
      <c r="AG155" s="778">
        <f>_xlfn.SUMIFS(Административные!AG$25:AG$65,Административные!$F$25:$F$65,$F155,Административные!$G$25:$G$65,$G155)</f>
        <v>0</v>
      </c>
      <c r="AH155" s="778">
        <f>AG155-AF155</f>
        <v>0</v>
      </c>
      <c r="AI155" s="778">
        <f>_xlfn.SUMIFS(Административные!AH$25:AH$65,Административные!$F$25:$F$65,$F155,Административные!$G$25:$G$65,$G155)</f>
        <v>0</v>
      </c>
      <c r="AJ155" s="778">
        <f>_xlfn.SUMIFS(Административные!AI$25:AI$65,Административные!$F$25:$F$65,$F155,Административные!$G$25:$G$65,$G155)</f>
        <v>0</v>
      </c>
      <c r="AK155" s="778">
        <f>_xlfn.SUMIFS(Административные!AJ$25:AJ$65,Административные!$F$25:$F$65,$F155,Административные!$G$25:$G$65,$G155)</f>
        <v>0</v>
      </c>
      <c r="AL155" s="778">
        <f>IF(AI155=0,0,(AK155-AI155)/AI155*100)</f>
        <v>0</v>
      </c>
      <c r="AM155" s="779"/>
      <c r="AN155" s="886" t="str">
        <f>IF(_xlfn.IFERROR(INDEX(Административные!$K$26:$L$65,MATCH($F155&amp;"6komm",Административные!$K$26:$K$65,0),2),"")=0,"",_xlfn.IFERROR(INDEX(Административные!$K$26:$L$65,MATCH($F150&amp;"6komm",Административные!$K$26:$K$65,0),2),""))</f>
        <v/>
      </c>
      <c r="AO155" s="779"/>
      <c r="AP155" s="1361"/>
      <c r="AQ155" s="1361"/>
      <c r="AR155" s="1039" t="s">
        <v>1659</v>
      </c>
      <c r="AS155" s="1039"/>
      <c r="AT155" s="1039"/>
      <c r="AU155" s="1036"/>
      <c r="AV155" s="1036"/>
    </row>
    <row s="1624" customFormat="1" customHeight="1" ht="14.25">
      <c r="A156" s="1361"/>
      <c r="B156" s="1361"/>
      <c r="C156" s="1361"/>
      <c r="D156" s="1361"/>
      <c r="E156" s="671">
        <v>15</v>
      </c>
      <c r="F156" s="50" cm="1" t="str">
        <f t="array" ref="F156:F156">OFFSET(E156,-1,1)</f>
        <v>1</v>
      </c>
      <c r="G156" s="552" t="s">
        <v>1116</v>
      </c>
      <c r="H156" s="1361"/>
      <c r="I156" s="562" t="s">
        <v>1660</v>
      </c>
      <c r="J156" s="562"/>
      <c r="K156" s="562"/>
      <c r="L156" s="562"/>
      <c r="M156" s="562"/>
      <c r="N156" s="562"/>
      <c r="O156" s="562"/>
      <c r="P156" s="562"/>
      <c r="Q156" s="562"/>
      <c r="R156" s="562"/>
      <c r="S156" s="562"/>
      <c r="T156" s="438" cm="1" t="str">
        <f t="array" ref="T156:T156">T155</f>
        <v>true</v>
      </c>
      <c r="U156" s="1361"/>
      <c r="V156" s="1361"/>
      <c r="W156" s="1361"/>
      <c r="X156" s="1586"/>
      <c r="Y156" s="1361"/>
      <c r="Z156" s="1587"/>
      <c r="AA156" s="1361"/>
      <c r="AB156" s="783" t="s">
        <v>1661</v>
      </c>
      <c r="AC156" s="784" t="s">
        <v>1662</v>
      </c>
      <c r="AD156" s="790" t="s">
        <v>789</v>
      </c>
      <c r="AE156" s="778">
        <f>_xlfn.SUMIFS(Административные!AE$25:AE$65,Административные!$F$25:$F$65,$F156,Административные!$G$25:$G$65,$G156)</f>
        <v>0</v>
      </c>
      <c r="AF156" s="778">
        <f>_xlfn.SUMIFS(Административные!AF$25:AF$65,Административные!$F$25:$F$65,$F156,Административные!$G$25:$G$65,$G156)</f>
        <v>0</v>
      </c>
      <c r="AG156" s="778">
        <f>_xlfn.SUMIFS(Административные!AG$25:AG$65,Административные!$F$25:$F$65,$F156,Административные!$G$25:$G$65,$G156)</f>
        <v>0</v>
      </c>
      <c r="AH156" s="778">
        <f>AG156-AF156</f>
        <v>0</v>
      </c>
      <c r="AI156" s="778">
        <f>_xlfn.SUMIFS(Административные!AH$25:AH$65,Административные!$F$25:$F$65,$F156,Административные!$G$25:$G$65,$G156)</f>
        <v>0</v>
      </c>
      <c r="AJ156" s="778">
        <f>_xlfn.SUMIFS(Административные!AI$25:AI$65,Административные!$F$25:$F$65,$F156,Административные!$G$25:$G$65,$G156)</f>
        <v>0</v>
      </c>
      <c r="AK156" s="778">
        <f>_xlfn.SUMIFS(Административные!AJ$25:AJ$65,Административные!$F$25:$F$65,$F156,Административные!$G$25:$G$65,$G156)</f>
        <v>0</v>
      </c>
      <c r="AL156" s="778">
        <f>IF(AI156=0,0,(AK156-AI156)/AI156*100)</f>
        <v>0</v>
      </c>
      <c r="AM156" s="779"/>
      <c r="AN156" s="886" t="str">
        <f>IF(_xlfn.IFERROR(INDEX(Административные!$K$26:$L$65,MATCH($F156&amp;"7komm",Административные!$K$26:$K$65,0),2),"")=0,"",_xlfn.IFERROR(INDEX(Административные!$K$26:$L$65,MATCH($F151&amp;"7komm",Административные!$K$26:$K$65,0),2),""))</f>
        <v/>
      </c>
      <c r="AO156" s="779"/>
      <c r="AP156" s="1361"/>
      <c r="AQ156" s="1361"/>
      <c r="AR156" s="1039" t="s">
        <v>1663</v>
      </c>
      <c r="AS156" s="1039"/>
      <c r="AT156" s="1039"/>
      <c r="AU156" s="1036"/>
      <c r="AV156" s="1036"/>
    </row>
    <row s="1624" customFormat="1" customHeight="1" ht="43.5">
      <c r="A157" s="1361"/>
      <c r="B157" s="1361"/>
      <c r="C157" s="1361"/>
      <c r="D157" s="1361"/>
      <c r="E157" s="671">
        <v>45</v>
      </c>
      <c r="F157" s="50" cm="1" t="str">
        <f t="array" ref="F157:F157">OFFSET(E157,-1,1)</f>
        <v>1</v>
      </c>
      <c r="G157" s="552" t="s">
        <v>1119</v>
      </c>
      <c r="H157" s="1361"/>
      <c r="I157" s="562" t="s">
        <v>1664</v>
      </c>
      <c r="J157" s="562"/>
      <c r="K157" s="562"/>
      <c r="L157" s="562"/>
      <c r="M157" s="562"/>
      <c r="N157" s="562"/>
      <c r="O157" s="562"/>
      <c r="P157" s="562"/>
      <c r="Q157" s="562"/>
      <c r="R157" s="562"/>
      <c r="S157" s="562"/>
      <c r="T157" s="438" cm="1" t="str">
        <f t="array" ref="T157:T157">T156</f>
        <v>true</v>
      </c>
      <c r="U157" s="1361"/>
      <c r="V157" s="1361"/>
      <c r="W157" s="1361"/>
      <c r="X157" s="1586"/>
      <c r="Y157" s="1361"/>
      <c r="Z157" s="1587"/>
      <c r="AA157" s="1361"/>
      <c r="AB157" s="783" t="s">
        <v>1665</v>
      </c>
      <c r="AC157" s="738" t="s">
        <v>1120</v>
      </c>
      <c r="AD157" s="790" t="s">
        <v>789</v>
      </c>
      <c r="AE157" s="778">
        <f>_xlfn.SUMIFS(Административные!AE$25:AE$65,Административные!$F$25:$F$65,$F157,Административные!$G$25:$G$65,$G157)</f>
        <v>0</v>
      </c>
      <c r="AF157" s="778">
        <f>_xlfn.SUMIFS(Административные!AF$25:AF$65,Административные!$F$25:$F$65,$F157,Административные!$G$25:$G$65,$G157)</f>
        <v>0</v>
      </c>
      <c r="AG157" s="778">
        <f>_xlfn.SUMIFS(Административные!AG$25:AG$65,Административные!$F$25:$F$65,$F157,Административные!$G$25:$G$65,$G157)</f>
        <v>0</v>
      </c>
      <c r="AH157" s="778">
        <f>AG157-AF157</f>
        <v>0</v>
      </c>
      <c r="AI157" s="778">
        <f>_xlfn.SUMIFS(Административные!AH$25:AH$65,Административные!$F$25:$F$65,$F157,Административные!$G$25:$G$65,$G157)</f>
        <v>0</v>
      </c>
      <c r="AJ157" s="778">
        <f>_xlfn.SUMIFS(Административные!AI$25:AI$65,Административные!$F$25:$F$65,$F157,Административные!$G$25:$G$65,$G157)</f>
        <v>0</v>
      </c>
      <c r="AK157" s="778">
        <f>_xlfn.SUMIFS(Административные!AJ$25:AJ$65,Административные!$F$25:$F$65,$F157,Административные!$G$25:$G$65,$G157)</f>
        <v>0</v>
      </c>
      <c r="AL157" s="778">
        <f>IF(AI157=0,0,(AK157-AI157)/AI157*100)</f>
        <v>0</v>
      </c>
      <c r="AM157" s="779"/>
      <c r="AN157" s="886" t="str">
        <f>IF(_xlfn.IFERROR(INDEX(Административные!$K$26:$L$65,MATCH($F157&amp;"8komm",Административные!$K$26:$K$65,0),2),"")=0,"",_xlfn.IFERROR(INDEX(Административные!$K$26:$L$65,MATCH($F152&amp;"8komm",Административные!$K$26:$K$65,0),2),""))</f>
        <v/>
      </c>
      <c r="AO157" s="779"/>
      <c r="AP157" s="1361"/>
      <c r="AQ157" s="1361"/>
      <c r="AR157" s="1039" t="s">
        <v>1666</v>
      </c>
      <c r="AS157" s="1039"/>
      <c r="AT157" s="1039"/>
      <c r="AU157" s="1036"/>
      <c r="AV157" s="1036"/>
    </row>
    <row s="1624" customFormat="1" customHeight="1" ht="14.25">
      <c r="A158" s="1361"/>
      <c r="B158" s="1361"/>
      <c r="C158" s="1361"/>
      <c r="D158" s="1361"/>
      <c r="E158" s="671">
        <v>15</v>
      </c>
      <c r="F158" s="50" cm="1" t="str">
        <f t="array" ref="F158:F158">OFFSET(E158,-1,1)</f>
        <v>1</v>
      </c>
      <c r="G158" s="552" t="s">
        <v>1122</v>
      </c>
      <c r="H158" s="1361"/>
      <c r="I158" s="562" t="s">
        <v>1667</v>
      </c>
      <c r="J158" s="562"/>
      <c r="K158" s="562"/>
      <c r="L158" s="562"/>
      <c r="M158" s="562"/>
      <c r="N158" s="562"/>
      <c r="O158" s="562"/>
      <c r="P158" s="562"/>
      <c r="Q158" s="562"/>
      <c r="R158" s="562"/>
      <c r="S158" s="562"/>
      <c r="T158" s="438" cm="1" t="str">
        <f t="array" ref="T158:T158">T157</f>
        <v>true</v>
      </c>
      <c r="U158" s="1361"/>
      <c r="V158" s="1361"/>
      <c r="W158" s="1361"/>
      <c r="X158" s="1586"/>
      <c r="Y158" s="1361"/>
      <c r="Z158" s="1587"/>
      <c r="AA158" s="1361"/>
      <c r="AB158" s="783" t="s">
        <v>1668</v>
      </c>
      <c r="AC158" s="784" t="s">
        <v>1123</v>
      </c>
      <c r="AD158" s="790" t="s">
        <v>789</v>
      </c>
      <c r="AE158" s="778">
        <f>_xlfn.SUMIFS(Административные!AE$25:AE$65,Административные!$F$25:$F$65,$F158,Административные!$G$25:$G$65,$G158)</f>
        <v>0</v>
      </c>
      <c r="AF158" s="778">
        <f>_xlfn.SUMIFS(Административные!AF$25:AF$65,Административные!$F$25:$F$65,$F158,Административные!$G$25:$G$65,$G158)</f>
        <v>0</v>
      </c>
      <c r="AG158" s="778">
        <f>_xlfn.SUMIFS(Административные!AG$25:AG$65,Административные!$F$25:$F$65,$F158,Административные!$G$25:$G$65,$G158)</f>
        <v>0</v>
      </c>
      <c r="AH158" s="778">
        <f>AG158-AF158</f>
        <v>0</v>
      </c>
      <c r="AI158" s="778">
        <f>_xlfn.SUMIFS(Административные!AH$25:AH$65,Административные!$F$25:$F$65,$F158,Административные!$G$25:$G$65,$G158)</f>
        <v>0</v>
      </c>
      <c r="AJ158" s="1094">
        <f>_xlfn.SUMIFS(Административные!AI$25:AI$65,Административные!$F$25:$F$65,$F158,Административные!$G$25:$G$65,$G158)</f>
        <v>0</v>
      </c>
      <c r="AK158" s="1094">
        <f>_xlfn.SUMIFS(Административные!AJ$25:AJ$65,Административные!$F$25:$F$65,$F158,Административные!$G$25:$G$65,$G158)</f>
        <v>0</v>
      </c>
      <c r="AL158" s="778">
        <f>IF(AI158=0,0,(AK158-AI158)/AI158*100)</f>
        <v>0</v>
      </c>
      <c r="AM158" s="779"/>
      <c r="AN158" s="886" t="str">
        <f>IF(_xlfn.IFERROR(INDEX(Административные!$K$26:$L$65,MATCH($F158&amp;"9komm",Административные!$K$26:$K$65,0),2),"")=0,"",_xlfn.IFERROR(INDEX(Административные!$K$26:$L$65,MATCH($F153&amp;"9komm",Административные!$K$26:$K$65,0),2),""))</f>
        <v/>
      </c>
      <c r="AO158" s="779"/>
      <c r="AP158" s="1361"/>
      <c r="AQ158" s="1361"/>
      <c r="AR158" s="1039" t="s">
        <v>1669</v>
      </c>
      <c r="AS158" s="1039"/>
      <c r="AT158" s="1039"/>
      <c r="AU158" s="1036"/>
      <c r="AV158" s="1036"/>
    </row>
    <row s="3517" customFormat="1" customHeight="1" ht="14.25" hidden="1">
      <c r="A159" s="563"/>
      <c r="B159" s="563">
        <f>STATUS_GO="да"</f>
        <v>0</v>
      </c>
      <c r="C159" s="563"/>
      <c r="D159" s="563"/>
      <c r="E159" s="673">
        <v>15</v>
      </c>
      <c r="F159" s="50" cm="1" t="str">
        <f t="array" ref="F159:F159">OFFSET(E159,-1,1)</f>
        <v>1</v>
      </c>
      <c r="G159" s="563"/>
      <c r="H159" s="563"/>
      <c r="I159" s="674" t="s">
        <v>325</v>
      </c>
      <c r="J159" s="674"/>
      <c r="K159" s="674"/>
      <c r="L159" s="674"/>
      <c r="M159" s="674"/>
      <c r="N159" s="674"/>
      <c r="O159" s="674"/>
      <c r="P159" s="674"/>
      <c r="Q159" s="674"/>
      <c r="R159" s="674"/>
      <c r="S159" s="674"/>
      <c r="T159" s="438" cm="1" t="str">
        <f t="array" ref="T159:T159">T158</f>
        <v>true</v>
      </c>
      <c r="U159" s="563"/>
      <c r="V159" s="563"/>
      <c r="W159" s="563"/>
      <c r="X159" s="1586"/>
      <c r="Y159" s="563"/>
      <c r="Z159" s="1587"/>
      <c r="AA159" s="563"/>
      <c r="AB159" s="780" t="s">
        <v>530</v>
      </c>
      <c r="AC159" s="776" t="s">
        <v>1670</v>
      </c>
      <c r="AD159" s="788" t="s">
        <v>789</v>
      </c>
      <c r="AE159" s="777">
        <f>_xlfn.SUMIFS('Сбытовые расходы ГО'!AE$25:AE$51,'Сбытовые расходы ГО'!$F$25:$F$51,$F159,'Сбытовые расходы ГО'!$G$25:$G$51,"l0")</f>
        <v>0</v>
      </c>
      <c r="AF159" s="777">
        <f>_xlfn.SUMIFS('Сбытовые расходы ГО'!AF$25:AF$51,'Сбытовые расходы ГО'!$F$25:$F$51,$F159,'Сбытовые расходы ГО'!$G$25:$G$51,"l0")</f>
        <v>0</v>
      </c>
      <c r="AG159" s="777">
        <f>_xlfn.SUMIFS('Сбытовые расходы ГО'!AG$25:AG$51,'Сбытовые расходы ГО'!$F$25:$F$51,$F159,'Сбытовые расходы ГО'!$G$25:$G$51,"l0")</f>
        <v>0</v>
      </c>
      <c r="AH159" s="777">
        <f>AG159-AF159</f>
        <v>0</v>
      </c>
      <c r="AI159" s="777">
        <f>_xlfn.SUMIFS('Сбытовые расходы ГО'!AH$25:AH$51,'Сбытовые расходы ГО'!$F$25:$F$51,$F159,'Сбытовые расходы ГО'!$G$25:$G$51,"l0")</f>
        <v>0</v>
      </c>
      <c r="AJ159" s="777">
        <f>_xlfn.SUMIFS('Сбытовые расходы ГО'!AI$25:AI$51,'Сбытовые расходы ГО'!$F$25:$F$51,$F159,'Сбытовые расходы ГО'!$G$25:$G$51,"l0")</f>
        <v>0</v>
      </c>
      <c r="AK159" s="777">
        <f>_xlfn.SUMIFS('Сбытовые расходы ГО'!AJ$25:AJ$51,'Сбытовые расходы ГО'!$F$25:$F$51,$F159,'Сбытовые расходы ГО'!$G$25:$G$51,"l0")</f>
        <v>0</v>
      </c>
      <c r="AL159" s="777">
        <f>IF(AI159=0,0,(AK159-AI159)/AI159*100)</f>
        <v>0</v>
      </c>
      <c r="AM159" s="3438"/>
      <c r="AN159" s="3431"/>
      <c r="AO159" s="3438"/>
      <c r="AP159" s="563"/>
      <c r="AQ159" s="563"/>
      <c r="AR159" s="1040" t="s">
        <v>1671</v>
      </c>
      <c r="AS159" s="1040"/>
      <c r="AT159" s="1040"/>
      <c r="AU159" s="673"/>
      <c r="AV159" s="673"/>
    </row>
    <row s="3518" customFormat="1" customHeight="1" ht="14.25">
      <c r="A160" s="563"/>
      <c r="B160" s="563"/>
      <c r="C160" s="563"/>
      <c r="D160" s="563"/>
      <c r="E160" s="673">
        <v>15</v>
      </c>
      <c r="F160" s="50" cm="1" t="str">
        <f t="array" ref="F160:F160">OFFSET(E160,-1,1)</f>
        <v>1</v>
      </c>
      <c r="G160" s="563"/>
      <c r="H160" s="563"/>
      <c r="I160" s="674" t="s">
        <v>324</v>
      </c>
      <c r="J160" s="674"/>
      <c r="K160" s="674"/>
      <c r="L160" s="674"/>
      <c r="M160" s="674"/>
      <c r="N160" s="674"/>
      <c r="O160" s="674"/>
      <c r="P160" s="674"/>
      <c r="Q160" s="674"/>
      <c r="R160" s="674"/>
      <c r="S160" s="674"/>
      <c r="T160" s="438" cm="1" t="str">
        <f t="array" ref="T160:T160">T159</f>
        <v>true</v>
      </c>
      <c r="U160" s="563"/>
      <c r="V160" s="563"/>
      <c r="W160" s="563"/>
      <c r="X160" s="1586"/>
      <c r="Y160" s="563"/>
      <c r="Z160" s="1587"/>
      <c r="AA160" s="563"/>
      <c r="AB160" s="780" t="s">
        <v>485</v>
      </c>
      <c r="AC160" s="564" t="s">
        <v>1672</v>
      </c>
      <c r="AD160" s="788" t="s">
        <v>789</v>
      </c>
      <c r="AE160" s="777">
        <f>_xlfn.SUMIFS(Амортизация!AE$25:AE$125,Амортизация!$F$25:$F$125,$F160,Амортизация!$AC$25:$AC$125,"Сумма амортизационных отчислений")</f>
        <v>0</v>
      </c>
      <c r="AF160" s="777">
        <f>_xlfn.SUMIFS(Амортизация!AF$25:AF$125,Амортизация!$F$25:$F$125,$F160,Амортизация!$AC$25:$AC$125,"Сумма амортизационных отчислений")</f>
        <v>0</v>
      </c>
      <c r="AG160" s="777">
        <f>_xlfn.SUMIFS(Амортизация!AG$25:AG$125,Амортизация!$F$25:$F$125,$F160,Амортизация!$AC$25:$AC$125,"Сумма амортизационных отчислений")</f>
        <v>0</v>
      </c>
      <c r="AH160" s="777">
        <f>AG160-AF160</f>
        <v>0</v>
      </c>
      <c r="AI160" s="777">
        <f>_xlfn.SUMIFS(Амортизация!AH$25:AH$125,Амортизация!$F$25:$F$125,$F160,Амортизация!$AC$25:$AC$125,"Сумма амортизационных отчислений")</f>
        <v>0</v>
      </c>
      <c r="AJ160" s="777">
        <f>_xlfn.SUMIFS(Амортизация!AI$25:AI$125,Амортизация!$F$25:$F$125,$F160,Амортизация!$AC$25:$AC$125,"Сумма амортизационных отчислений")</f>
        <v>0</v>
      </c>
      <c r="AK160" s="777">
        <f>_xlfn.SUMIFS(Амортизация!AS$25:AS$125,Амортизация!$F$25:$F$125,$F160,Амортизация!$AC$25:$AC$125,"Сумма амортизационных отчислений")</f>
        <v>0</v>
      </c>
      <c r="AL160" s="777">
        <f>IF(AI160=0,0,(AK160-AI160)/AI160*100)</f>
        <v>0</v>
      </c>
      <c r="AM160" s="782"/>
      <c r="AN160" s="886" t="str">
        <f>IF(_xlfn.IFERROR(INDEX(Амортизация!$K$26:$L$125,MATCH($F160&amp;"komm",Амортизация!$K$26:$K$525,0),2),"")=0,"",_xlfn.IFERROR(INDEX(Амортизация!$K$26:$L$125,MATCH($F160&amp;"komm",Амортизация!$K$26:$K$525,0),2),""))</f>
        <v/>
      </c>
      <c r="AO160" s="782"/>
      <c r="AP160" s="563"/>
      <c r="AQ160" s="563"/>
      <c r="AR160" s="1040" t="s">
        <v>1118</v>
      </c>
      <c r="AS160" s="1040"/>
      <c r="AT160" s="1040"/>
      <c r="AU160" s="673"/>
      <c r="AV160" s="673"/>
    </row>
    <row s="1624" customFormat="1" customHeight="1" ht="14.25">
      <c r="A161" s="1361"/>
      <c r="B161" s="1361"/>
      <c r="C161" s="1361"/>
      <c r="D161" s="1361"/>
      <c r="E161" s="671">
        <v>15</v>
      </c>
      <c r="F161" s="50" cm="1" t="str">
        <f t="array" ref="F161:F161">OFFSET(E161,-1,1)</f>
        <v>1</v>
      </c>
      <c r="G161" s="1361"/>
      <c r="H161" s="1361"/>
      <c r="I161" s="562" t="s">
        <v>522</v>
      </c>
      <c r="J161" s="562"/>
      <c r="K161" s="562"/>
      <c r="L161" s="562"/>
      <c r="M161" s="562"/>
      <c r="N161" s="562"/>
      <c r="O161" s="562"/>
      <c r="P161" s="562"/>
      <c r="Q161" s="562"/>
      <c r="R161" s="562"/>
      <c r="S161" s="562"/>
      <c r="T161" s="438" cm="1" t="str">
        <f t="array" ref="T161:T161">T160</f>
        <v>true</v>
      </c>
      <c r="U161" s="1361"/>
      <c r="V161" s="1361"/>
      <c r="W161" s="1361"/>
      <c r="X161" s="1586"/>
      <c r="Y161" s="1361"/>
      <c r="Z161" s="1587"/>
      <c r="AA161" s="1361"/>
      <c r="AB161" s="783" t="s">
        <v>653</v>
      </c>
      <c r="AC161" s="789" t="s">
        <v>1673</v>
      </c>
      <c r="AD161" s="790" t="s">
        <v>789</v>
      </c>
      <c r="AE161" s="785">
        <f>_xlfn.SUMIFS('ИП + источники'!AF$27:AF$87,'ИП + источники'!$F$27:$F$87,$F161,'ИП + источники'!$AC$27:$AC$87,"Амортизационные отчисления")+_xlfn.SUMIFS('ИП + источники'!AF$27:AF$87,'ИП + источники'!$F$27:$F$87,$F161,'ИП + источники'!$AC$27:$AC$87,"погашение займов и кредитов из амортизации")</f>
        <v>0</v>
      </c>
      <c r="AF161" s="785">
        <f>_xlfn.SUMIFS('ИП + источники'!AG$27:AG$87,'ИП + источники'!$F$27:$F$87,$F161,'ИП + источники'!$AC$27:$AC$87,"Амортизационные отчисления")+_xlfn.SUMIFS('ИП + источники'!AG$27:AG$87,'ИП + источники'!$F$27:$F$87,$F161,'ИП + источники'!$AC$27:$AC$87,"погашение займов и кредитов из амортизации")</f>
        <v>0</v>
      </c>
      <c r="AG161" s="785">
        <f>_xlfn.SUMIFS('ИП + источники'!AH$27:AH$87,'ИП + источники'!$F$27:$F$87,$F161,'ИП + источники'!$AC$27:$AC$87,"Амортизационные отчисления")+_xlfn.SUMIFS('ИП + источники'!AH$27:AH$87,'ИП + источники'!$F$27:$F$87,$F161,'ИП + источники'!$AC$27:$AC$87,"погашение займов и кредитов из амортизации")</f>
        <v>0</v>
      </c>
      <c r="AH161" s="778">
        <f>AG161-AF161</f>
        <v>0</v>
      </c>
      <c r="AI161" s="785">
        <f>_xlfn.SUMIFS('ИП + источники'!AH$27:AH$87,'ИП + источники'!$F$27:$F$87,$F161,'ИП + источники'!$AC$27:$AC$87,"Амортизационные отчисления")+_xlfn.SUMIFS('ИП + источники'!AH$27:AH$87,'ИП + источники'!$F$27:$F$87,$F161,'ИП + источники'!$AC$27:$AC$87,"погашение займов и кредитов из амортизации")</f>
        <v>0</v>
      </c>
      <c r="AJ161" s="785">
        <f>_xlfn.SUMIFS('ИП + источники'!AI$27:AI$87,'ИП + источники'!$F$27:$F$87,$F161,'ИП + источники'!$AC$27:$AC$87,"Амортизационные отчисления")+_xlfn.SUMIFS('ИП + источники'!AI$27:AI$87,'ИП + источники'!$F$27:$F$87,$F161,'ИП + источники'!$AC$27:$AC$87,"погашение займов и кредитов из амортизации")</f>
        <v>0</v>
      </c>
      <c r="AK161" s="785">
        <f>_xlfn.SUMIFS('ИП + источники'!AJ$27:AJ$87,'ИП + источники'!$F$27:$F$87,$F161,'ИП + источники'!$AC$27:$AC$87,"Амортизационные отчисления")+_xlfn.SUMIFS('ИП + источники'!AJ$27:AJ$87,'ИП + источники'!$F$27:$F$87,$F161,'ИП + источники'!$AC$27:$AC$87,"погашение займов и кредитов из амортизации")</f>
        <v>0</v>
      </c>
      <c r="AL161" s="778">
        <f>IF(AI161=0,0,(AK161-AI161)/AI161*100)</f>
        <v>0</v>
      </c>
      <c r="AM161" s="779"/>
      <c r="AN161" s="779"/>
      <c r="AO161" s="779"/>
      <c r="AP161" s="1361"/>
      <c r="AQ161" s="1361"/>
      <c r="AR161" s="1039" t="s">
        <v>1674</v>
      </c>
      <c r="AS161" s="1039"/>
      <c r="AT161" s="1039"/>
      <c r="AU161" s="1036"/>
      <c r="AV161" s="1036"/>
    </row>
    <row s="3519" customFormat="1" customHeight="1" ht="21.75">
      <c r="A162" s="563"/>
      <c r="B162" s="563"/>
      <c r="C162" s="563"/>
      <c r="D162" s="563"/>
      <c r="E162" s="673">
        <v>22.5</v>
      </c>
      <c r="F162" s="50" cm="1" t="str">
        <f t="array" ref="F162:F162">OFFSET(E162,-1,1)</f>
        <v>1</v>
      </c>
      <c r="G162" s="563"/>
      <c r="H162" s="563"/>
      <c r="I162" s="674" t="s">
        <v>484</v>
      </c>
      <c r="J162" s="674"/>
      <c r="K162" s="674"/>
      <c r="L162" s="674"/>
      <c r="M162" s="674"/>
      <c r="N162" s="674"/>
      <c r="O162" s="674"/>
      <c r="P162" s="674"/>
      <c r="Q162" s="674"/>
      <c r="R162" s="674"/>
      <c r="S162" s="674"/>
      <c r="T162" s="438" cm="1" t="str">
        <f t="array" ref="T162:T162">T161</f>
        <v>true</v>
      </c>
      <c r="U162" s="563"/>
      <c r="V162" s="563"/>
      <c r="W162" s="563"/>
      <c r="X162" s="1586"/>
      <c r="Y162" s="563"/>
      <c r="Z162" s="1587"/>
      <c r="AA162" s="563"/>
      <c r="AB162" s="780" t="s">
        <v>489</v>
      </c>
      <c r="AC162" s="564" t="s">
        <v>1675</v>
      </c>
      <c r="AD162" s="788" t="s">
        <v>789</v>
      </c>
      <c r="AE162" s="777">
        <f>_xlfn.SUMIFS(Аренда!AE$25:AE$47,Аренда!$F$25:$F$47,$F162,Аренда!$G$25:$G$47,"Арендная и концессионная плата, лизинговые платежи")</f>
        <v>0</v>
      </c>
      <c r="AF162" s="777">
        <f>_xlfn.SUMIFS(Аренда!AF$25:AF$47,Аренда!$F$25:$F$47,$F162,Аренда!$G$25:$G$47,"Арендная и концессионная плата, лизинговые платежи")</f>
        <v>0</v>
      </c>
      <c r="AG162" s="777">
        <f>_xlfn.SUMIFS(Аренда!AG$25:AG$47,Аренда!$F$25:$F$47,$F162,Аренда!$G$25:$G$47,"Арендная и концессионная плата, лизинговые платежи")</f>
        <v>0</v>
      </c>
      <c r="AH162" s="777">
        <f>AG162-AF162</f>
        <v>0</v>
      </c>
      <c r="AI162" s="777">
        <f>_xlfn.SUMIFS(Аренда!AH$25:AH$47,Аренда!$F$25:$F$47,$F162,Аренда!$G$25:$G$47,"Арендная и концессионная плата, лизинговые платежи")</f>
        <v>0</v>
      </c>
      <c r="AJ162" s="777">
        <f>_xlfn.SUMIFS(Аренда!AI$25:AI$47,Аренда!$F$25:$F$47,$F162,Аренда!$G$25:$G$47,"Арендная и концессионная плата, лизинговые платежи")</f>
        <v>0</v>
      </c>
      <c r="AK162" s="777">
        <f>_xlfn.SUMIFS(Аренда!AS$25:AS$47,Аренда!$F$25:$F$47,$F162,Аренда!$G$25:$G$47,"Арендная и концессионная плата, лизинговые платежи")</f>
        <v>0</v>
      </c>
      <c r="AL162" s="777">
        <f>IF(AI162=0,0,(AK162-AI162)/AI162*100)</f>
        <v>0</v>
      </c>
      <c r="AM162" s="782"/>
      <c r="AN162" s="886" t="str">
        <f>IF(_xlfn.IFERROR(INDEX(Аренда!$K$26:$L$47,MATCH($F162&amp;"komm",Аренда!$K$26:$K$47,0),2),"")=0,"",_xlfn.IFERROR(INDEX(Аренда!$K$26:$L$47,MATCH($F162&amp;"komm",Аренда!$K$26:$K$47,0),2),""))</f>
        <v/>
      </c>
      <c r="AO162" s="782"/>
      <c r="AP162" s="563"/>
      <c r="AQ162" s="563"/>
      <c r="AR162" s="1040" t="s">
        <v>1676</v>
      </c>
      <c r="AS162" s="1040"/>
      <c r="AT162" s="1040"/>
      <c r="AU162" s="673"/>
      <c r="AV162" s="673"/>
    </row>
    <row s="3520" customFormat="1" customHeight="1" ht="14.25">
      <c r="A163" s="563"/>
      <c r="B163" s="563"/>
      <c r="C163" s="563"/>
      <c r="D163" s="563"/>
      <c r="E163" s="673">
        <v>15</v>
      </c>
      <c r="F163" s="50" cm="1" t="str">
        <f t="array" ref="F163:F163">OFFSET(E163,-1,1)</f>
        <v>1</v>
      </c>
      <c r="G163" s="563"/>
      <c r="H163" s="563"/>
      <c r="I163" s="674" t="s">
        <v>488</v>
      </c>
      <c r="J163" s="674"/>
      <c r="K163" s="674"/>
      <c r="L163" s="674"/>
      <c r="M163" s="674"/>
      <c r="N163" s="674"/>
      <c r="O163" s="674"/>
      <c r="P163" s="674"/>
      <c r="Q163" s="674"/>
      <c r="R163" s="674"/>
      <c r="S163" s="674"/>
      <c r="T163" s="438" cm="1" t="str">
        <f t="array" ref="T163:T163">T162</f>
        <v>true</v>
      </c>
      <c r="U163" s="563"/>
      <c r="V163" s="563"/>
      <c r="W163" s="563"/>
      <c r="X163" s="1586"/>
      <c r="Y163" s="563"/>
      <c r="Z163" s="1587"/>
      <c r="AA163" s="563"/>
      <c r="AB163" s="780" t="s">
        <v>551</v>
      </c>
      <c r="AC163" s="564" t="s">
        <v>1677</v>
      </c>
      <c r="AD163" s="788" t="s">
        <v>789</v>
      </c>
      <c r="AE163" s="777">
        <f>_xlfn.SUMIFS(Налоги!AE$25:AE$55,Налоги!$F$25:$F$55,$F163,Налоги!$AC$25:$AC$55,"Налоги и платежи, относимые на указанный вид деятельности")</f>
        <v>0</v>
      </c>
      <c r="AF163" s="777">
        <f>_xlfn.SUMIFS(Налоги!AF$25:AF$55,Налоги!$F$25:$F$55,$F163,Налоги!$AC$25:$AC$55,"Налоги и платежи, относимые на указанный вид деятельности")</f>
        <v>0</v>
      </c>
      <c r="AG163" s="777">
        <f>_xlfn.SUMIFS(Налоги!AG$25:AG$55,Налоги!$F$25:$F$55,$F163,Налоги!$AC$25:$AC$55,"Налоги и платежи, относимые на указанный вид деятельности")</f>
        <v>0</v>
      </c>
      <c r="AH163" s="777">
        <f>AG163-AF163</f>
        <v>0</v>
      </c>
      <c r="AI163" s="777">
        <f>_xlfn.SUMIFS(Налоги!AH$25:AH$55,Налоги!$F$25:$F$55,$F163,Налоги!$AC$25:$AC$55,"Налоги и платежи, относимые на указанный вид деятельности")</f>
        <v>0</v>
      </c>
      <c r="AJ163" s="777">
        <f>_xlfn.SUMIFS(Налоги!AI$25:AI$55,Налоги!$F$25:$F$55,$F163,Налоги!$AC$25:$AC$55,"Налоги и платежи, относимые на указанный вид деятельности")</f>
        <v>0</v>
      </c>
      <c r="AK163" s="777">
        <f>_xlfn.SUMIFS(Налоги!AS$25:AS$55,Налоги!$F$25:$F$55,$F163,Налоги!$AC$25:$AC$55,"Налоги и платежи, относимые на указанный вид деятельности")</f>
        <v>0</v>
      </c>
      <c r="AL163" s="777">
        <f>IF(AI163=0,0,(AK163-AI163)/AI163*100)</f>
        <v>0</v>
      </c>
      <c r="AM163" s="782"/>
      <c r="AN163" s="886" t="str">
        <f>IF(_xlfn.IFERROR(INDEX(Налоги!$K$26:$L$55,MATCH($F163&amp;"komm",Налоги!$K$26:$K$55,0),2),"")=0,"",_xlfn.IFERROR(INDEX(Налоги!$K$26:$L$55,MATCH($F163&amp;"komm",Налоги!$K$26:$K$55,0),2),""))</f>
        <v/>
      </c>
      <c r="AO163" s="782"/>
      <c r="AP163" s="563"/>
      <c r="AQ163" s="563"/>
      <c r="AR163" s="1040" t="s">
        <v>1146</v>
      </c>
      <c r="AS163" s="1040"/>
      <c r="AT163" s="1040"/>
      <c r="AU163" s="673"/>
      <c r="AV163" s="673"/>
    </row>
    <row s="3521" customFormat="1" customHeight="1" ht="14.25">
      <c r="A164" s="563"/>
      <c r="B164" s="563"/>
      <c r="C164" s="563"/>
      <c r="D164" s="563"/>
      <c r="E164" s="673">
        <v>15</v>
      </c>
      <c r="F164" s="50" cm="1" t="str">
        <f t="array" ref="F164:F164">OFFSET(E164,-1,1)</f>
        <v>1</v>
      </c>
      <c r="G164" s="563"/>
      <c r="H164" s="563"/>
      <c r="I164" s="674" t="s">
        <v>535</v>
      </c>
      <c r="J164" s="674"/>
      <c r="K164" s="674"/>
      <c r="L164" s="674"/>
      <c r="M164" s="674"/>
      <c r="N164" s="674"/>
      <c r="O164" s="674"/>
      <c r="P164" s="674"/>
      <c r="Q164" s="674"/>
      <c r="R164" s="674"/>
      <c r="S164" s="674"/>
      <c r="T164" s="438" cm="1" t="str">
        <f t="array" ref="T164:T164">T163</f>
        <v>true</v>
      </c>
      <c r="U164" s="563"/>
      <c r="V164" s="563"/>
      <c r="W164" s="563"/>
      <c r="X164" s="1586"/>
      <c r="Y164" s="563"/>
      <c r="Z164" s="1587"/>
      <c r="AA164" s="563"/>
      <c r="AB164" s="780" t="s">
        <v>559</v>
      </c>
      <c r="AC164" s="564" t="s">
        <v>1678</v>
      </c>
      <c r="AD164" s="565" t="s">
        <v>789</v>
      </c>
      <c r="AE164" s="764">
        <f>AE165+AE166+AE167</f>
        <v>0</v>
      </c>
      <c r="AF164" s="764">
        <f>AF165+AF166+AF167</f>
        <v>0</v>
      </c>
      <c r="AG164" s="764">
        <f>AG165+AG166+AG167</f>
        <v>0</v>
      </c>
      <c r="AH164" s="764">
        <f>AG164-AF164</f>
        <v>0</v>
      </c>
      <c r="AI164" s="764">
        <f>AI165+AI166+AI167</f>
        <v>0</v>
      </c>
      <c r="AJ164" s="764">
        <f>AJ165+AJ166+AJ167</f>
        <v>0</v>
      </c>
      <c r="AK164" s="764">
        <f>AK165+AK166+AK167</f>
        <v>0</v>
      </c>
      <c r="AL164" s="777">
        <f>IF(AI164=0,0,(AK164-AI164)/AI164*100)</f>
        <v>0</v>
      </c>
      <c r="AM164" s="782"/>
      <c r="AN164" s="886"/>
      <c r="AO164" s="782"/>
      <c r="AP164" s="563"/>
      <c r="AQ164" s="563"/>
      <c r="AR164" s="1040" t="s">
        <v>1381</v>
      </c>
      <c r="AS164" s="1040"/>
      <c r="AT164" s="1040"/>
      <c r="AU164" s="673"/>
      <c r="AV164" s="673"/>
    </row>
    <row s="1624" customFormat="1" customHeight="1" ht="14.25">
      <c r="A165" s="1361"/>
      <c r="B165" s="1361"/>
      <c r="C165" s="1361"/>
      <c r="D165" s="1361"/>
      <c r="E165" s="671">
        <v>15</v>
      </c>
      <c r="F165" s="50" cm="1" t="str">
        <f t="array" ref="F165:F165">OFFSET(E165,-1,1)</f>
        <v>1</v>
      </c>
      <c r="G165" s="1361"/>
      <c r="H165" s="1361"/>
      <c r="I165" s="562" t="s">
        <v>538</v>
      </c>
      <c r="J165" s="562"/>
      <c r="K165" s="562"/>
      <c r="L165" s="562"/>
      <c r="M165" s="562"/>
      <c r="N165" s="562"/>
      <c r="O165" s="562"/>
      <c r="P165" s="562"/>
      <c r="Q165" s="562"/>
      <c r="R165" s="562"/>
      <c r="S165" s="562"/>
      <c r="T165" s="438" cm="1" t="str">
        <f t="array" ref="T165:T165">T164</f>
        <v>true</v>
      </c>
      <c r="U165" s="1361"/>
      <c r="V165" s="1361"/>
      <c r="W165" s="1361"/>
      <c r="X165" s="1586"/>
      <c r="Y165" s="1361"/>
      <c r="Z165" s="1587"/>
      <c r="AA165" s="1361"/>
      <c r="AB165" s="783" t="s">
        <v>563</v>
      </c>
      <c r="AC165" s="789" t="s">
        <v>1679</v>
      </c>
      <c r="AD165" s="790" t="s">
        <v>789</v>
      </c>
      <c r="AE165" s="785">
        <f>_xlfn.SUMIFS('ИП + источники'!AF$26:AF$87,'ИП + источники'!$F$26:$F$87,$F165,'ИП + источники'!$AC$26:$AC$87,"погашение займов и кредитов из нормативной прибыли")+_xlfn.SUMIFS('ИП + источники'!AF$26:AF$87,'ИП + источники'!$F$26:$F$87,$F165,'ИП + источники'!$AC$26:$AC$87,"уплата процентов по кредитам из нормативной прибыли")</f>
        <v>0</v>
      </c>
      <c r="AF165" s="785">
        <f>_xlfn.SUMIFS('ИП + источники'!AG$26:AG$87,'ИП + источники'!$F$26:$F$87,$F165,'ИП + источники'!$AC$26:$AC$87,"погашение займов и кредитов из нормативной прибыли")+_xlfn.SUMIFS('ИП + источники'!AG$26:AG$87,'ИП + источники'!$F$26:$F$87,$F165,'ИП + источники'!$AC$26:$AC$87,"уплата процентов по кредитам из нормативной прибыли")</f>
        <v>0</v>
      </c>
      <c r="AG165" s="785">
        <f>_xlfn.SUMIFS('ИП + источники'!AH$26:AH$87,'ИП + источники'!$F$26:$F$87,$F165,'ИП + источники'!$AC$26:$AC$87,"погашение займов и кредитов из нормативной прибыли")+_xlfn.SUMIFS('ИП + источники'!AH$26:AH$87,'ИП + источники'!$F$26:$F$87,$F165,'ИП + источники'!$AC$26:$AC$87,"уплата процентов по кредитам из нормативной прибыли")</f>
        <v>0</v>
      </c>
      <c r="AH165" s="778">
        <f>AG165-AF165</f>
        <v>0</v>
      </c>
      <c r="AI165" s="785">
        <f>_xlfn.SUMIFS('ИП + источники'!AJ$26:AJ$87,'ИП + источники'!$F$26:$F$87,$F165,'ИП + источники'!$AC$26:$AC$87,"погашение займов и кредитов из нормативной прибыли")+_xlfn.SUMIFS('ИП + источники'!AJ$26:AJ$87,'ИП + источники'!$F$26:$F$87,$F165,'ИП + источники'!$AC$26:$AC$87,"уплата процентов по кредитам из нормативной прибыли")</f>
        <v>0</v>
      </c>
      <c r="AJ165" s="785">
        <f>_xlfn.SUMIFS('ИП + источники'!AK$26:AK$87,'ИП + источники'!$F$26:$F$87,$F165,'ИП + источники'!$AC$26:$AC$87,"погашение займов и кредитов из нормативной прибыли")+_xlfn.SUMIFS('ИП + источники'!AK$26:AK$87,'ИП + источники'!$F$26:$F$87,$F165,'ИП + источники'!$AC$26:$AC$87,"уплата процентов по кредитам из нормативной прибыли")</f>
        <v>0</v>
      </c>
      <c r="AK165" s="785">
        <f>_xlfn.SUMIFS('ИП + источники'!AU$26:AU$87,'ИП + источники'!$F$26:$F$87,$F165,'ИП + источники'!$AC$26:$AC$87,"погашение займов и кредитов из нормативной прибыли")+_xlfn.SUMIFS('ИП + источники'!AU$26:AU$87,'ИП + источники'!$F$26:$F$87,$F165,'ИП + источники'!$AC$26:$AC$87,"уплата процентов по кредитам из нормативной прибыли")</f>
        <v>0</v>
      </c>
      <c r="AL165" s="778">
        <f>IF(AI165=0,0,(AK165-AI165)/AI165*100)</f>
        <v>0</v>
      </c>
      <c r="AM165" s="779"/>
      <c r="AN165" s="886" t="str">
        <f>IF(_xlfn.IFERROR(INDEX('ИП + источники'!$K$28:$L$87,MATCH($F165&amp;"1komm",'ИП + источники'!$K$28:$K$87,0),2),"")=0,"",_xlfn.IFERROR(INDEX('ИП + источники'!$K$28:$L$87,MATCH($F165&amp;"1komm",'ИП + источники'!$K$28:$K$87,0),2),""))</f>
        <v/>
      </c>
      <c r="AO165" s="779"/>
      <c r="AP165" s="1361"/>
      <c r="AQ165" s="1361"/>
      <c r="AR165" s="1039" t="s">
        <v>1139</v>
      </c>
      <c r="AS165" s="1039"/>
      <c r="AT165" s="1039"/>
      <c r="AU165" s="1036"/>
      <c r="AV165" s="1036"/>
    </row>
    <row s="1624" customFormat="1" customHeight="1" ht="14.25">
      <c r="A166" s="1361"/>
      <c r="B166" s="1361"/>
      <c r="C166" s="1361"/>
      <c r="D166" s="1361"/>
      <c r="E166" s="671">
        <v>15</v>
      </c>
      <c r="F166" s="50" cm="1" t="str">
        <f t="array" ref="F166:F166">OFFSET(E166,-1,1)</f>
        <v>1</v>
      </c>
      <c r="G166" s="1361"/>
      <c r="H166" s="1361"/>
      <c r="I166" s="562" t="s">
        <v>542</v>
      </c>
      <c r="J166" s="562"/>
      <c r="K166" s="562"/>
      <c r="L166" s="562"/>
      <c r="M166" s="562"/>
      <c r="N166" s="562"/>
      <c r="O166" s="562"/>
      <c r="P166" s="562"/>
      <c r="Q166" s="562"/>
      <c r="R166" s="562"/>
      <c r="S166" s="562"/>
      <c r="T166" s="438" cm="1" t="str">
        <f t="array" ref="T166:T166">T165</f>
        <v>true</v>
      </c>
      <c r="U166" s="1361"/>
      <c r="V166" s="1361"/>
      <c r="W166" s="1361"/>
      <c r="X166" s="1586"/>
      <c r="Y166" s="1361"/>
      <c r="Z166" s="1587"/>
      <c r="AA166" s="1361"/>
      <c r="AB166" s="783" t="s">
        <v>580</v>
      </c>
      <c r="AC166" s="789" t="s">
        <v>1680</v>
      </c>
      <c r="AD166" s="790" t="s">
        <v>789</v>
      </c>
      <c r="AE166" s="785">
        <f>_xlfn.SUMIFS('ИП + источники'!AF$27:AF$87,'ИП + источники'!$F$27:$F$87,$F166,'ИП + источники'!$AC$27:$AC$87,"Прибыль на капвложения")</f>
        <v>0</v>
      </c>
      <c r="AF166" s="785">
        <f>_xlfn.SUMIFS('ИП + источники'!AG$27:AG$87,'ИП + источники'!$F$27:$F$87,$F166,'ИП + источники'!$AC$27:$AC$87,"Прибыль на капвложения")</f>
        <v>0</v>
      </c>
      <c r="AG166" s="785">
        <f>_xlfn.SUMIFS('ИП + источники'!AH$27:AH$87,'ИП + источники'!$F$27:$F$87,$F166,'ИП + источники'!$AC$27:$AC$87,"Прибыль на капвложения")</f>
        <v>0</v>
      </c>
      <c r="AH166" s="778">
        <f>AG166-AF166</f>
        <v>0</v>
      </c>
      <c r="AI166" s="785">
        <f>_xlfn.SUMIFS('ИП + источники'!AJ$27:AJ$87,'ИП + источники'!$F$27:$F$87,$F166,'ИП + источники'!$AC$27:$AC$87,"Прибыль на капвложения")</f>
        <v>0</v>
      </c>
      <c r="AJ166" s="785">
        <f>_xlfn.SUMIFS('ИП + источники'!AK$27:AK$87,'ИП + источники'!$F$27:$F$87,$F166,'ИП + источники'!$AC$27:$AC$87,"Прибыль на капвложения")</f>
        <v>0</v>
      </c>
      <c r="AK166" s="785">
        <f>_xlfn.SUMIFS('ИП + источники'!AU$27:AU$87,'ИП + источники'!$F$27:$F$87,$F166,'ИП + источники'!$AC$27:$AC$87,"Прибыль на капвложения")</f>
        <v>0</v>
      </c>
      <c r="AL166" s="778">
        <f>IF(AI166=0,0,(AK166-AI166)/AI166*100)</f>
        <v>0</v>
      </c>
      <c r="AM166" s="779"/>
      <c r="AN166" s="886" t="str">
        <f>IF(_xlfn.IFERROR(INDEX('ИП + источники'!$K$28:$L$87,MATCH($F166&amp;"2komm",'ИП + источники'!$K$28:$K$87,0),2),"")=0,"",_xlfn.IFERROR(INDEX('ИП + источники'!$K$28:$L$87,MATCH($F166&amp;"2komm",'ИП + источники'!$K$28:$K$87,0),2),""))</f>
        <v/>
      </c>
      <c r="AO166" s="779"/>
      <c r="AP166" s="1361"/>
      <c r="AQ166" s="1361"/>
      <c r="AR166" s="1039" t="s">
        <v>1681</v>
      </c>
      <c r="AS166" s="1039"/>
      <c r="AT166" s="1039"/>
      <c r="AU166" s="1036"/>
      <c r="AV166" s="1036"/>
    </row>
    <row s="1624" customFormat="1" customHeight="1" ht="21.75">
      <c r="A167" s="1361"/>
      <c r="B167" s="1361"/>
      <c r="C167" s="1361"/>
      <c r="D167" s="1361"/>
      <c r="E167" s="671">
        <v>22.5</v>
      </c>
      <c r="F167" s="50" cm="1" t="str">
        <f t="array" ref="F167:F167">OFFSET(E167,-1,1)</f>
        <v>1</v>
      </c>
      <c r="G167" s="1361"/>
      <c r="H167" s="1361"/>
      <c r="I167" s="562" t="s">
        <v>546</v>
      </c>
      <c r="J167" s="562"/>
      <c r="K167" s="562"/>
      <c r="L167" s="562"/>
      <c r="M167" s="562"/>
      <c r="N167" s="562"/>
      <c r="O167" s="562"/>
      <c r="P167" s="562"/>
      <c r="Q167" s="562"/>
      <c r="R167" s="562"/>
      <c r="S167" s="562"/>
      <c r="T167" s="438" cm="1" t="str">
        <f t="array" ref="T167:T167">T166</f>
        <v>true</v>
      </c>
      <c r="U167" s="1361"/>
      <c r="V167" s="1361"/>
      <c r="W167" s="1361"/>
      <c r="X167" s="1586"/>
      <c r="Y167" s="1361"/>
      <c r="Z167" s="1587"/>
      <c r="AA167" s="1361"/>
      <c r="AB167" s="783" t="s">
        <v>592</v>
      </c>
      <c r="AC167" s="789" t="s">
        <v>1682</v>
      </c>
      <c r="AD167" s="790" t="s">
        <v>789</v>
      </c>
      <c r="AE167" s="785"/>
      <c r="AF167" s="785"/>
      <c r="AG167" s="785"/>
      <c r="AH167" s="778"/>
      <c r="AI167" s="785"/>
      <c r="AJ167" s="785"/>
      <c r="AK167" s="785"/>
      <c r="AL167" s="778">
        <f>IF(AI167=0,0,(AK167-AI167)/AI167*100)</f>
        <v>0</v>
      </c>
      <c r="AM167" s="779"/>
      <c r="AN167" s="779"/>
      <c r="AO167" s="779"/>
      <c r="AP167" s="1361"/>
      <c r="AQ167" s="1361"/>
      <c r="AR167" s="1039" t="s">
        <v>1683</v>
      </c>
      <c r="AS167" s="1039"/>
      <c r="AT167" s="1039"/>
      <c r="AU167" s="1036"/>
      <c r="AV167" s="1036"/>
    </row>
    <row s="3522" customFormat="1" customHeight="1" ht="21.75" hidden="1">
      <c r="A168" s="563"/>
      <c r="B168" s="563">
        <f>STATUS_GO="да"</f>
        <v>0</v>
      </c>
      <c r="C168" s="563"/>
      <c r="D168" s="563"/>
      <c r="E168" s="673">
        <v>22.5</v>
      </c>
      <c r="F168" s="50" cm="1" t="str">
        <f t="array" ref="F168:F168">OFFSET(E168,-1,1)</f>
        <v>1</v>
      </c>
      <c r="G168" s="563"/>
      <c r="H168" s="563"/>
      <c r="I168" s="674" t="s">
        <v>550</v>
      </c>
      <c r="J168" s="674"/>
      <c r="K168" s="674"/>
      <c r="L168" s="674"/>
      <c r="M168" s="674"/>
      <c r="N168" s="674"/>
      <c r="O168" s="674"/>
      <c r="P168" s="674"/>
      <c r="Q168" s="674"/>
      <c r="R168" s="674"/>
      <c r="S168" s="674"/>
      <c r="T168" s="438" cm="1" t="str">
        <f t="array" ref="T168:T168">T167</f>
        <v>true</v>
      </c>
      <c r="U168" s="563"/>
      <c r="V168" s="563"/>
      <c r="W168" s="563"/>
      <c r="X168" s="1586"/>
      <c r="Y168" s="563"/>
      <c r="Z168" s="1587"/>
      <c r="AA168" s="563"/>
      <c r="AB168" s="780" t="s">
        <v>717</v>
      </c>
      <c r="AC168" s="776" t="s">
        <v>1684</v>
      </c>
      <c r="AD168" s="788" t="s">
        <v>789</v>
      </c>
      <c r="AE168" s="786"/>
      <c r="AF168" s="786"/>
      <c r="AG168" s="786"/>
      <c r="AH168" s="777">
        <f>AG168-AF168</f>
        <v>0</v>
      </c>
      <c r="AI168" s="786"/>
      <c r="AJ168" s="3447"/>
      <c r="AK168" s="3447"/>
      <c r="AL168" s="777">
        <f>IF(AI168=0,0,(AK168-AI168)/AI168*100)</f>
        <v>0</v>
      </c>
      <c r="AM168" s="3438"/>
      <c r="AN168" s="3438"/>
      <c r="AO168" s="3438"/>
      <c r="AP168" s="563"/>
      <c r="AQ168" s="563"/>
      <c r="AR168" s="1040" t="s">
        <v>1685</v>
      </c>
      <c r="AS168" s="1040"/>
      <c r="AT168" s="1040"/>
      <c r="AU168" s="673"/>
      <c r="AV168" s="673"/>
    </row>
    <row s="1624" customFormat="1" customHeight="1" ht="14.25">
      <c r="A169" s="1361"/>
      <c r="B169" s="1361"/>
      <c r="C169" s="1361"/>
      <c r="D169" s="1361"/>
      <c r="E169" s="671">
        <v>15</v>
      </c>
      <c r="F169" s="50" cm="1" t="str">
        <f t="array" ref="F169:F169">OFFSET(E169,-1,1)</f>
        <v>1</v>
      </c>
      <c r="G169" s="1361"/>
      <c r="H169" s="1361"/>
      <c r="I169" s="562" t="s">
        <v>558</v>
      </c>
      <c r="J169" s="562"/>
      <c r="K169" s="562"/>
      <c r="L169" s="562"/>
      <c r="M169" s="562"/>
      <c r="N169" s="562"/>
      <c r="O169" s="562"/>
      <c r="P169" s="562"/>
      <c r="Q169" s="562"/>
      <c r="R169" s="562"/>
      <c r="S169" s="562"/>
      <c r="T169" s="438" cm="1" t="str">
        <f t="array" ref="T169:T169">T168</f>
        <v>true</v>
      </c>
      <c r="U169" s="1361"/>
      <c r="V169" s="1361"/>
      <c r="W169" s="1361"/>
      <c r="X169" s="1586"/>
      <c r="Y169" s="1361"/>
      <c r="Z169" s="1587"/>
      <c r="AA169" s="1361"/>
      <c r="AB169" s="783" t="s">
        <v>720</v>
      </c>
      <c r="AC169" s="792" t="s">
        <v>1336</v>
      </c>
      <c r="AD169" s="790" t="s">
        <v>789</v>
      </c>
      <c r="AE169" s="785"/>
      <c r="AF169" s="785"/>
      <c r="AG169" s="785"/>
      <c r="AH169" s="778"/>
      <c r="AI169" s="3473"/>
      <c r="AJ169" s="3473"/>
      <c r="AK169" s="3473"/>
      <c r="AL169" s="778">
        <f>IF(AI169=0,0,(AK169-AI169)/AI169*100)</f>
        <v>0</v>
      </c>
      <c r="AM169" s="779"/>
      <c r="AN169" s="779"/>
      <c r="AO169" s="779"/>
      <c r="AP169" s="1361"/>
      <c r="AQ169" s="1361"/>
      <c r="AR169" s="1039" t="s">
        <v>1686</v>
      </c>
      <c r="AS169" s="1039"/>
      <c r="AT169" s="1039"/>
      <c r="AU169" s="1036"/>
      <c r="AV169" s="1036"/>
    </row>
    <row s="1624" customFormat="1" customHeight="1" ht="101.25" hidden="1">
      <c r="A170" s="1361"/>
      <c r="B170" s="1361"/>
      <c r="C170" s="1361"/>
      <c r="D170" s="1361"/>
      <c r="E170" s="671">
        <v>0</v>
      </c>
      <c r="F170" s="50" cm="1" t="str">
        <f t="array" ref="F170:F170">OFFSET(E170,-1,1)</f>
        <v>1</v>
      </c>
      <c r="G170" s="1361"/>
      <c r="H170" s="490">
        <f>ISERR(SEARCH("Водоснабжение",AB112))</f>
        <v>1</v>
      </c>
      <c r="I170" s="562" t="s">
        <v>716</v>
      </c>
      <c r="J170" s="562"/>
      <c r="K170" s="562"/>
      <c r="L170" s="562"/>
      <c r="M170" s="562"/>
      <c r="N170" s="562"/>
      <c r="O170" s="562"/>
      <c r="P170" s="562"/>
      <c r="Q170" s="562"/>
      <c r="R170" s="562"/>
      <c r="S170" s="562"/>
      <c r="T170" s="438" cm="1" t="str">
        <f t="array" ref="T170:T170">T169</f>
        <v>true</v>
      </c>
      <c r="U170" s="1361"/>
      <c r="V170" s="1361"/>
      <c r="W170" s="1361"/>
      <c r="X170" s="1586"/>
      <c r="Y170" s="1361"/>
      <c r="Z170" s="1587"/>
      <c r="AA170" s="1361"/>
      <c r="AB170" s="783" t="s">
        <v>971</v>
      </c>
      <c r="AC170" s="792" t="s">
        <v>1687</v>
      </c>
      <c r="AD170" s="735" t="s">
        <v>789</v>
      </c>
      <c r="AE170" s="785"/>
      <c r="AF170" s="785"/>
      <c r="AG170" s="785"/>
      <c r="AH170" s="778">
        <f>AG170-AF170</f>
        <v>0</v>
      </c>
      <c r="AI170" s="785"/>
      <c r="AJ170" s="3443"/>
      <c r="AK170" s="3443">
        <f>_xlfn.IFERROR(_xlfn.SUMIFS('Плата за негативное возд'!$AL$25:$AL$32,'Плата за негативное возд'!$F$25:$F$32,F170,'Плата за негативное возд'!$G$25:$G$32,"1"),0)</f>
        <v>0</v>
      </c>
      <c r="AL170" s="778">
        <f>IF(AI170=0,0,(AK170-AI170)/AI170*100)</f>
        <v>0</v>
      </c>
      <c r="AM170" s="3430"/>
      <c r="AN170" s="3430"/>
      <c r="AO170" s="3430"/>
      <c r="AP170" s="1361"/>
      <c r="AQ170" s="1361"/>
      <c r="AR170" s="1039" t="s">
        <v>1238</v>
      </c>
      <c r="AS170" s="1039"/>
      <c r="AT170" s="1039"/>
      <c r="AU170" s="1036"/>
      <c r="AV170" s="1036"/>
    </row>
    <row s="1624" customFormat="1" customHeight="1" ht="67.5" hidden="1">
      <c r="A171" s="1361"/>
      <c r="B171" s="1361"/>
      <c r="C171" s="1361"/>
      <c r="D171" s="1361"/>
      <c r="E171" s="671">
        <v>0</v>
      </c>
      <c r="F171" s="50" cm="1" t="str">
        <f t="array" ref="F171:F171">OFFSET(E171,-1,1)</f>
        <v>1</v>
      </c>
      <c r="G171" s="1361"/>
      <c r="H171" s="490">
        <f>ISERR(SEARCH("Водоснабжение",AB112))</f>
        <v>1</v>
      </c>
      <c r="I171" s="562" t="s">
        <v>719</v>
      </c>
      <c r="J171" s="562"/>
      <c r="K171" s="562"/>
      <c r="L171" s="562"/>
      <c r="M171" s="562"/>
      <c r="N171" s="562"/>
      <c r="O171" s="562"/>
      <c r="P171" s="562"/>
      <c r="Q171" s="562"/>
      <c r="R171" s="562"/>
      <c r="S171" s="562"/>
      <c r="T171" s="438" cm="1" t="str">
        <f t="array" ref="T171:T171">T170</f>
        <v>true</v>
      </c>
      <c r="U171" s="1361"/>
      <c r="V171" s="1361"/>
      <c r="W171" s="1361"/>
      <c r="X171" s="1586"/>
      <c r="Y171" s="1361"/>
      <c r="Z171" s="1587"/>
      <c r="AA171" s="1361"/>
      <c r="AB171" s="783" t="s">
        <v>1688</v>
      </c>
      <c r="AC171" s="792" t="s">
        <v>1689</v>
      </c>
      <c r="AD171" s="735" t="s">
        <v>789</v>
      </c>
      <c r="AE171" s="785"/>
      <c r="AF171" s="785"/>
      <c r="AG171" s="785"/>
      <c r="AH171" s="778">
        <f>AG171-AF171</f>
        <v>0</v>
      </c>
      <c r="AI171" s="785"/>
      <c r="AJ171" s="3443"/>
      <c r="AK171" s="3443">
        <f>_xlfn.IFERROR(_xlfn.SUMIFS('Плата за негативное возд'!$AL$25:$AL$32,'Плата за негативное возд'!$F$25:$F$32,F171,'Плата за негативное возд'!$G$25:$G$32,"2"),0)</f>
        <v>0</v>
      </c>
      <c r="AL171" s="778">
        <f>IF(AI171=0,0,(AK171-AI171)/AI171*100)</f>
        <v>0</v>
      </c>
      <c r="AM171" s="3430"/>
      <c r="AN171" s="3430"/>
      <c r="AO171" s="3430"/>
      <c r="AP171" s="1361"/>
      <c r="AQ171" s="1361"/>
      <c r="AR171" s="1039" t="s">
        <v>1242</v>
      </c>
      <c r="AS171" s="1039"/>
      <c r="AT171" s="1039"/>
      <c r="AU171" s="1036"/>
      <c r="AV171" s="1036"/>
    </row>
    <row s="1624" customFormat="1" customHeight="1" ht="14.25">
      <c r="A172" s="1361"/>
      <c r="B172" s="1361"/>
      <c r="C172" s="1361"/>
      <c r="D172" s="1361"/>
      <c r="E172" s="671">
        <v>15</v>
      </c>
      <c r="F172" s="50" cm="1" t="str">
        <f t="array" ref="F172:F172">OFFSET(E172,-1,1)</f>
        <v>1</v>
      </c>
      <c r="G172" s="1361"/>
      <c r="H172" s="1361"/>
      <c r="I172" s="562" t="s">
        <v>754</v>
      </c>
      <c r="J172" s="562"/>
      <c r="K172" s="562"/>
      <c r="L172" s="562"/>
      <c r="M172" s="562"/>
      <c r="N172" s="562"/>
      <c r="O172" s="562"/>
      <c r="P172" s="562"/>
      <c r="Q172" s="562"/>
      <c r="R172" s="562"/>
      <c r="S172" s="562"/>
      <c r="T172" s="438" cm="1" t="str">
        <f t="array" ref="T172:T172">T171</f>
        <v>true</v>
      </c>
      <c r="U172" s="1361"/>
      <c r="V172" s="1361"/>
      <c r="W172" s="1361"/>
      <c r="X172" s="1586"/>
      <c r="Y172" s="1361"/>
      <c r="Z172" s="1587"/>
      <c r="AA172" s="1361"/>
      <c r="AB172" s="783" t="s">
        <v>1690</v>
      </c>
      <c r="AC172" s="794" t="s">
        <v>1691</v>
      </c>
      <c r="AD172" s="790" t="s">
        <v>789</v>
      </c>
      <c r="AE172" s="785"/>
      <c r="AF172" s="785"/>
      <c r="AG172" s="785"/>
      <c r="AH172" s="778">
        <f>AG172-AF172</f>
        <v>0</v>
      </c>
      <c r="AI172" s="785"/>
      <c r="AJ172" s="785"/>
      <c r="AK172" s="785"/>
      <c r="AL172" s="778">
        <f>IF(AI172=0,0,(AK172-AI172)/AI172*100)</f>
        <v>0</v>
      </c>
      <c r="AM172" s="779"/>
      <c r="AN172" s="779"/>
      <c r="AO172" s="779"/>
      <c r="AP172" s="1361"/>
      <c r="AQ172" s="1361"/>
      <c r="AR172" s="1039" t="s">
        <v>1124</v>
      </c>
      <c r="AS172" s="1039"/>
      <c r="AT172" s="1039"/>
      <c r="AU172" s="1036"/>
      <c r="AV172" s="1036"/>
    </row>
    <row s="3523" customFormat="1" customHeight="1" ht="21.75">
      <c r="A173" s="563"/>
      <c r="B173" s="563"/>
      <c r="C173" s="563"/>
      <c r="D173" s="563"/>
      <c r="E173" s="673">
        <v>22.5</v>
      </c>
      <c r="F173" s="50" cm="1" t="str">
        <f t="array" ref="F173:F173">OFFSET(E173,-1,1)</f>
        <v>1</v>
      </c>
      <c r="G173" s="563"/>
      <c r="H173" s="563"/>
      <c r="I173" s="674" t="s">
        <v>755</v>
      </c>
      <c r="J173" s="674"/>
      <c r="K173" s="674"/>
      <c r="L173" s="674"/>
      <c r="M173" s="674"/>
      <c r="N173" s="674"/>
      <c r="O173" s="674"/>
      <c r="P173" s="674"/>
      <c r="Q173" s="674"/>
      <c r="R173" s="674"/>
      <c r="S173" s="674"/>
      <c r="T173" s="438" cm="1" t="str">
        <f t="array" ref="T173:T173">T172</f>
        <v>true</v>
      </c>
      <c r="U173" s="563"/>
      <c r="V173" s="563"/>
      <c r="W173" s="563"/>
      <c r="X173" s="1586"/>
      <c r="Y173" s="563"/>
      <c r="Z173" s="1587"/>
      <c r="AA173" s="563"/>
      <c r="AB173" s="780" t="s">
        <v>1692</v>
      </c>
      <c r="AC173" s="564" t="s">
        <v>1693</v>
      </c>
      <c r="AD173" s="788" t="s">
        <v>789</v>
      </c>
      <c r="AE173" s="764">
        <f>AE174+AE175</f>
        <v>0</v>
      </c>
      <c r="AF173" s="764">
        <f>AF174+AF175</f>
        <v>0</v>
      </c>
      <c r="AG173" s="764">
        <f>AG174+AG175</f>
        <v>0</v>
      </c>
      <c r="AH173" s="777">
        <f>AG173-AF173</f>
        <v>0</v>
      </c>
      <c r="AI173" s="764">
        <f>AI174+AI175</f>
        <v>0</v>
      </c>
      <c r="AJ173" s="764">
        <f>AJ174+AJ175</f>
        <v>0</v>
      </c>
      <c r="AK173" s="764">
        <f>AK174+AK175</f>
        <v>0</v>
      </c>
      <c r="AL173" s="777">
        <f>IF(AI173=0,0,(AK173-AI173)/AI173*100)</f>
        <v>0</v>
      </c>
      <c r="AM173" s="782"/>
      <c r="AN173" s="782"/>
      <c r="AO173" s="782"/>
      <c r="AP173" s="563"/>
      <c r="AQ173" s="563"/>
      <c r="AR173" s="1040" t="s">
        <v>1419</v>
      </c>
      <c r="AS173" s="1040"/>
      <c r="AT173" s="1040"/>
      <c r="AU173" s="673"/>
      <c r="AV173" s="673"/>
    </row>
    <row s="1624" customFormat="1" customHeight="1" ht="21.75">
      <c r="A174" s="1361"/>
      <c r="B174" s="1361"/>
      <c r="C174" s="1361"/>
      <c r="D174" s="1361"/>
      <c r="E174" s="671">
        <v>22.5</v>
      </c>
      <c r="F174" s="50" cm="1" t="str">
        <f t="array" ref="F174:F174">OFFSET(E174,-1,1)</f>
        <v>1</v>
      </c>
      <c r="G174" s="1361"/>
      <c r="H174" s="1361"/>
      <c r="I174" s="562" t="s">
        <v>1694</v>
      </c>
      <c r="J174" s="562"/>
      <c r="K174" s="562"/>
      <c r="L174" s="562"/>
      <c r="M174" s="562"/>
      <c r="N174" s="562"/>
      <c r="O174" s="562"/>
      <c r="P174" s="562"/>
      <c r="Q174" s="562"/>
      <c r="R174" s="562"/>
      <c r="S174" s="562"/>
      <c r="T174" s="438" cm="1" t="str">
        <f t="array" ref="T174:T174">T173</f>
        <v>true</v>
      </c>
      <c r="U174" s="1361"/>
      <c r="V174" s="1361"/>
      <c r="W174" s="1361"/>
      <c r="X174" s="1586"/>
      <c r="Y174" s="1361"/>
      <c r="Z174" s="1587"/>
      <c r="AA174" s="1361"/>
      <c r="AB174" s="783" t="s">
        <v>1695</v>
      </c>
      <c r="AC174" s="795" t="s">
        <v>1420</v>
      </c>
      <c r="AD174" s="790" t="s">
        <v>789</v>
      </c>
      <c r="AE174" s="785"/>
      <c r="AF174" s="785"/>
      <c r="AG174" s="785"/>
      <c r="AH174" s="778">
        <f>AG174-AF174</f>
        <v>0</v>
      </c>
      <c r="AI174" s="785"/>
      <c r="AJ174" s="785"/>
      <c r="AK174" s="785"/>
      <c r="AL174" s="778">
        <f>IF(AI174=0,0,(AK174-AI174)/AI174*100)</f>
        <v>0</v>
      </c>
      <c r="AM174" s="779"/>
      <c r="AN174" s="779"/>
      <c r="AO174" s="779"/>
      <c r="AP174" s="1361"/>
      <c r="AQ174" s="1361"/>
      <c r="AR174" s="1039" t="s">
        <v>1458</v>
      </c>
      <c r="AS174" s="1039"/>
      <c r="AT174" s="1039"/>
      <c r="AU174" s="1036"/>
      <c r="AV174" s="1036"/>
    </row>
    <row s="1624" customFormat="1" customHeight="1" ht="21.75">
      <c r="A175" s="1361"/>
      <c r="B175" s="1361"/>
      <c r="C175" s="1361"/>
      <c r="D175" s="1361"/>
      <c r="E175" s="671">
        <v>22.5</v>
      </c>
      <c r="F175" s="50" cm="1" t="str">
        <f t="array" ref="F175:F175">OFFSET(E175,-1,1)</f>
        <v>1</v>
      </c>
      <c r="G175" s="1361"/>
      <c r="H175" s="1361"/>
      <c r="I175" s="562" t="s">
        <v>1696</v>
      </c>
      <c r="J175" s="562"/>
      <c r="K175" s="562"/>
      <c r="L175" s="562"/>
      <c r="M175" s="562"/>
      <c r="N175" s="562"/>
      <c r="O175" s="562"/>
      <c r="P175" s="562"/>
      <c r="Q175" s="562"/>
      <c r="R175" s="562"/>
      <c r="S175" s="562"/>
      <c r="T175" s="438" cm="1" t="str">
        <f t="array" ref="T175:T175">T174</f>
        <v>true</v>
      </c>
      <c r="U175" s="1361"/>
      <c r="V175" s="1361"/>
      <c r="W175" s="1361"/>
      <c r="X175" s="1586"/>
      <c r="Y175" s="1361"/>
      <c r="Z175" s="1587"/>
      <c r="AA175" s="1361"/>
      <c r="AB175" s="783" t="s">
        <v>1697</v>
      </c>
      <c r="AC175" s="795" t="s">
        <v>1422</v>
      </c>
      <c r="AD175" s="790" t="s">
        <v>789</v>
      </c>
      <c r="AE175" s="785"/>
      <c r="AF175" s="785"/>
      <c r="AG175" s="785"/>
      <c r="AH175" s="778">
        <f>AG175-AF175</f>
        <v>0</v>
      </c>
      <c r="AI175" s="785"/>
      <c r="AJ175" s="785"/>
      <c r="AK175" s="785"/>
      <c r="AL175" s="778">
        <f>IF(AI175=0,0,(AK175-AI175)/AI175*100)</f>
        <v>0</v>
      </c>
      <c r="AM175" s="779"/>
      <c r="AN175" s="779"/>
      <c r="AO175" s="779"/>
      <c r="AP175" s="1361"/>
      <c r="AQ175" s="1361"/>
      <c r="AR175" s="1039" t="s">
        <v>1698</v>
      </c>
      <c r="AS175" s="1039"/>
      <c r="AT175" s="1039"/>
      <c r="AU175" s="1036"/>
      <c r="AV175" s="1036"/>
    </row>
    <row s="1624" customFormat="1" customHeight="1" ht="14.25">
      <c r="A176" s="1361"/>
      <c r="B176" s="1361"/>
      <c r="C176" s="1361"/>
      <c r="D176" s="1361"/>
      <c r="E176" s="671">
        <v>15</v>
      </c>
      <c r="F176" s="50" cm="1" t="str">
        <f t="array" ref="F176:F176">OFFSET(E176,-1,1)</f>
        <v>1</v>
      </c>
      <c r="G176" s="1361"/>
      <c r="H176" s="1361"/>
      <c r="I176" s="562" t="s">
        <v>1699</v>
      </c>
      <c r="J176" s="562"/>
      <c r="K176" s="562"/>
      <c r="L176" s="562"/>
      <c r="M176" s="562"/>
      <c r="N176" s="562"/>
      <c r="O176" s="562"/>
      <c r="P176" s="562"/>
      <c r="Q176" s="562"/>
      <c r="R176" s="562"/>
      <c r="S176" s="562"/>
      <c r="T176" s="438" cm="1" t="str">
        <f t="array" ref="T176:T176">T175</f>
        <v>true</v>
      </c>
      <c r="U176" s="1361"/>
      <c r="V176" s="1361"/>
      <c r="W176" s="1361"/>
      <c r="X176" s="1586"/>
      <c r="Y176" s="1361"/>
      <c r="Z176" s="1587"/>
      <c r="AA176" s="1361"/>
      <c r="AB176" s="796" t="s">
        <v>330</v>
      </c>
      <c r="AC176" s="797" t="s">
        <v>1424</v>
      </c>
      <c r="AD176" s="790" t="s">
        <v>789</v>
      </c>
      <c r="AE176" s="785"/>
      <c r="AF176" s="785"/>
      <c r="AG176" s="785"/>
      <c r="AH176" s="778">
        <f>AG176-AF176</f>
        <v>0</v>
      </c>
      <c r="AI176" s="785"/>
      <c r="AJ176" s="785"/>
      <c r="AK176" s="785"/>
      <c r="AL176" s="778">
        <f>IF(AI176=0,0,(AK176-AI176)/AI176*100)</f>
        <v>0</v>
      </c>
      <c r="AM176" s="779"/>
      <c r="AN176" s="779"/>
      <c r="AO176" s="779"/>
      <c r="AP176" s="1361"/>
      <c r="AQ176" s="1361"/>
      <c r="AR176" s="1039" t="s">
        <v>1425</v>
      </c>
      <c r="AS176" s="1039"/>
      <c r="AT176" s="1039"/>
      <c r="AU176" s="1036"/>
      <c r="AV176" s="1036"/>
    </row>
    <row s="1624" customFormat="1" customHeight="1" ht="14.25">
      <c r="A177" s="1361"/>
      <c r="B177" s="1361"/>
      <c r="C177" s="1361"/>
      <c r="D177" s="1361"/>
      <c r="E177" s="671">
        <v>15</v>
      </c>
      <c r="F177" s="50" cm="1" t="str">
        <f t="array" ref="F177:F177">OFFSET(E177,-1,1)</f>
        <v>1</v>
      </c>
      <c r="G177" s="1361"/>
      <c r="H177" s="1361"/>
      <c r="I177" s="562" t="s">
        <v>1700</v>
      </c>
      <c r="J177" s="562"/>
      <c r="K177" s="562"/>
      <c r="L177" s="562"/>
      <c r="M177" s="562"/>
      <c r="N177" s="562"/>
      <c r="O177" s="562"/>
      <c r="P177" s="562"/>
      <c r="Q177" s="562"/>
      <c r="R177" s="562"/>
      <c r="S177" s="562"/>
      <c r="T177" s="438" cm="1" t="str">
        <f t="array" ref="T177:T177">T176</f>
        <v>true</v>
      </c>
      <c r="U177" s="1361"/>
      <c r="V177" s="1361"/>
      <c r="W177" s="1361"/>
      <c r="X177" s="1586"/>
      <c r="Y177" s="1361"/>
      <c r="Z177" s="1587"/>
      <c r="AA177" s="1361"/>
      <c r="AB177" s="796" t="s">
        <v>1701</v>
      </c>
      <c r="AC177" s="797" t="s">
        <v>1426</v>
      </c>
      <c r="AD177" s="790" t="s">
        <v>789</v>
      </c>
      <c r="AE177" s="785"/>
      <c r="AF177" s="785"/>
      <c r="AG177" s="785"/>
      <c r="AH177" s="778">
        <f>AG177-AF177</f>
        <v>0</v>
      </c>
      <c r="AI177" s="785"/>
      <c r="AJ177" s="785"/>
      <c r="AK177" s="785"/>
      <c r="AL177" s="778">
        <f>IF(AI177=0,0,(AK177-AI177)/AI177*100)</f>
        <v>0</v>
      </c>
      <c r="AM177" s="779"/>
      <c r="AN177" s="779"/>
      <c r="AO177" s="779"/>
      <c r="AP177" s="1361"/>
      <c r="AQ177" s="1361"/>
      <c r="AR177" s="1039" t="s">
        <v>1427</v>
      </c>
      <c r="AS177" s="1039"/>
      <c r="AT177" s="1039"/>
      <c r="AU177" s="1036"/>
      <c r="AV177" s="1036"/>
    </row>
    <row s="3524" customFormat="1" customHeight="1" ht="14.25">
      <c r="A178" s="563"/>
      <c r="B178" s="563"/>
      <c r="C178" s="563"/>
      <c r="D178" s="563"/>
      <c r="E178" s="673">
        <v>15</v>
      </c>
      <c r="F178" s="50" cm="1" t="str">
        <f t="array" ref="F178:F178">OFFSET(E178,-1,1)</f>
        <v>1</v>
      </c>
      <c r="G178" s="563"/>
      <c r="H178" s="563"/>
      <c r="I178" s="674" t="s">
        <v>1702</v>
      </c>
      <c r="J178" s="674"/>
      <c r="K178" s="674"/>
      <c r="L178" s="674"/>
      <c r="M178" s="674"/>
      <c r="N178" s="674"/>
      <c r="O178" s="674"/>
      <c r="P178" s="674"/>
      <c r="Q178" s="674"/>
      <c r="R178" s="674"/>
      <c r="S178" s="674"/>
      <c r="T178" s="438" cm="1" t="str">
        <f t="array" ref="T178:T178">T177</f>
        <v>true</v>
      </c>
      <c r="U178" s="563"/>
      <c r="V178" s="563"/>
      <c r="W178" s="563"/>
      <c r="X178" s="1586"/>
      <c r="Y178" s="563"/>
      <c r="Z178" s="1587"/>
      <c r="AA178" s="563"/>
      <c r="AB178" s="780" t="s">
        <v>1703</v>
      </c>
      <c r="AC178" s="564" t="s">
        <v>1704</v>
      </c>
      <c r="AD178" s="788" t="s">
        <v>789</v>
      </c>
      <c r="AE178" s="764">
        <f>AE113+AE141+AE146+AE159+AE160+AE162+AE163+AE164+AE168+AE169-AE170-AE171+AE172-AE173+AE176+AE177</f>
        <v>0</v>
      </c>
      <c r="AF178" s="764">
        <f>AF113+AF141+AF146+AF159+AF160+AF162+AF163+AF164+AF168+AF169-AF170-AF171+AF172-AF173+AF176+AF177</f>
        <v>0</v>
      </c>
      <c r="AG178" s="764">
        <f>AG113+AG141+AG146+AG159+AG160+AG162+AG163+AG164+AG168+AG169-AG170-AG171+AG172-AG173+AG176+AG177</f>
        <v>0</v>
      </c>
      <c r="AH178" s="777">
        <f>AG178-AF178</f>
        <v>0</v>
      </c>
      <c r="AI178" s="764">
        <f>AI113+AI141+AI146+AI159+AI160+AI162+AI163+AI164+AI168+AI169-AI170-AI171+AI172-AI173+AI176+AI177</f>
        <v>0</v>
      </c>
      <c r="AJ178" s="764">
        <f>AJ113+AJ141+AJ146+AJ159+AJ160+AJ162+AJ163+AJ164+AJ168+AJ169-AJ170-AJ171+AJ172-AJ173+AJ176+AJ177</f>
        <v>0</v>
      </c>
      <c r="AK178" s="764">
        <f>AK113+AK141+AK146+AK159+AK160+AK162+AK163+AK164+AK168+AK169-AK170-AK171+AK172-AK173+AK176+AK177</f>
        <v>0</v>
      </c>
      <c r="AL178" s="777">
        <f>IF(AI178=0,0,(AK178-AI178)/AI178*100)</f>
        <v>0</v>
      </c>
      <c r="AM178" s="782"/>
      <c r="AN178" s="782"/>
      <c r="AO178" s="782"/>
      <c r="AP178" s="563"/>
      <c r="AQ178" s="563"/>
      <c r="AR178" s="1040" t="s">
        <v>1705</v>
      </c>
      <c r="AS178" s="1040"/>
      <c r="AT178" s="1040"/>
      <c r="AU178" s="673"/>
      <c r="AV178" s="673"/>
    </row>
    <row s="1624" customFormat="1" customHeight="1" ht="15" hidden="1">
      <c r="A179" s="1361"/>
      <c r="B179" s="552">
        <f>G112="двухставочный"</f>
        <v>0</v>
      </c>
      <c r="C179" s="1361"/>
      <c r="D179" s="1361"/>
      <c r="E179" s="671">
        <v>0</v>
      </c>
      <c r="F179" s="50" cm="1" t="str">
        <f t="array" ref="F179:F179">OFFSET(E179,-1,1)</f>
        <v>1</v>
      </c>
      <c r="G179" s="1361"/>
      <c r="H179" s="1361"/>
      <c r="I179" s="562" t="s">
        <v>1706</v>
      </c>
      <c r="J179" s="562"/>
      <c r="K179" s="562"/>
      <c r="L179" s="562"/>
      <c r="M179" s="562"/>
      <c r="N179" s="562"/>
      <c r="O179" s="562"/>
      <c r="P179" s="562"/>
      <c r="Q179" s="562"/>
      <c r="R179" s="562"/>
      <c r="S179" s="562"/>
      <c r="T179" s="438" cm="1" t="str">
        <f t="array" ref="T179:T179">T178</f>
        <v>true</v>
      </c>
      <c r="U179" s="1361"/>
      <c r="V179" s="1361"/>
      <c r="W179" s="1361"/>
      <c r="X179" s="1586"/>
      <c r="Y179" s="1361"/>
      <c r="Z179" s="1587"/>
      <c r="AA179" s="1361"/>
      <c r="AB179" s="783" t="s">
        <v>1707</v>
      </c>
      <c r="AC179" s="795" t="s">
        <v>1708</v>
      </c>
      <c r="AD179" s="790" t="s">
        <v>789</v>
      </c>
      <c r="AE179" s="785"/>
      <c r="AF179" s="785"/>
      <c r="AG179" s="785"/>
      <c r="AH179" s="778">
        <f>AG179-AF179</f>
        <v>0</v>
      </c>
      <c r="AI179" s="785"/>
      <c r="AJ179" s="3443"/>
      <c r="AK179" s="3443"/>
      <c r="AL179" s="778">
        <f>IF(AI179=0,0,(AK179-AI179)/AI179*100)</f>
        <v>0</v>
      </c>
      <c r="AM179" s="3430"/>
      <c r="AN179" s="3430"/>
      <c r="AO179" s="3430"/>
      <c r="AP179" s="1361"/>
      <c r="AQ179" s="1361"/>
      <c r="AR179" s="1039" t="s">
        <v>1709</v>
      </c>
      <c r="AS179" s="1039"/>
      <c r="AT179" s="1039"/>
      <c r="AU179" s="1036"/>
      <c r="AV179" s="1036"/>
    </row>
    <row s="1624" customFormat="1" customHeight="1" ht="15" hidden="1">
      <c r="A180" s="1361"/>
      <c r="B180" s="552">
        <f>G112="двухставочный"</f>
        <v>0</v>
      </c>
      <c r="C180" s="1361"/>
      <c r="D180" s="1361"/>
      <c r="E180" s="671">
        <v>0</v>
      </c>
      <c r="F180" s="50" cm="1" t="str">
        <f t="array" ref="F180:F180">OFFSET(E180,-1,1)</f>
        <v>1</v>
      </c>
      <c r="G180" s="1361"/>
      <c r="H180" s="1361"/>
      <c r="I180" s="562" t="s">
        <v>1710</v>
      </c>
      <c r="J180" s="562"/>
      <c r="K180" s="562"/>
      <c r="L180" s="562"/>
      <c r="M180" s="562"/>
      <c r="N180" s="562"/>
      <c r="O180" s="562"/>
      <c r="P180" s="562"/>
      <c r="Q180" s="562"/>
      <c r="R180" s="562"/>
      <c r="S180" s="562"/>
      <c r="T180" s="438" cm="1" t="str">
        <f t="array" ref="T180:T180">T179</f>
        <v>true</v>
      </c>
      <c r="U180" s="1361"/>
      <c r="V180" s="1361"/>
      <c r="W180" s="1361"/>
      <c r="X180" s="1586"/>
      <c r="Y180" s="1361"/>
      <c r="Z180" s="1587"/>
      <c r="AA180" s="1361"/>
      <c r="AB180" s="783" t="s">
        <v>1711</v>
      </c>
      <c r="AC180" s="795" t="s">
        <v>1712</v>
      </c>
      <c r="AD180" s="790" t="s">
        <v>789</v>
      </c>
      <c r="AE180" s="785"/>
      <c r="AF180" s="785"/>
      <c r="AG180" s="785"/>
      <c r="AH180" s="778">
        <f>AG180-AF180</f>
        <v>0</v>
      </c>
      <c r="AI180" s="785"/>
      <c r="AJ180" s="3443"/>
      <c r="AK180" s="3443"/>
      <c r="AL180" s="778">
        <f>IF(AI180=0,0,(AK180-AI180)/AI180*100)</f>
        <v>0</v>
      </c>
      <c r="AM180" s="3430"/>
      <c r="AN180" s="3430"/>
      <c r="AO180" s="3430"/>
      <c r="AP180" s="1361"/>
      <c r="AQ180" s="1361"/>
      <c r="AR180" s="1039" t="s">
        <v>1713</v>
      </c>
      <c r="AS180" s="1039"/>
      <c r="AT180" s="1039"/>
      <c r="AU180" s="1036"/>
      <c r="AV180" s="1036"/>
    </row>
    <row s="3525" customFormat="1" customHeight="1" ht="14.25">
      <c r="A181" s="563"/>
      <c r="B181" s="563"/>
      <c r="C181" s="563"/>
      <c r="D181" s="563"/>
      <c r="E181" s="673">
        <v>15</v>
      </c>
      <c r="F181" s="50" cm="1" t="str">
        <f t="array" ref="F181:F181">OFFSET(E181,-1,1)</f>
        <v>1</v>
      </c>
      <c r="G181" s="553" t="s">
        <v>1485</v>
      </c>
      <c r="H181" s="563"/>
      <c r="I181" s="674" t="s">
        <v>1714</v>
      </c>
      <c r="J181" s="674"/>
      <c r="K181" s="674"/>
      <c r="L181" s="674"/>
      <c r="M181" s="674"/>
      <c r="N181" s="674"/>
      <c r="O181" s="674"/>
      <c r="P181" s="674"/>
      <c r="Q181" s="674"/>
      <c r="R181" s="674"/>
      <c r="S181" s="674"/>
      <c r="T181" s="438" cm="1" t="str">
        <f t="array" ref="T181:T181">T180</f>
        <v>true</v>
      </c>
      <c r="U181" s="563"/>
      <c r="V181" s="563"/>
      <c r="W181" s="563"/>
      <c r="X181" s="1586"/>
      <c r="Y181" s="563"/>
      <c r="Z181" s="1587"/>
      <c r="AA181" s="563"/>
      <c r="AB181" s="780" t="s">
        <v>1715</v>
      </c>
      <c r="AC181" s="564" t="s">
        <v>1716</v>
      </c>
      <c r="AD181" s="788" t="s">
        <v>506</v>
      </c>
      <c r="AE181" s="798">
        <f>_xlfn.SUMIFS(Баланс!AE$26:AE$209,Баланс!$F$26:$F$209,$F181,Баланс!$G$26:$G$209,"ПО")</f>
        <v>36.8</v>
      </c>
      <c r="AF181" s="798">
        <f>_xlfn.SUMIFS(Баланс!AF$26:AF$209,Баланс!$F$26:$F$209,$F181,Баланс!$G$26:$G$209,"ПО")</f>
        <v>36.31109</v>
      </c>
      <c r="AG181" s="798">
        <f>_xlfn.SUMIFS(Баланс!AG$26:AG$209,Баланс!$F$26:$F$209,$F181,Баланс!$G$26:$G$209,"ПО")</f>
        <v>36.31109</v>
      </c>
      <c r="AH181" s="798">
        <f>AG181-AF181</f>
        <v>0</v>
      </c>
      <c r="AI181" s="798">
        <f>_xlfn.SUMIFS(Баланс!AH$26:AH$209,Баланс!$F$26:$F$209,$F181,Баланс!$G$26:$G$209,"ПО")</f>
        <v>37.30283</v>
      </c>
      <c r="AJ181" s="798">
        <f>_xlfn.SUMIFS(Баланс!AI$26:AI$209,Баланс!$F$26:$F$209,$F181,Баланс!$G$26:$G$209,"ПО")</f>
        <v>36.311</v>
      </c>
      <c r="AK181" s="798">
        <f>_xlfn.SUMIFS(Баланс!AS$26:AS$209,Баланс!$F$26:$F$209,$F181,Баланс!$G$26:$G$209,"ПО")</f>
        <v>35.62504</v>
      </c>
      <c r="AL181" s="799"/>
      <c r="AM181" s="782"/>
      <c r="AN181" s="782"/>
      <c r="AO181" s="782"/>
      <c r="AP181" s="563"/>
      <c r="AQ181" s="563"/>
      <c r="AR181" s="1040" t="s">
        <v>1717</v>
      </c>
      <c r="AS181" s="1040"/>
      <c r="AT181" s="1040"/>
      <c r="AU181" s="673"/>
      <c r="AV181" s="673"/>
    </row>
    <row s="1624" customFormat="1" customHeight="1" ht="14.25">
      <c r="A182" s="1361"/>
      <c r="B182" s="1361"/>
      <c r="C182" s="1361"/>
      <c r="D182" s="1361"/>
      <c r="E182" s="671">
        <v>15</v>
      </c>
      <c r="F182" s="50" cm="1" t="str">
        <f t="array" ref="F182:F182">OFFSET(E182,-1,1)</f>
        <v>1</v>
      </c>
      <c r="G182" s="553" t="s">
        <v>1512</v>
      </c>
      <c r="H182" s="1361"/>
      <c r="I182" s="562" t="s">
        <v>1718</v>
      </c>
      <c r="J182" s="562"/>
      <c r="K182" s="562"/>
      <c r="L182" s="562"/>
      <c r="M182" s="562"/>
      <c r="N182" s="562"/>
      <c r="O182" s="562"/>
      <c r="P182" s="562"/>
      <c r="Q182" s="562"/>
      <c r="R182" s="562"/>
      <c r="S182" s="562"/>
      <c r="T182" s="438" cm="1" t="str">
        <f t="array" ref="T182:T182">T181</f>
        <v>true</v>
      </c>
      <c r="U182" s="1361"/>
      <c r="V182" s="1361"/>
      <c r="W182" s="1361"/>
      <c r="X182" s="1586"/>
      <c r="Y182" s="1361"/>
      <c r="Z182" s="1587"/>
      <c r="AA182" s="1361"/>
      <c r="AB182" s="783" t="s">
        <v>1719</v>
      </c>
      <c r="AC182" s="1089" t="s">
        <v>1720</v>
      </c>
      <c r="AD182" s="790" t="s">
        <v>506</v>
      </c>
      <c r="AE182" s="800">
        <f>AE181/2</f>
        <v>18.4</v>
      </c>
      <c r="AF182" s="800">
        <f>AF181/2</f>
        <v>18.155545</v>
      </c>
      <c r="AG182" s="800">
        <f>AG181/2</f>
        <v>18.155545</v>
      </c>
      <c r="AH182" s="801">
        <f>AG182-AF182</f>
        <v>0</v>
      </c>
      <c r="AI182" s="800">
        <f>AI181/2</f>
        <v>18.651415</v>
      </c>
      <c r="AJ182" s="800">
        <f>IF(god=2026,AJ181/12*9,AJ181/2)</f>
        <v>27.23325</v>
      </c>
      <c r="AK182" s="800">
        <f>IF(god=2026,AK181/12*9,AK181/2)</f>
        <v>26.71878</v>
      </c>
      <c r="AL182" s="793"/>
      <c r="AM182" s="779"/>
      <c r="AN182" s="779"/>
      <c r="AO182" s="779"/>
      <c r="AP182" s="1361"/>
      <c r="AQ182" s="1361"/>
      <c r="AR182" s="1039" t="s">
        <v>1721</v>
      </c>
      <c r="AS182" s="1039"/>
      <c r="AT182" s="1039"/>
      <c r="AU182" s="1036"/>
      <c r="AV182" s="1036"/>
    </row>
    <row s="1624" customFormat="1" customHeight="1" ht="14.25">
      <c r="A183" s="1361"/>
      <c r="B183" s="1361"/>
      <c r="C183" s="1361"/>
      <c r="D183" s="1361"/>
      <c r="E183" s="671">
        <v>15</v>
      </c>
      <c r="F183" s="50" cm="1" t="str">
        <f t="array" ref="F183:F183">OFFSET(E183,-1,1)</f>
        <v>1</v>
      </c>
      <c r="G183" s="553" t="s">
        <v>1473</v>
      </c>
      <c r="H183" s="1361"/>
      <c r="I183" s="562" t="s">
        <v>1722</v>
      </c>
      <c r="J183" s="562"/>
      <c r="K183" s="562"/>
      <c r="L183" s="562"/>
      <c r="M183" s="562"/>
      <c r="N183" s="562"/>
      <c r="O183" s="562"/>
      <c r="P183" s="562"/>
      <c r="Q183" s="562"/>
      <c r="R183" s="562"/>
      <c r="S183" s="562"/>
      <c r="T183" s="438" cm="1" t="str">
        <f t="array" ref="T183:T183">T182</f>
        <v>true</v>
      </c>
      <c r="U183" s="1361"/>
      <c r="V183" s="1361"/>
      <c r="W183" s="1361"/>
      <c r="X183" s="1586"/>
      <c r="Y183" s="1361"/>
      <c r="Z183" s="1587"/>
      <c r="AA183" s="1361"/>
      <c r="AB183" s="783" t="s">
        <v>1723</v>
      </c>
      <c r="AC183" s="1089" t="s">
        <v>1724</v>
      </c>
      <c r="AD183" s="790" t="s">
        <v>1476</v>
      </c>
      <c r="AE183" s="785"/>
      <c r="AF183" s="785"/>
      <c r="AG183" s="785"/>
      <c r="AH183" s="778">
        <f>AG183-AF183</f>
        <v>0</v>
      </c>
      <c r="AI183" s="785"/>
      <c r="AJ183" s="785"/>
      <c r="AK183" s="785"/>
      <c r="AL183" s="793"/>
      <c r="AM183" s="779"/>
      <c r="AN183" s="779"/>
      <c r="AO183" s="779"/>
      <c r="AP183" s="1361"/>
      <c r="AQ183" s="1361"/>
      <c r="AR183" s="1039" t="s">
        <v>1725</v>
      </c>
      <c r="AS183" s="1039"/>
      <c r="AT183" s="1039"/>
      <c r="AU183" s="1036"/>
      <c r="AV183" s="1036"/>
    </row>
    <row s="1624" customFormat="1" customHeight="1" ht="14.25">
      <c r="A184" s="1361"/>
      <c r="B184" s="1361"/>
      <c r="C184" s="1361"/>
      <c r="D184" s="1361"/>
      <c r="E184" s="671">
        <v>15</v>
      </c>
      <c r="F184" s="50" cm="1" t="str">
        <f t="array" ref="F184:F184">OFFSET(E184,-1,1)</f>
        <v>1</v>
      </c>
      <c r="G184" s="553" t="s">
        <v>1525</v>
      </c>
      <c r="H184" s="1361"/>
      <c r="I184" s="562" t="s">
        <v>1726</v>
      </c>
      <c r="J184" s="562"/>
      <c r="K184" s="562"/>
      <c r="L184" s="562"/>
      <c r="M184" s="562"/>
      <c r="N184" s="562"/>
      <c r="O184" s="562"/>
      <c r="P184" s="562"/>
      <c r="Q184" s="562"/>
      <c r="R184" s="562"/>
      <c r="S184" s="562"/>
      <c r="T184" s="438" cm="1" t="str">
        <f t="array" ref="T184:T184">T183</f>
        <v>true</v>
      </c>
      <c r="U184" s="1361"/>
      <c r="V184" s="1361"/>
      <c r="W184" s="1361"/>
      <c r="X184" s="1586"/>
      <c r="Y184" s="1361"/>
      <c r="Z184" s="1587"/>
      <c r="AA184" s="1361"/>
      <c r="AB184" s="783" t="s">
        <v>1727</v>
      </c>
      <c r="AC184" s="1089" t="s">
        <v>1728</v>
      </c>
      <c r="AD184" s="790" t="s">
        <v>506</v>
      </c>
      <c r="AE184" s="801">
        <f>AE181-AE182</f>
        <v>18.4</v>
      </c>
      <c r="AF184" s="801">
        <f>AF181-AF182</f>
        <v>18.155545</v>
      </c>
      <c r="AG184" s="801">
        <f>AG181-AG182</f>
        <v>18.155545</v>
      </c>
      <c r="AH184" s="801">
        <f>AG184-AF184</f>
        <v>0</v>
      </c>
      <c r="AI184" s="801">
        <f>AI181-AI182</f>
        <v>18.651415</v>
      </c>
      <c r="AJ184" s="801">
        <f>AJ181-AJ182</f>
        <v>9.07775</v>
      </c>
      <c r="AK184" s="801">
        <f>AK181-AK182</f>
        <v>8.90626</v>
      </c>
      <c r="AL184" s="793"/>
      <c r="AM184" s="779"/>
      <c r="AN184" s="779"/>
      <c r="AO184" s="779"/>
      <c r="AP184" s="1361"/>
      <c r="AQ184" s="1361"/>
      <c r="AR184" s="1039" t="s">
        <v>1729</v>
      </c>
      <c r="AS184" s="1039"/>
      <c r="AT184" s="1039"/>
      <c r="AU184" s="1036"/>
      <c r="AV184" s="1036"/>
    </row>
    <row s="1624" customFormat="1" customHeight="1" ht="14.25">
      <c r="A185" s="1361"/>
      <c r="B185" s="1361"/>
      <c r="C185" s="1361"/>
      <c r="D185" s="1361"/>
      <c r="E185" s="671">
        <v>15</v>
      </c>
      <c r="F185" s="50" cm="1" t="str">
        <f t="array" ref="F185:F185">OFFSET(E185,-1,1)</f>
        <v>1</v>
      </c>
      <c r="G185" s="553" t="s">
        <v>1478</v>
      </c>
      <c r="H185" s="1361"/>
      <c r="I185" s="562" t="s">
        <v>1730</v>
      </c>
      <c r="J185" s="562"/>
      <c r="K185" s="562"/>
      <c r="L185" s="562"/>
      <c r="M185" s="562"/>
      <c r="N185" s="562"/>
      <c r="O185" s="562"/>
      <c r="P185" s="562"/>
      <c r="Q185" s="562"/>
      <c r="R185" s="562"/>
      <c r="S185" s="562"/>
      <c r="T185" s="438" cm="1" t="str">
        <f t="array" ref="T185:T185">T184</f>
        <v>true</v>
      </c>
      <c r="U185" s="1361"/>
      <c r="V185" s="1361"/>
      <c r="W185" s="1361"/>
      <c r="X185" s="1586"/>
      <c r="Y185" s="1361"/>
      <c r="Z185" s="1587"/>
      <c r="AA185" s="1361"/>
      <c r="AB185" s="783" t="s">
        <v>1731</v>
      </c>
      <c r="AC185" s="1089" t="s">
        <v>1732</v>
      </c>
      <c r="AD185" s="790" t="s">
        <v>1476</v>
      </c>
      <c r="AE185" s="785">
        <f>IF(AE184=0,0,(AE178-AE182*AE183)/AE184)</f>
        <v>0</v>
      </c>
      <c r="AF185" s="785">
        <f>IF(AF184=0,0,(AF178-AF182*AF183)/AF184)</f>
        <v>0</v>
      </c>
      <c r="AG185" s="785">
        <f>IF(AG184=0,0,(AG178-AG182*AG183)/AG184)</f>
        <v>0</v>
      </c>
      <c r="AH185" s="778">
        <f>AG185-AF185</f>
        <v>0</v>
      </c>
      <c r="AI185" s="785">
        <f>IF(AI184=0,0,(AI178-AI182*AI183)/AI184)</f>
        <v>0</v>
      </c>
      <c r="AJ185" s="785">
        <f>IF(AJ184=0,0,(AJ178-AJ182*AJ183)/AJ184)</f>
        <v>0</v>
      </c>
      <c r="AK185" s="785">
        <f>IF(AK184=0,0,(AK178-AK182*AK183)/AK184)</f>
        <v>0</v>
      </c>
      <c r="AL185" s="793"/>
      <c r="AM185" s="779"/>
      <c r="AN185" s="779"/>
      <c r="AO185" s="779"/>
      <c r="AP185" s="1361"/>
      <c r="AQ185" s="1361"/>
      <c r="AR185" s="1039" t="s">
        <v>1733</v>
      </c>
      <c r="AS185" s="1039"/>
      <c r="AT185" s="1039"/>
      <c r="AU185" s="1036"/>
      <c r="AV185" s="1036"/>
    </row>
    <row s="1624" customFormat="1" customHeight="1" ht="14.25">
      <c r="A186" s="1361"/>
      <c r="B186" s="1361"/>
      <c r="C186" s="1361"/>
      <c r="D186" s="1361"/>
      <c r="E186" s="671">
        <v>15</v>
      </c>
      <c r="F186" s="50" cm="1" t="str">
        <f t="array" ref="F186:F186">OFFSET(E186,-1,1)</f>
        <v>1</v>
      </c>
      <c r="G186" s="553"/>
      <c r="H186" s="1361"/>
      <c r="I186" s="562" t="s">
        <v>1734</v>
      </c>
      <c r="J186" s="562"/>
      <c r="K186" s="562"/>
      <c r="L186" s="562"/>
      <c r="M186" s="562"/>
      <c r="N186" s="562"/>
      <c r="O186" s="562"/>
      <c r="P186" s="562"/>
      <c r="Q186" s="562"/>
      <c r="R186" s="562"/>
      <c r="S186" s="562"/>
      <c r="T186" s="438" cm="1" t="str">
        <f t="array" ref="T186:T186">T185</f>
        <v>true</v>
      </c>
      <c r="U186" s="1361"/>
      <c r="V186" s="1361"/>
      <c r="W186" s="1361"/>
      <c r="X186" s="1586"/>
      <c r="Y186" s="1361"/>
      <c r="Z186" s="1587"/>
      <c r="AA186" s="1361"/>
      <c r="AB186" s="783" t="s">
        <v>1735</v>
      </c>
      <c r="AC186" s="1089" t="s">
        <v>1736</v>
      </c>
      <c r="AD186" s="790" t="s">
        <v>430</v>
      </c>
      <c r="AE186" s="778">
        <f>IF(AE183=0,0,AE185/AE183*100)</f>
        <v>0</v>
      </c>
      <c r="AF186" s="778">
        <f>IF(AF183=0,0,AF185/AF183*100)</f>
        <v>0</v>
      </c>
      <c r="AG186" s="778">
        <f>IF(AG183=0,0,AG185/AG183*100)</f>
        <v>0</v>
      </c>
      <c r="AH186" s="793"/>
      <c r="AI186" s="778">
        <f>IF(AI183=0,0,AI185/AI183*100)</f>
        <v>0</v>
      </c>
      <c r="AJ186" s="778">
        <f>IF(AJ183=0,0,AJ185/AJ183*100)</f>
        <v>0</v>
      </c>
      <c r="AK186" s="778">
        <f>IF(AK183=0,0,AK185/AK183*100)</f>
        <v>0</v>
      </c>
      <c r="AL186" s="793"/>
      <c r="AM186" s="779"/>
      <c r="AN186" s="779"/>
      <c r="AO186" s="779"/>
      <c r="AP186" s="1361"/>
      <c r="AQ186" s="1361"/>
      <c r="AR186" s="1039" t="s">
        <v>1737</v>
      </c>
      <c r="AS186" s="1039"/>
      <c r="AT186" s="1039"/>
      <c r="AU186" s="1036"/>
      <c r="AV186" s="1036"/>
    </row>
    <row s="1624" customFormat="1" customHeight="1" ht="14.25">
      <c r="A187" s="1361"/>
      <c r="B187" s="1361"/>
      <c r="C187" s="1361"/>
      <c r="D187" s="1361"/>
      <c r="E187" s="671">
        <v>15</v>
      </c>
      <c r="F187" s="50" cm="1" t="str">
        <f t="array" ref="F187:F187">OFFSET(E187,-1,1)</f>
        <v>1</v>
      </c>
      <c r="G187" s="553"/>
      <c r="H187" s="1361"/>
      <c r="I187" s="562" t="s">
        <v>1738</v>
      </c>
      <c r="J187" s="562"/>
      <c r="K187" s="562"/>
      <c r="L187" s="562"/>
      <c r="M187" s="562"/>
      <c r="N187" s="562"/>
      <c r="O187" s="562"/>
      <c r="P187" s="562"/>
      <c r="Q187" s="562"/>
      <c r="R187" s="562"/>
      <c r="S187" s="562"/>
      <c r="T187" s="438" cm="1" t="str">
        <f t="array" ref="T187:T187">T186</f>
        <v>true</v>
      </c>
      <c r="U187" s="1361"/>
      <c r="V187" s="1361"/>
      <c r="W187" s="1361"/>
      <c r="X187" s="1586"/>
      <c r="Y187" s="1361"/>
      <c r="Z187" s="1587"/>
      <c r="AA187" s="1361"/>
      <c r="AB187" s="783" t="s">
        <v>1739</v>
      </c>
      <c r="AC187" s="1089" t="s">
        <v>1740</v>
      </c>
      <c r="AD187" s="790" t="s">
        <v>1476</v>
      </c>
      <c r="AE187" s="785">
        <f>IF(AE181=0,0,AE178/AE181)</f>
        <v>0</v>
      </c>
      <c r="AF187" s="785">
        <f>IF(AF181=0,0,AF178/AF181)</f>
        <v>0</v>
      </c>
      <c r="AG187" s="785">
        <f>IF(AG181=0,0,AG178/AG181)</f>
        <v>0</v>
      </c>
      <c r="AH187" s="778">
        <f>AG187-AF187</f>
        <v>0</v>
      </c>
      <c r="AI187" s="785">
        <f>IF(AI181=0,0,AI178/AI181)</f>
        <v>0</v>
      </c>
      <c r="AJ187" s="785">
        <f>IF(AJ181=0,0,AJ178/AJ181)</f>
        <v>0</v>
      </c>
      <c r="AK187" s="785">
        <f>IF(AK181=0,0,AK178/AK181)</f>
        <v>0</v>
      </c>
      <c r="AL187" s="793"/>
      <c r="AM187" s="779"/>
      <c r="AN187" s="779"/>
      <c r="AO187" s="779"/>
      <c r="AP187" s="1361"/>
      <c r="AQ187" s="1361"/>
      <c r="AR187" s="1039" t="s">
        <v>1741</v>
      </c>
      <c r="AS187" s="1039"/>
      <c r="AT187" s="1039"/>
      <c r="AU187" s="1036"/>
      <c r="AV187" s="1036"/>
    </row>
    <row s="3526" customFormat="1" customHeight="1" ht="14.25">
      <c r="A188" s="563"/>
      <c r="B188" s="563"/>
      <c r="C188" s="563"/>
      <c r="D188" s="563"/>
      <c r="E188" s="673">
        <v>15</v>
      </c>
      <c r="F188" s="50" cm="1" t="str">
        <f t="array" ref="F188:F188">OFFSET(E188,-1,1)</f>
        <v>1</v>
      </c>
      <c r="G188" s="676"/>
      <c r="H188" s="563"/>
      <c r="I188" s="674" t="s">
        <v>1742</v>
      </c>
      <c r="J188" s="674"/>
      <c r="K188" s="674"/>
      <c r="L188" s="674"/>
      <c r="M188" s="674"/>
      <c r="N188" s="674"/>
      <c r="O188" s="674"/>
      <c r="P188" s="674"/>
      <c r="Q188" s="674"/>
      <c r="R188" s="674"/>
      <c r="S188" s="674"/>
      <c r="T188" s="438" cm="1" t="str">
        <f t="array" ref="T188:T188">T187</f>
        <v>true</v>
      </c>
      <c r="U188" s="563"/>
      <c r="V188" s="563"/>
      <c r="W188" s="563"/>
      <c r="X188" s="1586"/>
      <c r="Y188" s="563"/>
      <c r="Z188" s="1587"/>
      <c r="AA188" s="563"/>
      <c r="AB188" s="780" t="s">
        <v>1743</v>
      </c>
      <c r="AC188" s="178" t="s">
        <v>1744</v>
      </c>
      <c r="AD188" s="788" t="s">
        <v>789</v>
      </c>
      <c r="AE188" s="1212">
        <f>IF(AE181=0,0,AE178/AE181*AE189)</f>
        <v>0</v>
      </c>
      <c r="AF188" s="1212">
        <f>IF(AF181=0,0,AF178/AF181*AF189)</f>
        <v>0</v>
      </c>
      <c r="AG188" s="1212">
        <f>IF(AG181=0,0,AG178/AG181*AG189)</f>
        <v>0</v>
      </c>
      <c r="AH188" s="764">
        <f>AH190*AH191+AH192*AH193</f>
        <v>0</v>
      </c>
      <c r="AI188" s="1212">
        <f>IF(AI181=0,0,AI178/AI181*AI189)</f>
        <v>0</v>
      </c>
      <c r="AJ188" s="1212">
        <f>IF(AJ181=0,0,AJ178/AJ181*AJ189)</f>
        <v>0</v>
      </c>
      <c r="AK188" s="1212">
        <f>IF(AK181=0,0,AK178/AK181*AK189)</f>
        <v>0</v>
      </c>
      <c r="AL188" s="777">
        <f>IF(AI188=0,0,(AK188-AI188)/AI188*100)</f>
        <v>0</v>
      </c>
      <c r="AM188" s="782"/>
      <c r="AN188" s="782"/>
      <c r="AO188" s="782"/>
      <c r="AP188" s="563"/>
      <c r="AQ188" s="563"/>
      <c r="AR188" s="1040" t="s">
        <v>1745</v>
      </c>
      <c r="AS188" s="1040"/>
      <c r="AT188" s="1040"/>
      <c r="AU188" s="673"/>
      <c r="AV188" s="673"/>
    </row>
    <row s="3527" customFormat="1" customHeight="1" ht="14.25">
      <c r="A189" s="563"/>
      <c r="B189" s="563"/>
      <c r="C189" s="563"/>
      <c r="D189" s="563"/>
      <c r="E189" s="673">
        <v>15</v>
      </c>
      <c r="F189" s="50" cm="1" t="str">
        <f t="array" ref="F189:F189">OFFSET(E189,-1,1)</f>
        <v>1</v>
      </c>
      <c r="G189" s="553" t="s">
        <v>1498</v>
      </c>
      <c r="H189" s="563"/>
      <c r="I189" s="674" t="s">
        <v>1746</v>
      </c>
      <c r="J189" s="674"/>
      <c r="K189" s="674"/>
      <c r="L189" s="674"/>
      <c r="M189" s="674"/>
      <c r="N189" s="674"/>
      <c r="O189" s="674"/>
      <c r="P189" s="674"/>
      <c r="Q189" s="674"/>
      <c r="R189" s="674"/>
      <c r="S189" s="674"/>
      <c r="T189" s="438" cm="1" t="str">
        <f t="array" ref="T189:T189">T188</f>
        <v>true</v>
      </c>
      <c r="U189" s="563"/>
      <c r="V189" s="563"/>
      <c r="W189" s="563"/>
      <c r="X189" s="1586"/>
      <c r="Y189" s="563"/>
      <c r="Z189" s="1587"/>
      <c r="AA189" s="563"/>
      <c r="AB189" s="780" t="s">
        <v>1747</v>
      </c>
      <c r="AC189" s="178" t="s">
        <v>1748</v>
      </c>
      <c r="AD189" s="788" t="s">
        <v>506</v>
      </c>
      <c r="AE189" s="798">
        <f>_xlfn.SUMIFS(Баланс!AE$26:AE$209,Баланс!$F$26:$F$209,$F189,Баланс!$G$26:$G$209,"население")</f>
        <v>0</v>
      </c>
      <c r="AF189" s="798">
        <f>_xlfn.SUMIFS(Баланс!AF$26:AF$209,Баланс!$F$26:$F$209,$F189,Баланс!$G$26:$G$209,"население")</f>
        <v>0</v>
      </c>
      <c r="AG189" s="798">
        <f>_xlfn.SUMIFS(Баланс!AG$26:AG$209,Баланс!$F$26:$F$209,$F189,Баланс!$G$26:$G$209,"население")</f>
        <v>0</v>
      </c>
      <c r="AH189" s="798">
        <f>AG189-AF189</f>
        <v>0</v>
      </c>
      <c r="AI189" s="798">
        <f>_xlfn.SUMIFS(Баланс!AH$26:AH$209,Баланс!$F$26:$F$209,$F189,Баланс!$G$26:$G$209,"население")</f>
        <v>0</v>
      </c>
      <c r="AJ189" s="798">
        <f>_xlfn.SUMIFS(Баланс!AI$26:AI$209,Баланс!$F$26:$F$209,$F189,Баланс!$G$26:$G$209,"население")</f>
        <v>0</v>
      </c>
      <c r="AK189" s="798">
        <f>_xlfn.SUMIFS(Баланс!AS$26:AS$209,Баланс!$F$26:$F$209,$F189,Баланс!$G$26:$G$209,"население")</f>
        <v>0</v>
      </c>
      <c r="AL189" s="799"/>
      <c r="AM189" s="782"/>
      <c r="AN189" s="782"/>
      <c r="AO189" s="782"/>
      <c r="AP189" s="563"/>
      <c r="AQ189" s="563"/>
      <c r="AR189" s="1040" t="s">
        <v>1749</v>
      </c>
      <c r="AS189" s="1040"/>
      <c r="AT189" s="1040"/>
      <c r="AU189" s="673"/>
      <c r="AV189" s="673"/>
    </row>
    <row s="1624" customFormat="1" customHeight="1" ht="14.25">
      <c r="A190" s="1361"/>
      <c r="B190" s="1361"/>
      <c r="C190" s="1361"/>
      <c r="D190" s="1361"/>
      <c r="E190" s="671">
        <v>15</v>
      </c>
      <c r="F190" s="50" cm="1" t="str">
        <f t="array" ref="F190:F190">OFFSET(E190,-1,1)</f>
        <v>1</v>
      </c>
      <c r="G190" s="553" t="s">
        <v>1532</v>
      </c>
      <c r="H190" s="1361"/>
      <c r="I190" s="562" t="s">
        <v>1750</v>
      </c>
      <c r="J190" s="562"/>
      <c r="K190" s="562"/>
      <c r="L190" s="562"/>
      <c r="M190" s="562"/>
      <c r="N190" s="562"/>
      <c r="O190" s="562"/>
      <c r="P190" s="562"/>
      <c r="Q190" s="562"/>
      <c r="R190" s="562"/>
      <c r="S190" s="562"/>
      <c r="T190" s="438" cm="1" t="str">
        <f t="array" ref="T190:T190">T189</f>
        <v>true</v>
      </c>
      <c r="U190" s="1361"/>
      <c r="V190" s="1361"/>
      <c r="W190" s="1361"/>
      <c r="X190" s="1586"/>
      <c r="Y190" s="1361"/>
      <c r="Z190" s="1587"/>
      <c r="AA190" s="1361"/>
      <c r="AB190" s="783" t="s">
        <v>1751</v>
      </c>
      <c r="AC190" s="1089" t="s">
        <v>1752</v>
      </c>
      <c r="AD190" s="790" t="s">
        <v>506</v>
      </c>
      <c r="AE190" s="800">
        <f>AE189/2</f>
        <v>0</v>
      </c>
      <c r="AF190" s="800">
        <f>AF189/2</f>
        <v>0</v>
      </c>
      <c r="AG190" s="800">
        <f>AG189/2</f>
        <v>0</v>
      </c>
      <c r="AH190" s="801">
        <f>AG190-AF190</f>
        <v>0</v>
      </c>
      <c r="AI190" s="800">
        <f>AI189/2</f>
        <v>0</v>
      </c>
      <c r="AJ190" s="800">
        <f>IF(god=2026,AJ189/12*9,AJ189/2)</f>
        <v>0</v>
      </c>
      <c r="AK190" s="800">
        <f>IF(god=2026,AK189/12*9,AK189/2)</f>
        <v>0</v>
      </c>
      <c r="AL190" s="793"/>
      <c r="AM190" s="779"/>
      <c r="AN190" s="779"/>
      <c r="AO190" s="779"/>
      <c r="AP190" s="1361"/>
      <c r="AQ190" s="1361"/>
      <c r="AR190" s="1039" t="s">
        <v>1753</v>
      </c>
      <c r="AS190" s="1039"/>
      <c r="AT190" s="1039"/>
      <c r="AU190" s="1036"/>
      <c r="AV190" s="1036"/>
    </row>
    <row s="1624" customFormat="1" customHeight="1" ht="14.25">
      <c r="A191" s="1361"/>
      <c r="B191" s="1361"/>
      <c r="C191" s="1361"/>
      <c r="D191" s="1361"/>
      <c r="E191" s="671">
        <v>15</v>
      </c>
      <c r="F191" s="50" cm="1" t="str">
        <f t="array" ref="F191:F191">OFFSET(E191,-1,1)</f>
        <v>1</v>
      </c>
      <c r="G191" s="553" t="s">
        <v>1488</v>
      </c>
      <c r="H191" s="1361"/>
      <c r="I191" s="562" t="s">
        <v>1754</v>
      </c>
      <c r="J191" s="562"/>
      <c r="K191" s="562"/>
      <c r="L191" s="562"/>
      <c r="M191" s="562"/>
      <c r="N191" s="562"/>
      <c r="O191" s="562"/>
      <c r="P191" s="562"/>
      <c r="Q191" s="562"/>
      <c r="R191" s="562"/>
      <c r="S191" s="562"/>
      <c r="T191" s="438" cm="1" t="str">
        <f t="array" ref="T191:T191">T190</f>
        <v>true</v>
      </c>
      <c r="U191" s="1361"/>
      <c r="V191" s="1361"/>
      <c r="W191" s="1361"/>
      <c r="X191" s="1586"/>
      <c r="Y191" s="1361"/>
      <c r="Z191" s="1587"/>
      <c r="AA191" s="1361"/>
      <c r="AB191" s="783" t="s">
        <v>1755</v>
      </c>
      <c r="AC191" s="1089" t="s">
        <v>1756</v>
      </c>
      <c r="AD191" s="790" t="s">
        <v>1476</v>
      </c>
      <c r="AE191" s="1333">
        <f>IF(AE189=0,0,AE183*(1+Сценарии!AE$26))</f>
        <v>0</v>
      </c>
      <c r="AF191" s="1333">
        <f>IF(AF189=0,0,AF183*(1+Сценарии!AF$26))</f>
        <v>0</v>
      </c>
      <c r="AG191" s="1333">
        <f>IF(AG189=0,0,AG183*(1+Сценарии!AG$26))</f>
        <v>0</v>
      </c>
      <c r="AH191" s="778">
        <f>AG191-AF191</f>
        <v>0</v>
      </c>
      <c r="AI191" s="1333">
        <f>IF(AI189=0,0,AI183*(1+Сценарии!AI$26))</f>
        <v>0</v>
      </c>
      <c r="AJ191" s="1333">
        <f>IF(AJ189=0,0,AJ183*(1+Сценарии!AJ$26))</f>
        <v>0</v>
      </c>
      <c r="AK191" s="1333">
        <f>IF(AK189=0,0,AK183*(1+Сценарии!AK$26))</f>
        <v>0</v>
      </c>
      <c r="AL191" s="793"/>
      <c r="AM191" s="779"/>
      <c r="AN191" s="779"/>
      <c r="AO191" s="779"/>
      <c r="AP191" s="1361"/>
      <c r="AQ191" s="1361"/>
      <c r="AR191" s="1039" t="s">
        <v>1757</v>
      </c>
      <c r="AS191" s="1039"/>
      <c r="AT191" s="1039"/>
      <c r="AU191" s="1036"/>
      <c r="AV191" s="1036"/>
    </row>
    <row s="1624" customFormat="1" customHeight="1" ht="14.25">
      <c r="A192" s="1361"/>
      <c r="B192" s="1361"/>
      <c r="C192" s="1361"/>
      <c r="D192" s="1361"/>
      <c r="E192" s="671">
        <v>15</v>
      </c>
      <c r="F192" s="50" cm="1" t="str">
        <f t="array" ref="F192:F192">OFFSET(E192,-1,1)</f>
        <v>1</v>
      </c>
      <c r="G192" s="553" t="s">
        <v>1539</v>
      </c>
      <c r="H192" s="1361"/>
      <c r="I192" s="562" t="s">
        <v>1758</v>
      </c>
      <c r="J192" s="562"/>
      <c r="K192" s="562"/>
      <c r="L192" s="562"/>
      <c r="M192" s="562"/>
      <c r="N192" s="562"/>
      <c r="O192" s="562"/>
      <c r="P192" s="562"/>
      <c r="Q192" s="562"/>
      <c r="R192" s="562"/>
      <c r="S192" s="562"/>
      <c r="T192" s="438" cm="1" t="str">
        <f t="array" ref="T192:T192">T191</f>
        <v>true</v>
      </c>
      <c r="U192" s="1361"/>
      <c r="V192" s="1361"/>
      <c r="W192" s="1361"/>
      <c r="X192" s="1586"/>
      <c r="Y192" s="1361"/>
      <c r="Z192" s="1587"/>
      <c r="AA192" s="1361"/>
      <c r="AB192" s="783" t="s">
        <v>1759</v>
      </c>
      <c r="AC192" s="1089" t="s">
        <v>1728</v>
      </c>
      <c r="AD192" s="790" t="s">
        <v>506</v>
      </c>
      <c r="AE192" s="801">
        <f>AE189-AE190</f>
        <v>0</v>
      </c>
      <c r="AF192" s="801">
        <f>AF189-AF190</f>
        <v>0</v>
      </c>
      <c r="AG192" s="801">
        <f>AG189-AG190</f>
        <v>0</v>
      </c>
      <c r="AH192" s="801">
        <f>AG192-AF192</f>
        <v>0</v>
      </c>
      <c r="AI192" s="801">
        <f>AI189-AI190</f>
        <v>0</v>
      </c>
      <c r="AJ192" s="801">
        <f>AJ189-AJ190</f>
        <v>0</v>
      </c>
      <c r="AK192" s="801">
        <f>AK189-AK190</f>
        <v>0</v>
      </c>
      <c r="AL192" s="793"/>
      <c r="AM192" s="779"/>
      <c r="AN192" s="779"/>
      <c r="AO192" s="779"/>
      <c r="AP192" s="1361"/>
      <c r="AQ192" s="1361"/>
      <c r="AR192" s="1039" t="s">
        <v>1760</v>
      </c>
      <c r="AS192" s="1039"/>
      <c r="AT192" s="1039"/>
      <c r="AU192" s="1036"/>
      <c r="AV192" s="1036"/>
    </row>
    <row s="1624" customFormat="1" customHeight="1" ht="14.25">
      <c r="A193" s="1361"/>
      <c r="B193" s="1361"/>
      <c r="C193" s="1361"/>
      <c r="D193" s="1361"/>
      <c r="E193" s="671">
        <v>15</v>
      </c>
      <c r="F193" s="50" cm="1" t="str">
        <f t="array" ref="F193:F193">OFFSET(E193,-1,1)</f>
        <v>1</v>
      </c>
      <c r="G193" s="553" t="s">
        <v>1492</v>
      </c>
      <c r="H193" s="1361"/>
      <c r="I193" s="562" t="s">
        <v>1761</v>
      </c>
      <c r="J193" s="562"/>
      <c r="K193" s="562"/>
      <c r="L193" s="562"/>
      <c r="M193" s="562"/>
      <c r="N193" s="562"/>
      <c r="O193" s="562"/>
      <c r="P193" s="562"/>
      <c r="Q193" s="562"/>
      <c r="R193" s="562"/>
      <c r="S193" s="562"/>
      <c r="T193" s="438" cm="1" t="str">
        <f t="array" ref="T193:T193">T192</f>
        <v>true</v>
      </c>
      <c r="U193" s="1361"/>
      <c r="V193" s="1361"/>
      <c r="W193" s="1361"/>
      <c r="X193" s="1586"/>
      <c r="Y193" s="1361"/>
      <c r="Z193" s="1587"/>
      <c r="AA193" s="1361"/>
      <c r="AB193" s="783" t="s">
        <v>1762</v>
      </c>
      <c r="AC193" s="1089" t="s">
        <v>1763</v>
      </c>
      <c r="AD193" s="790" t="s">
        <v>1476</v>
      </c>
      <c r="AE193" s="785">
        <f>IF(AE189=0,0,AE185*(1+Сценарии!AE$26))</f>
        <v>0</v>
      </c>
      <c r="AF193" s="785">
        <f>IF(AF189=0,0,AF185*(1+Сценарии!AF$26))</f>
        <v>0</v>
      </c>
      <c r="AG193" s="785">
        <f>IF(AG189=0,0,AG185*(1+Сценарии!AG$26))</f>
        <v>0</v>
      </c>
      <c r="AH193" s="778">
        <f>AG193-AF193</f>
        <v>0</v>
      </c>
      <c r="AI193" s="785">
        <f>IF(AI189=0,0,AI185*(1+Сценарии!AI$26))</f>
        <v>0</v>
      </c>
      <c r="AJ193" s="785">
        <f>IF(AJ189=0,0,AJ185*(1+Сценарии!AJ$26))</f>
        <v>0</v>
      </c>
      <c r="AK193" s="785">
        <f>IF(AK189=0,0,AK185*(1+Сценарии!AK$26))</f>
        <v>0</v>
      </c>
      <c r="AL193" s="793"/>
      <c r="AM193" s="779"/>
      <c r="AN193" s="779"/>
      <c r="AO193" s="779"/>
      <c r="AP193" s="1361"/>
      <c r="AQ193" s="1361"/>
      <c r="AR193" s="1039" t="s">
        <v>1764</v>
      </c>
      <c r="AS193" s="1039"/>
      <c r="AT193" s="1039"/>
      <c r="AU193" s="1036"/>
      <c r="AV193" s="1036"/>
    </row>
    <row s="1624" customFormat="1" customHeight="1" ht="14.25">
      <c r="A194" s="1361"/>
      <c r="B194" s="1361"/>
      <c r="C194" s="1361"/>
      <c r="D194" s="1361"/>
      <c r="E194" s="671">
        <v>15</v>
      </c>
      <c r="F194" s="50" cm="1" t="str">
        <f t="array" ref="F194:F194">OFFSET(E194,-1,1)</f>
        <v>1</v>
      </c>
      <c r="G194" s="553"/>
      <c r="H194" s="1361"/>
      <c r="I194" s="562"/>
      <c r="J194" s="562"/>
      <c r="K194" s="562"/>
      <c r="L194" s="562"/>
      <c r="M194" s="562"/>
      <c r="N194" s="562"/>
      <c r="O194" s="562"/>
      <c r="P194" s="562"/>
      <c r="Q194" s="562"/>
      <c r="R194" s="562"/>
      <c r="S194" s="562"/>
      <c r="T194" s="438" cm="1" t="str">
        <f t="array" ref="T194:T194">T193</f>
        <v>true</v>
      </c>
      <c r="U194" s="1361"/>
      <c r="V194" s="1361"/>
      <c r="W194" s="1361"/>
      <c r="X194" s="1586"/>
      <c r="Y194" s="1361"/>
      <c r="Z194" s="1587"/>
      <c r="AA194" s="1361"/>
      <c r="AB194" s="184" t="s">
        <v>1765</v>
      </c>
      <c r="AC194" s="178" t="s">
        <v>1766</v>
      </c>
      <c r="AD194" s="177" t="s">
        <v>789</v>
      </c>
      <c r="AE194" s="785"/>
      <c r="AF194" s="785"/>
      <c r="AG194" s="785"/>
      <c r="AH194" s="778">
        <f>AG194-AF194</f>
        <v>0</v>
      </c>
      <c r="AI194" s="785"/>
      <c r="AJ194" s="785"/>
      <c r="AK194" s="785"/>
      <c r="AL194" s="793"/>
      <c r="AM194" s="779"/>
      <c r="AN194" s="779"/>
      <c r="AO194" s="779"/>
      <c r="AP194" s="1361"/>
      <c r="AQ194" s="1361"/>
      <c r="AR194" s="1039" t="s">
        <v>1767</v>
      </c>
      <c r="AS194" s="1039"/>
      <c r="AT194" s="1039"/>
      <c r="AU194" s="1036"/>
      <c r="AV194" s="1036"/>
    </row>
    <row s="1624" customFormat="1" customHeight="1" ht="21.75">
      <c r="A195" s="1361"/>
      <c r="B195" s="1361"/>
      <c r="C195" s="1361"/>
      <c r="D195" s="1361"/>
      <c r="E195" s="671">
        <v>22.5</v>
      </c>
      <c r="F195" s="50" cm="1" t="str">
        <f t="array" ref="F195:F195">OFFSET(E195,-1,1)</f>
        <v>1</v>
      </c>
      <c r="G195" s="553"/>
      <c r="H195" s="1361"/>
      <c r="I195" s="562"/>
      <c r="J195" s="562"/>
      <c r="K195" s="562"/>
      <c r="L195" s="562"/>
      <c r="M195" s="562"/>
      <c r="N195" s="562"/>
      <c r="O195" s="562"/>
      <c r="P195" s="562"/>
      <c r="Q195" s="562"/>
      <c r="R195" s="562"/>
      <c r="S195" s="562"/>
      <c r="T195" s="438" cm="1" t="str">
        <f t="array" ref="T195:T195">T194</f>
        <v>true</v>
      </c>
      <c r="U195" s="1361"/>
      <c r="V195" s="1361"/>
      <c r="W195" s="1361"/>
      <c r="X195" s="1586"/>
      <c r="Y195" s="1361"/>
      <c r="Z195" s="1587"/>
      <c r="AA195" s="1361"/>
      <c r="AB195" s="265" t="s">
        <v>1768</v>
      </c>
      <c r="AC195" s="738" t="s">
        <v>1769</v>
      </c>
      <c r="AD195" s="266" t="s">
        <v>789</v>
      </c>
      <c r="AE195" s="785"/>
      <c r="AF195" s="785"/>
      <c r="AG195" s="785"/>
      <c r="AH195" s="778">
        <f>AG195-AF195</f>
        <v>0</v>
      </c>
      <c r="AI195" s="785"/>
      <c r="AJ195" s="785"/>
      <c r="AK195" s="785"/>
      <c r="AL195" s="793"/>
      <c r="AM195" s="779"/>
      <c r="AN195" s="779"/>
      <c r="AO195" s="779"/>
      <c r="AP195" s="1361"/>
      <c r="AQ195" s="1361"/>
      <c r="AR195" s="1039" t="s">
        <v>1770</v>
      </c>
      <c r="AS195" s="1039"/>
      <c r="AT195" s="1039"/>
      <c r="AU195" s="1036"/>
      <c r="AV195" s="1036"/>
    </row>
    <row s="1624" customFormat="1" customHeight="1" ht="69.75">
      <c r="A196" s="1361"/>
      <c r="B196" s="1361"/>
      <c r="C196" s="1361"/>
      <c r="D196" s="1361"/>
      <c r="E196" s="671">
        <v>72</v>
      </c>
      <c r="F196" s="50" cm="1" t="str">
        <f t="array" ref="F196:F196">OFFSET(E196,-1,1)</f>
        <v>1</v>
      </c>
      <c r="G196" s="553"/>
      <c r="H196" s="1361"/>
      <c r="I196" s="562"/>
      <c r="J196" s="562"/>
      <c r="K196" s="562"/>
      <c r="L196" s="562"/>
      <c r="M196" s="562"/>
      <c r="N196" s="562"/>
      <c r="O196" s="562"/>
      <c r="P196" s="562"/>
      <c r="Q196" s="562"/>
      <c r="R196" s="562"/>
      <c r="S196" s="562"/>
      <c r="T196" s="438" cm="1" t="str">
        <f t="array" ref="T196:T196">T195</f>
        <v>true</v>
      </c>
      <c r="U196" s="1361"/>
      <c r="V196" s="1361"/>
      <c r="W196" s="1361"/>
      <c r="X196" s="1586"/>
      <c r="Y196" s="1361"/>
      <c r="Z196" s="1587"/>
      <c r="AA196" s="1361"/>
      <c r="AB196" s="265" t="s">
        <v>1771</v>
      </c>
      <c r="AC196" s="738" t="s">
        <v>1772</v>
      </c>
      <c r="AD196" s="266" t="s">
        <v>789</v>
      </c>
      <c r="AE196" s="785"/>
      <c r="AF196" s="785"/>
      <c r="AG196" s="785"/>
      <c r="AH196" s="778">
        <f>AG196-AF196</f>
        <v>0</v>
      </c>
      <c r="AI196" s="785"/>
      <c r="AJ196" s="785"/>
      <c r="AK196" s="785"/>
      <c r="AL196" s="793"/>
      <c r="AM196" s="779"/>
      <c r="AN196" s="779"/>
      <c r="AO196" s="779"/>
      <c r="AP196" s="1361"/>
      <c r="AQ196" s="1361"/>
      <c r="AR196" s="1039" t="s">
        <v>1773</v>
      </c>
      <c r="AS196" s="1039"/>
      <c r="AT196" s="1039"/>
      <c r="AU196" s="1036"/>
      <c r="AV196" s="1036"/>
    </row>
    <row customHeight="1" ht="10.725000000000001">
      <c r="E197" s="671">
        <v>11</v>
      </c>
      <c r="U197" s="670" t="s">
        <v>176</v>
      </c>
      <c r="V197" s="1213" t="s">
        <v>1774</v>
      </c>
      <c r="AB197" s="566"/>
      <c r="AC197" s="567"/>
      <c r="AD197" s="566"/>
      <c r="AE197" s="553"/>
      <c r="AF197" s="553"/>
      <c r="AG197" s="553"/>
      <c r="AH197" s="553"/>
      <c r="AI197" s="553"/>
      <c r="AJ197" s="553"/>
      <c r="AK197" s="553"/>
      <c r="AL197" s="553"/>
      <c r="AM197" s="553"/>
      <c r="AN197" s="553"/>
      <c r="AO197" s="553"/>
    </row>
    <row customHeight="1" ht="14.625">
      <c r="E198" s="671">
        <v>15</v>
      </c>
      <c r="AB198" s="1522" t="s">
        <v>392</v>
      </c>
      <c r="AC198" s="1522"/>
      <c r="AD198" s="1522"/>
      <c r="AE198" s="1522"/>
      <c r="AF198" s="1522"/>
      <c r="AG198" s="1522"/>
      <c r="AH198" s="1522"/>
      <c r="AI198" s="1522"/>
      <c r="AJ198" s="1522"/>
      <c r="AK198" s="1522"/>
      <c r="AL198" s="1522"/>
      <c r="AM198" s="1522"/>
      <c r="AN198" s="1522"/>
      <c r="AO198" s="1522"/>
    </row>
    <row customHeight="1" ht="14.625">
      <c r="E199" s="671">
        <v>15</v>
      </c>
      <c r="AA199" s="1214"/>
      <c r="AB199" s="1573"/>
      <c r="AC199" s="1574"/>
      <c r="AD199" s="1574"/>
      <c r="AE199" s="1574"/>
      <c r="AF199" s="1574"/>
      <c r="AG199" s="1574"/>
      <c r="AH199" s="1574"/>
      <c r="AI199" s="1574"/>
      <c r="AJ199" s="1574"/>
      <c r="AK199" s="1574"/>
      <c r="AL199" s="1574"/>
      <c r="AM199" s="1574"/>
      <c r="AN199" s="1574"/>
      <c r="AO199" s="1574"/>
    </row>
    <row customHeight="1" ht="14.625" hidden="1">
      <c r="A200" s="1361"/>
      <c r="B200" s="1361"/>
      <c r="C200" s="1361"/>
      <c r="D200" s="1361"/>
      <c r="E200" s="671">
        <v>15</v>
      </c>
      <c r="F200" s="1361"/>
      <c r="G200" s="1361"/>
      <c r="H200" s="1361"/>
      <c r="I200" s="1361"/>
      <c r="J200" s="1361"/>
      <c r="K200" s="1361"/>
      <c r="L200" s="1361"/>
      <c r="M200" s="1361"/>
      <c r="N200" s="1361"/>
      <c r="O200" s="1361"/>
      <c r="P200" s="1361"/>
      <c r="Q200" s="1361"/>
      <c r="R200" s="1361"/>
      <c r="S200" s="1361"/>
      <c r="T200" s="438">
        <f>ROW(W200)&gt;ROW(W$200)</f>
        <v>0</v>
      </c>
      <c r="U200" s="1361"/>
      <c r="V200" s="1361"/>
      <c r="W200" s="733" t="s">
        <v>172</v>
      </c>
      <c r="X200" s="88"/>
      <c r="Y200" s="88"/>
      <c r="Z200" s="88"/>
      <c r="AA200" s="638" t="s">
        <v>173</v>
      </c>
      <c r="AB200" s="2299"/>
      <c r="AC200" s="2298"/>
      <c r="AD200" s="2298"/>
      <c r="AE200" s="1548"/>
      <c r="AF200" s="1548"/>
      <c r="AG200" s="1548"/>
      <c r="AH200" s="1548"/>
      <c r="AI200" s="1548"/>
      <c r="AJ200" s="2298"/>
      <c r="AK200" s="2298"/>
      <c r="AL200" s="2298"/>
      <c r="AM200" s="2298"/>
      <c r="AN200" s="2298"/>
      <c r="AO200" s="2300"/>
      <c r="AP200" s="1361"/>
      <c r="AQ200" s="1361"/>
      <c r="AR200" s="1039"/>
      <c r="AS200" s="1039"/>
      <c r="AT200" s="1039"/>
      <c r="AU200" s="1036"/>
      <c r="AV200" s="1036"/>
    </row>
    <row customHeight="1" ht="14.625">
      <c r="E201" s="671">
        <v>15</v>
      </c>
      <c r="W201" s="805" t="s">
        <v>396</v>
      </c>
      <c r="X201" s="88"/>
      <c r="Y201" s="88"/>
      <c r="Z201" s="88"/>
      <c r="AA201" s="88"/>
      <c r="AB201" s="641"/>
      <c r="AC201" s="642" t="s">
        <v>397</v>
      </c>
      <c r="AD201" s="568"/>
      <c r="AE201" s="568"/>
      <c r="AF201" s="568"/>
      <c r="AG201" s="568"/>
      <c r="AH201" s="568"/>
      <c r="AI201" s="568"/>
      <c r="AJ201" s="568"/>
      <c r="AK201" s="568"/>
      <c r="AL201" s="568"/>
      <c r="AM201" s="568"/>
      <c r="AN201" s="568"/>
      <c r="AO201" s="569"/>
    </row>
    <row customHeight="1" ht="10.725000000000001">
      <c r="E202" s="671">
        <v>11</v>
      </c>
      <c r="AE202" s="1361"/>
      <c r="AF202" s="1361"/>
      <c r="AG202" s="1361"/>
      <c r="AH202" s="1361"/>
      <c r="AI202" s="1361"/>
      <c r="AP202" s="670"/>
    </row>
  </sheetData>
  <sheetProtection formatColumns="0" formatRows="0" insertRows="0" deleteColumns="0" deleteRows="0" sort="0" autoFilter="0" insertColumns="1"/>
  <mergeCells count="14">
    <mergeCell ref="X27:X111"/>
    <mergeCell ref="Z27:Z111"/>
    <mergeCell ref="AB200:AO200"/>
    <mergeCell ref="AO24:AO25"/>
    <mergeCell ref="AB198:AO198"/>
    <mergeCell ref="AB199:AO199"/>
    <mergeCell ref="AB24:AB25"/>
    <mergeCell ref="AC24:AC25"/>
    <mergeCell ref="AD24:AD25"/>
    <mergeCell ref="AL24:AL25"/>
    <mergeCell ref="AM24:AM25"/>
    <mergeCell ref="AN24:AN25"/>
    <mergeCell ref="X112:X196"/>
    <mergeCell ref="Z112:Z196"/>
  </mergeCells>
  <dataValidations count="2">
    <dataValidation type="textLength" operator="lessThanOrEqual" allowBlank="1" showInputMessage="1" showErrorMessage="1" errorTitle="Ошибка" error="Допускается ввод не более 900 символов!" sqref="AM54:AO54 AM139 AN139 AO139">
      <formula1>900</formula1>
    </dataValidation>
    <dataValidation type="decimal" allowBlank="1" showErrorMessage="1" errorTitle="Ошибка" error="Допускается ввод только действительных чисел!" sqref="AI82:AK92 AI43:AK44 AE82:AG92 AI58:AK58 AI63:AK63 AE58:AG58 AE43:AG44 AG105:AG111 AG116:AG118 AG128:AG129 AG143 AG148 AG167:AG177 AG179:AG180 AG182:AG187 AG190:AG196 AF105:AF111 AF116:AF118 AF128:AF129 AF143 AF148 AF167:AF177 AF179:AF180 AF182:AF187 AF190:AF196 AE105:AE111 AE116:AE118 AE128:AE129 AE143 AE148 AE167:AE177 AE179:AE180 AE182:AE187 AE190:AE196 AE31:AG33 AE63:AG63 AI97:AK102 AE97:AG102 AI31:AK33 AE94:AG95 AI94:AK95 AK105:AK111 AK116:AK118 AK128:AK129 AK143 AK148 AK167:AK177 AK179:AK180 AK182:AK187 AK190:AK196 AJ105:AJ111 AJ116:AJ118 AJ128:AJ129 AJ143 AJ148 AJ167:AJ177 AJ179:AJ180 AJ182:AJ187 AJ190:AJ196 AI105:AI111 AI116:AI118 AI128:AI129 AI143 AI148 AI167:AI177 AI179:AI180 AI182:AI187 AI190:AI196">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1B3DBD-4D08-EF78-E3E8-3F25FDF608D6}" mc:Ignorable="x14ac xr xr2 xr3">
  <sheetPr>
    <tabColor rgb="FF92D050"/>
    <outlinePr summaryRight="0" summaryBelow="0"/>
    <pageSetUpPr fitToPage="1"/>
  </sheetPr>
  <dimension ref="A1:BW320"/>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0.5"/>
  <cols>
    <col min="1" max="1" style="1256" width="9.57421875" hidden="1" customWidth="1"/>
    <col min="2" max="2" style="955" width="8.57421875" hidden="1" customWidth="1"/>
    <col min="3" max="4" style="1256" width="3.57421875" hidden="1" customWidth="1"/>
    <col min="5" max="5" style="956" width="3.57421875" hidden="1" customWidth="1"/>
    <col min="6" max="6" style="1256" width="3.57421875" hidden="1" customWidth="1"/>
    <col min="7" max="7" style="1256" width="5.421875" hidden="1" customWidth="1"/>
    <col min="8" max="8" style="1256" width="15.421875" hidden="1" customWidth="1"/>
    <col min="9" max="10" style="1256" width="3.57421875" hidden="1" customWidth="1"/>
    <col min="11" max="11" style="1256" width="7.28125" hidden="1" customWidth="1"/>
    <col min="12" max="12" style="1256" width="6.57421875" hidden="1" customWidth="1"/>
    <col min="13" max="18" style="1256" width="3.57421875" hidden="1" customWidth="1"/>
    <col min="19" max="19" style="1256" width="6.7109375" hidden="1" customWidth="1"/>
    <col min="20" max="20" style="1256" width="10.421875" hidden="1" customWidth="1"/>
    <col min="21" max="21" style="1256" width="5.8515625" hidden="1" customWidth="1"/>
    <col min="22" max="23" style="1256" width="6.140625" hidden="1" customWidth="1"/>
    <col min="24" max="24" style="1256" width="5.7109375" hidden="1" customWidth="1"/>
    <col min="25" max="25" style="1256" width="5.57421875" hidden="1" customWidth="1"/>
    <col min="26" max="26" style="1256" width="5.28125" hidden="1" customWidth="1"/>
    <col min="27" max="27" style="1256" width="3.00390625" customWidth="1"/>
    <col min="28" max="28" style="566" width="11.00390625" customWidth="1"/>
    <col min="29" max="29" style="958" width="75.00390625" customWidth="1"/>
    <col min="30" max="30" style="566" width="12.00390625" customWidth="1"/>
    <col min="31" max="33" style="1256" width="12.57421875" customWidth="1"/>
    <col min="34" max="34" style="1256" width="21.00390625" customWidth="1"/>
    <col min="35" max="36" style="1256" width="12.57421875" customWidth="1"/>
    <col min="37" max="45" style="1256" width="12.57421875" hidden="1" customWidth="1"/>
    <col min="46" max="46" style="1256" width="12.57421875" customWidth="1"/>
    <col min="47" max="55" style="1256" width="12.57421875" hidden="1" customWidth="1"/>
    <col min="56" max="56" style="1256" width="12.57421875" customWidth="1"/>
    <col min="57" max="65" style="1256" width="12.57421875" hidden="1" customWidth="1"/>
    <col min="66" max="67" style="1256" width="20.00390625" customWidth="1"/>
    <col min="68" max="68" style="1256" width="42.00390625" customWidth="1"/>
    <col min="69" max="69" style="1256" width="3.00390625" customWidth="1"/>
    <col min="70" max="70" style="1256" width="9.140625" hidden="1"/>
    <col min="71" max="73" style="1041" width="9.140625" hidden="1"/>
    <col min="74" max="75" style="956" width="9.140625" hidden="1"/>
  </cols>
  <sheetData>
    <row customHeight="1" ht="11.25" hidden="1">
      <c r="E1" s="124"/>
      <c r="F1" s="124" t="s">
        <v>309</v>
      </c>
      <c r="I1" s="124" t="s">
        <v>1775</v>
      </c>
      <c r="J1" s="124" t="s">
        <v>346</v>
      </c>
      <c r="K1" s="124" t="s">
        <v>1776</v>
      </c>
      <c r="L1" s="954" t="s">
        <v>1777</v>
      </c>
      <c r="M1" s="124" t="s">
        <v>1778</v>
      </c>
      <c r="R1" s="51"/>
      <c r="T1" s="438" t="s">
        <v>92</v>
      </c>
      <c r="U1" s="438" t="s">
        <v>97</v>
      </c>
      <c r="V1" s="438" t="s">
        <v>93</v>
      </c>
      <c r="W1" s="438" t="s">
        <v>94</v>
      </c>
      <c r="X1" s="438" t="s">
        <v>95</v>
      </c>
      <c r="Y1" s="440" t="s">
        <v>311</v>
      </c>
      <c r="Z1" s="438" t="s">
        <v>99</v>
      </c>
      <c r="AA1" s="439" t="s">
        <v>96</v>
      </c>
      <c r="AB1" s="387"/>
      <c r="AC1" s="439" t="s">
        <v>98</v>
      </c>
      <c r="AJ1" s="51"/>
      <c r="AK1" s="1256"/>
      <c r="AL1" s="1256"/>
      <c r="AM1" s="1256"/>
      <c r="AN1" s="1256"/>
      <c r="AO1" s="1256"/>
      <c r="AP1" s="1256"/>
      <c r="AQ1" s="1256"/>
      <c r="AR1" s="1256"/>
      <c r="AS1" s="1256"/>
      <c r="AT1" s="1256"/>
      <c r="AU1" s="1256"/>
      <c r="AV1" s="1256"/>
      <c r="AW1" s="1256"/>
      <c r="AX1" s="1256"/>
      <c r="AY1" s="1256"/>
      <c r="AZ1" s="1256"/>
      <c r="BA1" s="1256"/>
      <c r="BB1" s="1256"/>
      <c r="BC1" s="1256"/>
      <c r="BD1" s="1256"/>
      <c r="BE1" s="1256"/>
      <c r="BF1" s="1256"/>
      <c r="BG1" s="1256"/>
      <c r="BH1" s="1256"/>
      <c r="BI1" s="1256"/>
      <c r="BJ1" s="1256"/>
      <c r="BK1" s="1256"/>
      <c r="BL1" s="1256"/>
      <c r="BM1" s="1256"/>
      <c r="BS1" s="1041" t="s">
        <v>312</v>
      </c>
      <c r="BT1" s="1041" t="s">
        <v>313</v>
      </c>
      <c r="BU1" s="1041" t="s">
        <v>314</v>
      </c>
      <c r="BV1" s="679" t="s">
        <v>317</v>
      </c>
      <c r="BW1" s="679" t="s">
        <v>318</v>
      </c>
    </row>
    <row s="955" customFormat="1" customHeight="1" ht="11.25" hidden="1">
      <c r="B2" s="417" t="s">
        <v>18</v>
      </c>
      <c r="AC2" s="405"/>
      <c r="AJ2" s="418">
        <f>AJ6&lt;=last_year_vis</f>
        <v>1</v>
      </c>
      <c r="AK2" s="418">
        <f>AK6&lt;=last_year_vis</f>
        <v>0</v>
      </c>
      <c r="AL2" s="418">
        <f>AL6&lt;=last_year_vis</f>
        <v>0</v>
      </c>
      <c r="AM2" s="418">
        <f>AM6&lt;=last_year_vis</f>
        <v>0</v>
      </c>
      <c r="AN2" s="418">
        <f>AN6&lt;=last_year_vis</f>
        <v>0</v>
      </c>
      <c r="AO2" s="418">
        <f>AO6&lt;=last_year_vis</f>
        <v>0</v>
      </c>
      <c r="AP2" s="418">
        <f>AP6&lt;=last_year_vis</f>
        <v>0</v>
      </c>
      <c r="AQ2" s="418">
        <f>AQ6&lt;=last_year_vis</f>
        <v>0</v>
      </c>
      <c r="AR2" s="418">
        <f>AR6&lt;=last_year_vis</f>
        <v>0</v>
      </c>
      <c r="AS2" s="418">
        <f>AS6&lt;=last_year_vis</f>
        <v>0</v>
      </c>
      <c r="AT2" s="418">
        <f>AT6&lt;=last_year_vis</f>
        <v>1</v>
      </c>
      <c r="AU2" s="418">
        <f>AU6&lt;=last_year_vis</f>
        <v>0</v>
      </c>
      <c r="AV2" s="418">
        <f>AV6&lt;=last_year_vis</f>
        <v>0</v>
      </c>
      <c r="AW2" s="418">
        <f>AW6&lt;=last_year_vis</f>
        <v>0</v>
      </c>
      <c r="AX2" s="418">
        <f>AX6&lt;=last_year_vis</f>
        <v>0</v>
      </c>
      <c r="AY2" s="418">
        <f>AY6&lt;=last_year_vis</f>
        <v>0</v>
      </c>
      <c r="AZ2" s="418">
        <f>AZ6&lt;=last_year_vis</f>
        <v>0</v>
      </c>
      <c r="BA2" s="418">
        <f>BA6&lt;=last_year_vis</f>
        <v>0</v>
      </c>
      <c r="BB2" s="418">
        <f>BB6&lt;=last_year_vis</f>
        <v>0</v>
      </c>
      <c r="BC2" s="418">
        <f>BC6&lt;=last_year_vis</f>
        <v>0</v>
      </c>
      <c r="BD2" s="418">
        <f>BD6&lt;=last_year_vis</f>
        <v>1</v>
      </c>
      <c r="BE2" s="418">
        <f>BE6&lt;=last_year_vis</f>
        <v>0</v>
      </c>
      <c r="BF2" s="418">
        <f>BF6&lt;=last_year_vis</f>
        <v>0</v>
      </c>
      <c r="BG2" s="418">
        <f>BG6&lt;=last_year_vis</f>
        <v>0</v>
      </c>
      <c r="BH2" s="418">
        <f>BH6&lt;=last_year_vis</f>
        <v>0</v>
      </c>
      <c r="BI2" s="418">
        <f>BI6&lt;=last_year_vis</f>
        <v>0</v>
      </c>
      <c r="BJ2" s="418">
        <f>BJ6&lt;=last_year_vis</f>
        <v>0</v>
      </c>
      <c r="BK2" s="418">
        <f>BK6&lt;=last_year_vis</f>
        <v>0</v>
      </c>
      <c r="BL2" s="418">
        <f>BL6&lt;=last_year_vis</f>
        <v>0</v>
      </c>
      <c r="BM2" s="418">
        <f>BM6&lt;=last_year_vis</f>
        <v>0</v>
      </c>
      <c r="BS2" s="1042"/>
      <c r="BT2" s="1042"/>
      <c r="BU2" s="1042"/>
      <c r="BV2" s="597"/>
      <c r="BW2" s="597"/>
    </row>
    <row customHeight="1" ht="11.25" hidden="1">
      <c r="E3" s="124"/>
      <c r="AJ3" s="1256"/>
      <c r="AK3" s="1256"/>
      <c r="AL3" s="1256"/>
      <c r="AM3" s="1256"/>
      <c r="AN3" s="1256"/>
      <c r="AO3" s="1256"/>
      <c r="AP3" s="1256"/>
      <c r="AQ3" s="1256"/>
      <c r="AR3" s="1256"/>
      <c r="AS3" s="1256"/>
      <c r="AT3" s="1256"/>
      <c r="AU3" s="1256"/>
      <c r="AV3" s="1256"/>
      <c r="AW3" s="1256"/>
      <c r="AX3" s="1256"/>
      <c r="AY3" s="1256"/>
      <c r="AZ3" s="1256"/>
      <c r="BA3" s="1256"/>
      <c r="BB3" s="1256"/>
      <c r="BC3" s="1256"/>
      <c r="BD3" s="1256"/>
      <c r="BE3" s="1256"/>
      <c r="BF3" s="1256"/>
      <c r="BG3" s="1256"/>
      <c r="BH3" s="1256"/>
      <c r="BI3" s="1256"/>
      <c r="BJ3" s="1256"/>
      <c r="BK3" s="1256"/>
      <c r="BL3" s="1256"/>
      <c r="BM3" s="1256"/>
    </row>
    <row customHeight="1" ht="11.25" hidden="1">
      <c r="E4" s="124"/>
      <c r="AJ4" s="1256"/>
      <c r="AK4" s="1256"/>
      <c r="AL4" s="1256"/>
      <c r="AM4" s="1256"/>
      <c r="AN4" s="1256"/>
      <c r="AO4" s="1256"/>
      <c r="AP4" s="1256"/>
      <c r="AQ4" s="1256"/>
      <c r="AR4" s="1256"/>
      <c r="AS4" s="1256"/>
      <c r="AT4" s="1256"/>
      <c r="AU4" s="1256"/>
      <c r="AV4" s="1256"/>
      <c r="AW4" s="1256"/>
      <c r="AX4" s="1256"/>
      <c r="AY4" s="1256"/>
      <c r="AZ4" s="1256"/>
      <c r="BA4" s="1256"/>
      <c r="BB4" s="1256"/>
      <c r="BC4" s="1256"/>
      <c r="BD4" s="1256"/>
      <c r="BE4" s="1256"/>
      <c r="BF4" s="1256"/>
      <c r="BG4" s="1256"/>
      <c r="BH4" s="1256"/>
      <c r="BI4" s="1256"/>
      <c r="BJ4" s="1256"/>
      <c r="BK4" s="1256"/>
      <c r="BL4" s="1256"/>
      <c r="BM4" s="1256"/>
    </row>
    <row s="956" customFormat="1" customHeight="1" ht="11.25" hidden="1">
      <c r="A5" s="124"/>
      <c r="B5" s="404"/>
      <c r="C5" s="124"/>
      <c r="D5" s="124"/>
      <c r="E5" s="679" t="s">
        <v>19</v>
      </c>
      <c r="AA5" s="679">
        <v>3</v>
      </c>
      <c r="AB5" s="684">
        <v>11</v>
      </c>
      <c r="AC5" s="680">
        <v>75</v>
      </c>
      <c r="AD5" s="684">
        <v>12</v>
      </c>
      <c r="AE5" s="679">
        <v>12.57</v>
      </c>
      <c r="AF5" s="679">
        <v>12.57</v>
      </c>
      <c r="AG5" s="679">
        <v>12.57</v>
      </c>
      <c r="AH5" s="679">
        <v>21</v>
      </c>
      <c r="AI5" s="679">
        <v>12.57</v>
      </c>
      <c r="AJ5" s="679">
        <v>12.57</v>
      </c>
      <c r="AK5" s="679">
        <v>12.57</v>
      </c>
      <c r="AL5" s="679">
        <v>12.57</v>
      </c>
      <c r="AM5" s="679">
        <v>12.57</v>
      </c>
      <c r="AN5" s="679">
        <v>12.57</v>
      </c>
      <c r="AO5" s="679">
        <v>12.57</v>
      </c>
      <c r="AP5" s="679">
        <v>12.57</v>
      </c>
      <c r="AQ5" s="679">
        <v>12.57</v>
      </c>
      <c r="AR5" s="679">
        <v>12.57</v>
      </c>
      <c r="AS5" s="679">
        <v>12.57</v>
      </c>
      <c r="AT5" s="679">
        <v>12.57</v>
      </c>
      <c r="AU5" s="679">
        <v>12.57</v>
      </c>
      <c r="AV5" s="679">
        <v>12.57</v>
      </c>
      <c r="AW5" s="679">
        <v>12.57</v>
      </c>
      <c r="AX5" s="679">
        <v>12.57</v>
      </c>
      <c r="AY5" s="679">
        <v>12.57</v>
      </c>
      <c r="AZ5" s="679">
        <v>12.57</v>
      </c>
      <c r="BA5" s="679">
        <v>12.57</v>
      </c>
      <c r="BB5" s="679">
        <v>12.57</v>
      </c>
      <c r="BC5" s="679">
        <v>12.57</v>
      </c>
      <c r="BD5" s="679">
        <v>12.57</v>
      </c>
      <c r="BE5" s="679">
        <v>12.57</v>
      </c>
      <c r="BF5" s="679">
        <v>12.57</v>
      </c>
      <c r="BG5" s="679">
        <v>12.57</v>
      </c>
      <c r="BH5" s="679">
        <v>12.57</v>
      </c>
      <c r="BI5" s="679">
        <v>12.57</v>
      </c>
      <c r="BJ5" s="679">
        <v>12.57</v>
      </c>
      <c r="BK5" s="679">
        <v>12.57</v>
      </c>
      <c r="BL5" s="679">
        <v>12.57</v>
      </c>
      <c r="BM5" s="679">
        <v>12.57</v>
      </c>
      <c r="BN5" s="679">
        <v>20</v>
      </c>
      <c r="BO5" s="679">
        <v>20</v>
      </c>
      <c r="BP5" s="679">
        <v>42</v>
      </c>
      <c r="BQ5" s="679">
        <v>3</v>
      </c>
      <c r="BS5" s="1041"/>
      <c r="BT5" s="1041"/>
      <c r="BU5" s="1041"/>
    </row>
    <row customHeight="1" ht="11.25" hidden="1">
      <c r="A6" s="124" t="s">
        <v>349</v>
      </c>
      <c r="AE6" s="124">
        <f>god-2</f>
        <v>2024</v>
      </c>
      <c r="AF6" s="124">
        <f>god-2</f>
        <v>2024</v>
      </c>
      <c r="AG6" s="124">
        <f>god-2</f>
        <v>2024</v>
      </c>
      <c r="AH6" s="124">
        <f>god-2</f>
        <v>2024</v>
      </c>
      <c r="AI6" s="64">
        <f>god-1</f>
        <v>2025</v>
      </c>
      <c r="AJ6" s="64" cm="1" t="str">
        <f t="array" ref="AJ6:AJ6">god</f>
        <v>2026</v>
      </c>
      <c r="AK6" s="64">
        <f>god+1</f>
        <v>2027</v>
      </c>
      <c r="AL6" s="64">
        <f>god+2</f>
        <v>2028</v>
      </c>
      <c r="AM6" s="64">
        <f>god+3</f>
        <v>2029</v>
      </c>
      <c r="AN6" s="64">
        <f>god+4</f>
        <v>2030</v>
      </c>
      <c r="AO6" s="64">
        <f>god+5</f>
        <v>2031</v>
      </c>
      <c r="AP6" s="64">
        <f>god+6</f>
        <v>2032</v>
      </c>
      <c r="AQ6" s="64">
        <f>god+7</f>
        <v>2033</v>
      </c>
      <c r="AR6" s="64">
        <f>god+8</f>
        <v>2034</v>
      </c>
      <c r="AS6" s="64">
        <f>god+9</f>
        <v>2035</v>
      </c>
      <c r="AT6" s="64" cm="1" t="str">
        <f t="array" ref="AT6:AT6">god</f>
        <v>2026</v>
      </c>
      <c r="AU6" s="64">
        <f>god+1</f>
        <v>2027</v>
      </c>
      <c r="AV6" s="64">
        <f>god+2</f>
        <v>2028</v>
      </c>
      <c r="AW6" s="64">
        <f>god+3</f>
        <v>2029</v>
      </c>
      <c r="AX6" s="64">
        <f>god+4</f>
        <v>2030</v>
      </c>
      <c r="AY6" s="64">
        <f>god+5</f>
        <v>2031</v>
      </c>
      <c r="AZ6" s="64">
        <f>god+6</f>
        <v>2032</v>
      </c>
      <c r="BA6" s="64">
        <f>god+7</f>
        <v>2033</v>
      </c>
      <c r="BB6" s="64">
        <f>god+8</f>
        <v>2034</v>
      </c>
      <c r="BC6" s="64">
        <f>god+9</f>
        <v>2035</v>
      </c>
      <c r="BD6" s="64" cm="1" t="str">
        <f t="array" ref="BD6:BD6">god</f>
        <v>2026</v>
      </c>
      <c r="BE6" s="64">
        <f>god+1</f>
        <v>2027</v>
      </c>
      <c r="BF6" s="64">
        <f>god+2</f>
        <v>2028</v>
      </c>
      <c r="BG6" s="64">
        <f>god+3</f>
        <v>2029</v>
      </c>
      <c r="BH6" s="64">
        <f>god+4</f>
        <v>2030</v>
      </c>
      <c r="BI6" s="64">
        <f>god+5</f>
        <v>2031</v>
      </c>
      <c r="BJ6" s="64">
        <f>god+6</f>
        <v>2032</v>
      </c>
      <c r="BK6" s="64">
        <f>god+7</f>
        <v>2033</v>
      </c>
      <c r="BL6" s="64">
        <f>god+8</f>
        <v>2034</v>
      </c>
      <c r="BM6" s="64">
        <f>god+9</f>
        <v>2035</v>
      </c>
    </row>
    <row customHeight="1" ht="11.25" hidden="1">
      <c r="A7" s="124" t="s">
        <v>350</v>
      </c>
      <c r="AE7" s="64" cm="1" t="str">
        <f t="array" ref="AE7:AE7">AE25</f>
        <v>Принято органом регулирования</v>
      </c>
      <c r="AF7" s="64" cm="1" t="str">
        <f t="array" ref="AF7:AF7">AF25</f>
        <v>Факт по данным организации</v>
      </c>
      <c r="AG7" s="64" cm="1" t="str">
        <f t="array" ref="AG7:AG7">AG25</f>
        <v>Факт, принятый органом регулирования</v>
      </c>
      <c r="AH7" s="64" cm="1" t="str">
        <f t="array" ref="AH7:AH7">AH25</f>
        <v>отклонение факта по данным организации к факту принятому органом регулирования</v>
      </c>
      <c r="AI7" s="64" cm="1" t="str">
        <f t="array" ref="AI7:AI7">AI25</f>
        <v>Принято органом регулирования</v>
      </c>
      <c r="AJ7" s="64" cm="1" t="str">
        <f t="array" ref="AJ7:AJ7">$AJ$25</f>
        <v>Предложение организации</v>
      </c>
      <c r="AK7" s="64" cm="1" t="str">
        <f t="array" ref="AK7:AK7">$AJ$25</f>
        <v>Предложение организации</v>
      </c>
      <c r="AL7" s="64" cm="1" t="str">
        <f t="array" ref="AL7:AL7">$AJ$25</f>
        <v>Предложение организации</v>
      </c>
      <c r="AM7" s="64" cm="1" t="str">
        <f t="array" ref="AM7:AM7">$AJ$25</f>
        <v>Предложение организации</v>
      </c>
      <c r="AN7" s="64" cm="1" t="str">
        <f t="array" ref="AN7:AN7">$AJ$25</f>
        <v>Предложение организации</v>
      </c>
      <c r="AO7" s="64" cm="1" t="str">
        <f t="array" ref="AO7:AO7">$AJ$25</f>
        <v>Предложение организации</v>
      </c>
      <c r="AP7" s="64" cm="1" t="str">
        <f t="array" ref="AP7:AP7">$AJ$25</f>
        <v>Предложение организации</v>
      </c>
      <c r="AQ7" s="64" cm="1" t="str">
        <f t="array" ref="AQ7:AQ7">$AJ$25</f>
        <v>Предложение организации</v>
      </c>
      <c r="AR7" s="64" cm="1" t="str">
        <f t="array" ref="AR7:AR7">$AJ$25</f>
        <v>Предложение организации</v>
      </c>
      <c r="AS7" s="64" cm="1" t="str">
        <f t="array" ref="AS7:AS7">$AJ$25</f>
        <v>Предложение организации</v>
      </c>
      <c r="AT7" s="64" cm="1" t="str">
        <f t="array" ref="AT7:AT7">$AT$25</f>
        <v>Принято органом регулирования</v>
      </c>
      <c r="AU7" s="64" cm="1" t="str">
        <f t="array" ref="AU7:AU7">$AT$25</f>
        <v>Принято органом регулирования</v>
      </c>
      <c r="AV7" s="64" cm="1" t="str">
        <f t="array" ref="AV7:AV7">$AT$25</f>
        <v>Принято органом регулирования</v>
      </c>
      <c r="AW7" s="64" cm="1" t="str">
        <f t="array" ref="AW7:AW7">$AT$25</f>
        <v>Принято органом регулирования</v>
      </c>
      <c r="AX7" s="64" cm="1" t="str">
        <f t="array" ref="AX7:AX7">$AT$25</f>
        <v>Принято органом регулирования</v>
      </c>
      <c r="AY7" s="64" cm="1" t="str">
        <f t="array" ref="AY7:AY7">$AT$25</f>
        <v>Принято органом регулирования</v>
      </c>
      <c r="AZ7" s="64" cm="1" t="str">
        <f t="array" ref="AZ7:AZ7">$AT$25</f>
        <v>Принято органом регулирования</v>
      </c>
      <c r="BA7" s="64" cm="1" t="str">
        <f t="array" ref="BA7:BA7">$AT$25</f>
        <v>Принято органом регулирования</v>
      </c>
      <c r="BB7" s="64" cm="1" t="str">
        <f t="array" ref="BB7:BB7">$AT$25</f>
        <v>Принято органом регулирования</v>
      </c>
      <c r="BC7" s="64" cm="1" t="str">
        <f t="array" ref="BC7:BC7">$AT$25</f>
        <v>Принято органом регулирования</v>
      </c>
      <c r="BD7" s="64"/>
      <c r="BE7" s="64"/>
      <c r="BF7" s="64"/>
      <c r="BG7" s="64"/>
      <c r="BH7" s="64"/>
      <c r="BI7" s="64"/>
      <c r="BJ7" s="64"/>
      <c r="BK7" s="64"/>
      <c r="BL7" s="64"/>
      <c r="BM7" s="64"/>
    </row>
    <row customHeight="1" ht="11.25" hidden="1">
      <c r="AE8" s="64" t="str">
        <f>AE6&amp;AE7</f>
        <v>2024Принято органом регулирования</v>
      </c>
      <c r="AF8" s="64" t="str">
        <f>AF6&amp;AF7</f>
        <v>2024Факт по данным организации</v>
      </c>
      <c r="AG8" s="64" t="str">
        <f>AG6&amp;AG7</f>
        <v>2024Факт, принятый органом регулирования</v>
      </c>
      <c r="AH8" s="64" t="str">
        <f>AH6&amp;AH7</f>
        <v>2024отклонение факта по данным организации к факту принятому органом регулирования</v>
      </c>
      <c r="AI8" s="64" t="str">
        <f>AI6&amp;AI7</f>
        <v>2025Принято органом регулирования</v>
      </c>
      <c r="AJ8" s="64" t="str">
        <f>AJ6&amp;AJ7</f>
        <v>2026Предложение организации</v>
      </c>
      <c r="AK8" s="64" t="str">
        <f>AK6&amp;AK7</f>
        <v>2027Предложение организации</v>
      </c>
      <c r="AL8" s="64" t="str">
        <f>AL6&amp;AL7</f>
        <v>2028Предложение организации</v>
      </c>
      <c r="AM8" s="64" t="str">
        <f>AM6&amp;AM7</f>
        <v>2029Предложение организации</v>
      </c>
      <c r="AN8" s="64" t="str">
        <f>AN6&amp;AN7</f>
        <v>2030Предложение организации</v>
      </c>
      <c r="AO8" s="64" t="str">
        <f>AO6&amp;AO7</f>
        <v>2031Предложение организации</v>
      </c>
      <c r="AP8" s="64" t="str">
        <f>AP6&amp;AP7</f>
        <v>2032Предложение организации</v>
      </c>
      <c r="AQ8" s="64" t="str">
        <f>AQ6&amp;AQ7</f>
        <v>2033Предложение организации</v>
      </c>
      <c r="AR8" s="64" t="str">
        <f>AR6&amp;AR7</f>
        <v>2034Предложение организации</v>
      </c>
      <c r="AS8" s="64" t="str">
        <f>AS6&amp;AS7</f>
        <v>2035Предложение организации</v>
      </c>
      <c r="AT8" s="64" t="str">
        <f>AT6&amp;AT7</f>
        <v>2026Принято органом регулирования</v>
      </c>
      <c r="AU8" s="64" t="str">
        <f>AU6&amp;AU7</f>
        <v>2027Принято органом регулирования</v>
      </c>
      <c r="AV8" s="64" t="str">
        <f>AV6&amp;AV7</f>
        <v>2028Принято органом регулирования</v>
      </c>
      <c r="AW8" s="64" t="str">
        <f>AW6&amp;AW7</f>
        <v>2029Принято органом регулирования</v>
      </c>
      <c r="AX8" s="64" t="str">
        <f>AX6&amp;AX7</f>
        <v>2030Принято органом регулирования</v>
      </c>
      <c r="AY8" s="64" t="str">
        <f>AY6&amp;AY7</f>
        <v>2031Принято органом регулирования</v>
      </c>
      <c r="AZ8" s="64" t="str">
        <f>AZ6&amp;AZ7</f>
        <v>2032Принято органом регулирования</v>
      </c>
      <c r="BA8" s="64" t="str">
        <f>BA6&amp;BA7</f>
        <v>2033Принято органом регулирования</v>
      </c>
      <c r="BB8" s="64" t="str">
        <f>BB6&amp;BB7</f>
        <v>2034Принято органом регулирования</v>
      </c>
      <c r="BC8" s="64" t="str">
        <f>BC6&amp;BC7</f>
        <v>2035Принято органом регулирования</v>
      </c>
      <c r="BD8" s="64"/>
      <c r="BE8" s="64"/>
      <c r="BF8" s="64"/>
      <c r="BG8" s="64"/>
      <c r="BH8" s="64"/>
      <c r="BI8" s="64"/>
      <c r="BJ8" s="64"/>
      <c r="BK8" s="64"/>
      <c r="BL8" s="64"/>
      <c r="BM8" s="64"/>
    </row>
    <row s="1041" customFormat="1" customHeight="1" ht="11.25" hidden="1">
      <c r="A9" s="974" t="s">
        <v>354</v>
      </c>
      <c r="B9" s="1037"/>
      <c r="C9" s="1037"/>
      <c r="D9" s="1037"/>
      <c r="E9" s="1037"/>
      <c r="F9" s="1037"/>
      <c r="G9" s="1037"/>
      <c r="H9" s="1037"/>
      <c r="I9" s="1037"/>
      <c r="J9" s="1037"/>
      <c r="K9" s="1037"/>
      <c r="L9" s="1037"/>
      <c r="M9" s="1037"/>
      <c r="N9" s="1037"/>
      <c r="O9" s="1037"/>
      <c r="P9" s="1037"/>
      <c r="Q9" s="1037"/>
      <c r="R9" s="1037"/>
      <c r="S9" s="1037"/>
      <c r="T9" s="1037"/>
      <c r="U9" s="1037"/>
      <c r="V9" s="1037"/>
      <c r="W9" s="1037"/>
      <c r="X9" s="1037"/>
      <c r="Y9" s="1037"/>
      <c r="Z9" s="1037"/>
      <c r="AA9" s="1037"/>
      <c r="AB9" s="1037"/>
      <c r="AC9" s="1037"/>
      <c r="AD9" s="1037"/>
      <c r="AE9" s="1038" cm="1" t="str">
        <f t="array" ref="AE9:AE9">AE6</f>
        <v>2024</v>
      </c>
      <c r="AF9" s="1038" cm="1" t="str">
        <f t="array" ref="AF9:AF9">AF6</f>
        <v>2024</v>
      </c>
      <c r="AG9" s="1038" cm="1" t="str">
        <f t="array" ref="AG9:AG9">AG6</f>
        <v>2024</v>
      </c>
      <c r="AH9" s="1038" cm="1" t="str">
        <f t="array" ref="AH9:AH9">AH6</f>
        <v>2024</v>
      </c>
      <c r="AI9" s="1038" cm="1" t="str">
        <f t="array" ref="AI9:AI9">AI6</f>
        <v>2025</v>
      </c>
      <c r="AJ9" s="1038" cm="1" t="str">
        <f t="array" ref="AJ9:AJ9">AJ6</f>
        <v>2026</v>
      </c>
      <c r="AK9" s="1038" cm="1" t="str">
        <f t="array" ref="AK9:AK9">AK6</f>
        <v>2027</v>
      </c>
      <c r="AL9" s="1038" cm="1" t="str">
        <f t="array" ref="AL9:AL9">AL6</f>
        <v>2028</v>
      </c>
      <c r="AM9" s="1038" cm="1" t="str">
        <f t="array" ref="AM9:AM9">AM6</f>
        <v>2029</v>
      </c>
      <c r="AN9" s="1038" cm="1" t="str">
        <f t="array" ref="AN9:AN9">AN6</f>
        <v>2030</v>
      </c>
      <c r="AO9" s="1038" cm="1" t="str">
        <f t="array" ref="AO9:AO9">AO6</f>
        <v>2031</v>
      </c>
      <c r="AP9" s="1038" cm="1" t="str">
        <f t="array" ref="AP9:AP9">AP6</f>
        <v>2032</v>
      </c>
      <c r="AQ9" s="1038" cm="1" t="str">
        <f t="array" ref="AQ9:AQ9">AQ6</f>
        <v>2033</v>
      </c>
      <c r="AR9" s="1038" cm="1" t="str">
        <f t="array" ref="AR9:AR9">AR6</f>
        <v>2034</v>
      </c>
      <c r="AS9" s="1038" cm="1" t="str">
        <f t="array" ref="AS9:AS9">AS6</f>
        <v>2035</v>
      </c>
      <c r="AT9" s="1038" cm="1" t="str">
        <f t="array" ref="AT9:AT9">AT6</f>
        <v>2026</v>
      </c>
      <c r="AU9" s="1038" cm="1" t="str">
        <f t="array" ref="AU9:AU9">AU6</f>
        <v>2027</v>
      </c>
      <c r="AV9" s="1038" cm="1" t="str">
        <f t="array" ref="AV9:AV9">AV6</f>
        <v>2028</v>
      </c>
      <c r="AW9" s="1038" cm="1" t="str">
        <f t="array" ref="AW9:AW9">AW6</f>
        <v>2029</v>
      </c>
      <c r="AX9" s="1038" cm="1" t="str">
        <f t="array" ref="AX9:AX9">AX6</f>
        <v>2030</v>
      </c>
      <c r="AY9" s="1038" cm="1" t="str">
        <f t="array" ref="AY9:AY9">AY6</f>
        <v>2031</v>
      </c>
      <c r="AZ9" s="1038" cm="1" t="str">
        <f t="array" ref="AZ9:AZ9">AZ6</f>
        <v>2032</v>
      </c>
      <c r="BA9" s="1038" cm="1" t="str">
        <f t="array" ref="BA9:BA9">BA6</f>
        <v>2033</v>
      </c>
      <c r="BB9" s="1038" cm="1" t="str">
        <f t="array" ref="BB9:BB9">BB6</f>
        <v>2034</v>
      </c>
      <c r="BC9" s="1038" cm="1" t="str">
        <f t="array" ref="BC9:BC9">BC6</f>
        <v>2035</v>
      </c>
      <c r="BD9" s="1038" cm="1" t="str">
        <f t="array" ref="BD9:BD9">BD6</f>
        <v>2026</v>
      </c>
      <c r="BE9" s="1038" cm="1" t="str">
        <f t="array" ref="BE9:BE9">BE6</f>
        <v>2027</v>
      </c>
      <c r="BF9" s="1038" cm="1" t="str">
        <f t="array" ref="BF9:BF9">BF6</f>
        <v>2028</v>
      </c>
      <c r="BG9" s="1038" cm="1" t="str">
        <f t="array" ref="BG9:BG9">BG6</f>
        <v>2029</v>
      </c>
      <c r="BH9" s="1038" cm="1" t="str">
        <f t="array" ref="BH9:BH9">BH6</f>
        <v>2030</v>
      </c>
      <c r="BI9" s="1038" cm="1" t="str">
        <f t="array" ref="BI9:BI9">BI6</f>
        <v>2031</v>
      </c>
      <c r="BJ9" s="1038" cm="1" t="str">
        <f t="array" ref="BJ9:BJ9">BJ6</f>
        <v>2032</v>
      </c>
      <c r="BK9" s="1038" cm="1" t="str">
        <f t="array" ref="BK9:BK9">BK6</f>
        <v>2033</v>
      </c>
      <c r="BL9" s="1038" cm="1" t="str">
        <f t="array" ref="BL9:BL9">BL6</f>
        <v>2034</v>
      </c>
      <c r="BM9" s="1038" cm="1" t="str">
        <f t="array" ref="BM9:BM9">BM6</f>
        <v>2035</v>
      </c>
      <c r="BV9" s="679"/>
      <c r="BW9" s="679"/>
    </row>
    <row s="1041" customFormat="1" customHeight="1" ht="11.25" hidden="1">
      <c r="A10" s="974" t="s">
        <v>355</v>
      </c>
      <c r="B10" s="1037"/>
      <c r="C10" s="1037"/>
      <c r="D10" s="1037"/>
      <c r="E10" s="1037"/>
      <c r="F10" s="1037"/>
      <c r="G10" s="1037"/>
      <c r="H10" s="1037"/>
      <c r="I10" s="1037"/>
      <c r="J10" s="1037"/>
      <c r="K10" s="1037"/>
      <c r="L10" s="1037"/>
      <c r="M10" s="1037"/>
      <c r="N10" s="1037"/>
      <c r="O10" s="1037"/>
      <c r="P10" s="1037"/>
      <c r="Q10" s="1037"/>
      <c r="R10" s="1037"/>
      <c r="S10" s="1037"/>
      <c r="T10" s="1037"/>
      <c r="U10" s="1037"/>
      <c r="V10" s="1037"/>
      <c r="W10" s="1037"/>
      <c r="X10" s="1037"/>
      <c r="Y10" s="1037"/>
      <c r="Z10" s="1037"/>
      <c r="AA10" s="1037"/>
      <c r="AB10" s="1037"/>
      <c r="AC10" s="1037"/>
      <c r="AD10" s="1037"/>
      <c r="AE10" s="1038" cm="1" t="str">
        <f t="array" ref="AE10:AE10">AE25</f>
        <v>Принято органом регулирования</v>
      </c>
      <c r="AF10" s="1038" cm="1" t="str">
        <f t="array" ref="AF10:AF10">AF25</f>
        <v>Факт по данным организации</v>
      </c>
      <c r="AG10" s="1038" cm="1" t="str">
        <f t="array" ref="AG10:AG10">AG25</f>
        <v>Факт, принятый органом регулирования</v>
      </c>
      <c r="AH10" s="1038" cm="1" t="str">
        <f t="array" ref="AH10:AH10">AH25</f>
        <v>отклонение факта по данным организации к факту принятому органом регулирования</v>
      </c>
      <c r="AI10" s="1038" cm="1" t="str">
        <f t="array" ref="AI10:AI10">AI25</f>
        <v>Принято органом регулирования</v>
      </c>
      <c r="AJ10" s="1038" cm="1" t="str">
        <f t="array" ref="AJ10:AJ10">AJ25</f>
        <v>Предложение организации</v>
      </c>
      <c r="AK10" s="1038" cm="1" t="str">
        <f t="array" ref="AK10:AK10">AK25</f>
        <v>Предложение организации</v>
      </c>
      <c r="AL10" s="1038" cm="1" t="str">
        <f t="array" ref="AL10:AL10">AL25</f>
        <v>Предложение организации</v>
      </c>
      <c r="AM10" s="1038" cm="1" t="str">
        <f t="array" ref="AM10:AM10">AM25</f>
        <v>Предложение организации</v>
      </c>
      <c r="AN10" s="1038" cm="1" t="str">
        <f t="array" ref="AN10:AN10">AN25</f>
        <v>Предложение организации</v>
      </c>
      <c r="AO10" s="1038" cm="1" t="str">
        <f t="array" ref="AO10:AO10">AO25</f>
        <v>Предложение организации</v>
      </c>
      <c r="AP10" s="1038" cm="1" t="str">
        <f t="array" ref="AP10:AP10">AP25</f>
        <v>Предложение организации</v>
      </c>
      <c r="AQ10" s="1038" cm="1" t="str">
        <f t="array" ref="AQ10:AQ10">AQ25</f>
        <v>Предложение организации</v>
      </c>
      <c r="AR10" s="1038" cm="1" t="str">
        <f t="array" ref="AR10:AR10">AR25</f>
        <v>Предложение организации</v>
      </c>
      <c r="AS10" s="1038" cm="1" t="str">
        <f t="array" ref="AS10:AS10">AS25</f>
        <v>Предложение организации</v>
      </c>
      <c r="AT10" s="1038" cm="1" t="str">
        <f t="array" ref="AT10:AT10">AT25</f>
        <v>Принято органом регулирования</v>
      </c>
      <c r="AU10" s="1038" cm="1" t="str">
        <f t="array" ref="AU10:AU10">AU25</f>
        <v>Принято органом регулирования</v>
      </c>
      <c r="AV10" s="1038" cm="1" t="str">
        <f t="array" ref="AV10:AV10">AV25</f>
        <v>Принято органом регулирования</v>
      </c>
      <c r="AW10" s="1038" cm="1" t="str">
        <f t="array" ref="AW10:AW10">AW25</f>
        <v>Принято органом регулирования</v>
      </c>
      <c r="AX10" s="1038" cm="1" t="str">
        <f t="array" ref="AX10:AX10">AX25</f>
        <v>Принято органом регулирования</v>
      </c>
      <c r="AY10" s="1038" cm="1" t="str">
        <f t="array" ref="AY10:AY10">AY25</f>
        <v>Принято органом регулирования</v>
      </c>
      <c r="AZ10" s="1038" cm="1" t="str">
        <f t="array" ref="AZ10:AZ10">AZ25</f>
        <v>Принято органом регулирования</v>
      </c>
      <c r="BA10" s="1038" cm="1" t="str">
        <f t="array" ref="BA10:BA10">BA25</f>
        <v>Принято органом регулирования</v>
      </c>
      <c r="BB10" s="1038" cm="1" t="str">
        <f t="array" ref="BB10:BB10">BB25</f>
        <v>Принято органом регулирования</v>
      </c>
      <c r="BC10" s="1038" cm="1" t="str">
        <f t="array" ref="BC10:BC10">BC25</f>
        <v>Принято органом регулирования</v>
      </c>
      <c r="BD10" s="1038"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38" cm="1" t="str">
        <f t="array" ref="BE10:BE10">BE25</f>
        <v>0</v>
      </c>
      <c r="BF10" s="1038" cm="1" t="str">
        <f t="array" ref="BF10:BF10">BF25</f>
        <v>0</v>
      </c>
      <c r="BG10" s="1038" cm="1" t="str">
        <f t="array" ref="BG10:BG10">BG25</f>
        <v>0</v>
      </c>
      <c r="BH10" s="1038" cm="1" t="str">
        <f t="array" ref="BH10:BH10">BH25</f>
        <v>0</v>
      </c>
      <c r="BI10" s="1038" cm="1" t="str">
        <f t="array" ref="BI10:BI10">BI25</f>
        <v>0</v>
      </c>
      <c r="BJ10" s="1038" cm="1" t="str">
        <f t="array" ref="BJ10:BJ10">BJ25</f>
        <v>0</v>
      </c>
      <c r="BK10" s="1038" cm="1" t="str">
        <f t="array" ref="BK10:BK10">BK25</f>
        <v>0</v>
      </c>
      <c r="BL10" s="1038" cm="1" t="str">
        <f t="array" ref="BL10:BL10">BL25</f>
        <v>0</v>
      </c>
      <c r="BM10" s="1038" cm="1" t="str">
        <f t="array" ref="BM10:BM10">BM25</f>
        <v>0</v>
      </c>
      <c r="BV10" s="679"/>
      <c r="BW10" s="679"/>
    </row>
    <row s="1041" customFormat="1" customHeight="1" ht="11.25" hidden="1">
      <c r="A11" s="974" t="s">
        <v>356</v>
      </c>
      <c r="B11" s="1037"/>
      <c r="C11" s="1037"/>
      <c r="D11" s="1037"/>
      <c r="E11" s="1037"/>
      <c r="F11" s="1037"/>
      <c r="G11" s="1037"/>
      <c r="H11" s="1037"/>
      <c r="I11" s="1037"/>
      <c r="J11" s="1037"/>
      <c r="K11" s="1037"/>
      <c r="L11" s="1037"/>
      <c r="M11" s="1037"/>
      <c r="N11" s="1037"/>
      <c r="O11" s="1037"/>
      <c r="P11" s="1037"/>
      <c r="Q11" s="1037"/>
      <c r="R11" s="1037"/>
      <c r="S11" s="1037"/>
      <c r="T11" s="1037"/>
      <c r="U11" s="1037"/>
      <c r="V11" s="1037"/>
      <c r="W11" s="1037"/>
      <c r="X11" s="1037"/>
      <c r="Y11" s="1037"/>
      <c r="Z11" s="1037"/>
      <c r="AA11" s="1037"/>
      <c r="AB11" s="1037"/>
      <c r="AC11" s="1037"/>
      <c r="AD11" s="1037"/>
      <c r="AE11" s="1038"/>
      <c r="AJ11" s="1041"/>
      <c r="AK11" s="1041"/>
      <c r="AL11" s="1041"/>
      <c r="AM11" s="1041"/>
      <c r="AN11" s="1041"/>
      <c r="AO11" s="1041"/>
      <c r="AP11" s="1041"/>
      <c r="AQ11" s="1041"/>
      <c r="AR11" s="1041"/>
      <c r="AS11" s="1041"/>
      <c r="AT11" s="1041"/>
      <c r="AU11" s="1041"/>
      <c r="AV11" s="1041"/>
      <c r="AW11" s="1041"/>
      <c r="AX11" s="1041"/>
      <c r="AY11" s="1041"/>
      <c r="AZ11" s="1041"/>
      <c r="BA11" s="1041"/>
      <c r="BB11" s="1041"/>
      <c r="BC11" s="1041"/>
      <c r="BD11" s="1041"/>
      <c r="BE11" s="1041"/>
      <c r="BF11" s="1041"/>
      <c r="BG11" s="1041"/>
      <c r="BH11" s="1041"/>
      <c r="BI11" s="1041"/>
      <c r="BJ11" s="1041"/>
      <c r="BK11" s="1041"/>
      <c r="BL11" s="1041"/>
      <c r="BM11" s="1041"/>
      <c r="BN11" s="1041" cm="1" t="str">
        <f t="array" ref="BN11:BN11">BN24</f>
        <v>Указание на подтверждающие документы / URL-ссылка на копии подтверждающих документов</v>
      </c>
      <c r="BO11" s="1041" cm="1" t="str">
        <f t="array" ref="BO11:BO11">BO24</f>
        <v>Ссылка на правовую норму (основание для принятия показателя в расчет тарифа)</v>
      </c>
      <c r="BP11" s="104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679"/>
      <c r="BW11" s="679"/>
    </row>
    <row s="1041" customFormat="1" customHeight="1" ht="11.25" hidden="1">
      <c r="A12" s="1039" t="s">
        <v>327</v>
      </c>
      <c r="B12" s="1037"/>
      <c r="C12" s="1037"/>
      <c r="D12" s="1037"/>
      <c r="E12" s="1037"/>
      <c r="F12" s="1037"/>
      <c r="G12" s="1037"/>
      <c r="H12" s="1037"/>
      <c r="I12" s="1037"/>
      <c r="J12" s="1037"/>
      <c r="K12" s="1037"/>
      <c r="L12" s="1037"/>
      <c r="M12" s="1037"/>
      <c r="N12" s="1037"/>
      <c r="O12" s="1037"/>
      <c r="P12" s="1037"/>
      <c r="Q12" s="1037"/>
      <c r="R12" s="1037"/>
      <c r="S12" s="1037"/>
      <c r="T12" s="1037"/>
      <c r="U12" s="1037"/>
      <c r="V12" s="1037"/>
      <c r="W12" s="1037"/>
      <c r="X12" s="1037"/>
      <c r="Y12" s="1037"/>
      <c r="Z12" s="1037"/>
      <c r="AA12" s="1037"/>
      <c r="AB12" s="1037"/>
      <c r="AC12" s="1039" t="s">
        <v>314</v>
      </c>
      <c r="AD12" s="1037"/>
      <c r="AE12" s="1038"/>
      <c r="AJ12" s="1041"/>
      <c r="AK12" s="1041"/>
      <c r="AL12" s="1041"/>
      <c r="AM12" s="1041"/>
      <c r="AN12" s="1041"/>
      <c r="AO12" s="1041"/>
      <c r="AP12" s="1041"/>
      <c r="AQ12" s="1041"/>
      <c r="AR12" s="1041"/>
      <c r="AS12" s="1041"/>
      <c r="AT12" s="1041"/>
      <c r="AU12" s="1041"/>
      <c r="AV12" s="1041"/>
      <c r="AW12" s="1041"/>
      <c r="AX12" s="1041"/>
      <c r="AY12" s="1041"/>
      <c r="AZ12" s="1041"/>
      <c r="BA12" s="1041"/>
      <c r="BB12" s="1041"/>
      <c r="BC12" s="1041"/>
      <c r="BD12" s="1041"/>
      <c r="BE12" s="1041"/>
      <c r="BF12" s="1041"/>
      <c r="BG12" s="1041"/>
      <c r="BH12" s="1041"/>
      <c r="BI12" s="1041"/>
      <c r="BJ12" s="1041"/>
      <c r="BK12" s="1041"/>
      <c r="BL12" s="1041"/>
      <c r="BM12" s="1041"/>
      <c r="BV12" s="679"/>
      <c r="BW12" s="679"/>
    </row>
    <row customHeight="1" ht="11.25" hidden="1">
      <c r="A13" s="124" t="s">
        <v>1562</v>
      </c>
      <c r="AJ13" s="1256"/>
      <c r="AK13" s="1256"/>
      <c r="AL13" s="1256"/>
      <c r="AM13" s="1256"/>
      <c r="AN13" s="1256"/>
      <c r="AO13" s="1256"/>
      <c r="AP13" s="1256"/>
      <c r="AQ13" s="1256"/>
      <c r="AR13" s="1256"/>
      <c r="AS13" s="1256"/>
      <c r="AT13" s="1256"/>
      <c r="AU13" s="1256"/>
      <c r="AV13" s="1256"/>
      <c r="AW13" s="1256"/>
      <c r="AX13" s="1256"/>
      <c r="AY13" s="1256"/>
      <c r="AZ13" s="1256"/>
      <c r="BA13" s="1256"/>
      <c r="BB13" s="1256"/>
      <c r="BC13" s="1256"/>
      <c r="BD13" s="1256"/>
      <c r="BE13" s="1256"/>
      <c r="BF13" s="1256"/>
      <c r="BG13" s="1256"/>
      <c r="BH13" s="1256"/>
      <c r="BI13" s="1256"/>
      <c r="BJ13" s="1256"/>
      <c r="BK13" s="1256"/>
      <c r="BL13" s="1256"/>
      <c r="BM13" s="1256"/>
      <c r="BN13" s="124" cm="1" t="str">
        <f t="array" ref="BN13:BN13">BN24</f>
        <v>Указание на подтверждающие документы / URL-ссылка на копии подтверждающих документов</v>
      </c>
      <c r="BO13" s="124" cm="1" t="str">
        <f t="array" ref="BO13:BO13">BO24</f>
        <v>Ссылка на правовую норму (основание для принятия показателя в расчет тарифа)</v>
      </c>
      <c r="BP13" s="124" cm="1" t="str">
        <f t="array" ref="BP13: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customHeight="1" ht="11.25" hidden="1">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row>
    <row customHeight="1" ht="11.25" hidden="1">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row>
    <row customHeight="1" ht="11.25" hidden="1">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row>
    <row customHeight="1" ht="11.25" hidden="1">
      <c r="AJ17" s="1256"/>
      <c r="AK17" s="1256"/>
      <c r="AL17" s="1256"/>
      <c r="AM17" s="1256"/>
      <c r="AN17" s="1256"/>
      <c r="AO17" s="1256"/>
      <c r="AP17" s="1256"/>
      <c r="AQ17" s="1256"/>
      <c r="AR17" s="1256"/>
      <c r="AS17" s="1256"/>
      <c r="AT17" s="1256"/>
      <c r="AU17" s="1256"/>
      <c r="AV17" s="1256"/>
      <c r="AW17" s="1256"/>
      <c r="AX17" s="1256"/>
      <c r="AY17" s="1256"/>
      <c r="AZ17" s="1256"/>
      <c r="BA17" s="1256"/>
      <c r="BB17" s="1256"/>
      <c r="BC17" s="1256"/>
      <c r="BD17" s="1256"/>
      <c r="BE17" s="1256"/>
      <c r="BF17" s="1256"/>
      <c r="BG17" s="1256"/>
      <c r="BH17" s="1256"/>
      <c r="BI17" s="1256"/>
      <c r="BJ17" s="1256"/>
      <c r="BK17" s="1256"/>
      <c r="BL17" s="1256"/>
      <c r="BM17" s="1256"/>
    </row>
    <row customHeight="1" ht="11.25" hidden="1">
      <c r="A18" s="124" t="s">
        <v>357</v>
      </c>
      <c r="AC18" s="123" t="s">
        <v>358</v>
      </c>
      <c r="AJ18" s="1256"/>
      <c r="AK18" s="1256"/>
      <c r="AL18" s="1256"/>
      <c r="AM18" s="1256"/>
      <c r="AN18" s="1256"/>
      <c r="AO18" s="1256"/>
      <c r="AP18" s="1256"/>
      <c r="AQ18" s="1256"/>
      <c r="AR18" s="1256"/>
      <c r="AS18" s="1256"/>
      <c r="AT18" s="1256"/>
      <c r="AU18" s="1256"/>
      <c r="AV18" s="1256"/>
      <c r="AW18" s="1256"/>
      <c r="AX18" s="1256"/>
      <c r="AY18" s="1256"/>
      <c r="AZ18" s="1256"/>
      <c r="BA18" s="1256"/>
      <c r="BB18" s="1256"/>
      <c r="BC18" s="1256"/>
      <c r="BD18" s="1256"/>
      <c r="BE18" s="1256"/>
      <c r="BF18" s="1256"/>
      <c r="BG18" s="1256"/>
      <c r="BH18" s="1256"/>
      <c r="BI18" s="1256"/>
      <c r="BJ18" s="1256"/>
      <c r="BK18" s="1256"/>
      <c r="BL18" s="1256"/>
      <c r="BM18" s="1256"/>
    </row>
    <row customHeight="1" ht="11.25" hidden="1">
      <c r="AJ19" s="1256"/>
      <c r="AK19" s="1256"/>
      <c r="AL19" s="1256"/>
      <c r="AM19" s="1256"/>
      <c r="AN19" s="1256"/>
      <c r="AO19" s="1256"/>
      <c r="AP19" s="1256"/>
      <c r="AQ19" s="1256"/>
      <c r="AR19" s="1256"/>
      <c r="AS19" s="1256"/>
      <c r="AT19" s="1256"/>
      <c r="AU19" s="1256"/>
      <c r="AV19" s="1256"/>
      <c r="AW19" s="1256"/>
      <c r="AX19" s="1256"/>
      <c r="AY19" s="1256"/>
      <c r="AZ19" s="1256"/>
      <c r="BA19" s="1256"/>
      <c r="BB19" s="1256"/>
      <c r="BC19" s="1256"/>
      <c r="BD19" s="1256"/>
      <c r="BE19" s="1256"/>
      <c r="BF19" s="1256"/>
      <c r="BG19" s="1256"/>
      <c r="BH19" s="1256"/>
      <c r="BI19" s="1256"/>
      <c r="BJ19" s="1256"/>
      <c r="BK19" s="1256"/>
      <c r="BL19" s="1256"/>
      <c r="BM19" s="1256"/>
    </row>
    <row customHeight="1" ht="11.25" hidden="1">
      <c r="AJ20" s="1256"/>
      <c r="AK20" s="1256"/>
      <c r="AL20" s="1256"/>
      <c r="AM20" s="1256"/>
      <c r="AN20" s="1256"/>
      <c r="AO20" s="1256"/>
      <c r="AP20" s="1256"/>
      <c r="AQ20" s="1256"/>
      <c r="AR20" s="1256"/>
      <c r="AS20" s="1256"/>
      <c r="AT20" s="1256"/>
      <c r="AU20" s="1256"/>
      <c r="AV20" s="1256"/>
      <c r="AW20" s="1256"/>
      <c r="AX20" s="1256"/>
      <c r="AY20" s="1256"/>
      <c r="AZ20" s="1256"/>
      <c r="BA20" s="1256"/>
      <c r="BB20" s="1256"/>
      <c r="BC20" s="1256"/>
      <c r="BD20" s="1256"/>
      <c r="BE20" s="1256"/>
      <c r="BF20" s="1256"/>
      <c r="BG20" s="1256"/>
      <c r="BH20" s="1256"/>
      <c r="BI20" s="1256"/>
      <c r="BJ20" s="1256"/>
      <c r="BK20" s="1256"/>
      <c r="BL20" s="1256"/>
      <c r="BM20" s="1256"/>
    </row>
    <row customHeight="1" ht="14.625">
      <c r="E21" s="679">
        <v>15</v>
      </c>
      <c r="AA21" s="397"/>
      <c r="AB21" s="124"/>
      <c r="AC21" s="50" cm="1" t="str">
        <f t="array" ref="AC21:AC21">tpl_title</f>
        <v>Кемеровская область / 2026 / ОАО «СКЭК» (ИНН:4205153492, КПП:420501001) / ДПР: 2026-2026</v>
      </c>
      <c r="AD21" s="124"/>
      <c r="AJ21" s="1256"/>
      <c r="AK21" s="1256"/>
      <c r="AL21" s="1256"/>
      <c r="AM21" s="1256"/>
      <c r="AN21" s="1256"/>
      <c r="AO21" s="1256"/>
      <c r="AP21" s="1256"/>
      <c r="AQ21" s="1256"/>
      <c r="AR21" s="1256"/>
      <c r="AS21" s="1256"/>
      <c r="AT21" s="1256"/>
      <c r="AU21" s="1256"/>
      <c r="AV21" s="1256"/>
      <c r="AW21" s="1256"/>
      <c r="AX21" s="1256"/>
      <c r="AY21" s="1256"/>
      <c r="AZ21" s="1256"/>
      <c r="BA21" s="1256"/>
      <c r="BB21" s="1256"/>
      <c r="BC21" s="1256"/>
      <c r="BD21" s="1256"/>
      <c r="BE21" s="1256"/>
      <c r="BF21" s="1256"/>
      <c r="BG21" s="1256"/>
      <c r="BH21" s="1256"/>
      <c r="BI21" s="1256"/>
      <c r="BJ21" s="1256"/>
      <c r="BK21" s="1256"/>
      <c r="BL21" s="1256"/>
      <c r="BM21" s="1256"/>
    </row>
    <row s="1277" customFormat="1" customHeight="1" ht="19.5">
      <c r="B22" s="404"/>
      <c r="E22" s="596">
        <v>20</v>
      </c>
      <c r="AB22" s="285" t="s">
        <v>79</v>
      </c>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c r="BE22" s="217"/>
      <c r="BF22" s="217"/>
      <c r="BG22" s="217"/>
      <c r="BH22" s="217"/>
      <c r="BI22" s="217"/>
      <c r="BJ22" s="217"/>
      <c r="BK22" s="217"/>
      <c r="BL22" s="217"/>
      <c r="BM22" s="217"/>
      <c r="BN22" s="217"/>
      <c r="BO22" s="217"/>
      <c r="BP22" s="217"/>
      <c r="BS22" s="1043"/>
      <c r="BT22" s="1043"/>
      <c r="BU22" s="1043"/>
      <c r="BV22" s="596"/>
      <c r="BW22" s="596"/>
    </row>
    <row s="1277" customFormat="1" customHeight="1" ht="10.2375">
      <c r="B23" s="404"/>
      <c r="E23" s="596">
        <v>10.5</v>
      </c>
      <c r="AB23" s="953"/>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S23" s="1043"/>
      <c r="BT23" s="1043"/>
      <c r="BU23" s="1043"/>
      <c r="BV23" s="596"/>
      <c r="BW23" s="596"/>
    </row>
    <row s="958" customFormat="1" customHeight="1" ht="24.131250000000005">
      <c r="B24" s="405"/>
      <c r="E24" s="680">
        <v>24.75</v>
      </c>
      <c r="AB24" s="1525" t="s">
        <v>21</v>
      </c>
      <c r="AC24" s="1525" t="s">
        <v>358</v>
      </c>
      <c r="AD24" s="1525" t="s">
        <v>359</v>
      </c>
      <c r="AE24" s="57" t="str">
        <f>god-2&amp;" год"</f>
        <v>2024 год</v>
      </c>
      <c r="AF24" s="1098" t="str">
        <f>god-2&amp;" год"</f>
        <v>2024 год</v>
      </c>
      <c r="AG24" s="57" t="str">
        <f>god-2&amp;" год"</f>
        <v>2024 год</v>
      </c>
      <c r="AH24" s="57" t="str">
        <f>god-2&amp;" год"</f>
        <v>2024 год</v>
      </c>
      <c r="AI24" s="57" t="str">
        <f>god-1&amp;" год"</f>
        <v>2025 год</v>
      </c>
      <c r="AJ24" s="1096" t="str">
        <f>god&amp;" год"</f>
        <v>2026 год</v>
      </c>
      <c r="AK24" s="1096" t="str">
        <f>god+1&amp;" год"</f>
        <v>2027 год</v>
      </c>
      <c r="AL24" s="1096" t="str">
        <f>god+2&amp;" год"</f>
        <v>2028 год</v>
      </c>
      <c r="AM24" s="1096" t="str">
        <f>god+3&amp;" год"</f>
        <v>2029 год</v>
      </c>
      <c r="AN24" s="1096" t="str">
        <f>god+4&amp;" год"</f>
        <v>2030 год</v>
      </c>
      <c r="AO24" s="1096" t="str">
        <f>god+5&amp;" год"</f>
        <v>2031 год</v>
      </c>
      <c r="AP24" s="1096" t="str">
        <f>god+6&amp;" год"</f>
        <v>2032 год</v>
      </c>
      <c r="AQ24" s="1096" t="str">
        <f>god+7&amp;" год"</f>
        <v>2033 год</v>
      </c>
      <c r="AR24" s="1096" t="str">
        <f>god+8&amp;" год"</f>
        <v>2034 год</v>
      </c>
      <c r="AS24" s="1096" t="str">
        <f>god+9&amp;" год"</f>
        <v>2035 год</v>
      </c>
      <c r="AT24" s="58" t="str">
        <f>god&amp;" год"</f>
        <v>2026 год</v>
      </c>
      <c r="AU24" s="58" t="str">
        <f>god+1&amp;" год"</f>
        <v>2027 год</v>
      </c>
      <c r="AV24" s="58" t="str">
        <f>god+2&amp;" год"</f>
        <v>2028 год</v>
      </c>
      <c r="AW24" s="58" t="str">
        <f>god+3&amp;" год"</f>
        <v>2029 год</v>
      </c>
      <c r="AX24" s="58" t="str">
        <f>god+4&amp;" год"</f>
        <v>2030 год</v>
      </c>
      <c r="AY24" s="58" t="str">
        <f>god+5&amp;" год"</f>
        <v>2031 год</v>
      </c>
      <c r="AZ24" s="58" t="str">
        <f>god+6&amp;" год"</f>
        <v>2032 год</v>
      </c>
      <c r="BA24" s="58" t="str">
        <f>god+7&amp;" год"</f>
        <v>2033 год</v>
      </c>
      <c r="BB24" s="58" t="str">
        <f>god+8&amp;" год"</f>
        <v>2034 год</v>
      </c>
      <c r="BC24" s="58" t="str">
        <f>god+9&amp;" год"</f>
        <v>2035 год</v>
      </c>
      <c r="BD24" s="58" t="str">
        <f>god&amp;" год"</f>
        <v>2026 год</v>
      </c>
      <c r="BE24" s="58" t="str">
        <f>god+1&amp;" год"</f>
        <v>2027 год</v>
      </c>
      <c r="BF24" s="58" t="str">
        <f>god+2&amp;" год"</f>
        <v>2028 год</v>
      </c>
      <c r="BG24" s="58" t="str">
        <f>god+3&amp;" год"</f>
        <v>2029 год</v>
      </c>
      <c r="BH24" s="58" t="str">
        <f>god+4&amp;" год"</f>
        <v>2030 год</v>
      </c>
      <c r="BI24" s="58" t="str">
        <f>god+5&amp;" год"</f>
        <v>2031 год</v>
      </c>
      <c r="BJ24" s="58" t="str">
        <f>god+6&amp;" год"</f>
        <v>2032 год</v>
      </c>
      <c r="BK24" s="58" t="str">
        <f>god+7&amp;" год"</f>
        <v>2033 год</v>
      </c>
      <c r="BL24" s="58" t="str">
        <f>god+8&amp;" год"</f>
        <v>2034 год</v>
      </c>
      <c r="BM24" s="58" t="str">
        <f>god+9&amp;" год"</f>
        <v>2035 год</v>
      </c>
      <c r="BN24" s="1535" t="s">
        <v>1565</v>
      </c>
      <c r="BO24" s="1535" t="s">
        <v>500</v>
      </c>
      <c r="BP24" s="1535" t="s">
        <v>1566</v>
      </c>
      <c r="BS24" s="1044"/>
      <c r="BT24" s="1044"/>
      <c r="BU24" s="1044"/>
      <c r="BV24" s="680"/>
      <c r="BW24" s="680"/>
    </row>
    <row s="958" customFormat="1" customHeight="1" ht="48.993750000000006">
      <c r="B25" s="405"/>
      <c r="E25" s="680">
        <v>50.25</v>
      </c>
      <c r="AB25" s="1525"/>
      <c r="AC25" s="1525"/>
      <c r="AD25" s="1525"/>
      <c r="AE25" s="57" t="s">
        <v>351</v>
      </c>
      <c r="AF25" s="1098" t="s">
        <v>424</v>
      </c>
      <c r="AG25" s="57" t="s">
        <v>425</v>
      </c>
      <c r="AH25" s="57" t="s">
        <v>1567</v>
      </c>
      <c r="AI25" s="57" t="s">
        <v>351</v>
      </c>
      <c r="AJ25" s="1100" t="s">
        <v>352</v>
      </c>
      <c r="AK25" s="1100" t="s">
        <v>352</v>
      </c>
      <c r="AL25" s="1100" t="s">
        <v>352</v>
      </c>
      <c r="AM25" s="1100" t="s">
        <v>352</v>
      </c>
      <c r="AN25" s="1100" t="s">
        <v>352</v>
      </c>
      <c r="AO25" s="1100" t="s">
        <v>352</v>
      </c>
      <c r="AP25" s="1100" t="s">
        <v>352</v>
      </c>
      <c r="AQ25" s="1100" t="s">
        <v>352</v>
      </c>
      <c r="AR25" s="1100" t="s">
        <v>352</v>
      </c>
      <c r="AS25" s="1100" t="s">
        <v>352</v>
      </c>
      <c r="AT25" s="326" t="s">
        <v>351</v>
      </c>
      <c r="AU25" s="326" t="s">
        <v>351</v>
      </c>
      <c r="AV25" s="326" t="s">
        <v>351</v>
      </c>
      <c r="AW25" s="326" t="s">
        <v>351</v>
      </c>
      <c r="AX25" s="326" t="s">
        <v>351</v>
      </c>
      <c r="AY25" s="326" t="s">
        <v>351</v>
      </c>
      <c r="AZ25" s="326" t="s">
        <v>351</v>
      </c>
      <c r="BA25" s="326" t="s">
        <v>351</v>
      </c>
      <c r="BB25" s="326" t="s">
        <v>351</v>
      </c>
      <c r="BC25" s="326" t="s">
        <v>351</v>
      </c>
      <c r="BD25" s="1535" t="s">
        <v>1564</v>
      </c>
      <c r="BE25" s="1535"/>
      <c r="BF25" s="1535"/>
      <c r="BG25" s="1535"/>
      <c r="BH25" s="1535"/>
      <c r="BI25" s="1535"/>
      <c r="BJ25" s="1535"/>
      <c r="BK25" s="1535"/>
      <c r="BL25" s="1535"/>
      <c r="BM25" s="1535"/>
      <c r="BN25" s="1535"/>
      <c r="BO25" s="1535"/>
      <c r="BP25" s="1535"/>
      <c r="BS25" s="1044"/>
      <c r="BT25" s="1044"/>
      <c r="BU25" s="1044"/>
      <c r="BV25" s="680"/>
      <c r="BW25" s="680"/>
    </row>
    <row s="1624" customFormat="1" customHeight="1" ht="11.25">
      <c r="B26" s="402"/>
      <c r="E26" s="647" t="s">
        <v>362</v>
      </c>
      <c r="F26" s="138" t="s">
        <v>1779</v>
      </c>
      <c r="T26" s="0"/>
      <c r="AB26" s="472"/>
      <c r="AC26" s="66"/>
      <c r="AD26" s="66"/>
      <c r="AE26" s="66"/>
      <c r="AF26" s="66"/>
      <c r="AJ26" s="1624"/>
      <c r="AK26" s="1624"/>
      <c r="AL26" s="1624"/>
      <c r="AM26" s="1624"/>
      <c r="AN26" s="1624"/>
      <c r="AO26" s="1624"/>
      <c r="AP26" s="1624"/>
      <c r="AQ26" s="67"/>
      <c r="AR26" s="1624"/>
      <c r="AS26" s="1624"/>
      <c r="AT26" s="1624"/>
      <c r="AU26" s="1624"/>
      <c r="AV26" s="1624"/>
      <c r="AW26" s="1624"/>
      <c r="AX26" s="1624"/>
      <c r="AY26" s="1624"/>
      <c r="AZ26" s="1624"/>
      <c r="BA26" s="1624"/>
      <c r="BB26" s="1624"/>
      <c r="BC26" s="1624"/>
      <c r="BD26" s="1624"/>
      <c r="BE26" s="1624"/>
      <c r="BF26" s="1624"/>
      <c r="BG26" s="1624"/>
      <c r="BH26" s="1624"/>
      <c r="BI26" s="1624"/>
      <c r="BJ26" s="1624"/>
      <c r="BK26" s="1624"/>
      <c r="BL26" s="1624"/>
      <c r="BM26" s="1624"/>
      <c r="BS26" s="981"/>
      <c r="BT26" s="981"/>
      <c r="BU26" s="981"/>
      <c r="BV26" s="599"/>
      <c r="BW26" s="599"/>
    </row>
    <row s="1363" customFormat="1" customHeight="1" ht="14.625" hidden="1">
      <c r="A27" s="1363"/>
      <c r="B27" s="400"/>
      <c r="C27" s="398"/>
      <c r="D27" s="398"/>
      <c r="E27" s="594">
        <v>15</v>
      </c>
      <c r="F27" s="466" cm="1" t="str">
        <f t="array" ref="F27:F27">X27</f>
        <v>0</v>
      </c>
      <c r="G27" s="466" cm="1" t="str">
        <f t="array" ref="G27:G27">INDEX('Общие сведения'!$AK$179:$AK$208,MATCH($X27,'Общие сведения'!$Z$179:$Z$208,0))</f>
        <v>одноставочный</v>
      </c>
      <c r="H27" s="398"/>
      <c r="I27" s="466"/>
      <c r="J27" s="398"/>
      <c r="K27" s="398"/>
      <c r="L27" s="959"/>
      <c r="M27" s="398"/>
      <c r="N27" s="398"/>
      <c r="O27" s="398"/>
      <c r="P27" s="398"/>
      <c r="Q27" s="398"/>
      <c r="R27" s="398"/>
      <c r="S27" s="398" cm="1" t="str">
        <f t="array" ref="S27:S27">INDEX('Общие сведения'!$AE$179:$AE$208,MATCH($X27,'Общие сведения'!$Z$179:$Z$208,0))</f>
        <v>0</v>
      </c>
      <c r="T27" s="438">
        <f>X27&gt;0</f>
        <v>0</v>
      </c>
      <c r="U27" s="398"/>
      <c r="V27" s="398" t="s">
        <v>267</v>
      </c>
      <c r="W27" s="398"/>
      <c r="X27" s="1541">
        <v>0</v>
      </c>
      <c r="Y27" s="1363"/>
      <c r="Z27" s="1494"/>
      <c r="AA27" s="1363"/>
      <c r="AB27" s="347" cm="1" t="str">
        <f t="array" ref="AB27:AB27">INDEX('Общие сведения'!$AG$179:$AG$208,MATCH($X27,'Общие сведения'!$Z$179:$Z$208,0))</f>
        <v>Тариф 0 () - тариф на транспортировку сточных вод</v>
      </c>
      <c r="AC27" s="218"/>
      <c r="AD27" s="218"/>
      <c r="AE27" s="218"/>
      <c r="AF27" s="218"/>
      <c r="AG27" s="218"/>
      <c r="AH27" s="218"/>
      <c r="AI27" s="218"/>
      <c r="AJ27" s="218"/>
      <c r="AK27" s="218"/>
      <c r="AL27" s="218"/>
      <c r="AM27" s="218"/>
      <c r="AN27" s="218"/>
      <c r="AO27" s="218"/>
      <c r="AP27" s="218"/>
      <c r="AQ27" s="218"/>
      <c r="AR27" s="218"/>
      <c r="AS27" s="218"/>
      <c r="AT27" s="218"/>
      <c r="AU27" s="218"/>
      <c r="AV27" s="218"/>
      <c r="AW27" s="218"/>
      <c r="AX27" s="218"/>
      <c r="AY27" s="218"/>
      <c r="AZ27" s="218"/>
      <c r="BA27" s="218"/>
      <c r="BB27" s="218"/>
      <c r="BC27" s="218"/>
      <c r="BD27" s="218"/>
      <c r="BE27" s="218"/>
      <c r="BF27" s="218"/>
      <c r="BG27" s="218"/>
      <c r="BH27" s="218"/>
      <c r="BI27" s="218"/>
      <c r="BJ27" s="218"/>
      <c r="BK27" s="218"/>
      <c r="BL27" s="218"/>
      <c r="BM27" s="218"/>
      <c r="BN27" s="218"/>
      <c r="BO27" s="218"/>
      <c r="BP27" s="218"/>
      <c r="BQ27" s="1363"/>
      <c r="BR27" s="1363"/>
      <c r="BS27" s="974"/>
      <c r="BT27" s="974"/>
      <c r="BU27" s="974"/>
      <c r="BV27" s="593"/>
      <c r="BW27" s="593"/>
    </row>
    <row s="127" customFormat="1" customHeight="1" ht="20.475" hidden="1">
      <c r="A28" s="127"/>
      <c r="B28" s="406"/>
      <c r="C28" s="831"/>
      <c r="D28" s="831"/>
      <c r="E28" s="832">
        <v>21</v>
      </c>
      <c r="F28" s="50" cm="1" t="str">
        <f t="array" ref="F28:F28">OFFSET(E28,-1,1)</f>
        <v>0</v>
      </c>
      <c r="G28" s="831"/>
      <c r="H28" s="78"/>
      <c r="I28" s="78" t="s">
        <v>321</v>
      </c>
      <c r="J28" s="831"/>
      <c r="K28" s="343" t="s">
        <v>321</v>
      </c>
      <c r="L28" s="960"/>
      <c r="M28" s="831"/>
      <c r="N28" s="831"/>
      <c r="O28" s="831"/>
      <c r="P28" s="831"/>
      <c r="Q28" s="831"/>
      <c r="R28" s="831"/>
      <c r="S28" s="831"/>
      <c r="T28" s="438" cm="1" t="str">
        <f t="array" ref="T28:T28">T27</f>
        <v>false</v>
      </c>
      <c r="U28" s="831"/>
      <c r="V28" s="831"/>
      <c r="W28" s="831"/>
      <c r="X28" s="1541"/>
      <c r="Y28" s="127"/>
      <c r="Z28" s="1494"/>
      <c r="AA28" s="127"/>
      <c r="AB28" s="200" t="s">
        <v>281</v>
      </c>
      <c r="AC28" s="178" t="s">
        <v>1780</v>
      </c>
      <c r="AD28" s="200" t="s">
        <v>789</v>
      </c>
      <c r="AE28" s="754">
        <f>SUM(AE30,AE47,AE53,AE73,AE74,AE75)</f>
        <v>0</v>
      </c>
      <c r="AF28" s="754">
        <f>SUM(AF30,AF47,AF53,AF73,AF74,AF75)</f>
        <v>0</v>
      </c>
      <c r="AG28" s="754">
        <f>SUM(AG30,AG47,AG53,AG73,AG74,AG75)</f>
        <v>0</v>
      </c>
      <c r="AH28" s="754">
        <f>AG28-AF28</f>
        <v>0</v>
      </c>
      <c r="AI28" s="754">
        <f>SUM(AI30,AI47,AI53,AI73,AI74,AI75)</f>
        <v>0</v>
      </c>
      <c r="AJ28" s="754">
        <f>SUM(AJ30,AJ47,AJ53,AJ73,AJ74,AJ75)</f>
        <v>0</v>
      </c>
      <c r="AK28" s="1215">
        <f>AJ28*AK29</f>
        <v>0</v>
      </c>
      <c r="AL28" s="1215">
        <f>AK28*AL29</f>
        <v>0</v>
      </c>
      <c r="AM28" s="1215">
        <f>AL28*AM29</f>
        <v>0</v>
      </c>
      <c r="AN28" s="1215">
        <f>AM28*AN29</f>
        <v>0</v>
      </c>
      <c r="AO28" s="1215">
        <f>AN28*AO29</f>
        <v>0</v>
      </c>
      <c r="AP28" s="1215">
        <f>AO28*AP29</f>
        <v>0</v>
      </c>
      <c r="AQ28" s="1215">
        <f>AP28*AQ29</f>
        <v>0</v>
      </c>
      <c r="AR28" s="1215">
        <f>AQ28*AR29</f>
        <v>0</v>
      </c>
      <c r="AS28" s="1215">
        <f>AR28*AS29</f>
        <v>0</v>
      </c>
      <c r="AT28" s="754">
        <f>SUM(AT30,AT47,AT53,AT73,AT74,AT75)</f>
        <v>0</v>
      </c>
      <c r="AU28" s="1215">
        <f>AT28*AU29</f>
        <v>0</v>
      </c>
      <c r="AV28" s="1215">
        <f>AU28*AV29</f>
        <v>0</v>
      </c>
      <c r="AW28" s="1215">
        <f>AV28*AW29</f>
        <v>0</v>
      </c>
      <c r="AX28" s="1215">
        <f>AW28*AX29</f>
        <v>0</v>
      </c>
      <c r="AY28" s="1215">
        <f>AX28*AY29</f>
        <v>0</v>
      </c>
      <c r="AZ28" s="1215">
        <f>AY28*AZ29</f>
        <v>0</v>
      </c>
      <c r="BA28" s="1215">
        <f>AZ28*BA29</f>
        <v>0</v>
      </c>
      <c r="BB28" s="1215">
        <f>BA28*BB29</f>
        <v>0</v>
      </c>
      <c r="BC28" s="1215">
        <f>BB28*BC29</f>
        <v>0</v>
      </c>
      <c r="BD28" s="754">
        <f>IF(AI28=0,0,(AT28-AI28)/AI28*100)</f>
        <v>0</v>
      </c>
      <c r="BE28" s="754">
        <f>IF(AT28=0,0,(AU28-AT28)/AT28*100)</f>
        <v>0</v>
      </c>
      <c r="BF28" s="754">
        <f>IF(AU28=0,0,(AV28-AU28)/AU28*100)</f>
        <v>0</v>
      </c>
      <c r="BG28" s="754">
        <f>IF(AV28=0,0,(AW28-AV28)/AV28*100)</f>
        <v>0</v>
      </c>
      <c r="BH28" s="754">
        <f>IF(AW28=0,0,(AX28-AW28)/AW28*100)</f>
        <v>0</v>
      </c>
      <c r="BI28" s="754">
        <f>IF(AX28=0,0,(AY28-AX28)/AX28*100)</f>
        <v>0</v>
      </c>
      <c r="BJ28" s="754">
        <f>IF(AY28=0,0,(AZ28-AY28)/AY28*100)</f>
        <v>0</v>
      </c>
      <c r="BK28" s="754">
        <f>IF(AZ28=0,0,(BA28-AZ28)/AZ28*100)</f>
        <v>0</v>
      </c>
      <c r="BL28" s="754">
        <f>IF(BA28=0,0,(BB28-BA28)/BA28*100)</f>
        <v>0</v>
      </c>
      <c r="BM28" s="754">
        <f>IF(BB28=0,0,(BC28-BB28)/BB28*100)</f>
        <v>0</v>
      </c>
      <c r="BN28" s="1216"/>
      <c r="BO28" s="1216"/>
      <c r="BP28" s="1216"/>
      <c r="BQ28" s="126"/>
      <c r="BR28" s="127"/>
      <c r="BS28" s="1045" t="s">
        <v>497</v>
      </c>
      <c r="BT28" s="1045"/>
      <c r="BU28" s="1045"/>
      <c r="BV28" s="681"/>
      <c r="BW28" s="681"/>
    </row>
    <row customHeight="1" ht="14.625" hidden="1">
      <c r="A29" s="1256"/>
      <c r="B29" s="955"/>
      <c r="C29" s="73"/>
      <c r="D29" s="73"/>
      <c r="E29" s="596">
        <v>15</v>
      </c>
      <c r="F29" s="50" cm="1" t="str">
        <f t="array" ref="F29:F29">OFFSET(E29,-1,1)</f>
        <v>0</v>
      </c>
      <c r="G29" s="73"/>
      <c r="H29" s="833"/>
      <c r="I29" s="833" t="s">
        <v>434</v>
      </c>
      <c r="J29" s="73"/>
      <c r="K29" s="344" t="s">
        <v>434</v>
      </c>
      <c r="L29" s="957"/>
      <c r="M29" s="73"/>
      <c r="N29" s="73"/>
      <c r="O29" s="73"/>
      <c r="P29" s="73"/>
      <c r="Q29" s="73"/>
      <c r="R29" s="73"/>
      <c r="S29" s="73"/>
      <c r="T29" s="438" cm="1" t="str">
        <f t="array" ref="T29:T29">T28</f>
        <v>false</v>
      </c>
      <c r="U29" s="73"/>
      <c r="V29" s="73"/>
      <c r="W29" s="73"/>
      <c r="X29" s="1541"/>
      <c r="Y29" s="1256"/>
      <c r="Z29" s="1494"/>
      <c r="AA29" s="1256"/>
      <c r="AB29" s="266" t="s">
        <v>844</v>
      </c>
      <c r="AC29" s="738" t="s">
        <v>1781</v>
      </c>
      <c r="AD29" s="266"/>
      <c r="AE29" s="1217"/>
      <c r="AF29" s="1217"/>
      <c r="AG29" s="1217"/>
      <c r="AH29" s="1091">
        <f>AG29-AF29</f>
        <v>0</v>
      </c>
      <c r="AI29" s="1217"/>
      <c r="AJ29" s="3551"/>
      <c r="AK29" s="1217">
        <f>_xlfn.SUMIFS(INDEX(Сценарии!$AE$25:$BF$82,,MATCH(AK$8,Сценарии!$AE$8:$BF$8,0)),Сценарии!$F$25:$F$82,$F29,Сценарии!$G$25:$G$82,"ИОР")</f>
        <v>1</v>
      </c>
      <c r="AL29" s="1217">
        <f>_xlfn.SUMIFS(INDEX(Сценарии!$AE$25:$BF$82,,MATCH(AL$8,Сценарии!$AE$8:$BF$8,0)),Сценарии!$F$25:$F$82,$F29,Сценарии!$G$25:$G$82,"ИОР")</f>
        <v>1</v>
      </c>
      <c r="AM29" s="1217">
        <f>_xlfn.SUMIFS(INDEX(Сценарии!$AE$25:$BF$82,,MATCH(AM$8,Сценарии!$AE$8:$BF$8,0)),Сценарии!$F$25:$F$82,$F29,Сценарии!$G$25:$G$82,"ИОР")</f>
        <v>1</v>
      </c>
      <c r="AN29" s="1217">
        <f>_xlfn.SUMIFS(INDEX(Сценарии!$AE$25:$BF$82,,MATCH(AN$8,Сценарии!$AE$8:$BF$8,0)),Сценарии!$F$25:$F$82,$F29,Сценарии!$G$25:$G$82,"ИОР")</f>
        <v>1</v>
      </c>
      <c r="AO29" s="1217">
        <f>_xlfn.SUMIFS(INDEX(Сценарии!$AE$25:$BF$82,,MATCH(AO$8,Сценарии!$AE$8:$BF$8,0)),Сценарии!$F$25:$F$82,$F29,Сценарии!$G$25:$G$82,"ИОР")</f>
        <v>1</v>
      </c>
      <c r="AP29" s="1217">
        <f>_xlfn.SUMIFS(INDEX(Сценарии!$AE$25:$BF$82,,MATCH(AP$8,Сценарии!$AE$8:$BF$8,0)),Сценарии!$F$25:$F$82,$F29,Сценарии!$G$25:$G$82,"ИОР")</f>
        <v>1</v>
      </c>
      <c r="AQ29" s="1217">
        <f>_xlfn.SUMIFS(INDEX(Сценарии!$AE$25:$BF$82,,MATCH(AQ$8,Сценарии!$AE$8:$BF$8,0)),Сценарии!$F$25:$F$82,$F29,Сценарии!$G$25:$G$82,"ИОР")</f>
        <v>1</v>
      </c>
      <c r="AR29" s="1217">
        <f>_xlfn.SUMIFS(INDEX(Сценарии!$AE$25:$BF$82,,MATCH(AR$8,Сценарии!$AE$8:$BF$8,0)),Сценарии!$F$25:$F$82,$F29,Сценарии!$G$25:$G$82,"ИОР")</f>
        <v>1</v>
      </c>
      <c r="AS29" s="1217">
        <f>_xlfn.SUMIFS(INDEX(Сценарии!$AE$25:$BF$82,,MATCH(AS$8,Сценарии!$AE$8:$BF$8,0)),Сценарии!$F$25:$F$82,$F29,Сценарии!$G$25:$G$82,"ИОР")</f>
        <v>1</v>
      </c>
      <c r="AT29" s="3551"/>
      <c r="AU29" s="1217">
        <f>_xlfn.SUMIFS(INDEX(Сценарии!$AE$25:$BF$82,,MATCH(AU$8,Сценарии!$AE$8:$BF$8,0)),Сценарии!$F$25:$F$82,$F29,Сценарии!$G$25:$G$82,"ИОР")</f>
        <v>1</v>
      </c>
      <c r="AV29" s="1217">
        <f>_xlfn.SUMIFS(INDEX(Сценарии!$AE$25:$BF$82,,MATCH(AV$8,Сценарии!$AE$8:$BF$8,0)),Сценарии!$F$25:$F$82,$F29,Сценарии!$G$25:$G$82,"ИОР")</f>
        <v>1</v>
      </c>
      <c r="AW29" s="1217">
        <f>_xlfn.SUMIFS(INDEX(Сценарии!$AE$25:$BF$82,,MATCH(AW$8,Сценарии!$AE$8:$BF$8,0)),Сценарии!$F$25:$F$82,$F29,Сценарии!$G$25:$G$82,"ИОР")</f>
        <v>1</v>
      </c>
      <c r="AX29" s="1217">
        <f>_xlfn.SUMIFS(INDEX(Сценарии!$AE$25:$BF$82,,MATCH(AX$8,Сценарии!$AE$8:$BF$8,0)),Сценарии!$F$25:$F$82,$F29,Сценарии!$G$25:$G$82,"ИОР")</f>
        <v>1</v>
      </c>
      <c r="AY29" s="1217">
        <f>_xlfn.SUMIFS(INDEX(Сценарии!$AE$25:$BF$82,,MATCH(AY$8,Сценарии!$AE$8:$BF$8,0)),Сценарии!$F$25:$F$82,$F29,Сценарии!$G$25:$G$82,"ИОР")</f>
        <v>1</v>
      </c>
      <c r="AZ29" s="1217">
        <f>_xlfn.SUMIFS(INDEX(Сценарии!$AE$25:$BF$82,,MATCH(AZ$8,Сценарии!$AE$8:$BF$8,0)),Сценарии!$F$25:$F$82,$F29,Сценарии!$G$25:$G$82,"ИОР")</f>
        <v>1</v>
      </c>
      <c r="BA29" s="1217">
        <f>_xlfn.SUMIFS(INDEX(Сценарии!$AE$25:$BF$82,,MATCH(BA$8,Сценарии!$AE$8:$BF$8,0)),Сценарии!$F$25:$F$82,$F29,Сценарии!$G$25:$G$82,"ИОР")</f>
        <v>1</v>
      </c>
      <c r="BB29" s="1217">
        <f>_xlfn.SUMIFS(INDEX(Сценарии!$AE$25:$BF$82,,MATCH(BB$8,Сценарии!$AE$8:$BF$8,0)),Сценарии!$F$25:$F$82,$F29,Сценарии!$G$25:$G$82,"ИОР")</f>
        <v>1</v>
      </c>
      <c r="BC29" s="1217">
        <f>_xlfn.SUMIFS(INDEX(Сценарии!$AE$25:$BF$82,,MATCH(BC$8,Сценарии!$AE$8:$BF$8,0)),Сценарии!$F$25:$F$82,$F29,Сценарии!$G$25:$G$82,"ИОР")</f>
        <v>1</v>
      </c>
      <c r="BD29" s="1092">
        <f>IF(AI29=0,0,(AT29-AI29)/AI29*100)</f>
        <v>0</v>
      </c>
      <c r="BE29" s="1093"/>
      <c r="BF29" s="1093"/>
      <c r="BG29" s="1093"/>
      <c r="BH29" s="1093"/>
      <c r="BI29" s="1093"/>
      <c r="BJ29" s="1093"/>
      <c r="BK29" s="1093"/>
      <c r="BL29" s="1093"/>
      <c r="BM29" s="1093"/>
      <c r="BN29" s="1216"/>
      <c r="BO29" s="1216"/>
      <c r="BP29" s="1216"/>
      <c r="BQ29" s="1256"/>
      <c r="BR29" s="1256"/>
      <c r="BS29" s="1041" t="s">
        <v>1782</v>
      </c>
      <c r="BT29" s="1041"/>
      <c r="BU29" s="1041"/>
      <c r="BV29" s="956"/>
      <c r="BW29" s="956"/>
    </row>
    <row s="126" customFormat="1" customHeight="1" ht="20.475" hidden="1">
      <c r="A30" s="126"/>
      <c r="B30" s="406"/>
      <c r="C30" s="834"/>
      <c r="D30" s="834"/>
      <c r="E30" s="835">
        <v>21</v>
      </c>
      <c r="F30" s="50" cm="1" t="str">
        <f t="array" ref="F30:F30">OFFSET(E30,-1,1)</f>
        <v>0</v>
      </c>
      <c r="G30" s="834"/>
      <c r="H30" s="78"/>
      <c r="I30" s="78" t="s">
        <v>438</v>
      </c>
      <c r="J30" s="834"/>
      <c r="K30" s="343" t="s">
        <v>438</v>
      </c>
      <c r="L30" s="961" t="s">
        <v>321</v>
      </c>
      <c r="M30" s="834"/>
      <c r="N30" s="834"/>
      <c r="O30" s="834"/>
      <c r="P30" s="834"/>
      <c r="Q30" s="834"/>
      <c r="R30" s="834"/>
      <c r="S30" s="834"/>
      <c r="T30" s="438" cm="1" t="str">
        <f t="array" ref="T30:T30">T29</f>
        <v>false</v>
      </c>
      <c r="U30" s="834"/>
      <c r="V30" s="834"/>
      <c r="W30" s="834"/>
      <c r="X30" s="1541"/>
      <c r="Y30" s="126"/>
      <c r="Z30" s="1494"/>
      <c r="AA30" s="126"/>
      <c r="AB30" s="200" t="s">
        <v>847</v>
      </c>
      <c r="AC30" s="327" t="s">
        <v>1568</v>
      </c>
      <c r="AD30" s="200" t="s">
        <v>789</v>
      </c>
      <c r="AE30" s="754">
        <f>SUM(AE31,AE34,AE35,AE38,AE39)</f>
        <v>0</v>
      </c>
      <c r="AF30" s="754">
        <f>SUM(AF31,AF34,AF35,AF38,AF39)</f>
        <v>0</v>
      </c>
      <c r="AG30" s="754">
        <f>SUM(AG31,AG34,AG35,AG38,AG39)</f>
        <v>0</v>
      </c>
      <c r="AH30" s="754">
        <f>AG30-AF30</f>
        <v>0</v>
      </c>
      <c r="AI30" s="754">
        <f>SUM(AI31,AI34,AI35,AI38,AI39)</f>
        <v>0</v>
      </c>
      <c r="AJ30" s="754">
        <f>SUM(AJ31,AJ34,AJ35,AJ38,AJ39)</f>
        <v>0</v>
      </c>
      <c r="AK30" s="182"/>
      <c r="AL30" s="182"/>
      <c r="AM30" s="182"/>
      <c r="AN30" s="182"/>
      <c r="AO30" s="182"/>
      <c r="AP30" s="182"/>
      <c r="AQ30" s="182"/>
      <c r="AR30" s="182"/>
      <c r="AS30" s="182"/>
      <c r="AT30" s="754">
        <f>SUM(AT31,AT34,AT35,AT38,AT39)</f>
        <v>0</v>
      </c>
      <c r="AU30" s="182"/>
      <c r="AV30" s="182"/>
      <c r="AW30" s="182"/>
      <c r="AX30" s="182"/>
      <c r="AY30" s="182"/>
      <c r="AZ30" s="182"/>
      <c r="BA30" s="182"/>
      <c r="BB30" s="182"/>
      <c r="BC30" s="182"/>
      <c r="BD30" s="754">
        <f>IF(AI30=0,0,(AT30-AI30)/AI30*100)</f>
        <v>0</v>
      </c>
      <c r="BE30" s="182"/>
      <c r="BF30" s="182"/>
      <c r="BG30" s="182"/>
      <c r="BH30" s="182"/>
      <c r="BI30" s="182"/>
      <c r="BJ30" s="182"/>
      <c r="BK30" s="182"/>
      <c r="BL30" s="182"/>
      <c r="BM30" s="182"/>
      <c r="BN30" s="1218"/>
      <c r="BO30" s="1218"/>
      <c r="BP30" s="1218"/>
      <c r="BQ30" s="126"/>
      <c r="BR30" s="126"/>
      <c r="BS30" s="1039" t="s">
        <v>491</v>
      </c>
      <c r="BT30" s="1046"/>
      <c r="BU30" s="1046"/>
      <c r="BV30" s="682"/>
      <c r="BW30" s="682"/>
    </row>
    <row customHeight="1" ht="14.625" hidden="1">
      <c r="A31" s="1256"/>
      <c r="B31" s="955"/>
      <c r="C31" s="73"/>
      <c r="D31" s="73"/>
      <c r="E31" s="596">
        <v>15</v>
      </c>
      <c r="F31" s="50" cm="1" t="str">
        <f t="array" ref="F31:F31">OFFSET(E31,-1,1)</f>
        <v>0</v>
      </c>
      <c r="G31" s="73"/>
      <c r="H31" s="833"/>
      <c r="I31" s="833" t="s">
        <v>1208</v>
      </c>
      <c r="J31" s="73"/>
      <c r="K31" s="344" t="s">
        <v>1208</v>
      </c>
      <c r="L31" s="957" t="s">
        <v>434</v>
      </c>
      <c r="M31" s="73"/>
      <c r="N31" s="73"/>
      <c r="O31" s="73"/>
      <c r="P31" s="73"/>
      <c r="Q31" s="73"/>
      <c r="R31" s="73"/>
      <c r="S31" s="73"/>
      <c r="T31" s="438" cm="1" t="str">
        <f t="array" ref="T31:T31">T30</f>
        <v>false</v>
      </c>
      <c r="U31" s="73"/>
      <c r="V31" s="73"/>
      <c r="W31" s="73"/>
      <c r="X31" s="1541"/>
      <c r="Y31" s="1256"/>
      <c r="Z31" s="1494"/>
      <c r="AA31" s="1256"/>
      <c r="AB31" s="266" t="s">
        <v>1209</v>
      </c>
      <c r="AC31" s="741" t="s">
        <v>1783</v>
      </c>
      <c r="AD31" s="742" t="s">
        <v>789</v>
      </c>
      <c r="AE31" s="1092">
        <f>SUM(AE32,AE33)</f>
        <v>0</v>
      </c>
      <c r="AF31" s="1092">
        <f>SUM(AF32,AF33)</f>
        <v>0</v>
      </c>
      <c r="AG31" s="1092">
        <f>SUM(AG32,AG33)</f>
        <v>0</v>
      </c>
      <c r="AH31" s="1092">
        <f>AG31-AF31</f>
        <v>0</v>
      </c>
      <c r="AI31" s="1092">
        <f>SUM(AI32,AI33)</f>
        <v>0</v>
      </c>
      <c r="AJ31" s="1092">
        <f>SUM(AJ32,AJ33)</f>
        <v>0</v>
      </c>
      <c r="AK31" s="1093"/>
      <c r="AL31" s="1093"/>
      <c r="AM31" s="1093"/>
      <c r="AN31" s="1093"/>
      <c r="AO31" s="1093"/>
      <c r="AP31" s="1093"/>
      <c r="AQ31" s="1093"/>
      <c r="AR31" s="1093"/>
      <c r="AS31" s="1093"/>
      <c r="AT31" s="1092">
        <f>SUM(AT32,AT33)</f>
        <v>0</v>
      </c>
      <c r="AU31" s="1093"/>
      <c r="AV31" s="1093"/>
      <c r="AW31" s="1093"/>
      <c r="AX31" s="1093"/>
      <c r="AY31" s="1093"/>
      <c r="AZ31" s="1093"/>
      <c r="BA31" s="1093"/>
      <c r="BB31" s="1093"/>
      <c r="BC31" s="1093"/>
      <c r="BD31" s="1092">
        <f>IF(AI31=0,0,(AT31-AI31)/AI31*100)</f>
        <v>0</v>
      </c>
      <c r="BE31" s="1093"/>
      <c r="BF31" s="1093"/>
      <c r="BG31" s="1093"/>
      <c r="BH31" s="1093"/>
      <c r="BI31" s="1093"/>
      <c r="BJ31" s="1093"/>
      <c r="BK31" s="1093"/>
      <c r="BL31" s="1093"/>
      <c r="BM31" s="1093"/>
      <c r="BN31" s="1216"/>
      <c r="BO31" s="1216"/>
      <c r="BP31" s="1216"/>
      <c r="BQ31" s="76"/>
      <c r="BR31" s="1256"/>
      <c r="BS31" s="1040" t="s">
        <v>1570</v>
      </c>
      <c r="BT31" s="1041"/>
      <c r="BU31" s="1041"/>
      <c r="BV31" s="956"/>
      <c r="BW31" s="956"/>
    </row>
    <row customHeight="1" ht="14.625" hidden="1">
      <c r="A32" s="1256"/>
      <c r="B32" s="955"/>
      <c r="C32" s="73"/>
      <c r="D32" s="73"/>
      <c r="E32" s="596">
        <v>15</v>
      </c>
      <c r="F32" s="50" cm="1" t="str">
        <f t="array" ref="F32:F32">OFFSET(E32,-1,1)</f>
        <v>0</v>
      </c>
      <c r="G32" s="73"/>
      <c r="H32" s="833"/>
      <c r="I32" s="833" t="s">
        <v>1784</v>
      </c>
      <c r="J32" s="73"/>
      <c r="K32" s="344" t="s">
        <v>1784</v>
      </c>
      <c r="L32" s="957" t="s">
        <v>951</v>
      </c>
      <c r="M32" s="73"/>
      <c r="N32" s="73"/>
      <c r="O32" s="73"/>
      <c r="P32" s="73"/>
      <c r="Q32" s="73"/>
      <c r="R32" s="73"/>
      <c r="S32" s="73"/>
      <c r="T32" s="438" cm="1" t="str">
        <f t="array" ref="T32:T32">T31</f>
        <v>false</v>
      </c>
      <c r="U32" s="73"/>
      <c r="V32" s="73"/>
      <c r="W32" s="73"/>
      <c r="X32" s="1541"/>
      <c r="Y32" s="1256"/>
      <c r="Z32" s="1494"/>
      <c r="AA32" s="1256"/>
      <c r="AB32" s="266" t="s">
        <v>1785</v>
      </c>
      <c r="AC32" s="744" t="s">
        <v>1573</v>
      </c>
      <c r="AD32" s="742" t="s">
        <v>789</v>
      </c>
      <c r="AE32" s="1219"/>
      <c r="AF32" s="1219"/>
      <c r="AG32" s="1219"/>
      <c r="AH32" s="1092">
        <f>AG32-AF32</f>
        <v>0</v>
      </c>
      <c r="AI32" s="1219"/>
      <c r="AJ32" s="3564"/>
      <c r="AK32" s="1093"/>
      <c r="AL32" s="1093"/>
      <c r="AM32" s="1093"/>
      <c r="AN32" s="1093"/>
      <c r="AO32" s="1093"/>
      <c r="AP32" s="1093"/>
      <c r="AQ32" s="1093"/>
      <c r="AR32" s="1093"/>
      <c r="AS32" s="1093"/>
      <c r="AT32" s="3564"/>
      <c r="AU32" s="1093"/>
      <c r="AV32" s="1093"/>
      <c r="AW32" s="1093"/>
      <c r="AX32" s="1093"/>
      <c r="AY32" s="1093"/>
      <c r="AZ32" s="1093"/>
      <c r="BA32" s="1093"/>
      <c r="BB32" s="1093"/>
      <c r="BC32" s="1093"/>
      <c r="BD32" s="1092">
        <f>IF(AI32=0,0,(AT32-AI32)/AI32*100)</f>
        <v>0</v>
      </c>
      <c r="BE32" s="1093"/>
      <c r="BF32" s="1093"/>
      <c r="BG32" s="1093"/>
      <c r="BH32" s="1093"/>
      <c r="BI32" s="1093"/>
      <c r="BJ32" s="1093"/>
      <c r="BK32" s="1093"/>
      <c r="BL32" s="1093"/>
      <c r="BM32" s="1093"/>
      <c r="BN32" s="1216"/>
      <c r="BO32" s="1216"/>
      <c r="BP32" s="1216"/>
      <c r="BQ32" s="1256"/>
      <c r="BR32" s="1256"/>
      <c r="BS32" s="1039" t="s">
        <v>1574</v>
      </c>
      <c r="BT32" s="1041"/>
      <c r="BU32" s="1041"/>
      <c r="BV32" s="956"/>
      <c r="BW32" s="956"/>
    </row>
    <row customHeight="1" ht="14.625" hidden="1">
      <c r="A33" s="1256"/>
      <c r="B33" s="955"/>
      <c r="C33" s="73"/>
      <c r="D33" s="73"/>
      <c r="E33" s="596">
        <v>15</v>
      </c>
      <c r="F33" s="50" cm="1" t="str">
        <f t="array" ref="F33:F33">OFFSET(E33,-1,1)</f>
        <v>0</v>
      </c>
      <c r="G33" s="73"/>
      <c r="H33" s="833"/>
      <c r="I33" s="833" t="s">
        <v>1786</v>
      </c>
      <c r="J33" s="73"/>
      <c r="K33" s="344" t="s">
        <v>1786</v>
      </c>
      <c r="L33" s="957" t="s">
        <v>1183</v>
      </c>
      <c r="M33" s="73"/>
      <c r="N33" s="73"/>
      <c r="O33" s="73"/>
      <c r="P33" s="73"/>
      <c r="Q33" s="73"/>
      <c r="R33" s="73"/>
      <c r="S33" s="73"/>
      <c r="T33" s="438" cm="1" t="str">
        <f t="array" ref="T33:T33">T32</f>
        <v>false</v>
      </c>
      <c r="U33" s="73"/>
      <c r="V33" s="73"/>
      <c r="W33" s="73"/>
      <c r="X33" s="1541"/>
      <c r="Y33" s="1256"/>
      <c r="Z33" s="1494"/>
      <c r="AA33" s="1256"/>
      <c r="AB33" s="266" t="s">
        <v>1787</v>
      </c>
      <c r="AC33" s="744" t="s">
        <v>1575</v>
      </c>
      <c r="AD33" s="742" t="s">
        <v>789</v>
      </c>
      <c r="AE33" s="1219"/>
      <c r="AF33" s="1219"/>
      <c r="AG33" s="1219"/>
      <c r="AH33" s="1092">
        <f>AG33-AF33</f>
        <v>0</v>
      </c>
      <c r="AI33" s="1219"/>
      <c r="AJ33" s="3564"/>
      <c r="AK33" s="1093"/>
      <c r="AL33" s="1093"/>
      <c r="AM33" s="1093"/>
      <c r="AN33" s="1093"/>
      <c r="AO33" s="1093"/>
      <c r="AP33" s="1093"/>
      <c r="AQ33" s="1093"/>
      <c r="AR33" s="1093"/>
      <c r="AS33" s="1093"/>
      <c r="AT33" s="3564"/>
      <c r="AU33" s="1093"/>
      <c r="AV33" s="1093"/>
      <c r="AW33" s="1093"/>
      <c r="AX33" s="1093"/>
      <c r="AY33" s="1093"/>
      <c r="AZ33" s="1093"/>
      <c r="BA33" s="1093"/>
      <c r="BB33" s="1093"/>
      <c r="BC33" s="1093"/>
      <c r="BD33" s="1092">
        <f>IF(AI33=0,0,(AT33-AI33)/AI33*100)</f>
        <v>0</v>
      </c>
      <c r="BE33" s="1093"/>
      <c r="BF33" s="1093"/>
      <c r="BG33" s="1093"/>
      <c r="BH33" s="1093"/>
      <c r="BI33" s="1093"/>
      <c r="BJ33" s="1093"/>
      <c r="BK33" s="1093"/>
      <c r="BL33" s="1093"/>
      <c r="BM33" s="1093"/>
      <c r="BN33" s="1216"/>
      <c r="BO33" s="1216"/>
      <c r="BP33" s="1216"/>
      <c r="BQ33" s="1256"/>
      <c r="BR33" s="1256"/>
      <c r="BS33" s="1039" t="s">
        <v>1576</v>
      </c>
      <c r="BT33" s="1041"/>
      <c r="BU33" s="1041"/>
      <c r="BV33" s="956"/>
      <c r="BW33" s="956"/>
    </row>
    <row customHeight="1" ht="21.9375" hidden="1">
      <c r="A34" s="1256"/>
      <c r="B34" s="955"/>
      <c r="C34" s="73"/>
      <c r="D34" s="73"/>
      <c r="E34" s="596">
        <v>22.5</v>
      </c>
      <c r="F34" s="50" cm="1" t="str">
        <f t="array" ref="F34:F34">OFFSET(E34,-1,1)</f>
        <v>0</v>
      </c>
      <c r="G34" s="73"/>
      <c r="H34" s="833"/>
      <c r="I34" s="833" t="s">
        <v>1211</v>
      </c>
      <c r="J34" s="73"/>
      <c r="K34" s="344" t="s">
        <v>1211</v>
      </c>
      <c r="L34" s="957" t="s">
        <v>441</v>
      </c>
      <c r="M34" s="73"/>
      <c r="N34" s="73"/>
      <c r="O34" s="73"/>
      <c r="P34" s="73"/>
      <c r="Q34" s="73"/>
      <c r="R34" s="73"/>
      <c r="S34" s="73"/>
      <c r="T34" s="438" cm="1" t="str">
        <f t="array" ref="T34:T34">T33</f>
        <v>false</v>
      </c>
      <c r="U34" s="73"/>
      <c r="V34" s="73"/>
      <c r="W34" s="73"/>
      <c r="X34" s="1541"/>
      <c r="Y34" s="1256"/>
      <c r="Z34" s="1494"/>
      <c r="AA34" s="1256"/>
      <c r="AB34" s="266" t="s">
        <v>1212</v>
      </c>
      <c r="AC34" s="741" t="s">
        <v>1788</v>
      </c>
      <c r="AD34" s="742" t="s">
        <v>789</v>
      </c>
      <c r="AE34" s="1219"/>
      <c r="AF34" s="1219"/>
      <c r="AG34" s="1219"/>
      <c r="AH34" s="1092">
        <f>AG34-AF34</f>
        <v>0</v>
      </c>
      <c r="AI34" s="1219"/>
      <c r="AJ34" s="3564"/>
      <c r="AK34" s="1093"/>
      <c r="AL34" s="1093"/>
      <c r="AM34" s="1093"/>
      <c r="AN34" s="1093"/>
      <c r="AO34" s="1093"/>
      <c r="AP34" s="1093"/>
      <c r="AQ34" s="1093"/>
      <c r="AR34" s="1093"/>
      <c r="AS34" s="1093"/>
      <c r="AT34" s="3564"/>
      <c r="AU34" s="1093"/>
      <c r="AV34" s="1093"/>
      <c r="AW34" s="1093"/>
      <c r="AX34" s="1093"/>
      <c r="AY34" s="1093"/>
      <c r="AZ34" s="1093"/>
      <c r="BA34" s="1093"/>
      <c r="BB34" s="1093"/>
      <c r="BC34" s="1093"/>
      <c r="BD34" s="1092">
        <f>IF(AI34=0,0,(AT34-AI34)/AI34*100)</f>
        <v>0</v>
      </c>
      <c r="BE34" s="1093"/>
      <c r="BF34" s="1093"/>
      <c r="BG34" s="1093"/>
      <c r="BH34" s="1093"/>
      <c r="BI34" s="1093"/>
      <c r="BJ34" s="1093"/>
      <c r="BK34" s="1093"/>
      <c r="BL34" s="1093"/>
      <c r="BM34" s="1093"/>
      <c r="BN34" s="1216"/>
      <c r="BO34" s="1216"/>
      <c r="BP34" s="1216"/>
      <c r="BQ34" s="1256"/>
      <c r="BR34" s="1256"/>
      <c r="BS34" s="1040" t="s">
        <v>1601</v>
      </c>
      <c r="BT34" s="1041"/>
      <c r="BU34" s="1041"/>
      <c r="BV34" s="956"/>
      <c r="BW34" s="956"/>
    </row>
    <row customHeight="1" ht="21.9375" hidden="1">
      <c r="A35" s="1256"/>
      <c r="B35" s="955"/>
      <c r="C35" s="73"/>
      <c r="D35" s="73"/>
      <c r="E35" s="596">
        <v>22.5</v>
      </c>
      <c r="F35" s="50" cm="1" t="str">
        <f t="array" ref="F35:F35">OFFSET(E35,-1,1)</f>
        <v>0</v>
      </c>
      <c r="G35" s="73"/>
      <c r="H35" s="833"/>
      <c r="I35" s="833" t="s">
        <v>1215</v>
      </c>
      <c r="J35" s="73"/>
      <c r="K35" s="344" t="s">
        <v>1215</v>
      </c>
      <c r="L35" s="957" t="s">
        <v>445</v>
      </c>
      <c r="M35" s="73"/>
      <c r="N35" s="73"/>
      <c r="O35" s="73"/>
      <c r="P35" s="73"/>
      <c r="Q35" s="73"/>
      <c r="R35" s="73"/>
      <c r="S35" s="73"/>
      <c r="T35" s="438" cm="1" t="str">
        <f t="array" ref="T35:T35">T34</f>
        <v>false</v>
      </c>
      <c r="U35" s="73"/>
      <c r="V35" s="73"/>
      <c r="W35" s="73"/>
      <c r="X35" s="1541"/>
      <c r="Y35" s="1256"/>
      <c r="Z35" s="1494"/>
      <c r="AA35" s="1256"/>
      <c r="AB35" s="266" t="s">
        <v>1216</v>
      </c>
      <c r="AC35" s="741" t="s">
        <v>1789</v>
      </c>
      <c r="AD35" s="742" t="s">
        <v>789</v>
      </c>
      <c r="AE35" s="1094">
        <f>AE36+AE37</f>
        <v>0</v>
      </c>
      <c r="AF35" s="1094">
        <f>AF36+AF37</f>
        <v>0</v>
      </c>
      <c r="AG35" s="1094">
        <f>AG36+AG37</f>
        <v>0</v>
      </c>
      <c r="AH35" s="1092">
        <f>AG35-AF35</f>
        <v>0</v>
      </c>
      <c r="AI35" s="1094">
        <f>AI36+AI37</f>
        <v>0</v>
      </c>
      <c r="AJ35" s="1094">
        <f>AJ36+AJ37</f>
        <v>0</v>
      </c>
      <c r="AK35" s="1093"/>
      <c r="AL35" s="1093"/>
      <c r="AM35" s="1093"/>
      <c r="AN35" s="1093"/>
      <c r="AO35" s="1093"/>
      <c r="AP35" s="1093"/>
      <c r="AQ35" s="1093"/>
      <c r="AR35" s="1093"/>
      <c r="AS35" s="1093"/>
      <c r="AT35" s="1094">
        <f>AT36+AT37</f>
        <v>0</v>
      </c>
      <c r="AU35" s="1093"/>
      <c r="AV35" s="1093"/>
      <c r="AW35" s="1093"/>
      <c r="AX35" s="1093"/>
      <c r="AY35" s="1093"/>
      <c r="AZ35" s="1093"/>
      <c r="BA35" s="1093"/>
      <c r="BB35" s="1093"/>
      <c r="BC35" s="1093"/>
      <c r="BD35" s="1092">
        <f>IF(AI35=0,0,(AT35-AI35)/AI35*100)</f>
        <v>0</v>
      </c>
      <c r="BE35" s="1093"/>
      <c r="BF35" s="1093"/>
      <c r="BG35" s="1093"/>
      <c r="BH35" s="1093"/>
      <c r="BI35" s="1093"/>
      <c r="BJ35" s="1093"/>
      <c r="BK35" s="1093"/>
      <c r="BL35" s="1093"/>
      <c r="BM35" s="1093"/>
      <c r="BN35" s="1216"/>
      <c r="BO35" s="1216"/>
      <c r="BP35" s="1216"/>
      <c r="BQ35" s="1256"/>
      <c r="BR35" s="1256"/>
      <c r="BS35" s="1040" t="s">
        <v>1790</v>
      </c>
      <c r="BT35" s="1041"/>
      <c r="BU35" s="1041"/>
      <c r="BV35" s="956"/>
      <c r="BW35" s="956"/>
    </row>
    <row customHeight="1" ht="14.625" hidden="1">
      <c r="A36" s="1256"/>
      <c r="B36" s="955"/>
      <c r="C36" s="73"/>
      <c r="D36" s="73"/>
      <c r="E36" s="596">
        <v>15</v>
      </c>
      <c r="F36" s="50" cm="1" t="str">
        <f t="array" ref="F36:F36">OFFSET(E36,-1,1)</f>
        <v>0</v>
      </c>
      <c r="G36" s="340" t="s">
        <v>1033</v>
      </c>
      <c r="H36" s="833"/>
      <c r="I36" s="833" t="s">
        <v>1359</v>
      </c>
      <c r="J36" s="73"/>
      <c r="K36" s="344" t="s">
        <v>1359</v>
      </c>
      <c r="L36" s="957" t="s">
        <v>1235</v>
      </c>
      <c r="M36" s="73"/>
      <c r="N36" s="73"/>
      <c r="O36" s="73"/>
      <c r="P36" s="73"/>
      <c r="Q36" s="73"/>
      <c r="R36" s="73"/>
      <c r="S36" s="73"/>
      <c r="T36" s="438" cm="1" t="str">
        <f t="array" ref="T36:T36">T35</f>
        <v>false</v>
      </c>
      <c r="U36" s="73"/>
      <c r="V36" s="73"/>
      <c r="W36" s="73"/>
      <c r="X36" s="1541"/>
      <c r="Y36" s="1256"/>
      <c r="Z36" s="1494"/>
      <c r="AA36" s="1256"/>
      <c r="AB36" s="266" t="s">
        <v>1791</v>
      </c>
      <c r="AC36" s="744" t="s">
        <v>1604</v>
      </c>
      <c r="AD36" s="742" t="s">
        <v>789</v>
      </c>
      <c r="AE36" s="1092">
        <f>_xlfn.SUMIFS(ФОТ!AE$25:AE$77,ФОТ!$F$25:$F$77,$F36,ФОТ!$G$25:$G$77,$G36)</f>
        <v>0</v>
      </c>
      <c r="AF36" s="1092">
        <f>_xlfn.SUMIFS(ФОТ!AF$25:AF$77,ФОТ!$F$25:$F$77,$F36,ФОТ!$G$25:$G$77,$G36)</f>
        <v>0</v>
      </c>
      <c r="AG36" s="1092">
        <f>_xlfn.SUMIFS(ФОТ!AG$25:AG$77,ФОТ!$F$25:$F$77,$F36,ФОТ!$G$25:$G$77,$G36)</f>
        <v>0</v>
      </c>
      <c r="AH36" s="1092">
        <f>AG36-AF36</f>
        <v>0</v>
      </c>
      <c r="AI36" s="1092">
        <f>_xlfn.SUMIFS(ФОТ!AH$25:AH$77,ФОТ!$F$25:$F$77,$F36,ФОТ!$G$25:$G$77,$G36)</f>
        <v>0</v>
      </c>
      <c r="AJ36" s="1092">
        <f>_xlfn.SUMIFS(ФОТ!AI$25:AI$77,ФОТ!$F$25:$F$77,$F36,ФОТ!$G$25:$G$77,$G36)</f>
        <v>0</v>
      </c>
      <c r="AK36" s="1093"/>
      <c r="AL36" s="1093"/>
      <c r="AM36" s="1093"/>
      <c r="AN36" s="1093"/>
      <c r="AO36" s="1093"/>
      <c r="AP36" s="1093"/>
      <c r="AQ36" s="1093"/>
      <c r="AR36" s="1093"/>
      <c r="AS36" s="1093"/>
      <c r="AT36" s="1092">
        <f>_xlfn.SUMIFS(ФОТ!AJ$25:AJ$77,ФОТ!$F$25:$F$77,$F36,ФОТ!$G$25:$G$77,$G36)</f>
        <v>0</v>
      </c>
      <c r="AU36" s="1093"/>
      <c r="AV36" s="1093"/>
      <c r="AW36" s="1093"/>
      <c r="AX36" s="1093"/>
      <c r="AY36" s="1093"/>
      <c r="AZ36" s="1093"/>
      <c r="BA36" s="1093"/>
      <c r="BB36" s="1093"/>
      <c r="BC36" s="1093"/>
      <c r="BD36" s="1092">
        <f>IF(AI36=0,0,(AT36-AI36)/AI36*100)</f>
        <v>0</v>
      </c>
      <c r="BE36" s="1093"/>
      <c r="BF36" s="1093"/>
      <c r="BG36" s="1093"/>
      <c r="BH36" s="1093"/>
      <c r="BI36" s="1093"/>
      <c r="BJ36" s="1093"/>
      <c r="BK36" s="1093"/>
      <c r="BL36" s="1093"/>
      <c r="BM36" s="1093"/>
      <c r="BN36" s="1216"/>
      <c r="BO36" s="1220" t="str">
        <f>IF(_xlfn.IFERROR(INDEX(ФОТ!$K$26:$L$77,MATCH($F36&amp;"1komm",ФОТ!$K$26:$K$77,0),2),"")=0,"",_xlfn.IFERROR(INDEX(ФОТ!$K$26:$L$77,MATCH($F36&amp;"1komm",ФОТ!$K$26:$K$77,0),2),""))</f>
        <v/>
      </c>
      <c r="BP36" s="1216"/>
      <c r="BQ36" s="1256"/>
      <c r="BR36" s="1256"/>
      <c r="BS36" s="1039" t="s">
        <v>1605</v>
      </c>
      <c r="BT36" s="1041"/>
      <c r="BU36" s="1041"/>
      <c r="BV36" s="956"/>
      <c r="BW36" s="956"/>
    </row>
    <row customHeight="1" ht="21.9375" hidden="1">
      <c r="A37" s="1256"/>
      <c r="B37" s="955"/>
      <c r="C37" s="73"/>
      <c r="D37" s="73"/>
      <c r="E37" s="596">
        <v>22.5</v>
      </c>
      <c r="F37" s="50" cm="1" t="str">
        <f t="array" ref="F37:F37">OFFSET(E37,-1,1)</f>
        <v>0</v>
      </c>
      <c r="G37" s="340" t="s">
        <v>1045</v>
      </c>
      <c r="H37" s="833"/>
      <c r="I37" s="833" t="s">
        <v>1363</v>
      </c>
      <c r="J37" s="73"/>
      <c r="K37" s="344" t="s">
        <v>1363</v>
      </c>
      <c r="L37" s="957" t="s">
        <v>1236</v>
      </c>
      <c r="M37" s="73"/>
      <c r="N37" s="73"/>
      <c r="O37" s="73"/>
      <c r="P37" s="73"/>
      <c r="Q37" s="73"/>
      <c r="R37" s="73"/>
      <c r="S37" s="73"/>
      <c r="T37" s="438" cm="1" t="str">
        <f t="array" ref="T37:T37">T36</f>
        <v>false</v>
      </c>
      <c r="U37" s="73"/>
      <c r="V37" s="73"/>
      <c r="W37" s="73"/>
      <c r="X37" s="1541"/>
      <c r="Y37" s="1256"/>
      <c r="Z37" s="1494"/>
      <c r="AA37" s="1256"/>
      <c r="AB37" s="266" t="s">
        <v>1792</v>
      </c>
      <c r="AC37" s="744" t="s">
        <v>1793</v>
      </c>
      <c r="AD37" s="742" t="s">
        <v>789</v>
      </c>
      <c r="AE37" s="1092">
        <f>_xlfn.SUMIFS(ФОТ!AE$25:AE$77,ФОТ!$F$25:$F$77,$F37,ФОТ!$G$25:$G$77,$G37)</f>
        <v>0</v>
      </c>
      <c r="AF37" s="1092">
        <f>_xlfn.SUMIFS(ФОТ!AF$25:AF$77,ФОТ!$F$25:$F$77,$F37,ФОТ!$G$25:$G$77,$G37)</f>
        <v>0</v>
      </c>
      <c r="AG37" s="1092">
        <f>_xlfn.SUMIFS(ФОТ!AG$25:AG$77,ФОТ!$F$25:$F$77,$F37,ФОТ!$G$25:$G$77,$G37)</f>
        <v>0</v>
      </c>
      <c r="AH37" s="1092">
        <f>AG37-AF37</f>
        <v>0</v>
      </c>
      <c r="AI37" s="1092">
        <f>_xlfn.SUMIFS(ФОТ!AH$25:AH$77,ФОТ!$F$25:$F$77,$F37,ФОТ!$G$25:$G$77,$G37)</f>
        <v>0</v>
      </c>
      <c r="AJ37" s="1092">
        <f>_xlfn.SUMIFS(ФОТ!AI$25:AI$77,ФОТ!$F$25:$F$77,$F37,ФОТ!$G$25:$G$77,$G37)</f>
        <v>0</v>
      </c>
      <c r="AK37" s="1093"/>
      <c r="AL37" s="1093"/>
      <c r="AM37" s="1093"/>
      <c r="AN37" s="1093"/>
      <c r="AO37" s="1093"/>
      <c r="AP37" s="1093"/>
      <c r="AQ37" s="1093"/>
      <c r="AR37" s="1093"/>
      <c r="AS37" s="1093"/>
      <c r="AT37" s="1092">
        <f>_xlfn.SUMIFS(ФОТ!AJ$25:AJ$77,ФОТ!$F$25:$F$77,$F37,ФОТ!$G$25:$G$77,$G37)</f>
        <v>0</v>
      </c>
      <c r="AU37" s="1093"/>
      <c r="AV37" s="1093"/>
      <c r="AW37" s="1093"/>
      <c r="AX37" s="1093"/>
      <c r="AY37" s="1093"/>
      <c r="AZ37" s="1093"/>
      <c r="BA37" s="1093"/>
      <c r="BB37" s="1093"/>
      <c r="BC37" s="1093"/>
      <c r="BD37" s="1092">
        <f>IF(AI37=0,0,(AT37-AI37)/AI37*100)</f>
        <v>0</v>
      </c>
      <c r="BE37" s="1093"/>
      <c r="BF37" s="1093"/>
      <c r="BG37" s="1093"/>
      <c r="BH37" s="1093"/>
      <c r="BI37" s="1093"/>
      <c r="BJ37" s="1093"/>
      <c r="BK37" s="1093"/>
      <c r="BL37" s="1093"/>
      <c r="BM37" s="1093"/>
      <c r="BN37" s="1216"/>
      <c r="BO37" s="1220" t="str">
        <f>IF(_xlfn.IFERROR(INDEX(ФОТ!$K$26:$L$77,MATCH($F37&amp;"2komm",ФОТ!$K$26:$K$77,0),2),"")=0,"",_xlfn.IFERROR(INDEX(ФОТ!$K$26:$L$77,MATCH($F37&amp;"2komm",ФОТ!$K$26:$K$77,0),2),""))</f>
        <v/>
      </c>
      <c r="BP37" s="1216"/>
      <c r="BQ37" s="1256"/>
      <c r="BR37" s="1256"/>
      <c r="BS37" s="1039" t="s">
        <v>1607</v>
      </c>
      <c r="BT37" s="1041"/>
      <c r="BU37" s="1041"/>
      <c r="BV37" s="956"/>
      <c r="BW37" s="956"/>
    </row>
    <row customHeight="1" ht="14.625" hidden="1">
      <c r="A38" s="1256"/>
      <c r="B38" s="955"/>
      <c r="C38" s="73"/>
      <c r="D38" s="73"/>
      <c r="E38" s="596">
        <v>15</v>
      </c>
      <c r="F38" s="50" cm="1" t="str">
        <f t="array" ref="F38:F38">OFFSET(E38,-1,1)</f>
        <v>0</v>
      </c>
      <c r="G38" s="73"/>
      <c r="H38" s="833"/>
      <c r="I38" s="833" t="s">
        <v>1374</v>
      </c>
      <c r="J38" s="73"/>
      <c r="K38" s="344" t="s">
        <v>1374</v>
      </c>
      <c r="L38" s="957" t="s">
        <v>1609</v>
      </c>
      <c r="M38" s="73"/>
      <c r="N38" s="73"/>
      <c r="O38" s="73"/>
      <c r="P38" s="73"/>
      <c r="Q38" s="73"/>
      <c r="R38" s="73"/>
      <c r="S38" s="73"/>
      <c r="T38" s="438" cm="1" t="str">
        <f t="array" ref="T38:T38">T37</f>
        <v>false</v>
      </c>
      <c r="U38" s="73"/>
      <c r="V38" s="73"/>
      <c r="W38" s="73"/>
      <c r="X38" s="1541"/>
      <c r="Y38" s="1256"/>
      <c r="Z38" s="1494"/>
      <c r="AA38" s="1256"/>
      <c r="AB38" s="266" t="s">
        <v>1583</v>
      </c>
      <c r="AC38" s="741" t="s">
        <v>1794</v>
      </c>
      <c r="AD38" s="742" t="s">
        <v>789</v>
      </c>
      <c r="AE38" s="1219"/>
      <c r="AF38" s="1219"/>
      <c r="AG38" s="1219"/>
      <c r="AH38" s="1092">
        <f>AG38-AF38</f>
        <v>0</v>
      </c>
      <c r="AI38" s="1219"/>
      <c r="AJ38" s="3564"/>
      <c r="AK38" s="1093"/>
      <c r="AL38" s="1093"/>
      <c r="AM38" s="1093"/>
      <c r="AN38" s="1093"/>
      <c r="AO38" s="1093"/>
      <c r="AP38" s="1093"/>
      <c r="AQ38" s="1093"/>
      <c r="AR38" s="1093"/>
      <c r="AS38" s="1093"/>
      <c r="AT38" s="3564"/>
      <c r="AU38" s="1093"/>
      <c r="AV38" s="1093"/>
      <c r="AW38" s="1093"/>
      <c r="AX38" s="1093"/>
      <c r="AY38" s="1093"/>
      <c r="AZ38" s="1093"/>
      <c r="BA38" s="1093"/>
      <c r="BB38" s="1093"/>
      <c r="BC38" s="1093"/>
      <c r="BD38" s="1092">
        <f>IF(AI38=0,0,(AT38-AI38)/AI38*100)</f>
        <v>0</v>
      </c>
      <c r="BE38" s="1093"/>
      <c r="BF38" s="1093"/>
      <c r="BG38" s="1093"/>
      <c r="BH38" s="1093"/>
      <c r="BI38" s="1093"/>
      <c r="BJ38" s="1093"/>
      <c r="BK38" s="1093"/>
      <c r="BL38" s="1093"/>
      <c r="BM38" s="1093"/>
      <c r="BN38" s="1216"/>
      <c r="BO38" s="1216"/>
      <c r="BP38" s="1216"/>
      <c r="BQ38" s="1256"/>
      <c r="BR38" s="1256"/>
      <c r="BS38" s="1040" t="s">
        <v>1612</v>
      </c>
      <c r="BT38" s="1041"/>
      <c r="BU38" s="1041"/>
      <c r="BV38" s="956"/>
      <c r="BW38" s="956"/>
    </row>
    <row customHeight="1" ht="14.625" hidden="1">
      <c r="A39" s="1256"/>
      <c r="B39" s="955"/>
      <c r="C39" s="73"/>
      <c r="D39" s="73"/>
      <c r="E39" s="596">
        <v>15</v>
      </c>
      <c r="F39" s="50" cm="1" t="str">
        <f t="array" ref="F39:F39">OFFSET(E39,-1,1)</f>
        <v>0</v>
      </c>
      <c r="G39" s="73"/>
      <c r="H39" s="833"/>
      <c r="I39" s="833" t="s">
        <v>1378</v>
      </c>
      <c r="J39" s="73"/>
      <c r="K39" s="344" t="s">
        <v>1378</v>
      </c>
      <c r="L39" s="957" t="s">
        <v>1613</v>
      </c>
      <c r="M39" s="1256"/>
      <c r="N39" s="73"/>
      <c r="O39" s="73"/>
      <c r="P39" s="73"/>
      <c r="Q39" s="73"/>
      <c r="R39" s="73"/>
      <c r="S39" s="73"/>
      <c r="T39" s="438" cm="1" t="str">
        <f t="array" ref="T39:T39">T38</f>
        <v>false</v>
      </c>
      <c r="U39" s="73"/>
      <c r="V39" s="73"/>
      <c r="W39" s="73"/>
      <c r="X39" s="1541"/>
      <c r="Y39" s="1256"/>
      <c r="Z39" s="1494"/>
      <c r="AA39" s="1256"/>
      <c r="AB39" s="266" t="s">
        <v>1585</v>
      </c>
      <c r="AC39" s="741" t="s">
        <v>1795</v>
      </c>
      <c r="AD39" s="266" t="s">
        <v>789</v>
      </c>
      <c r="AE39" s="1094">
        <f>SUM(AE40:AE46)</f>
        <v>0</v>
      </c>
      <c r="AF39" s="1094">
        <f>SUM(AF40:AF46)</f>
        <v>0</v>
      </c>
      <c r="AG39" s="1094">
        <f>SUM(AG40:AG46)</f>
        <v>0</v>
      </c>
      <c r="AH39" s="1092">
        <f>AG39-AF39</f>
        <v>0</v>
      </c>
      <c r="AI39" s="1094">
        <f>SUM(AI40:AI46)</f>
        <v>0</v>
      </c>
      <c r="AJ39" s="1094">
        <f>SUM(AJ40:AJ46)</f>
        <v>0</v>
      </c>
      <c r="AK39" s="1093"/>
      <c r="AL39" s="1093"/>
      <c r="AM39" s="1093"/>
      <c r="AN39" s="1093"/>
      <c r="AO39" s="1093"/>
      <c r="AP39" s="1093"/>
      <c r="AQ39" s="1093"/>
      <c r="AR39" s="1093"/>
      <c r="AS39" s="1093"/>
      <c r="AT39" s="1094">
        <f>SUM(AT40:AT46)</f>
        <v>0</v>
      </c>
      <c r="AU39" s="1093"/>
      <c r="AV39" s="1093"/>
      <c r="AW39" s="1093"/>
      <c r="AX39" s="1093"/>
      <c r="AY39" s="1093"/>
      <c r="AZ39" s="1093"/>
      <c r="BA39" s="1093"/>
      <c r="BB39" s="1093"/>
      <c r="BC39" s="1093"/>
      <c r="BD39" s="1092">
        <f>IF(AI39=0,0,(AT39-AI39)/AI39*100)</f>
        <v>0</v>
      </c>
      <c r="BE39" s="1093"/>
      <c r="BF39" s="1093"/>
      <c r="BG39" s="1093"/>
      <c r="BH39" s="1093"/>
      <c r="BI39" s="1093"/>
      <c r="BJ39" s="1093"/>
      <c r="BK39" s="1093"/>
      <c r="BL39" s="1093"/>
      <c r="BM39" s="1093"/>
      <c r="BN39" s="1216"/>
      <c r="BO39" s="1216"/>
      <c r="BP39" s="1216"/>
      <c r="BQ39" s="1256"/>
      <c r="BR39" s="1256"/>
      <c r="BS39" s="1040" t="s">
        <v>1796</v>
      </c>
      <c r="BT39" s="1041"/>
      <c r="BU39" s="1041"/>
      <c r="BV39" s="956"/>
      <c r="BW39" s="956"/>
    </row>
    <row customHeight="1" ht="14.625" hidden="1">
      <c r="A40" s="1256"/>
      <c r="B40" s="955"/>
      <c r="C40" s="73"/>
      <c r="D40" s="73"/>
      <c r="E40" s="596">
        <v>15</v>
      </c>
      <c r="F40" s="50" cm="1" t="str">
        <f t="array" ref="F40:F40">OFFSET(E40,-1,1)</f>
        <v>0</v>
      </c>
      <c r="G40" s="73"/>
      <c r="H40" s="833"/>
      <c r="I40" s="833" t="s">
        <v>1797</v>
      </c>
      <c r="J40" s="73"/>
      <c r="K40" s="344" t="s">
        <v>1797</v>
      </c>
      <c r="L40" s="957" t="s">
        <v>1613</v>
      </c>
      <c r="M40" s="73" t="s">
        <v>1621</v>
      </c>
      <c r="N40" s="73"/>
      <c r="O40" s="73"/>
      <c r="P40" s="73"/>
      <c r="Q40" s="73"/>
      <c r="R40" s="73"/>
      <c r="S40" s="73"/>
      <c r="T40" s="438" cm="1" t="str">
        <f t="array" ref="T40:T40">T39</f>
        <v>false</v>
      </c>
      <c r="U40" s="73"/>
      <c r="V40" s="73"/>
      <c r="W40" s="73"/>
      <c r="X40" s="1541"/>
      <c r="Y40" s="1256"/>
      <c r="Z40" s="1494"/>
      <c r="AA40" s="1256"/>
      <c r="AB40" s="266" t="s">
        <v>1798</v>
      </c>
      <c r="AC40" s="744" t="s">
        <v>1799</v>
      </c>
      <c r="AD40" s="266" t="s">
        <v>789</v>
      </c>
      <c r="AE40" s="1219"/>
      <c r="AF40" s="1219"/>
      <c r="AG40" s="1219"/>
      <c r="AH40" s="1092">
        <f>AG40-AF40</f>
        <v>0</v>
      </c>
      <c r="AI40" s="1219"/>
      <c r="AJ40" s="3564"/>
      <c r="AK40" s="1093"/>
      <c r="AL40" s="1093"/>
      <c r="AM40" s="1093"/>
      <c r="AN40" s="1093"/>
      <c r="AO40" s="1093"/>
      <c r="AP40" s="1093"/>
      <c r="AQ40" s="1093"/>
      <c r="AR40" s="1093"/>
      <c r="AS40" s="1093"/>
      <c r="AT40" s="3564"/>
      <c r="AU40" s="1093"/>
      <c r="AV40" s="1093"/>
      <c r="AW40" s="1093"/>
      <c r="AX40" s="1093"/>
      <c r="AY40" s="1093"/>
      <c r="AZ40" s="1093"/>
      <c r="BA40" s="1093"/>
      <c r="BB40" s="1093"/>
      <c r="BC40" s="1093"/>
      <c r="BD40" s="1092">
        <f>IF(AI40=0,0,(AT40-AI40)/AI40*100)</f>
        <v>0</v>
      </c>
      <c r="BE40" s="1093"/>
      <c r="BF40" s="1093"/>
      <c r="BG40" s="1093"/>
      <c r="BH40" s="1093"/>
      <c r="BI40" s="1093"/>
      <c r="BJ40" s="1093"/>
      <c r="BK40" s="1093"/>
      <c r="BL40" s="1093"/>
      <c r="BM40" s="1093"/>
      <c r="BN40" s="1216"/>
      <c r="BO40" s="1216"/>
      <c r="BP40" s="1216"/>
      <c r="BQ40" s="1256"/>
      <c r="BR40" s="1256"/>
      <c r="BS40" s="1039" t="s">
        <v>1624</v>
      </c>
      <c r="BT40" s="1041"/>
      <c r="BU40" s="1041"/>
      <c r="BV40" s="956"/>
      <c r="BW40" s="956"/>
    </row>
    <row customHeight="1" ht="21.9375" hidden="1">
      <c r="A41" s="1256"/>
      <c r="B41" s="955"/>
      <c r="C41" s="73"/>
      <c r="D41" s="73"/>
      <c r="E41" s="596">
        <v>22.5</v>
      </c>
      <c r="F41" s="50" cm="1" t="str">
        <f t="array" ref="F41:F41">OFFSET(E41,-1,1)</f>
        <v>0</v>
      </c>
      <c r="G41" s="73"/>
      <c r="H41" s="833"/>
      <c r="I41" s="833" t="s">
        <v>1800</v>
      </c>
      <c r="J41" s="73"/>
      <c r="K41" s="344" t="s">
        <v>1800</v>
      </c>
      <c r="L41" s="957" t="s">
        <v>1613</v>
      </c>
      <c r="M41" s="73" t="s">
        <v>1617</v>
      </c>
      <c r="N41" s="73"/>
      <c r="O41" s="73"/>
      <c r="P41" s="73"/>
      <c r="Q41" s="73"/>
      <c r="R41" s="73"/>
      <c r="S41" s="73"/>
      <c r="T41" s="438" cm="1" t="str">
        <f t="array" ref="T41:T41">T40</f>
        <v>false</v>
      </c>
      <c r="U41" s="73"/>
      <c r="V41" s="73"/>
      <c r="W41" s="73"/>
      <c r="X41" s="1541"/>
      <c r="Y41" s="1256"/>
      <c r="Z41" s="1494"/>
      <c r="AA41" s="1256"/>
      <c r="AB41" s="266" t="s">
        <v>1801</v>
      </c>
      <c r="AC41" s="744" t="s">
        <v>1802</v>
      </c>
      <c r="AD41" s="266" t="s">
        <v>789</v>
      </c>
      <c r="AE41" s="1219"/>
      <c r="AF41" s="1219"/>
      <c r="AG41" s="1219"/>
      <c r="AH41" s="1092">
        <f>AG41-AF41</f>
        <v>0</v>
      </c>
      <c r="AI41" s="1219"/>
      <c r="AJ41" s="3564"/>
      <c r="AK41" s="1093"/>
      <c r="AL41" s="1093"/>
      <c r="AM41" s="1093"/>
      <c r="AN41" s="1093"/>
      <c r="AO41" s="1093"/>
      <c r="AP41" s="1093"/>
      <c r="AQ41" s="1093"/>
      <c r="AR41" s="1093"/>
      <c r="AS41" s="1093"/>
      <c r="AT41" s="3564"/>
      <c r="AU41" s="1093"/>
      <c r="AV41" s="1093"/>
      <c r="AW41" s="1093"/>
      <c r="AX41" s="1093"/>
      <c r="AY41" s="1093"/>
      <c r="AZ41" s="1093"/>
      <c r="BA41" s="1093"/>
      <c r="BB41" s="1093"/>
      <c r="BC41" s="1093"/>
      <c r="BD41" s="1092">
        <f>IF(AI41=0,0,(AT41-AI41)/AI41*100)</f>
        <v>0</v>
      </c>
      <c r="BE41" s="1093"/>
      <c r="BF41" s="1093"/>
      <c r="BG41" s="1093"/>
      <c r="BH41" s="1093"/>
      <c r="BI41" s="1093"/>
      <c r="BJ41" s="1093"/>
      <c r="BK41" s="1093"/>
      <c r="BL41" s="1093"/>
      <c r="BM41" s="1093"/>
      <c r="BN41" s="1216"/>
      <c r="BO41" s="1216"/>
      <c r="BP41" s="1216"/>
      <c r="BQ41" s="1256"/>
      <c r="BR41" s="1256"/>
      <c r="BS41" s="1041" t="s">
        <v>1803</v>
      </c>
      <c r="BT41" s="1041"/>
      <c r="BU41" s="1041"/>
      <c r="BV41" s="956"/>
      <c r="BW41" s="956"/>
    </row>
    <row customHeight="1" ht="21.9375" hidden="1">
      <c r="A42" s="1256"/>
      <c r="B42" s="955"/>
      <c r="C42" s="73"/>
      <c r="D42" s="73"/>
      <c r="E42" s="596">
        <v>22.5</v>
      </c>
      <c r="F42" s="50" cm="1" t="str">
        <f t="array" ref="F42:F42">OFFSET(E42,-1,1)</f>
        <v>0</v>
      </c>
      <c r="G42" s="73"/>
      <c r="H42" s="833"/>
      <c r="I42" s="833" t="s">
        <v>1804</v>
      </c>
      <c r="J42" s="73"/>
      <c r="K42" s="344" t="s">
        <v>1804</v>
      </c>
      <c r="L42" s="1256"/>
      <c r="M42" s="1256"/>
      <c r="N42" s="73"/>
      <c r="O42" s="73"/>
      <c r="P42" s="73"/>
      <c r="Q42" s="73"/>
      <c r="R42" s="73"/>
      <c r="S42" s="73"/>
      <c r="T42" s="438" cm="1" t="str">
        <f t="array" ref="T42:T42">T41</f>
        <v>false</v>
      </c>
      <c r="U42" s="73"/>
      <c r="V42" s="73"/>
      <c r="W42" s="73"/>
      <c r="X42" s="1541"/>
      <c r="Y42" s="1256"/>
      <c r="Z42" s="1494"/>
      <c r="AA42" s="1256"/>
      <c r="AB42" s="266" t="s">
        <v>1805</v>
      </c>
      <c r="AC42" s="745" t="s">
        <v>1806</v>
      </c>
      <c r="AD42" s="266" t="s">
        <v>789</v>
      </c>
      <c r="AE42" s="1219"/>
      <c r="AF42" s="1219"/>
      <c r="AG42" s="1219"/>
      <c r="AH42" s="1092">
        <f>AG42-AF42</f>
        <v>0</v>
      </c>
      <c r="AI42" s="1219"/>
      <c r="AJ42" s="3564"/>
      <c r="AK42" s="1093"/>
      <c r="AL42" s="1093"/>
      <c r="AM42" s="1093"/>
      <c r="AN42" s="1093"/>
      <c r="AO42" s="1093"/>
      <c r="AP42" s="1093"/>
      <c r="AQ42" s="1093"/>
      <c r="AR42" s="1093"/>
      <c r="AS42" s="1093"/>
      <c r="AT42" s="3564"/>
      <c r="AU42" s="1093"/>
      <c r="AV42" s="1093"/>
      <c r="AW42" s="1093"/>
      <c r="AX42" s="1093"/>
      <c r="AY42" s="1093"/>
      <c r="AZ42" s="1093"/>
      <c r="BA42" s="1093"/>
      <c r="BB42" s="1093"/>
      <c r="BC42" s="1093"/>
      <c r="BD42" s="1092">
        <f>IF(AI42=0,0,(AT42-AI42)/AI42*100)</f>
        <v>0</v>
      </c>
      <c r="BE42" s="1093"/>
      <c r="BF42" s="1093"/>
      <c r="BG42" s="1093"/>
      <c r="BH42" s="1093"/>
      <c r="BI42" s="1093"/>
      <c r="BJ42" s="1093"/>
      <c r="BK42" s="1093"/>
      <c r="BL42" s="1093"/>
      <c r="BM42" s="1093"/>
      <c r="BN42" s="1216"/>
      <c r="BO42" s="1216"/>
      <c r="BP42" s="1216"/>
      <c r="BQ42" s="1256"/>
      <c r="BR42" s="1256"/>
      <c r="BS42" s="1041" t="s">
        <v>1807</v>
      </c>
      <c r="BT42" s="1041"/>
      <c r="BU42" s="1041"/>
      <c r="BV42" s="956"/>
      <c r="BW42" s="956"/>
    </row>
    <row customHeight="1" ht="21.9375" hidden="1">
      <c r="A43" s="1256"/>
      <c r="B43" s="955"/>
      <c r="C43" s="73"/>
      <c r="D43" s="73"/>
      <c r="E43" s="596">
        <v>22.5</v>
      </c>
      <c r="F43" s="50" cm="1" t="str">
        <f t="array" ref="F43:F43">OFFSET(E43,-1,1)</f>
        <v>0</v>
      </c>
      <c r="G43" s="73"/>
      <c r="H43" s="833"/>
      <c r="I43" s="833" t="s">
        <v>1808</v>
      </c>
      <c r="J43" s="73"/>
      <c r="K43" s="344" t="s">
        <v>1808</v>
      </c>
      <c r="L43" s="957"/>
      <c r="M43" s="1256"/>
      <c r="N43" s="73"/>
      <c r="O43" s="73"/>
      <c r="P43" s="73"/>
      <c r="Q43" s="73"/>
      <c r="R43" s="73"/>
      <c r="S43" s="73"/>
      <c r="T43" s="438" cm="1" t="str">
        <f t="array" ref="T43:T43">T42</f>
        <v>false</v>
      </c>
      <c r="U43" s="73"/>
      <c r="V43" s="73"/>
      <c r="W43" s="73"/>
      <c r="X43" s="1541"/>
      <c r="Y43" s="1256"/>
      <c r="Z43" s="1494"/>
      <c r="AA43" s="1256"/>
      <c r="AB43" s="266" t="s">
        <v>1809</v>
      </c>
      <c r="AC43" s="745" t="s">
        <v>1810</v>
      </c>
      <c r="AD43" s="266" t="s">
        <v>789</v>
      </c>
      <c r="AE43" s="1219"/>
      <c r="AF43" s="1219"/>
      <c r="AG43" s="1219"/>
      <c r="AH43" s="1092">
        <f>AG43-AF43</f>
        <v>0</v>
      </c>
      <c r="AI43" s="1219"/>
      <c r="AJ43" s="3564"/>
      <c r="AK43" s="1093"/>
      <c r="AL43" s="1093"/>
      <c r="AM43" s="1093"/>
      <c r="AN43" s="1093"/>
      <c r="AO43" s="1093"/>
      <c r="AP43" s="1093"/>
      <c r="AQ43" s="1093"/>
      <c r="AR43" s="1093"/>
      <c r="AS43" s="1093"/>
      <c r="AT43" s="3564"/>
      <c r="AU43" s="1093"/>
      <c r="AV43" s="1093"/>
      <c r="AW43" s="1093"/>
      <c r="AX43" s="1093"/>
      <c r="AY43" s="1093"/>
      <c r="AZ43" s="1093"/>
      <c r="BA43" s="1093"/>
      <c r="BB43" s="1093"/>
      <c r="BC43" s="1093"/>
      <c r="BD43" s="1092">
        <f>IF(AI43=0,0,(AT43-AI43)/AI43*100)</f>
        <v>0</v>
      </c>
      <c r="BE43" s="1093"/>
      <c r="BF43" s="1093"/>
      <c r="BG43" s="1093"/>
      <c r="BH43" s="1093"/>
      <c r="BI43" s="1093"/>
      <c r="BJ43" s="1093"/>
      <c r="BK43" s="1093"/>
      <c r="BL43" s="1093"/>
      <c r="BM43" s="1093"/>
      <c r="BN43" s="1216"/>
      <c r="BO43" s="1216"/>
      <c r="BP43" s="1216"/>
      <c r="BQ43" s="1256"/>
      <c r="BR43" s="1256"/>
      <c r="BS43" s="1041" t="s">
        <v>1811</v>
      </c>
      <c r="BT43" s="1041"/>
      <c r="BU43" s="1041"/>
      <c r="BV43" s="956"/>
      <c r="BW43" s="956"/>
    </row>
    <row customHeight="1" ht="43.875" hidden="1">
      <c r="A44" s="1256"/>
      <c r="B44" s="955"/>
      <c r="C44" s="73"/>
      <c r="D44" s="73"/>
      <c r="E44" s="596">
        <v>45</v>
      </c>
      <c r="F44" s="50" cm="1" t="str">
        <f t="array" ref="F44:F44">OFFSET(E44,-1,1)</f>
        <v>0</v>
      </c>
      <c r="G44" s="73"/>
      <c r="H44" s="833"/>
      <c r="I44" s="833" t="s">
        <v>1812</v>
      </c>
      <c r="J44" s="73"/>
      <c r="K44" s="344" t="s">
        <v>1812</v>
      </c>
      <c r="L44" s="957" t="s">
        <v>1613</v>
      </c>
      <c r="M44" s="73" t="s">
        <v>1625</v>
      </c>
      <c r="N44" s="73"/>
      <c r="O44" s="73"/>
      <c r="P44" s="73"/>
      <c r="Q44" s="73"/>
      <c r="R44" s="73"/>
      <c r="S44" s="73"/>
      <c r="T44" s="438" cm="1" t="str">
        <f t="array" ref="T44:T44">T43</f>
        <v>false</v>
      </c>
      <c r="U44" s="73"/>
      <c r="V44" s="73"/>
      <c r="W44" s="73"/>
      <c r="X44" s="1541"/>
      <c r="Y44" s="1256"/>
      <c r="Z44" s="1494"/>
      <c r="AA44" s="1256"/>
      <c r="AB44" s="266" t="s">
        <v>1813</v>
      </c>
      <c r="AC44" s="744" t="s">
        <v>1814</v>
      </c>
      <c r="AD44" s="266" t="s">
        <v>789</v>
      </c>
      <c r="AE44" s="1219"/>
      <c r="AF44" s="1219"/>
      <c r="AG44" s="1219"/>
      <c r="AH44" s="1092">
        <f>AG44-AF44</f>
        <v>0</v>
      </c>
      <c r="AI44" s="1219"/>
      <c r="AJ44" s="3564"/>
      <c r="AK44" s="1093"/>
      <c r="AL44" s="1093"/>
      <c r="AM44" s="1093"/>
      <c r="AN44" s="1093"/>
      <c r="AO44" s="1093"/>
      <c r="AP44" s="1093"/>
      <c r="AQ44" s="1093"/>
      <c r="AR44" s="1093"/>
      <c r="AS44" s="1093"/>
      <c r="AT44" s="3564"/>
      <c r="AU44" s="1093"/>
      <c r="AV44" s="1093"/>
      <c r="AW44" s="1093"/>
      <c r="AX44" s="1093"/>
      <c r="AY44" s="1093"/>
      <c r="AZ44" s="1093"/>
      <c r="BA44" s="1093"/>
      <c r="BB44" s="1093"/>
      <c r="BC44" s="1093"/>
      <c r="BD44" s="1092">
        <f>IF(AI44=0,0,(AT44-AI44)/AI44*100)</f>
        <v>0</v>
      </c>
      <c r="BE44" s="1093"/>
      <c r="BF44" s="1093"/>
      <c r="BG44" s="1093"/>
      <c r="BH44" s="1093"/>
      <c r="BI44" s="1093"/>
      <c r="BJ44" s="1093"/>
      <c r="BK44" s="1093"/>
      <c r="BL44" s="1093"/>
      <c r="BM44" s="1093"/>
      <c r="BN44" s="1216"/>
      <c r="BO44" s="1216"/>
      <c r="BP44" s="1216"/>
      <c r="BQ44" s="1256"/>
      <c r="BR44" s="1256"/>
      <c r="BS44" s="1041" t="s">
        <v>1628</v>
      </c>
      <c r="BT44" s="1041"/>
      <c r="BU44" s="1041"/>
      <c r="BV44" s="956"/>
      <c r="BW44" s="956"/>
    </row>
    <row customHeight="1" ht="14.625" hidden="1">
      <c r="A45" s="1256"/>
      <c r="B45" s="955"/>
      <c r="C45" s="73"/>
      <c r="D45" s="73"/>
      <c r="E45" s="596">
        <v>15</v>
      </c>
      <c r="F45" s="50" cm="1" t="str">
        <f t="array" ref="F45:F45">OFFSET(E45,-1,1)</f>
        <v>0</v>
      </c>
      <c r="G45" s="73"/>
      <c r="H45" s="833"/>
      <c r="I45" s="833" t="s">
        <v>1815</v>
      </c>
      <c r="J45" s="73"/>
      <c r="K45" s="344" t="s">
        <v>1815</v>
      </c>
      <c r="L45" s="957" t="s">
        <v>1613</v>
      </c>
      <c r="M45" s="73" t="s">
        <v>1629</v>
      </c>
      <c r="N45" s="73"/>
      <c r="O45" s="73"/>
      <c r="P45" s="73"/>
      <c r="Q45" s="73"/>
      <c r="R45" s="73"/>
      <c r="S45" s="73"/>
      <c r="T45" s="438" cm="1" t="str">
        <f t="array" ref="T45:T45">T44</f>
        <v>false</v>
      </c>
      <c r="U45" s="73"/>
      <c r="V45" s="73"/>
      <c r="W45" s="73"/>
      <c r="X45" s="1541"/>
      <c r="Y45" s="1256"/>
      <c r="Z45" s="1494"/>
      <c r="AA45" s="1256"/>
      <c r="AB45" s="266" t="s">
        <v>1816</v>
      </c>
      <c r="AC45" s="744" t="s">
        <v>1631</v>
      </c>
      <c r="AD45" s="266" t="s">
        <v>789</v>
      </c>
      <c r="AE45" s="1219"/>
      <c r="AF45" s="1219"/>
      <c r="AG45" s="1219"/>
      <c r="AH45" s="1092">
        <f>AG45-AF45</f>
        <v>0</v>
      </c>
      <c r="AI45" s="1219"/>
      <c r="AJ45" s="3564"/>
      <c r="AK45" s="1093"/>
      <c r="AL45" s="1093"/>
      <c r="AM45" s="1093"/>
      <c r="AN45" s="1093"/>
      <c r="AO45" s="1093"/>
      <c r="AP45" s="1093"/>
      <c r="AQ45" s="1093"/>
      <c r="AR45" s="1093"/>
      <c r="AS45" s="1093"/>
      <c r="AT45" s="3564"/>
      <c r="AU45" s="1093"/>
      <c r="AV45" s="1093"/>
      <c r="AW45" s="1093"/>
      <c r="AX45" s="1093"/>
      <c r="AY45" s="1093"/>
      <c r="AZ45" s="1093"/>
      <c r="BA45" s="1093"/>
      <c r="BB45" s="1093"/>
      <c r="BC45" s="1093"/>
      <c r="BD45" s="1092">
        <f>IF(AI45=0,0,(AT45-AI45)/AI45*100)</f>
        <v>0</v>
      </c>
      <c r="BE45" s="1093"/>
      <c r="BF45" s="1093"/>
      <c r="BG45" s="1093"/>
      <c r="BH45" s="1093"/>
      <c r="BI45" s="1093"/>
      <c r="BJ45" s="1093"/>
      <c r="BK45" s="1093"/>
      <c r="BL45" s="1093"/>
      <c r="BM45" s="1093"/>
      <c r="BN45" s="1216"/>
      <c r="BO45" s="1216"/>
      <c r="BP45" s="1216"/>
      <c r="BQ45" s="1256"/>
      <c r="BR45" s="1256"/>
      <c r="BS45" s="1041" t="s">
        <v>1632</v>
      </c>
      <c r="BT45" s="1041"/>
      <c r="BU45" s="1041"/>
      <c r="BV45" s="956"/>
      <c r="BW45" s="956"/>
    </row>
    <row customHeight="1" ht="14.625" hidden="1">
      <c r="A46" s="1256"/>
      <c r="B46" s="955"/>
      <c r="C46" s="73"/>
      <c r="D46" s="73"/>
      <c r="E46" s="596">
        <v>15</v>
      </c>
      <c r="F46" s="50" cm="1" t="str">
        <f t="array" ref="F46:F46">OFFSET(E46,-1,1)</f>
        <v>0</v>
      </c>
      <c r="G46" s="73"/>
      <c r="H46" s="833"/>
      <c r="I46" s="833" t="s">
        <v>1817</v>
      </c>
      <c r="J46" s="73"/>
      <c r="K46" s="344" t="s">
        <v>1817</v>
      </c>
      <c r="L46" s="957"/>
      <c r="M46" s="73"/>
      <c r="N46" s="73"/>
      <c r="O46" s="73"/>
      <c r="P46" s="73"/>
      <c r="Q46" s="73"/>
      <c r="R46" s="73"/>
      <c r="S46" s="73"/>
      <c r="T46" s="438" cm="1" t="str">
        <f t="array" ref="T46:T46">T45</f>
        <v>false</v>
      </c>
      <c r="U46" s="73"/>
      <c r="V46" s="73"/>
      <c r="W46" s="73"/>
      <c r="X46" s="1541"/>
      <c r="Y46" s="1256"/>
      <c r="Z46" s="1494"/>
      <c r="AA46" s="1256"/>
      <c r="AB46" s="266" t="s">
        <v>1818</v>
      </c>
      <c r="AC46" s="744" t="s">
        <v>1819</v>
      </c>
      <c r="AD46" s="266" t="s">
        <v>789</v>
      </c>
      <c r="AE46" s="1219"/>
      <c r="AF46" s="1219"/>
      <c r="AG46" s="1219"/>
      <c r="AH46" s="1092">
        <f>AG46-AF46</f>
        <v>0</v>
      </c>
      <c r="AI46" s="1219"/>
      <c r="AJ46" s="1331"/>
      <c r="AK46" s="1093"/>
      <c r="AL46" s="1093"/>
      <c r="AM46" s="1093"/>
      <c r="AN46" s="1093"/>
      <c r="AO46" s="1093"/>
      <c r="AP46" s="1093"/>
      <c r="AQ46" s="1093"/>
      <c r="AR46" s="1093"/>
      <c r="AS46" s="1093"/>
      <c r="AT46" s="1359"/>
      <c r="AU46" s="1093"/>
      <c r="AV46" s="1093"/>
      <c r="AW46" s="1093"/>
      <c r="AX46" s="1093"/>
      <c r="AY46" s="1093"/>
      <c r="AZ46" s="1093"/>
      <c r="BA46" s="1093"/>
      <c r="BB46" s="1093"/>
      <c r="BC46" s="1093"/>
      <c r="BD46" s="1092">
        <f>IF(AI46=0,0,(AT46-AI46)/AI46*100)</f>
        <v>0</v>
      </c>
      <c r="BE46" s="1093"/>
      <c r="BF46" s="1093"/>
      <c r="BG46" s="1093"/>
      <c r="BH46" s="1093"/>
      <c r="BI46" s="1093"/>
      <c r="BJ46" s="1093"/>
      <c r="BK46" s="1093"/>
      <c r="BL46" s="1093"/>
      <c r="BM46" s="1093"/>
      <c r="BN46" s="1216"/>
      <c r="BO46" s="1216"/>
      <c r="BP46" s="1216"/>
      <c r="BQ46" s="1256"/>
      <c r="BR46" s="1256"/>
      <c r="BS46" s="1041" t="s">
        <v>1616</v>
      </c>
      <c r="BT46" s="1041"/>
      <c r="BU46" s="1041"/>
      <c r="BV46" s="956"/>
      <c r="BW46" s="956"/>
    </row>
    <row s="676" customFormat="1" customHeight="1" ht="20.475" hidden="1">
      <c r="A47" s="676"/>
      <c r="B47" s="407"/>
      <c r="C47" s="75"/>
      <c r="D47" s="75"/>
      <c r="E47" s="802">
        <v>21</v>
      </c>
      <c r="F47" s="50" cm="1" t="str">
        <f t="array" ref="F47:F47">OFFSET(E47,-1,1)</f>
        <v>0</v>
      </c>
      <c r="G47" s="75"/>
      <c r="H47" s="833"/>
      <c r="I47" s="833" t="s">
        <v>441</v>
      </c>
      <c r="J47" s="75"/>
      <c r="K47" s="344" t="s">
        <v>441</v>
      </c>
      <c r="L47" s="962"/>
      <c r="M47" s="75"/>
      <c r="N47" s="75"/>
      <c r="O47" s="75"/>
      <c r="P47" s="75"/>
      <c r="Q47" s="75"/>
      <c r="R47" s="75"/>
      <c r="S47" s="75"/>
      <c r="T47" s="438" cm="1" t="str">
        <f t="array" ref="T47:T47">T46</f>
        <v>false</v>
      </c>
      <c r="U47" s="75"/>
      <c r="V47" s="75"/>
      <c r="W47" s="75"/>
      <c r="X47" s="1541"/>
      <c r="Y47" s="676"/>
      <c r="Z47" s="1494"/>
      <c r="AA47" s="676"/>
      <c r="AB47" s="177" t="s">
        <v>850</v>
      </c>
      <c r="AC47" s="327" t="s">
        <v>1636</v>
      </c>
      <c r="AD47" s="177" t="s">
        <v>789</v>
      </c>
      <c r="AE47" s="179">
        <f>AE48+AE49+AE50</f>
        <v>0</v>
      </c>
      <c r="AF47" s="179">
        <f>AF48+AF49+AF50</f>
        <v>0</v>
      </c>
      <c r="AG47" s="179">
        <f>AG48+AG49+AG50</f>
        <v>0</v>
      </c>
      <c r="AH47" s="754">
        <f>AG47-AF47</f>
        <v>0</v>
      </c>
      <c r="AI47" s="179">
        <f>AI48+AI49+AI50</f>
        <v>0</v>
      </c>
      <c r="AJ47" s="179">
        <f>AJ48+AJ49+AJ50</f>
        <v>0</v>
      </c>
      <c r="AK47" s="182"/>
      <c r="AL47" s="182"/>
      <c r="AM47" s="182"/>
      <c r="AN47" s="182"/>
      <c r="AO47" s="182"/>
      <c r="AP47" s="182"/>
      <c r="AQ47" s="182"/>
      <c r="AR47" s="182"/>
      <c r="AS47" s="182"/>
      <c r="AT47" s="179">
        <f>AT48+AT49+AT50</f>
        <v>0</v>
      </c>
      <c r="AU47" s="182"/>
      <c r="AV47" s="182"/>
      <c r="AW47" s="182"/>
      <c r="AX47" s="182"/>
      <c r="AY47" s="182"/>
      <c r="AZ47" s="182"/>
      <c r="BA47" s="182"/>
      <c r="BB47" s="182"/>
      <c r="BC47" s="182"/>
      <c r="BD47" s="754">
        <f>IF(AI47=0,0,(AT47-AI47)/AI47*100)</f>
        <v>0</v>
      </c>
      <c r="BE47" s="182"/>
      <c r="BF47" s="182"/>
      <c r="BG47" s="182"/>
      <c r="BH47" s="182"/>
      <c r="BI47" s="182"/>
      <c r="BJ47" s="182"/>
      <c r="BK47" s="182"/>
      <c r="BL47" s="182"/>
      <c r="BM47" s="182"/>
      <c r="BN47" s="1218"/>
      <c r="BO47" s="1218"/>
      <c r="BP47" s="1218"/>
      <c r="BQ47" s="676"/>
      <c r="BR47" s="676"/>
      <c r="BS47" s="1040" t="s">
        <v>1637</v>
      </c>
      <c r="BT47" s="1047"/>
      <c r="BU47" s="1047"/>
      <c r="BV47" s="683"/>
      <c r="BW47" s="683"/>
    </row>
    <row customHeight="1" ht="21.9375" hidden="1">
      <c r="A48" s="1256"/>
      <c r="B48" s="955"/>
      <c r="C48" s="73"/>
      <c r="D48" s="73"/>
      <c r="E48" s="596">
        <v>22.5</v>
      </c>
      <c r="F48" s="50" cm="1" t="str">
        <f t="array" ref="F48:F48">OFFSET(E48,-1,1)</f>
        <v>0</v>
      </c>
      <c r="G48" s="73"/>
      <c r="H48" s="833"/>
      <c r="I48" s="833" t="s">
        <v>1221</v>
      </c>
      <c r="J48" s="73"/>
      <c r="K48" s="344" t="s">
        <v>1221</v>
      </c>
      <c r="L48" s="957"/>
      <c r="M48" s="73"/>
      <c r="N48" s="73"/>
      <c r="O48" s="73"/>
      <c r="P48" s="73"/>
      <c r="Q48" s="73"/>
      <c r="R48" s="73"/>
      <c r="S48" s="73"/>
      <c r="T48" s="438" cm="1" t="str">
        <f t="array" ref="T48:T48">T47</f>
        <v>false</v>
      </c>
      <c r="U48" s="73"/>
      <c r="V48" s="73"/>
      <c r="W48" s="73"/>
      <c r="X48" s="1541"/>
      <c r="Y48" s="1256"/>
      <c r="Z48" s="1494"/>
      <c r="AA48" s="1256"/>
      <c r="AB48" s="266" t="s">
        <v>1222</v>
      </c>
      <c r="AC48" s="741" t="s">
        <v>1820</v>
      </c>
      <c r="AD48" s="266" t="s">
        <v>789</v>
      </c>
      <c r="AE48" s="1219"/>
      <c r="AF48" s="1219"/>
      <c r="AG48" s="1219"/>
      <c r="AH48" s="1092">
        <f>AG48-AF48</f>
        <v>0</v>
      </c>
      <c r="AI48" s="1219"/>
      <c r="AJ48" s="3564"/>
      <c r="AK48" s="1093"/>
      <c r="AL48" s="1093"/>
      <c r="AM48" s="1093"/>
      <c r="AN48" s="1093"/>
      <c r="AO48" s="1093"/>
      <c r="AP48" s="1093"/>
      <c r="AQ48" s="1093"/>
      <c r="AR48" s="1093"/>
      <c r="AS48" s="1093"/>
      <c r="AT48" s="3564"/>
      <c r="AU48" s="1093"/>
      <c r="AV48" s="1093"/>
      <c r="AW48" s="1093"/>
      <c r="AX48" s="1093"/>
      <c r="AY48" s="1093"/>
      <c r="AZ48" s="1093"/>
      <c r="BA48" s="1093"/>
      <c r="BB48" s="1093"/>
      <c r="BC48" s="1093"/>
      <c r="BD48" s="1092">
        <f>IF(AI48=0,0,(AT48-AI48)/AI48*100)</f>
        <v>0</v>
      </c>
      <c r="BE48" s="1093"/>
      <c r="BF48" s="1093"/>
      <c r="BG48" s="1093"/>
      <c r="BH48" s="1093"/>
      <c r="BI48" s="1093"/>
      <c r="BJ48" s="1093"/>
      <c r="BK48" s="1093"/>
      <c r="BL48" s="1093"/>
      <c r="BM48" s="1093"/>
      <c r="BN48" s="1216"/>
      <c r="BO48" s="1216"/>
      <c r="BP48" s="1216"/>
      <c r="BQ48" s="1256"/>
      <c r="BR48" s="1256"/>
      <c r="BS48" s="1039" t="s">
        <v>1639</v>
      </c>
      <c r="BT48" s="1041"/>
      <c r="BU48" s="1041"/>
      <c r="BV48" s="956"/>
      <c r="BW48" s="956"/>
    </row>
    <row customHeight="1" ht="21.9375" hidden="1">
      <c r="A49" s="1256"/>
      <c r="B49" s="955"/>
      <c r="C49" s="73"/>
      <c r="D49" s="73"/>
      <c r="E49" s="596">
        <v>22.5</v>
      </c>
      <c r="F49" s="50" cm="1" t="str">
        <f t="array" ref="F49:F49">OFFSET(E49,-1,1)</f>
        <v>0</v>
      </c>
      <c r="G49" s="73"/>
      <c r="H49" s="833"/>
      <c r="I49" s="833" t="s">
        <v>1225</v>
      </c>
      <c r="J49" s="73"/>
      <c r="K49" s="344" t="s">
        <v>1225</v>
      </c>
      <c r="L49" s="957"/>
      <c r="M49" s="73"/>
      <c r="N49" s="73"/>
      <c r="O49" s="73"/>
      <c r="P49" s="73"/>
      <c r="Q49" s="73"/>
      <c r="R49" s="73"/>
      <c r="S49" s="73"/>
      <c r="T49" s="438" cm="1" t="str">
        <f t="array" ref="T49:T49">T48</f>
        <v>false</v>
      </c>
      <c r="U49" s="73"/>
      <c r="V49" s="73"/>
      <c r="W49" s="73"/>
      <c r="X49" s="1541"/>
      <c r="Y49" s="1256"/>
      <c r="Z49" s="1494"/>
      <c r="AA49" s="1256"/>
      <c r="AB49" s="266" t="s">
        <v>1226</v>
      </c>
      <c r="AC49" s="741" t="s">
        <v>1821</v>
      </c>
      <c r="AD49" s="266" t="s">
        <v>789</v>
      </c>
      <c r="AE49" s="1219"/>
      <c r="AF49" s="1219"/>
      <c r="AG49" s="1219"/>
      <c r="AH49" s="1092">
        <f>AG49-AF49</f>
        <v>0</v>
      </c>
      <c r="AI49" s="1219"/>
      <c r="AJ49" s="3564"/>
      <c r="AK49" s="1093"/>
      <c r="AL49" s="1093"/>
      <c r="AM49" s="1093"/>
      <c r="AN49" s="1093"/>
      <c r="AO49" s="1093"/>
      <c r="AP49" s="1093"/>
      <c r="AQ49" s="1093"/>
      <c r="AR49" s="1093"/>
      <c r="AS49" s="1093"/>
      <c r="AT49" s="3564"/>
      <c r="AU49" s="1093"/>
      <c r="AV49" s="1093"/>
      <c r="AW49" s="1093"/>
      <c r="AX49" s="1093"/>
      <c r="AY49" s="1093"/>
      <c r="AZ49" s="1093"/>
      <c r="BA49" s="1093"/>
      <c r="BB49" s="1093"/>
      <c r="BC49" s="1093"/>
      <c r="BD49" s="1092">
        <f>IF(AI49=0,0,(AT49-AI49)/AI49*100)</f>
        <v>0</v>
      </c>
      <c r="BE49" s="1093"/>
      <c r="BF49" s="1093"/>
      <c r="BG49" s="1093"/>
      <c r="BH49" s="1093"/>
      <c r="BI49" s="1093"/>
      <c r="BJ49" s="1093"/>
      <c r="BK49" s="1093"/>
      <c r="BL49" s="1093"/>
      <c r="BM49" s="1093"/>
      <c r="BN49" s="1216"/>
      <c r="BO49" s="1216"/>
      <c r="BP49" s="1216"/>
      <c r="BQ49" s="1256"/>
      <c r="BR49" s="1256"/>
      <c r="BS49" s="1041" t="s">
        <v>1822</v>
      </c>
      <c r="BT49" s="1041"/>
      <c r="BU49" s="1041"/>
      <c r="BV49" s="956"/>
      <c r="BW49" s="956"/>
    </row>
    <row customHeight="1" ht="21.9375" hidden="1">
      <c r="A50" s="1256"/>
      <c r="B50" s="955"/>
      <c r="C50" s="73"/>
      <c r="D50" s="73"/>
      <c r="E50" s="596">
        <v>22.5</v>
      </c>
      <c r="F50" s="50" cm="1" t="str">
        <f t="array" ref="F50:F50">OFFSET(E50,-1,1)</f>
        <v>0</v>
      </c>
      <c r="G50" s="73"/>
      <c r="H50" s="833"/>
      <c r="I50" s="833" t="s">
        <v>1229</v>
      </c>
      <c r="J50" s="73"/>
      <c r="K50" s="344" t="s">
        <v>1229</v>
      </c>
      <c r="L50" s="957" t="s">
        <v>455</v>
      </c>
      <c r="M50" s="73"/>
      <c r="N50" s="73"/>
      <c r="O50" s="73"/>
      <c r="P50" s="73"/>
      <c r="Q50" s="73"/>
      <c r="R50" s="73"/>
      <c r="S50" s="73"/>
      <c r="T50" s="438" cm="1" t="str">
        <f t="array" ref="T50:T50">T49</f>
        <v>false</v>
      </c>
      <c r="U50" s="73"/>
      <c r="V50" s="73"/>
      <c r="W50" s="73"/>
      <c r="X50" s="1541"/>
      <c r="Y50" s="1256"/>
      <c r="Z50" s="1494"/>
      <c r="AA50" s="1256"/>
      <c r="AB50" s="266" t="s">
        <v>1230</v>
      </c>
      <c r="AC50" s="741" t="s">
        <v>1823</v>
      </c>
      <c r="AD50" s="266" t="s">
        <v>789</v>
      </c>
      <c r="AE50" s="1094">
        <f>AE51+AE52</f>
        <v>0</v>
      </c>
      <c r="AF50" s="1094">
        <f>AF51+AF52</f>
        <v>0</v>
      </c>
      <c r="AG50" s="1094">
        <f>AG51+AG52</f>
        <v>0</v>
      </c>
      <c r="AH50" s="1092">
        <f>AG50-AF50</f>
        <v>0</v>
      </c>
      <c r="AI50" s="1094">
        <f>AI51+AI52</f>
        <v>0</v>
      </c>
      <c r="AJ50" s="1094">
        <f>AJ51+AJ52</f>
        <v>0</v>
      </c>
      <c r="AK50" s="1093"/>
      <c r="AL50" s="1093"/>
      <c r="AM50" s="1093"/>
      <c r="AN50" s="1093"/>
      <c r="AO50" s="1093"/>
      <c r="AP50" s="1093"/>
      <c r="AQ50" s="1093"/>
      <c r="AR50" s="1093"/>
      <c r="AS50" s="1093"/>
      <c r="AT50" s="1094">
        <f>AT51+AT52</f>
        <v>0</v>
      </c>
      <c r="AU50" s="1093"/>
      <c r="AV50" s="1093"/>
      <c r="AW50" s="1093"/>
      <c r="AX50" s="1093"/>
      <c r="AY50" s="1093"/>
      <c r="AZ50" s="1093"/>
      <c r="BA50" s="1093"/>
      <c r="BB50" s="1093"/>
      <c r="BC50" s="1093"/>
      <c r="BD50" s="1092">
        <f>IF(AI50=0,0,(AT50-AI50)/AI50*100)</f>
        <v>0</v>
      </c>
      <c r="BE50" s="1093"/>
      <c r="BF50" s="1093"/>
      <c r="BG50" s="1093"/>
      <c r="BH50" s="1093"/>
      <c r="BI50" s="1093"/>
      <c r="BJ50" s="1093"/>
      <c r="BK50" s="1093"/>
      <c r="BL50" s="1093"/>
      <c r="BM50" s="1093"/>
      <c r="BN50" s="1216"/>
      <c r="BO50" s="1216"/>
      <c r="BP50" s="1216"/>
      <c r="BQ50" s="1256"/>
      <c r="BR50" s="1256"/>
      <c r="BS50" s="1039" t="s">
        <v>1641</v>
      </c>
      <c r="BT50" s="1041"/>
      <c r="BU50" s="1041"/>
      <c r="BV50" s="956"/>
      <c r="BW50" s="956"/>
    </row>
    <row customHeight="1" ht="14.625" hidden="1">
      <c r="A51" s="1256"/>
      <c r="B51" s="955"/>
      <c r="C51" s="73"/>
      <c r="D51" s="73"/>
      <c r="E51" s="596">
        <v>15</v>
      </c>
      <c r="F51" s="50" cm="1" t="str">
        <f t="array" ref="F51:F51">OFFSET(E51,-1,1)</f>
        <v>0</v>
      </c>
      <c r="G51" s="824" t="s">
        <v>1048</v>
      </c>
      <c r="H51" s="833"/>
      <c r="I51" s="833" t="s">
        <v>1824</v>
      </c>
      <c r="J51" s="73"/>
      <c r="K51" s="344" t="s">
        <v>1824</v>
      </c>
      <c r="L51" s="957" t="s">
        <v>1642</v>
      </c>
      <c r="M51" s="73"/>
      <c r="N51" s="73"/>
      <c r="O51" s="73"/>
      <c r="P51" s="73"/>
      <c r="Q51" s="73"/>
      <c r="R51" s="73"/>
      <c r="S51" s="73"/>
      <c r="T51" s="438" cm="1" t="str">
        <f t="array" ref="T51:T51">T50</f>
        <v>false</v>
      </c>
      <c r="U51" s="73"/>
      <c r="V51" s="73"/>
      <c r="W51" s="73"/>
      <c r="X51" s="1541"/>
      <c r="Y51" s="1256"/>
      <c r="Z51" s="1494"/>
      <c r="AA51" s="1256"/>
      <c r="AB51" s="266" t="s">
        <v>1825</v>
      </c>
      <c r="AC51" s="744" t="s">
        <v>1643</v>
      </c>
      <c r="AD51" s="266" t="s">
        <v>789</v>
      </c>
      <c r="AE51" s="1092">
        <f>_xlfn.SUMIFS(ФОТ!AE$25:AE$77,ФОТ!$F$25:$F$77,$F51,ФОТ!$G$25:$G$77,$G51)</f>
        <v>0</v>
      </c>
      <c r="AF51" s="1092">
        <f>_xlfn.SUMIFS(ФОТ!AF$25:AF$77,ФОТ!$F$25:$F$77,$F51,ФОТ!$G$25:$G$77,$G51)</f>
        <v>0</v>
      </c>
      <c r="AG51" s="1092">
        <f>_xlfn.SUMIFS(ФОТ!AG$25:AG$77,ФОТ!$F$25:$F$77,$F51,ФОТ!$G$25:$G$77,$G51)</f>
        <v>0</v>
      </c>
      <c r="AH51" s="1092">
        <f>AG51-AF51</f>
        <v>0</v>
      </c>
      <c r="AI51" s="1092">
        <f>_xlfn.SUMIFS(ФОТ!AH$25:AH$77,ФОТ!$F$25:$F$77,$F51,ФОТ!$G$25:$G$77,$G51)</f>
        <v>0</v>
      </c>
      <c r="AJ51" s="1092">
        <f>_xlfn.SUMIFS(ФОТ!AI$25:AI$77,ФОТ!$F$25:$F$77,$F51,ФОТ!$G$25:$G$77,$G51)</f>
        <v>0</v>
      </c>
      <c r="AK51" s="1093"/>
      <c r="AL51" s="1093"/>
      <c r="AM51" s="1093"/>
      <c r="AN51" s="1093"/>
      <c r="AO51" s="1093"/>
      <c r="AP51" s="1093"/>
      <c r="AQ51" s="1093"/>
      <c r="AR51" s="1093"/>
      <c r="AS51" s="1093"/>
      <c r="AT51" s="1092">
        <f>_xlfn.SUMIFS(ФОТ!AJ$25:AJ$77,ФОТ!$F$25:$F$77,$F51,ФОТ!$G$25:$G$77,$G51)</f>
        <v>0</v>
      </c>
      <c r="AU51" s="1093"/>
      <c r="AV51" s="1093"/>
      <c r="AW51" s="1093"/>
      <c r="AX51" s="1093"/>
      <c r="AY51" s="1093"/>
      <c r="AZ51" s="1093"/>
      <c r="BA51" s="1093"/>
      <c r="BB51" s="1093"/>
      <c r="BC51" s="1093"/>
      <c r="BD51" s="1092">
        <f>IF(AI51=0,0,(AT51-AI51)/AI51*100)</f>
        <v>0</v>
      </c>
      <c r="BE51" s="1093"/>
      <c r="BF51" s="1093"/>
      <c r="BG51" s="1093"/>
      <c r="BH51" s="1093"/>
      <c r="BI51" s="1093"/>
      <c r="BJ51" s="1093"/>
      <c r="BK51" s="1093"/>
      <c r="BL51" s="1093"/>
      <c r="BM51" s="1093"/>
      <c r="BN51" s="1216"/>
      <c r="BO51" s="1220" t="str">
        <f>IF(_xlfn.IFERROR(INDEX(ФОТ!$K$26:$L$77,MATCH($F51&amp;"3komm",ФОТ!$K$26:$K$77,0),2),"")=0,"",_xlfn.IFERROR(INDEX(ФОТ!$K$26:$L$77,MATCH($F51&amp;"3komm",ФОТ!$K$26:$K$77,0),2),""))</f>
        <v/>
      </c>
      <c r="BP51" s="1216"/>
      <c r="BQ51" s="1256"/>
      <c r="BR51" s="1256"/>
      <c r="BS51" s="1039" t="s">
        <v>1644</v>
      </c>
      <c r="BT51" s="1041"/>
      <c r="BU51" s="1041"/>
      <c r="BV51" s="956"/>
      <c r="BW51" s="956"/>
    </row>
    <row customHeight="1" ht="21.9375" hidden="1">
      <c r="A52" s="1256"/>
      <c r="B52" s="955"/>
      <c r="C52" s="73"/>
      <c r="D52" s="73"/>
      <c r="E52" s="596">
        <v>22.5</v>
      </c>
      <c r="F52" s="50" cm="1" t="str">
        <f t="array" ref="F52:F52">OFFSET(E52,-1,1)</f>
        <v>0</v>
      </c>
      <c r="G52" s="824" t="s">
        <v>1053</v>
      </c>
      <c r="H52" s="833"/>
      <c r="I52" s="833" t="s">
        <v>1826</v>
      </c>
      <c r="J52" s="73"/>
      <c r="K52" s="344" t="s">
        <v>1826</v>
      </c>
      <c r="L52" s="957" t="s">
        <v>1645</v>
      </c>
      <c r="M52" s="73"/>
      <c r="N52" s="73"/>
      <c r="O52" s="73"/>
      <c r="P52" s="73"/>
      <c r="Q52" s="73"/>
      <c r="R52" s="73"/>
      <c r="S52" s="73"/>
      <c r="T52" s="438" cm="1" t="str">
        <f t="array" ref="T52:T52">T51</f>
        <v>false</v>
      </c>
      <c r="U52" s="73"/>
      <c r="V52" s="73"/>
      <c r="W52" s="73"/>
      <c r="X52" s="1541"/>
      <c r="Y52" s="1256"/>
      <c r="Z52" s="1494"/>
      <c r="AA52" s="1256"/>
      <c r="AB52" s="266" t="s">
        <v>1827</v>
      </c>
      <c r="AC52" s="744" t="s">
        <v>1828</v>
      </c>
      <c r="AD52" s="266" t="s">
        <v>789</v>
      </c>
      <c r="AE52" s="1092">
        <f>_xlfn.SUMIFS(ФОТ!AE$25:AE$77,ФОТ!$F$25:$F$77,$F52,ФОТ!$G$25:$G$77,$G52)</f>
        <v>0</v>
      </c>
      <c r="AF52" s="1092">
        <f>_xlfn.SUMIFS(ФОТ!AF$25:AF$77,ФОТ!$F$25:$F$77,$F52,ФОТ!$G$25:$G$77,$G52)</f>
        <v>0</v>
      </c>
      <c r="AG52" s="1092">
        <f>_xlfn.SUMIFS(ФОТ!AG$25:AG$77,ФОТ!$F$25:$F$77,$F52,ФОТ!$G$25:$G$77,$G52)</f>
        <v>0</v>
      </c>
      <c r="AH52" s="1092">
        <f>AG52-AF52</f>
        <v>0</v>
      </c>
      <c r="AI52" s="1092">
        <f>_xlfn.SUMIFS(ФОТ!AH$25:AH$77,ФОТ!$F$25:$F$77,$F52,ФОТ!$G$25:$G$77,$G52)</f>
        <v>0</v>
      </c>
      <c r="AJ52" s="1092">
        <f>_xlfn.SUMIFS(ФОТ!AI$25:AI$77,ФОТ!$F$25:$F$77,$F52,ФОТ!$G$25:$G$77,$G52)</f>
        <v>0</v>
      </c>
      <c r="AK52" s="1093"/>
      <c r="AL52" s="1093"/>
      <c r="AM52" s="1093"/>
      <c r="AN52" s="1093"/>
      <c r="AO52" s="1093"/>
      <c r="AP52" s="1093"/>
      <c r="AQ52" s="1093"/>
      <c r="AR52" s="1093"/>
      <c r="AS52" s="1093"/>
      <c r="AT52" s="1092">
        <f>_xlfn.SUMIFS(ФОТ!AJ$25:AJ$77,ФОТ!$F$25:$F$77,$F52,ФОТ!$G$25:$G$77,$G52)</f>
        <v>0</v>
      </c>
      <c r="AU52" s="1093"/>
      <c r="AV52" s="1093"/>
      <c r="AW52" s="1093"/>
      <c r="AX52" s="1093"/>
      <c r="AY52" s="1093"/>
      <c r="AZ52" s="1093"/>
      <c r="BA52" s="1093"/>
      <c r="BB52" s="1093"/>
      <c r="BC52" s="1093"/>
      <c r="BD52" s="1092">
        <f>IF(AI52=0,0,(AT52-AI52)/AI52*100)</f>
        <v>0</v>
      </c>
      <c r="BE52" s="1093"/>
      <c r="BF52" s="1093"/>
      <c r="BG52" s="1093"/>
      <c r="BH52" s="1093"/>
      <c r="BI52" s="1093"/>
      <c r="BJ52" s="1093"/>
      <c r="BK52" s="1093"/>
      <c r="BL52" s="1093"/>
      <c r="BM52" s="1093"/>
      <c r="BN52" s="1216"/>
      <c r="BO52" s="1220" t="str">
        <f>IF(_xlfn.IFERROR(INDEX(ФОТ!$K$26:$L$77,MATCH($F52&amp;"4komm",ФОТ!$K$26:$K$77,0),2),"")=0,"",_xlfn.IFERROR(INDEX(ФОТ!$K$26:$L$77,MATCH($F52&amp;"4komm",ФОТ!$K$26:$K$77,0),2),""))</f>
        <v/>
      </c>
      <c r="BP52" s="1216"/>
      <c r="BQ52" s="1256"/>
      <c r="BR52" s="1256"/>
      <c r="BS52" s="1039" t="s">
        <v>1647</v>
      </c>
      <c r="BT52" s="1041"/>
      <c r="BU52" s="1041"/>
      <c r="BV52" s="956"/>
      <c r="BW52" s="956"/>
    </row>
    <row s="676" customFormat="1" customHeight="1" ht="20.475" hidden="1">
      <c r="A53" s="676"/>
      <c r="B53" s="407"/>
      <c r="C53" s="75"/>
      <c r="D53" s="75"/>
      <c r="E53" s="802">
        <v>21</v>
      </c>
      <c r="F53" s="50" cm="1" t="str">
        <f t="array" ref="F53:F53">OFFSET(E53,-1,1)</f>
        <v>0</v>
      </c>
      <c r="G53" s="75"/>
      <c r="H53" s="833"/>
      <c r="I53" s="833" t="s">
        <v>445</v>
      </c>
      <c r="J53" s="75"/>
      <c r="K53" s="344" t="s">
        <v>445</v>
      </c>
      <c r="L53" s="962" t="s">
        <v>323</v>
      </c>
      <c r="M53" s="75"/>
      <c r="N53" s="75"/>
      <c r="O53" s="75"/>
      <c r="P53" s="75"/>
      <c r="Q53" s="75"/>
      <c r="R53" s="75"/>
      <c r="S53" s="75"/>
      <c r="T53" s="438" cm="1" t="str">
        <f t="array" ref="T53:T53">T52</f>
        <v>false</v>
      </c>
      <c r="U53" s="75"/>
      <c r="V53" s="75"/>
      <c r="W53" s="75"/>
      <c r="X53" s="1541"/>
      <c r="Y53" s="676"/>
      <c r="Z53" s="1494"/>
      <c r="AA53" s="676"/>
      <c r="AB53" s="177" t="s">
        <v>853</v>
      </c>
      <c r="AC53" s="327" t="s">
        <v>1829</v>
      </c>
      <c r="AD53" s="177" t="s">
        <v>789</v>
      </c>
      <c r="AE53" s="179">
        <f>AE54+AE62+AE65+AE66+AE67+AE68+AE69</f>
        <v>0</v>
      </c>
      <c r="AF53" s="179">
        <f>AF54+AF62+AF65+AF66+AF67+AF68+AF69</f>
        <v>0</v>
      </c>
      <c r="AG53" s="179">
        <f>AG54+AG62+AG65+AG66+AG67+AG68+AG69</f>
        <v>0</v>
      </c>
      <c r="AH53" s="754">
        <f>AG53-AF53</f>
        <v>0</v>
      </c>
      <c r="AI53" s="179">
        <f>AI54+AI62+AI65+AI66+AI67+AI68+AI69</f>
        <v>0</v>
      </c>
      <c r="AJ53" s="179">
        <f>AJ54+AJ62+AJ65+AJ66+AJ67+AJ68+AJ69</f>
        <v>0</v>
      </c>
      <c r="AK53" s="182"/>
      <c r="AL53" s="182"/>
      <c r="AM53" s="182"/>
      <c r="AN53" s="182"/>
      <c r="AO53" s="182"/>
      <c r="AP53" s="182"/>
      <c r="AQ53" s="182"/>
      <c r="AR53" s="182"/>
      <c r="AS53" s="182"/>
      <c r="AT53" s="179">
        <f>AT54+AT62+AT65+AT66+AT67+AT68+AT69</f>
        <v>0</v>
      </c>
      <c r="AU53" s="182"/>
      <c r="AV53" s="182"/>
      <c r="AW53" s="182"/>
      <c r="AX53" s="182"/>
      <c r="AY53" s="182"/>
      <c r="AZ53" s="182"/>
      <c r="BA53" s="182"/>
      <c r="BB53" s="182"/>
      <c r="BC53" s="182"/>
      <c r="BD53" s="754">
        <f>IF(AI53=0,0,(AT53-AI53)/AI53*100)</f>
        <v>0</v>
      </c>
      <c r="BE53" s="182"/>
      <c r="BF53" s="182"/>
      <c r="BG53" s="182"/>
      <c r="BH53" s="182"/>
      <c r="BI53" s="182"/>
      <c r="BJ53" s="182"/>
      <c r="BK53" s="182"/>
      <c r="BL53" s="182"/>
      <c r="BM53" s="182"/>
      <c r="BN53" s="1218"/>
      <c r="BO53" s="1218"/>
      <c r="BP53" s="1218"/>
      <c r="BQ53" s="676"/>
      <c r="BR53" s="676"/>
      <c r="BS53" s="1040" t="s">
        <v>1649</v>
      </c>
      <c r="BT53" s="1047"/>
      <c r="BU53" s="1047"/>
      <c r="BV53" s="683"/>
      <c r="BW53" s="683"/>
    </row>
    <row customHeight="1" ht="21.9375" hidden="1">
      <c r="A54" s="1256"/>
      <c r="B54" s="955"/>
      <c r="C54" s="73"/>
      <c r="D54" s="73"/>
      <c r="E54" s="596">
        <v>22.5</v>
      </c>
      <c r="F54" s="50" cm="1" t="str">
        <f t="array" ref="F54:F54">OFFSET(E54,-1,1)</f>
        <v>0</v>
      </c>
      <c r="G54" s="73" t="s">
        <v>1074</v>
      </c>
      <c r="H54" s="833"/>
      <c r="I54" s="833" t="s">
        <v>1235</v>
      </c>
      <c r="J54" s="73"/>
      <c r="K54" s="344" t="s">
        <v>1235</v>
      </c>
      <c r="L54" s="957" t="s">
        <v>874</v>
      </c>
      <c r="M54" s="73"/>
      <c r="N54" s="73"/>
      <c r="O54" s="73"/>
      <c r="P54" s="73"/>
      <c r="Q54" s="73"/>
      <c r="R54" s="73"/>
      <c r="S54" s="73"/>
      <c r="T54" s="438" cm="1" t="str">
        <f t="array" ref="T54:T54">T53</f>
        <v>false</v>
      </c>
      <c r="U54" s="73"/>
      <c r="V54" s="73"/>
      <c r="W54" s="73"/>
      <c r="X54" s="1541"/>
      <c r="Y54" s="1256"/>
      <c r="Z54" s="1494"/>
      <c r="AA54" s="1256"/>
      <c r="AB54" s="266" t="s">
        <v>964</v>
      </c>
      <c r="AC54" s="741" t="s">
        <v>1830</v>
      </c>
      <c r="AD54" s="266" t="s">
        <v>789</v>
      </c>
      <c r="AE54" s="1092">
        <f>_xlfn.SUMIFS(Административные!AE$25:AE$65,Административные!$F$25:$F$65,$F54,Административные!$G$25:$G$65,$G54)</f>
        <v>0</v>
      </c>
      <c r="AF54" s="1092">
        <f>_xlfn.SUMIFS(Административные!AF$25:AF$65,Административные!$F$25:$F$65,$F54,Административные!$G$25:$G$65,$G54)</f>
        <v>0</v>
      </c>
      <c r="AG54" s="1092">
        <f>_xlfn.SUMIFS(Административные!AG$25:AG$65,Административные!$F$25:$F$65,$F54,Административные!$G$25:$G$65,$G54)</f>
        <v>0</v>
      </c>
      <c r="AH54" s="1092">
        <f>AG54-AF54</f>
        <v>0</v>
      </c>
      <c r="AI54" s="1092">
        <f>_xlfn.SUMIFS(Административные!AH$25:AH$65,Административные!$F$25:$F$65,$F54,Административные!$G$25:$G$65,$G54)</f>
        <v>0</v>
      </c>
      <c r="AJ54" s="1092">
        <f>_xlfn.SUMIFS(Административные!AI$25:AI$65,Административные!$F$25:$F$65,$F54,Административные!$G$25:$G$65,$G54)</f>
        <v>0</v>
      </c>
      <c r="AK54" s="1093"/>
      <c r="AL54" s="1093"/>
      <c r="AM54" s="1093"/>
      <c r="AN54" s="1093"/>
      <c r="AO54" s="1093"/>
      <c r="AP54" s="1093"/>
      <c r="AQ54" s="1093"/>
      <c r="AR54" s="1093"/>
      <c r="AS54" s="1093"/>
      <c r="AT54" s="1092">
        <f>_xlfn.SUMIFS(Административные!AJ$25:AJ$65,Административные!$F$25:$F$65,$F54,Административные!$G$25:$G$65,$G54)</f>
        <v>0</v>
      </c>
      <c r="AU54" s="1093"/>
      <c r="AV54" s="1093"/>
      <c r="AW54" s="1093"/>
      <c r="AX54" s="1093"/>
      <c r="AY54" s="1093"/>
      <c r="AZ54" s="1093"/>
      <c r="BA54" s="1093"/>
      <c r="BB54" s="1093"/>
      <c r="BC54" s="1093"/>
      <c r="BD54" s="1092">
        <f>IF(AI54=0,0,(AT54-AI54)/AI54*100)</f>
        <v>0</v>
      </c>
      <c r="BE54" s="1093"/>
      <c r="BF54" s="1093"/>
      <c r="BG54" s="1093"/>
      <c r="BH54" s="1093"/>
      <c r="BI54" s="1093"/>
      <c r="BJ54" s="1093"/>
      <c r="BK54" s="1093"/>
      <c r="BL54" s="1093"/>
      <c r="BM54" s="1093"/>
      <c r="BN54" s="1216"/>
      <c r="BO54" s="1220" t="str">
        <f>IF(_xlfn.IFERROR(INDEX(Административные!$K$26:$L$65,MATCH($F54&amp;"17komm",Административные!$K$26:$K$65,0),2),"")=0,"",_xlfn.IFERROR(INDEX(Административные!$K$26:$L$65,MATCH($F54&amp;"17komm",Административные!$K$26:$K$65,0),2),""))</f>
        <v/>
      </c>
      <c r="BP54" s="1216"/>
      <c r="BQ54" s="1256"/>
      <c r="BR54" s="1256"/>
      <c r="BS54" s="1039" t="s">
        <v>1076</v>
      </c>
      <c r="BT54" s="1041"/>
      <c r="BU54" s="1041"/>
      <c r="BV54" s="956"/>
      <c r="BW54" s="956"/>
    </row>
    <row customHeight="1" ht="14.625" hidden="1">
      <c r="A55" s="1256"/>
      <c r="B55" s="955"/>
      <c r="C55" s="73"/>
      <c r="D55" s="73"/>
      <c r="E55" s="596">
        <v>15</v>
      </c>
      <c r="F55" s="50" cm="1" t="str">
        <f t="array" ref="F55:F55">OFFSET(E55,-1,1)</f>
        <v>0</v>
      </c>
      <c r="G55" s="73" t="s">
        <v>1077</v>
      </c>
      <c r="H55" s="833"/>
      <c r="I55" s="833" t="s">
        <v>1831</v>
      </c>
      <c r="J55" s="73"/>
      <c r="K55" s="344" t="s">
        <v>1831</v>
      </c>
      <c r="L55" s="957"/>
      <c r="M55" s="73"/>
      <c r="N55" s="73"/>
      <c r="O55" s="73"/>
      <c r="P55" s="73"/>
      <c r="Q55" s="73"/>
      <c r="R55" s="73"/>
      <c r="S55" s="73"/>
      <c r="T55" s="438" cm="1" t="str">
        <f t="array" ref="T55:T55">T54</f>
        <v>false</v>
      </c>
      <c r="U55" s="73"/>
      <c r="V55" s="73"/>
      <c r="W55" s="73"/>
      <c r="X55" s="1541"/>
      <c r="Y55" s="1256"/>
      <c r="Z55" s="1494"/>
      <c r="AA55" s="1256"/>
      <c r="AB55" s="266" t="s">
        <v>1832</v>
      </c>
      <c r="AC55" s="744" t="s">
        <v>1078</v>
      </c>
      <c r="AD55" s="266" t="s">
        <v>789</v>
      </c>
      <c r="AE55" s="1092">
        <f>_xlfn.SUMIFS(Административные!AE$25:AE$65,Административные!$F$25:$F$65,$F55,Административные!$G$25:$G$65,$G55)</f>
        <v>0</v>
      </c>
      <c r="AF55" s="1092">
        <f>_xlfn.SUMIFS(Административные!AF$25:AF$65,Административные!$F$25:$F$65,$F55,Административные!$G$25:$G$65,$G55)</f>
        <v>0</v>
      </c>
      <c r="AG55" s="1092">
        <f>_xlfn.SUMIFS(Административные!AG$25:AG$65,Административные!$F$25:$F$65,$F55,Административные!$G$25:$G$65,$G55)</f>
        <v>0</v>
      </c>
      <c r="AH55" s="1092">
        <f>AG55-AF55</f>
        <v>0</v>
      </c>
      <c r="AI55" s="1092">
        <f>_xlfn.SUMIFS(Административные!AH$25:AH$65,Административные!$F$25:$F$65,$F55,Административные!$G$25:$G$65,$G55)</f>
        <v>0</v>
      </c>
      <c r="AJ55" s="1092">
        <f>_xlfn.SUMIFS(Административные!AI$25:AI$65,Административные!$F$25:$F$65,$F55,Административные!$G$25:$G$65,$G55)</f>
        <v>0</v>
      </c>
      <c r="AK55" s="1093"/>
      <c r="AL55" s="1093"/>
      <c r="AM55" s="1093"/>
      <c r="AN55" s="1093"/>
      <c r="AO55" s="1093"/>
      <c r="AP55" s="1093"/>
      <c r="AQ55" s="1093"/>
      <c r="AR55" s="1093"/>
      <c r="AS55" s="1093"/>
      <c r="AT55" s="1092">
        <f>_xlfn.SUMIFS(Административные!AJ$25:AJ$65,Административные!$F$25:$F$65,$F55,Административные!$G$25:$G$65,$G55)</f>
        <v>0</v>
      </c>
      <c r="AU55" s="1093"/>
      <c r="AV55" s="1093"/>
      <c r="AW55" s="1093"/>
      <c r="AX55" s="1093"/>
      <c r="AY55" s="1093"/>
      <c r="AZ55" s="1093"/>
      <c r="BA55" s="1093"/>
      <c r="BB55" s="1093"/>
      <c r="BC55" s="1093"/>
      <c r="BD55" s="1092">
        <f>IF(AI55=0,0,(AT55-AI55)/AI55*100)</f>
        <v>0</v>
      </c>
      <c r="BE55" s="1093"/>
      <c r="BF55" s="1093"/>
      <c r="BG55" s="1093"/>
      <c r="BH55" s="1093"/>
      <c r="BI55" s="1093"/>
      <c r="BJ55" s="1093"/>
      <c r="BK55" s="1093"/>
      <c r="BL55" s="1093"/>
      <c r="BM55" s="1093"/>
      <c r="BN55" s="1216"/>
      <c r="BO55" s="1220" t="str">
        <f>IF(_xlfn.IFERROR(INDEX(Административные!$K$26:$L$65,MATCH($F55&amp;"18komm",Административные!$K$26:$K$65,0),2),"")=0,"",_xlfn.IFERROR(INDEX(Административные!$K$26:$L$65,MATCH($F55&amp;"18komm",Административные!$K$26:$K$65,0),2),""))</f>
        <v/>
      </c>
      <c r="BP55" s="1216"/>
      <c r="BQ55" s="1256"/>
      <c r="BR55" s="1256"/>
      <c r="BS55" s="1041" t="s">
        <v>1079</v>
      </c>
      <c r="BT55" s="1041"/>
      <c r="BU55" s="1041"/>
      <c r="BV55" s="956"/>
      <c r="BW55" s="956"/>
    </row>
    <row customHeight="1" ht="14.625" hidden="1">
      <c r="A56" s="1256"/>
      <c r="B56" s="955"/>
      <c r="C56" s="73"/>
      <c r="D56" s="73"/>
      <c r="E56" s="596">
        <v>15</v>
      </c>
      <c r="F56" s="50" cm="1" t="str">
        <f t="array" ref="F56:F56">OFFSET(E56,-1,1)</f>
        <v>0</v>
      </c>
      <c r="G56" s="73" t="s">
        <v>1080</v>
      </c>
      <c r="H56" s="833"/>
      <c r="I56" s="833" t="s">
        <v>1833</v>
      </c>
      <c r="J56" s="73"/>
      <c r="K56" s="344" t="s">
        <v>1833</v>
      </c>
      <c r="L56" s="957"/>
      <c r="M56" s="73"/>
      <c r="N56" s="73"/>
      <c r="O56" s="73"/>
      <c r="P56" s="73"/>
      <c r="Q56" s="73"/>
      <c r="R56" s="73"/>
      <c r="S56" s="73"/>
      <c r="T56" s="438" cm="1" t="str">
        <f t="array" ref="T56:T56">T55</f>
        <v>false</v>
      </c>
      <c r="U56" s="73"/>
      <c r="V56" s="73"/>
      <c r="W56" s="73"/>
      <c r="X56" s="1541"/>
      <c r="Y56" s="1256"/>
      <c r="Z56" s="1494"/>
      <c r="AA56" s="1256"/>
      <c r="AB56" s="266" t="s">
        <v>1834</v>
      </c>
      <c r="AC56" s="744" t="s">
        <v>1081</v>
      </c>
      <c r="AD56" s="266" t="s">
        <v>789</v>
      </c>
      <c r="AE56" s="1092">
        <f>_xlfn.SUMIFS(Административные!AE$25:AE$65,Административные!$F$25:$F$65,$F56,Административные!$G$25:$G$65,$G56)</f>
        <v>0</v>
      </c>
      <c r="AF56" s="1092">
        <f>_xlfn.SUMIFS(Административные!AF$25:AF$65,Административные!$F$25:$F$65,$F56,Административные!$G$25:$G$65,$G56)</f>
        <v>0</v>
      </c>
      <c r="AG56" s="1092">
        <f>_xlfn.SUMIFS(Административные!AG$25:AG$65,Административные!$F$25:$F$65,$F56,Административные!$G$25:$G$65,$G56)</f>
        <v>0</v>
      </c>
      <c r="AH56" s="1092">
        <f>AG56-AF56</f>
        <v>0</v>
      </c>
      <c r="AI56" s="1092">
        <f>_xlfn.SUMIFS(Административные!AH$25:AH$65,Административные!$F$25:$F$65,$F56,Административные!$G$25:$G$65,$G56)</f>
        <v>0</v>
      </c>
      <c r="AJ56" s="1092">
        <f>_xlfn.SUMIFS(Административные!AI$25:AI$65,Административные!$F$25:$F$65,$F56,Административные!$G$25:$G$65,$G56)</f>
        <v>0</v>
      </c>
      <c r="AK56" s="1093"/>
      <c r="AL56" s="1093"/>
      <c r="AM56" s="1093"/>
      <c r="AN56" s="1093"/>
      <c r="AO56" s="1093"/>
      <c r="AP56" s="1093"/>
      <c r="AQ56" s="1093"/>
      <c r="AR56" s="1093"/>
      <c r="AS56" s="1093"/>
      <c r="AT56" s="1092">
        <f>_xlfn.SUMIFS(Административные!AJ$25:AJ$65,Административные!$F$25:$F$65,$F56,Административные!$G$25:$G$65,$G56)</f>
        <v>0</v>
      </c>
      <c r="AU56" s="1093"/>
      <c r="AV56" s="1093"/>
      <c r="AW56" s="1093"/>
      <c r="AX56" s="1093"/>
      <c r="AY56" s="1093"/>
      <c r="AZ56" s="1093"/>
      <c r="BA56" s="1093"/>
      <c r="BB56" s="1093"/>
      <c r="BC56" s="1093"/>
      <c r="BD56" s="1092">
        <f>IF(AI56=0,0,(AT56-AI56)/AI56*100)</f>
        <v>0</v>
      </c>
      <c r="BE56" s="1093"/>
      <c r="BF56" s="1093"/>
      <c r="BG56" s="1093"/>
      <c r="BH56" s="1093"/>
      <c r="BI56" s="1093"/>
      <c r="BJ56" s="1093"/>
      <c r="BK56" s="1093"/>
      <c r="BL56" s="1093"/>
      <c r="BM56" s="1093"/>
      <c r="BN56" s="1216"/>
      <c r="BO56" s="1220" t="str">
        <f>IF(_xlfn.IFERROR(INDEX(Административные!$K$26:$L$65,MATCH($F56&amp;"11komm",Административные!$K$26:$K$65,0),2),"")=0,"",_xlfn.IFERROR(INDEX(Административные!$K$26:$L$65,MATCH($F56&amp;"11komm",Административные!$K$26:$K$65,0),2),""))</f>
        <v/>
      </c>
      <c r="BP56" s="1216"/>
      <c r="BQ56" s="1256"/>
      <c r="BR56" s="1256"/>
      <c r="BS56" s="1041" t="s">
        <v>1082</v>
      </c>
      <c r="BT56" s="1041"/>
      <c r="BU56" s="1041"/>
      <c r="BV56" s="956"/>
      <c r="BW56" s="956"/>
    </row>
    <row customHeight="1" ht="14.625" hidden="1">
      <c r="A57" s="1256"/>
      <c r="B57" s="955"/>
      <c r="C57" s="73"/>
      <c r="D57" s="73"/>
      <c r="E57" s="596">
        <v>15</v>
      </c>
      <c r="F57" s="50" cm="1" t="str">
        <f t="array" ref="F57:F57">OFFSET(E57,-1,1)</f>
        <v>0</v>
      </c>
      <c r="G57" s="73" t="s">
        <v>1083</v>
      </c>
      <c r="H57" s="833"/>
      <c r="I57" s="833" t="s">
        <v>1835</v>
      </c>
      <c r="J57" s="73"/>
      <c r="K57" s="344" t="s">
        <v>1835</v>
      </c>
      <c r="L57" s="957"/>
      <c r="M57" s="73"/>
      <c r="N57" s="73"/>
      <c r="O57" s="73"/>
      <c r="P57" s="73"/>
      <c r="Q57" s="73"/>
      <c r="R57" s="73"/>
      <c r="S57" s="73"/>
      <c r="T57" s="438" cm="1" t="str">
        <f t="array" ref="T57:T57">T56</f>
        <v>false</v>
      </c>
      <c r="U57" s="73"/>
      <c r="V57" s="73"/>
      <c r="W57" s="73"/>
      <c r="X57" s="1541"/>
      <c r="Y57" s="1256"/>
      <c r="Z57" s="1494"/>
      <c r="AA57" s="1256"/>
      <c r="AB57" s="266" t="s">
        <v>1836</v>
      </c>
      <c r="AC57" s="744" t="s">
        <v>1084</v>
      </c>
      <c r="AD57" s="266" t="s">
        <v>789</v>
      </c>
      <c r="AE57" s="1092">
        <f>_xlfn.SUMIFS(Административные!AE$25:AE$65,Административные!$F$25:$F$65,$F57,Административные!$G$25:$G$65,$G57)</f>
        <v>0</v>
      </c>
      <c r="AF57" s="1092">
        <f>_xlfn.SUMIFS(Административные!AF$25:AF$65,Административные!$F$25:$F$65,$F57,Административные!$G$25:$G$65,$G57)</f>
        <v>0</v>
      </c>
      <c r="AG57" s="1092">
        <f>_xlfn.SUMIFS(Административные!AG$25:AG$65,Административные!$F$25:$F$65,$F57,Административные!$G$25:$G$65,$G57)</f>
        <v>0</v>
      </c>
      <c r="AH57" s="1092">
        <f>AG57-AF57</f>
        <v>0</v>
      </c>
      <c r="AI57" s="1092">
        <f>_xlfn.SUMIFS(Административные!AH$25:AH$65,Административные!$F$25:$F$65,$F57,Административные!$G$25:$G$65,$G57)</f>
        <v>0</v>
      </c>
      <c r="AJ57" s="1092">
        <f>_xlfn.SUMIFS(Административные!AI$25:AI$65,Административные!$F$25:$F$65,$F57,Административные!$G$25:$G$65,$G57)</f>
        <v>0</v>
      </c>
      <c r="AK57" s="1093"/>
      <c r="AL57" s="1093"/>
      <c r="AM57" s="1093"/>
      <c r="AN57" s="1093"/>
      <c r="AO57" s="1093"/>
      <c r="AP57" s="1093"/>
      <c r="AQ57" s="1093"/>
      <c r="AR57" s="1093"/>
      <c r="AS57" s="1093"/>
      <c r="AT57" s="1092">
        <f>_xlfn.SUMIFS(Административные!AJ$25:AJ$65,Административные!$F$25:$F$65,$F57,Административные!$G$25:$G$65,$G57)</f>
        <v>0</v>
      </c>
      <c r="AU57" s="1093"/>
      <c r="AV57" s="1093"/>
      <c r="AW57" s="1093"/>
      <c r="AX57" s="1093"/>
      <c r="AY57" s="1093"/>
      <c r="AZ57" s="1093"/>
      <c r="BA57" s="1093"/>
      <c r="BB57" s="1093"/>
      <c r="BC57" s="1093"/>
      <c r="BD57" s="1092">
        <f>IF(AI57=0,0,(AT57-AI57)/AI57*100)</f>
        <v>0</v>
      </c>
      <c r="BE57" s="1093"/>
      <c r="BF57" s="1093"/>
      <c r="BG57" s="1093"/>
      <c r="BH57" s="1093"/>
      <c r="BI57" s="1093"/>
      <c r="BJ57" s="1093"/>
      <c r="BK57" s="1093"/>
      <c r="BL57" s="1093"/>
      <c r="BM57" s="1093"/>
      <c r="BN57" s="1216"/>
      <c r="BO57" s="1220" t="str">
        <f>IF(_xlfn.IFERROR(INDEX(Административные!$K$26:$L$65,MATCH($F57&amp;"12komm",Административные!$K$26:$K$65,0),2),"")=0,"",_xlfn.IFERROR(INDEX(Административные!$K$26:$L$65,MATCH($F57&amp;"12komm",Административные!$K$26:$K$65,0),2),""))</f>
        <v/>
      </c>
      <c r="BP57" s="1216"/>
      <c r="BQ57" s="1256"/>
      <c r="BR57" s="1256"/>
      <c r="BS57" s="1041" t="s">
        <v>1085</v>
      </c>
      <c r="BT57" s="1041"/>
      <c r="BU57" s="1041"/>
      <c r="BV57" s="956"/>
      <c r="BW57" s="956"/>
    </row>
    <row customHeight="1" ht="14.625" hidden="1">
      <c r="A58" s="1256"/>
      <c r="B58" s="955"/>
      <c r="C58" s="73"/>
      <c r="D58" s="73"/>
      <c r="E58" s="596">
        <v>15</v>
      </c>
      <c r="F58" s="50" cm="1" t="str">
        <f t="array" ref="F58:F58">OFFSET(E58,-1,1)</f>
        <v>0</v>
      </c>
      <c r="G58" s="73" t="s">
        <v>1086</v>
      </c>
      <c r="H58" s="833"/>
      <c r="I58" s="833" t="s">
        <v>1837</v>
      </c>
      <c r="J58" s="73"/>
      <c r="K58" s="344" t="s">
        <v>1837</v>
      </c>
      <c r="L58" s="957"/>
      <c r="M58" s="73"/>
      <c r="N58" s="73"/>
      <c r="O58" s="73"/>
      <c r="P58" s="73"/>
      <c r="Q58" s="73"/>
      <c r="R58" s="73"/>
      <c r="S58" s="73"/>
      <c r="T58" s="438" cm="1" t="str">
        <f t="array" ref="T58:T58">T57</f>
        <v>false</v>
      </c>
      <c r="U58" s="73"/>
      <c r="V58" s="73"/>
      <c r="W58" s="73"/>
      <c r="X58" s="1541"/>
      <c r="Y58" s="1256"/>
      <c r="Z58" s="1494"/>
      <c r="AA58" s="1256"/>
      <c r="AB58" s="266" t="s">
        <v>1838</v>
      </c>
      <c r="AC58" s="744" t="s">
        <v>1087</v>
      </c>
      <c r="AD58" s="266" t="s">
        <v>789</v>
      </c>
      <c r="AE58" s="1092">
        <f>_xlfn.SUMIFS(Административные!AE$25:AE$65,Административные!$F$25:$F$65,$F58,Административные!$G$25:$G$65,$G58)</f>
        <v>0</v>
      </c>
      <c r="AF58" s="1092">
        <f>_xlfn.SUMIFS(Административные!AF$25:AF$65,Административные!$F$25:$F$65,$F58,Административные!$G$25:$G$65,$G58)</f>
        <v>0</v>
      </c>
      <c r="AG58" s="1092">
        <f>_xlfn.SUMIFS(Административные!AG$25:AG$65,Административные!$F$25:$F$65,$F58,Административные!$G$25:$G$65,$G58)</f>
        <v>0</v>
      </c>
      <c r="AH58" s="1092">
        <f>AG58-AF58</f>
        <v>0</v>
      </c>
      <c r="AI58" s="1092">
        <f>_xlfn.SUMIFS(Административные!AH$25:AH$65,Административные!$F$25:$F$65,$F58,Административные!$G$25:$G$65,$G58)</f>
        <v>0</v>
      </c>
      <c r="AJ58" s="1092">
        <f>_xlfn.SUMIFS(Административные!AI$25:AI$65,Административные!$F$25:$F$65,$F58,Административные!$G$25:$G$65,$G58)</f>
        <v>0</v>
      </c>
      <c r="AK58" s="1093"/>
      <c r="AL58" s="1093"/>
      <c r="AM58" s="1093"/>
      <c r="AN58" s="1093"/>
      <c r="AO58" s="1093"/>
      <c r="AP58" s="1093"/>
      <c r="AQ58" s="1093"/>
      <c r="AR58" s="1093"/>
      <c r="AS58" s="1093"/>
      <c r="AT58" s="1092">
        <f>_xlfn.SUMIFS(Административные!AJ$25:AJ$65,Административные!$F$25:$F$65,$F58,Административные!$G$25:$G$65,$G58)</f>
        <v>0</v>
      </c>
      <c r="AU58" s="1093"/>
      <c r="AV58" s="1093"/>
      <c r="AW58" s="1093"/>
      <c r="AX58" s="1093"/>
      <c r="AY58" s="1093"/>
      <c r="AZ58" s="1093"/>
      <c r="BA58" s="1093"/>
      <c r="BB58" s="1093"/>
      <c r="BC58" s="1093"/>
      <c r="BD58" s="1092">
        <f>IF(AI58=0,0,(AT58-AI58)/AI58*100)</f>
        <v>0</v>
      </c>
      <c r="BE58" s="1093"/>
      <c r="BF58" s="1093"/>
      <c r="BG58" s="1093"/>
      <c r="BH58" s="1093"/>
      <c r="BI58" s="1093"/>
      <c r="BJ58" s="1093"/>
      <c r="BK58" s="1093"/>
      <c r="BL58" s="1093"/>
      <c r="BM58" s="1093"/>
      <c r="BN58" s="1216"/>
      <c r="BO58" s="1220" t="str">
        <f>IF(_xlfn.IFERROR(INDEX(Административные!$K$26:$L$65,MATCH($F58&amp;"13komm",Административные!$K$26:$K$65,0),2),"")=0,"",_xlfn.IFERROR(INDEX(Административные!$K$26:$L$65,MATCH($F58&amp;"13komm",Административные!$K$26:$K$65,0),2),""))</f>
        <v/>
      </c>
      <c r="BP58" s="1216"/>
      <c r="BQ58" s="1256"/>
      <c r="BR58" s="1256"/>
      <c r="BS58" s="1041" t="s">
        <v>1088</v>
      </c>
      <c r="BT58" s="1041"/>
      <c r="BU58" s="1041"/>
      <c r="BV58" s="956"/>
      <c r="BW58" s="956"/>
    </row>
    <row customHeight="1" ht="14.625" hidden="1">
      <c r="A59" s="1256"/>
      <c r="B59" s="955"/>
      <c r="C59" s="73"/>
      <c r="D59" s="73"/>
      <c r="E59" s="596">
        <v>15</v>
      </c>
      <c r="F59" s="50" cm="1" t="str">
        <f t="array" ref="F59:F59">OFFSET(E59,-1,1)</f>
        <v>0</v>
      </c>
      <c r="G59" s="73" t="s">
        <v>1089</v>
      </c>
      <c r="H59" s="833"/>
      <c r="I59" s="833" t="s">
        <v>1839</v>
      </c>
      <c r="J59" s="73"/>
      <c r="K59" s="344" t="s">
        <v>1839</v>
      </c>
      <c r="L59" s="957"/>
      <c r="M59" s="73"/>
      <c r="N59" s="73"/>
      <c r="O59" s="73"/>
      <c r="P59" s="73"/>
      <c r="Q59" s="73"/>
      <c r="R59" s="73"/>
      <c r="S59" s="73"/>
      <c r="T59" s="438" cm="1" t="str">
        <f t="array" ref="T59:T59">T58</f>
        <v>false</v>
      </c>
      <c r="U59" s="73"/>
      <c r="V59" s="73"/>
      <c r="W59" s="73"/>
      <c r="X59" s="1541"/>
      <c r="Y59" s="1256"/>
      <c r="Z59" s="1494"/>
      <c r="AA59" s="1256"/>
      <c r="AB59" s="266" t="s">
        <v>1840</v>
      </c>
      <c r="AC59" s="744" t="s">
        <v>1090</v>
      </c>
      <c r="AD59" s="266" t="s">
        <v>789</v>
      </c>
      <c r="AE59" s="763">
        <f>_xlfn.SUMIFS(Административные!AE$25:AE$65,Административные!$F$25:$F$65,$F59,Административные!$G$25:$G$65,$G59)</f>
        <v>0</v>
      </c>
      <c r="AF59" s="763">
        <f>_xlfn.SUMIFS(Административные!AF$25:AF$65,Административные!$F$25:$F$65,$F59,Административные!$G$25:$G$65,$G59)</f>
        <v>0</v>
      </c>
      <c r="AG59" s="763">
        <f>_xlfn.SUMIFS(Административные!AG$25:AG$65,Административные!$F$25:$F$65,$F59,Административные!$G$25:$G$65,$G59)</f>
        <v>0</v>
      </c>
      <c r="AH59" s="743">
        <f>AG59-AF59</f>
        <v>0</v>
      </c>
      <c r="AI59" s="763">
        <f>_xlfn.SUMIFS(Административные!AH$25:AH$65,Административные!$F$25:$F$65,$F59,Административные!$G$25:$G$65,$G59)</f>
        <v>0</v>
      </c>
      <c r="AJ59" s="763">
        <f>_xlfn.SUMIFS(Административные!AI$25:AI$65,Административные!$F$25:$F$65,$F59,Административные!$G$25:$G$65,$G59)</f>
        <v>0</v>
      </c>
      <c r="AK59" s="739"/>
      <c r="AL59" s="739"/>
      <c r="AM59" s="739"/>
      <c r="AN59" s="739"/>
      <c r="AO59" s="739"/>
      <c r="AP59" s="739"/>
      <c r="AQ59" s="739"/>
      <c r="AR59" s="739"/>
      <c r="AS59" s="739"/>
      <c r="AT59" s="763">
        <f>_xlfn.SUMIFS(Административные!AJ$25:AJ$65,Административные!$F$25:$F$65,$F59,Административные!$G$25:$G$65,$G59)</f>
        <v>0</v>
      </c>
      <c r="AU59" s="1093"/>
      <c r="AV59" s="1093"/>
      <c r="AW59" s="1093"/>
      <c r="AX59" s="1093"/>
      <c r="AY59" s="1093"/>
      <c r="AZ59" s="1093"/>
      <c r="BA59" s="1093"/>
      <c r="BB59" s="1093"/>
      <c r="BC59" s="1093"/>
      <c r="BD59" s="1092">
        <f>IF(AI59=0,0,(AT59-AI59)/AI59*100)</f>
        <v>0</v>
      </c>
      <c r="BE59" s="1093"/>
      <c r="BF59" s="1093"/>
      <c r="BG59" s="1093"/>
      <c r="BH59" s="1093"/>
      <c r="BI59" s="1093"/>
      <c r="BJ59" s="1093"/>
      <c r="BK59" s="1093"/>
      <c r="BL59" s="1093"/>
      <c r="BM59" s="1093"/>
      <c r="BN59" s="1216"/>
      <c r="BO59" s="1220" t="str">
        <f>IF(_xlfn.IFERROR(INDEX(Административные!$K$26:$L$65,MATCH($F59&amp;"14komm",Административные!$K$26:$K$65,0),2),"")=0,"",_xlfn.IFERROR(INDEX(Административные!$K$26:$L$65,MATCH($F59&amp;"14komm",Административные!$K$26:$K$65,0),2),""))</f>
        <v/>
      </c>
      <c r="BP59" s="1216"/>
      <c r="BQ59" s="1256"/>
      <c r="BR59" s="1256"/>
      <c r="BS59" s="1041" t="s">
        <v>1841</v>
      </c>
      <c r="BT59" s="1041"/>
      <c r="BU59" s="1041"/>
      <c r="BV59" s="956"/>
      <c r="BW59" s="956"/>
    </row>
    <row customHeight="1" ht="14.625" hidden="1">
      <c r="A60" s="1256"/>
      <c r="B60" s="955"/>
      <c r="C60" s="73"/>
      <c r="D60" s="73"/>
      <c r="E60" s="596">
        <v>15</v>
      </c>
      <c r="F60" s="50" cm="1" t="str">
        <f t="array" ref="F60:F60">OFFSET(E60,-1,1)</f>
        <v>0</v>
      </c>
      <c r="G60" s="73" t="s">
        <v>1092</v>
      </c>
      <c r="H60" s="833"/>
      <c r="I60" s="833" t="s">
        <v>1842</v>
      </c>
      <c r="J60" s="73"/>
      <c r="K60" s="344" t="s">
        <v>1842</v>
      </c>
      <c r="L60" s="957"/>
      <c r="M60" s="73"/>
      <c r="N60" s="73"/>
      <c r="O60" s="73"/>
      <c r="P60" s="73"/>
      <c r="Q60" s="73"/>
      <c r="R60" s="73"/>
      <c r="S60" s="73"/>
      <c r="T60" s="438" cm="1" t="str">
        <f t="array" ref="T60:T60">T59</f>
        <v>false</v>
      </c>
      <c r="U60" s="73"/>
      <c r="V60" s="73"/>
      <c r="W60" s="73"/>
      <c r="X60" s="1541"/>
      <c r="Y60" s="1256"/>
      <c r="Z60" s="1494"/>
      <c r="AA60" s="1256"/>
      <c r="AB60" s="266" t="s">
        <v>1843</v>
      </c>
      <c r="AC60" s="744" t="s">
        <v>1095</v>
      </c>
      <c r="AD60" s="266" t="s">
        <v>789</v>
      </c>
      <c r="AE60" s="1092">
        <f>_xlfn.SUMIFS(Административные!AE$25:AE$65,Административные!$F$25:$F$65,$F60,Административные!$G$25:$G$65,$G60)</f>
        <v>0</v>
      </c>
      <c r="AF60" s="1092">
        <f>_xlfn.SUMIFS(Административные!AF$25:AF$65,Административные!$F$25:$F$65,$F60,Административные!$G$25:$G$65,$G60)</f>
        <v>0</v>
      </c>
      <c r="AG60" s="1092">
        <f>_xlfn.SUMIFS(Административные!AG$25:AG$65,Административные!$F$25:$F$65,$F60,Административные!$G$25:$G$65,$G60)</f>
        <v>0</v>
      </c>
      <c r="AH60" s="1092">
        <f>AG60-AF60</f>
        <v>0</v>
      </c>
      <c r="AI60" s="1092">
        <f>_xlfn.SUMIFS(Административные!AH$25:AH$65,Административные!$F$25:$F$65,$F60,Административные!$G$25:$G$65,$G60)</f>
        <v>0</v>
      </c>
      <c r="AJ60" s="1092">
        <f>_xlfn.SUMIFS(Административные!AI$25:AI$65,Административные!$F$25:$F$65,$F60,Административные!$G$25:$G$65,$G60)</f>
        <v>0</v>
      </c>
      <c r="AK60" s="1093"/>
      <c r="AL60" s="1093"/>
      <c r="AM60" s="1093"/>
      <c r="AN60" s="1093"/>
      <c r="AO60" s="1093"/>
      <c r="AP60" s="1093"/>
      <c r="AQ60" s="1093"/>
      <c r="AR60" s="1093"/>
      <c r="AS60" s="1093"/>
      <c r="AT60" s="1092">
        <f>_xlfn.SUMIFS(Административные!AJ$25:AJ$65,Административные!$F$25:$F$65,$F60,Административные!$G$25:$G$65,$G60)</f>
        <v>0</v>
      </c>
      <c r="AU60" s="1093"/>
      <c r="AV60" s="1093"/>
      <c r="AW60" s="1093"/>
      <c r="AX60" s="1093"/>
      <c r="AY60" s="1093"/>
      <c r="AZ60" s="1093"/>
      <c r="BA60" s="1093"/>
      <c r="BB60" s="1093"/>
      <c r="BC60" s="1093"/>
      <c r="BD60" s="1092">
        <f>IF(AI60=0,0,(AT60-AI60)/AI60*100)</f>
        <v>0</v>
      </c>
      <c r="BE60" s="1093"/>
      <c r="BF60" s="1093"/>
      <c r="BG60" s="1093"/>
      <c r="BH60" s="1093"/>
      <c r="BI60" s="1093"/>
      <c r="BJ60" s="1093"/>
      <c r="BK60" s="1093"/>
      <c r="BL60" s="1093"/>
      <c r="BM60" s="1093"/>
      <c r="BN60" s="1216"/>
      <c r="BO60" s="1220" t="str">
        <f>IF(_xlfn.IFERROR(INDEX(Административные!$K$26:$L$65,MATCH($F60&amp;"15komm",Административные!$K$26:$K$65,0),2),"")=0,"",_xlfn.IFERROR(INDEX(Административные!$K$26:$L$65,MATCH($F60&amp;"15komm",Административные!$K$26:$K$65,0),2),""))</f>
        <v/>
      </c>
      <c r="BP60" s="1216"/>
      <c r="BQ60" s="1256"/>
      <c r="BR60" s="1256"/>
      <c r="BS60" s="1041" t="s">
        <v>1096</v>
      </c>
      <c r="BT60" s="1041"/>
      <c r="BU60" s="1041"/>
      <c r="BV60" s="956"/>
      <c r="BW60" s="956"/>
    </row>
    <row customHeight="1" ht="14.625" hidden="1">
      <c r="A61" s="1256"/>
      <c r="B61" s="955"/>
      <c r="C61" s="73"/>
      <c r="D61" s="73"/>
      <c r="E61" s="596">
        <v>15</v>
      </c>
      <c r="F61" s="50" cm="1" t="str">
        <f t="array" ref="F61:F61">OFFSET(E61,-1,1)</f>
        <v>0</v>
      </c>
      <c r="G61" s="73" t="s">
        <v>1097</v>
      </c>
      <c r="H61" s="833"/>
      <c r="I61" s="833" t="s">
        <v>1844</v>
      </c>
      <c r="J61" s="73"/>
      <c r="K61" s="344" t="s">
        <v>1844</v>
      </c>
      <c r="L61" s="957"/>
      <c r="M61" s="73"/>
      <c r="N61" s="73"/>
      <c r="O61" s="73"/>
      <c r="P61" s="73"/>
      <c r="Q61" s="73"/>
      <c r="R61" s="73"/>
      <c r="S61" s="73"/>
      <c r="T61" s="438" cm="1" t="str">
        <f t="array" ref="T61:T61">T60</f>
        <v>false</v>
      </c>
      <c r="U61" s="73"/>
      <c r="V61" s="73"/>
      <c r="W61" s="73"/>
      <c r="X61" s="1541"/>
      <c r="Y61" s="1256"/>
      <c r="Z61" s="1494"/>
      <c r="AA61" s="1256"/>
      <c r="AB61" s="266" t="s">
        <v>1845</v>
      </c>
      <c r="AC61" s="744" t="s">
        <v>1100</v>
      </c>
      <c r="AD61" s="266" t="s">
        <v>789</v>
      </c>
      <c r="AE61" s="1092">
        <f>_xlfn.SUMIFS(Административные!AE$25:AE$65,Административные!$F$25:$F$65,$F61,Административные!$G$25:$G$65,$G61)</f>
        <v>0</v>
      </c>
      <c r="AF61" s="1092">
        <f>_xlfn.SUMIFS(Административные!AF$25:AF$65,Административные!$F$25:$F$65,$F61,Административные!$G$25:$G$65,$G61)</f>
        <v>0</v>
      </c>
      <c r="AG61" s="1092">
        <f>_xlfn.SUMIFS(Административные!AG$25:AG$65,Административные!$F$25:$F$65,$F61,Административные!$G$25:$G$65,$G61)</f>
        <v>0</v>
      </c>
      <c r="AH61" s="1092">
        <f>AG61-AF61</f>
        <v>0</v>
      </c>
      <c r="AI61" s="1092">
        <f>_xlfn.SUMIFS(Административные!AH$25:AH$65,Административные!$F$25:$F$65,$F61,Административные!$G$25:$G$65,$G61)</f>
        <v>0</v>
      </c>
      <c r="AJ61" s="1092">
        <f>_xlfn.SUMIFS(Административные!AI$25:AI$65,Административные!$F$25:$F$65,$F61,Административные!$G$25:$G$65,$G61)</f>
        <v>0</v>
      </c>
      <c r="AK61" s="1093"/>
      <c r="AL61" s="1093"/>
      <c r="AM61" s="1093"/>
      <c r="AN61" s="1093"/>
      <c r="AO61" s="1093"/>
      <c r="AP61" s="1093"/>
      <c r="AQ61" s="1093"/>
      <c r="AR61" s="1093"/>
      <c r="AS61" s="1093"/>
      <c r="AT61" s="1092">
        <f>_xlfn.SUMIFS(Административные!AJ$25:AJ$65,Административные!$F$25:$F$65,$F61,Административные!$G$25:$G$65,$G61)</f>
        <v>0</v>
      </c>
      <c r="AU61" s="1093"/>
      <c r="AV61" s="1093"/>
      <c r="AW61" s="1093"/>
      <c r="AX61" s="1093"/>
      <c r="AY61" s="1093"/>
      <c r="AZ61" s="1093"/>
      <c r="BA61" s="1093"/>
      <c r="BB61" s="1093"/>
      <c r="BC61" s="1093"/>
      <c r="BD61" s="1092">
        <f>IF(AI61=0,0,(AT61-AI61)/AI61*100)</f>
        <v>0</v>
      </c>
      <c r="BE61" s="1093"/>
      <c r="BF61" s="1093"/>
      <c r="BG61" s="1093"/>
      <c r="BH61" s="1093"/>
      <c r="BI61" s="1093"/>
      <c r="BJ61" s="1093"/>
      <c r="BK61" s="1093"/>
      <c r="BL61" s="1093"/>
      <c r="BM61" s="1093"/>
      <c r="BN61" s="1216"/>
      <c r="BO61" s="1220" t="str">
        <f>IF(_xlfn.IFERROR(INDEX(Административные!$K$26:$L$65,MATCH($F61&amp;"16komm",Административные!$K$26:$K$65,0),2),"")=0,"",_xlfn.IFERROR(INDEX(Административные!$K$26:$L$65,MATCH($F61&amp;"16komm",Административные!$K$26:$K$65,0),2),""))</f>
        <v/>
      </c>
      <c r="BP61" s="1216"/>
      <c r="BQ61" s="1256"/>
      <c r="BR61" s="1256"/>
      <c r="BS61" s="1041" t="s">
        <v>1846</v>
      </c>
      <c r="BT61" s="1041"/>
      <c r="BU61" s="1041"/>
      <c r="BV61" s="956"/>
      <c r="BW61" s="956"/>
    </row>
    <row customHeight="1" ht="21.9375" hidden="1">
      <c r="A62" s="1256"/>
      <c r="B62" s="955"/>
      <c r="C62" s="73"/>
      <c r="D62" s="73"/>
      <c r="E62" s="596">
        <v>22.5</v>
      </c>
      <c r="F62" s="50" cm="1" t="str">
        <f t="array" ref="F62:F62">OFFSET(E62,-1,1)</f>
        <v>0</v>
      </c>
      <c r="G62" s="73"/>
      <c r="H62" s="833"/>
      <c r="I62" s="833" t="s">
        <v>1236</v>
      </c>
      <c r="J62" s="73"/>
      <c r="K62" s="344" t="s">
        <v>1236</v>
      </c>
      <c r="L62" s="957" t="s">
        <v>876</v>
      </c>
      <c r="M62" s="73"/>
      <c r="N62" s="73"/>
      <c r="O62" s="73"/>
      <c r="P62" s="73"/>
      <c r="Q62" s="73"/>
      <c r="R62" s="73"/>
      <c r="S62" s="73"/>
      <c r="T62" s="438" cm="1" t="str">
        <f t="array" ref="T62:T62">T61</f>
        <v>false</v>
      </c>
      <c r="U62" s="73"/>
      <c r="V62" s="73"/>
      <c r="W62" s="73"/>
      <c r="X62" s="1541"/>
      <c r="Y62" s="1256"/>
      <c r="Z62" s="1494"/>
      <c r="AA62" s="1256"/>
      <c r="AB62" s="266" t="s">
        <v>967</v>
      </c>
      <c r="AC62" s="741" t="s">
        <v>1847</v>
      </c>
      <c r="AD62" s="266" t="s">
        <v>789</v>
      </c>
      <c r="AE62" s="1094">
        <f>AE63+AE64</f>
        <v>0</v>
      </c>
      <c r="AF62" s="1094">
        <f>AF63+AF64</f>
        <v>0</v>
      </c>
      <c r="AG62" s="1094">
        <f>AG63+AG64</f>
        <v>0</v>
      </c>
      <c r="AH62" s="1092">
        <f>AG62-AF62</f>
        <v>0</v>
      </c>
      <c r="AI62" s="1094">
        <f>AI63+AI64</f>
        <v>0</v>
      </c>
      <c r="AJ62" s="1094">
        <f>AJ63+AJ64</f>
        <v>0</v>
      </c>
      <c r="AK62" s="1093"/>
      <c r="AL62" s="1093"/>
      <c r="AM62" s="1093"/>
      <c r="AN62" s="1093"/>
      <c r="AO62" s="1093"/>
      <c r="AP62" s="1093"/>
      <c r="AQ62" s="1093"/>
      <c r="AR62" s="1093"/>
      <c r="AS62" s="1093"/>
      <c r="AT62" s="1094">
        <f>AT63+AT64</f>
        <v>0</v>
      </c>
      <c r="AU62" s="1093"/>
      <c r="AV62" s="1093"/>
      <c r="AW62" s="1093"/>
      <c r="AX62" s="1093"/>
      <c r="AY62" s="1093"/>
      <c r="AZ62" s="1093"/>
      <c r="BA62" s="1093"/>
      <c r="BB62" s="1093"/>
      <c r="BC62" s="1093"/>
      <c r="BD62" s="1092">
        <f>IF(AI62=0,0,(AT62-AI62)/AI62*100)</f>
        <v>0</v>
      </c>
      <c r="BE62" s="1093"/>
      <c r="BF62" s="1093"/>
      <c r="BG62" s="1093"/>
      <c r="BH62" s="1093"/>
      <c r="BI62" s="1093"/>
      <c r="BJ62" s="1093"/>
      <c r="BK62" s="1093"/>
      <c r="BL62" s="1093"/>
      <c r="BM62" s="1093"/>
      <c r="BN62" s="1216"/>
      <c r="BO62" s="1216"/>
      <c r="BP62" s="1216"/>
      <c r="BQ62" s="1256"/>
      <c r="BR62" s="1256"/>
      <c r="BS62" s="1039" t="s">
        <v>1652</v>
      </c>
      <c r="BT62" s="1041"/>
      <c r="BU62" s="1041"/>
      <c r="BV62" s="956"/>
      <c r="BW62" s="956"/>
    </row>
    <row customHeight="1" ht="14.625" hidden="1">
      <c r="A63" s="1256"/>
      <c r="B63" s="955"/>
      <c r="C63" s="73"/>
      <c r="D63" s="73"/>
      <c r="E63" s="596">
        <v>15</v>
      </c>
      <c r="F63" s="50" cm="1" t="str">
        <f t="array" ref="F63:F63">OFFSET(E63,-1,1)</f>
        <v>0</v>
      </c>
      <c r="G63" s="73" t="s">
        <v>1056</v>
      </c>
      <c r="H63" s="833"/>
      <c r="I63" s="833" t="s">
        <v>1848</v>
      </c>
      <c r="J63" s="73"/>
      <c r="K63" s="344" t="s">
        <v>1848</v>
      </c>
      <c r="L63" s="957" t="s">
        <v>470</v>
      </c>
      <c r="M63" s="73"/>
      <c r="N63" s="73"/>
      <c r="O63" s="73"/>
      <c r="P63" s="73"/>
      <c r="Q63" s="73"/>
      <c r="R63" s="73"/>
      <c r="S63" s="73"/>
      <c r="T63" s="438" cm="1" t="str">
        <f t="array" ref="T63:T63">T62</f>
        <v>false</v>
      </c>
      <c r="U63" s="73"/>
      <c r="V63" s="73"/>
      <c r="W63" s="73"/>
      <c r="X63" s="1541"/>
      <c r="Y63" s="1256"/>
      <c r="Z63" s="1494"/>
      <c r="AA63" s="1256"/>
      <c r="AB63" s="266" t="s">
        <v>1849</v>
      </c>
      <c r="AC63" s="744" t="s">
        <v>1653</v>
      </c>
      <c r="AD63" s="747" t="s">
        <v>789</v>
      </c>
      <c r="AE63" s="1092">
        <f>_xlfn.SUMIFS(ФОТ!AE$25:AE$77,ФОТ!$F$25:$F$77,$F63,ФОТ!$G$25:$G$77,$G63)</f>
        <v>0</v>
      </c>
      <c r="AF63" s="1092">
        <f>_xlfn.SUMIFS(ФОТ!AF$25:AF$77,ФОТ!$F$25:$F$77,$F63,ФОТ!$G$25:$G$77,$G63)</f>
        <v>0</v>
      </c>
      <c r="AG63" s="1092">
        <f>_xlfn.SUMIFS(ФОТ!AG$25:AG$77,ФОТ!$F$25:$F$77,$F63,ФОТ!$G$25:$G$77,$G63)</f>
        <v>0</v>
      </c>
      <c r="AH63" s="1092">
        <f>AG63-AF63</f>
        <v>0</v>
      </c>
      <c r="AI63" s="1092">
        <f>_xlfn.SUMIFS(ФОТ!AH$25:AH$77,ФОТ!$F$25:$F$77,$F63,ФОТ!$G$25:$G$77,$G63)</f>
        <v>0</v>
      </c>
      <c r="AJ63" s="1092">
        <f>_xlfn.SUMIFS(ФОТ!AI$25:AI$77,ФОТ!$F$25:$F$77,$F63,ФОТ!$G$25:$G$77,$G63)</f>
        <v>0</v>
      </c>
      <c r="AK63" s="1093"/>
      <c r="AL63" s="1093"/>
      <c r="AM63" s="1093"/>
      <c r="AN63" s="1093"/>
      <c r="AO63" s="1093"/>
      <c r="AP63" s="1093"/>
      <c r="AQ63" s="1093"/>
      <c r="AR63" s="1093"/>
      <c r="AS63" s="1093"/>
      <c r="AT63" s="1092">
        <f>_xlfn.SUMIFS(ФОТ!AJ$25:AJ$77,ФОТ!$F$25:$F$77,$F63,ФОТ!$G$25:$G$77,$G63)</f>
        <v>0</v>
      </c>
      <c r="AU63" s="1093"/>
      <c r="AV63" s="1093"/>
      <c r="AW63" s="1093"/>
      <c r="AX63" s="1093"/>
      <c r="AY63" s="1093"/>
      <c r="AZ63" s="1093"/>
      <c r="BA63" s="1093"/>
      <c r="BB63" s="1093"/>
      <c r="BC63" s="1093"/>
      <c r="BD63" s="1092">
        <f>IF(AI63=0,0,(AT63-AI63)/AI63*100)</f>
        <v>0</v>
      </c>
      <c r="BE63" s="1093"/>
      <c r="BF63" s="1093"/>
      <c r="BG63" s="1093"/>
      <c r="BH63" s="1093"/>
      <c r="BI63" s="1093"/>
      <c r="BJ63" s="1093"/>
      <c r="BK63" s="1093"/>
      <c r="BL63" s="1093"/>
      <c r="BM63" s="1093"/>
      <c r="BN63" s="1216"/>
      <c r="BO63" s="1220" t="str">
        <f>IF(_xlfn.IFERROR(INDEX(ФОТ!$K$26:$L$77,MATCH($F63&amp;"5komm",ФОТ!$K$26:$K$77,0),2),"")=0,"",_xlfn.IFERROR(INDEX(ФОТ!$K$26:$L$77,MATCH($F63&amp;"5komm",ФОТ!$K$26:$K$77,0),2),""))</f>
        <v/>
      </c>
      <c r="BP63" s="1216"/>
      <c r="BQ63" s="1256"/>
      <c r="BR63" s="1256"/>
      <c r="BS63" s="1039" t="s">
        <v>1073</v>
      </c>
      <c r="BT63" s="1041"/>
      <c r="BU63" s="1041"/>
      <c r="BV63" s="956"/>
      <c r="BW63" s="956"/>
    </row>
    <row customHeight="1" ht="21.9375" hidden="1">
      <c r="A64" s="1256"/>
      <c r="B64" s="955"/>
      <c r="C64" s="73"/>
      <c r="D64" s="73"/>
      <c r="E64" s="596">
        <v>22.5</v>
      </c>
      <c r="F64" s="50" cm="1" t="str">
        <f t="array" ref="F64:F64">OFFSET(E64,-1,1)</f>
        <v>0</v>
      </c>
      <c r="G64" s="73" t="s">
        <v>1061</v>
      </c>
      <c r="H64" s="833"/>
      <c r="I64" s="833" t="s">
        <v>1850</v>
      </c>
      <c r="J64" s="73"/>
      <c r="K64" s="344" t="s">
        <v>1850</v>
      </c>
      <c r="L64" s="957" t="s">
        <v>475</v>
      </c>
      <c r="M64" s="73"/>
      <c r="N64" s="73"/>
      <c r="O64" s="73"/>
      <c r="P64" s="73"/>
      <c r="Q64" s="73"/>
      <c r="R64" s="73"/>
      <c r="S64" s="73"/>
      <c r="T64" s="438" cm="1" t="str">
        <f t="array" ref="T64:T64">T63</f>
        <v>false</v>
      </c>
      <c r="U64" s="73"/>
      <c r="V64" s="73"/>
      <c r="W64" s="73"/>
      <c r="X64" s="1541"/>
      <c r="Y64" s="1256"/>
      <c r="Z64" s="1494"/>
      <c r="AA64" s="1256"/>
      <c r="AB64" s="266" t="s">
        <v>1851</v>
      </c>
      <c r="AC64" s="744" t="s">
        <v>1852</v>
      </c>
      <c r="AD64" s="266" t="s">
        <v>789</v>
      </c>
      <c r="AE64" s="1092">
        <f>_xlfn.SUMIFS(ФОТ!AE$25:AE$77,ФОТ!$F$25:$F$77,$F64,ФОТ!$G$25:$G$77,$G64)</f>
        <v>0</v>
      </c>
      <c r="AF64" s="1092">
        <f>_xlfn.SUMIFS(ФОТ!AF$25:AF$77,ФОТ!$F$25:$F$77,$F64,ФОТ!$G$25:$G$77,$G64)</f>
        <v>0</v>
      </c>
      <c r="AG64" s="1092">
        <f>_xlfn.SUMIFS(ФОТ!AG$25:AG$77,ФОТ!$F$25:$F$77,$F64,ФОТ!$G$25:$G$77,$G64)</f>
        <v>0</v>
      </c>
      <c r="AH64" s="1092">
        <f>AG64-AF64</f>
        <v>0</v>
      </c>
      <c r="AI64" s="1092">
        <f>_xlfn.SUMIFS(ФОТ!AH$25:AH$77,ФОТ!$F$25:$F$77,$F64,ФОТ!$G$25:$G$77,$G64)</f>
        <v>0</v>
      </c>
      <c r="AJ64" s="1092">
        <f>_xlfn.SUMIFS(ФОТ!AI$25:AI$77,ФОТ!$F$25:$F$77,$F64,ФОТ!$G$25:$G$77,$G64)</f>
        <v>0</v>
      </c>
      <c r="AK64" s="1093"/>
      <c r="AL64" s="1093"/>
      <c r="AM64" s="1093"/>
      <c r="AN64" s="1093"/>
      <c r="AO64" s="1093"/>
      <c r="AP64" s="1093"/>
      <c r="AQ64" s="1093"/>
      <c r="AR64" s="1093"/>
      <c r="AS64" s="1093"/>
      <c r="AT64" s="1092">
        <f>_xlfn.SUMIFS(ФОТ!AJ$25:AJ$77,ФОТ!$F$25:$F$77,$F64,ФОТ!$G$25:$G$77,$G64)</f>
        <v>0</v>
      </c>
      <c r="AU64" s="1093"/>
      <c r="AV64" s="1093"/>
      <c r="AW64" s="1093"/>
      <c r="AX64" s="1093"/>
      <c r="AY64" s="1093"/>
      <c r="AZ64" s="1093"/>
      <c r="BA64" s="1093"/>
      <c r="BB64" s="1093"/>
      <c r="BC64" s="1093"/>
      <c r="BD64" s="1092">
        <f>IF(AI64=0,0,(AT64-AI64)/AI64*100)</f>
        <v>0</v>
      </c>
      <c r="BE64" s="1093"/>
      <c r="BF64" s="1093"/>
      <c r="BG64" s="1093"/>
      <c r="BH64" s="1093"/>
      <c r="BI64" s="1093"/>
      <c r="BJ64" s="1093"/>
      <c r="BK64" s="1093"/>
      <c r="BL64" s="1093"/>
      <c r="BM64" s="1093"/>
      <c r="BN64" s="1216"/>
      <c r="BO64" s="1220" t="str">
        <f>IF(_xlfn.IFERROR(INDEX(ФОТ!$K$26:$L$77,MATCH($F64&amp;"6komm",ФОТ!$K$26:$K$77,0),2),"")=0,"",_xlfn.IFERROR(INDEX(ФОТ!$K$26:$L$77,MATCH($F64&amp;"6komm",ФОТ!$K$26:$K$77,0),2),""))</f>
        <v/>
      </c>
      <c r="BP64" s="1216"/>
      <c r="BQ64" s="1256"/>
      <c r="BR64" s="1256"/>
      <c r="BS64" s="1039" t="s">
        <v>1655</v>
      </c>
      <c r="BT64" s="1041"/>
      <c r="BU64" s="1041"/>
      <c r="BV64" s="956"/>
      <c r="BW64" s="956"/>
    </row>
    <row customHeight="1" ht="32.90625" hidden="1">
      <c r="A65" s="1256"/>
      <c r="B65" s="955"/>
      <c r="C65" s="73"/>
      <c r="D65" s="73"/>
      <c r="E65" s="596">
        <v>33.75</v>
      </c>
      <c r="F65" s="50" cm="1" t="str">
        <f t="array" ref="F65:F65">OFFSET(E65,-1,1)</f>
        <v>0</v>
      </c>
      <c r="G65" s="824" t="s">
        <v>1102</v>
      </c>
      <c r="H65" s="833"/>
      <c r="I65" s="833" t="s">
        <v>1239</v>
      </c>
      <c r="J65" s="73"/>
      <c r="K65" s="344" t="s">
        <v>1239</v>
      </c>
      <c r="L65" s="957" t="s">
        <v>878</v>
      </c>
      <c r="M65" s="73"/>
      <c r="N65" s="73"/>
      <c r="O65" s="73"/>
      <c r="P65" s="73"/>
      <c r="Q65" s="73"/>
      <c r="R65" s="73"/>
      <c r="S65" s="73"/>
      <c r="T65" s="438" cm="1" t="str">
        <f t="array" ref="T65:T65">T64</f>
        <v>false</v>
      </c>
      <c r="U65" s="73"/>
      <c r="V65" s="73"/>
      <c r="W65" s="73"/>
      <c r="X65" s="1541"/>
      <c r="Y65" s="1256"/>
      <c r="Z65" s="1494"/>
      <c r="AA65" s="1256"/>
      <c r="AB65" s="266" t="s">
        <v>1240</v>
      </c>
      <c r="AC65" s="741" t="s">
        <v>1853</v>
      </c>
      <c r="AD65" s="266" t="s">
        <v>789</v>
      </c>
      <c r="AE65" s="1092">
        <f>_xlfn.SUMIFS(Административные!AE$25:AE$65,Административные!$F$25:$F$65,$F65,Административные!$G$25:$G$65,$G65)</f>
        <v>0</v>
      </c>
      <c r="AF65" s="1092">
        <f>_xlfn.SUMIFS(Административные!AF$25:AF$65,Административные!$F$25:$F$65,$F65,Административные!$G$25:$G$65,$G65)</f>
        <v>0</v>
      </c>
      <c r="AG65" s="1092">
        <f>_xlfn.SUMIFS(Административные!AG$25:AG$65,Административные!$F$25:$F$65,$F65,Административные!$G$25:$G$65,$G65)</f>
        <v>0</v>
      </c>
      <c r="AH65" s="1092">
        <f>AG65-AF65</f>
        <v>0</v>
      </c>
      <c r="AI65" s="1092">
        <f>_xlfn.SUMIFS(Административные!AH$25:AH$65,Административные!$F$25:$F$65,$F65,Административные!$G$25:$G$65,$G65)</f>
        <v>0</v>
      </c>
      <c r="AJ65" s="1092">
        <f>_xlfn.SUMIFS(Административные!AI$25:AI$65,Административные!$F$25:$F$65,$F65,Административные!$G$25:$G$65,$G65)</f>
        <v>0</v>
      </c>
      <c r="AK65" s="1093"/>
      <c r="AL65" s="1093"/>
      <c r="AM65" s="1093"/>
      <c r="AN65" s="1093"/>
      <c r="AO65" s="1093"/>
      <c r="AP65" s="1093"/>
      <c r="AQ65" s="1093"/>
      <c r="AR65" s="1093"/>
      <c r="AS65" s="1093"/>
      <c r="AT65" s="1092">
        <f>_xlfn.SUMIFS(Административные!AJ$25:AJ$65,Административные!$F$25:$F$65,$F65,Административные!$G$25:$G$65,$G65)</f>
        <v>0</v>
      </c>
      <c r="AU65" s="1093"/>
      <c r="AV65" s="1093"/>
      <c r="AW65" s="1093"/>
      <c r="AX65" s="1093"/>
      <c r="AY65" s="1093"/>
      <c r="AZ65" s="1093"/>
      <c r="BA65" s="1093"/>
      <c r="BB65" s="1093"/>
      <c r="BC65" s="1093"/>
      <c r="BD65" s="1092">
        <f>IF(AI65=0,0,(AT65-AI65)/AI65*100)</f>
        <v>0</v>
      </c>
      <c r="BE65" s="1093"/>
      <c r="BF65" s="1093"/>
      <c r="BG65" s="1093"/>
      <c r="BH65" s="1093"/>
      <c r="BI65" s="1093"/>
      <c r="BJ65" s="1093"/>
      <c r="BK65" s="1093"/>
      <c r="BL65" s="1093"/>
      <c r="BM65" s="1093"/>
      <c r="BN65" s="1216"/>
      <c r="BO65" s="1220" t="str">
        <f>IF(_xlfn.IFERROR(INDEX(Административные!$K$26:$L$65,MATCH($F65&amp;"2komm",Административные!$K$26:$K$65,0),2),"")=0,"",_xlfn.IFERROR(INDEX(Административные!$K$26:$L$65,MATCH($F65&amp;"2komm",Административные!$K$26:$K$65,0),2),""))</f>
        <v/>
      </c>
      <c r="BP65" s="1216"/>
      <c r="BQ65" s="1256"/>
      <c r="BR65" s="1256"/>
      <c r="BS65" s="1039" t="s">
        <v>1104</v>
      </c>
      <c r="BT65" s="1041"/>
      <c r="BU65" s="1041"/>
      <c r="BV65" s="956"/>
      <c r="BW65" s="956"/>
    </row>
    <row customHeight="1" ht="14.625" hidden="1">
      <c r="A66" s="1256"/>
      <c r="B66" s="955"/>
      <c r="C66" s="73"/>
      <c r="D66" s="73"/>
      <c r="E66" s="596">
        <v>15</v>
      </c>
      <c r="F66" s="50" cm="1" t="str">
        <f t="array" ref="F66:F66">OFFSET(E66,-1,1)</f>
        <v>0</v>
      </c>
      <c r="G66" s="824" t="s">
        <v>1105</v>
      </c>
      <c r="H66" s="833"/>
      <c r="I66" s="833" t="s">
        <v>1243</v>
      </c>
      <c r="J66" s="73"/>
      <c r="K66" s="344" t="s">
        <v>1243</v>
      </c>
      <c r="L66" s="957" t="s">
        <v>880</v>
      </c>
      <c r="M66" s="73"/>
      <c r="N66" s="73"/>
      <c r="O66" s="73"/>
      <c r="P66" s="73"/>
      <c r="Q66" s="73"/>
      <c r="R66" s="73"/>
      <c r="S66" s="73"/>
      <c r="T66" s="438" cm="1" t="str">
        <f t="array" ref="T66:T66">T65</f>
        <v>false</v>
      </c>
      <c r="U66" s="73"/>
      <c r="V66" s="73"/>
      <c r="W66" s="73"/>
      <c r="X66" s="1541"/>
      <c r="Y66" s="1256"/>
      <c r="Z66" s="1494"/>
      <c r="AA66" s="1256"/>
      <c r="AB66" s="266" t="s">
        <v>1244</v>
      </c>
      <c r="AC66" s="741" t="s">
        <v>1854</v>
      </c>
      <c r="AD66" s="266" t="s">
        <v>789</v>
      </c>
      <c r="AE66" s="1092">
        <f>_xlfn.SUMIFS(Административные!AE$25:AE$65,Административные!$F$25:$F$65,$F66,Административные!$G$25:$G$65,$G66)</f>
        <v>0</v>
      </c>
      <c r="AF66" s="1092">
        <f>_xlfn.SUMIFS(Административные!AF$25:AF$65,Административные!$F$25:$F$65,$F66,Административные!$G$25:$G$65,$G66)</f>
        <v>0</v>
      </c>
      <c r="AG66" s="1092">
        <f>_xlfn.SUMIFS(Административные!AG$25:AG$65,Административные!$F$25:$F$65,$F66,Административные!$G$25:$G$65,$G66)</f>
        <v>0</v>
      </c>
      <c r="AH66" s="1092">
        <f>AG66-AF66</f>
        <v>0</v>
      </c>
      <c r="AI66" s="1092">
        <f>_xlfn.SUMIFS(Административные!AH$25:AH$65,Административные!$F$25:$F$65,$F66,Административные!$G$25:$G$65,$G66)</f>
        <v>0</v>
      </c>
      <c r="AJ66" s="1092">
        <f>_xlfn.SUMIFS(Административные!AI$25:AI$65,Административные!$F$25:$F$65,$F66,Административные!$G$25:$G$65,$G66)</f>
        <v>0</v>
      </c>
      <c r="AK66" s="1093"/>
      <c r="AL66" s="1093"/>
      <c r="AM66" s="1093"/>
      <c r="AN66" s="1093"/>
      <c r="AO66" s="1093"/>
      <c r="AP66" s="1093"/>
      <c r="AQ66" s="1093"/>
      <c r="AR66" s="1093"/>
      <c r="AS66" s="1093"/>
      <c r="AT66" s="1092">
        <f>_xlfn.SUMIFS(Административные!AJ$25:AJ$65,Административные!$F$25:$F$65,$F66,Административные!$G$25:$G$65,$G66)</f>
        <v>0</v>
      </c>
      <c r="AU66" s="1093"/>
      <c r="AV66" s="1093"/>
      <c r="AW66" s="1093"/>
      <c r="AX66" s="1093"/>
      <c r="AY66" s="1093"/>
      <c r="AZ66" s="1093"/>
      <c r="BA66" s="1093"/>
      <c r="BB66" s="1093"/>
      <c r="BC66" s="1093"/>
      <c r="BD66" s="1092">
        <f>IF(AI66=0,0,(AT66-AI66)/AI66*100)</f>
        <v>0</v>
      </c>
      <c r="BE66" s="1093"/>
      <c r="BF66" s="1093"/>
      <c r="BG66" s="1093"/>
      <c r="BH66" s="1093"/>
      <c r="BI66" s="1093"/>
      <c r="BJ66" s="1093"/>
      <c r="BK66" s="1093"/>
      <c r="BL66" s="1093"/>
      <c r="BM66" s="1093"/>
      <c r="BN66" s="1216"/>
      <c r="BO66" s="1220" t="str">
        <f>IF(_xlfn.IFERROR(INDEX(Административные!$K$26:$L$65,MATCH($F66&amp;"3komm",Административные!$K$26:$K$65,0),2),"")=0,"",_xlfn.IFERROR(INDEX(Административные!$K$26:$L$65,MATCH($F66&amp;"3komm",Административные!$K$26:$K$65,0),2),""))</f>
        <v/>
      </c>
      <c r="BP66" s="1216"/>
      <c r="BQ66" s="1256"/>
      <c r="BR66" s="1256"/>
      <c r="BS66" s="1039" t="s">
        <v>1107</v>
      </c>
      <c r="BT66" s="1041"/>
      <c r="BU66" s="1041"/>
      <c r="BV66" s="956"/>
      <c r="BW66" s="956"/>
    </row>
    <row customHeight="1" ht="14.625" hidden="1">
      <c r="A67" s="1256"/>
      <c r="B67" s="955"/>
      <c r="C67" s="73"/>
      <c r="D67" s="73"/>
      <c r="E67" s="596">
        <v>15</v>
      </c>
      <c r="F67" s="50" cm="1" t="str">
        <f t="array" ref="F67:F67">OFFSET(E67,-1,1)</f>
        <v>0</v>
      </c>
      <c r="G67" s="824" t="s">
        <v>1108</v>
      </c>
      <c r="H67" s="833"/>
      <c r="I67" s="833" t="s">
        <v>1855</v>
      </c>
      <c r="J67" s="73"/>
      <c r="K67" s="344" t="s">
        <v>1855</v>
      </c>
      <c r="L67" s="957" t="s">
        <v>883</v>
      </c>
      <c r="M67" s="73"/>
      <c r="N67" s="73"/>
      <c r="O67" s="73"/>
      <c r="P67" s="73"/>
      <c r="Q67" s="73"/>
      <c r="R67" s="73"/>
      <c r="S67" s="73"/>
      <c r="T67" s="438" cm="1" t="str">
        <f t="array" ref="T67:T67">T66</f>
        <v>false</v>
      </c>
      <c r="U67" s="73"/>
      <c r="V67" s="73"/>
      <c r="W67" s="73"/>
      <c r="X67" s="1541"/>
      <c r="Y67" s="1256"/>
      <c r="Z67" s="1494"/>
      <c r="AA67" s="1256"/>
      <c r="AB67" s="266" t="s">
        <v>1856</v>
      </c>
      <c r="AC67" s="741" t="s">
        <v>1857</v>
      </c>
      <c r="AD67" s="266" t="s">
        <v>789</v>
      </c>
      <c r="AE67" s="1092">
        <f>_xlfn.SUMIFS(Административные!AE$25:AE$65,Административные!$F$25:$F$65,$F67,Административные!$G$25:$G$65,$G67)</f>
        <v>0</v>
      </c>
      <c r="AF67" s="1092">
        <f>_xlfn.SUMIFS(Административные!AF$25:AF$65,Административные!$F$25:$F$65,$F67,Административные!$G$25:$G$65,$G67)</f>
        <v>0</v>
      </c>
      <c r="AG67" s="1092">
        <f>_xlfn.SUMIFS(Административные!AG$25:AG$65,Административные!$F$25:$F$65,$F67,Административные!$G$25:$G$65,$G67)</f>
        <v>0</v>
      </c>
      <c r="AH67" s="1092">
        <f>AG67-AF67</f>
        <v>0</v>
      </c>
      <c r="AI67" s="1092">
        <f>_xlfn.SUMIFS(Административные!AH$25:AH$65,Административные!$F$25:$F$65,$F67,Административные!$G$25:$G$65,$G67)</f>
        <v>0</v>
      </c>
      <c r="AJ67" s="1092">
        <f>_xlfn.SUMIFS(Административные!AI$25:AI$65,Административные!$F$25:$F$65,$F67,Административные!$G$25:$G$65,$G67)</f>
        <v>0</v>
      </c>
      <c r="AK67" s="1093"/>
      <c r="AL67" s="1093"/>
      <c r="AM67" s="1093"/>
      <c r="AN67" s="1093"/>
      <c r="AO67" s="1093"/>
      <c r="AP67" s="1093"/>
      <c r="AQ67" s="1093"/>
      <c r="AR67" s="1093"/>
      <c r="AS67" s="1093"/>
      <c r="AT67" s="1092">
        <f>_xlfn.SUMIFS(Административные!AJ$25:AJ$65,Административные!$F$25:$F$65,$F67,Административные!$G$25:$G$65,$G67)</f>
        <v>0</v>
      </c>
      <c r="AU67" s="1093"/>
      <c r="AV67" s="1093"/>
      <c r="AW67" s="1093"/>
      <c r="AX67" s="1093"/>
      <c r="AY67" s="1093"/>
      <c r="AZ67" s="1093"/>
      <c r="BA67" s="1093"/>
      <c r="BB67" s="1093"/>
      <c r="BC67" s="1093"/>
      <c r="BD67" s="1092">
        <f>IF(AI67=0,0,(AT67-AI67)/AI67*100)</f>
        <v>0</v>
      </c>
      <c r="BE67" s="1093"/>
      <c r="BF67" s="1093"/>
      <c r="BG67" s="1093"/>
      <c r="BH67" s="1093"/>
      <c r="BI67" s="1093"/>
      <c r="BJ67" s="1093"/>
      <c r="BK67" s="1093"/>
      <c r="BL67" s="1093"/>
      <c r="BM67" s="1093"/>
      <c r="BN67" s="1216"/>
      <c r="BO67" s="1220" t="str">
        <f>IF(_xlfn.IFERROR(INDEX(Административные!$K$26:$L$65,MATCH($F67&amp;"4komm",Административные!$K$26:$K$65,0),2),"")=0,"",_xlfn.IFERROR(INDEX(Административные!$K$26:$L$65,MATCH($F67&amp;"4komm",Административные!$K$26:$K$65,0),2),""))</f>
        <v/>
      </c>
      <c r="BP67" s="1216"/>
      <c r="BQ67" s="1256"/>
      <c r="BR67" s="1256"/>
      <c r="BS67" s="1039" t="s">
        <v>1110</v>
      </c>
      <c r="BT67" s="1041"/>
      <c r="BU67" s="1041"/>
      <c r="BV67" s="956"/>
      <c r="BW67" s="956"/>
    </row>
    <row customHeight="1" ht="14.625" hidden="1">
      <c r="A68" s="1256"/>
      <c r="B68" s="955"/>
      <c r="C68" s="73"/>
      <c r="D68" s="73"/>
      <c r="E68" s="596">
        <v>15</v>
      </c>
      <c r="F68" s="50" cm="1" t="str">
        <f t="array" ref="F68:F68">OFFSET(E68,-1,1)</f>
        <v>0</v>
      </c>
      <c r="G68" s="824" t="s">
        <v>1111</v>
      </c>
      <c r="H68" s="833"/>
      <c r="I68" s="833" t="s">
        <v>1858</v>
      </c>
      <c r="J68" s="73"/>
      <c r="K68" s="344" t="s">
        <v>1858</v>
      </c>
      <c r="L68" s="957" t="s">
        <v>1093</v>
      </c>
      <c r="M68" s="73"/>
      <c r="N68" s="73"/>
      <c r="O68" s="73"/>
      <c r="P68" s="73"/>
      <c r="Q68" s="73"/>
      <c r="R68" s="73"/>
      <c r="S68" s="73"/>
      <c r="T68" s="438" cm="1" t="str">
        <f t="array" ref="T68:T68">T67</f>
        <v>false</v>
      </c>
      <c r="U68" s="73"/>
      <c r="V68" s="73"/>
      <c r="W68" s="73"/>
      <c r="X68" s="1541"/>
      <c r="Y68" s="1256"/>
      <c r="Z68" s="1494"/>
      <c r="AA68" s="1256"/>
      <c r="AB68" s="266" t="s">
        <v>1859</v>
      </c>
      <c r="AC68" s="741" t="s">
        <v>1860</v>
      </c>
      <c r="AD68" s="266" t="s">
        <v>789</v>
      </c>
      <c r="AE68" s="1092">
        <f>_xlfn.SUMIFS(Административные!AE$25:AE$65,Административные!$F$25:$F$65,$F68,Административные!$G$25:$G$65,$G68)</f>
        <v>0</v>
      </c>
      <c r="AF68" s="1092">
        <f>_xlfn.SUMIFS(Административные!AF$25:AF$65,Административные!$F$25:$F$65,$F68,Административные!$G$25:$G$65,$G68)</f>
        <v>0</v>
      </c>
      <c r="AG68" s="1092">
        <f>_xlfn.SUMIFS(Административные!AG$25:AG$65,Административные!$F$25:$F$65,$F68,Административные!$G$25:$G$65,$G68)</f>
        <v>0</v>
      </c>
      <c r="AH68" s="1092">
        <f>AG68-AF68</f>
        <v>0</v>
      </c>
      <c r="AI68" s="1092">
        <f>_xlfn.SUMIFS(Административные!AH$25:AH$65,Административные!$F$25:$F$65,$F68,Административные!$G$25:$G$65,$G68)</f>
        <v>0</v>
      </c>
      <c r="AJ68" s="1092">
        <f>_xlfn.SUMIFS(Административные!AI$25:AI$65,Административные!$F$25:$F$65,$F68,Административные!$G$25:$G$65,$G68)</f>
        <v>0</v>
      </c>
      <c r="AK68" s="1093"/>
      <c r="AL68" s="1093"/>
      <c r="AM68" s="1093"/>
      <c r="AN68" s="1093"/>
      <c r="AO68" s="1093"/>
      <c r="AP68" s="1093"/>
      <c r="AQ68" s="1093"/>
      <c r="AR68" s="1093"/>
      <c r="AS68" s="1093"/>
      <c r="AT68" s="1092">
        <f>_xlfn.SUMIFS(Административные!AJ$25:AJ$65,Административные!$F$25:$F$65,$F68,Административные!$G$25:$G$65,$G68)</f>
        <v>0</v>
      </c>
      <c r="AU68" s="1093"/>
      <c r="AV68" s="1093"/>
      <c r="AW68" s="1093"/>
      <c r="AX68" s="1093"/>
      <c r="AY68" s="1093"/>
      <c r="AZ68" s="1093"/>
      <c r="BA68" s="1093"/>
      <c r="BB68" s="1093"/>
      <c r="BC68" s="1093"/>
      <c r="BD68" s="1092">
        <f>IF(AI68=0,0,(AT68-AI68)/AI68*100)</f>
        <v>0</v>
      </c>
      <c r="BE68" s="1093"/>
      <c r="BF68" s="1093"/>
      <c r="BG68" s="1093"/>
      <c r="BH68" s="1093"/>
      <c r="BI68" s="1093"/>
      <c r="BJ68" s="1093"/>
      <c r="BK68" s="1093"/>
      <c r="BL68" s="1093"/>
      <c r="BM68" s="1093"/>
      <c r="BN68" s="1216"/>
      <c r="BO68" s="1220" t="str">
        <f>IF(_xlfn.IFERROR(INDEX(Административные!$K$26:$L$65,MATCH($F68&amp;"5komm",Административные!$K$26:$K$65,0),2),"")=0,"",_xlfn.IFERROR(INDEX(Административные!$K$26:$L$65,MATCH($F68&amp;"5komm",Административные!$K$26:$K$65,0),2),""))</f>
        <v/>
      </c>
      <c r="BP68" s="1216"/>
      <c r="BQ68" s="1256"/>
      <c r="BR68" s="1256"/>
      <c r="BS68" s="1039" t="s">
        <v>1657</v>
      </c>
      <c r="BT68" s="1041"/>
      <c r="BU68" s="1041"/>
      <c r="BV68" s="956"/>
      <c r="BW68" s="956"/>
    </row>
    <row customHeight="1" ht="14.625" hidden="1">
      <c r="A69" s="1256"/>
      <c r="B69" s="955"/>
      <c r="C69" s="73"/>
      <c r="D69" s="73"/>
      <c r="E69" s="596">
        <v>15</v>
      </c>
      <c r="F69" s="50" cm="1" t="str">
        <f t="array" ref="F69:F69">OFFSET(E69,-1,1)</f>
        <v>0</v>
      </c>
      <c r="G69" s="824" t="s">
        <v>1114</v>
      </c>
      <c r="H69" s="833"/>
      <c r="I69" s="833" t="s">
        <v>1861</v>
      </c>
      <c r="J69" s="73"/>
      <c r="K69" s="344" t="s">
        <v>1861</v>
      </c>
      <c r="L69" s="957" t="s">
        <v>1098</v>
      </c>
      <c r="M69" s="73"/>
      <c r="N69" s="73"/>
      <c r="O69" s="73"/>
      <c r="P69" s="73"/>
      <c r="Q69" s="73"/>
      <c r="R69" s="73"/>
      <c r="S69" s="73"/>
      <c r="T69" s="438" cm="1" t="str">
        <f t="array" ref="T69:T69">T68</f>
        <v>false</v>
      </c>
      <c r="U69" s="73"/>
      <c r="V69" s="73"/>
      <c r="W69" s="73"/>
      <c r="X69" s="1541"/>
      <c r="Y69" s="1256"/>
      <c r="Z69" s="1494"/>
      <c r="AA69" s="1256"/>
      <c r="AB69" s="266" t="s">
        <v>1862</v>
      </c>
      <c r="AC69" s="741" t="s">
        <v>1863</v>
      </c>
      <c r="AD69" s="266" t="s">
        <v>789</v>
      </c>
      <c r="AE69" s="1092">
        <f>_xlfn.SUMIFS(Административные!AE$25:AE$65,Административные!$F$25:$F$65,$F69,Административные!$G$25:$G$65,$G69)</f>
        <v>0</v>
      </c>
      <c r="AF69" s="1092">
        <f>_xlfn.SUMIFS(Административные!AF$25:AF$65,Административные!$F$25:$F$65,$F69,Административные!$G$25:$G$65,$G69)</f>
        <v>0</v>
      </c>
      <c r="AG69" s="1092">
        <f>_xlfn.SUMIFS(Административные!AG$25:AG$65,Административные!$F$25:$F$65,$F69,Административные!$G$25:$G$65,$G69)</f>
        <v>0</v>
      </c>
      <c r="AH69" s="1092">
        <f>AG69-AF69</f>
        <v>0</v>
      </c>
      <c r="AI69" s="1092">
        <f>_xlfn.SUMIFS(Административные!AH$25:AH$65,Административные!$F$25:$F$65,$F69,Административные!$G$25:$G$65,$G69)</f>
        <v>0</v>
      </c>
      <c r="AJ69" s="1092">
        <f>_xlfn.SUMIFS(Административные!AI$25:AI$65,Административные!$F$25:$F$65,$F69,Административные!$G$25:$G$65,$G69)</f>
        <v>0</v>
      </c>
      <c r="AK69" s="1093"/>
      <c r="AL69" s="1093"/>
      <c r="AM69" s="1093"/>
      <c r="AN69" s="1093"/>
      <c r="AO69" s="1093"/>
      <c r="AP69" s="1093"/>
      <c r="AQ69" s="1093"/>
      <c r="AR69" s="1093"/>
      <c r="AS69" s="1093"/>
      <c r="AT69" s="1092">
        <f>_xlfn.SUMIFS(Административные!AJ$25:AJ$65,Административные!$F$25:$F$65,$F69,Административные!$G$25:$G$65,$G69)</f>
        <v>0</v>
      </c>
      <c r="AU69" s="1093"/>
      <c r="AV69" s="1093"/>
      <c r="AW69" s="1093"/>
      <c r="AX69" s="1093"/>
      <c r="AY69" s="1093"/>
      <c r="AZ69" s="1093"/>
      <c r="BA69" s="1093"/>
      <c r="BB69" s="1093"/>
      <c r="BC69" s="1093"/>
      <c r="BD69" s="1092">
        <f>IF(AI69=0,0,(AT69-AI69)/AI69*100)</f>
        <v>0</v>
      </c>
      <c r="BE69" s="1093"/>
      <c r="BF69" s="1093"/>
      <c r="BG69" s="1093"/>
      <c r="BH69" s="1093"/>
      <c r="BI69" s="1093"/>
      <c r="BJ69" s="1093"/>
      <c r="BK69" s="1093"/>
      <c r="BL69" s="1093"/>
      <c r="BM69" s="1093"/>
      <c r="BN69" s="1216"/>
      <c r="BO69" s="1220" t="str">
        <f>IF(_xlfn.IFERROR(INDEX(Административные!$K$26:$L$65,MATCH($F69&amp;"6komm",Административные!$K$26:$K$65,0),2),"")=0,"",_xlfn.IFERROR(INDEX(Административные!$K$26:$L$65,MATCH($F69&amp;"6komm",Административные!$K$26:$K$65,0),2),""))</f>
        <v/>
      </c>
      <c r="BP69" s="1216"/>
      <c r="BQ69" s="1256"/>
      <c r="BR69" s="1256"/>
      <c r="BS69" s="1039" t="s">
        <v>1659</v>
      </c>
      <c r="BT69" s="1041"/>
      <c r="BU69" s="1041"/>
      <c r="BV69" s="956"/>
      <c r="BW69" s="956"/>
    </row>
    <row customHeight="1" ht="14.625" hidden="1">
      <c r="A70" s="1256"/>
      <c r="B70" s="955"/>
      <c r="C70" s="73"/>
      <c r="D70" s="73"/>
      <c r="E70" s="596">
        <v>15</v>
      </c>
      <c r="F70" s="50" cm="1" t="str">
        <f t="array" ref="F70:F70">OFFSET(E70,-1,1)</f>
        <v>0</v>
      </c>
      <c r="G70" s="824" t="s">
        <v>1116</v>
      </c>
      <c r="H70" s="833"/>
      <c r="I70" s="833" t="s">
        <v>1864</v>
      </c>
      <c r="J70" s="73"/>
      <c r="K70" s="344" t="s">
        <v>1864</v>
      </c>
      <c r="L70" s="957" t="s">
        <v>1660</v>
      </c>
      <c r="M70" s="73"/>
      <c r="N70" s="73"/>
      <c r="O70" s="73"/>
      <c r="P70" s="73"/>
      <c r="Q70" s="73"/>
      <c r="R70" s="73"/>
      <c r="S70" s="73"/>
      <c r="T70" s="438" cm="1" t="str">
        <f t="array" ref="T70:T70">T69</f>
        <v>false</v>
      </c>
      <c r="U70" s="73"/>
      <c r="V70" s="73"/>
      <c r="W70" s="73"/>
      <c r="X70" s="1541"/>
      <c r="Y70" s="1256"/>
      <c r="Z70" s="1494"/>
      <c r="AA70" s="1256"/>
      <c r="AB70" s="266" t="s">
        <v>1865</v>
      </c>
      <c r="AC70" s="744" t="s">
        <v>1662</v>
      </c>
      <c r="AD70" s="266" t="s">
        <v>789</v>
      </c>
      <c r="AE70" s="1092">
        <f>_xlfn.SUMIFS(Административные!AE$25:AE$65,Административные!$F$25:$F$65,$F70,Административные!$G$25:$G$65,$G70)</f>
        <v>0</v>
      </c>
      <c r="AF70" s="1092">
        <f>_xlfn.SUMIFS(Административные!AF$25:AF$65,Административные!$F$25:$F$65,$F70,Административные!$G$25:$G$65,$G70)</f>
        <v>0</v>
      </c>
      <c r="AG70" s="1092">
        <f>_xlfn.SUMIFS(Административные!AG$25:AG$65,Административные!$F$25:$F$65,$F70,Административные!$G$25:$G$65,$G70)</f>
        <v>0</v>
      </c>
      <c r="AH70" s="1092">
        <f>AG70-AF70</f>
        <v>0</v>
      </c>
      <c r="AI70" s="1092">
        <f>_xlfn.SUMIFS(Административные!AH$25:AH$65,Административные!$F$25:$F$65,$F70,Административные!$G$25:$G$65,$G70)</f>
        <v>0</v>
      </c>
      <c r="AJ70" s="1092">
        <f>_xlfn.SUMIFS(Административные!AI$25:AI$65,Административные!$F$25:$F$65,$F70,Административные!$G$25:$G$65,$G70)</f>
        <v>0</v>
      </c>
      <c r="AK70" s="1093"/>
      <c r="AL70" s="1093"/>
      <c r="AM70" s="1093"/>
      <c r="AN70" s="1093"/>
      <c r="AO70" s="1093"/>
      <c r="AP70" s="1093"/>
      <c r="AQ70" s="1093"/>
      <c r="AR70" s="1093"/>
      <c r="AS70" s="1093"/>
      <c r="AT70" s="1092">
        <f>_xlfn.SUMIFS(Административные!AJ$25:AJ$65,Административные!$F$25:$F$65,$F70,Административные!$G$25:$G$65,$G70)</f>
        <v>0</v>
      </c>
      <c r="AU70" s="1093"/>
      <c r="AV70" s="1093"/>
      <c r="AW70" s="1093"/>
      <c r="AX70" s="1093"/>
      <c r="AY70" s="1093"/>
      <c r="AZ70" s="1093"/>
      <c r="BA70" s="1093"/>
      <c r="BB70" s="1093"/>
      <c r="BC70" s="1093"/>
      <c r="BD70" s="1092">
        <f>IF(AI70=0,0,(AT70-AI70)/AI70*100)</f>
        <v>0</v>
      </c>
      <c r="BE70" s="1093"/>
      <c r="BF70" s="1093"/>
      <c r="BG70" s="1093"/>
      <c r="BH70" s="1093"/>
      <c r="BI70" s="1093"/>
      <c r="BJ70" s="1093"/>
      <c r="BK70" s="1093"/>
      <c r="BL70" s="1093"/>
      <c r="BM70" s="1093"/>
      <c r="BN70" s="1216"/>
      <c r="BO70" s="1220" t="str">
        <f>IF(_xlfn.IFERROR(INDEX(Административные!$K$26:$L$65,MATCH($F70&amp;"7komm",Административные!$K$26:$K$65,0),2),"")=0,"",_xlfn.IFERROR(INDEX(Административные!$K$26:$L$65,MATCH($F70&amp;"7komm",Административные!$K$26:$K$65,0),2),""))</f>
        <v/>
      </c>
      <c r="BP70" s="1216"/>
      <c r="BQ70" s="1256"/>
      <c r="BR70" s="1256"/>
      <c r="BS70" s="1039" t="s">
        <v>1663</v>
      </c>
      <c r="BT70" s="1041"/>
      <c r="BU70" s="1041"/>
      <c r="BV70" s="956"/>
      <c r="BW70" s="956"/>
    </row>
    <row customHeight="1" ht="14.625" hidden="1">
      <c r="A71" s="1256"/>
      <c r="B71" s="955"/>
      <c r="C71" s="73"/>
      <c r="D71" s="73"/>
      <c r="E71" s="596">
        <v>15</v>
      </c>
      <c r="F71" s="50" cm="1" t="str">
        <f t="array" ref="F71:F71">OFFSET(E71,-1,1)</f>
        <v>0</v>
      </c>
      <c r="G71" s="824" t="s">
        <v>1119</v>
      </c>
      <c r="H71" s="833"/>
      <c r="I71" s="833" t="s">
        <v>1866</v>
      </c>
      <c r="J71" s="73"/>
      <c r="K71" s="344" t="s">
        <v>1866</v>
      </c>
      <c r="L71" s="957" t="s">
        <v>1664</v>
      </c>
      <c r="M71" s="73"/>
      <c r="N71" s="73"/>
      <c r="O71" s="73"/>
      <c r="P71" s="73"/>
      <c r="Q71" s="73"/>
      <c r="R71" s="73"/>
      <c r="S71" s="73"/>
      <c r="T71" s="438" cm="1" t="str">
        <f t="array" ref="T71:T71">T70</f>
        <v>false</v>
      </c>
      <c r="U71" s="73"/>
      <c r="V71" s="73"/>
      <c r="W71" s="73"/>
      <c r="X71" s="1541"/>
      <c r="Y71" s="1256"/>
      <c r="Z71" s="1494"/>
      <c r="AA71" s="1256"/>
      <c r="AB71" s="266" t="s">
        <v>1867</v>
      </c>
      <c r="AC71" s="744" t="s">
        <v>1120</v>
      </c>
      <c r="AD71" s="266" t="s">
        <v>789</v>
      </c>
      <c r="AE71" s="1092">
        <f>_xlfn.SUMIFS(Административные!AE$25:AE$65,Административные!$F$25:$F$65,$F71,Административные!$G$25:$G$65,$G71)</f>
        <v>0</v>
      </c>
      <c r="AF71" s="1092">
        <f>_xlfn.SUMIFS(Административные!AF$25:AF$65,Административные!$F$25:$F$65,$F71,Административные!$G$25:$G$65,$G71)</f>
        <v>0</v>
      </c>
      <c r="AG71" s="1092">
        <f>_xlfn.SUMIFS(Административные!AG$25:AG$65,Административные!$F$25:$F$65,$F71,Административные!$G$25:$G$65,$G71)</f>
        <v>0</v>
      </c>
      <c r="AH71" s="1092">
        <f>AG71-AF71</f>
        <v>0</v>
      </c>
      <c r="AI71" s="1092">
        <f>_xlfn.SUMIFS(Административные!AH$25:AH$65,Административные!$F$25:$F$65,$F71,Административные!$G$25:$G$65,$G71)</f>
        <v>0</v>
      </c>
      <c r="AJ71" s="1092">
        <f>_xlfn.SUMIFS(Административные!AI$25:AI$65,Административные!$F$25:$F$65,$F71,Административные!$G$25:$G$65,$G71)</f>
        <v>0</v>
      </c>
      <c r="AK71" s="1093"/>
      <c r="AL71" s="1093"/>
      <c r="AM71" s="1093"/>
      <c r="AN71" s="1093"/>
      <c r="AO71" s="1093"/>
      <c r="AP71" s="1093"/>
      <c r="AQ71" s="1093"/>
      <c r="AR71" s="1093"/>
      <c r="AS71" s="1093"/>
      <c r="AT71" s="1092">
        <f>_xlfn.SUMIFS(Административные!AJ$25:AJ$65,Административные!$F$25:$F$65,$F71,Административные!$G$25:$G$65,$G71)</f>
        <v>0</v>
      </c>
      <c r="AU71" s="1093"/>
      <c r="AV71" s="1093"/>
      <c r="AW71" s="1093"/>
      <c r="AX71" s="1093"/>
      <c r="AY71" s="1093"/>
      <c r="AZ71" s="1093"/>
      <c r="BA71" s="1093"/>
      <c r="BB71" s="1093"/>
      <c r="BC71" s="1093"/>
      <c r="BD71" s="1092">
        <f>IF(AI71=0,0,(AT71-AI71)/AI71*100)</f>
        <v>0</v>
      </c>
      <c r="BE71" s="1093"/>
      <c r="BF71" s="1093"/>
      <c r="BG71" s="1093"/>
      <c r="BH71" s="1093"/>
      <c r="BI71" s="1093"/>
      <c r="BJ71" s="1093"/>
      <c r="BK71" s="1093"/>
      <c r="BL71" s="1093"/>
      <c r="BM71" s="1093"/>
      <c r="BN71" s="1216"/>
      <c r="BO71" s="1220" t="str">
        <f>IF(_xlfn.IFERROR(INDEX(Административные!$K$26:$L$65,MATCH($F71&amp;"8komm",Административные!$K$26:$K$65,0),2),"")=0,"",_xlfn.IFERROR(INDEX(Административные!$K$26:$L$65,MATCH($F71&amp;"8komm",Административные!$K$26:$K$65,0),2),""))</f>
        <v/>
      </c>
      <c r="BP71" s="1216"/>
      <c r="BQ71" s="1256"/>
      <c r="BR71" s="1256"/>
      <c r="BS71" s="1039" t="s">
        <v>1666</v>
      </c>
      <c r="BT71" s="1041"/>
      <c r="BU71" s="1041"/>
      <c r="BV71" s="956"/>
      <c r="BW71" s="956"/>
    </row>
    <row customHeight="1" ht="14.625" hidden="1">
      <c r="A72" s="1256"/>
      <c r="B72" s="955"/>
      <c r="C72" s="73"/>
      <c r="D72" s="73"/>
      <c r="E72" s="596">
        <v>15</v>
      </c>
      <c r="F72" s="50" cm="1" t="str">
        <f t="array" ref="F72:F72">OFFSET(E72,-1,1)</f>
        <v>0</v>
      </c>
      <c r="G72" s="73" t="s">
        <v>1122</v>
      </c>
      <c r="H72" s="833"/>
      <c r="I72" s="833" t="s">
        <v>1868</v>
      </c>
      <c r="J72" s="73"/>
      <c r="K72" s="344" t="s">
        <v>1868</v>
      </c>
      <c r="L72" s="957" t="s">
        <v>1667</v>
      </c>
      <c r="M72" s="73"/>
      <c r="N72" s="73"/>
      <c r="O72" s="73"/>
      <c r="P72" s="73"/>
      <c r="Q72" s="73"/>
      <c r="R72" s="73"/>
      <c r="S72" s="73"/>
      <c r="T72" s="438" cm="1" t="str">
        <f t="array" ref="T72:T72">T71</f>
        <v>false</v>
      </c>
      <c r="U72" s="73"/>
      <c r="V72" s="73"/>
      <c r="W72" s="73"/>
      <c r="X72" s="1541"/>
      <c r="Y72" s="1256"/>
      <c r="Z72" s="1494"/>
      <c r="AA72" s="1256"/>
      <c r="AB72" s="266" t="s">
        <v>1869</v>
      </c>
      <c r="AC72" s="744" t="s">
        <v>1123</v>
      </c>
      <c r="AD72" s="266" t="s">
        <v>789</v>
      </c>
      <c r="AE72" s="1092">
        <f>_xlfn.SUMIFS(Административные!AE$25:AE$65,Административные!$F$25:$F$65,$F72,Административные!$G$25:$G$65,$G72)</f>
        <v>0</v>
      </c>
      <c r="AF72" s="1092">
        <f>_xlfn.SUMIFS(Административные!AF$25:AF$65,Административные!$F$25:$F$65,$F72,Административные!$G$25:$G$65,$G72)</f>
        <v>0</v>
      </c>
      <c r="AG72" s="1092">
        <f>_xlfn.SUMIFS(Административные!AG$25:AG$65,Административные!$F$25:$F$65,$F72,Административные!$G$25:$G$65,$G72)</f>
        <v>0</v>
      </c>
      <c r="AH72" s="1092">
        <f>AG72-AF72</f>
        <v>0</v>
      </c>
      <c r="AI72" s="1092">
        <f>_xlfn.SUMIFS(Административные!AH$25:AH$65,Административные!$F$25:$F$65,$F72,Административные!$G$25:$G$65,$G72)</f>
        <v>0</v>
      </c>
      <c r="AJ72" s="1094">
        <f>_xlfn.SUMIFS(Административные!AI$25:AI$65,Административные!$F$25:$F$65,$F72,Административные!$G$25:$G$65,$G72)</f>
        <v>0</v>
      </c>
      <c r="AK72" s="1093"/>
      <c r="AL72" s="1093"/>
      <c r="AM72" s="1093"/>
      <c r="AN72" s="1093"/>
      <c r="AO72" s="1093"/>
      <c r="AP72" s="1093"/>
      <c r="AQ72" s="1093"/>
      <c r="AR72" s="1093"/>
      <c r="AS72" s="1093"/>
      <c r="AT72" s="1094">
        <f>_xlfn.SUMIFS(Административные!AJ$25:AJ$65,Административные!$F$25:$F$65,$F72,Административные!$G$25:$G$65,$G72)</f>
        <v>0</v>
      </c>
      <c r="AU72" s="1093"/>
      <c r="AV72" s="1093"/>
      <c r="AW72" s="1093"/>
      <c r="AX72" s="1093"/>
      <c r="AY72" s="1093"/>
      <c r="AZ72" s="1093"/>
      <c r="BA72" s="1093"/>
      <c r="BB72" s="1093"/>
      <c r="BC72" s="1093"/>
      <c r="BD72" s="1092">
        <f>IF(AI72=0,0,(AT72-AI72)/AI72*100)</f>
        <v>0</v>
      </c>
      <c r="BE72" s="1093"/>
      <c r="BF72" s="1093"/>
      <c r="BG72" s="1093"/>
      <c r="BH72" s="1093"/>
      <c r="BI72" s="1093"/>
      <c r="BJ72" s="1093"/>
      <c r="BK72" s="1093"/>
      <c r="BL72" s="1093"/>
      <c r="BM72" s="1093"/>
      <c r="BN72" s="1216"/>
      <c r="BO72" s="1220" t="str">
        <f>IF(_xlfn.IFERROR(INDEX(Административные!$K$26:$L$65,MATCH($F72&amp;"9komm",Административные!$K$26:$K$65,0),2),"")=0,"",_xlfn.IFERROR(INDEX(Административные!$K$26:$L$65,MATCH($F72&amp;"9komm",Административные!$K$26:$K$65,0),2),""))</f>
        <v/>
      </c>
      <c r="BP72" s="1216"/>
      <c r="BQ72" s="1256"/>
      <c r="BR72" s="1256"/>
      <c r="BS72" s="1039" t="s">
        <v>1669</v>
      </c>
      <c r="BT72" s="1041"/>
      <c r="BU72" s="1041"/>
      <c r="BV72" s="956"/>
      <c r="BW72" s="956"/>
    </row>
    <row customHeight="1" ht="21.9375" hidden="1">
      <c r="A73" s="1256"/>
      <c r="B73" s="404">
        <f>STATUS_GO="да"</f>
        <v>0</v>
      </c>
      <c r="C73" s="73"/>
      <c r="D73" s="73"/>
      <c r="E73" s="596">
        <v>22.5</v>
      </c>
      <c r="F73" s="50" cm="1" t="str">
        <f t="array" ref="F73:F73">OFFSET(E73,-1,1)</f>
        <v>0</v>
      </c>
      <c r="G73" s="73"/>
      <c r="H73" s="833"/>
      <c r="I73" s="833" t="s">
        <v>856</v>
      </c>
      <c r="J73" s="73"/>
      <c r="K73" s="344" t="s">
        <v>856</v>
      </c>
      <c r="L73" s="957" t="s">
        <v>325</v>
      </c>
      <c r="M73" s="73"/>
      <c r="N73" s="73"/>
      <c r="O73" s="73"/>
      <c r="P73" s="73"/>
      <c r="Q73" s="73"/>
      <c r="R73" s="73"/>
      <c r="S73" s="73"/>
      <c r="T73" s="438" cm="1" t="str">
        <f t="array" ref="T73:T73">T72</f>
        <v>false</v>
      </c>
      <c r="U73" s="73"/>
      <c r="V73" s="73"/>
      <c r="W73" s="73"/>
      <c r="X73" s="1541"/>
      <c r="Y73" s="1256"/>
      <c r="Z73" s="1494"/>
      <c r="AA73" s="1256"/>
      <c r="AB73" s="266" t="s">
        <v>857</v>
      </c>
      <c r="AC73" s="738" t="s">
        <v>1870</v>
      </c>
      <c r="AD73" s="266" t="s">
        <v>789</v>
      </c>
      <c r="AE73" s="1092">
        <f>_xlfn.SUMIFS('Сбытовые расходы ГО'!AE$25:AE$51,'Сбытовые расходы ГО'!$F$25:$F$51,$F73,'Сбытовые расходы ГО'!$G$25:$G$51,"L0")-_xlfn.SUMIFS('Сбытовые расходы ГО'!AE$25:AE$51,'Сбытовые расходы ГО'!$F$25:$F$51,$F73,'Сбытовые расходы ГО'!$G$25:$G$51,"L1")</f>
        <v>0</v>
      </c>
      <c r="AF73" s="1092">
        <f>_xlfn.SUMIFS('Сбытовые расходы ГО'!AF$25:AF$51,'Сбытовые расходы ГО'!$F$25:$F$51,$F73,'Сбытовые расходы ГО'!$G$25:$G$51,"L0")-_xlfn.SUMIFS('Сбытовые расходы ГО'!AF$25:AF$51,'Сбытовые расходы ГО'!$F$25:$F$51,$F73,'Сбытовые расходы ГО'!$G$25:$G$51,"L1")</f>
        <v>0</v>
      </c>
      <c r="AG73" s="1092">
        <f>_xlfn.SUMIFS('Сбытовые расходы ГО'!AG$25:AG$51,'Сбытовые расходы ГО'!$F$25:$F$51,$F73,'Сбытовые расходы ГО'!$G$25:$G$51,"L0")-_xlfn.SUMIFS('Сбытовые расходы ГО'!AG$25:AG$51,'Сбытовые расходы ГО'!$F$25:$F$51,$F73,'Сбытовые расходы ГО'!$G$25:$G$51,"L1")</f>
        <v>0</v>
      </c>
      <c r="AH73" s="1092">
        <f>AG73-AF73</f>
        <v>0</v>
      </c>
      <c r="AI73" s="1092">
        <f>_xlfn.SUMIFS('Сбытовые расходы ГО'!AH$25:AH$51,'Сбытовые расходы ГО'!$F$25:$F$51,$F73,'Сбытовые расходы ГО'!$G$25:$G$51,"L0")-_xlfn.SUMIFS('Сбытовые расходы ГО'!AH$25:AH$51,'Сбытовые расходы ГО'!$F$25:$F$51,$F73,'Сбытовые расходы ГО'!$G$25:$G$51,"L1")</f>
        <v>0</v>
      </c>
      <c r="AJ73" s="1092">
        <f>_xlfn.SUMIFS('Сбытовые расходы ГО'!AI$25:AI$51,'Сбытовые расходы ГО'!$F$25:$F$51,$F73,'Сбытовые расходы ГО'!$G$25:$G$51,"L0")-_xlfn.SUMIFS('Сбытовые расходы ГО'!AI$25:AI$51,'Сбытовые расходы ГО'!$F$25:$F$51,$F73,'Сбытовые расходы ГО'!$G$25:$G$51,"L1")</f>
        <v>0</v>
      </c>
      <c r="AK73" s="1093"/>
      <c r="AL73" s="1093"/>
      <c r="AM73" s="1093"/>
      <c r="AN73" s="1093"/>
      <c r="AO73" s="1093"/>
      <c r="AP73" s="1093"/>
      <c r="AQ73" s="1093"/>
      <c r="AR73" s="1093"/>
      <c r="AS73" s="1093"/>
      <c r="AT73" s="1092">
        <f>_xlfn.SUMIFS('Сбытовые расходы ГО'!AJ$25:AJ$51,'Сбытовые расходы ГО'!$F$25:$F$51,$F73,'Сбытовые расходы ГО'!$G$25:$G$51,"L0")-_xlfn.SUMIFS('Сбытовые расходы ГО'!AJ$25:AJ$51,'Сбытовые расходы ГО'!$F$25:$F$51,$F73,'Сбытовые расходы ГО'!$G$25:$G$51,"L1")</f>
        <v>0</v>
      </c>
      <c r="AU73" s="1093"/>
      <c r="AV73" s="1093"/>
      <c r="AW73" s="1093"/>
      <c r="AX73" s="1093"/>
      <c r="AY73" s="1093"/>
      <c r="AZ73" s="1093"/>
      <c r="BA73" s="1093"/>
      <c r="BB73" s="1093"/>
      <c r="BC73" s="1093"/>
      <c r="BD73" s="1092">
        <f>IF(AI73=0,0,(AT73-AI73)/AI73*100)</f>
        <v>0</v>
      </c>
      <c r="BE73" s="1093"/>
      <c r="BF73" s="1093"/>
      <c r="BG73" s="1093"/>
      <c r="BH73" s="1093"/>
      <c r="BI73" s="1093"/>
      <c r="BJ73" s="1093"/>
      <c r="BK73" s="1093"/>
      <c r="BL73" s="1093"/>
      <c r="BM73" s="1093"/>
      <c r="BN73" s="1216"/>
      <c r="BO73" s="1216"/>
      <c r="BP73" s="1216"/>
      <c r="BQ73" s="1256"/>
      <c r="BR73" s="1256"/>
      <c r="BS73" s="1040" t="s">
        <v>1671</v>
      </c>
      <c r="BT73" s="1041"/>
      <c r="BU73" s="1041"/>
      <c r="BV73" s="956"/>
      <c r="BW73" s="956"/>
    </row>
    <row customHeight="1" ht="14.625" hidden="1">
      <c r="A74" s="1256"/>
      <c r="B74" s="955"/>
      <c r="C74" s="73"/>
      <c r="D74" s="73"/>
      <c r="E74" s="596">
        <v>15</v>
      </c>
      <c r="F74" s="50" cm="1" t="str">
        <f t="array" ref="F74:F74">OFFSET(E74,-1,1)</f>
        <v>0</v>
      </c>
      <c r="G74" s="73"/>
      <c r="H74" s="833"/>
      <c r="I74" s="833" t="s">
        <v>1609</v>
      </c>
      <c r="J74" s="73"/>
      <c r="K74" s="344" t="s">
        <v>1609</v>
      </c>
      <c r="L74" s="957"/>
      <c r="M74" s="73"/>
      <c r="N74" s="73"/>
      <c r="O74" s="73"/>
      <c r="P74" s="73"/>
      <c r="Q74" s="73"/>
      <c r="R74" s="73"/>
      <c r="S74" s="73"/>
      <c r="T74" s="438" cm="1" t="str">
        <f t="array" ref="T74:T74">T73</f>
        <v>false</v>
      </c>
      <c r="U74" s="73"/>
      <c r="V74" s="73"/>
      <c r="W74" s="73"/>
      <c r="X74" s="1541"/>
      <c r="Y74" s="1256"/>
      <c r="Z74" s="1494"/>
      <c r="AA74" s="1256"/>
      <c r="AB74" s="266" t="s">
        <v>1610</v>
      </c>
      <c r="AC74" s="738" t="s">
        <v>1871</v>
      </c>
      <c r="AD74" s="266" t="s">
        <v>789</v>
      </c>
      <c r="AE74" s="1219"/>
      <c r="AF74" s="1219"/>
      <c r="AG74" s="1219"/>
      <c r="AH74" s="1092">
        <f>AG74-AF74</f>
        <v>0</v>
      </c>
      <c r="AI74" s="1219"/>
      <c r="AJ74" s="3564"/>
      <c r="AK74" s="1093"/>
      <c r="AL74" s="1093"/>
      <c r="AM74" s="1093"/>
      <c r="AN74" s="1093"/>
      <c r="AO74" s="1093"/>
      <c r="AP74" s="1093"/>
      <c r="AQ74" s="1093"/>
      <c r="AR74" s="1093"/>
      <c r="AS74" s="1093"/>
      <c r="AT74" s="3564"/>
      <c r="AU74" s="1093"/>
      <c r="AV74" s="1093"/>
      <c r="AW74" s="1093"/>
      <c r="AX74" s="1093"/>
      <c r="AY74" s="1093"/>
      <c r="AZ74" s="1093"/>
      <c r="BA74" s="1093"/>
      <c r="BB74" s="1093"/>
      <c r="BC74" s="1093"/>
      <c r="BD74" s="1092">
        <f>IF(AI74=0,0,(AT74-AI74)/AI74*100)</f>
        <v>0</v>
      </c>
      <c r="BE74" s="1093"/>
      <c r="BF74" s="1093"/>
      <c r="BG74" s="1093"/>
      <c r="BH74" s="1093"/>
      <c r="BI74" s="1093"/>
      <c r="BJ74" s="1093"/>
      <c r="BK74" s="1093"/>
      <c r="BL74" s="1093"/>
      <c r="BM74" s="1093"/>
      <c r="BN74" s="1216"/>
      <c r="BO74" s="1216"/>
      <c r="BP74" s="1216"/>
      <c r="BQ74" s="1256"/>
      <c r="BR74" s="1256"/>
      <c r="BS74" s="1041" t="s">
        <v>1872</v>
      </c>
      <c r="BT74" s="1041"/>
      <c r="BU74" s="1041"/>
      <c r="BV74" s="956"/>
      <c r="BW74" s="956"/>
    </row>
    <row s="676" customFormat="1" customHeight="1" ht="20.475" hidden="1">
      <c r="A75" s="676"/>
      <c r="B75" s="407"/>
      <c r="C75" s="75"/>
      <c r="D75" s="75"/>
      <c r="E75" s="802">
        <v>21</v>
      </c>
      <c r="F75" s="50" cm="1" t="str">
        <f t="array" ref="F75:F75">OFFSET(E75,-1,1)</f>
        <v>0</v>
      </c>
      <c r="G75" s="75"/>
      <c r="H75" s="833"/>
      <c r="I75" s="833" t="s">
        <v>1613</v>
      </c>
      <c r="J75" s="75"/>
      <c r="K75" s="344" t="s">
        <v>1613</v>
      </c>
      <c r="L75" s="962"/>
      <c r="M75" s="75"/>
      <c r="N75" s="75"/>
      <c r="O75" s="75"/>
      <c r="P75" s="75"/>
      <c r="Q75" s="75"/>
      <c r="R75" s="75"/>
      <c r="S75" s="75"/>
      <c r="T75" s="438">
        <f>AND(F75&gt;0,method_reg="Метод индексации")</f>
        <v>0</v>
      </c>
      <c r="U75" s="75"/>
      <c r="V75" s="75"/>
      <c r="W75" s="75"/>
      <c r="X75" s="1541"/>
      <c r="Y75" s="676"/>
      <c r="Z75" s="1494"/>
      <c r="AA75" s="676"/>
      <c r="AB75" s="177" t="s">
        <v>1614</v>
      </c>
      <c r="AC75" s="327" t="s">
        <v>1873</v>
      </c>
      <c r="AD75" s="177" t="s">
        <v>789</v>
      </c>
      <c r="AE75" s="179">
        <f>SUM(AE76:AE77)</f>
        <v>0</v>
      </c>
      <c r="AF75" s="179">
        <f>SUM(AF76:AF77)</f>
        <v>0</v>
      </c>
      <c r="AG75" s="179">
        <f>SUM(AG76:AG77)</f>
        <v>0</v>
      </c>
      <c r="AH75" s="754">
        <f>AG75-AF75</f>
        <v>0</v>
      </c>
      <c r="AI75" s="179">
        <f>SUM(AI76:AI77)</f>
        <v>0</v>
      </c>
      <c r="AJ75" s="179">
        <f>SUM(AJ76:AJ77)</f>
        <v>0</v>
      </c>
      <c r="AK75" s="182"/>
      <c r="AL75" s="182"/>
      <c r="AM75" s="182"/>
      <c r="AN75" s="182"/>
      <c r="AO75" s="182"/>
      <c r="AP75" s="182"/>
      <c r="AQ75" s="182"/>
      <c r="AR75" s="182"/>
      <c r="AS75" s="182"/>
      <c r="AT75" s="179">
        <f>SUM(AT76:AT77)</f>
        <v>0</v>
      </c>
      <c r="AU75" s="182"/>
      <c r="AV75" s="182"/>
      <c r="AW75" s="182"/>
      <c r="AX75" s="182"/>
      <c r="AY75" s="182"/>
      <c r="AZ75" s="182"/>
      <c r="BA75" s="182"/>
      <c r="BB75" s="182"/>
      <c r="BC75" s="182"/>
      <c r="BD75" s="754">
        <f>IF(AI75=0,0,(AT75-AI75)/AI75*100)</f>
        <v>0</v>
      </c>
      <c r="BE75" s="182"/>
      <c r="BF75" s="182"/>
      <c r="BG75" s="182"/>
      <c r="BH75" s="182"/>
      <c r="BI75" s="182"/>
      <c r="BJ75" s="182"/>
      <c r="BK75" s="182"/>
      <c r="BL75" s="182"/>
      <c r="BM75" s="182"/>
      <c r="BN75" s="1218"/>
      <c r="BO75" s="1218"/>
      <c r="BP75" s="1218"/>
      <c r="BQ75" s="676"/>
      <c r="BR75" s="676"/>
      <c r="BS75" s="1047" t="s">
        <v>1874</v>
      </c>
      <c r="BT75" s="1047"/>
      <c r="BU75" s="1047"/>
      <c r="BV75" s="683"/>
      <c r="BW75" s="683"/>
    </row>
    <row customHeight="1" ht="14.625" hidden="1">
      <c r="A76" s="1256"/>
      <c r="B76" s="404">
        <f>method_reg="Метод индексации"</f>
        <v>0</v>
      </c>
      <c r="C76" s="73"/>
      <c r="D76" s="73"/>
      <c r="E76" s="596">
        <v>15</v>
      </c>
      <c r="F76" s="50" cm="1" t="str">
        <f t="array" ref="F76:F76">OFFSET(E76,-1,1)</f>
        <v>0</v>
      </c>
      <c r="G76" s="73"/>
      <c r="H76" s="73"/>
      <c r="I76" s="833" t="s">
        <v>1613</v>
      </c>
      <c r="J76" s="73" cm="1" t="str">
        <f t="array" ref="J76:J76">AC76</f>
        <v>0</v>
      </c>
      <c r="K76" s="344" t="s">
        <v>1613</v>
      </c>
      <c r="L76" s="957"/>
      <c r="M76" s="73"/>
      <c r="N76" s="73"/>
      <c r="O76" s="73"/>
      <c r="P76" s="73"/>
      <c r="Q76" s="73"/>
      <c r="R76" s="73"/>
      <c r="S76" s="73"/>
      <c r="T76" s="438">
        <f>AND(F76&gt;0,Y76&gt;0)</f>
        <v>0</v>
      </c>
      <c r="U76" s="73"/>
      <c r="V76" s="73"/>
      <c r="W76" s="73" t="s">
        <v>172</v>
      </c>
      <c r="X76" s="1541"/>
      <c r="Y76" s="124">
        <v>0</v>
      </c>
      <c r="Z76" s="1494"/>
      <c r="AA76" s="392" t="s">
        <v>173</v>
      </c>
      <c r="AB76" s="266" t="str">
        <f>"1.7."&amp;Y76</f>
        <v>1.7.0</v>
      </c>
      <c r="AC76" s="1221"/>
      <c r="AD76" s="266" t="s">
        <v>789</v>
      </c>
      <c r="AE76" s="1219"/>
      <c r="AF76" s="1219"/>
      <c r="AG76" s="1219"/>
      <c r="AH76" s="1092">
        <f>AG76-AF76</f>
        <v>0</v>
      </c>
      <c r="AI76" s="1219"/>
      <c r="AJ76" s="3564"/>
      <c r="AK76" s="1093"/>
      <c r="AL76" s="1093"/>
      <c r="AM76" s="1093"/>
      <c r="AN76" s="1093"/>
      <c r="AO76" s="1093"/>
      <c r="AP76" s="1093"/>
      <c r="AQ76" s="1093"/>
      <c r="AR76" s="1093"/>
      <c r="AS76" s="1093"/>
      <c r="AT76" s="3564"/>
      <c r="AU76" s="1093"/>
      <c r="AV76" s="1093"/>
      <c r="AW76" s="1093"/>
      <c r="AX76" s="1093"/>
      <c r="AY76" s="1093"/>
      <c r="AZ76" s="1093"/>
      <c r="BA76" s="1093"/>
      <c r="BB76" s="1093"/>
      <c r="BC76" s="1093"/>
      <c r="BD76" s="1092">
        <f>IF(AI76=0,0,(AT76-AI76)/AI76*100)</f>
        <v>0</v>
      </c>
      <c r="BE76" s="1093"/>
      <c r="BF76" s="1093"/>
      <c r="BG76" s="1093"/>
      <c r="BH76" s="1093"/>
      <c r="BI76" s="1093"/>
      <c r="BJ76" s="1093"/>
      <c r="BK76" s="1093"/>
      <c r="BL76" s="1093"/>
      <c r="BM76" s="1093"/>
      <c r="BN76" s="1216"/>
      <c r="BO76" s="1216"/>
      <c r="BP76" s="1216"/>
      <c r="BQ76" s="1256"/>
      <c r="BR76" s="1256"/>
      <c r="BS76" s="1041" t="s">
        <v>1874</v>
      </c>
      <c r="BT76" s="1041" t="s">
        <v>1875</v>
      </c>
      <c r="BU76" s="1041" cm="1" t="str">
        <f t="array" ref="BU76:BU76">AC76</f>
        <v>0</v>
      </c>
      <c r="BV76" s="956"/>
      <c r="BW76" s="679" t="b">
        <v>1</v>
      </c>
    </row>
    <row customHeight="1" ht="14.625" hidden="1">
      <c r="A77" s="1256"/>
      <c r="B77" s="404" cm="1" t="str">
        <f t="array" ref="B77:B77">B76</f>
        <v>false</v>
      </c>
      <c r="C77" s="73"/>
      <c r="D77" s="73"/>
      <c r="E77" s="596">
        <v>15</v>
      </c>
      <c r="F77" s="50" cm="1" t="str">
        <f t="array" ref="F77:F77">OFFSET(E77,-1,1)</f>
        <v>0</v>
      </c>
      <c r="G77" s="453"/>
      <c r="H77" s="73"/>
      <c r="I77" s="73"/>
      <c r="J77" s="73" t="s">
        <v>1876</v>
      </c>
      <c r="K77" s="1256"/>
      <c r="L77" s="957"/>
      <c r="M77" s="73"/>
      <c r="N77" s="73"/>
      <c r="O77" s="73"/>
      <c r="P77" s="73"/>
      <c r="Q77" s="73"/>
      <c r="R77" s="73"/>
      <c r="S77" s="73"/>
      <c r="T77" s="438">
        <f>F77&gt;0</f>
        <v>0</v>
      </c>
      <c r="U77" s="73"/>
      <c r="V77" s="73"/>
      <c r="W77" s="805" t="s">
        <v>388</v>
      </c>
      <c r="X77" s="1541"/>
      <c r="Y77" s="1256"/>
      <c r="Z77" s="1494"/>
      <c r="AA77" s="1256"/>
      <c r="AB77" s="850"/>
      <c r="AC77" s="226" t="s">
        <v>176</v>
      </c>
      <c r="AD77" s="752"/>
      <c r="AE77" s="752"/>
      <c r="AF77" s="752"/>
      <c r="AG77" s="752"/>
      <c r="AH77" s="752"/>
      <c r="AI77" s="752"/>
      <c r="AJ77" s="752"/>
      <c r="AK77" s="752"/>
      <c r="AL77" s="752"/>
      <c r="AM77" s="752"/>
      <c r="AN77" s="752"/>
      <c r="AO77" s="752"/>
      <c r="AP77" s="752"/>
      <c r="AQ77" s="752"/>
      <c r="AR77" s="752"/>
      <c r="AS77" s="752"/>
      <c r="AT77" s="752"/>
      <c r="AU77" s="752"/>
      <c r="AV77" s="752"/>
      <c r="AW77" s="752"/>
      <c r="AX77" s="752"/>
      <c r="AY77" s="752"/>
      <c r="AZ77" s="752"/>
      <c r="BA77" s="752"/>
      <c r="BB77" s="752"/>
      <c r="BC77" s="752"/>
      <c r="BD77" s="752"/>
      <c r="BE77" s="752"/>
      <c r="BF77" s="752"/>
      <c r="BG77" s="752"/>
      <c r="BH77" s="752"/>
      <c r="BI77" s="752"/>
      <c r="BJ77" s="752"/>
      <c r="BK77" s="752"/>
      <c r="BL77" s="752"/>
      <c r="BM77" s="752"/>
      <c r="BN77" s="752"/>
      <c r="BO77" s="752"/>
      <c r="BP77" s="753"/>
      <c r="BQ77" s="1256"/>
      <c r="BR77" s="1256"/>
      <c r="BS77" s="1041"/>
      <c r="BT77" s="1041"/>
      <c r="BU77" s="1041"/>
      <c r="BV77" s="679" t="s">
        <v>1875</v>
      </c>
      <c r="BW77" s="956"/>
    </row>
    <row s="676" customFormat="1" customHeight="1" ht="20.475" hidden="1">
      <c r="A78" s="676"/>
      <c r="B78" s="407"/>
      <c r="C78" s="75"/>
      <c r="D78" s="75"/>
      <c r="E78" s="802">
        <v>21</v>
      </c>
      <c r="F78" s="50" cm="1" t="str">
        <f t="array" ref="F78:F78">OFFSET(E78,-1,1)</f>
        <v>0</v>
      </c>
      <c r="G78" s="75"/>
      <c r="H78" s="73"/>
      <c r="I78" s="73" t="s">
        <v>322</v>
      </c>
      <c r="J78" s="75"/>
      <c r="K78" s="124" t="s">
        <v>322</v>
      </c>
      <c r="L78" s="962"/>
      <c r="M78" s="75"/>
      <c r="N78" s="75"/>
      <c r="O78" s="75"/>
      <c r="P78" s="75"/>
      <c r="Q78" s="75"/>
      <c r="R78" s="75"/>
      <c r="S78" s="75"/>
      <c r="T78" s="438">
        <f>F78&gt;0</f>
        <v>0</v>
      </c>
      <c r="U78" s="75"/>
      <c r="V78" s="75"/>
      <c r="W78" s="75"/>
      <c r="X78" s="1541"/>
      <c r="Y78" s="676"/>
      <c r="Z78" s="1494"/>
      <c r="AA78" s="676"/>
      <c r="AB78" s="200" t="s">
        <v>504</v>
      </c>
      <c r="AC78" s="178" t="s">
        <v>1877</v>
      </c>
      <c r="AD78" s="200" t="s">
        <v>789</v>
      </c>
      <c r="AE78" s="179">
        <f>AE79+AE91+AE92++AE103+AE104+AE105+AE107+AE108+AE109+AE110+AE113</f>
        <v>0</v>
      </c>
      <c r="AF78" s="179">
        <f>AF79+AF91+AF92++AF103+AF104+AF105+AF107+AF108+AF109+AF110+AF113</f>
        <v>0</v>
      </c>
      <c r="AG78" s="179">
        <f>AG79+AG91+AG92++AG103+AG104+AG105+AG107+AG108+AG109+AG110+AG113</f>
        <v>0</v>
      </c>
      <c r="AH78" s="754">
        <f>AG78-AF78</f>
        <v>0</v>
      </c>
      <c r="AI78" s="179">
        <f>AI79+AI91+AI92++AI103+AI104+AI105+AI107+AI108+AI109+AI110+AI113</f>
        <v>0</v>
      </c>
      <c r="AJ78" s="179">
        <f>AJ79+AJ91+AJ92++AJ103+AJ104+AJ105+AJ107+AJ108+AJ109+AJ110+AJ113</f>
        <v>0</v>
      </c>
      <c r="AK78" s="179">
        <f>AK79+AK91+AK92++AK103+AK104+AK105+AK107+AK108+AK109+AK110+AK113</f>
        <v>0</v>
      </c>
      <c r="AL78" s="179">
        <f>AL79+AL91+AL92++AL103+AL104+AL105+AL107+AL108+AL109+AL110+AL113</f>
        <v>0</v>
      </c>
      <c r="AM78" s="179">
        <f>AM79+AM91+AM92++AM103+AM104+AM105+AM107+AM108+AM109+AM110+AM113</f>
        <v>0</v>
      </c>
      <c r="AN78" s="179">
        <f>AN79+AN91+AN92++AN103+AN104+AN105+AN107+AN108+AN109+AN110+AN113</f>
        <v>0</v>
      </c>
      <c r="AO78" s="179">
        <f>AO79+AO91+AO92++AO103+AO104+AO105+AO107+AO108+AO109+AO110+AO113</f>
        <v>0</v>
      </c>
      <c r="AP78" s="179">
        <f>AP79+AP91+AP92++AP103+AP104+AP105+AP107+AP108+AP109+AP110+AP113</f>
        <v>0</v>
      </c>
      <c r="AQ78" s="179">
        <f>AQ79+AQ91+AQ92++AQ103+AQ104+AQ105+AQ107+AQ108+AQ109+AQ110+AQ113</f>
        <v>0</v>
      </c>
      <c r="AR78" s="179">
        <f>AR79+AR91+AR92++AR103+AR104+AR105+AR107+AR108+AR109+AR110+AR113</f>
        <v>0</v>
      </c>
      <c r="AS78" s="179">
        <f>AS79+AS91+AS92++AS103+AS104+AS105+AS107+AS108+AS109+AS110+AS113</f>
        <v>0</v>
      </c>
      <c r="AT78" s="179">
        <f>AT79+AT91+AT92++AT103+AT104+AT105+AT107+AT108+AT109+AT110+AT113</f>
        <v>0</v>
      </c>
      <c r="AU78" s="179">
        <f>AU79+AU91+AU92++AU103+AU104+AU105+AU107+AU108+AU109+AU110+AU113</f>
        <v>0</v>
      </c>
      <c r="AV78" s="179">
        <f>AV79+AV91+AV92++AV103+AV104+AV105+AV107+AV108+AV109+AV110+AV113</f>
        <v>0</v>
      </c>
      <c r="AW78" s="179">
        <f>AW79+AW91+AW92++AW103+AW104+AW105+AW107+AW108+AW109+AW110+AW113</f>
        <v>0</v>
      </c>
      <c r="AX78" s="179">
        <f>AX79+AX91+AX92++AX103+AX104+AX105+AX107+AX108+AX109+AX110+AX113</f>
        <v>0</v>
      </c>
      <c r="AY78" s="179">
        <f>AY79+AY91+AY92++AY103+AY104+AY105+AY107+AY108+AY109+AY110+AY113</f>
        <v>0</v>
      </c>
      <c r="AZ78" s="179">
        <f>AZ79+AZ91+AZ92++AZ103+AZ104+AZ105+AZ107+AZ108+AZ109+AZ110+AZ113</f>
        <v>0</v>
      </c>
      <c r="BA78" s="179">
        <f>BA79+BA91+BA92++BA103+BA104+BA105+BA107+BA108+BA109+BA110+BA113</f>
        <v>0</v>
      </c>
      <c r="BB78" s="179">
        <f>BB79+BB91+BB92++BB103+BB104+BB105+BB107+BB108+BB109+BB110+BB113</f>
        <v>0</v>
      </c>
      <c r="BC78" s="179">
        <f>BC79+BC91+BC92++BC103+BC104+BC105+BC107+BC108+BC109+BC110+BC113</f>
        <v>0</v>
      </c>
      <c r="BD78" s="754">
        <f>IF(AI78=0,0,(AT78-AI78)/AI78*100)</f>
        <v>0</v>
      </c>
      <c r="BE78" s="754">
        <f>IF(AT78=0,0,(AU78-AT78)/AT78*100)</f>
        <v>0</v>
      </c>
      <c r="BF78" s="754">
        <f>IF(AU78=0,0,(AV78-AU78)/AU78*100)</f>
        <v>0</v>
      </c>
      <c r="BG78" s="754">
        <f>IF(AV78=0,0,(AW78-AV78)/AV78*100)</f>
        <v>0</v>
      </c>
      <c r="BH78" s="754">
        <f>IF(AW78=0,0,(AX78-AW78)/AW78*100)</f>
        <v>0</v>
      </c>
      <c r="BI78" s="754">
        <f>IF(AX78=0,0,(AY78-AX78)/AX78*100)</f>
        <v>0</v>
      </c>
      <c r="BJ78" s="754">
        <f>IF(AY78=0,0,(AZ78-AY78)/AY78*100)</f>
        <v>0</v>
      </c>
      <c r="BK78" s="754">
        <f>IF(AZ78=0,0,(BA78-AZ78)/AZ78*100)</f>
        <v>0</v>
      </c>
      <c r="BL78" s="754">
        <f>IF(BA78=0,0,(BB78-BA78)/BA78*100)</f>
        <v>0</v>
      </c>
      <c r="BM78" s="754">
        <f>IF(BB78=0,0,(BC78-BB78)/BB78*100)</f>
        <v>0</v>
      </c>
      <c r="BN78" s="1216"/>
      <c r="BO78" s="1216"/>
      <c r="BP78" s="1216"/>
      <c r="BQ78" s="126"/>
      <c r="BR78" s="676"/>
      <c r="BS78" s="1047" t="s">
        <v>1878</v>
      </c>
      <c r="BT78" s="1047"/>
      <c r="BU78" s="1047"/>
      <c r="BV78" s="683"/>
      <c r="BW78" s="683"/>
    </row>
    <row s="676" customFormat="1" customHeight="1" ht="21.9375" hidden="1">
      <c r="A79" s="676"/>
      <c r="B79" s="407"/>
      <c r="C79" s="75"/>
      <c r="D79" s="75"/>
      <c r="E79" s="802">
        <v>22.5</v>
      </c>
      <c r="F79" s="50" cm="1" t="str">
        <f t="array" ref="F79:F79">OFFSET(E79,-1,1)</f>
        <v>0</v>
      </c>
      <c r="G79" s="340" cm="1" t="str">
        <f t="array" ref="G79:G79">F78</f>
        <v>0</v>
      </c>
      <c r="H79" s="73"/>
      <c r="I79" s="73" t="s">
        <v>452</v>
      </c>
      <c r="J79" s="75"/>
      <c r="K79" s="124" t="s">
        <v>452</v>
      </c>
      <c r="L79" s="962" t="s">
        <v>438</v>
      </c>
      <c r="M79" s="75"/>
      <c r="N79" s="75"/>
      <c r="O79" s="75"/>
      <c r="P79" s="75"/>
      <c r="Q79" s="75"/>
      <c r="R79" s="75"/>
      <c r="S79" s="75"/>
      <c r="T79" s="438" cm="1" t="str">
        <f t="array" ref="T79:T79">T78</f>
        <v>false</v>
      </c>
      <c r="U79" s="75"/>
      <c r="V79" s="75"/>
      <c r="W79" s="75"/>
      <c r="X79" s="1541"/>
      <c r="Y79" s="676"/>
      <c r="Z79" s="1494"/>
      <c r="AA79" s="676"/>
      <c r="AB79" s="177" t="s">
        <v>509</v>
      </c>
      <c r="AC79" s="327" t="s">
        <v>1879</v>
      </c>
      <c r="AD79" s="177" t="s">
        <v>789</v>
      </c>
      <c r="AE79" s="179">
        <f>SUM(AE80:AE90)</f>
        <v>0</v>
      </c>
      <c r="AF79" s="179">
        <f>SUM(AF80:AF90)</f>
        <v>0</v>
      </c>
      <c r="AG79" s="179">
        <f>SUM(AG80:AG90)</f>
        <v>0</v>
      </c>
      <c r="AH79" s="754">
        <f>AG79-AF79</f>
        <v>0</v>
      </c>
      <c r="AI79" s="179">
        <f>SUM(AI80:AI90)</f>
        <v>0</v>
      </c>
      <c r="AJ79" s="179">
        <f>SUM(AJ80:AJ90)</f>
        <v>0</v>
      </c>
      <c r="AK79" s="179">
        <f>SUM(AK80:AK90)</f>
        <v>0</v>
      </c>
      <c r="AL79" s="179">
        <f>SUM(AL80:AL90)</f>
        <v>0</v>
      </c>
      <c r="AM79" s="179">
        <f>SUM(AM80:AM90)</f>
        <v>0</v>
      </c>
      <c r="AN79" s="179">
        <f>SUM(AN80:AN90)</f>
        <v>0</v>
      </c>
      <c r="AO79" s="179">
        <f>SUM(AO80:AO90)</f>
        <v>0</v>
      </c>
      <c r="AP79" s="179">
        <f>SUM(AP80:AP90)</f>
        <v>0</v>
      </c>
      <c r="AQ79" s="179">
        <f>SUM(AQ80:AQ90)</f>
        <v>0</v>
      </c>
      <c r="AR79" s="179">
        <f>SUM(AR80:AR90)</f>
        <v>0</v>
      </c>
      <c r="AS79" s="179">
        <f>SUM(AS80:AS90)</f>
        <v>0</v>
      </c>
      <c r="AT79" s="179">
        <f>SUM(AT80:AT90)</f>
        <v>0</v>
      </c>
      <c r="AU79" s="179">
        <f>SUM(AU80:AU90)</f>
        <v>0</v>
      </c>
      <c r="AV79" s="179">
        <f>SUM(AV80:AV90)</f>
        <v>0</v>
      </c>
      <c r="AW79" s="179">
        <f>SUM(AW80:AW90)</f>
        <v>0</v>
      </c>
      <c r="AX79" s="179">
        <f>SUM(AX80:AX90)</f>
        <v>0</v>
      </c>
      <c r="AY79" s="179">
        <f>SUM(AY80:AY90)</f>
        <v>0</v>
      </c>
      <c r="AZ79" s="179">
        <f>SUM(AZ80:AZ90)</f>
        <v>0</v>
      </c>
      <c r="BA79" s="179">
        <f>SUM(BA80:BA90)</f>
        <v>0</v>
      </c>
      <c r="BB79" s="179">
        <f>SUM(BB80:BB90)</f>
        <v>0</v>
      </c>
      <c r="BC79" s="179">
        <f>SUM(BC80:BC90)</f>
        <v>0</v>
      </c>
      <c r="BD79" s="754">
        <f>IF(AI79=0,0,(AT79-AI79)/AI79*100)</f>
        <v>0</v>
      </c>
      <c r="BE79" s="754">
        <f>IF(AT79=0,0,(AU79-AT79)/AT79*100)</f>
        <v>0</v>
      </c>
      <c r="BF79" s="754">
        <f>IF(AU79=0,0,(AV79-AU79)/AU79*100)</f>
        <v>0</v>
      </c>
      <c r="BG79" s="754">
        <f>IF(AV79=0,0,(AW79-AV79)/AV79*100)</f>
        <v>0</v>
      </c>
      <c r="BH79" s="754">
        <f>IF(AW79=0,0,(AX79-AW79)/AW79*100)</f>
        <v>0</v>
      </c>
      <c r="BI79" s="754">
        <f>IF(AX79=0,0,(AY79-AX79)/AX79*100)</f>
        <v>0</v>
      </c>
      <c r="BJ79" s="754">
        <f>IF(AY79=0,0,(AZ79-AY79)/AY79*100)</f>
        <v>0</v>
      </c>
      <c r="BK79" s="754">
        <f>IF(AZ79=0,0,(BA79-AZ79)/AZ79*100)</f>
        <v>0</v>
      </c>
      <c r="BL79" s="754">
        <f>IF(BA79=0,0,(BB79-BA79)/BA79*100)</f>
        <v>0</v>
      </c>
      <c r="BM79" s="754">
        <f>IF(BB79=0,0,(BC79-BB79)/BB79*100)</f>
        <v>0</v>
      </c>
      <c r="BN79" s="1218"/>
      <c r="BO79" s="1218"/>
      <c r="BP79" s="1218"/>
      <c r="BQ79" s="676"/>
      <c r="BR79" s="676"/>
      <c r="BS79" s="1047" t="s">
        <v>1880</v>
      </c>
      <c r="BT79" s="1047"/>
      <c r="BU79" s="1047"/>
      <c r="BV79" s="683"/>
      <c r="BW79" s="683"/>
    </row>
    <row customHeight="1" ht="14.625" hidden="1">
      <c r="A80" s="1256"/>
      <c r="B80" s="955"/>
      <c r="C80" s="73"/>
      <c r="D80" s="73"/>
      <c r="E80" s="596">
        <v>15</v>
      </c>
      <c r="F80" s="50" cm="1" t="str">
        <f t="array" ref="F80:F80">OFFSET(E80,-1,1)</f>
        <v>0</v>
      </c>
      <c r="G80" s="73" t="s">
        <v>1023</v>
      </c>
      <c r="H80" s="73"/>
      <c r="I80" s="73" t="s">
        <v>1434</v>
      </c>
      <c r="J80" s="73"/>
      <c r="K80" s="124" t="s">
        <v>1434</v>
      </c>
      <c r="L80" s="957" t="s">
        <v>1211</v>
      </c>
      <c r="M80" s="73"/>
      <c r="N80" s="73"/>
      <c r="O80" s="73"/>
      <c r="P80" s="73"/>
      <c r="Q80" s="73"/>
      <c r="R80" s="73"/>
      <c r="S80" s="73"/>
      <c r="T80" s="438" cm="1" t="str">
        <f t="array" ref="T80:T80">T79</f>
        <v>false</v>
      </c>
      <c r="U80" s="73"/>
      <c r="V80" s="73"/>
      <c r="W80" s="73"/>
      <c r="X80" s="1541"/>
      <c r="Y80" s="1256"/>
      <c r="Z80" s="1494"/>
      <c r="AA80" s="1256"/>
      <c r="AB80" s="266" t="s">
        <v>460</v>
      </c>
      <c r="AC80" s="741" t="s">
        <v>1881</v>
      </c>
      <c r="AD80" s="266" t="s">
        <v>789</v>
      </c>
      <c r="AE80" s="1092">
        <f>_xlfn.SUMIFS(Покупка!AE$25:AE$87,Покупка!$F$25:$F$87,$F80,Покупка!$AC$25:$AC$87,$G80)</f>
        <v>0</v>
      </c>
      <c r="AF80" s="1092">
        <f>_xlfn.SUMIFS(Покупка!AF$25:AF$87,Покупка!$F$25:$F$87,$F80,Покупка!$AC$25:$AC$87,$G80)</f>
        <v>0</v>
      </c>
      <c r="AG80" s="1092">
        <f>_xlfn.SUMIFS(Покупка!AG$25:AG$87,Покупка!$F$25:$F$87,$F80,Покупка!$AC$25:$AC$87,$G80)</f>
        <v>0</v>
      </c>
      <c r="AH80" s="1092">
        <f>AG80-AF80</f>
        <v>0</v>
      </c>
      <c r="AI80" s="1092">
        <f>_xlfn.SUMIFS(Покупка!AH$25:AH$87,Покупка!$F$25:$F$87,$F80,Покупка!$AC$25:$AC$87,$G80)</f>
        <v>0</v>
      </c>
      <c r="AJ80" s="1092">
        <f>_xlfn.SUMIFS(Покупка!AI$25:AI$87,Покупка!$F$25:$F$87,$F80,Покупка!$AC$25:$AC$87,$G80)</f>
        <v>0</v>
      </c>
      <c r="AK80" s="1092">
        <f>_xlfn.SUMIFS(Покупка!AJ$25:AJ$87,Покупка!$F$25:$F$87,$F80,Покупка!$AC$25:$AC$87,$G80)</f>
        <v>0</v>
      </c>
      <c r="AL80" s="1092">
        <f>_xlfn.SUMIFS(Покупка!AK$25:AK$87,Покупка!$F$25:$F$87,$F80,Покупка!$AC$25:$AC$87,$G80)</f>
        <v>0</v>
      </c>
      <c r="AM80" s="1092">
        <f>_xlfn.SUMIFS(Покупка!AL$25:AL$87,Покупка!$F$25:$F$87,$F80,Покупка!$AC$25:$AC$87,$G80)</f>
        <v>0</v>
      </c>
      <c r="AN80" s="1092">
        <f>_xlfn.SUMIFS(Покупка!AM$25:AM$87,Покупка!$F$25:$F$87,$F80,Покупка!$AC$25:$AC$87,$G80)</f>
        <v>0</v>
      </c>
      <c r="AO80" s="1092">
        <f>_xlfn.SUMIFS(Покупка!AN$25:AN$87,Покупка!$F$25:$F$87,$F80,Покупка!$AC$25:$AC$87,$G80)</f>
        <v>0</v>
      </c>
      <c r="AP80" s="1092">
        <f>_xlfn.SUMIFS(Покупка!AO$25:AO$87,Покупка!$F$25:$F$87,$F80,Покупка!$AC$25:$AC$87,$G80)</f>
        <v>0</v>
      </c>
      <c r="AQ80" s="1092">
        <f>_xlfn.SUMIFS(Покупка!AP$25:AP$87,Покупка!$F$25:$F$87,$F80,Покупка!$AC$25:$AC$87,$G80)</f>
        <v>0</v>
      </c>
      <c r="AR80" s="1092">
        <f>_xlfn.SUMIFS(Покупка!AQ$25:AQ$87,Покупка!$F$25:$F$87,$F80,Покупка!$AC$25:$AC$87,$G80)</f>
        <v>0</v>
      </c>
      <c r="AS80" s="1092">
        <f>_xlfn.SUMIFS(Покупка!AR$25:AR$87,Покупка!$F$25:$F$87,$F80,Покупка!$AC$25:$AC$87,$G80)</f>
        <v>0</v>
      </c>
      <c r="AT80" s="1092">
        <f>_xlfn.SUMIFS(Покупка!AS$25:AS$87,Покупка!$F$25:$F$87,$F80,Покупка!$AC$25:$AC$87,$G80)</f>
        <v>0</v>
      </c>
      <c r="AU80" s="1092">
        <f>_xlfn.SUMIFS(Покупка!AT$25:AT$87,Покупка!$F$25:$F$87,$F80,Покупка!$AC$25:$AC$87,$G80)</f>
        <v>0</v>
      </c>
      <c r="AV80" s="1092">
        <f>_xlfn.SUMIFS(Покупка!AU$25:AU$87,Покупка!$F$25:$F$87,$F80,Покупка!$AC$25:$AC$87,$G80)</f>
        <v>0</v>
      </c>
      <c r="AW80" s="1092">
        <f>_xlfn.SUMIFS(Покупка!AV$25:AV$87,Покупка!$F$25:$F$87,$F80,Покупка!$AC$25:$AC$87,$G80)</f>
        <v>0</v>
      </c>
      <c r="AX80" s="1092">
        <f>_xlfn.SUMIFS(Покупка!AW$25:AW$87,Покупка!$F$25:$F$87,$F80,Покупка!$AC$25:$AC$87,$G80)</f>
        <v>0</v>
      </c>
      <c r="AY80" s="1092">
        <f>_xlfn.SUMIFS(Покупка!AX$25:AX$87,Покупка!$F$25:$F$87,$F80,Покупка!$AC$25:$AC$87,$G80)</f>
        <v>0</v>
      </c>
      <c r="AZ80" s="1092">
        <f>_xlfn.SUMIFS(Покупка!AY$25:AY$87,Покупка!$F$25:$F$87,$F80,Покупка!$AC$25:$AC$87,$G80)</f>
        <v>0</v>
      </c>
      <c r="BA80" s="1092">
        <f>_xlfn.SUMIFS(Покупка!AZ$25:AZ$87,Покупка!$F$25:$F$87,$F80,Покупка!$AC$25:$AC$87,$G80)</f>
        <v>0</v>
      </c>
      <c r="BB80" s="1092">
        <f>_xlfn.SUMIFS(Покупка!BA$25:BA$87,Покупка!$F$25:$F$87,$F80,Покупка!$AC$25:$AC$87,$G80)</f>
        <v>0</v>
      </c>
      <c r="BC80" s="1092">
        <f>_xlfn.SUMIFS(Покупка!BB$25:BB$87,Покупка!$F$25:$F$87,$F80,Покупка!$AC$25:$AC$87,$G80)</f>
        <v>0</v>
      </c>
      <c r="BD80" s="1092">
        <f>IF(AI80=0,0,(AT80-AI80)/AI80*100)</f>
        <v>0</v>
      </c>
      <c r="BE80" s="1092">
        <f>IF(AT80=0,0,(AU80-AT80)/AT80*100)</f>
        <v>0</v>
      </c>
      <c r="BF80" s="1092">
        <f>IF(AU80=0,0,(AV80-AU80)/AU80*100)</f>
        <v>0</v>
      </c>
      <c r="BG80" s="1092">
        <f>IF(AV80=0,0,(AW80-AV80)/AV80*100)</f>
        <v>0</v>
      </c>
      <c r="BH80" s="1092">
        <f>IF(AW80=0,0,(AX80-AW80)/AW80*100)</f>
        <v>0</v>
      </c>
      <c r="BI80" s="1092">
        <f>IF(AX80=0,0,(AY80-AX80)/AX80*100)</f>
        <v>0</v>
      </c>
      <c r="BJ80" s="1092">
        <f>IF(AY80=0,0,(AZ80-AY80)/AY80*100)</f>
        <v>0</v>
      </c>
      <c r="BK80" s="1092">
        <f>IF(AZ80=0,0,(BA80-AZ80)/AZ80*100)</f>
        <v>0</v>
      </c>
      <c r="BL80" s="1092">
        <f>IF(BA80=0,0,(BB80-BA80)/BA80*100)</f>
        <v>0</v>
      </c>
      <c r="BM80" s="1092">
        <f>IF(BB80=0,0,(BC80-BB80)/BB80*100)</f>
        <v>0</v>
      </c>
      <c r="BN80" s="1216"/>
      <c r="BO80" s="1220" t="str">
        <f>IF(_xlfn.IFERROR(INDEX(Покупка!$K$26:$L$87,MATCH($F80&amp;"6komm",Покупка!$K$26:$K$87,0),2),"")=0,"",_xlfn.IFERROR(INDEX(Покупка!$K$26:$L$87,MATCH($F80&amp;"6komm",Покупка!$K$26:$K$87,0),2),""))</f>
        <v/>
      </c>
      <c r="BP80" s="1216"/>
      <c r="BQ80" s="1256"/>
      <c r="BR80" s="1256"/>
      <c r="BS80" s="1041" t="s">
        <v>1024</v>
      </c>
      <c r="BT80" s="1041"/>
      <c r="BU80" s="1041"/>
      <c r="BV80" s="956"/>
      <c r="BW80" s="956"/>
    </row>
    <row customHeight="1" ht="14.625" hidden="1">
      <c r="A81" s="1256"/>
      <c r="B81" s="955"/>
      <c r="C81" s="73"/>
      <c r="D81" s="73"/>
      <c r="E81" s="596">
        <v>15</v>
      </c>
      <c r="F81" s="50" cm="1" t="str">
        <f t="array" ref="F81:F81">OFFSET(E81,-1,1)</f>
        <v>0</v>
      </c>
      <c r="G81" s="73" t="s">
        <v>1025</v>
      </c>
      <c r="H81" s="73"/>
      <c r="I81" s="73" t="s">
        <v>1438</v>
      </c>
      <c r="J81" s="73"/>
      <c r="K81" s="73" t="s">
        <v>1438</v>
      </c>
      <c r="L81" s="957" t="s">
        <v>1215</v>
      </c>
      <c r="M81" s="73"/>
      <c r="N81" s="73"/>
      <c r="O81" s="73"/>
      <c r="P81" s="73"/>
      <c r="Q81" s="73"/>
      <c r="R81" s="73"/>
      <c r="S81" s="73"/>
      <c r="T81" s="438" cm="1" t="str">
        <f t="array" ref="T81:T81">T80</f>
        <v>false</v>
      </c>
      <c r="U81" s="73"/>
      <c r="V81" s="73"/>
      <c r="W81" s="73"/>
      <c r="X81" s="1541"/>
      <c r="Y81" s="1256"/>
      <c r="Z81" s="1494"/>
      <c r="AA81" s="1256"/>
      <c r="AB81" s="266" t="s">
        <v>1882</v>
      </c>
      <c r="AC81" s="741" t="s">
        <v>1883</v>
      </c>
      <c r="AD81" s="266" t="s">
        <v>789</v>
      </c>
      <c r="AE81" s="1092">
        <f>_xlfn.SUMIFS(Покупка!AE$25:AE$87,Покупка!$F$25:$F$87,$F81,Покупка!$AC$25:$AC$87,$G81)</f>
        <v>0</v>
      </c>
      <c r="AF81" s="1092">
        <f>_xlfn.SUMIFS(Покупка!AF$25:AF$87,Покупка!$F$25:$F$87,$F81,Покупка!$AC$25:$AC$87,$G81)</f>
        <v>0</v>
      </c>
      <c r="AG81" s="1092">
        <f>_xlfn.SUMIFS(Покупка!AG$25:AG$87,Покупка!$F$25:$F$87,$F81,Покупка!$AC$25:$AC$87,$G81)</f>
        <v>0</v>
      </c>
      <c r="AH81" s="1092">
        <f>AG81-AF81</f>
        <v>0</v>
      </c>
      <c r="AI81" s="1092">
        <f>_xlfn.SUMIFS(Покупка!AH$25:AH$87,Покупка!$F$25:$F$87,$F81,Покупка!$AC$25:$AC$87,$G81)</f>
        <v>0</v>
      </c>
      <c r="AJ81" s="1092">
        <f>_xlfn.SUMIFS(Покупка!AI$25:AI$87,Покупка!$F$25:$F$87,$F81,Покупка!$AC$25:$AC$87,$G81)</f>
        <v>0</v>
      </c>
      <c r="AK81" s="1092">
        <f>_xlfn.SUMIFS(Покупка!AJ$25:AJ$87,Покупка!$F$25:$F$87,$F81,Покупка!$AC$25:$AC$87,$G81)</f>
        <v>0</v>
      </c>
      <c r="AL81" s="1092">
        <f>_xlfn.SUMIFS(Покупка!AK$25:AK$87,Покупка!$F$25:$F$87,$F81,Покупка!$AC$25:$AC$87,$G81)</f>
        <v>0</v>
      </c>
      <c r="AM81" s="1092">
        <f>_xlfn.SUMIFS(Покупка!AL$25:AL$87,Покупка!$F$25:$F$87,$F81,Покупка!$AC$25:$AC$87,$G81)</f>
        <v>0</v>
      </c>
      <c r="AN81" s="1092">
        <f>_xlfn.SUMIFS(Покупка!AM$25:AM$87,Покупка!$F$25:$F$87,$F81,Покупка!$AC$25:$AC$87,$G81)</f>
        <v>0</v>
      </c>
      <c r="AO81" s="1092">
        <f>_xlfn.SUMIFS(Покупка!AN$25:AN$87,Покупка!$F$25:$F$87,$F81,Покупка!$AC$25:$AC$87,$G81)</f>
        <v>0</v>
      </c>
      <c r="AP81" s="1092">
        <f>_xlfn.SUMIFS(Покупка!AO$25:AO$87,Покупка!$F$25:$F$87,$F81,Покупка!$AC$25:$AC$87,$G81)</f>
        <v>0</v>
      </c>
      <c r="AQ81" s="1092">
        <f>_xlfn.SUMIFS(Покупка!AP$25:AP$87,Покупка!$F$25:$F$87,$F81,Покупка!$AC$25:$AC$87,$G81)</f>
        <v>0</v>
      </c>
      <c r="AR81" s="1092">
        <f>_xlfn.SUMIFS(Покупка!AQ$25:AQ$87,Покупка!$F$25:$F$87,$F81,Покупка!$AC$25:$AC$87,$G81)</f>
        <v>0</v>
      </c>
      <c r="AS81" s="1092">
        <f>_xlfn.SUMIFS(Покупка!AR$25:AR$87,Покупка!$F$25:$F$87,$F81,Покупка!$AC$25:$AC$87,$G81)</f>
        <v>0</v>
      </c>
      <c r="AT81" s="1092">
        <f>_xlfn.SUMIFS(Покупка!AS$25:AS$87,Покупка!$F$25:$F$87,$F81,Покупка!$AC$25:$AC$87,$G81)</f>
        <v>0</v>
      </c>
      <c r="AU81" s="1092">
        <f>_xlfn.SUMIFS(Покупка!AT$25:AT$87,Покупка!$F$25:$F$87,$F81,Покупка!$AC$25:$AC$87,$G81)</f>
        <v>0</v>
      </c>
      <c r="AV81" s="1092">
        <f>_xlfn.SUMIFS(Покупка!AU$25:AU$87,Покупка!$F$25:$F$87,$F81,Покупка!$AC$25:$AC$87,$G81)</f>
        <v>0</v>
      </c>
      <c r="AW81" s="1092">
        <f>_xlfn.SUMIFS(Покупка!AV$25:AV$87,Покупка!$F$25:$F$87,$F81,Покупка!$AC$25:$AC$87,$G81)</f>
        <v>0</v>
      </c>
      <c r="AX81" s="1092">
        <f>_xlfn.SUMIFS(Покупка!AW$25:AW$87,Покупка!$F$25:$F$87,$F81,Покупка!$AC$25:$AC$87,$G81)</f>
        <v>0</v>
      </c>
      <c r="AY81" s="1092">
        <f>_xlfn.SUMIFS(Покупка!AX$25:AX$87,Покупка!$F$25:$F$87,$F81,Покупка!$AC$25:$AC$87,$G81)</f>
        <v>0</v>
      </c>
      <c r="AZ81" s="1092">
        <f>_xlfn.SUMIFS(Покупка!AY$25:AY$87,Покупка!$F$25:$F$87,$F81,Покупка!$AC$25:$AC$87,$G81)</f>
        <v>0</v>
      </c>
      <c r="BA81" s="1092">
        <f>_xlfn.SUMIFS(Покупка!AZ$25:AZ$87,Покупка!$F$25:$F$87,$F81,Покупка!$AC$25:$AC$87,$G81)</f>
        <v>0</v>
      </c>
      <c r="BB81" s="1092">
        <f>_xlfn.SUMIFS(Покупка!BA$25:BA$87,Покупка!$F$25:$F$87,$F81,Покупка!$AC$25:$AC$87,$G81)</f>
        <v>0</v>
      </c>
      <c r="BC81" s="1092">
        <f>_xlfn.SUMIFS(Покупка!BB$25:BB$87,Покупка!$F$25:$F$87,$F81,Покупка!$AC$25:$AC$87,$G81)</f>
        <v>0</v>
      </c>
      <c r="BD81" s="1092">
        <f>IF(AI81=0,0,(AT81-AI81)/AI81*100)</f>
        <v>0</v>
      </c>
      <c r="BE81" s="1092">
        <f>IF(AT81=0,0,(AU81-AT81)/AT81*100)</f>
        <v>0</v>
      </c>
      <c r="BF81" s="1092">
        <f>IF(AU81=0,0,(AV81-AU81)/AU81*100)</f>
        <v>0</v>
      </c>
      <c r="BG81" s="1092">
        <f>IF(AV81=0,0,(AW81-AV81)/AV81*100)</f>
        <v>0</v>
      </c>
      <c r="BH81" s="1092">
        <f>IF(AW81=0,0,(AX81-AW81)/AW81*100)</f>
        <v>0</v>
      </c>
      <c r="BI81" s="1092">
        <f>IF(AX81=0,0,(AY81-AX81)/AX81*100)</f>
        <v>0</v>
      </c>
      <c r="BJ81" s="1092">
        <f>IF(AY81=0,0,(AZ81-AY81)/AY81*100)</f>
        <v>0</v>
      </c>
      <c r="BK81" s="1092">
        <f>IF(AZ81=0,0,(BA81-AZ81)/AZ81*100)</f>
        <v>0</v>
      </c>
      <c r="BL81" s="1092">
        <f>IF(BA81=0,0,(BB81-BA81)/BA81*100)</f>
        <v>0</v>
      </c>
      <c r="BM81" s="1092">
        <f>IF(BB81=0,0,(BC81-BB81)/BB81*100)</f>
        <v>0</v>
      </c>
      <c r="BN81" s="1216"/>
      <c r="BO81" s="1220" t="str">
        <f>IF(_xlfn.IFERROR(INDEX(Покупка!$K$26:$L$87,MATCH($F81&amp;"7komm",Покупка!$K$26:$K$87,0),2),"")=0,"",_xlfn.IFERROR(INDEX(Покупка!$K$26:$L$87,MATCH($F81&amp;"7komm",Покупка!$K$26:$K$87,0),2),""))</f>
        <v/>
      </c>
      <c r="BP81" s="1216"/>
      <c r="BQ81" s="1256"/>
      <c r="BR81" s="1256"/>
      <c r="BS81" s="1041" t="s">
        <v>1026</v>
      </c>
      <c r="BT81" s="1041"/>
      <c r="BU81" s="1041"/>
      <c r="BV81" s="956"/>
      <c r="BW81" s="956"/>
    </row>
    <row customHeight="1" ht="14.625" hidden="1">
      <c r="A82" s="1256"/>
      <c r="B82" s="955"/>
      <c r="C82" s="73"/>
      <c r="D82" s="73"/>
      <c r="E82" s="596">
        <v>15</v>
      </c>
      <c r="F82" s="50" cm="1" t="str">
        <f t="array" ref="F82:F82">OFFSET(E82,-1,1)</f>
        <v>0</v>
      </c>
      <c r="G82" s="73" t="s">
        <v>1000</v>
      </c>
      <c r="H82" s="73"/>
      <c r="I82" s="73" t="s">
        <v>1513</v>
      </c>
      <c r="J82" s="73"/>
      <c r="K82" s="73" t="s">
        <v>1513</v>
      </c>
      <c r="L82" s="957" t="s">
        <v>1383</v>
      </c>
      <c r="M82" s="73"/>
      <c r="N82" s="73"/>
      <c r="O82" s="73"/>
      <c r="P82" s="73"/>
      <c r="Q82" s="73"/>
      <c r="R82" s="73"/>
      <c r="S82" s="73"/>
      <c r="T82" s="438" cm="1" t="str">
        <f t="array" ref="T82:T82">T81</f>
        <v>false</v>
      </c>
      <c r="U82" s="73"/>
      <c r="V82" s="73"/>
      <c r="W82" s="73"/>
      <c r="X82" s="1541"/>
      <c r="Y82" s="1256"/>
      <c r="Z82" s="1494"/>
      <c r="AA82" s="1256"/>
      <c r="AB82" s="266" t="s">
        <v>1884</v>
      </c>
      <c r="AC82" s="741" t="s">
        <v>1885</v>
      </c>
      <c r="AD82" s="266" t="s">
        <v>789</v>
      </c>
      <c r="AE82" s="1092">
        <f>_xlfn.SUMIFS(Покупка!AE$25:AE$87,Покупка!$F$25:$F$87,$F82,Покупка!$AC$25:$AC$87,$G82)</f>
        <v>0</v>
      </c>
      <c r="AF82" s="1092">
        <f>_xlfn.SUMIFS(Покупка!AF$25:AF$87,Покупка!$F$25:$F$87,$F82,Покупка!$AC$25:$AC$87,$G82)</f>
        <v>0</v>
      </c>
      <c r="AG82" s="1092">
        <f>_xlfn.SUMIFS(Покупка!AG$25:AG$87,Покупка!$F$25:$F$87,$F82,Покупка!$AC$25:$AC$87,$G82)</f>
        <v>0</v>
      </c>
      <c r="AH82" s="1092">
        <f>AG82-AF82</f>
        <v>0</v>
      </c>
      <c r="AI82" s="1092">
        <f>_xlfn.SUMIFS(Покупка!AH$25:AH$87,Покупка!$F$25:$F$87,$F82,Покупка!$AC$25:$AC$87,$G82)</f>
        <v>0</v>
      </c>
      <c r="AJ82" s="1092">
        <f>_xlfn.SUMIFS(Покупка!AI$25:AI$87,Покупка!$F$25:$F$87,$F82,Покупка!$AC$25:$AC$87,$G82)</f>
        <v>0</v>
      </c>
      <c r="AK82" s="1092">
        <f>_xlfn.SUMIFS(Покупка!AJ$25:AJ$87,Покупка!$F$25:$F$87,$F82,Покупка!$AC$25:$AC$87,$G82)</f>
        <v>0</v>
      </c>
      <c r="AL82" s="1092">
        <f>_xlfn.SUMIFS(Покупка!AK$25:AK$87,Покупка!$F$25:$F$87,$F82,Покупка!$AC$25:$AC$87,$G82)</f>
        <v>0</v>
      </c>
      <c r="AM82" s="1092">
        <f>_xlfn.SUMIFS(Покупка!AL$25:AL$87,Покупка!$F$25:$F$87,$F82,Покупка!$AC$25:$AC$87,$G82)</f>
        <v>0</v>
      </c>
      <c r="AN82" s="1092">
        <f>_xlfn.SUMIFS(Покупка!AM$25:AM$87,Покупка!$F$25:$F$87,$F82,Покупка!$AC$25:$AC$87,$G82)</f>
        <v>0</v>
      </c>
      <c r="AO82" s="1092">
        <f>_xlfn.SUMIFS(Покупка!AN$25:AN$87,Покупка!$F$25:$F$87,$F82,Покупка!$AC$25:$AC$87,$G82)</f>
        <v>0</v>
      </c>
      <c r="AP82" s="1092">
        <f>_xlfn.SUMIFS(Покупка!AO$25:AO$87,Покупка!$F$25:$F$87,$F82,Покупка!$AC$25:$AC$87,$G82)</f>
        <v>0</v>
      </c>
      <c r="AQ82" s="1092">
        <f>_xlfn.SUMIFS(Покупка!AP$25:AP$87,Покупка!$F$25:$F$87,$F82,Покупка!$AC$25:$AC$87,$G82)</f>
        <v>0</v>
      </c>
      <c r="AR82" s="1092">
        <f>_xlfn.SUMIFS(Покупка!AQ$25:AQ$87,Покупка!$F$25:$F$87,$F82,Покупка!$AC$25:$AC$87,$G82)</f>
        <v>0</v>
      </c>
      <c r="AS82" s="1092">
        <f>_xlfn.SUMIFS(Покупка!AR$25:AR$87,Покупка!$F$25:$F$87,$F82,Покупка!$AC$25:$AC$87,$G82)</f>
        <v>0</v>
      </c>
      <c r="AT82" s="1092">
        <f>_xlfn.SUMIFS(Покупка!AS$25:AS$87,Покупка!$F$25:$F$87,$F82,Покупка!$AC$25:$AC$87,$G82)</f>
        <v>0</v>
      </c>
      <c r="AU82" s="1092">
        <f>_xlfn.SUMIFS(Покупка!AT$25:AT$87,Покупка!$F$25:$F$87,$F82,Покупка!$AC$25:$AC$87,$G82)</f>
        <v>0</v>
      </c>
      <c r="AV82" s="1092">
        <f>_xlfn.SUMIFS(Покупка!AU$25:AU$87,Покупка!$F$25:$F$87,$F82,Покупка!$AC$25:$AC$87,$G82)</f>
        <v>0</v>
      </c>
      <c r="AW82" s="1092">
        <f>_xlfn.SUMIFS(Покупка!AV$25:AV$87,Покупка!$F$25:$F$87,$F82,Покупка!$AC$25:$AC$87,$G82)</f>
        <v>0</v>
      </c>
      <c r="AX82" s="1092">
        <f>_xlfn.SUMIFS(Покупка!AW$25:AW$87,Покупка!$F$25:$F$87,$F82,Покупка!$AC$25:$AC$87,$G82)</f>
        <v>0</v>
      </c>
      <c r="AY82" s="1092">
        <f>_xlfn.SUMIFS(Покупка!AX$25:AX$87,Покупка!$F$25:$F$87,$F82,Покупка!$AC$25:$AC$87,$G82)</f>
        <v>0</v>
      </c>
      <c r="AZ82" s="1092">
        <f>_xlfn.SUMIFS(Покупка!AY$25:AY$87,Покупка!$F$25:$F$87,$F82,Покупка!$AC$25:$AC$87,$G82)</f>
        <v>0</v>
      </c>
      <c r="BA82" s="1092">
        <f>_xlfn.SUMIFS(Покупка!AZ$25:AZ$87,Покупка!$F$25:$F$87,$F82,Покупка!$AC$25:$AC$87,$G82)</f>
        <v>0</v>
      </c>
      <c r="BB82" s="1092">
        <f>_xlfn.SUMIFS(Покупка!BA$25:BA$87,Покупка!$F$25:$F$87,$F82,Покупка!$AC$25:$AC$87,$G82)</f>
        <v>0</v>
      </c>
      <c r="BC82" s="1092">
        <f>_xlfn.SUMIFS(Покупка!BB$25:BB$87,Покупка!$F$25:$F$87,$F82,Покупка!$AC$25:$AC$87,$G82)</f>
        <v>0</v>
      </c>
      <c r="BD82" s="1092">
        <f>IF(AI82=0,0,(AT82-AI82)/AI82*100)</f>
        <v>0</v>
      </c>
      <c r="BE82" s="1092">
        <f>IF(AT82=0,0,(AU82-AT82)/AT82*100)</f>
        <v>0</v>
      </c>
      <c r="BF82" s="1092">
        <f>IF(AU82=0,0,(AV82-AU82)/AU82*100)</f>
        <v>0</v>
      </c>
      <c r="BG82" s="1092">
        <f>IF(AV82=0,0,(AW82-AV82)/AV82*100)</f>
        <v>0</v>
      </c>
      <c r="BH82" s="1092">
        <f>IF(AW82=0,0,(AX82-AW82)/AW82*100)</f>
        <v>0</v>
      </c>
      <c r="BI82" s="1092">
        <f>IF(AX82=0,0,(AY82-AX82)/AX82*100)</f>
        <v>0</v>
      </c>
      <c r="BJ82" s="1092">
        <f>IF(AY82=0,0,(AZ82-AY82)/AY82*100)</f>
        <v>0</v>
      </c>
      <c r="BK82" s="1092">
        <f>IF(AZ82=0,0,(BA82-AZ82)/AZ82*100)</f>
        <v>0</v>
      </c>
      <c r="BL82" s="1092">
        <f>IF(BA82=0,0,(BB82-BA82)/BA82*100)</f>
        <v>0</v>
      </c>
      <c r="BM82" s="1092">
        <f>IF(BB82=0,0,(BC82-BB82)/BB82*100)</f>
        <v>0</v>
      </c>
      <c r="BN82" s="1216"/>
      <c r="BO82" s="1220" t="str">
        <f>IF(_xlfn.IFERROR(INDEX(Покупка!$K$26:$L$87,MATCH($F82&amp;"2komm",Покупка!$K$26:$K$87,0),2),"")=0,"",_xlfn.IFERROR(INDEX(Покупка!$K$26:$L$87,MATCH($F82&amp;"2komm",Покупка!$K$26:$K$87,0),2),""))</f>
        <v/>
      </c>
      <c r="BP82" s="1216"/>
      <c r="BQ82" s="1256"/>
      <c r="BR82" s="1256"/>
      <c r="BS82" s="1041" t="s">
        <v>1886</v>
      </c>
      <c r="BT82" s="1041"/>
      <c r="BU82" s="1041"/>
      <c r="BV82" s="956"/>
      <c r="BW82" s="956"/>
    </row>
    <row customHeight="1" ht="14.625" hidden="1">
      <c r="A83" s="1256"/>
      <c r="B83" s="955"/>
      <c r="C83" s="73"/>
      <c r="D83" s="73"/>
      <c r="E83" s="596">
        <v>15</v>
      </c>
      <c r="F83" s="50" cm="1" t="str">
        <f t="array" ref="F83:F83">OFFSET(E83,-1,1)</f>
        <v>0</v>
      </c>
      <c r="G83" s="73" t="s">
        <v>991</v>
      </c>
      <c r="H83" s="73"/>
      <c r="I83" s="73" t="s">
        <v>1515</v>
      </c>
      <c r="J83" s="73"/>
      <c r="K83" s="73" t="s">
        <v>1515</v>
      </c>
      <c r="L83" s="957" t="s">
        <v>1378</v>
      </c>
      <c r="M83" s="73"/>
      <c r="N83" s="73"/>
      <c r="O83" s="73"/>
      <c r="P83" s="73"/>
      <c r="Q83" s="73"/>
      <c r="R83" s="73"/>
      <c r="S83" s="73"/>
      <c r="T83" s="438" cm="1" t="str">
        <f t="array" ref="T83:T83">T82</f>
        <v>false</v>
      </c>
      <c r="U83" s="73"/>
      <c r="V83" s="73"/>
      <c r="W83" s="73"/>
      <c r="X83" s="1541"/>
      <c r="Y83" s="1256"/>
      <c r="Z83" s="1494"/>
      <c r="AA83" s="1256"/>
      <c r="AB83" s="266" t="s">
        <v>1887</v>
      </c>
      <c r="AC83" s="741" t="s">
        <v>1888</v>
      </c>
      <c r="AD83" s="266" t="s">
        <v>789</v>
      </c>
      <c r="AE83" s="1092">
        <f>_xlfn.SUMIFS(Покупка!AE$25:AE$87,Покупка!$F$25:$F$87,$F83,Покупка!$AC$25:$AC$87,$G83)</f>
        <v>0</v>
      </c>
      <c r="AF83" s="1092">
        <f>_xlfn.SUMIFS(Покупка!AF$25:AF$87,Покупка!$F$25:$F$87,$F83,Покупка!$AC$25:$AC$87,$G83)</f>
        <v>0</v>
      </c>
      <c r="AG83" s="1092">
        <f>_xlfn.SUMIFS(Покупка!AG$25:AG$87,Покупка!$F$25:$F$87,$F83,Покупка!$AC$25:$AC$87,$G83)</f>
        <v>0</v>
      </c>
      <c r="AH83" s="1092">
        <f>AG83-AF83</f>
        <v>0</v>
      </c>
      <c r="AI83" s="1092">
        <f>_xlfn.SUMIFS(Покупка!AH$25:AH$87,Покупка!$F$25:$F$87,$F83,Покупка!$AC$25:$AC$87,$G83)</f>
        <v>0</v>
      </c>
      <c r="AJ83" s="1092">
        <f>_xlfn.SUMIFS(Покупка!AI$25:AI$87,Покупка!$F$25:$F$87,$F83,Покупка!$AC$25:$AC$87,$G83)</f>
        <v>0</v>
      </c>
      <c r="AK83" s="1092">
        <f>_xlfn.SUMIFS(Покупка!AJ$25:AJ$87,Покупка!$F$25:$F$87,$F83,Покупка!$AC$25:$AC$87,$G83)</f>
        <v>0</v>
      </c>
      <c r="AL83" s="1092">
        <f>_xlfn.SUMIFS(Покупка!AK$25:AK$87,Покупка!$F$25:$F$87,$F83,Покупка!$AC$25:$AC$87,$G83)</f>
        <v>0</v>
      </c>
      <c r="AM83" s="1092">
        <f>_xlfn.SUMIFS(Покупка!AL$25:AL$87,Покупка!$F$25:$F$87,$F83,Покупка!$AC$25:$AC$87,$G83)</f>
        <v>0</v>
      </c>
      <c r="AN83" s="1092">
        <f>_xlfn.SUMIFS(Покупка!AM$25:AM$87,Покупка!$F$25:$F$87,$F83,Покупка!$AC$25:$AC$87,$G83)</f>
        <v>0</v>
      </c>
      <c r="AO83" s="1092">
        <f>_xlfn.SUMIFS(Покупка!AN$25:AN$87,Покупка!$F$25:$F$87,$F83,Покупка!$AC$25:$AC$87,$G83)</f>
        <v>0</v>
      </c>
      <c r="AP83" s="1092">
        <f>_xlfn.SUMIFS(Покупка!AO$25:AO$87,Покупка!$F$25:$F$87,$F83,Покупка!$AC$25:$AC$87,$G83)</f>
        <v>0</v>
      </c>
      <c r="AQ83" s="1092">
        <f>_xlfn.SUMIFS(Покупка!AP$25:AP$87,Покупка!$F$25:$F$87,$F83,Покупка!$AC$25:$AC$87,$G83)</f>
        <v>0</v>
      </c>
      <c r="AR83" s="1092">
        <f>_xlfn.SUMIFS(Покупка!AQ$25:AQ$87,Покупка!$F$25:$F$87,$F83,Покупка!$AC$25:$AC$87,$G83)</f>
        <v>0</v>
      </c>
      <c r="AS83" s="1092">
        <f>_xlfn.SUMIFS(Покупка!AR$25:AR$87,Покупка!$F$25:$F$87,$F83,Покупка!$AC$25:$AC$87,$G83)</f>
        <v>0</v>
      </c>
      <c r="AT83" s="1092">
        <f>_xlfn.SUMIFS(Покупка!AS$25:AS$87,Покупка!$F$25:$F$87,$F83,Покупка!$AC$25:$AC$87,$G83)</f>
        <v>0</v>
      </c>
      <c r="AU83" s="1092">
        <f>_xlfn.SUMIFS(Покупка!AT$25:AT$87,Покупка!$F$25:$F$87,$F83,Покупка!$AC$25:$AC$87,$G83)</f>
        <v>0</v>
      </c>
      <c r="AV83" s="1092">
        <f>_xlfn.SUMIFS(Покупка!AU$25:AU$87,Покупка!$F$25:$F$87,$F83,Покупка!$AC$25:$AC$87,$G83)</f>
        <v>0</v>
      </c>
      <c r="AW83" s="1092">
        <f>_xlfn.SUMIFS(Покупка!AV$25:AV$87,Покупка!$F$25:$F$87,$F83,Покупка!$AC$25:$AC$87,$G83)</f>
        <v>0</v>
      </c>
      <c r="AX83" s="1092">
        <f>_xlfn.SUMIFS(Покупка!AW$25:AW$87,Покупка!$F$25:$F$87,$F83,Покупка!$AC$25:$AC$87,$G83)</f>
        <v>0</v>
      </c>
      <c r="AY83" s="1092">
        <f>_xlfn.SUMIFS(Покупка!AX$25:AX$87,Покупка!$F$25:$F$87,$F83,Покупка!$AC$25:$AC$87,$G83)</f>
        <v>0</v>
      </c>
      <c r="AZ83" s="1092">
        <f>_xlfn.SUMIFS(Покупка!AY$25:AY$87,Покупка!$F$25:$F$87,$F83,Покупка!$AC$25:$AC$87,$G83)</f>
        <v>0</v>
      </c>
      <c r="BA83" s="1092">
        <f>_xlfn.SUMIFS(Покупка!AZ$25:AZ$87,Покупка!$F$25:$F$87,$F83,Покупка!$AC$25:$AC$87,$G83)</f>
        <v>0</v>
      </c>
      <c r="BB83" s="1092">
        <f>_xlfn.SUMIFS(Покупка!BA$25:BA$87,Покупка!$F$25:$F$87,$F83,Покупка!$AC$25:$AC$87,$G83)</f>
        <v>0</v>
      </c>
      <c r="BC83" s="1092">
        <f>_xlfn.SUMIFS(Покупка!BB$25:BB$87,Покупка!$F$25:$F$87,$F83,Покупка!$AC$25:$AC$87,$G83)</f>
        <v>0</v>
      </c>
      <c r="BD83" s="1092">
        <f>IF(AI83=0,0,(AT83-AI83)/AI83*100)</f>
        <v>0</v>
      </c>
      <c r="BE83" s="1092">
        <f>IF(AT83=0,0,(AU83-AT83)/AT83*100)</f>
        <v>0</v>
      </c>
      <c r="BF83" s="1092">
        <f>IF(AU83=0,0,(AV83-AU83)/AU83*100)</f>
        <v>0</v>
      </c>
      <c r="BG83" s="1092">
        <f>IF(AV83=0,0,(AW83-AV83)/AV83*100)</f>
        <v>0</v>
      </c>
      <c r="BH83" s="1092">
        <f>IF(AW83=0,0,(AX83-AW83)/AW83*100)</f>
        <v>0</v>
      </c>
      <c r="BI83" s="1092">
        <f>IF(AX83=0,0,(AY83-AX83)/AX83*100)</f>
        <v>0</v>
      </c>
      <c r="BJ83" s="1092">
        <f>IF(AY83=0,0,(AZ83-AY83)/AY83*100)</f>
        <v>0</v>
      </c>
      <c r="BK83" s="1092">
        <f>IF(AZ83=0,0,(BA83-AZ83)/AZ83*100)</f>
        <v>0</v>
      </c>
      <c r="BL83" s="1092">
        <f>IF(BA83=0,0,(BB83-BA83)/BA83*100)</f>
        <v>0</v>
      </c>
      <c r="BM83" s="1092">
        <f>IF(BB83=0,0,(BC83-BB83)/BB83*100)</f>
        <v>0</v>
      </c>
      <c r="BN83" s="1216"/>
      <c r="BO83" s="1220" t="str">
        <f>IF(_xlfn.IFERROR(INDEX(Покупка!$K$26:$L$87,MATCH($F83&amp;"1komm",Покупка!$K$26:$K$87,0),2),"")=0,"",_xlfn.IFERROR(INDEX(Покупка!$K$26:$L$87,MATCH($F83&amp;"1komm",Покупка!$K$26:$K$87,0),2),""))</f>
        <v/>
      </c>
      <c r="BP83" s="1216"/>
      <c r="BQ83" s="1256"/>
      <c r="BR83" s="1256"/>
      <c r="BS83" s="1041" t="s">
        <v>1889</v>
      </c>
      <c r="BT83" s="1041"/>
      <c r="BU83" s="1041"/>
      <c r="BV83" s="956"/>
      <c r="BW83" s="956"/>
    </row>
    <row customHeight="1" ht="14.625" hidden="1">
      <c r="A84" s="1256"/>
      <c r="B84" s="955"/>
      <c r="C84" s="73"/>
      <c r="D84" s="73"/>
      <c r="E84" s="596">
        <v>15</v>
      </c>
      <c r="F84" s="50" cm="1" t="str">
        <f t="array" ref="F84:F84">OFFSET(E84,-1,1)</f>
        <v>0</v>
      </c>
      <c r="G84" s="73" t="s">
        <v>1027</v>
      </c>
      <c r="H84" s="73"/>
      <c r="I84" s="73" t="s">
        <v>1518</v>
      </c>
      <c r="J84" s="73"/>
      <c r="K84" s="73" t="s">
        <v>1518</v>
      </c>
      <c r="L84" s="957"/>
      <c r="M84" s="73"/>
      <c r="N84" s="73"/>
      <c r="O84" s="73"/>
      <c r="P84" s="73"/>
      <c r="Q84" s="73"/>
      <c r="R84" s="73"/>
      <c r="S84" s="73"/>
      <c r="T84" s="438" cm="1" t="str">
        <f t="array" ref="T84:T84">T83</f>
        <v>false</v>
      </c>
      <c r="U84" s="73"/>
      <c r="V84" s="73"/>
      <c r="W84" s="73"/>
      <c r="X84" s="1541"/>
      <c r="Y84" s="1256"/>
      <c r="Z84" s="1494"/>
      <c r="AA84" s="1256"/>
      <c r="AB84" s="266" t="s">
        <v>1890</v>
      </c>
      <c r="AC84" s="741" t="s">
        <v>1891</v>
      </c>
      <c r="AD84" s="266" t="s">
        <v>789</v>
      </c>
      <c r="AE84" s="1092">
        <f>_xlfn.SUMIFS(Покупка!AE$25:AE$87,Покупка!$F$25:$F$87,$F84,Покупка!$AC$25:$AC$87,$G84)</f>
        <v>0</v>
      </c>
      <c r="AF84" s="1092">
        <f>_xlfn.SUMIFS(Покупка!AF$25:AF$87,Покупка!$F$25:$F$87,$F84,Покупка!$AC$25:$AC$87,$G84)</f>
        <v>0</v>
      </c>
      <c r="AG84" s="1092">
        <f>_xlfn.SUMIFS(Покупка!AG$25:AG$87,Покупка!$F$25:$F$87,$F84,Покупка!$AC$25:$AC$87,$G84)</f>
        <v>0</v>
      </c>
      <c r="AH84" s="1092">
        <f>AG84-AF84</f>
        <v>0</v>
      </c>
      <c r="AI84" s="1092">
        <f>_xlfn.SUMIFS(Покупка!AH$25:AH$87,Покупка!$F$25:$F$87,$F84,Покупка!$AC$25:$AC$87,$G84)</f>
        <v>0</v>
      </c>
      <c r="AJ84" s="1092">
        <f>_xlfn.SUMIFS(Покупка!AI$25:AI$87,Покупка!$F$25:$F$87,$F84,Покупка!$AC$25:$AC$87,$G84)</f>
        <v>0</v>
      </c>
      <c r="AK84" s="1092">
        <f>_xlfn.SUMIFS(Покупка!AJ$25:AJ$87,Покупка!$F$25:$F$87,$F84,Покупка!$AC$25:$AC$87,$G84)</f>
        <v>0</v>
      </c>
      <c r="AL84" s="1092">
        <f>_xlfn.SUMIFS(Покупка!AK$25:AK$87,Покупка!$F$25:$F$87,$F84,Покупка!$AC$25:$AC$87,$G84)</f>
        <v>0</v>
      </c>
      <c r="AM84" s="1092">
        <f>_xlfn.SUMIFS(Покупка!AL$25:AL$87,Покупка!$F$25:$F$87,$F84,Покупка!$AC$25:$AC$87,$G84)</f>
        <v>0</v>
      </c>
      <c r="AN84" s="1092">
        <f>_xlfn.SUMIFS(Покупка!AM$25:AM$87,Покупка!$F$25:$F$87,$F84,Покупка!$AC$25:$AC$87,$G84)</f>
        <v>0</v>
      </c>
      <c r="AO84" s="1092">
        <f>_xlfn.SUMIFS(Покупка!AN$25:AN$87,Покупка!$F$25:$F$87,$F84,Покупка!$AC$25:$AC$87,$G84)</f>
        <v>0</v>
      </c>
      <c r="AP84" s="1092">
        <f>_xlfn.SUMIFS(Покупка!AO$25:AO$87,Покупка!$F$25:$F$87,$F84,Покупка!$AC$25:$AC$87,$G84)</f>
        <v>0</v>
      </c>
      <c r="AQ84" s="1092">
        <f>_xlfn.SUMIFS(Покупка!AP$25:AP$87,Покупка!$F$25:$F$87,$F84,Покупка!$AC$25:$AC$87,$G84)</f>
        <v>0</v>
      </c>
      <c r="AR84" s="1092">
        <f>_xlfn.SUMIFS(Покупка!AQ$25:AQ$87,Покупка!$F$25:$F$87,$F84,Покупка!$AC$25:$AC$87,$G84)</f>
        <v>0</v>
      </c>
      <c r="AS84" s="1092">
        <f>_xlfn.SUMIFS(Покупка!AR$25:AR$87,Покупка!$F$25:$F$87,$F84,Покупка!$AC$25:$AC$87,$G84)</f>
        <v>0</v>
      </c>
      <c r="AT84" s="1092">
        <f>_xlfn.SUMIFS(Покупка!AS$25:AS$87,Покупка!$F$25:$F$87,$F84,Покупка!$AC$25:$AC$87,$G84)</f>
        <v>0</v>
      </c>
      <c r="AU84" s="1092">
        <f>_xlfn.SUMIFS(Покупка!AT$25:AT$87,Покупка!$F$25:$F$87,$F84,Покупка!$AC$25:$AC$87,$G84)</f>
        <v>0</v>
      </c>
      <c r="AV84" s="1092">
        <f>_xlfn.SUMIFS(Покупка!AU$25:AU$87,Покупка!$F$25:$F$87,$F84,Покупка!$AC$25:$AC$87,$G84)</f>
        <v>0</v>
      </c>
      <c r="AW84" s="1092">
        <f>_xlfn.SUMIFS(Покупка!AV$25:AV$87,Покупка!$F$25:$F$87,$F84,Покупка!$AC$25:$AC$87,$G84)</f>
        <v>0</v>
      </c>
      <c r="AX84" s="1092">
        <f>_xlfn.SUMIFS(Покупка!AW$25:AW$87,Покупка!$F$25:$F$87,$F84,Покупка!$AC$25:$AC$87,$G84)</f>
        <v>0</v>
      </c>
      <c r="AY84" s="1092">
        <f>_xlfn.SUMIFS(Покупка!AX$25:AX$87,Покупка!$F$25:$F$87,$F84,Покупка!$AC$25:$AC$87,$G84)</f>
        <v>0</v>
      </c>
      <c r="AZ84" s="1092">
        <f>_xlfn.SUMIFS(Покупка!AY$25:AY$87,Покупка!$F$25:$F$87,$F84,Покупка!$AC$25:$AC$87,$G84)</f>
        <v>0</v>
      </c>
      <c r="BA84" s="1092">
        <f>_xlfn.SUMIFS(Покупка!AZ$25:AZ$87,Покупка!$F$25:$F$87,$F84,Покупка!$AC$25:$AC$87,$G84)</f>
        <v>0</v>
      </c>
      <c r="BB84" s="1092">
        <f>_xlfn.SUMIFS(Покупка!BA$25:BA$87,Покупка!$F$25:$F$87,$F84,Покупка!$AC$25:$AC$87,$G84)</f>
        <v>0</v>
      </c>
      <c r="BC84" s="1092">
        <f>_xlfn.SUMIFS(Покупка!BB$25:BB$87,Покупка!$F$25:$F$87,$F84,Покупка!$AC$25:$AC$87,$G84)</f>
        <v>0</v>
      </c>
      <c r="BD84" s="1092">
        <f>IF(AI84=0,0,(AT84-AI84)/AI84*100)</f>
        <v>0</v>
      </c>
      <c r="BE84" s="1092">
        <f>IF(AT84=0,0,(AU84-AT84)/AT84*100)</f>
        <v>0</v>
      </c>
      <c r="BF84" s="1092">
        <f>IF(AU84=0,0,(AV84-AU84)/AU84*100)</f>
        <v>0</v>
      </c>
      <c r="BG84" s="1092">
        <f>IF(AV84=0,0,(AW84-AV84)/AV84*100)</f>
        <v>0</v>
      </c>
      <c r="BH84" s="1092">
        <f>IF(AW84=0,0,(AX84-AW84)/AW84*100)</f>
        <v>0</v>
      </c>
      <c r="BI84" s="1092">
        <f>IF(AX84=0,0,(AY84-AX84)/AX84*100)</f>
        <v>0</v>
      </c>
      <c r="BJ84" s="1092">
        <f>IF(AY84=0,0,(AZ84-AY84)/AY84*100)</f>
        <v>0</v>
      </c>
      <c r="BK84" s="1092">
        <f>IF(AZ84=0,0,(BA84-AZ84)/AZ84*100)</f>
        <v>0</v>
      </c>
      <c r="BL84" s="1092">
        <f>IF(BA84=0,0,(BB84-BA84)/BA84*100)</f>
        <v>0</v>
      </c>
      <c r="BM84" s="1092">
        <f>IF(BB84=0,0,(BC84-BB84)/BB84*100)</f>
        <v>0</v>
      </c>
      <c r="BN84" s="1216"/>
      <c r="BO84" s="1220" t="str">
        <f>IF(_xlfn.IFERROR(INDEX(Покупка!$K$26:$L$87,MATCH($F84&amp;"8komm",Покупка!$K$26:$K$87,0),2),"")=0,"",_xlfn.IFERROR(INDEX(Покупка!$K$26:$L$87,MATCH($F84&amp;"8komm",Покупка!$K$26:$K$87,0),2),""))</f>
        <v/>
      </c>
      <c r="BP84" s="1216"/>
      <c r="BQ84" s="1256"/>
      <c r="BR84" s="1256"/>
      <c r="BS84" s="1041" t="s">
        <v>1028</v>
      </c>
      <c r="BT84" s="1041"/>
      <c r="BU84" s="1041"/>
      <c r="BV84" s="956"/>
      <c r="BW84" s="956"/>
    </row>
    <row customHeight="1" ht="14.625" hidden="1">
      <c r="A85" s="1256"/>
      <c r="B85" s="955"/>
      <c r="C85" s="73"/>
      <c r="D85" s="73"/>
      <c r="E85" s="596">
        <v>15</v>
      </c>
      <c r="F85" s="50" cm="1" t="str">
        <f t="array" ref="F85:F85">OFFSET(E85,-1,1)</f>
        <v>0</v>
      </c>
      <c r="G85" s="73"/>
      <c r="H85" s="73"/>
      <c r="I85" s="73" t="s">
        <v>1892</v>
      </c>
      <c r="J85" s="73"/>
      <c r="K85" s="73" t="s">
        <v>1892</v>
      </c>
      <c r="L85" s="957"/>
      <c r="M85" s="73"/>
      <c r="N85" s="73"/>
      <c r="O85" s="73"/>
      <c r="P85" s="73"/>
      <c r="Q85" s="73"/>
      <c r="R85" s="73"/>
      <c r="S85" s="73"/>
      <c r="T85" s="438" cm="1" t="str">
        <f t="array" ref="T85:T85">T84</f>
        <v>false</v>
      </c>
      <c r="U85" s="73"/>
      <c r="V85" s="73"/>
      <c r="W85" s="73"/>
      <c r="X85" s="1541"/>
      <c r="Y85" s="1256"/>
      <c r="Z85" s="1494"/>
      <c r="AA85" s="1256"/>
      <c r="AB85" s="266" t="s">
        <v>1893</v>
      </c>
      <c r="AC85" s="741" t="s">
        <v>1894</v>
      </c>
      <c r="AD85" s="266" t="s">
        <v>789</v>
      </c>
      <c r="AE85" s="1219"/>
      <c r="AF85" s="1219"/>
      <c r="AG85" s="1219"/>
      <c r="AH85" s="1092">
        <f>AG85-AF85</f>
        <v>0</v>
      </c>
      <c r="AI85" s="1219"/>
      <c r="AJ85" s="3564"/>
      <c r="AK85" s="1219"/>
      <c r="AL85" s="1219"/>
      <c r="AM85" s="1219"/>
      <c r="AN85" s="1219"/>
      <c r="AO85" s="1219"/>
      <c r="AP85" s="1219"/>
      <c r="AQ85" s="1219"/>
      <c r="AR85" s="1219"/>
      <c r="AS85" s="1219"/>
      <c r="AT85" s="3564"/>
      <c r="AU85" s="1219"/>
      <c r="AV85" s="1219"/>
      <c r="AW85" s="1219"/>
      <c r="AX85" s="1219"/>
      <c r="AY85" s="1219"/>
      <c r="AZ85" s="1219"/>
      <c r="BA85" s="1219"/>
      <c r="BB85" s="1219"/>
      <c r="BC85" s="1219"/>
      <c r="BD85" s="1092">
        <f>IF(AI85=0,0,(AT85-AI85)/AI85*100)</f>
        <v>0</v>
      </c>
      <c r="BE85" s="1092">
        <f>IF(AT85=0,0,(AU85-AT85)/AT85*100)</f>
        <v>0</v>
      </c>
      <c r="BF85" s="1092">
        <f>IF(AU85=0,0,(AV85-AU85)/AU85*100)</f>
        <v>0</v>
      </c>
      <c r="BG85" s="1092">
        <f>IF(AV85=0,0,(AW85-AV85)/AV85*100)</f>
        <v>0</v>
      </c>
      <c r="BH85" s="1092">
        <f>IF(AW85=0,0,(AX85-AW85)/AW85*100)</f>
        <v>0</v>
      </c>
      <c r="BI85" s="1092">
        <f>IF(AX85=0,0,(AY85-AX85)/AX85*100)</f>
        <v>0</v>
      </c>
      <c r="BJ85" s="1092">
        <f>IF(AY85=0,0,(AZ85-AY85)/AY85*100)</f>
        <v>0</v>
      </c>
      <c r="BK85" s="1092">
        <f>IF(AZ85=0,0,(BA85-AZ85)/AZ85*100)</f>
        <v>0</v>
      </c>
      <c r="BL85" s="1092">
        <f>IF(BA85=0,0,(BB85-BA85)/BA85*100)</f>
        <v>0</v>
      </c>
      <c r="BM85" s="1092">
        <f>IF(BB85=0,0,(BC85-BB85)/BB85*100)</f>
        <v>0</v>
      </c>
      <c r="BN85" s="1216"/>
      <c r="BO85" s="1216"/>
      <c r="BP85" s="1216"/>
      <c r="BQ85" s="1256"/>
      <c r="BR85" s="1256"/>
      <c r="BS85" s="1041" t="s">
        <v>1895</v>
      </c>
      <c r="BT85" s="1041"/>
      <c r="BU85" s="1041"/>
      <c r="BV85" s="956"/>
      <c r="BW85" s="956"/>
    </row>
    <row customHeight="1" ht="14.625" hidden="1">
      <c r="A86" s="1256"/>
      <c r="B86" s="955"/>
      <c r="C86" s="73"/>
      <c r="D86" s="73"/>
      <c r="E86" s="596">
        <v>15</v>
      </c>
      <c r="F86" s="50" cm="1" t="str">
        <f t="array" ref="F86:F86">OFFSET(E86,-1,1)</f>
        <v>0</v>
      </c>
      <c r="G86" s="73"/>
      <c r="H86" s="73"/>
      <c r="I86" s="73" t="s">
        <v>1896</v>
      </c>
      <c r="J86" s="73"/>
      <c r="K86" s="73" t="s">
        <v>1896</v>
      </c>
      <c r="L86" s="957"/>
      <c r="M86" s="73"/>
      <c r="N86" s="73"/>
      <c r="O86" s="73"/>
      <c r="P86" s="73"/>
      <c r="Q86" s="73"/>
      <c r="R86" s="73"/>
      <c r="S86" s="73"/>
      <c r="T86" s="438" cm="1" t="str">
        <f t="array" ref="T86:T86">T85</f>
        <v>false</v>
      </c>
      <c r="U86" s="73"/>
      <c r="V86" s="73"/>
      <c r="W86" s="73"/>
      <c r="X86" s="1541"/>
      <c r="Y86" s="1256"/>
      <c r="Z86" s="1494"/>
      <c r="AA86" s="1256"/>
      <c r="AB86" s="266" t="s">
        <v>1897</v>
      </c>
      <c r="AC86" s="741" t="s">
        <v>1898</v>
      </c>
      <c r="AD86" s="266" t="s">
        <v>789</v>
      </c>
      <c r="AE86" s="1219"/>
      <c r="AF86" s="1219"/>
      <c r="AG86" s="1219"/>
      <c r="AH86" s="1092">
        <f>AG86-AF86</f>
        <v>0</v>
      </c>
      <c r="AI86" s="1219"/>
      <c r="AJ86" s="3564"/>
      <c r="AK86" s="1219"/>
      <c r="AL86" s="1219"/>
      <c r="AM86" s="1219"/>
      <c r="AN86" s="1219"/>
      <c r="AO86" s="1219"/>
      <c r="AP86" s="1219"/>
      <c r="AQ86" s="1219"/>
      <c r="AR86" s="1219"/>
      <c r="AS86" s="1219"/>
      <c r="AT86" s="3564"/>
      <c r="AU86" s="1219"/>
      <c r="AV86" s="1219"/>
      <c r="AW86" s="1219"/>
      <c r="AX86" s="1219"/>
      <c r="AY86" s="1219"/>
      <c r="AZ86" s="1219"/>
      <c r="BA86" s="1219"/>
      <c r="BB86" s="1219"/>
      <c r="BC86" s="1219"/>
      <c r="BD86" s="1092">
        <f>IF(AI86=0,0,(AT86-AI86)/AI86*100)</f>
        <v>0</v>
      </c>
      <c r="BE86" s="1092">
        <f>IF(AT86=0,0,(AU86-AT86)/AT86*100)</f>
        <v>0</v>
      </c>
      <c r="BF86" s="1092">
        <f>IF(AU86=0,0,(AV86-AU86)/AU86*100)</f>
        <v>0</v>
      </c>
      <c r="BG86" s="1092">
        <f>IF(AV86=0,0,(AW86-AV86)/AV86*100)</f>
        <v>0</v>
      </c>
      <c r="BH86" s="1092">
        <f>IF(AW86=0,0,(AX86-AW86)/AW86*100)</f>
        <v>0</v>
      </c>
      <c r="BI86" s="1092">
        <f>IF(AX86=0,0,(AY86-AX86)/AX86*100)</f>
        <v>0</v>
      </c>
      <c r="BJ86" s="1092">
        <f>IF(AY86=0,0,(AZ86-AY86)/AY86*100)</f>
        <v>0</v>
      </c>
      <c r="BK86" s="1092">
        <f>IF(AZ86=0,0,(BA86-AZ86)/AZ86*100)</f>
        <v>0</v>
      </c>
      <c r="BL86" s="1092">
        <f>IF(BA86=0,0,(BB86-BA86)/BA86*100)</f>
        <v>0</v>
      </c>
      <c r="BM86" s="1092">
        <f>IF(BB86=0,0,(BC86-BB86)/BB86*100)</f>
        <v>0</v>
      </c>
      <c r="BN86" s="1216"/>
      <c r="BO86" s="1216"/>
      <c r="BP86" s="1216"/>
      <c r="BQ86" s="1256"/>
      <c r="BR86" s="1256"/>
      <c r="BS86" s="1041" t="s">
        <v>1899</v>
      </c>
      <c r="BT86" s="1041"/>
      <c r="BU86" s="1041"/>
      <c r="BV86" s="956"/>
      <c r="BW86" s="956"/>
    </row>
    <row customHeight="1" ht="14.625" hidden="1">
      <c r="A87" s="1256"/>
      <c r="B87" s="955"/>
      <c r="C87" s="73"/>
      <c r="D87" s="73"/>
      <c r="E87" s="596">
        <v>15</v>
      </c>
      <c r="F87" s="50" cm="1" t="str">
        <f t="array" ref="F87:F87">OFFSET(E87,-1,1)</f>
        <v>0</v>
      </c>
      <c r="G87" s="73" t="s">
        <v>1005</v>
      </c>
      <c r="H87" s="73"/>
      <c r="I87" s="73" t="s">
        <v>1900</v>
      </c>
      <c r="J87" s="73"/>
      <c r="K87" s="73" t="s">
        <v>1900</v>
      </c>
      <c r="L87" s="957" t="s">
        <v>1392</v>
      </c>
      <c r="M87" s="73"/>
      <c r="N87" s="73"/>
      <c r="O87" s="73"/>
      <c r="P87" s="73"/>
      <c r="Q87" s="73"/>
      <c r="R87" s="73"/>
      <c r="S87" s="73"/>
      <c r="T87" s="438" cm="1" t="str">
        <f t="array" ref="T87:T87">T86</f>
        <v>false</v>
      </c>
      <c r="U87" s="73"/>
      <c r="V87" s="73"/>
      <c r="W87" s="73"/>
      <c r="X87" s="1541"/>
      <c r="Y87" s="1256"/>
      <c r="Z87" s="1494"/>
      <c r="AA87" s="1256"/>
      <c r="AB87" s="266" t="s">
        <v>1901</v>
      </c>
      <c r="AC87" s="741" t="s">
        <v>1902</v>
      </c>
      <c r="AD87" s="266" t="s">
        <v>789</v>
      </c>
      <c r="AE87" s="1092">
        <f>_xlfn.SUMIFS(Покупка!AE$25:AE$87,Покупка!$F$25:$F$87,$F87,Покупка!$AC$25:$AC$87,$G87)</f>
        <v>0</v>
      </c>
      <c r="AF87" s="1092">
        <f>_xlfn.SUMIFS(Покупка!AF$25:AF$87,Покупка!$F$25:$F$87,$F87,Покупка!$AC$25:$AC$87,$G87)</f>
        <v>0</v>
      </c>
      <c r="AG87" s="1092">
        <f>_xlfn.SUMIFS(Покупка!AG$25:AG$87,Покупка!$F$25:$F$87,$F87,Покупка!$AC$25:$AC$87,$G87)</f>
        <v>0</v>
      </c>
      <c r="AH87" s="1092">
        <f>AG87-AF87</f>
        <v>0</v>
      </c>
      <c r="AI87" s="1092">
        <f>_xlfn.SUMIFS(Покупка!AH$25:AH$87,Покупка!$F$25:$F$87,$F87,Покупка!$AC$25:$AC$87,$G87)</f>
        <v>0</v>
      </c>
      <c r="AJ87" s="1092">
        <f>_xlfn.SUMIFS(Покупка!AI$25:AI$87,Покупка!$F$25:$F$87,$F87,Покупка!$AC$25:$AC$87,$G87)</f>
        <v>0</v>
      </c>
      <c r="AK87" s="1092">
        <f>_xlfn.SUMIFS(Покупка!AJ$25:AJ$87,Покупка!$F$25:$F$87,$F87,Покупка!$AC$25:$AC$87,$G87)</f>
        <v>0</v>
      </c>
      <c r="AL87" s="1092">
        <f>_xlfn.SUMIFS(Покупка!AK$25:AK$87,Покупка!$F$25:$F$87,$F87,Покупка!$AC$25:$AC$87,$G87)</f>
        <v>0</v>
      </c>
      <c r="AM87" s="1092">
        <f>_xlfn.SUMIFS(Покупка!AL$25:AL$87,Покупка!$F$25:$F$87,$F87,Покупка!$AC$25:$AC$87,$G87)</f>
        <v>0</v>
      </c>
      <c r="AN87" s="1092">
        <f>_xlfn.SUMIFS(Покупка!AM$25:AM$87,Покупка!$F$25:$F$87,$F87,Покупка!$AC$25:$AC$87,$G87)</f>
        <v>0</v>
      </c>
      <c r="AO87" s="1092">
        <f>_xlfn.SUMIFS(Покупка!AN$25:AN$87,Покупка!$F$25:$F$87,$F87,Покупка!$AC$25:$AC$87,$G87)</f>
        <v>0</v>
      </c>
      <c r="AP87" s="1092">
        <f>_xlfn.SUMIFS(Покупка!AO$25:AO$87,Покупка!$F$25:$F$87,$F87,Покупка!$AC$25:$AC$87,$G87)</f>
        <v>0</v>
      </c>
      <c r="AQ87" s="1092">
        <f>_xlfn.SUMIFS(Покупка!AP$25:AP$87,Покупка!$F$25:$F$87,$F87,Покупка!$AC$25:$AC$87,$G87)</f>
        <v>0</v>
      </c>
      <c r="AR87" s="1092">
        <f>_xlfn.SUMIFS(Покупка!AQ$25:AQ$87,Покупка!$F$25:$F$87,$F87,Покупка!$AC$25:$AC$87,$G87)</f>
        <v>0</v>
      </c>
      <c r="AS87" s="1092">
        <f>_xlfn.SUMIFS(Покупка!AR$25:AR$87,Покупка!$F$25:$F$87,$F87,Покупка!$AC$25:$AC$87,$G87)</f>
        <v>0</v>
      </c>
      <c r="AT87" s="1092">
        <f>_xlfn.SUMIFS(Покупка!AS$25:AS$87,Покупка!$F$25:$F$87,$F87,Покупка!$AC$25:$AC$87,$G87)</f>
        <v>0</v>
      </c>
      <c r="AU87" s="1092">
        <f>_xlfn.SUMIFS(Покупка!AT$25:AT$87,Покупка!$F$25:$F$87,$F87,Покупка!$AC$25:$AC$87,$G87)</f>
        <v>0</v>
      </c>
      <c r="AV87" s="1092">
        <f>_xlfn.SUMIFS(Покупка!AU$25:AU$87,Покупка!$F$25:$F$87,$F87,Покупка!$AC$25:$AC$87,$G87)</f>
        <v>0</v>
      </c>
      <c r="AW87" s="1092">
        <f>_xlfn.SUMIFS(Покупка!AV$25:AV$87,Покупка!$F$25:$F$87,$F87,Покупка!$AC$25:$AC$87,$G87)</f>
        <v>0</v>
      </c>
      <c r="AX87" s="1092">
        <f>_xlfn.SUMIFS(Покупка!AW$25:AW$87,Покупка!$F$25:$F$87,$F87,Покупка!$AC$25:$AC$87,$G87)</f>
        <v>0</v>
      </c>
      <c r="AY87" s="1092">
        <f>_xlfn.SUMIFS(Покупка!AX$25:AX$87,Покупка!$F$25:$F$87,$F87,Покупка!$AC$25:$AC$87,$G87)</f>
        <v>0</v>
      </c>
      <c r="AZ87" s="1092">
        <f>_xlfn.SUMIFS(Покупка!AY$25:AY$87,Покупка!$F$25:$F$87,$F87,Покупка!$AC$25:$AC$87,$G87)</f>
        <v>0</v>
      </c>
      <c r="BA87" s="1092">
        <f>_xlfn.SUMIFS(Покупка!AZ$25:AZ$87,Покупка!$F$25:$F$87,$F87,Покупка!$AC$25:$AC$87,$G87)</f>
        <v>0</v>
      </c>
      <c r="BB87" s="1092">
        <f>_xlfn.SUMIFS(Покупка!BA$25:BA$87,Покупка!$F$25:$F$87,$F87,Покупка!$AC$25:$AC$87,$G87)</f>
        <v>0</v>
      </c>
      <c r="BC87" s="1092">
        <f>_xlfn.SUMIFS(Покупка!BB$25:BB$87,Покупка!$F$25:$F$87,$F87,Покупка!$AC$25:$AC$87,$G87)</f>
        <v>0</v>
      </c>
      <c r="BD87" s="1092">
        <f>IF(AI87=0,0,(AT87-AI87)/AI87*100)</f>
        <v>0</v>
      </c>
      <c r="BE87" s="1092">
        <f>IF(AT87=0,0,(AU87-AT87)/AT87*100)</f>
        <v>0</v>
      </c>
      <c r="BF87" s="1092">
        <f>IF(AU87=0,0,(AV87-AU87)/AU87*100)</f>
        <v>0</v>
      </c>
      <c r="BG87" s="1092">
        <f>IF(AV87=0,0,(AW87-AV87)/AV87*100)</f>
        <v>0</v>
      </c>
      <c r="BH87" s="1092">
        <f>IF(AW87=0,0,(AX87-AW87)/AW87*100)</f>
        <v>0</v>
      </c>
      <c r="BI87" s="1092">
        <f>IF(AX87=0,0,(AY87-AX87)/AX87*100)</f>
        <v>0</v>
      </c>
      <c r="BJ87" s="1092">
        <f>IF(AY87=0,0,(AZ87-AY87)/AY87*100)</f>
        <v>0</v>
      </c>
      <c r="BK87" s="1092">
        <f>IF(AZ87=0,0,(BA87-AZ87)/AZ87*100)</f>
        <v>0</v>
      </c>
      <c r="BL87" s="1092">
        <f>IF(BA87=0,0,(BB87-BA87)/BA87*100)</f>
        <v>0</v>
      </c>
      <c r="BM87" s="1092">
        <f>IF(BB87=0,0,(BC87-BB87)/BB87*100)</f>
        <v>0</v>
      </c>
      <c r="BN87" s="1216"/>
      <c r="BO87" s="1220" t="str">
        <f>IF(_xlfn.IFERROR(INDEX(Покупка!$K$26:$L$87,MATCH($F87&amp;"3komm",Покупка!$K$26:$K$87,0),2),"")=0,"",_xlfn.IFERROR(INDEX(Покупка!$K$26:$L$87,MATCH($F87&amp;"3komm",Покупка!$K$26:$K$87,0),2),""))</f>
        <v/>
      </c>
      <c r="BP87" s="1216"/>
      <c r="BQ87" s="1256"/>
      <c r="BR87" s="1256"/>
      <c r="BS87" s="1041" t="s">
        <v>1593</v>
      </c>
      <c r="BT87" s="1041"/>
      <c r="BU87" s="1041"/>
      <c r="BV87" s="956"/>
      <c r="BW87" s="956"/>
    </row>
    <row customHeight="1" ht="14.625" hidden="1">
      <c r="A88" s="1256"/>
      <c r="B88" s="955"/>
      <c r="C88" s="73"/>
      <c r="D88" s="73"/>
      <c r="E88" s="596">
        <v>15</v>
      </c>
      <c r="F88" s="50" cm="1" t="str">
        <f t="array" ref="F88:F88">OFFSET(E88,-1,1)</f>
        <v>0</v>
      </c>
      <c r="G88" s="73" t="s">
        <v>1011</v>
      </c>
      <c r="H88" s="73"/>
      <c r="I88" s="73" t="s">
        <v>1903</v>
      </c>
      <c r="J88" s="73"/>
      <c r="K88" s="73" t="s">
        <v>1903</v>
      </c>
      <c r="L88" s="957" t="s">
        <v>1397</v>
      </c>
      <c r="M88" s="73"/>
      <c r="N88" s="73"/>
      <c r="O88" s="73"/>
      <c r="P88" s="73"/>
      <c r="Q88" s="73"/>
      <c r="R88" s="73"/>
      <c r="S88" s="73"/>
      <c r="T88" s="438" cm="1" t="str">
        <f t="array" ref="T88:T88">T87</f>
        <v>false</v>
      </c>
      <c r="U88" s="73"/>
      <c r="V88" s="73"/>
      <c r="W88" s="73"/>
      <c r="X88" s="1541"/>
      <c r="Y88" s="1256"/>
      <c r="Z88" s="1494"/>
      <c r="AA88" s="1256"/>
      <c r="AB88" s="266" t="s">
        <v>1904</v>
      </c>
      <c r="AC88" s="741" t="s">
        <v>1905</v>
      </c>
      <c r="AD88" s="266" t="s">
        <v>789</v>
      </c>
      <c r="AE88" s="1092">
        <f>_xlfn.SUMIFS(Покупка!AE$25:AE$87,Покупка!$F$25:$F$87,$F88,Покупка!$AC$25:$AC$87,$G88)</f>
        <v>0</v>
      </c>
      <c r="AF88" s="1092">
        <f>_xlfn.SUMIFS(Покупка!AF$25:AF$87,Покупка!$F$25:$F$87,$F88,Покупка!$AC$25:$AC$87,$G88)</f>
        <v>0</v>
      </c>
      <c r="AG88" s="1092">
        <f>_xlfn.SUMIFS(Покупка!AG$25:AG$87,Покупка!$F$25:$F$87,$F88,Покупка!$AC$25:$AC$87,$G88)</f>
        <v>0</v>
      </c>
      <c r="AH88" s="1092">
        <f>AG88-AF88</f>
        <v>0</v>
      </c>
      <c r="AI88" s="1092">
        <f>_xlfn.SUMIFS(Покупка!AH$25:AH$87,Покупка!$F$25:$F$87,$F88,Покупка!$AC$25:$AC$87,$G88)</f>
        <v>0</v>
      </c>
      <c r="AJ88" s="1092">
        <f>_xlfn.SUMIFS(Покупка!AI$25:AI$87,Покупка!$F$25:$F$87,$F88,Покупка!$AC$25:$AC$87,$G88)</f>
        <v>0</v>
      </c>
      <c r="AK88" s="1092">
        <f>_xlfn.SUMIFS(Покупка!AJ$25:AJ$87,Покупка!$F$25:$F$87,$F88,Покупка!$AC$25:$AC$87,$G88)</f>
        <v>0</v>
      </c>
      <c r="AL88" s="1092">
        <f>_xlfn.SUMIFS(Покупка!AK$25:AK$87,Покупка!$F$25:$F$87,$F88,Покупка!$AC$25:$AC$87,$G88)</f>
        <v>0</v>
      </c>
      <c r="AM88" s="1092">
        <f>_xlfn.SUMIFS(Покупка!AL$25:AL$87,Покупка!$F$25:$F$87,$F88,Покупка!$AC$25:$AC$87,$G88)</f>
        <v>0</v>
      </c>
      <c r="AN88" s="1092">
        <f>_xlfn.SUMIFS(Покупка!AM$25:AM$87,Покупка!$F$25:$F$87,$F88,Покупка!$AC$25:$AC$87,$G88)</f>
        <v>0</v>
      </c>
      <c r="AO88" s="1092">
        <f>_xlfn.SUMIFS(Покупка!AN$25:AN$87,Покупка!$F$25:$F$87,$F88,Покупка!$AC$25:$AC$87,$G88)</f>
        <v>0</v>
      </c>
      <c r="AP88" s="1092">
        <f>_xlfn.SUMIFS(Покупка!AO$25:AO$87,Покупка!$F$25:$F$87,$F88,Покупка!$AC$25:$AC$87,$G88)</f>
        <v>0</v>
      </c>
      <c r="AQ88" s="1092">
        <f>_xlfn.SUMIFS(Покупка!AP$25:AP$87,Покупка!$F$25:$F$87,$F88,Покупка!$AC$25:$AC$87,$G88)</f>
        <v>0</v>
      </c>
      <c r="AR88" s="1092">
        <f>_xlfn.SUMIFS(Покупка!AQ$25:AQ$87,Покупка!$F$25:$F$87,$F88,Покупка!$AC$25:$AC$87,$G88)</f>
        <v>0</v>
      </c>
      <c r="AS88" s="1092">
        <f>_xlfn.SUMIFS(Покупка!AR$25:AR$87,Покупка!$F$25:$F$87,$F88,Покупка!$AC$25:$AC$87,$G88)</f>
        <v>0</v>
      </c>
      <c r="AT88" s="1092">
        <f>_xlfn.SUMIFS(Покупка!AS$25:AS$87,Покупка!$F$25:$F$87,$F88,Покупка!$AC$25:$AC$87,$G88)</f>
        <v>0</v>
      </c>
      <c r="AU88" s="1092">
        <f>_xlfn.SUMIFS(Покупка!AT$25:AT$87,Покупка!$F$25:$F$87,$F88,Покупка!$AC$25:$AC$87,$G88)</f>
        <v>0</v>
      </c>
      <c r="AV88" s="1092">
        <f>_xlfn.SUMIFS(Покупка!AU$25:AU$87,Покупка!$F$25:$F$87,$F88,Покупка!$AC$25:$AC$87,$G88)</f>
        <v>0</v>
      </c>
      <c r="AW88" s="1092">
        <f>_xlfn.SUMIFS(Покупка!AV$25:AV$87,Покупка!$F$25:$F$87,$F88,Покупка!$AC$25:$AC$87,$G88)</f>
        <v>0</v>
      </c>
      <c r="AX88" s="1092">
        <f>_xlfn.SUMIFS(Покупка!AW$25:AW$87,Покупка!$F$25:$F$87,$F88,Покупка!$AC$25:$AC$87,$G88)</f>
        <v>0</v>
      </c>
      <c r="AY88" s="1092">
        <f>_xlfn.SUMIFS(Покупка!AX$25:AX$87,Покупка!$F$25:$F$87,$F88,Покупка!$AC$25:$AC$87,$G88)</f>
        <v>0</v>
      </c>
      <c r="AZ88" s="1092">
        <f>_xlfn.SUMIFS(Покупка!AY$25:AY$87,Покупка!$F$25:$F$87,$F88,Покупка!$AC$25:$AC$87,$G88)</f>
        <v>0</v>
      </c>
      <c r="BA88" s="1092">
        <f>_xlfn.SUMIFS(Покупка!AZ$25:AZ$87,Покупка!$F$25:$F$87,$F88,Покупка!$AC$25:$AC$87,$G88)</f>
        <v>0</v>
      </c>
      <c r="BB88" s="1092">
        <f>_xlfn.SUMIFS(Покупка!BA$25:BA$87,Покупка!$F$25:$F$87,$F88,Покупка!$AC$25:$AC$87,$G88)</f>
        <v>0</v>
      </c>
      <c r="BC88" s="1092">
        <f>_xlfn.SUMIFS(Покупка!BB$25:BB$87,Покупка!$F$25:$F$87,$F88,Покупка!$AC$25:$AC$87,$G88)</f>
        <v>0</v>
      </c>
      <c r="BD88" s="1092">
        <f>IF(AI88=0,0,(AT88-AI88)/AI88*100)</f>
        <v>0</v>
      </c>
      <c r="BE88" s="1092">
        <f>IF(AT88=0,0,(AU88-AT88)/AT88*100)</f>
        <v>0</v>
      </c>
      <c r="BF88" s="1092">
        <f>IF(AU88=0,0,(AV88-AU88)/AU88*100)</f>
        <v>0</v>
      </c>
      <c r="BG88" s="1092">
        <f>IF(AV88=0,0,(AW88-AV88)/AV88*100)</f>
        <v>0</v>
      </c>
      <c r="BH88" s="1092">
        <f>IF(AW88=0,0,(AX88-AW88)/AW88*100)</f>
        <v>0</v>
      </c>
      <c r="BI88" s="1092">
        <f>IF(AX88=0,0,(AY88-AX88)/AX88*100)</f>
        <v>0</v>
      </c>
      <c r="BJ88" s="1092">
        <f>IF(AY88=0,0,(AZ88-AY88)/AY88*100)</f>
        <v>0</v>
      </c>
      <c r="BK88" s="1092">
        <f>IF(AZ88=0,0,(BA88-AZ88)/AZ88*100)</f>
        <v>0</v>
      </c>
      <c r="BL88" s="1092">
        <f>IF(BA88=0,0,(BB88-BA88)/BA88*100)</f>
        <v>0</v>
      </c>
      <c r="BM88" s="1092">
        <f>IF(BB88=0,0,(BC88-BB88)/BB88*100)</f>
        <v>0</v>
      </c>
      <c r="BN88" s="1216"/>
      <c r="BO88" s="1220" t="str">
        <f>IF(_xlfn.IFERROR(INDEX(Покупка!$K$26:$L$87,MATCH($F88&amp;"4komm",Покупка!$K$26:$K$87,0),2),"")=0,"",_xlfn.IFERROR(INDEX(Покупка!$K$26:$L$87,MATCH($F87&amp;"3komm",Покупка!$K$26:$K$87,0),2),""))</f>
        <v/>
      </c>
      <c r="BP88" s="1216"/>
      <c r="BQ88" s="1256"/>
      <c r="BR88" s="1256"/>
      <c r="BS88" s="1041" t="s">
        <v>1596</v>
      </c>
      <c r="BT88" s="1041"/>
      <c r="BU88" s="1041"/>
      <c r="BV88" s="956"/>
      <c r="BW88" s="956"/>
    </row>
    <row customHeight="1" ht="14.625" hidden="1">
      <c r="A89" s="1256"/>
      <c r="B89" s="955"/>
      <c r="C89" s="73"/>
      <c r="D89" s="73"/>
      <c r="E89" s="596">
        <v>15</v>
      </c>
      <c r="F89" s="50" cm="1" t="str">
        <f t="array" ref="F89:F89">OFFSET(E89,-1,1)</f>
        <v>0</v>
      </c>
      <c r="G89" s="73" t="s">
        <v>1017</v>
      </c>
      <c r="H89" s="73"/>
      <c r="I89" s="73" t="s">
        <v>1906</v>
      </c>
      <c r="J89" s="73"/>
      <c r="K89" s="73" t="s">
        <v>1906</v>
      </c>
      <c r="L89" s="957" t="s">
        <v>1407</v>
      </c>
      <c r="M89" s="73"/>
      <c r="N89" s="73"/>
      <c r="O89" s="73"/>
      <c r="P89" s="73"/>
      <c r="Q89" s="73"/>
      <c r="R89" s="73"/>
      <c r="S89" s="73"/>
      <c r="T89" s="438" cm="1" t="str">
        <f t="array" ref="T89:T89">T88</f>
        <v>false</v>
      </c>
      <c r="U89" s="73"/>
      <c r="V89" s="73"/>
      <c r="W89" s="73"/>
      <c r="X89" s="1541"/>
      <c r="Y89" s="1256"/>
      <c r="Z89" s="1494"/>
      <c r="AA89" s="1256"/>
      <c r="AB89" s="266" t="s">
        <v>1907</v>
      </c>
      <c r="AC89" s="741" t="s">
        <v>1908</v>
      </c>
      <c r="AD89" s="266" t="s">
        <v>789</v>
      </c>
      <c r="AE89" s="1092">
        <f>_xlfn.SUMIFS(Покупка!AE$25:AE$87,Покупка!$F$25:$F$87,$F89,Покупка!$AC$25:$AC$87,$G89)</f>
        <v>0</v>
      </c>
      <c r="AF89" s="1092">
        <f>_xlfn.SUMIFS(Покупка!AF$25:AF$87,Покупка!$F$25:$F$87,$F89,Покупка!$AC$25:$AC$87,$G89)</f>
        <v>0</v>
      </c>
      <c r="AG89" s="1092">
        <f>_xlfn.SUMIFS(Покупка!AG$25:AG$87,Покупка!$F$25:$F$87,$F89,Покупка!$AC$25:$AC$87,$G89)</f>
        <v>0</v>
      </c>
      <c r="AH89" s="1092">
        <f>AG89-AF89</f>
        <v>0</v>
      </c>
      <c r="AI89" s="1092">
        <f>_xlfn.SUMIFS(Покупка!AH$25:AH$87,Покупка!$F$25:$F$87,$F89,Покупка!$AC$25:$AC$87,$G89)</f>
        <v>0</v>
      </c>
      <c r="AJ89" s="1092">
        <f>_xlfn.SUMIFS(Покупка!AI$25:AI$87,Покупка!$F$25:$F$87,$F89,Покупка!$AC$25:$AC$87,$G89)</f>
        <v>0</v>
      </c>
      <c r="AK89" s="1092">
        <f>_xlfn.SUMIFS(Покупка!AJ$25:AJ$87,Покупка!$F$25:$F$87,$F89,Покупка!$AC$25:$AC$87,$G89)</f>
        <v>0</v>
      </c>
      <c r="AL89" s="1092">
        <f>_xlfn.SUMIFS(Покупка!AK$25:AK$87,Покупка!$F$25:$F$87,$F89,Покупка!$AC$25:$AC$87,$G89)</f>
        <v>0</v>
      </c>
      <c r="AM89" s="1092">
        <f>_xlfn.SUMIFS(Покупка!AL$25:AL$87,Покупка!$F$25:$F$87,$F89,Покупка!$AC$25:$AC$87,$G89)</f>
        <v>0</v>
      </c>
      <c r="AN89" s="1092">
        <f>_xlfn.SUMIFS(Покупка!AM$25:AM$87,Покупка!$F$25:$F$87,$F89,Покупка!$AC$25:$AC$87,$G89)</f>
        <v>0</v>
      </c>
      <c r="AO89" s="1092">
        <f>_xlfn.SUMIFS(Покупка!AN$25:AN$87,Покупка!$F$25:$F$87,$F89,Покупка!$AC$25:$AC$87,$G89)</f>
        <v>0</v>
      </c>
      <c r="AP89" s="1092">
        <f>_xlfn.SUMIFS(Покупка!AO$25:AO$87,Покупка!$F$25:$F$87,$F89,Покупка!$AC$25:$AC$87,$G89)</f>
        <v>0</v>
      </c>
      <c r="AQ89" s="1092">
        <f>_xlfn.SUMIFS(Покупка!AP$25:AP$87,Покупка!$F$25:$F$87,$F89,Покупка!$AC$25:$AC$87,$G89)</f>
        <v>0</v>
      </c>
      <c r="AR89" s="1092">
        <f>_xlfn.SUMIFS(Покупка!AQ$25:AQ$87,Покупка!$F$25:$F$87,$F89,Покупка!$AC$25:$AC$87,$G89)</f>
        <v>0</v>
      </c>
      <c r="AS89" s="1092">
        <f>_xlfn.SUMIFS(Покупка!AR$25:AR$87,Покупка!$F$25:$F$87,$F89,Покупка!$AC$25:$AC$87,$G89)</f>
        <v>0</v>
      </c>
      <c r="AT89" s="1092">
        <f>_xlfn.SUMIFS(Покупка!AS$25:AS$87,Покупка!$F$25:$F$87,$F89,Покупка!$AC$25:$AC$87,$G89)</f>
        <v>0</v>
      </c>
      <c r="AU89" s="1092">
        <f>_xlfn.SUMIFS(Покупка!AT$25:AT$87,Покупка!$F$25:$F$87,$F89,Покупка!$AC$25:$AC$87,$G89)</f>
        <v>0</v>
      </c>
      <c r="AV89" s="1092">
        <f>_xlfn.SUMIFS(Покупка!AU$25:AU$87,Покупка!$F$25:$F$87,$F89,Покупка!$AC$25:$AC$87,$G89)</f>
        <v>0</v>
      </c>
      <c r="AW89" s="1092">
        <f>_xlfn.SUMIFS(Покупка!AV$25:AV$87,Покупка!$F$25:$F$87,$F89,Покупка!$AC$25:$AC$87,$G89)</f>
        <v>0</v>
      </c>
      <c r="AX89" s="1092">
        <f>_xlfn.SUMIFS(Покупка!AW$25:AW$87,Покупка!$F$25:$F$87,$F89,Покупка!$AC$25:$AC$87,$G89)</f>
        <v>0</v>
      </c>
      <c r="AY89" s="1092">
        <f>_xlfn.SUMIFS(Покупка!AX$25:AX$87,Покупка!$F$25:$F$87,$F89,Покупка!$AC$25:$AC$87,$G89)</f>
        <v>0</v>
      </c>
      <c r="AZ89" s="1092">
        <f>_xlfn.SUMIFS(Покупка!AY$25:AY$87,Покупка!$F$25:$F$87,$F89,Покупка!$AC$25:$AC$87,$G89)</f>
        <v>0</v>
      </c>
      <c r="BA89" s="1092">
        <f>_xlfn.SUMIFS(Покупка!AZ$25:AZ$87,Покупка!$F$25:$F$87,$F89,Покупка!$AC$25:$AC$87,$G89)</f>
        <v>0</v>
      </c>
      <c r="BB89" s="1092">
        <f>_xlfn.SUMIFS(Покупка!BA$25:BA$87,Покупка!$F$25:$F$87,$F89,Покупка!$AC$25:$AC$87,$G89)</f>
        <v>0</v>
      </c>
      <c r="BC89" s="1092">
        <f>_xlfn.SUMIFS(Покупка!BB$25:BB$87,Покупка!$F$25:$F$87,$F89,Покупка!$AC$25:$AC$87,$G89)</f>
        <v>0</v>
      </c>
      <c r="BD89" s="1092">
        <f>IF(AI89=0,0,(AT89-AI89)/AI89*100)</f>
        <v>0</v>
      </c>
      <c r="BE89" s="1092">
        <f>IF(AT89=0,0,(AU89-AT89)/AT89*100)</f>
        <v>0</v>
      </c>
      <c r="BF89" s="1092">
        <f>IF(AU89=0,0,(AV89-AU89)/AU89*100)</f>
        <v>0</v>
      </c>
      <c r="BG89" s="1092">
        <f>IF(AV89=0,0,(AW89-AV89)/AV89*100)</f>
        <v>0</v>
      </c>
      <c r="BH89" s="1092">
        <f>IF(AW89=0,0,(AX89-AW89)/AW89*100)</f>
        <v>0</v>
      </c>
      <c r="BI89" s="1092">
        <f>IF(AX89=0,0,(AY89-AX89)/AX89*100)</f>
        <v>0</v>
      </c>
      <c r="BJ89" s="1092">
        <f>IF(AY89=0,0,(AZ89-AY89)/AY89*100)</f>
        <v>0</v>
      </c>
      <c r="BK89" s="1092">
        <f>IF(AZ89=0,0,(BA89-AZ89)/AZ89*100)</f>
        <v>0</v>
      </c>
      <c r="BL89" s="1092">
        <f>IF(BA89=0,0,(BB89-BA89)/BA89*100)</f>
        <v>0</v>
      </c>
      <c r="BM89" s="1092">
        <f>IF(BB89=0,0,(BC89-BB89)/BB89*100)</f>
        <v>0</v>
      </c>
      <c r="BN89" s="1216"/>
      <c r="BO89" s="1220" t="str">
        <f>IF(_xlfn.IFERROR(INDEX(Покупка!$K$26:$L$87,MATCH($F89&amp;"5komm",Покупка!$K$26:$K$87,0),2),"")=0,"",_xlfn.IFERROR(INDEX(Покупка!$K$26:$L$87,MATCH($F89&amp;"5komm",Покупка!$K$26:$K$87,0),2),""))</f>
        <v/>
      </c>
      <c r="BP89" s="1216"/>
      <c r="BQ89" s="1256"/>
      <c r="BR89" s="1256"/>
      <c r="BS89" s="1041" t="s">
        <v>1599</v>
      </c>
      <c r="BT89" s="1041"/>
      <c r="BU89" s="1041"/>
      <c r="BV89" s="956"/>
      <c r="BW89" s="956"/>
    </row>
    <row customHeight="1" ht="14.625" hidden="1">
      <c r="A90" s="1256"/>
      <c r="B90" s="955"/>
      <c r="C90" s="73"/>
      <c r="D90" s="73"/>
      <c r="E90" s="596">
        <v>15</v>
      </c>
      <c r="F90" s="50" cm="1" t="str">
        <f t="array" ref="F90:F90">OFFSET(E90,-1,1)</f>
        <v>0</v>
      </c>
      <c r="G90" s="73" t="s">
        <v>1029</v>
      </c>
      <c r="H90" s="73"/>
      <c r="I90" s="73"/>
      <c r="J90" s="73"/>
      <c r="K90" s="73"/>
      <c r="L90" s="957" t="s">
        <v>1374</v>
      </c>
      <c r="M90" s="73"/>
      <c r="N90" s="73"/>
      <c r="O90" s="73"/>
      <c r="P90" s="73"/>
      <c r="Q90" s="73"/>
      <c r="R90" s="73"/>
      <c r="S90" s="73"/>
      <c r="T90" s="438" cm="1" t="str">
        <f t="array" ref="T90:T90">T89</f>
        <v>false</v>
      </c>
      <c r="U90" s="73"/>
      <c r="V90" s="73"/>
      <c r="W90" s="73"/>
      <c r="X90" s="1541"/>
      <c r="Y90" s="1256"/>
      <c r="Z90" s="1494"/>
      <c r="AA90" s="1256"/>
      <c r="AB90" s="266" t="s">
        <v>1909</v>
      </c>
      <c r="AC90" s="741" t="s">
        <v>1910</v>
      </c>
      <c r="AD90" s="266" t="s">
        <v>789</v>
      </c>
      <c r="AE90" s="1092">
        <f>_xlfn.SUMIFS(Покупка!AE$25:AE$87,Покупка!$F$25:$F$87,$F90,Покупка!$AC$25:$AC$87,$G90)</f>
        <v>0</v>
      </c>
      <c r="AF90" s="1092">
        <f>_xlfn.SUMIFS(Покупка!AF$25:AF$87,Покупка!$F$25:$F$87,$F90,Покупка!$AC$25:$AC$87,$G90)</f>
        <v>0</v>
      </c>
      <c r="AG90" s="1092">
        <f>_xlfn.SUMIFS(Покупка!AG$25:AG$87,Покупка!$F$25:$F$87,$F90,Покупка!$AC$25:$AC$87,$G90)</f>
        <v>0</v>
      </c>
      <c r="AH90" s="1092">
        <f>AG90-AF90</f>
        <v>0</v>
      </c>
      <c r="AI90" s="1092">
        <f>_xlfn.SUMIFS(Покупка!AH$25:AH$87,Покупка!$F$25:$F$87,$F90,Покупка!$AC$25:$AC$87,$G90)</f>
        <v>0</v>
      </c>
      <c r="AJ90" s="1092">
        <f>_xlfn.SUMIFS(Покупка!AI$25:AI$87,Покупка!$F$25:$F$87,$F90,Покупка!$AC$25:$AC$87,$G90)</f>
        <v>0</v>
      </c>
      <c r="AK90" s="1092">
        <f>_xlfn.SUMIFS(Покупка!AJ$25:AJ$87,Покупка!$F$25:$F$87,$F90,Покупка!$AC$25:$AC$87,$G90)</f>
        <v>0</v>
      </c>
      <c r="AL90" s="1092">
        <f>_xlfn.SUMIFS(Покупка!AK$25:AK$87,Покупка!$F$25:$F$87,$F90,Покупка!$AC$25:$AC$87,$G90)</f>
        <v>0</v>
      </c>
      <c r="AM90" s="1092">
        <f>_xlfn.SUMIFS(Покупка!AL$25:AL$87,Покупка!$F$25:$F$87,$F90,Покупка!$AC$25:$AC$87,$G90)</f>
        <v>0</v>
      </c>
      <c r="AN90" s="1092">
        <f>_xlfn.SUMIFS(Покупка!AM$25:AM$87,Покупка!$F$25:$F$87,$F90,Покупка!$AC$25:$AC$87,$G90)</f>
        <v>0</v>
      </c>
      <c r="AO90" s="1092">
        <f>_xlfn.SUMIFS(Покупка!AN$25:AN$87,Покупка!$F$25:$F$87,$F90,Покупка!$AC$25:$AC$87,$G90)</f>
        <v>0</v>
      </c>
      <c r="AP90" s="1092">
        <f>_xlfn.SUMIFS(Покупка!AO$25:AO$87,Покупка!$F$25:$F$87,$F90,Покупка!$AC$25:$AC$87,$G90)</f>
        <v>0</v>
      </c>
      <c r="AQ90" s="1092">
        <f>_xlfn.SUMIFS(Покупка!AP$25:AP$87,Покупка!$F$25:$F$87,$F90,Покупка!$AC$25:$AC$87,$G90)</f>
        <v>0</v>
      </c>
      <c r="AR90" s="1092">
        <f>_xlfn.SUMIFS(Покупка!AQ$25:AQ$87,Покупка!$F$25:$F$87,$F90,Покупка!$AC$25:$AC$87,$G90)</f>
        <v>0</v>
      </c>
      <c r="AS90" s="1092">
        <f>_xlfn.SUMIFS(Покупка!AR$25:AR$87,Покупка!$F$25:$F$87,$F90,Покупка!$AC$25:$AC$87,$G90)</f>
        <v>0</v>
      </c>
      <c r="AT90" s="1092">
        <f>_xlfn.SUMIFS(Покупка!AS$25:AS$87,Покупка!$F$25:$F$87,$F90,Покупка!$AC$25:$AC$87,$G90)</f>
        <v>0</v>
      </c>
      <c r="AU90" s="1092">
        <f>_xlfn.SUMIFS(Покупка!AT$25:AT$87,Покупка!$F$25:$F$87,$F90,Покупка!$AC$25:$AC$87,$G90)</f>
        <v>0</v>
      </c>
      <c r="AV90" s="1092">
        <f>_xlfn.SUMIFS(Покупка!AU$25:AU$87,Покупка!$F$25:$F$87,$F90,Покупка!$AC$25:$AC$87,$G90)</f>
        <v>0</v>
      </c>
      <c r="AW90" s="1092">
        <f>_xlfn.SUMIFS(Покупка!AV$25:AV$87,Покупка!$F$25:$F$87,$F90,Покупка!$AC$25:$AC$87,$G90)</f>
        <v>0</v>
      </c>
      <c r="AX90" s="1092">
        <f>_xlfn.SUMIFS(Покупка!AW$25:AW$87,Покупка!$F$25:$F$87,$F90,Покупка!$AC$25:$AC$87,$G90)</f>
        <v>0</v>
      </c>
      <c r="AY90" s="1092">
        <f>_xlfn.SUMIFS(Покупка!AX$25:AX$87,Покупка!$F$25:$F$87,$F90,Покупка!$AC$25:$AC$87,$G90)</f>
        <v>0</v>
      </c>
      <c r="AZ90" s="1092">
        <f>_xlfn.SUMIFS(Покупка!AY$25:AY$87,Покупка!$F$25:$F$87,$F90,Покупка!$AC$25:$AC$87,$G90)</f>
        <v>0</v>
      </c>
      <c r="BA90" s="1092">
        <f>_xlfn.SUMIFS(Покупка!AZ$25:AZ$87,Покупка!$F$25:$F$87,$F90,Покупка!$AC$25:$AC$87,$G90)</f>
        <v>0</v>
      </c>
      <c r="BB90" s="1092">
        <f>_xlfn.SUMIFS(Покупка!BA$25:BA$87,Покупка!$F$25:$F$87,$F90,Покупка!$AC$25:$AC$87,$G90)</f>
        <v>0</v>
      </c>
      <c r="BC90" s="1092">
        <f>_xlfn.SUMIFS(Покупка!BB$25:BB$87,Покупка!$F$25:$F$87,$F90,Покупка!$AC$25:$AC$87,$G90)</f>
        <v>0</v>
      </c>
      <c r="BD90" s="1092">
        <f>IF(AI90=0,0,(AT90-AI90)/AI90*100)</f>
        <v>0</v>
      </c>
      <c r="BE90" s="1092">
        <f>IF(AT90=0,0,(AU90-AT90)/AT90*100)</f>
        <v>0</v>
      </c>
      <c r="BF90" s="1092">
        <f>IF(AU90=0,0,(AV90-AU90)/AU90*100)</f>
        <v>0</v>
      </c>
      <c r="BG90" s="1092">
        <f>IF(AV90=0,0,(AW90-AV90)/AV90*100)</f>
        <v>0</v>
      </c>
      <c r="BH90" s="1092">
        <f>IF(AW90=0,0,(AX90-AW90)/AW90*100)</f>
        <v>0</v>
      </c>
      <c r="BI90" s="1092">
        <f>IF(AX90=0,0,(AY90-AX90)/AX90*100)</f>
        <v>0</v>
      </c>
      <c r="BJ90" s="1092">
        <f>IF(AY90=0,0,(AZ90-AY90)/AY90*100)</f>
        <v>0</v>
      </c>
      <c r="BK90" s="1092">
        <f>IF(AZ90=0,0,(BA90-AZ90)/AZ90*100)</f>
        <v>0</v>
      </c>
      <c r="BL90" s="1092">
        <f>IF(BA90=0,0,(BB90-BA90)/BA90*100)</f>
        <v>0</v>
      </c>
      <c r="BM90" s="1092">
        <f>IF(BB90=0,0,(BC90-BB90)/BB90*100)</f>
        <v>0</v>
      </c>
      <c r="BN90" s="1216"/>
      <c r="BO90" s="1220" t="str">
        <f>IF(_xlfn.IFERROR(INDEX(Покупка!$K$26:$L$87,MATCH($F90&amp;"9komm",Покупка!$K$26:$K$87,0),2),"")=0,"",_xlfn.IFERROR(INDEX(Покупка!$K$26:$L$87,MATCH($F90&amp;"9komm",Покупка!$K$26:$K$87,0),2),""))</f>
        <v/>
      </c>
      <c r="BP90" s="1216"/>
      <c r="BQ90" s="1256"/>
      <c r="BR90" s="1256"/>
      <c r="BS90" s="1041" t="s">
        <v>1030</v>
      </c>
      <c r="BT90" s="1041"/>
      <c r="BU90" s="1041"/>
      <c r="BV90" s="956"/>
      <c r="BW90" s="956"/>
    </row>
    <row customHeight="1" ht="14.625" hidden="1">
      <c r="A91" s="1256"/>
      <c r="B91" s="955"/>
      <c r="C91" s="73"/>
      <c r="D91" s="73"/>
      <c r="E91" s="596">
        <v>15</v>
      </c>
      <c r="F91" s="50" cm="1" t="str">
        <f t="array" ref="F91:F91">OFFSET(E91,-1,1)</f>
        <v>0</v>
      </c>
      <c r="G91" s="73"/>
      <c r="H91" s="73"/>
      <c r="I91" s="73" t="s">
        <v>455</v>
      </c>
      <c r="J91" s="73"/>
      <c r="K91" s="73" t="s">
        <v>455</v>
      </c>
      <c r="L91" s="957"/>
      <c r="M91" s="73"/>
      <c r="N91" s="73"/>
      <c r="O91" s="73"/>
      <c r="P91" s="73"/>
      <c r="Q91" s="73"/>
      <c r="R91" s="73"/>
      <c r="S91" s="73"/>
      <c r="T91" s="438" cm="1" t="str">
        <f t="array" ref="T91:T91">T90</f>
        <v>false</v>
      </c>
      <c r="U91" s="73"/>
      <c r="V91" s="73"/>
      <c r="W91" s="73"/>
      <c r="X91" s="1541"/>
      <c r="Y91" s="1256"/>
      <c r="Z91" s="1494"/>
      <c r="AA91" s="1256"/>
      <c r="AB91" s="266" t="s">
        <v>513</v>
      </c>
      <c r="AC91" s="738" t="s">
        <v>1911</v>
      </c>
      <c r="AD91" s="755" t="s">
        <v>789</v>
      </c>
      <c r="AE91" s="1092">
        <f>_xlfn.SUMIFS('Сырье и материалы'!AE$25:AE$35,'Сырье и материалы'!$F$25:$F$35,$F91,'Сырье и материалы'!$AC$25:$AC$35,"Всего по тарифу")</f>
        <v>0</v>
      </c>
      <c r="AF91" s="1092">
        <f>_xlfn.SUMIFS('Сырье и материалы'!AF$25:AF$35,'Сырье и материалы'!$F$25:$F$35,$F91,'Сырье и материалы'!$AC$25:$AC$35,"Всего по тарифу")</f>
        <v>0</v>
      </c>
      <c r="AG91" s="1092">
        <f>_xlfn.SUMIFS('Сырье и материалы'!AG$25:AG$35,'Сырье и материалы'!$F$25:$F$35,$F91,'Сырье и материалы'!$AC$25:$AC$35,"Всего по тарифу")</f>
        <v>0</v>
      </c>
      <c r="AH91" s="1092">
        <f>AG91-AF91</f>
        <v>0</v>
      </c>
      <c r="AI91" s="1092">
        <f>_xlfn.SUMIFS('Сырье и материалы'!AH$25:AH$35,'Сырье и материалы'!$F$25:$F$35,$F91,'Сырье и материалы'!$AC$25:$AC$35,"Всего по тарифу")</f>
        <v>0</v>
      </c>
      <c r="AJ91" s="1092">
        <f>_xlfn.SUMIFS('Сырье и материалы'!AI$25:AI$35,'Сырье и материалы'!$F$25:$F$35,$F91,'Сырье и материалы'!$AC$25:$AC$35,"Всего по тарифу")</f>
        <v>0</v>
      </c>
      <c r="AK91" s="1092">
        <f>_xlfn.SUMIFS('Сырье и материалы'!AJ$25:AJ$35,'Сырье и материалы'!$F$25:$F$35,$F91,'Сырье и материалы'!$AC$25:$AC$35,"Всего по тарифу")</f>
        <v>0</v>
      </c>
      <c r="AL91" s="1092">
        <f>_xlfn.SUMIFS('Сырье и материалы'!AK$25:AK$35,'Сырье и материалы'!$F$25:$F$35,$F91,'Сырье и материалы'!$AC$25:$AC$35,"Всего по тарифу")</f>
        <v>0</v>
      </c>
      <c r="AM91" s="1092">
        <f>_xlfn.SUMIFS('Сырье и материалы'!AL$25:AL$35,'Сырье и материалы'!$F$25:$F$35,$F91,'Сырье и материалы'!$AC$25:$AC$35,"Всего по тарифу")</f>
        <v>0</v>
      </c>
      <c r="AN91" s="1092">
        <f>_xlfn.SUMIFS('Сырье и материалы'!AM$25:AM$35,'Сырье и материалы'!$F$25:$F$35,$F91,'Сырье и материалы'!$AC$25:$AC$35,"Всего по тарифу")</f>
        <v>0</v>
      </c>
      <c r="AO91" s="1092">
        <f>_xlfn.SUMIFS('Сырье и материалы'!AN$25:AN$35,'Сырье и материалы'!$F$25:$F$35,$F91,'Сырье и материалы'!$AC$25:$AC$35,"Всего по тарифу")</f>
        <v>0</v>
      </c>
      <c r="AP91" s="1092">
        <f>_xlfn.SUMIFS('Сырье и материалы'!AO$25:AO$35,'Сырье и материалы'!$F$25:$F$35,$F91,'Сырье и материалы'!$AC$25:$AC$35,"Всего по тарифу")</f>
        <v>0</v>
      </c>
      <c r="AQ91" s="1092">
        <f>_xlfn.SUMIFS('Сырье и материалы'!AP$25:AP$35,'Сырье и материалы'!$F$25:$F$35,$F91,'Сырье и материалы'!$AC$25:$AC$35,"Всего по тарифу")</f>
        <v>0</v>
      </c>
      <c r="AR91" s="1092">
        <f>_xlfn.SUMIFS('Сырье и материалы'!AQ$25:AQ$35,'Сырье и материалы'!$F$25:$F$35,$F91,'Сырье и материалы'!$AC$25:$AC$35,"Всего по тарифу")</f>
        <v>0</v>
      </c>
      <c r="AS91" s="1092">
        <f>_xlfn.SUMIFS('Сырье и материалы'!AR$25:AR$35,'Сырье и материалы'!$F$25:$F$35,$F91,'Сырье и материалы'!$AC$25:$AC$35,"Всего по тарифу")</f>
        <v>0</v>
      </c>
      <c r="AT91" s="1092">
        <f>_xlfn.SUMIFS('Сырье и материалы'!AS$25:AS$35,'Сырье и материалы'!$F$25:$F$35,$F91,'Сырье и материалы'!$AC$25:$AC$35,"Всего по тарифу")</f>
        <v>0</v>
      </c>
      <c r="AU91" s="1092">
        <f>_xlfn.SUMIFS('Сырье и материалы'!AT$25:AT$35,'Сырье и материалы'!$F$25:$F$35,$F91,'Сырье и материалы'!$AC$25:$AC$35,"Всего по тарифу")</f>
        <v>0</v>
      </c>
      <c r="AV91" s="1092">
        <f>_xlfn.SUMIFS('Сырье и материалы'!AU$25:AU$35,'Сырье и материалы'!$F$25:$F$35,$F91,'Сырье и материалы'!$AC$25:$AC$35,"Всего по тарифу")</f>
        <v>0</v>
      </c>
      <c r="AW91" s="1092">
        <f>_xlfn.SUMIFS('Сырье и материалы'!AV$25:AV$35,'Сырье и материалы'!$F$25:$F$35,$F91,'Сырье и материалы'!$AC$25:$AC$35,"Всего по тарифу")</f>
        <v>0</v>
      </c>
      <c r="AX91" s="1092">
        <f>_xlfn.SUMIFS('Сырье и материалы'!AW$25:AW$35,'Сырье и материалы'!$F$25:$F$35,$F91,'Сырье и материалы'!$AC$25:$AC$35,"Всего по тарифу")</f>
        <v>0</v>
      </c>
      <c r="AY91" s="1092">
        <f>_xlfn.SUMIFS('Сырье и материалы'!AX$25:AX$35,'Сырье и материалы'!$F$25:$F$35,$F91,'Сырье и материалы'!$AC$25:$AC$35,"Всего по тарифу")</f>
        <v>0</v>
      </c>
      <c r="AZ91" s="1092">
        <f>_xlfn.SUMIFS('Сырье и материалы'!AY$25:AY$35,'Сырье и материалы'!$F$25:$F$35,$F91,'Сырье и материалы'!$AC$25:$AC$35,"Всего по тарифу")</f>
        <v>0</v>
      </c>
      <c r="BA91" s="1092">
        <f>_xlfn.SUMIFS('Сырье и материалы'!AZ$25:AZ$35,'Сырье и материалы'!$F$25:$F$35,$F91,'Сырье и материалы'!$AC$25:$AC$35,"Всего по тарифу")</f>
        <v>0</v>
      </c>
      <c r="BB91" s="1092">
        <f>_xlfn.SUMIFS('Сырье и материалы'!BA$25:BA$35,'Сырье и материалы'!$F$25:$F$35,$F91,'Сырье и материалы'!$AC$25:$AC$35,"Всего по тарифу")</f>
        <v>0</v>
      </c>
      <c r="BC91" s="1092">
        <f>_xlfn.SUMIFS('Сырье и материалы'!BB$25:BB$35,'Сырье и материалы'!$F$25:$F$35,$F91,'Сырье и материалы'!$AC$25:$AC$35,"Всего по тарифу")</f>
        <v>0</v>
      </c>
      <c r="BD91" s="1092">
        <f>IF(AI91=0,0,(AT91-AI91)/AI91*100)</f>
        <v>0</v>
      </c>
      <c r="BE91" s="1092">
        <f>IF(AT91=0,0,(AU91-AT91)/AT91*100)</f>
        <v>0</v>
      </c>
      <c r="BF91" s="1092">
        <f>IF(AU91=0,0,(AV91-AU91)/AU91*100)</f>
        <v>0</v>
      </c>
      <c r="BG91" s="1092">
        <f>IF(AV91=0,0,(AW91-AV91)/AV91*100)</f>
        <v>0</v>
      </c>
      <c r="BH91" s="1092">
        <f>IF(AW91=0,0,(AX91-AW91)/AW91*100)</f>
        <v>0</v>
      </c>
      <c r="BI91" s="1092">
        <f>IF(AX91=0,0,(AY91-AX91)/AX91*100)</f>
        <v>0</v>
      </c>
      <c r="BJ91" s="1092">
        <f>IF(AY91=0,0,(AZ91-AY91)/AY91*100)</f>
        <v>0</v>
      </c>
      <c r="BK91" s="1092">
        <f>IF(AZ91=0,0,(BA91-AZ91)/AZ91*100)</f>
        <v>0</v>
      </c>
      <c r="BL91" s="1092">
        <f>IF(BA91=0,0,(BB91-BA91)/BA91*100)</f>
        <v>0</v>
      </c>
      <c r="BM91" s="1092">
        <f>IF(BB91=0,0,(BC91-BB91)/BB91*100)</f>
        <v>0</v>
      </c>
      <c r="BN91" s="1216"/>
      <c r="BO91" s="1220" t="str">
        <f>IF(_xlfn.IFERROR(INDEX('Сырье и материалы'!$K$26:$L$35,MATCH($F91&amp;"komm",'Сырье и материалы'!$K$26:$K$35,0),2),"")=0,"",_xlfn.IFERROR(INDEX('Сырье и материалы'!$K$26:$L$35,MATCH($F91&amp;"komm",'Сырье и материалы'!$K$26:$K$35,0),2),""))</f>
        <v/>
      </c>
      <c r="BP91" s="1216"/>
      <c r="BQ91" s="1256"/>
      <c r="BR91" s="1256"/>
      <c r="BS91" s="1041" t="s">
        <v>1572</v>
      </c>
      <c r="BT91" s="1041"/>
      <c r="BU91" s="1041"/>
      <c r="BV91" s="956"/>
      <c r="BW91" s="956"/>
    </row>
    <row s="676" customFormat="1" customHeight="1" ht="20.475" hidden="1">
      <c r="A92" s="676"/>
      <c r="B92" s="407"/>
      <c r="C92" s="75"/>
      <c r="D92" s="75"/>
      <c r="E92" s="802">
        <v>21</v>
      </c>
      <c r="F92" s="50" cm="1" t="str">
        <f t="array" ref="F92:F92">OFFSET(E92,-1,1)</f>
        <v>0</v>
      </c>
      <c r="G92" s="75"/>
      <c r="H92" s="73"/>
      <c r="I92" s="73" t="s">
        <v>864</v>
      </c>
      <c r="J92" s="75"/>
      <c r="K92" s="73" t="s">
        <v>864</v>
      </c>
      <c r="L92" s="962" t="s">
        <v>488</v>
      </c>
      <c r="M92" s="75"/>
      <c r="N92" s="75"/>
      <c r="O92" s="75"/>
      <c r="P92" s="75"/>
      <c r="Q92" s="75"/>
      <c r="R92" s="75"/>
      <c r="S92" s="75"/>
      <c r="T92" s="438" cm="1" t="str">
        <f t="array" ref="T92:T92">T91</f>
        <v>false</v>
      </c>
      <c r="U92" s="75"/>
      <c r="V92" s="75"/>
      <c r="W92" s="75"/>
      <c r="X92" s="1541"/>
      <c r="Y92" s="676"/>
      <c r="Z92" s="1494"/>
      <c r="AA92" s="676"/>
      <c r="AB92" s="177" t="s">
        <v>517</v>
      </c>
      <c r="AC92" s="327" t="s">
        <v>1912</v>
      </c>
      <c r="AD92" s="177" t="s">
        <v>789</v>
      </c>
      <c r="AE92" s="754">
        <f>SUM(AE93:AE102)</f>
        <v>0</v>
      </c>
      <c r="AF92" s="754">
        <f>SUM(AF93:AF102)</f>
        <v>0</v>
      </c>
      <c r="AG92" s="754">
        <f>SUM(AG93:AG102)</f>
        <v>0</v>
      </c>
      <c r="AH92" s="754">
        <f>AG92-AF92</f>
        <v>0</v>
      </c>
      <c r="AI92" s="754">
        <f>SUM(AI93:AI102)</f>
        <v>0</v>
      </c>
      <c r="AJ92" s="179">
        <f>SUM(AJ93:AJ102)</f>
        <v>0</v>
      </c>
      <c r="AK92" s="754">
        <f>SUM(AK93:AK102)</f>
        <v>0</v>
      </c>
      <c r="AL92" s="754">
        <f>SUM(AL93:AL102)</f>
        <v>0</v>
      </c>
      <c r="AM92" s="754">
        <f>SUM(AM93:AM102)</f>
        <v>0</v>
      </c>
      <c r="AN92" s="754">
        <f>SUM(AN93:AN102)</f>
        <v>0</v>
      </c>
      <c r="AO92" s="754">
        <f>SUM(AO93:AO102)</f>
        <v>0</v>
      </c>
      <c r="AP92" s="754">
        <f>SUM(AP93:AP102)</f>
        <v>0</v>
      </c>
      <c r="AQ92" s="754">
        <f>SUM(AQ93:AQ102)</f>
        <v>0</v>
      </c>
      <c r="AR92" s="754">
        <f>SUM(AR93:AR102)</f>
        <v>0</v>
      </c>
      <c r="AS92" s="754">
        <f>SUM(AS93:AS102)</f>
        <v>0</v>
      </c>
      <c r="AT92" s="179">
        <f>SUM(AT93:AT102)</f>
        <v>0</v>
      </c>
      <c r="AU92" s="754">
        <f>SUM(AU93:AU102)</f>
        <v>0</v>
      </c>
      <c r="AV92" s="754">
        <f>SUM(AV93:AV102)</f>
        <v>0</v>
      </c>
      <c r="AW92" s="754">
        <f>SUM(AW93:AW102)</f>
        <v>0</v>
      </c>
      <c r="AX92" s="754">
        <f>SUM(AX93:AX102)</f>
        <v>0</v>
      </c>
      <c r="AY92" s="754">
        <f>SUM(AY93:AY102)</f>
        <v>0</v>
      </c>
      <c r="AZ92" s="754">
        <f>SUM(AZ93:AZ102)</f>
        <v>0</v>
      </c>
      <c r="BA92" s="754">
        <f>SUM(BA93:BA102)</f>
        <v>0</v>
      </c>
      <c r="BB92" s="754">
        <f>SUM(BB93:BB102)</f>
        <v>0</v>
      </c>
      <c r="BC92" s="754">
        <f>SUM(BC93:BC102)</f>
        <v>0</v>
      </c>
      <c r="BD92" s="754">
        <f>IF(AI92=0,0,(AT92-AI92)/AI92*100)</f>
        <v>0</v>
      </c>
      <c r="BE92" s="754">
        <f>IF(AT92=0,0,(AU92-AT92)/AT92*100)</f>
        <v>0</v>
      </c>
      <c r="BF92" s="754">
        <f>IF(AU92=0,0,(AV92-AU92)/AU92*100)</f>
        <v>0</v>
      </c>
      <c r="BG92" s="754">
        <f>IF(AV92=0,0,(AW92-AV92)/AV92*100)</f>
        <v>0</v>
      </c>
      <c r="BH92" s="754">
        <f>IF(AW92=0,0,(AX92-AW92)/AW92*100)</f>
        <v>0</v>
      </c>
      <c r="BI92" s="754">
        <f>IF(AX92=0,0,(AY92-AX92)/AX92*100)</f>
        <v>0</v>
      </c>
      <c r="BJ92" s="754">
        <f>IF(AY92=0,0,(AZ92-AY92)/AY92*100)</f>
        <v>0</v>
      </c>
      <c r="BK92" s="754">
        <f>IF(AZ92=0,0,(BA92-AZ92)/AZ92*100)</f>
        <v>0</v>
      </c>
      <c r="BL92" s="754">
        <f>IF(BA92=0,0,(BB92-BA92)/BA92*100)</f>
        <v>0</v>
      </c>
      <c r="BM92" s="754">
        <f>IF(BB92=0,0,(BC92-BB92)/BB92*100)</f>
        <v>0</v>
      </c>
      <c r="BN92" s="1218"/>
      <c r="BO92" s="1220" t="str">
        <f>IF(_xlfn.IFERROR(INDEX(Налоги!$K$26:$L$55,MATCH($F92&amp;"komm",Налоги!$K$26:$K$55,0),2),"")=0,"",_xlfn.IFERROR(INDEX(Налоги!$K$26:$L$55,MATCH($F92&amp;"komm",Налоги!$K$26:$K$55,0),2),""))</f>
        <v/>
      </c>
      <c r="BP92" s="1218"/>
      <c r="BQ92" s="676"/>
      <c r="BR92" s="676"/>
      <c r="BS92" s="1047" t="s">
        <v>1146</v>
      </c>
      <c r="BT92" s="1047"/>
      <c r="BU92" s="1047"/>
      <c r="BV92" s="683"/>
      <c r="BW92" s="683"/>
    </row>
    <row customHeight="1" ht="14.625" hidden="1">
      <c r="A93" s="1256"/>
      <c r="B93" s="955"/>
      <c r="C93" s="73"/>
      <c r="D93" s="73"/>
      <c r="E93" s="596">
        <v>15</v>
      </c>
      <c r="F93" s="50" cm="1" t="str">
        <f t="array" ref="F93:F93">OFFSET(E93,-1,1)</f>
        <v>0</v>
      </c>
      <c r="G93" s="898">
        <v>7</v>
      </c>
      <c r="H93" s="73"/>
      <c r="I93" s="73" t="s">
        <v>1913</v>
      </c>
      <c r="J93" s="73"/>
      <c r="K93" s="73" t="s">
        <v>1913</v>
      </c>
      <c r="L93" s="957"/>
      <c r="M93" s="73"/>
      <c r="N93" s="73"/>
      <c r="O93" s="73"/>
      <c r="P93" s="73"/>
      <c r="Q93" s="73"/>
      <c r="R93" s="73"/>
      <c r="S93" s="73"/>
      <c r="T93" s="438" cm="1" t="str">
        <f t="array" ref="T93:T93">T92</f>
        <v>false</v>
      </c>
      <c r="U93" s="73"/>
      <c r="V93" s="73"/>
      <c r="W93" s="73"/>
      <c r="X93" s="1541"/>
      <c r="Y93" s="1256"/>
      <c r="Z93" s="1494"/>
      <c r="AA93" s="1256"/>
      <c r="AB93" s="266" t="s">
        <v>471</v>
      </c>
      <c r="AC93" s="741" t="s">
        <v>1160</v>
      </c>
      <c r="AD93" s="266" t="s">
        <v>789</v>
      </c>
      <c r="AE93" s="1092">
        <f>_xlfn.SUMIFS(Налоги!AE$25:AE$55,Налоги!$F$25:$F$55,$F93,Налоги!$AB$25:$AB$55,$G93)</f>
        <v>0</v>
      </c>
      <c r="AF93" s="1092">
        <f>_xlfn.SUMIFS(Налоги!AF$25:AF$55,Налоги!$F$25:$F$55,$F93,Налоги!$AB$25:$AB$55,$G93)</f>
        <v>0</v>
      </c>
      <c r="AG93" s="1092">
        <f>_xlfn.SUMIFS(Налоги!AG$25:AG$55,Налоги!$F$25:$F$55,$F93,Налоги!$AB$25:$AB$55,$G93)</f>
        <v>0</v>
      </c>
      <c r="AH93" s="1092">
        <f>AG93-AF93</f>
        <v>0</v>
      </c>
      <c r="AI93" s="1092">
        <f>_xlfn.SUMIFS(Налоги!AH$25:AH$55,Налоги!$F$25:$F$55,$F93,Налоги!$AB$25:$AB$55,$G93)</f>
        <v>0</v>
      </c>
      <c r="AJ93" s="1092">
        <f>_xlfn.SUMIFS(Налоги!AI$25:AI$55,Налоги!$F$25:$F$55,$F93,Налоги!$AB$25:$AB$55,$G93)</f>
        <v>0</v>
      </c>
      <c r="AK93" s="1092">
        <f>_xlfn.SUMIFS(Налоги!AJ$25:AJ$55,Налоги!$F$25:$F$55,$F93,Налоги!$AB$25:$AB$55,$G93)</f>
        <v>0</v>
      </c>
      <c r="AL93" s="1092">
        <f>_xlfn.SUMIFS(Налоги!AK$25:AK$55,Налоги!$F$25:$F$55,$F93,Налоги!$AB$25:$AB$55,$G93)</f>
        <v>0</v>
      </c>
      <c r="AM93" s="1092">
        <f>_xlfn.SUMIFS(Налоги!AL$25:AL$55,Налоги!$F$25:$F$55,$F93,Налоги!$AB$25:$AB$55,$G93)</f>
        <v>0</v>
      </c>
      <c r="AN93" s="1092">
        <f>_xlfn.SUMIFS(Налоги!AM$25:AM$55,Налоги!$F$25:$F$55,$F93,Налоги!$AB$25:$AB$55,$G93)</f>
        <v>0</v>
      </c>
      <c r="AO93" s="1092">
        <f>_xlfn.SUMIFS(Налоги!AN$25:AN$55,Налоги!$F$25:$F$55,$F93,Налоги!$AB$25:$AB$55,$G93)</f>
        <v>0</v>
      </c>
      <c r="AP93" s="1092">
        <f>_xlfn.SUMIFS(Налоги!AO$25:AO$55,Налоги!$F$25:$F$55,$F93,Налоги!$AB$25:$AB$55,$G93)</f>
        <v>0</v>
      </c>
      <c r="AQ93" s="1092">
        <f>_xlfn.SUMIFS(Налоги!AP$25:AP$55,Налоги!$F$25:$F$55,$F93,Налоги!$AB$25:$AB$55,$G93)</f>
        <v>0</v>
      </c>
      <c r="AR93" s="1092">
        <f>_xlfn.SUMIFS(Налоги!AQ$25:AQ$55,Налоги!$F$25:$F$55,$F93,Налоги!$AB$25:$AB$55,$G93)</f>
        <v>0</v>
      </c>
      <c r="AS93" s="1092">
        <f>_xlfn.SUMIFS(Налоги!AR$25:AR$55,Налоги!$F$25:$F$55,$F93,Налоги!$AB$25:$AB$55,$G93)</f>
        <v>0</v>
      </c>
      <c r="AT93" s="1092">
        <f>_xlfn.SUMIFS(Налоги!AS$25:AS$55,Налоги!$F$25:$F$55,$F93,Налоги!$AB$25:$AB$55,$G93)</f>
        <v>0</v>
      </c>
      <c r="AU93" s="1092">
        <f>_xlfn.SUMIFS(Налоги!AT$25:AT$55,Налоги!$F$25:$F$55,$F93,Налоги!$AB$25:$AB$55,$G93)</f>
        <v>0</v>
      </c>
      <c r="AV93" s="1092">
        <f>_xlfn.SUMIFS(Налоги!AU$25:AU$55,Налоги!$F$25:$F$55,$F93,Налоги!$AB$25:$AB$55,$G93)</f>
        <v>0</v>
      </c>
      <c r="AW93" s="1092">
        <f>_xlfn.SUMIFS(Налоги!AV$25:AV$55,Налоги!$F$25:$F$55,$F93,Налоги!$AB$25:$AB$55,$G93)</f>
        <v>0</v>
      </c>
      <c r="AX93" s="1092">
        <f>_xlfn.SUMIFS(Налоги!AW$25:AW$55,Налоги!$F$25:$F$55,$F93,Налоги!$AB$25:$AB$55,$G93)</f>
        <v>0</v>
      </c>
      <c r="AY93" s="1092">
        <f>_xlfn.SUMIFS(Налоги!AX$25:AX$55,Налоги!$F$25:$F$55,$F93,Налоги!$AB$25:$AB$55,$G93)</f>
        <v>0</v>
      </c>
      <c r="AZ93" s="1092">
        <f>_xlfn.SUMIFS(Налоги!AY$25:AY$55,Налоги!$F$25:$F$55,$F93,Налоги!$AB$25:$AB$55,$G93)</f>
        <v>0</v>
      </c>
      <c r="BA93" s="1092">
        <f>_xlfn.SUMIFS(Налоги!AZ$25:AZ$55,Налоги!$F$25:$F$55,$F93,Налоги!$AB$25:$AB$55,$G93)</f>
        <v>0</v>
      </c>
      <c r="BB93" s="1092">
        <f>_xlfn.SUMIFS(Налоги!BA$25:BA$55,Налоги!$F$25:$F$55,$F93,Налоги!$AB$25:$AB$55,$G93)</f>
        <v>0</v>
      </c>
      <c r="BC93" s="1092">
        <f>_xlfn.SUMIFS(Налоги!BB$25:BB$55,Налоги!$F$25:$F$55,$F93,Налоги!$AB$25:$AB$55,$G93)</f>
        <v>0</v>
      </c>
      <c r="BD93" s="1092">
        <f>IF(AI93=0,0,(AT93-AI93)/AI93*100)</f>
        <v>0</v>
      </c>
      <c r="BE93" s="1092">
        <f>IF(AT93=0,0,(AU93-AT93)/AT93*100)</f>
        <v>0</v>
      </c>
      <c r="BF93" s="1092">
        <f>IF(AU93=0,0,(AV93-AU93)/AU93*100)</f>
        <v>0</v>
      </c>
      <c r="BG93" s="1092">
        <f>IF(AV93=0,0,(AW93-AV93)/AV93*100)</f>
        <v>0</v>
      </c>
      <c r="BH93" s="1092">
        <f>IF(AW93=0,0,(AX93-AW93)/AW93*100)</f>
        <v>0</v>
      </c>
      <c r="BI93" s="1092">
        <f>IF(AX93=0,0,(AY93-AX93)/AX93*100)</f>
        <v>0</v>
      </c>
      <c r="BJ93" s="1092">
        <f>IF(AY93=0,0,(AZ93-AY93)/AY93*100)</f>
        <v>0</v>
      </c>
      <c r="BK93" s="1092">
        <f>IF(AZ93=0,0,(BA93-AZ93)/AZ93*100)</f>
        <v>0</v>
      </c>
      <c r="BL93" s="1092">
        <f>IF(BA93=0,0,(BB93-BA93)/BA93*100)</f>
        <v>0</v>
      </c>
      <c r="BM93" s="1092">
        <f>IF(BB93=0,0,(BC93-BB93)/BB93*100)</f>
        <v>0</v>
      </c>
      <c r="BN93" s="1216"/>
      <c r="BO93" s="1220" t="str">
        <f>IF(_xlfn.IFERROR(INDEX(Налоги!$K$26:$L$55,MATCH($F93&amp;"7komm",Налоги!$K$26:$K$55,0),2),"")=0,"",_xlfn.IFERROR(INDEX(Налоги!$K$26:$L$55,MATCH($F93&amp;"7komm",Налоги!$K$26:$K$55,0),2),""))</f>
        <v/>
      </c>
      <c r="BP93" s="1216"/>
      <c r="BQ93" s="1256"/>
      <c r="BR93" s="1256"/>
      <c r="BS93" s="1041" t="s">
        <v>1914</v>
      </c>
      <c r="BT93" s="1041"/>
      <c r="BU93" s="1041"/>
      <c r="BV93" s="956"/>
      <c r="BW93" s="956"/>
    </row>
    <row customHeight="1" ht="14.625" hidden="1">
      <c r="A94" s="1256"/>
      <c r="B94" s="955"/>
      <c r="C94" s="73"/>
      <c r="D94" s="73"/>
      <c r="E94" s="596">
        <v>15</v>
      </c>
      <c r="F94" s="50" cm="1" t="str">
        <f t="array" ref="F94:F94">OFFSET(E94,-1,1)</f>
        <v>0</v>
      </c>
      <c r="G94" s="898">
        <v>6</v>
      </c>
      <c r="H94" s="73"/>
      <c r="I94" s="73" t="s">
        <v>1915</v>
      </c>
      <c r="J94" s="73"/>
      <c r="K94" s="73" t="s">
        <v>1915</v>
      </c>
      <c r="L94" s="957"/>
      <c r="M94" s="73"/>
      <c r="N94" s="73"/>
      <c r="O94" s="73"/>
      <c r="P94" s="73"/>
      <c r="Q94" s="73"/>
      <c r="R94" s="73"/>
      <c r="S94" s="73"/>
      <c r="T94" s="438" cm="1" t="str">
        <f t="array" ref="T94:T94">T93</f>
        <v>false</v>
      </c>
      <c r="U94" s="73"/>
      <c r="V94" s="73"/>
      <c r="W94" s="73"/>
      <c r="X94" s="1541"/>
      <c r="Y94" s="1256"/>
      <c r="Z94" s="1494"/>
      <c r="AA94" s="1256"/>
      <c r="AB94" s="266" t="s">
        <v>1364</v>
      </c>
      <c r="AC94" s="741" t="s">
        <v>1916</v>
      </c>
      <c r="AD94" s="266" t="s">
        <v>789</v>
      </c>
      <c r="AE94" s="1092">
        <f>_xlfn.SUMIFS(Налоги!AE$25:AE$55,Налоги!$F$25:$F$55,$F94,Налоги!$AB$25:$AB$55,$G94)</f>
        <v>0</v>
      </c>
      <c r="AF94" s="1092">
        <f>_xlfn.SUMIFS(Налоги!AF$25:AF$55,Налоги!$F$25:$F$55,$F94,Налоги!$AB$25:$AB$55,$G94)</f>
        <v>0</v>
      </c>
      <c r="AG94" s="1092">
        <f>_xlfn.SUMIFS(Налоги!AG$25:AG$55,Налоги!$F$25:$F$55,$F94,Налоги!$AB$25:$AB$55,$G94)</f>
        <v>0</v>
      </c>
      <c r="AH94" s="1092">
        <f>AG94-AF94</f>
        <v>0</v>
      </c>
      <c r="AI94" s="1092">
        <f>_xlfn.SUMIFS(Налоги!AH$25:AH$55,Налоги!$F$25:$F$55,$F94,Налоги!$AB$25:$AB$55,$G94)</f>
        <v>0</v>
      </c>
      <c r="AJ94" s="1092">
        <f>_xlfn.SUMIFS(Налоги!AI$25:AI$55,Налоги!$F$25:$F$55,$F94,Налоги!$AB$25:$AB$55,$G94)</f>
        <v>0</v>
      </c>
      <c r="AK94" s="1092">
        <f>_xlfn.SUMIFS(Налоги!AJ$25:AJ$55,Налоги!$F$25:$F$55,$F94,Налоги!$AB$25:$AB$55,$G94)</f>
        <v>0</v>
      </c>
      <c r="AL94" s="1092">
        <f>_xlfn.SUMIFS(Налоги!AK$25:AK$55,Налоги!$F$25:$F$55,$F94,Налоги!$AB$25:$AB$55,$G94)</f>
        <v>0</v>
      </c>
      <c r="AM94" s="1092">
        <f>_xlfn.SUMIFS(Налоги!AL$25:AL$55,Налоги!$F$25:$F$55,$F94,Налоги!$AB$25:$AB$55,$G94)</f>
        <v>0</v>
      </c>
      <c r="AN94" s="1092">
        <f>_xlfn.SUMIFS(Налоги!AM$25:AM$55,Налоги!$F$25:$F$55,$F94,Налоги!$AB$25:$AB$55,$G94)</f>
        <v>0</v>
      </c>
      <c r="AO94" s="1092">
        <f>_xlfn.SUMIFS(Налоги!AN$25:AN$55,Налоги!$F$25:$F$55,$F94,Налоги!$AB$25:$AB$55,$G94)</f>
        <v>0</v>
      </c>
      <c r="AP94" s="1092">
        <f>_xlfn.SUMIFS(Налоги!AO$25:AO$55,Налоги!$F$25:$F$55,$F94,Налоги!$AB$25:$AB$55,$G94)</f>
        <v>0</v>
      </c>
      <c r="AQ94" s="1092">
        <f>_xlfn.SUMIFS(Налоги!AP$25:AP$55,Налоги!$F$25:$F$55,$F94,Налоги!$AB$25:$AB$55,$G94)</f>
        <v>0</v>
      </c>
      <c r="AR94" s="1092">
        <f>_xlfn.SUMIFS(Налоги!AQ$25:AQ$55,Налоги!$F$25:$F$55,$F94,Налоги!$AB$25:$AB$55,$G94)</f>
        <v>0</v>
      </c>
      <c r="AS94" s="1092">
        <f>_xlfn.SUMIFS(Налоги!AR$25:AR$55,Налоги!$F$25:$F$55,$F94,Налоги!$AB$25:$AB$55,$G94)</f>
        <v>0</v>
      </c>
      <c r="AT94" s="1092">
        <f>_xlfn.SUMIFS(Налоги!AS$25:AS$55,Налоги!$F$25:$F$55,$F94,Налоги!$AB$25:$AB$55,$G94)</f>
        <v>0</v>
      </c>
      <c r="AU94" s="1092">
        <f>_xlfn.SUMIFS(Налоги!AT$25:AT$55,Налоги!$F$25:$F$55,$F94,Налоги!$AB$25:$AB$55,$G94)</f>
        <v>0</v>
      </c>
      <c r="AV94" s="1092">
        <f>_xlfn.SUMIFS(Налоги!AU$25:AU$55,Налоги!$F$25:$F$55,$F94,Налоги!$AB$25:$AB$55,$G94)</f>
        <v>0</v>
      </c>
      <c r="AW94" s="1092">
        <f>_xlfn.SUMIFS(Налоги!AV$25:AV$55,Налоги!$F$25:$F$55,$F94,Налоги!$AB$25:$AB$55,$G94)</f>
        <v>0</v>
      </c>
      <c r="AX94" s="1092">
        <f>_xlfn.SUMIFS(Налоги!AW$25:AW$55,Налоги!$F$25:$F$55,$F94,Налоги!$AB$25:$AB$55,$G94)</f>
        <v>0</v>
      </c>
      <c r="AY94" s="1092">
        <f>_xlfn.SUMIFS(Налоги!AX$25:AX$55,Налоги!$F$25:$F$55,$F94,Налоги!$AB$25:$AB$55,$G94)</f>
        <v>0</v>
      </c>
      <c r="AZ94" s="1092">
        <f>_xlfn.SUMIFS(Налоги!AY$25:AY$55,Налоги!$F$25:$F$55,$F94,Налоги!$AB$25:$AB$55,$G94)</f>
        <v>0</v>
      </c>
      <c r="BA94" s="1092">
        <f>_xlfn.SUMIFS(Налоги!AZ$25:AZ$55,Налоги!$F$25:$F$55,$F94,Налоги!$AB$25:$AB$55,$G94)</f>
        <v>0</v>
      </c>
      <c r="BB94" s="1092">
        <f>_xlfn.SUMIFS(Налоги!BA$25:BA$55,Налоги!$F$25:$F$55,$F94,Налоги!$AB$25:$AB$55,$G94)</f>
        <v>0</v>
      </c>
      <c r="BC94" s="1092">
        <f>_xlfn.SUMIFS(Налоги!BB$25:BB$55,Налоги!$F$25:$F$55,$F94,Налоги!$AB$25:$AB$55,$G94)</f>
        <v>0</v>
      </c>
      <c r="BD94" s="1092">
        <f>IF(AI94=0,0,(AT94-AI94)/AI94*100)</f>
        <v>0</v>
      </c>
      <c r="BE94" s="1092">
        <f>IF(AT94=0,0,(AU94-AT94)/AT94*100)</f>
        <v>0</v>
      </c>
      <c r="BF94" s="1092">
        <f>IF(AU94=0,0,(AV94-AU94)/AU94*100)</f>
        <v>0</v>
      </c>
      <c r="BG94" s="1092">
        <f>IF(AV94=0,0,(AW94-AV94)/AV94*100)</f>
        <v>0</v>
      </c>
      <c r="BH94" s="1092">
        <f>IF(AW94=0,0,(AX94-AW94)/AW94*100)</f>
        <v>0</v>
      </c>
      <c r="BI94" s="1092">
        <f>IF(AX94=0,0,(AY94-AX94)/AX94*100)</f>
        <v>0</v>
      </c>
      <c r="BJ94" s="1092">
        <f>IF(AY94=0,0,(AZ94-AY94)/AY94*100)</f>
        <v>0</v>
      </c>
      <c r="BK94" s="1092">
        <f>IF(AZ94=0,0,(BA94-AZ94)/AZ94*100)</f>
        <v>0</v>
      </c>
      <c r="BL94" s="1092">
        <f>IF(BA94=0,0,(BB94-BA94)/BA94*100)</f>
        <v>0</v>
      </c>
      <c r="BM94" s="1092">
        <f>IF(BB94=0,0,(BC94-BB94)/BB94*100)</f>
        <v>0</v>
      </c>
      <c r="BN94" s="1216"/>
      <c r="BO94" s="1220" t="str">
        <f>IF(_xlfn.IFERROR(INDEX(Налоги!$K$26:$L$55,MATCH($F94&amp;"6komm",Налоги!$K$26:$K$55,0),2),"")=0,"",_xlfn.IFERROR(INDEX(Налоги!$K$26:$L$55,MATCH($F94&amp;"6komm",Налоги!$K$26:$K$55,0),2),""))</f>
        <v/>
      </c>
      <c r="BP94" s="1216"/>
      <c r="BQ94" s="1256"/>
      <c r="BR94" s="1256"/>
      <c r="BS94" s="1041" t="s">
        <v>1917</v>
      </c>
      <c r="BT94" s="1041"/>
      <c r="BU94" s="1041"/>
      <c r="BV94" s="956"/>
      <c r="BW94" s="956"/>
    </row>
    <row customHeight="1" ht="14.625" hidden="1">
      <c r="A95" s="1256"/>
      <c r="B95" s="955"/>
      <c r="C95" s="73"/>
      <c r="D95" s="73"/>
      <c r="E95" s="596">
        <v>15</v>
      </c>
      <c r="F95" s="50" cm="1" t="str">
        <f t="array" ref="F95:F95">OFFSET(E95,-1,1)</f>
        <v>0</v>
      </c>
      <c r="G95" s="898">
        <v>2</v>
      </c>
      <c r="H95" s="73"/>
      <c r="I95" s="73" t="s">
        <v>1918</v>
      </c>
      <c r="J95" s="73"/>
      <c r="K95" s="73" t="s">
        <v>1918</v>
      </c>
      <c r="L95" s="957"/>
      <c r="M95" s="73"/>
      <c r="N95" s="73"/>
      <c r="O95" s="73"/>
      <c r="P95" s="73"/>
      <c r="Q95" s="73"/>
      <c r="R95" s="73"/>
      <c r="S95" s="73"/>
      <c r="T95" s="438" cm="1" t="str">
        <f t="array" ref="T95:T95">T94</f>
        <v>false</v>
      </c>
      <c r="U95" s="73"/>
      <c r="V95" s="73"/>
      <c r="W95" s="73"/>
      <c r="X95" s="1541"/>
      <c r="Y95" s="1256"/>
      <c r="Z95" s="1494"/>
      <c r="AA95" s="1256"/>
      <c r="AB95" s="266" t="s">
        <v>1369</v>
      </c>
      <c r="AC95" s="741" t="s">
        <v>1919</v>
      </c>
      <c r="AD95" s="266" t="s">
        <v>789</v>
      </c>
      <c r="AE95" s="1092">
        <f>_xlfn.SUMIFS(Налоги!AE$25:AE$55,Налоги!$F$25:$F$55,$F95,Налоги!$AB$25:$AB$55,$G95)</f>
        <v>0</v>
      </c>
      <c r="AF95" s="1092">
        <f>_xlfn.SUMIFS(Налоги!AF$25:AF$55,Налоги!$F$25:$F$55,$F95,Налоги!$AB$25:$AB$55,$G95)</f>
        <v>0</v>
      </c>
      <c r="AG95" s="1092">
        <f>_xlfn.SUMIFS(Налоги!AG$25:AG$55,Налоги!$F$25:$F$55,$F95,Налоги!$AB$25:$AB$55,$G95)</f>
        <v>0</v>
      </c>
      <c r="AH95" s="1092">
        <f>AG95-AF95</f>
        <v>0</v>
      </c>
      <c r="AI95" s="1092">
        <f>_xlfn.SUMIFS(Налоги!AH$25:AH$55,Налоги!$F$25:$F$55,$F95,Налоги!$AB$25:$AB$55,$G95)</f>
        <v>0</v>
      </c>
      <c r="AJ95" s="1092">
        <f>_xlfn.SUMIFS(Налоги!AI$25:AI$55,Налоги!$F$25:$F$55,$F95,Налоги!$AB$25:$AB$55,$G95)</f>
        <v>0</v>
      </c>
      <c r="AK95" s="1092">
        <f>_xlfn.SUMIFS(Налоги!AJ$25:AJ$55,Налоги!$F$25:$F$55,$F95,Налоги!$AB$25:$AB$55,$G95)</f>
        <v>0</v>
      </c>
      <c r="AL95" s="1092">
        <f>_xlfn.SUMIFS(Налоги!AK$25:AK$55,Налоги!$F$25:$F$55,$F95,Налоги!$AB$25:$AB$55,$G95)</f>
        <v>0</v>
      </c>
      <c r="AM95" s="1092">
        <f>_xlfn.SUMIFS(Налоги!AL$25:AL$55,Налоги!$F$25:$F$55,$F95,Налоги!$AB$25:$AB$55,$G95)</f>
        <v>0</v>
      </c>
      <c r="AN95" s="1092">
        <f>_xlfn.SUMIFS(Налоги!AM$25:AM$55,Налоги!$F$25:$F$55,$F95,Налоги!$AB$25:$AB$55,$G95)</f>
        <v>0</v>
      </c>
      <c r="AO95" s="1092">
        <f>_xlfn.SUMIFS(Налоги!AN$25:AN$55,Налоги!$F$25:$F$55,$F95,Налоги!$AB$25:$AB$55,$G95)</f>
        <v>0</v>
      </c>
      <c r="AP95" s="1092">
        <f>_xlfn.SUMIFS(Налоги!AO$25:AO$55,Налоги!$F$25:$F$55,$F95,Налоги!$AB$25:$AB$55,$G95)</f>
        <v>0</v>
      </c>
      <c r="AQ95" s="1092">
        <f>_xlfn.SUMIFS(Налоги!AP$25:AP$55,Налоги!$F$25:$F$55,$F95,Налоги!$AB$25:$AB$55,$G95)</f>
        <v>0</v>
      </c>
      <c r="AR95" s="1092">
        <f>_xlfn.SUMIFS(Налоги!AQ$25:AQ$55,Налоги!$F$25:$F$55,$F95,Налоги!$AB$25:$AB$55,$G95)</f>
        <v>0</v>
      </c>
      <c r="AS95" s="1092">
        <f>_xlfn.SUMIFS(Налоги!AR$25:AR$55,Налоги!$F$25:$F$55,$F95,Налоги!$AB$25:$AB$55,$G95)</f>
        <v>0</v>
      </c>
      <c r="AT95" s="1092">
        <f>_xlfn.SUMIFS(Налоги!AS$25:AS$55,Налоги!$F$25:$F$55,$F95,Налоги!$AB$25:$AB$55,$G95)</f>
        <v>0</v>
      </c>
      <c r="AU95" s="1092">
        <f>_xlfn.SUMIFS(Налоги!AT$25:AT$55,Налоги!$F$25:$F$55,$F95,Налоги!$AB$25:$AB$55,$G95)</f>
        <v>0</v>
      </c>
      <c r="AV95" s="1092">
        <f>_xlfn.SUMIFS(Налоги!AU$25:AU$55,Налоги!$F$25:$F$55,$F95,Налоги!$AB$25:$AB$55,$G95)</f>
        <v>0</v>
      </c>
      <c r="AW95" s="1092">
        <f>_xlfn.SUMIFS(Налоги!AV$25:AV$55,Налоги!$F$25:$F$55,$F95,Налоги!$AB$25:$AB$55,$G95)</f>
        <v>0</v>
      </c>
      <c r="AX95" s="1092">
        <f>_xlfn.SUMIFS(Налоги!AW$25:AW$55,Налоги!$F$25:$F$55,$F95,Налоги!$AB$25:$AB$55,$G95)</f>
        <v>0</v>
      </c>
      <c r="AY95" s="1092">
        <f>_xlfn.SUMIFS(Налоги!AX$25:AX$55,Налоги!$F$25:$F$55,$F95,Налоги!$AB$25:$AB$55,$G95)</f>
        <v>0</v>
      </c>
      <c r="AZ95" s="1092">
        <f>_xlfn.SUMIFS(Налоги!AY$25:AY$55,Налоги!$F$25:$F$55,$F95,Налоги!$AB$25:$AB$55,$G95)</f>
        <v>0</v>
      </c>
      <c r="BA95" s="1092">
        <f>_xlfn.SUMIFS(Налоги!AZ$25:AZ$55,Налоги!$F$25:$F$55,$F95,Налоги!$AB$25:$AB$55,$G95)</f>
        <v>0</v>
      </c>
      <c r="BB95" s="1092">
        <f>_xlfn.SUMIFS(Налоги!BA$25:BA$55,Налоги!$F$25:$F$55,$F95,Налоги!$AB$25:$AB$55,$G95)</f>
        <v>0</v>
      </c>
      <c r="BC95" s="1092">
        <f>_xlfn.SUMIFS(Налоги!BB$25:BB$55,Налоги!$F$25:$F$55,$F95,Налоги!$AB$25:$AB$55,$G95)</f>
        <v>0</v>
      </c>
      <c r="BD95" s="1092">
        <f>IF(AI95=0,0,(AT95-AI95)/AI95*100)</f>
        <v>0</v>
      </c>
      <c r="BE95" s="1092">
        <f>IF(AT95=0,0,(AU95-AT95)/AT95*100)</f>
        <v>0</v>
      </c>
      <c r="BF95" s="1092">
        <f>IF(AU95=0,0,(AV95-AU95)/AU95*100)</f>
        <v>0</v>
      </c>
      <c r="BG95" s="1092">
        <f>IF(AV95=0,0,(AW95-AV95)/AV95*100)</f>
        <v>0</v>
      </c>
      <c r="BH95" s="1092">
        <f>IF(AW95=0,0,(AX95-AW95)/AW95*100)</f>
        <v>0</v>
      </c>
      <c r="BI95" s="1092">
        <f>IF(AX95=0,0,(AY95-AX95)/AX95*100)</f>
        <v>0</v>
      </c>
      <c r="BJ95" s="1092">
        <f>IF(AY95=0,0,(AZ95-AY95)/AY95*100)</f>
        <v>0</v>
      </c>
      <c r="BK95" s="1092">
        <f>IF(AZ95=0,0,(BA95-AZ95)/AZ95*100)</f>
        <v>0</v>
      </c>
      <c r="BL95" s="1092">
        <f>IF(BA95=0,0,(BB95-BA95)/BA95*100)</f>
        <v>0</v>
      </c>
      <c r="BM95" s="1092">
        <f>IF(BB95=0,0,(BC95-BB95)/BB95*100)</f>
        <v>0</v>
      </c>
      <c r="BN95" s="1216"/>
      <c r="BO95" s="1220" t="str">
        <f>IF(_xlfn.IFERROR(INDEX(Налоги!$K$26:$L$55,MATCH($F95&amp;"2komm",Налоги!$K$26:$K$55,0),2),"")=0,"",_xlfn.IFERROR(INDEX(Налоги!$K$26:$L$55,MATCH($F95&amp;"2komm",Налоги!$K$26:$K$55,0),2),""))</f>
        <v/>
      </c>
      <c r="BP95" s="1216"/>
      <c r="BQ95" s="1256"/>
      <c r="BR95" s="1256"/>
      <c r="BS95" s="1041" t="s">
        <v>1920</v>
      </c>
      <c r="BT95" s="1041"/>
      <c r="BU95" s="1041"/>
      <c r="BV95" s="956"/>
      <c r="BW95" s="956"/>
    </row>
    <row customHeight="1" ht="14.625" hidden="1">
      <c r="A96" s="1256"/>
      <c r="B96" s="955"/>
      <c r="C96" s="73"/>
      <c r="D96" s="73"/>
      <c r="E96" s="596">
        <v>15</v>
      </c>
      <c r="F96" s="50" cm="1" t="str">
        <f t="array" ref="F96:F96">OFFSET(E96,-1,1)</f>
        <v>0</v>
      </c>
      <c r="G96" s="898">
        <v>4</v>
      </c>
      <c r="H96" s="73"/>
      <c r="I96" s="73" t="s">
        <v>1921</v>
      </c>
      <c r="J96" s="73"/>
      <c r="K96" s="73" t="s">
        <v>1921</v>
      </c>
      <c r="L96" s="957"/>
      <c r="M96" s="73"/>
      <c r="N96" s="73"/>
      <c r="O96" s="73"/>
      <c r="P96" s="73"/>
      <c r="Q96" s="73"/>
      <c r="R96" s="73"/>
      <c r="S96" s="73"/>
      <c r="T96" s="438" cm="1" t="str">
        <f t="array" ref="T96:T96">T95</f>
        <v>false</v>
      </c>
      <c r="U96" s="73"/>
      <c r="V96" s="73"/>
      <c r="W96" s="73"/>
      <c r="X96" s="1541"/>
      <c r="Y96" s="1256"/>
      <c r="Z96" s="1494"/>
      <c r="AA96" s="1256"/>
      <c r="AB96" s="266" t="s">
        <v>1922</v>
      </c>
      <c r="AC96" s="741" t="s">
        <v>1923</v>
      </c>
      <c r="AD96" s="266" t="s">
        <v>789</v>
      </c>
      <c r="AE96" s="1092">
        <f>_xlfn.SUMIFS(Налоги!AE$25:AE$55,Налоги!$F$25:$F$55,$F96,Налоги!$AB$25:$AB$55,$G96)</f>
        <v>0</v>
      </c>
      <c r="AF96" s="1092">
        <f>_xlfn.SUMIFS(Налоги!AF$25:AF$55,Налоги!$F$25:$F$55,$F96,Налоги!$AB$25:$AB$55,$G96)</f>
        <v>0</v>
      </c>
      <c r="AG96" s="1092">
        <f>_xlfn.SUMIFS(Налоги!AG$25:AG$55,Налоги!$F$25:$F$55,$F96,Налоги!$AB$25:$AB$55,$G96)</f>
        <v>0</v>
      </c>
      <c r="AH96" s="1092">
        <f>AG96-AF96</f>
        <v>0</v>
      </c>
      <c r="AI96" s="1092">
        <f>_xlfn.SUMIFS(Налоги!AH$25:AH$55,Налоги!$F$25:$F$55,$F96,Налоги!$AB$25:$AB$55,$G96)</f>
        <v>0</v>
      </c>
      <c r="AJ96" s="1092">
        <f>_xlfn.SUMIFS(Налоги!AI$25:AI$55,Налоги!$F$25:$F$55,$F96,Налоги!$AB$25:$AB$55,$G96)</f>
        <v>0</v>
      </c>
      <c r="AK96" s="1092">
        <f>_xlfn.SUMIFS(Налоги!AJ$25:AJ$55,Налоги!$F$25:$F$55,$F96,Налоги!$AB$25:$AB$55,$G96)</f>
        <v>0</v>
      </c>
      <c r="AL96" s="1092">
        <f>_xlfn.SUMIFS(Налоги!AK$25:AK$55,Налоги!$F$25:$F$55,$F96,Налоги!$AB$25:$AB$55,$G96)</f>
        <v>0</v>
      </c>
      <c r="AM96" s="1092">
        <f>_xlfn.SUMIFS(Налоги!AL$25:AL$55,Налоги!$F$25:$F$55,$F96,Налоги!$AB$25:$AB$55,$G96)</f>
        <v>0</v>
      </c>
      <c r="AN96" s="1092">
        <f>_xlfn.SUMIFS(Налоги!AM$25:AM$55,Налоги!$F$25:$F$55,$F96,Налоги!$AB$25:$AB$55,$G96)</f>
        <v>0</v>
      </c>
      <c r="AO96" s="1092">
        <f>_xlfn.SUMIFS(Налоги!AN$25:AN$55,Налоги!$F$25:$F$55,$F96,Налоги!$AB$25:$AB$55,$G96)</f>
        <v>0</v>
      </c>
      <c r="AP96" s="1092">
        <f>_xlfn.SUMIFS(Налоги!AO$25:AO$55,Налоги!$F$25:$F$55,$F96,Налоги!$AB$25:$AB$55,$G96)</f>
        <v>0</v>
      </c>
      <c r="AQ96" s="1092">
        <f>_xlfn.SUMIFS(Налоги!AP$25:AP$55,Налоги!$F$25:$F$55,$F96,Налоги!$AB$25:$AB$55,$G96)</f>
        <v>0</v>
      </c>
      <c r="AR96" s="1092">
        <f>_xlfn.SUMIFS(Налоги!AQ$25:AQ$55,Налоги!$F$25:$F$55,$F96,Налоги!$AB$25:$AB$55,$G96)</f>
        <v>0</v>
      </c>
      <c r="AS96" s="1092">
        <f>_xlfn.SUMIFS(Налоги!AR$25:AR$55,Налоги!$F$25:$F$55,$F96,Налоги!$AB$25:$AB$55,$G96)</f>
        <v>0</v>
      </c>
      <c r="AT96" s="1092">
        <f>_xlfn.SUMIFS(Налоги!AS$25:AS$55,Налоги!$F$25:$F$55,$F96,Налоги!$AB$25:$AB$55,$G96)</f>
        <v>0</v>
      </c>
      <c r="AU96" s="1092">
        <f>_xlfn.SUMIFS(Налоги!AT$25:AT$55,Налоги!$F$25:$F$55,$F96,Налоги!$AB$25:$AB$55,$G96)</f>
        <v>0</v>
      </c>
      <c r="AV96" s="1092">
        <f>_xlfn.SUMIFS(Налоги!AU$25:AU$55,Налоги!$F$25:$F$55,$F96,Налоги!$AB$25:$AB$55,$G96)</f>
        <v>0</v>
      </c>
      <c r="AW96" s="1092">
        <f>_xlfn.SUMIFS(Налоги!AV$25:AV$55,Налоги!$F$25:$F$55,$F96,Налоги!$AB$25:$AB$55,$G96)</f>
        <v>0</v>
      </c>
      <c r="AX96" s="1092">
        <f>_xlfn.SUMIFS(Налоги!AW$25:AW$55,Налоги!$F$25:$F$55,$F96,Налоги!$AB$25:$AB$55,$G96)</f>
        <v>0</v>
      </c>
      <c r="AY96" s="1092">
        <f>_xlfn.SUMIFS(Налоги!AX$25:AX$55,Налоги!$F$25:$F$55,$F96,Налоги!$AB$25:$AB$55,$G96)</f>
        <v>0</v>
      </c>
      <c r="AZ96" s="1092">
        <f>_xlfn.SUMIFS(Налоги!AY$25:AY$55,Налоги!$F$25:$F$55,$F96,Налоги!$AB$25:$AB$55,$G96)</f>
        <v>0</v>
      </c>
      <c r="BA96" s="1092">
        <f>_xlfn.SUMIFS(Налоги!AZ$25:AZ$55,Налоги!$F$25:$F$55,$F96,Налоги!$AB$25:$AB$55,$G96)</f>
        <v>0</v>
      </c>
      <c r="BB96" s="1092">
        <f>_xlfn.SUMIFS(Налоги!BA$25:BA$55,Налоги!$F$25:$F$55,$F96,Налоги!$AB$25:$AB$55,$G96)</f>
        <v>0</v>
      </c>
      <c r="BC96" s="1092">
        <f>_xlfn.SUMIFS(Налоги!BB$25:BB$55,Налоги!$F$25:$F$55,$F96,Налоги!$AB$25:$AB$55,$G96)</f>
        <v>0</v>
      </c>
      <c r="BD96" s="1092">
        <f>IF(AI96=0,0,(AT96-AI96)/AI96*100)</f>
        <v>0</v>
      </c>
      <c r="BE96" s="1092">
        <f>IF(AT96=0,0,(AU96-AT96)/AT96*100)</f>
        <v>0</v>
      </c>
      <c r="BF96" s="1092">
        <f>IF(AU96=0,0,(AV96-AU96)/AU96*100)</f>
        <v>0</v>
      </c>
      <c r="BG96" s="1092">
        <f>IF(AV96=0,0,(AW96-AV96)/AV96*100)</f>
        <v>0</v>
      </c>
      <c r="BH96" s="1092">
        <f>IF(AW96=0,0,(AX96-AW96)/AW96*100)</f>
        <v>0</v>
      </c>
      <c r="BI96" s="1092">
        <f>IF(AX96=0,0,(AY96-AX96)/AX96*100)</f>
        <v>0</v>
      </c>
      <c r="BJ96" s="1092">
        <f>IF(AY96=0,0,(AZ96-AY96)/AY96*100)</f>
        <v>0</v>
      </c>
      <c r="BK96" s="1092">
        <f>IF(AZ96=0,0,(BA96-AZ96)/AZ96*100)</f>
        <v>0</v>
      </c>
      <c r="BL96" s="1092">
        <f>IF(BA96=0,0,(BB96-BA96)/BA96*100)</f>
        <v>0</v>
      </c>
      <c r="BM96" s="1092">
        <f>IF(BB96=0,0,(BC96-BB96)/BB96*100)</f>
        <v>0</v>
      </c>
      <c r="BN96" s="1216"/>
      <c r="BO96" s="1220" t="str">
        <f>IF(_xlfn.IFERROR(INDEX(Налоги!$K$26:$L$55,MATCH($F96&amp;"4komm",Налоги!$K$26:$K$55,0),2),"")=0,"",_xlfn.IFERROR(INDEX(Налоги!$K$26:$L$55,MATCH($F96&amp;"4komm",Налоги!$K$26:$K$55,0),2),""))</f>
        <v/>
      </c>
      <c r="BP96" s="1216"/>
      <c r="BQ96" s="1256"/>
      <c r="BR96" s="1256"/>
      <c r="BS96" s="1041" t="s">
        <v>1924</v>
      </c>
      <c r="BT96" s="1041"/>
      <c r="BU96" s="1041"/>
      <c r="BV96" s="956"/>
      <c r="BW96" s="956"/>
    </row>
    <row customHeight="1" ht="14.625" hidden="1">
      <c r="A97" s="1256"/>
      <c r="B97" s="955"/>
      <c r="C97" s="73"/>
      <c r="D97" s="73"/>
      <c r="E97" s="596">
        <v>15</v>
      </c>
      <c r="F97" s="50" cm="1" t="str">
        <f t="array" ref="F97:F97">OFFSET(E97,-1,1)</f>
        <v>0</v>
      </c>
      <c r="G97" s="898">
        <v>5</v>
      </c>
      <c r="H97" s="73"/>
      <c r="I97" s="73" t="s">
        <v>1925</v>
      </c>
      <c r="J97" s="73"/>
      <c r="K97" s="73" t="s">
        <v>1925</v>
      </c>
      <c r="L97" s="957"/>
      <c r="M97" s="73"/>
      <c r="N97" s="73"/>
      <c r="O97" s="73"/>
      <c r="P97" s="73"/>
      <c r="Q97" s="73"/>
      <c r="R97" s="73"/>
      <c r="S97" s="73"/>
      <c r="T97" s="438" cm="1" t="str">
        <f t="array" ref="T97:T97">T96</f>
        <v>false</v>
      </c>
      <c r="U97" s="73"/>
      <c r="V97" s="73"/>
      <c r="W97" s="73"/>
      <c r="X97" s="1541"/>
      <c r="Y97" s="1256"/>
      <c r="Z97" s="1494"/>
      <c r="AA97" s="1256"/>
      <c r="AB97" s="266" t="s">
        <v>1926</v>
      </c>
      <c r="AC97" s="741" t="s">
        <v>1927</v>
      </c>
      <c r="AD97" s="266" t="s">
        <v>789</v>
      </c>
      <c r="AE97" s="1092">
        <f>_xlfn.SUMIFS(Налоги!AE$25:AE$55,Налоги!$F$25:$F$55,$F97,Налоги!$AB$25:$AB$55,$G97)</f>
        <v>0</v>
      </c>
      <c r="AF97" s="1092">
        <f>_xlfn.SUMIFS(Налоги!AF$25:AF$55,Налоги!$F$25:$F$55,$F97,Налоги!$AB$25:$AB$55,$G97)</f>
        <v>0</v>
      </c>
      <c r="AG97" s="1092">
        <f>_xlfn.SUMIFS(Налоги!AG$25:AG$55,Налоги!$F$25:$F$55,$F97,Налоги!$AB$25:$AB$55,$G97)</f>
        <v>0</v>
      </c>
      <c r="AH97" s="1092">
        <f>AG97-AF97</f>
        <v>0</v>
      </c>
      <c r="AI97" s="1092">
        <f>_xlfn.SUMIFS(Налоги!AH$25:AH$55,Налоги!$F$25:$F$55,$F97,Налоги!$AB$25:$AB$55,$G97)</f>
        <v>0</v>
      </c>
      <c r="AJ97" s="1092">
        <f>_xlfn.SUMIFS(Налоги!AI$25:AI$55,Налоги!$F$25:$F$55,$F97,Налоги!$AB$25:$AB$55,$G97)</f>
        <v>0</v>
      </c>
      <c r="AK97" s="1092">
        <f>_xlfn.SUMIFS(Налоги!AJ$25:AJ$55,Налоги!$F$25:$F$55,$F97,Налоги!$AB$25:$AB$55,$G97)</f>
        <v>0</v>
      </c>
      <c r="AL97" s="1092">
        <f>_xlfn.SUMIFS(Налоги!AK$25:AK$55,Налоги!$F$25:$F$55,$F97,Налоги!$AB$25:$AB$55,$G97)</f>
        <v>0</v>
      </c>
      <c r="AM97" s="1092">
        <f>_xlfn.SUMIFS(Налоги!AL$25:AL$55,Налоги!$F$25:$F$55,$F97,Налоги!$AB$25:$AB$55,$G97)</f>
        <v>0</v>
      </c>
      <c r="AN97" s="1092">
        <f>_xlfn.SUMIFS(Налоги!AM$25:AM$55,Налоги!$F$25:$F$55,$F97,Налоги!$AB$25:$AB$55,$G97)</f>
        <v>0</v>
      </c>
      <c r="AO97" s="1092">
        <f>_xlfn.SUMIFS(Налоги!AN$25:AN$55,Налоги!$F$25:$F$55,$F97,Налоги!$AB$25:$AB$55,$G97)</f>
        <v>0</v>
      </c>
      <c r="AP97" s="1092">
        <f>_xlfn.SUMIFS(Налоги!AO$25:AO$55,Налоги!$F$25:$F$55,$F97,Налоги!$AB$25:$AB$55,$G97)</f>
        <v>0</v>
      </c>
      <c r="AQ97" s="1092">
        <f>_xlfn.SUMIFS(Налоги!AP$25:AP$55,Налоги!$F$25:$F$55,$F97,Налоги!$AB$25:$AB$55,$G97)</f>
        <v>0</v>
      </c>
      <c r="AR97" s="1092">
        <f>_xlfn.SUMIFS(Налоги!AQ$25:AQ$55,Налоги!$F$25:$F$55,$F97,Налоги!$AB$25:$AB$55,$G97)</f>
        <v>0</v>
      </c>
      <c r="AS97" s="1092">
        <f>_xlfn.SUMIFS(Налоги!AR$25:AR$55,Налоги!$F$25:$F$55,$F97,Налоги!$AB$25:$AB$55,$G97)</f>
        <v>0</v>
      </c>
      <c r="AT97" s="1092">
        <f>_xlfn.SUMIFS(Налоги!AS$25:AS$55,Налоги!$F$25:$F$55,$F97,Налоги!$AB$25:$AB$55,$G97)</f>
        <v>0</v>
      </c>
      <c r="AU97" s="1092">
        <f>_xlfn.SUMIFS(Налоги!AT$25:AT$55,Налоги!$F$25:$F$55,$F97,Налоги!$AB$25:$AB$55,$G97)</f>
        <v>0</v>
      </c>
      <c r="AV97" s="1092">
        <f>_xlfn.SUMIFS(Налоги!AU$25:AU$55,Налоги!$F$25:$F$55,$F97,Налоги!$AB$25:$AB$55,$G97)</f>
        <v>0</v>
      </c>
      <c r="AW97" s="1092">
        <f>_xlfn.SUMIFS(Налоги!AV$25:AV$55,Налоги!$F$25:$F$55,$F97,Налоги!$AB$25:$AB$55,$G97)</f>
        <v>0</v>
      </c>
      <c r="AX97" s="1092">
        <f>_xlfn.SUMIFS(Налоги!AW$25:AW$55,Налоги!$F$25:$F$55,$F97,Налоги!$AB$25:$AB$55,$G97)</f>
        <v>0</v>
      </c>
      <c r="AY97" s="1092">
        <f>_xlfn.SUMIFS(Налоги!AX$25:AX$55,Налоги!$F$25:$F$55,$F97,Налоги!$AB$25:$AB$55,$G97)</f>
        <v>0</v>
      </c>
      <c r="AZ97" s="1092">
        <f>_xlfn.SUMIFS(Налоги!AY$25:AY$55,Налоги!$F$25:$F$55,$F97,Налоги!$AB$25:$AB$55,$G97)</f>
        <v>0</v>
      </c>
      <c r="BA97" s="1092">
        <f>_xlfn.SUMIFS(Налоги!AZ$25:AZ$55,Налоги!$F$25:$F$55,$F97,Налоги!$AB$25:$AB$55,$G97)</f>
        <v>0</v>
      </c>
      <c r="BB97" s="1092">
        <f>_xlfn.SUMIFS(Налоги!BA$25:BA$55,Налоги!$F$25:$F$55,$F97,Налоги!$AB$25:$AB$55,$G97)</f>
        <v>0</v>
      </c>
      <c r="BC97" s="1092">
        <f>_xlfn.SUMIFS(Налоги!BB$25:BB$55,Налоги!$F$25:$F$55,$F97,Налоги!$AB$25:$AB$55,$G97)</f>
        <v>0</v>
      </c>
      <c r="BD97" s="1092">
        <f>IF(AI97=0,0,(AT97-AI97)/AI97*100)</f>
        <v>0</v>
      </c>
      <c r="BE97" s="1092">
        <f>IF(AT97=0,0,(AU97-AT97)/AT97*100)</f>
        <v>0</v>
      </c>
      <c r="BF97" s="1092">
        <f>IF(AU97=0,0,(AV97-AU97)/AU97*100)</f>
        <v>0</v>
      </c>
      <c r="BG97" s="1092">
        <f>IF(AV97=0,0,(AW97-AV97)/AV97*100)</f>
        <v>0</v>
      </c>
      <c r="BH97" s="1092">
        <f>IF(AW97=0,0,(AX97-AW97)/AW97*100)</f>
        <v>0</v>
      </c>
      <c r="BI97" s="1092">
        <f>IF(AX97=0,0,(AY97-AX97)/AX97*100)</f>
        <v>0</v>
      </c>
      <c r="BJ97" s="1092">
        <f>IF(AY97=0,0,(AZ97-AY97)/AY97*100)</f>
        <v>0</v>
      </c>
      <c r="BK97" s="1092">
        <f>IF(AZ97=0,0,(BA97-AZ97)/AZ97*100)</f>
        <v>0</v>
      </c>
      <c r="BL97" s="1092">
        <f>IF(BA97=0,0,(BB97-BA97)/BA97*100)</f>
        <v>0</v>
      </c>
      <c r="BM97" s="1092">
        <f>IF(BB97=0,0,(BC97-BB97)/BB97*100)</f>
        <v>0</v>
      </c>
      <c r="BN97" s="1216"/>
      <c r="BO97" s="1220" t="str">
        <f>IF(_xlfn.IFERROR(INDEX(Налоги!$K$26:$L$55,MATCH($F97&amp;"5komm",Налоги!$K$26:$K$55,0),2),"")=0,"",_xlfn.IFERROR(INDEX(Налоги!$K$26:$L$55,MATCH($F97&amp;"5komm",Налоги!$K$26:$K$55,0),2),""))</f>
        <v/>
      </c>
      <c r="BP97" s="1216"/>
      <c r="BQ97" s="1256"/>
      <c r="BR97" s="1256"/>
      <c r="BS97" s="1041" t="s">
        <v>1928</v>
      </c>
      <c r="BT97" s="1041"/>
      <c r="BU97" s="1041"/>
      <c r="BV97" s="956"/>
      <c r="BW97" s="956"/>
    </row>
    <row customHeight="1" ht="14.625" hidden="1">
      <c r="A98" s="1256"/>
      <c r="B98" s="955"/>
      <c r="C98" s="73"/>
      <c r="D98" s="73"/>
      <c r="E98" s="596">
        <v>15</v>
      </c>
      <c r="F98" s="50" cm="1" t="str">
        <f t="array" ref="F98:F98">OFFSET(E98,-1,1)</f>
        <v>0</v>
      </c>
      <c r="G98" s="898">
        <v>1</v>
      </c>
      <c r="H98" s="73"/>
      <c r="I98" s="73" t="s">
        <v>1929</v>
      </c>
      <c r="J98" s="73"/>
      <c r="K98" s="73" t="s">
        <v>1929</v>
      </c>
      <c r="L98" s="957"/>
      <c r="M98" s="73"/>
      <c r="N98" s="73"/>
      <c r="O98" s="73"/>
      <c r="P98" s="73"/>
      <c r="Q98" s="73"/>
      <c r="R98" s="73"/>
      <c r="S98" s="73"/>
      <c r="T98" s="438" cm="1" t="str">
        <f t="array" ref="T98:T98">T97</f>
        <v>false</v>
      </c>
      <c r="U98" s="73"/>
      <c r="V98" s="73"/>
      <c r="W98" s="73"/>
      <c r="X98" s="1541"/>
      <c r="Y98" s="1256"/>
      <c r="Z98" s="1494"/>
      <c r="AA98" s="1256"/>
      <c r="AB98" s="266" t="s">
        <v>1930</v>
      </c>
      <c r="AC98" s="741" t="s">
        <v>1931</v>
      </c>
      <c r="AD98" s="266" t="s">
        <v>789</v>
      </c>
      <c r="AE98" s="1092">
        <f>_xlfn.SUMIFS(Налоги!AE$25:AE$55,Налоги!$F$25:$F$55,$F98,Налоги!$AB$25:$AB$55,$G98)</f>
        <v>0</v>
      </c>
      <c r="AF98" s="1092">
        <f>_xlfn.SUMIFS(Налоги!AF$25:AF$55,Налоги!$F$25:$F$55,$F98,Налоги!$AB$25:$AB$55,$G98)</f>
        <v>0</v>
      </c>
      <c r="AG98" s="1092">
        <f>_xlfn.SUMIFS(Налоги!AG$25:AG$55,Налоги!$F$25:$F$55,$F98,Налоги!$AB$25:$AB$55,$G98)</f>
        <v>0</v>
      </c>
      <c r="AH98" s="1092">
        <f>AG98-AF98</f>
        <v>0</v>
      </c>
      <c r="AI98" s="1092">
        <f>_xlfn.SUMIFS(Налоги!AH$25:AH$55,Налоги!$F$25:$F$55,$F98,Налоги!$AB$25:$AB$55,$G98)</f>
        <v>0</v>
      </c>
      <c r="AJ98" s="1092">
        <f>_xlfn.SUMIFS(Налоги!AI$25:AI$55,Налоги!$F$25:$F$55,$F98,Налоги!$AB$25:$AB$55,$G98)</f>
        <v>0</v>
      </c>
      <c r="AK98" s="1092">
        <f>_xlfn.SUMIFS(Налоги!AJ$25:AJ$55,Налоги!$F$25:$F$55,$F98,Налоги!$AB$25:$AB$55,$G98)</f>
        <v>0</v>
      </c>
      <c r="AL98" s="1092">
        <f>_xlfn.SUMIFS(Налоги!AK$25:AK$55,Налоги!$F$25:$F$55,$F98,Налоги!$AB$25:$AB$55,$G98)</f>
        <v>0</v>
      </c>
      <c r="AM98" s="1092">
        <f>_xlfn.SUMIFS(Налоги!AL$25:AL$55,Налоги!$F$25:$F$55,$F98,Налоги!$AB$25:$AB$55,$G98)</f>
        <v>0</v>
      </c>
      <c r="AN98" s="1092">
        <f>_xlfn.SUMIFS(Налоги!AM$25:AM$55,Налоги!$F$25:$F$55,$F98,Налоги!$AB$25:$AB$55,$G98)</f>
        <v>0</v>
      </c>
      <c r="AO98" s="1092">
        <f>_xlfn.SUMIFS(Налоги!AN$25:AN$55,Налоги!$F$25:$F$55,$F98,Налоги!$AB$25:$AB$55,$G98)</f>
        <v>0</v>
      </c>
      <c r="AP98" s="1092">
        <f>_xlfn.SUMIFS(Налоги!AO$25:AO$55,Налоги!$F$25:$F$55,$F98,Налоги!$AB$25:$AB$55,$G98)</f>
        <v>0</v>
      </c>
      <c r="AQ98" s="1092">
        <f>_xlfn.SUMIFS(Налоги!AP$25:AP$55,Налоги!$F$25:$F$55,$F98,Налоги!$AB$25:$AB$55,$G98)</f>
        <v>0</v>
      </c>
      <c r="AR98" s="1092">
        <f>_xlfn.SUMIFS(Налоги!AQ$25:AQ$55,Налоги!$F$25:$F$55,$F98,Налоги!$AB$25:$AB$55,$G98)</f>
        <v>0</v>
      </c>
      <c r="AS98" s="1092">
        <f>_xlfn.SUMIFS(Налоги!AR$25:AR$55,Налоги!$F$25:$F$55,$F98,Налоги!$AB$25:$AB$55,$G98)</f>
        <v>0</v>
      </c>
      <c r="AT98" s="1092">
        <f>_xlfn.SUMIFS(Налоги!AS$25:AS$55,Налоги!$F$25:$F$55,$F98,Налоги!$AB$25:$AB$55,$G98)</f>
        <v>0</v>
      </c>
      <c r="AU98" s="1092">
        <f>_xlfn.SUMIFS(Налоги!AT$25:AT$55,Налоги!$F$25:$F$55,$F98,Налоги!$AB$25:$AB$55,$G98)</f>
        <v>0</v>
      </c>
      <c r="AV98" s="1092">
        <f>_xlfn.SUMIFS(Налоги!AU$25:AU$55,Налоги!$F$25:$F$55,$F98,Налоги!$AB$25:$AB$55,$G98)</f>
        <v>0</v>
      </c>
      <c r="AW98" s="1092">
        <f>_xlfn.SUMIFS(Налоги!AV$25:AV$55,Налоги!$F$25:$F$55,$F98,Налоги!$AB$25:$AB$55,$G98)</f>
        <v>0</v>
      </c>
      <c r="AX98" s="1092">
        <f>_xlfn.SUMIFS(Налоги!AW$25:AW$55,Налоги!$F$25:$F$55,$F98,Налоги!$AB$25:$AB$55,$G98)</f>
        <v>0</v>
      </c>
      <c r="AY98" s="1092">
        <f>_xlfn.SUMIFS(Налоги!AX$25:AX$55,Налоги!$F$25:$F$55,$F98,Налоги!$AB$25:$AB$55,$G98)</f>
        <v>0</v>
      </c>
      <c r="AZ98" s="1092">
        <f>_xlfn.SUMIFS(Налоги!AY$25:AY$55,Налоги!$F$25:$F$55,$F98,Налоги!$AB$25:$AB$55,$G98)</f>
        <v>0</v>
      </c>
      <c r="BA98" s="1092">
        <f>_xlfn.SUMIFS(Налоги!AZ$25:AZ$55,Налоги!$F$25:$F$55,$F98,Налоги!$AB$25:$AB$55,$G98)</f>
        <v>0</v>
      </c>
      <c r="BB98" s="1092">
        <f>_xlfn.SUMIFS(Налоги!BA$25:BA$55,Налоги!$F$25:$F$55,$F98,Налоги!$AB$25:$AB$55,$G98)</f>
        <v>0</v>
      </c>
      <c r="BC98" s="1092">
        <f>_xlfn.SUMIFS(Налоги!BB$25:BB$55,Налоги!$F$25:$F$55,$F98,Налоги!$AB$25:$AB$55,$G98)</f>
        <v>0</v>
      </c>
      <c r="BD98" s="1092">
        <f>IF(AI98=0,0,(AT98-AI98)/AI98*100)</f>
        <v>0</v>
      </c>
      <c r="BE98" s="1092">
        <f>IF(AT98=0,0,(AU98-AT98)/AT98*100)</f>
        <v>0</v>
      </c>
      <c r="BF98" s="1092">
        <f>IF(AU98=0,0,(AV98-AU98)/AU98*100)</f>
        <v>0</v>
      </c>
      <c r="BG98" s="1092">
        <f>IF(AV98=0,0,(AW98-AV98)/AV98*100)</f>
        <v>0</v>
      </c>
      <c r="BH98" s="1092">
        <f>IF(AW98=0,0,(AX98-AW98)/AW98*100)</f>
        <v>0</v>
      </c>
      <c r="BI98" s="1092">
        <f>IF(AX98=0,0,(AY98-AX98)/AX98*100)</f>
        <v>0</v>
      </c>
      <c r="BJ98" s="1092">
        <f>IF(AY98=0,0,(AZ98-AY98)/AY98*100)</f>
        <v>0</v>
      </c>
      <c r="BK98" s="1092">
        <f>IF(AZ98=0,0,(BA98-AZ98)/AZ98*100)</f>
        <v>0</v>
      </c>
      <c r="BL98" s="1092">
        <f>IF(BA98=0,0,(BB98-BA98)/BA98*100)</f>
        <v>0</v>
      </c>
      <c r="BM98" s="1092">
        <f>IF(BB98=0,0,(BC98-BB98)/BB98*100)</f>
        <v>0</v>
      </c>
      <c r="BN98" s="1216"/>
      <c r="BO98" s="1220" t="str">
        <f>IF(_xlfn.IFERROR(INDEX(Налоги!$K$26:$L$55,MATCH($F98&amp;"1komm",Налоги!$K$26:$K$55,0),2),"")=0,"",_xlfn.IFERROR(INDEX(Налоги!$K$26:$L$55,MATCH($F98&amp;"1komm",Налоги!$K$26:$K$55,0),2),""))</f>
        <v/>
      </c>
      <c r="BP98" s="1216"/>
      <c r="BQ98" s="1256"/>
      <c r="BR98" s="1256"/>
      <c r="BS98" s="1041" t="s">
        <v>1932</v>
      </c>
      <c r="BT98" s="1041"/>
      <c r="BU98" s="1041"/>
      <c r="BV98" s="956"/>
      <c r="BW98" s="956"/>
    </row>
    <row customHeight="1" ht="14.625" hidden="1">
      <c r="A99" s="1256"/>
      <c r="B99" s="955"/>
      <c r="C99" s="73"/>
      <c r="D99" s="73"/>
      <c r="E99" s="596">
        <v>15</v>
      </c>
      <c r="F99" s="50" cm="1" t="str">
        <f t="array" ref="F99:F99">OFFSET(E99,-1,1)</f>
        <v>0</v>
      </c>
      <c r="G99" s="898">
        <v>3</v>
      </c>
      <c r="H99" s="73"/>
      <c r="I99" s="73" t="s">
        <v>1933</v>
      </c>
      <c r="J99" s="73"/>
      <c r="K99" s="73" t="s">
        <v>1933</v>
      </c>
      <c r="L99" s="957"/>
      <c r="M99" s="73"/>
      <c r="N99" s="73"/>
      <c r="O99" s="73"/>
      <c r="P99" s="73"/>
      <c r="Q99" s="73"/>
      <c r="R99" s="73"/>
      <c r="S99" s="73"/>
      <c r="T99" s="438" cm="1" t="str">
        <f t="array" ref="T99:T99">T98</f>
        <v>false</v>
      </c>
      <c r="U99" s="73"/>
      <c r="V99" s="73"/>
      <c r="W99" s="73"/>
      <c r="X99" s="1541"/>
      <c r="Y99" s="1256"/>
      <c r="Z99" s="1494"/>
      <c r="AA99" s="1256"/>
      <c r="AB99" s="266" t="s">
        <v>1934</v>
      </c>
      <c r="AC99" s="741" t="s">
        <v>1935</v>
      </c>
      <c r="AD99" s="266" t="s">
        <v>789</v>
      </c>
      <c r="AE99" s="1092">
        <f>_xlfn.SUMIFS(Налоги!AE$25:AE$55,Налоги!$F$25:$F$55,$F99,Налоги!$AB$25:$AB$55,$G99)</f>
        <v>0</v>
      </c>
      <c r="AF99" s="1092">
        <f>_xlfn.SUMIFS(Налоги!AF$25:AF$55,Налоги!$F$25:$F$55,$F99,Налоги!$AB$25:$AB$55,$G99)</f>
        <v>0</v>
      </c>
      <c r="AG99" s="1092">
        <f>_xlfn.SUMIFS(Налоги!AG$25:AG$55,Налоги!$F$25:$F$55,$F99,Налоги!$AB$25:$AB$55,$G99)</f>
        <v>0</v>
      </c>
      <c r="AH99" s="1092">
        <f>AG99-AF99</f>
        <v>0</v>
      </c>
      <c r="AI99" s="1092">
        <f>_xlfn.SUMIFS(Налоги!AH$25:AH$55,Налоги!$F$25:$F$55,$F99,Налоги!$AB$25:$AB$55,$G99)</f>
        <v>0</v>
      </c>
      <c r="AJ99" s="1092">
        <f>_xlfn.SUMIFS(Налоги!AI$25:AI$55,Налоги!$F$25:$F$55,$F99,Налоги!$AB$25:$AB$55,$G99)</f>
        <v>0</v>
      </c>
      <c r="AK99" s="1092">
        <f>_xlfn.SUMIFS(Налоги!AJ$25:AJ$55,Налоги!$F$25:$F$55,$F99,Налоги!$AB$25:$AB$55,$G99)</f>
        <v>0</v>
      </c>
      <c r="AL99" s="1092">
        <f>_xlfn.SUMIFS(Налоги!AK$25:AK$55,Налоги!$F$25:$F$55,$F99,Налоги!$AB$25:$AB$55,$G99)</f>
        <v>0</v>
      </c>
      <c r="AM99" s="1092">
        <f>_xlfn.SUMIFS(Налоги!AL$25:AL$55,Налоги!$F$25:$F$55,$F99,Налоги!$AB$25:$AB$55,$G99)</f>
        <v>0</v>
      </c>
      <c r="AN99" s="1092">
        <f>_xlfn.SUMIFS(Налоги!AM$25:AM$55,Налоги!$F$25:$F$55,$F99,Налоги!$AB$25:$AB$55,$G99)</f>
        <v>0</v>
      </c>
      <c r="AO99" s="1092">
        <f>_xlfn.SUMIFS(Налоги!AN$25:AN$55,Налоги!$F$25:$F$55,$F99,Налоги!$AB$25:$AB$55,$G99)</f>
        <v>0</v>
      </c>
      <c r="AP99" s="1092">
        <f>_xlfn.SUMIFS(Налоги!AO$25:AO$55,Налоги!$F$25:$F$55,$F99,Налоги!$AB$25:$AB$55,$G99)</f>
        <v>0</v>
      </c>
      <c r="AQ99" s="1092">
        <f>_xlfn.SUMIFS(Налоги!AP$25:AP$55,Налоги!$F$25:$F$55,$F99,Налоги!$AB$25:$AB$55,$G99)</f>
        <v>0</v>
      </c>
      <c r="AR99" s="1092">
        <f>_xlfn.SUMIFS(Налоги!AQ$25:AQ$55,Налоги!$F$25:$F$55,$F99,Налоги!$AB$25:$AB$55,$G99)</f>
        <v>0</v>
      </c>
      <c r="AS99" s="1092">
        <f>_xlfn.SUMIFS(Налоги!AR$25:AR$55,Налоги!$F$25:$F$55,$F99,Налоги!$AB$25:$AB$55,$G99)</f>
        <v>0</v>
      </c>
      <c r="AT99" s="1092">
        <f>_xlfn.SUMIFS(Налоги!AS$25:AS$55,Налоги!$F$25:$F$55,$F99,Налоги!$AB$25:$AB$55,$G99)</f>
        <v>0</v>
      </c>
      <c r="AU99" s="1092">
        <f>_xlfn.SUMIFS(Налоги!AT$25:AT$55,Налоги!$F$25:$F$55,$F99,Налоги!$AB$25:$AB$55,$G99)</f>
        <v>0</v>
      </c>
      <c r="AV99" s="1092">
        <f>_xlfn.SUMIFS(Налоги!AU$25:AU$55,Налоги!$F$25:$F$55,$F99,Налоги!$AB$25:$AB$55,$G99)</f>
        <v>0</v>
      </c>
      <c r="AW99" s="1092">
        <f>_xlfn.SUMIFS(Налоги!AV$25:AV$55,Налоги!$F$25:$F$55,$F99,Налоги!$AB$25:$AB$55,$G99)</f>
        <v>0</v>
      </c>
      <c r="AX99" s="1092">
        <f>_xlfn.SUMIFS(Налоги!AW$25:AW$55,Налоги!$F$25:$F$55,$F99,Налоги!$AB$25:$AB$55,$G99)</f>
        <v>0</v>
      </c>
      <c r="AY99" s="1092">
        <f>_xlfn.SUMIFS(Налоги!AX$25:AX$55,Налоги!$F$25:$F$55,$F99,Налоги!$AB$25:$AB$55,$G99)</f>
        <v>0</v>
      </c>
      <c r="AZ99" s="1092">
        <f>_xlfn.SUMIFS(Налоги!AY$25:AY$55,Налоги!$F$25:$F$55,$F99,Налоги!$AB$25:$AB$55,$G99)</f>
        <v>0</v>
      </c>
      <c r="BA99" s="1092">
        <f>_xlfn.SUMIFS(Налоги!AZ$25:AZ$55,Налоги!$F$25:$F$55,$F99,Налоги!$AB$25:$AB$55,$G99)</f>
        <v>0</v>
      </c>
      <c r="BB99" s="1092">
        <f>_xlfn.SUMIFS(Налоги!BA$25:BA$55,Налоги!$F$25:$F$55,$F99,Налоги!$AB$25:$AB$55,$G99)</f>
        <v>0</v>
      </c>
      <c r="BC99" s="1092">
        <f>_xlfn.SUMIFS(Налоги!BB$25:BB$55,Налоги!$F$25:$F$55,$F99,Налоги!$AB$25:$AB$55,$G99)</f>
        <v>0</v>
      </c>
      <c r="BD99" s="1092">
        <f>IF(AI99=0,0,(AT99-AI99)/AI99*100)</f>
        <v>0</v>
      </c>
      <c r="BE99" s="1092">
        <f>IF(AT99=0,0,(AU99-AT99)/AT99*100)</f>
        <v>0</v>
      </c>
      <c r="BF99" s="1092">
        <f>IF(AU99=0,0,(AV99-AU99)/AU99*100)</f>
        <v>0</v>
      </c>
      <c r="BG99" s="1092">
        <f>IF(AV99=0,0,(AW99-AV99)/AV99*100)</f>
        <v>0</v>
      </c>
      <c r="BH99" s="1092">
        <f>IF(AW99=0,0,(AX99-AW99)/AW99*100)</f>
        <v>0</v>
      </c>
      <c r="BI99" s="1092">
        <f>IF(AX99=0,0,(AY99-AX99)/AX99*100)</f>
        <v>0</v>
      </c>
      <c r="BJ99" s="1092">
        <f>IF(AY99=0,0,(AZ99-AY99)/AY99*100)</f>
        <v>0</v>
      </c>
      <c r="BK99" s="1092">
        <f>IF(AZ99=0,0,(BA99-AZ99)/AZ99*100)</f>
        <v>0</v>
      </c>
      <c r="BL99" s="1092">
        <f>IF(BA99=0,0,(BB99-BA99)/BA99*100)</f>
        <v>0</v>
      </c>
      <c r="BM99" s="1092">
        <f>IF(BB99=0,0,(BC99-BB99)/BB99*100)</f>
        <v>0</v>
      </c>
      <c r="BN99" s="1216"/>
      <c r="BO99" s="1220" t="str">
        <f>IF(_xlfn.IFERROR(INDEX(Налоги!$K$26:$L$55,MATCH($F99&amp;"5komm",Налоги!$K$26:$K$55,0),2),"")=0,"",_xlfn.IFERROR(INDEX(Налоги!$K$26:$L$55,MATCH($F99&amp;"5komm",Налоги!$K$26:$K$55,0),2),""))</f>
        <v/>
      </c>
      <c r="BP99" s="1216"/>
      <c r="BQ99" s="1256"/>
      <c r="BR99" s="1256"/>
      <c r="BS99" s="1041" t="s">
        <v>1936</v>
      </c>
      <c r="BT99" s="1041"/>
      <c r="BU99" s="1041"/>
      <c r="BV99" s="956"/>
      <c r="BW99" s="956"/>
    </row>
    <row customHeight="1" ht="14.625" hidden="1">
      <c r="A100" s="1256"/>
      <c r="B100" s="955"/>
      <c r="C100" s="73"/>
      <c r="D100" s="73"/>
      <c r="E100" s="596">
        <v>15</v>
      </c>
      <c r="F100" s="50" cm="1" t="str">
        <f t="array" ref="F100:F100">OFFSET(E100,-1,1)</f>
        <v>0</v>
      </c>
      <c r="G100" s="898">
        <v>8</v>
      </c>
      <c r="H100" s="73"/>
      <c r="I100" s="73" t="s">
        <v>1937</v>
      </c>
      <c r="J100" s="73"/>
      <c r="K100" s="73" t="s">
        <v>1937</v>
      </c>
      <c r="L100" s="957"/>
      <c r="M100" s="73"/>
      <c r="N100" s="73"/>
      <c r="O100" s="73"/>
      <c r="P100" s="73"/>
      <c r="Q100" s="73"/>
      <c r="R100" s="73"/>
      <c r="S100" s="73"/>
      <c r="T100" s="438" cm="1" t="str">
        <f t="array" ref="T100:T100">T99</f>
        <v>false</v>
      </c>
      <c r="U100" s="73"/>
      <c r="V100" s="73"/>
      <c r="W100" s="73"/>
      <c r="X100" s="1541"/>
      <c r="Y100" s="1256"/>
      <c r="Z100" s="1494"/>
      <c r="AA100" s="1256"/>
      <c r="AB100" s="266" t="s">
        <v>1938</v>
      </c>
      <c r="AC100" s="741" t="s">
        <v>1939</v>
      </c>
      <c r="AD100" s="266" t="s">
        <v>789</v>
      </c>
      <c r="AE100" s="1092">
        <f>_xlfn.SUMIFS(Налоги!AE$25:AE$55,Налоги!$F$25:$F$55,$F100,Налоги!$AB$25:$AB$55,$G100)</f>
        <v>0</v>
      </c>
      <c r="AF100" s="1092">
        <f>_xlfn.SUMIFS(Налоги!AF$25:AF$55,Налоги!$F$25:$F$55,$F100,Налоги!$AB$25:$AB$55,$G100)</f>
        <v>0</v>
      </c>
      <c r="AG100" s="1092">
        <f>_xlfn.SUMIFS(Налоги!AG$25:AG$55,Налоги!$F$25:$F$55,$F100,Налоги!$AB$25:$AB$55,$G100)</f>
        <v>0</v>
      </c>
      <c r="AH100" s="1092">
        <f>AG100-AF100</f>
        <v>0</v>
      </c>
      <c r="AI100" s="1092">
        <f>_xlfn.SUMIFS(Налоги!AH$25:AH$55,Налоги!$F$25:$F$55,$F100,Налоги!$AB$25:$AB$55,$G100)</f>
        <v>0</v>
      </c>
      <c r="AJ100" s="1092">
        <f>_xlfn.SUMIFS(Налоги!AI$25:AI$55,Налоги!$F$25:$F$55,$F100,Налоги!$AB$25:$AB$55,$G100)</f>
        <v>0</v>
      </c>
      <c r="AK100" s="1092">
        <f>_xlfn.SUMIFS(Налоги!AJ$25:AJ$55,Налоги!$F$25:$F$55,$F100,Налоги!$AB$25:$AB$55,$G100)</f>
        <v>0</v>
      </c>
      <c r="AL100" s="1092">
        <f>_xlfn.SUMIFS(Налоги!AK$25:AK$55,Налоги!$F$25:$F$55,$F100,Налоги!$AB$25:$AB$55,$G100)</f>
        <v>0</v>
      </c>
      <c r="AM100" s="1092">
        <f>_xlfn.SUMIFS(Налоги!AL$25:AL$55,Налоги!$F$25:$F$55,$F100,Налоги!$AB$25:$AB$55,$G100)</f>
        <v>0</v>
      </c>
      <c r="AN100" s="1092">
        <f>_xlfn.SUMIFS(Налоги!AM$25:AM$55,Налоги!$F$25:$F$55,$F100,Налоги!$AB$25:$AB$55,$G100)</f>
        <v>0</v>
      </c>
      <c r="AO100" s="1092">
        <f>_xlfn.SUMIFS(Налоги!AN$25:AN$55,Налоги!$F$25:$F$55,$F100,Налоги!$AB$25:$AB$55,$G100)</f>
        <v>0</v>
      </c>
      <c r="AP100" s="1092">
        <f>_xlfn.SUMIFS(Налоги!AO$25:AO$55,Налоги!$F$25:$F$55,$F100,Налоги!$AB$25:$AB$55,$G100)</f>
        <v>0</v>
      </c>
      <c r="AQ100" s="1092">
        <f>_xlfn.SUMIFS(Налоги!AP$25:AP$55,Налоги!$F$25:$F$55,$F100,Налоги!$AB$25:$AB$55,$G100)</f>
        <v>0</v>
      </c>
      <c r="AR100" s="1092">
        <f>_xlfn.SUMIFS(Налоги!AQ$25:AQ$55,Налоги!$F$25:$F$55,$F100,Налоги!$AB$25:$AB$55,$G100)</f>
        <v>0</v>
      </c>
      <c r="AS100" s="1092">
        <f>_xlfn.SUMIFS(Налоги!AR$25:AR$55,Налоги!$F$25:$F$55,$F100,Налоги!$AB$25:$AB$55,$G100)</f>
        <v>0</v>
      </c>
      <c r="AT100" s="1092">
        <f>_xlfn.SUMIFS(Налоги!AS$25:AS$55,Налоги!$F$25:$F$55,$F100,Налоги!$AB$25:$AB$55,$G100)</f>
        <v>0</v>
      </c>
      <c r="AU100" s="1092">
        <f>_xlfn.SUMIFS(Налоги!AT$25:AT$55,Налоги!$F$25:$F$55,$F100,Налоги!$AB$25:$AB$55,$G100)</f>
        <v>0</v>
      </c>
      <c r="AV100" s="1092">
        <f>_xlfn.SUMIFS(Налоги!AU$25:AU$55,Налоги!$F$25:$F$55,$F100,Налоги!$AB$25:$AB$55,$G100)</f>
        <v>0</v>
      </c>
      <c r="AW100" s="1092">
        <f>_xlfn.SUMIFS(Налоги!AV$25:AV$55,Налоги!$F$25:$F$55,$F100,Налоги!$AB$25:$AB$55,$G100)</f>
        <v>0</v>
      </c>
      <c r="AX100" s="1092">
        <f>_xlfn.SUMIFS(Налоги!AW$25:AW$55,Налоги!$F$25:$F$55,$F100,Налоги!$AB$25:$AB$55,$G100)</f>
        <v>0</v>
      </c>
      <c r="AY100" s="1092">
        <f>_xlfn.SUMIFS(Налоги!AX$25:AX$55,Налоги!$F$25:$F$55,$F100,Налоги!$AB$25:$AB$55,$G100)</f>
        <v>0</v>
      </c>
      <c r="AZ100" s="1092">
        <f>_xlfn.SUMIFS(Налоги!AY$25:AY$55,Налоги!$F$25:$F$55,$F100,Налоги!$AB$25:$AB$55,$G100)</f>
        <v>0</v>
      </c>
      <c r="BA100" s="1092">
        <f>_xlfn.SUMIFS(Налоги!AZ$25:AZ$55,Налоги!$F$25:$F$55,$F100,Налоги!$AB$25:$AB$55,$G100)</f>
        <v>0</v>
      </c>
      <c r="BB100" s="1092">
        <f>_xlfn.SUMIFS(Налоги!BA$25:BA$55,Налоги!$F$25:$F$55,$F100,Налоги!$AB$25:$AB$55,$G100)</f>
        <v>0</v>
      </c>
      <c r="BC100" s="1092">
        <f>_xlfn.SUMIFS(Налоги!BB$25:BB$55,Налоги!$F$25:$F$55,$F100,Налоги!$AB$25:$AB$55,$G100)</f>
        <v>0</v>
      </c>
      <c r="BD100" s="1092">
        <f>IF(AI100=0,0,(AT100-AI100)/AI100*100)</f>
        <v>0</v>
      </c>
      <c r="BE100" s="1092">
        <f>IF(AT100=0,0,(AU100-AT100)/AT100*100)</f>
        <v>0</v>
      </c>
      <c r="BF100" s="1092">
        <f>IF(AU100=0,0,(AV100-AU100)/AU100*100)</f>
        <v>0</v>
      </c>
      <c r="BG100" s="1092">
        <f>IF(AV100=0,0,(AW100-AV100)/AV100*100)</f>
        <v>0</v>
      </c>
      <c r="BH100" s="1092">
        <f>IF(AW100=0,0,(AX100-AW100)/AW100*100)</f>
        <v>0</v>
      </c>
      <c r="BI100" s="1092">
        <f>IF(AX100=0,0,(AY100-AX100)/AX100*100)</f>
        <v>0</v>
      </c>
      <c r="BJ100" s="1092">
        <f>IF(AY100=0,0,(AZ100-AY100)/AY100*100)</f>
        <v>0</v>
      </c>
      <c r="BK100" s="1092">
        <f>IF(AZ100=0,0,(BA100-AZ100)/AZ100*100)</f>
        <v>0</v>
      </c>
      <c r="BL100" s="1092">
        <f>IF(BA100=0,0,(BB100-BA100)/BA100*100)</f>
        <v>0</v>
      </c>
      <c r="BM100" s="1092">
        <f>IF(BB100=0,0,(BC100-BB100)/BB100*100)</f>
        <v>0</v>
      </c>
      <c r="BN100" s="1216"/>
      <c r="BO100" s="1220" t="str">
        <f>IF(_xlfn.IFERROR(INDEX(Налоги!$K$26:$L$55,MATCH($F100&amp;"8komm",Налоги!$K$26:$K$55,0),2),"")=0,"",_xlfn.IFERROR(INDEX(Налоги!$K$26:$L$55,MATCH($F100&amp;"8komm",Налоги!$K$26:$K$55,0),2),""))</f>
        <v/>
      </c>
      <c r="BP100" s="1216"/>
      <c r="BQ100" s="1256"/>
      <c r="BR100" s="1256"/>
      <c r="BS100" s="1041" t="s">
        <v>1164</v>
      </c>
      <c r="BT100" s="1041"/>
      <c r="BU100" s="1041"/>
      <c r="BV100" s="956"/>
      <c r="BW100" s="956"/>
    </row>
    <row s="1211" customFormat="1" customHeight="1" ht="14.625" hidden="1">
      <c r="A101" s="1211"/>
      <c r="B101" s="729"/>
      <c r="C101" s="73"/>
      <c r="D101" s="73"/>
      <c r="E101" s="596">
        <v>15</v>
      </c>
      <c r="F101" s="50" cm="1" t="str">
        <f t="array" ref="F101:F101">OFFSET(E101,-1,1)</f>
        <v>0</v>
      </c>
      <c r="G101" s="898">
        <v>9</v>
      </c>
      <c r="H101" s="73"/>
      <c r="I101" s="73"/>
      <c r="J101" s="73"/>
      <c r="K101" s="73"/>
      <c r="L101" s="957"/>
      <c r="M101" s="73"/>
      <c r="N101" s="73"/>
      <c r="O101" s="73"/>
      <c r="P101" s="73"/>
      <c r="Q101" s="73"/>
      <c r="R101" s="73"/>
      <c r="S101" s="73"/>
      <c r="T101" s="438" cm="1" t="str">
        <f t="array" ref="T101:T101">T100</f>
        <v>false</v>
      </c>
      <c r="U101" s="73"/>
      <c r="V101" s="73"/>
      <c r="W101" s="73"/>
      <c r="X101" s="1541"/>
      <c r="Y101" s="1211"/>
      <c r="Z101" s="1494"/>
      <c r="AA101" s="1211"/>
      <c r="AB101" s="266" t="s">
        <v>1940</v>
      </c>
      <c r="AC101" s="756" t="s">
        <v>1941</v>
      </c>
      <c r="AD101" s="266" t="s">
        <v>789</v>
      </c>
      <c r="AE101" s="1092">
        <f>_xlfn.SUMIFS(Налоги!AE$25:AE$55,Налоги!$F$25:$F$55,$F101,Налоги!$AB$25:$AB$55,$G101)</f>
        <v>0</v>
      </c>
      <c r="AF101" s="1092">
        <f>_xlfn.SUMIFS(Налоги!AF$25:AF$55,Налоги!$F$25:$F$55,$F101,Налоги!$AB$25:$AB$55,$G101)</f>
        <v>0</v>
      </c>
      <c r="AG101" s="1092">
        <f>_xlfn.SUMIFS(Налоги!AG$25:AG$55,Налоги!$F$25:$F$55,$F101,Налоги!$AB$25:$AB$55,$G101)</f>
        <v>0</v>
      </c>
      <c r="AH101" s="1092">
        <f>AG101-AF101</f>
        <v>0</v>
      </c>
      <c r="AI101" s="1092">
        <f>_xlfn.SUMIFS(Налоги!AH$25:AH$55,Налоги!$F$25:$F$55,$F101,Налоги!$AB$25:$AB$55,$G101)</f>
        <v>0</v>
      </c>
      <c r="AJ101" s="1092">
        <f>_xlfn.SUMIFS(Налоги!AI$25:AI$55,Налоги!$F$25:$F$55,$F101,Налоги!$AB$25:$AB$55,$G101)</f>
        <v>0</v>
      </c>
      <c r="AK101" s="1092">
        <f>_xlfn.SUMIFS(Налоги!AJ$25:AJ$55,Налоги!$F$25:$F$55,$F101,Налоги!$AB$25:$AB$55,$G101)</f>
        <v>0</v>
      </c>
      <c r="AL101" s="1092">
        <f>_xlfn.SUMIFS(Налоги!AK$25:AK$55,Налоги!$F$25:$F$55,$F101,Налоги!$AB$25:$AB$55,$G101)</f>
        <v>0</v>
      </c>
      <c r="AM101" s="1092">
        <f>_xlfn.SUMIFS(Налоги!AL$25:AL$55,Налоги!$F$25:$F$55,$F101,Налоги!$AB$25:$AB$55,$G101)</f>
        <v>0</v>
      </c>
      <c r="AN101" s="1092">
        <f>_xlfn.SUMIFS(Налоги!AM$25:AM$55,Налоги!$F$25:$F$55,$F101,Налоги!$AB$25:$AB$55,$G101)</f>
        <v>0</v>
      </c>
      <c r="AO101" s="1092">
        <f>_xlfn.SUMIFS(Налоги!AN$25:AN$55,Налоги!$F$25:$F$55,$F101,Налоги!$AB$25:$AB$55,$G101)</f>
        <v>0</v>
      </c>
      <c r="AP101" s="1092">
        <f>_xlfn.SUMIFS(Налоги!AO$25:AO$55,Налоги!$F$25:$F$55,$F101,Налоги!$AB$25:$AB$55,$G101)</f>
        <v>0</v>
      </c>
      <c r="AQ101" s="1092">
        <f>_xlfn.SUMIFS(Налоги!AP$25:AP$55,Налоги!$F$25:$F$55,$F101,Налоги!$AB$25:$AB$55,$G101)</f>
        <v>0</v>
      </c>
      <c r="AR101" s="1092">
        <f>_xlfn.SUMIFS(Налоги!AQ$25:AQ$55,Налоги!$F$25:$F$55,$F101,Налоги!$AB$25:$AB$55,$G101)</f>
        <v>0</v>
      </c>
      <c r="AS101" s="1092">
        <f>_xlfn.SUMIFS(Налоги!AR$25:AR$55,Налоги!$F$25:$F$55,$F101,Налоги!$AB$25:$AB$55,$G101)</f>
        <v>0</v>
      </c>
      <c r="AT101" s="1092">
        <f>_xlfn.SUMIFS(Налоги!AS$25:AS$55,Налоги!$F$25:$F$55,$F101,Налоги!$AB$25:$AB$55,$G101)</f>
        <v>0</v>
      </c>
      <c r="AU101" s="1092">
        <f>_xlfn.SUMIFS(Налоги!AT$25:AT$55,Налоги!$F$25:$F$55,$F101,Налоги!$AB$25:$AB$55,$G101)</f>
        <v>0</v>
      </c>
      <c r="AV101" s="1092">
        <f>_xlfn.SUMIFS(Налоги!AU$25:AU$55,Налоги!$F$25:$F$55,$F101,Налоги!$AB$25:$AB$55,$G101)</f>
        <v>0</v>
      </c>
      <c r="AW101" s="1092">
        <f>_xlfn.SUMIFS(Налоги!AV$25:AV$55,Налоги!$F$25:$F$55,$F101,Налоги!$AB$25:$AB$55,$G101)</f>
        <v>0</v>
      </c>
      <c r="AX101" s="1092">
        <f>_xlfn.SUMIFS(Налоги!AW$25:AW$55,Налоги!$F$25:$F$55,$F101,Налоги!$AB$25:$AB$55,$G101)</f>
        <v>0</v>
      </c>
      <c r="AY101" s="1092">
        <f>_xlfn.SUMIFS(Налоги!AX$25:AX$55,Налоги!$F$25:$F$55,$F101,Налоги!$AB$25:$AB$55,$G101)</f>
        <v>0</v>
      </c>
      <c r="AZ101" s="1092">
        <f>_xlfn.SUMIFS(Налоги!AY$25:AY$55,Налоги!$F$25:$F$55,$F101,Налоги!$AB$25:$AB$55,$G101)</f>
        <v>0</v>
      </c>
      <c r="BA101" s="1092">
        <f>_xlfn.SUMIFS(Налоги!AZ$25:AZ$55,Налоги!$F$25:$F$55,$F101,Налоги!$AB$25:$AB$55,$G101)</f>
        <v>0</v>
      </c>
      <c r="BB101" s="1092">
        <f>_xlfn.SUMIFS(Налоги!BA$25:BA$55,Налоги!$F$25:$F$55,$F101,Налоги!$AB$25:$AB$55,$G101)</f>
        <v>0</v>
      </c>
      <c r="BC101" s="1092">
        <f>_xlfn.SUMIFS(Налоги!BB$25:BB$55,Налоги!$F$25:$F$55,$F101,Налоги!$AB$25:$AB$55,$G101)</f>
        <v>0</v>
      </c>
      <c r="BD101" s="1092">
        <f>IF(AI101=0,0,(AT101-AI101)/AI101*100)</f>
        <v>0</v>
      </c>
      <c r="BE101" s="1092">
        <f>IF(AT101=0,0,(AU101-AT101)/AT101*100)</f>
        <v>0</v>
      </c>
      <c r="BF101" s="1092">
        <f>IF(AU101=0,0,(AV101-AU101)/AU101*100)</f>
        <v>0</v>
      </c>
      <c r="BG101" s="1092">
        <f>IF(AV101=0,0,(AW101-AV101)/AV101*100)</f>
        <v>0</v>
      </c>
      <c r="BH101" s="1092">
        <f>IF(AW101=0,0,(AX101-AW101)/AW101*100)</f>
        <v>0</v>
      </c>
      <c r="BI101" s="1092">
        <f>IF(AX101=0,0,(AY101-AX101)/AX101*100)</f>
        <v>0</v>
      </c>
      <c r="BJ101" s="1092">
        <f>IF(AY101=0,0,(AZ101-AY101)/AY101*100)</f>
        <v>0</v>
      </c>
      <c r="BK101" s="1092">
        <f>IF(AZ101=0,0,(BA101-AZ101)/AZ101*100)</f>
        <v>0</v>
      </c>
      <c r="BL101" s="1092">
        <f>IF(BA101=0,0,(BB101-BA101)/BA101*100)</f>
        <v>0</v>
      </c>
      <c r="BM101" s="1092">
        <f>IF(BB101=0,0,(BC101-BB101)/BB101*100)</f>
        <v>0</v>
      </c>
      <c r="BN101" s="1216"/>
      <c r="BO101" s="1220" t="str">
        <f>IF(_xlfn.IFERROR(INDEX(Налоги!$K$26:$L$55,MATCH($F101&amp;"9komm",Налоги!$K$26:$K$55,0),2),"")=0,"",_xlfn.IFERROR(INDEX(Налоги!$K$26:$L$55,MATCH($F101&amp;"9komm",Налоги!$K$26:$K$55,0),2),""))</f>
        <v/>
      </c>
      <c r="BP101" s="1216"/>
      <c r="BQ101" s="1211"/>
      <c r="BR101" s="1211"/>
      <c r="BS101" s="1048" t="s">
        <v>1942</v>
      </c>
      <c r="BT101" s="1048"/>
      <c r="BU101" s="1048"/>
      <c r="BV101" s="1049"/>
      <c r="BW101" s="1049"/>
    </row>
    <row customHeight="1" ht="14.625" hidden="1">
      <c r="A102" s="1256"/>
      <c r="B102" s="955"/>
      <c r="C102" s="73"/>
      <c r="D102" s="73"/>
      <c r="E102" s="596">
        <v>15</v>
      </c>
      <c r="F102" s="50" cm="1" t="str">
        <f t="array" ref="F102:F102">OFFSET(E102,-1,1)</f>
        <v>0</v>
      </c>
      <c r="G102" s="898">
        <v>10</v>
      </c>
      <c r="H102" s="73"/>
      <c r="I102" s="73" t="s">
        <v>1943</v>
      </c>
      <c r="J102" s="73"/>
      <c r="K102" s="73" t="s">
        <v>1943</v>
      </c>
      <c r="L102" s="957"/>
      <c r="M102" s="73"/>
      <c r="N102" s="73"/>
      <c r="O102" s="73"/>
      <c r="P102" s="73"/>
      <c r="Q102" s="73"/>
      <c r="R102" s="73"/>
      <c r="S102" s="73"/>
      <c r="T102" s="438" cm="1" t="str">
        <f t="array" ref="T102:T102">T101</f>
        <v>false</v>
      </c>
      <c r="U102" s="73"/>
      <c r="V102" s="73"/>
      <c r="W102" s="73"/>
      <c r="X102" s="1541"/>
      <c r="Y102" s="1256"/>
      <c r="Z102" s="1494"/>
      <c r="AA102" s="1256"/>
      <c r="AB102" s="266" t="s">
        <v>1944</v>
      </c>
      <c r="AC102" s="757" t="s">
        <v>1945</v>
      </c>
      <c r="AD102" s="266" t="s">
        <v>789</v>
      </c>
      <c r="AE102" s="1092">
        <f>_xlfn.SUMIFS(Налоги!AE$25:AE$55,Налоги!$F$25:$F$55,$F102,Налоги!$AB$25:$AB$55,$G102)</f>
        <v>0</v>
      </c>
      <c r="AF102" s="1092">
        <f>_xlfn.SUMIFS(Налоги!AF$25:AF$55,Налоги!$F$25:$F$55,$F102,Налоги!$AB$25:$AB$55,$G102)</f>
        <v>0</v>
      </c>
      <c r="AG102" s="1092">
        <f>_xlfn.SUMIFS(Налоги!AG$25:AG$55,Налоги!$F$25:$F$55,$F102,Налоги!$AB$25:$AB$55,$G102)</f>
        <v>0</v>
      </c>
      <c r="AH102" s="1092">
        <f>AG102-AF102</f>
        <v>0</v>
      </c>
      <c r="AI102" s="1092">
        <f>_xlfn.SUMIFS(Налоги!AH$25:AH$55,Налоги!$F$25:$F$55,$F102,Налоги!$AB$25:$AB$55,$G102)</f>
        <v>0</v>
      </c>
      <c r="AJ102" s="1092">
        <f>_xlfn.SUMIFS(Налоги!AI$25:AI$55,Налоги!$F$25:$F$55,$F102,Налоги!$AB$25:$AB$55,$G102)</f>
        <v>0</v>
      </c>
      <c r="AK102" s="1092">
        <f>_xlfn.SUMIFS(Налоги!AJ$25:AJ$55,Налоги!$F$25:$F$55,$F102,Налоги!$AB$25:$AB$55,$G102)</f>
        <v>0</v>
      </c>
      <c r="AL102" s="1092">
        <f>_xlfn.SUMIFS(Налоги!AK$25:AK$55,Налоги!$F$25:$F$55,$F102,Налоги!$AB$25:$AB$55,$G102)</f>
        <v>0</v>
      </c>
      <c r="AM102" s="1092">
        <f>_xlfn.SUMIFS(Налоги!AL$25:AL$55,Налоги!$F$25:$F$55,$F102,Налоги!$AB$25:$AB$55,$G102)</f>
        <v>0</v>
      </c>
      <c r="AN102" s="1092">
        <f>_xlfn.SUMIFS(Налоги!AM$25:AM$55,Налоги!$F$25:$F$55,$F102,Налоги!$AB$25:$AB$55,$G102)</f>
        <v>0</v>
      </c>
      <c r="AO102" s="1092">
        <f>_xlfn.SUMIFS(Налоги!AN$25:AN$55,Налоги!$F$25:$F$55,$F102,Налоги!$AB$25:$AB$55,$G102)</f>
        <v>0</v>
      </c>
      <c r="AP102" s="1092">
        <f>_xlfn.SUMIFS(Налоги!AO$25:AO$55,Налоги!$F$25:$F$55,$F102,Налоги!$AB$25:$AB$55,$G102)</f>
        <v>0</v>
      </c>
      <c r="AQ102" s="1092">
        <f>_xlfn.SUMIFS(Налоги!AP$25:AP$55,Налоги!$F$25:$F$55,$F102,Налоги!$AB$25:$AB$55,$G102)</f>
        <v>0</v>
      </c>
      <c r="AR102" s="1092">
        <f>_xlfn.SUMIFS(Налоги!AQ$25:AQ$55,Налоги!$F$25:$F$55,$F102,Налоги!$AB$25:$AB$55,$G102)</f>
        <v>0</v>
      </c>
      <c r="AS102" s="1092">
        <f>_xlfn.SUMIFS(Налоги!AR$25:AR$55,Налоги!$F$25:$F$55,$F102,Налоги!$AB$25:$AB$55,$G102)</f>
        <v>0</v>
      </c>
      <c r="AT102" s="1092">
        <f>_xlfn.SUMIFS(Налоги!AS$25:AS$55,Налоги!$F$25:$F$55,$F102,Налоги!$AB$25:$AB$55,$G102)</f>
        <v>0</v>
      </c>
      <c r="AU102" s="1092">
        <f>_xlfn.SUMIFS(Налоги!AT$25:AT$55,Налоги!$F$25:$F$55,$F102,Налоги!$AB$25:$AB$55,$G102)</f>
        <v>0</v>
      </c>
      <c r="AV102" s="1092">
        <f>_xlfn.SUMIFS(Налоги!AU$25:AU$55,Налоги!$F$25:$F$55,$F102,Налоги!$AB$25:$AB$55,$G102)</f>
        <v>0</v>
      </c>
      <c r="AW102" s="1092">
        <f>_xlfn.SUMIFS(Налоги!AV$25:AV$55,Налоги!$F$25:$F$55,$F102,Налоги!$AB$25:$AB$55,$G102)</f>
        <v>0</v>
      </c>
      <c r="AX102" s="1092">
        <f>_xlfn.SUMIFS(Налоги!AW$25:AW$55,Налоги!$F$25:$F$55,$F102,Налоги!$AB$25:$AB$55,$G102)</f>
        <v>0</v>
      </c>
      <c r="AY102" s="1092">
        <f>_xlfn.SUMIFS(Налоги!AX$25:AX$55,Налоги!$F$25:$F$55,$F102,Налоги!$AB$25:$AB$55,$G102)</f>
        <v>0</v>
      </c>
      <c r="AZ102" s="1092">
        <f>_xlfn.SUMIFS(Налоги!AY$25:AY$55,Налоги!$F$25:$F$55,$F102,Налоги!$AB$25:$AB$55,$G102)</f>
        <v>0</v>
      </c>
      <c r="BA102" s="1092">
        <f>_xlfn.SUMIFS(Налоги!AZ$25:AZ$55,Налоги!$F$25:$F$55,$F102,Налоги!$AB$25:$AB$55,$G102)</f>
        <v>0</v>
      </c>
      <c r="BB102" s="1092">
        <f>_xlfn.SUMIFS(Налоги!BA$25:BA$55,Налоги!$F$25:$F$55,$F102,Налоги!$AB$25:$AB$55,$G102)</f>
        <v>0</v>
      </c>
      <c r="BC102" s="1092">
        <f>_xlfn.SUMIFS(Налоги!BB$25:BB$55,Налоги!$F$25:$F$55,$F102,Налоги!$AB$25:$AB$55,$G102)</f>
        <v>0</v>
      </c>
      <c r="BD102" s="1092">
        <f>IF(AI102=0,0,(AT102-AI102)/AI102*100)</f>
        <v>0</v>
      </c>
      <c r="BE102" s="1092">
        <f>IF(AT102=0,0,(AU102-AT102)/AT102*100)</f>
        <v>0</v>
      </c>
      <c r="BF102" s="1092">
        <f>IF(AU102=0,0,(AV102-AU102)/AU102*100)</f>
        <v>0</v>
      </c>
      <c r="BG102" s="1092">
        <f>IF(AV102=0,0,(AW102-AV102)/AV102*100)</f>
        <v>0</v>
      </c>
      <c r="BH102" s="1092">
        <f>IF(AW102=0,0,(AX102-AW102)/AW102*100)</f>
        <v>0</v>
      </c>
      <c r="BI102" s="1092">
        <f>IF(AX102=0,0,(AY102-AX102)/AX102*100)</f>
        <v>0</v>
      </c>
      <c r="BJ102" s="1092">
        <f>IF(AY102=0,0,(AZ102-AY102)/AY102*100)</f>
        <v>0</v>
      </c>
      <c r="BK102" s="1092">
        <f>IF(AZ102=0,0,(BA102-AZ102)/AZ102*100)</f>
        <v>0</v>
      </c>
      <c r="BL102" s="1092">
        <f>IF(BA102=0,0,(BB102-BA102)/BA102*100)</f>
        <v>0</v>
      </c>
      <c r="BM102" s="1092">
        <f>IF(BB102=0,0,(BC102-BB102)/BB102*100)</f>
        <v>0</v>
      </c>
      <c r="BN102" s="1216"/>
      <c r="BO102" s="1220" t="str">
        <f>IF(_xlfn.IFERROR(INDEX(Налоги!$K$26:$L$55,MATCH($F102&amp;"10komm",Налоги!$K$26:$K$55,0),2),"")=0,"",_xlfn.IFERROR(INDEX(Налоги!$K$26:$L$55,MATCH($F102&amp;"10komm",Налоги!$K$26:$K$55,0),2),""))</f>
        <v/>
      </c>
      <c r="BP102" s="1216"/>
      <c r="BQ102" s="1256"/>
      <c r="BR102" s="1256"/>
      <c r="BS102" s="1041" t="s">
        <v>1946</v>
      </c>
      <c r="BT102" s="1041"/>
      <c r="BU102" s="1041"/>
      <c r="BV102" s="956"/>
      <c r="BW102" s="956"/>
    </row>
    <row customHeight="1" ht="65.8125" hidden="1">
      <c r="A103" s="1256"/>
      <c r="B103" s="955"/>
      <c r="C103" s="73"/>
      <c r="D103" s="73"/>
      <c r="E103" s="596">
        <v>67.5</v>
      </c>
      <c r="F103" s="50" cm="1" t="str">
        <f t="array" ref="F103:F103">OFFSET(E103,-1,1)</f>
        <v>0</v>
      </c>
      <c r="G103" s="73" t="s">
        <v>1317</v>
      </c>
      <c r="H103" s="73"/>
      <c r="I103" s="73" t="s">
        <v>866</v>
      </c>
      <c r="J103" s="73"/>
      <c r="K103" s="124" t="s">
        <v>866</v>
      </c>
      <c r="L103" s="957"/>
      <c r="M103" s="73"/>
      <c r="N103" s="73"/>
      <c r="O103" s="73"/>
      <c r="P103" s="73"/>
      <c r="Q103" s="73"/>
      <c r="R103" s="73"/>
      <c r="S103" s="73"/>
      <c r="T103" s="438" cm="1" t="str">
        <f t="array" ref="T103:T103">T102</f>
        <v>false</v>
      </c>
      <c r="U103" s="73"/>
      <c r="V103" s="73"/>
      <c r="W103" s="73"/>
      <c r="X103" s="1541"/>
      <c r="Y103" s="1256"/>
      <c r="Z103" s="1494"/>
      <c r="AA103" s="1256"/>
      <c r="AB103" s="266" t="s">
        <v>867</v>
      </c>
      <c r="AC103" s="758" t="s">
        <v>1320</v>
      </c>
      <c r="AD103" s="266" t="s">
        <v>789</v>
      </c>
      <c r="AE103" s="1222"/>
      <c r="AF103" s="1222"/>
      <c r="AG103" s="1222"/>
      <c r="AH103" s="1092">
        <f>AG103-AF103</f>
        <v>0</v>
      </c>
      <c r="AI103" s="1222"/>
      <c r="AJ103" s="3589"/>
      <c r="AK103" s="1222"/>
      <c r="AL103" s="1222"/>
      <c r="AM103" s="1222"/>
      <c r="AN103" s="1222"/>
      <c r="AO103" s="1222"/>
      <c r="AP103" s="1222"/>
      <c r="AQ103" s="1222"/>
      <c r="AR103" s="1222"/>
      <c r="AS103" s="1222"/>
      <c r="AT103" s="3589"/>
      <c r="AU103" s="1222"/>
      <c r="AV103" s="1222"/>
      <c r="AW103" s="1222"/>
      <c r="AX103" s="1222"/>
      <c r="AY103" s="1222"/>
      <c r="AZ103" s="1222"/>
      <c r="BA103" s="1222"/>
      <c r="BB103" s="1222"/>
      <c r="BC103" s="1222"/>
      <c r="BD103" s="1092">
        <f>IF(AI103=0,0,(AT103-AI103)/AI103*100)</f>
        <v>0</v>
      </c>
      <c r="BE103" s="1092">
        <f>IF(AT103=0,0,(AU103-AT103)/AT103*100)</f>
        <v>0</v>
      </c>
      <c r="BF103" s="1092">
        <f>IF(AU103=0,0,(AV103-AU103)/AU103*100)</f>
        <v>0</v>
      </c>
      <c r="BG103" s="1092">
        <f>IF(AV103=0,0,(AW103-AV103)/AV103*100)</f>
        <v>0</v>
      </c>
      <c r="BH103" s="1092">
        <f>IF(AW103=0,0,(AX103-AW103)/AW103*100)</f>
        <v>0</v>
      </c>
      <c r="BI103" s="1092">
        <f>IF(AX103=0,0,(AY103-AX103)/AX103*100)</f>
        <v>0</v>
      </c>
      <c r="BJ103" s="1092">
        <f>IF(AY103=0,0,(AZ103-AY103)/AY103*100)</f>
        <v>0</v>
      </c>
      <c r="BK103" s="1092">
        <f>IF(AZ103=0,0,(BA103-AZ103)/AZ103*100)</f>
        <v>0</v>
      </c>
      <c r="BL103" s="1092">
        <f>IF(BA103=0,0,(BB103-BA103)/BA103*100)</f>
        <v>0</v>
      </c>
      <c r="BM103" s="1092">
        <f>IF(BB103=0,0,(BC103-BB103)/BB103*100)</f>
        <v>0</v>
      </c>
      <c r="BN103" s="1216"/>
      <c r="BO103" s="1216"/>
      <c r="BP103" s="1216"/>
      <c r="BQ103" s="1256"/>
      <c r="BR103" s="1256"/>
      <c r="BS103" s="1041" t="s">
        <v>1947</v>
      </c>
      <c r="BT103" s="1041"/>
      <c r="BU103" s="1041"/>
      <c r="BV103" s="956"/>
      <c r="BW103" s="956"/>
    </row>
    <row customHeight="1" ht="14.625" hidden="1">
      <c r="A104" s="1256"/>
      <c r="B104" s="955"/>
      <c r="C104" s="73"/>
      <c r="D104" s="73"/>
      <c r="E104" s="596">
        <v>15</v>
      </c>
      <c r="F104" s="50" cm="1" t="str">
        <f t="array" ref="F104:F104">OFFSET(E104,-1,1)</f>
        <v>0</v>
      </c>
      <c r="G104" s="73" t="s">
        <v>942</v>
      </c>
      <c r="H104" s="73"/>
      <c r="I104" s="73" t="s">
        <v>869</v>
      </c>
      <c r="J104" s="73"/>
      <c r="K104" s="124" t="s">
        <v>869</v>
      </c>
      <c r="L104" s="957" t="s">
        <v>484</v>
      </c>
      <c r="M104" s="73"/>
      <c r="N104" s="73"/>
      <c r="O104" s="73"/>
      <c r="P104" s="73"/>
      <c r="Q104" s="73"/>
      <c r="R104" s="73"/>
      <c r="S104" s="73"/>
      <c r="T104" s="438" cm="1" t="str">
        <f t="array" ref="T104:T104">T103</f>
        <v>false</v>
      </c>
      <c r="U104" s="73"/>
      <c r="V104" s="73"/>
      <c r="W104" s="73"/>
      <c r="X104" s="1541"/>
      <c r="Y104" s="1256"/>
      <c r="Z104" s="1494"/>
      <c r="AA104" s="1256"/>
      <c r="AB104" s="266" t="s">
        <v>870</v>
      </c>
      <c r="AC104" s="738" t="s">
        <v>942</v>
      </c>
      <c r="AD104" s="266" t="s">
        <v>789</v>
      </c>
      <c r="AE104" s="1092">
        <f>_xlfn.SUMIFS(Аренда!AE$25:AE$47,Аренда!$F$25:$F$47,$F104,Аренда!$G$25:$G$47,"Арендная и концессионная плата, лизинговые платежи")</f>
        <v>0</v>
      </c>
      <c r="AF104" s="1092">
        <f>_xlfn.SUMIFS(Аренда!AF$25:AF$47,Аренда!$F$25:$F$47,$F104,Аренда!$G$25:$G$47,"Арендная и концессионная плата, лизинговые платежи")</f>
        <v>0</v>
      </c>
      <c r="AG104" s="1092">
        <f>_xlfn.SUMIFS(Аренда!AG$25:AG$47,Аренда!$F$25:$F$47,$F104,Аренда!$G$25:$G$47,"Арендная и концессионная плата, лизинговые платежи")</f>
        <v>0</v>
      </c>
      <c r="AH104" s="1092">
        <f>AG104-AF104</f>
        <v>0</v>
      </c>
      <c r="AI104" s="1092">
        <f>_xlfn.SUMIFS(Аренда!AH$25:AH$47,Аренда!$F$25:$F$47,$F104,Аренда!$G$25:$G$47,"Арендная и концессионная плата, лизинговые платежи")</f>
        <v>0</v>
      </c>
      <c r="AJ104" s="1092">
        <f>_xlfn.SUMIFS(Аренда!AI$25:AI$47,Аренда!$F$25:$F$47,$F104,Аренда!$G$25:$G$47,"Арендная и концессионная плата, лизинговые платежи")</f>
        <v>0</v>
      </c>
      <c r="AK104" s="1092">
        <f>_xlfn.SUMIFS(Аренда!AJ$25:AJ$47,Аренда!$F$25:$F$47,$F104,Аренда!$G$25:$G$47,"Арендная и концессионная плата, лизинговые платежи")</f>
        <v>0</v>
      </c>
      <c r="AL104" s="1092">
        <f>_xlfn.SUMIFS(Аренда!AK$25:AK$47,Аренда!$F$25:$F$47,$F104,Аренда!$G$25:$G$47,"Арендная и концессионная плата, лизинговые платежи")</f>
        <v>0</v>
      </c>
      <c r="AM104" s="1092">
        <f>_xlfn.SUMIFS(Аренда!AL$25:AL$47,Аренда!$F$25:$F$47,$F104,Аренда!$G$25:$G$47,"Арендная и концессионная плата, лизинговые платежи")</f>
        <v>0</v>
      </c>
      <c r="AN104" s="1092">
        <f>_xlfn.SUMIFS(Аренда!AM$25:AM$47,Аренда!$F$25:$F$47,$F104,Аренда!$G$25:$G$47,"Арендная и концессионная плата, лизинговые платежи")</f>
        <v>0</v>
      </c>
      <c r="AO104" s="1092">
        <f>_xlfn.SUMIFS(Аренда!AN$25:AN$47,Аренда!$F$25:$F$47,$F104,Аренда!$G$25:$G$47,"Арендная и концессионная плата, лизинговые платежи")</f>
        <v>0</v>
      </c>
      <c r="AP104" s="1092">
        <f>_xlfn.SUMIFS(Аренда!AO$25:AO$47,Аренда!$F$25:$F$47,$F104,Аренда!$G$25:$G$47,"Арендная и концессионная плата, лизинговые платежи")</f>
        <v>0</v>
      </c>
      <c r="AQ104" s="1092">
        <f>_xlfn.SUMIFS(Аренда!AP$25:AP$47,Аренда!$F$25:$F$47,$F104,Аренда!$G$25:$G$47,"Арендная и концессионная плата, лизинговые платежи")</f>
        <v>0</v>
      </c>
      <c r="AR104" s="1092">
        <f>_xlfn.SUMIFS(Аренда!AQ$25:AQ$47,Аренда!$F$25:$F$47,$F104,Аренда!$G$25:$G$47,"Арендная и концессионная плата, лизинговые платежи")</f>
        <v>0</v>
      </c>
      <c r="AS104" s="1092">
        <f>_xlfn.SUMIFS(Аренда!AR$25:AR$47,Аренда!$F$25:$F$47,$F104,Аренда!$G$25:$G$47,"Арендная и концессионная плата, лизинговые платежи")</f>
        <v>0</v>
      </c>
      <c r="AT104" s="1092">
        <f>_xlfn.SUMIFS(Аренда!AS$25:AS$47,Аренда!$F$25:$F$47,$F104,Аренда!$G$25:$G$47,"Арендная и концессионная плата, лизинговые платежи")</f>
        <v>0</v>
      </c>
      <c r="AU104" s="1092">
        <f>_xlfn.SUMIFS(Аренда!AT$25:AT$47,Аренда!$F$25:$F$47,$F104,Аренда!$G$25:$G$47,"Арендная и концессионная плата, лизинговые платежи")</f>
        <v>0</v>
      </c>
      <c r="AV104" s="1092">
        <f>_xlfn.SUMIFS(Аренда!AU$25:AU$47,Аренда!$F$25:$F$47,$F104,Аренда!$G$25:$G$47,"Арендная и концессионная плата, лизинговые платежи")</f>
        <v>0</v>
      </c>
      <c r="AW104" s="1092">
        <f>_xlfn.SUMIFS(Аренда!AV$25:AV$47,Аренда!$F$25:$F$47,$F104,Аренда!$G$25:$G$47,"Арендная и концессионная плата, лизинговые платежи")</f>
        <v>0</v>
      </c>
      <c r="AX104" s="1092">
        <f>_xlfn.SUMIFS(Аренда!AW$25:AW$47,Аренда!$F$25:$F$47,$F104,Аренда!$G$25:$G$47,"Арендная и концессионная плата, лизинговые платежи")</f>
        <v>0</v>
      </c>
      <c r="AY104" s="1092">
        <f>_xlfn.SUMIFS(Аренда!AX$25:AX$47,Аренда!$F$25:$F$47,$F104,Аренда!$G$25:$G$47,"Арендная и концессионная плата, лизинговые платежи")</f>
        <v>0</v>
      </c>
      <c r="AZ104" s="1092">
        <f>_xlfn.SUMIFS(Аренда!AY$25:AY$47,Аренда!$F$25:$F$47,$F104,Аренда!$G$25:$G$47,"Арендная и концессионная плата, лизинговые платежи")</f>
        <v>0</v>
      </c>
      <c r="BA104" s="1092">
        <f>_xlfn.SUMIFS(Аренда!AZ$25:AZ$47,Аренда!$F$25:$F$47,$F104,Аренда!$G$25:$G$47,"Арендная и концессионная плата, лизинговые платежи")</f>
        <v>0</v>
      </c>
      <c r="BB104" s="1092">
        <f>_xlfn.SUMIFS(Аренда!BA$25:BA$47,Аренда!$F$25:$F$47,$F104,Аренда!$G$25:$G$47,"Арендная и концессионная плата, лизинговые платежи")</f>
        <v>0</v>
      </c>
      <c r="BC104" s="1092">
        <f>_xlfn.SUMIFS(Аренда!BB$25:BB$47,Аренда!$F$25:$F$47,$F104,Аренда!$G$25:$G$47,"Арендная и концессионная плата, лизинговые платежи")</f>
        <v>0</v>
      </c>
      <c r="BD104" s="1092">
        <f>IF(AI104=0,0,(AT104-AI104)/AI104*100)</f>
        <v>0</v>
      </c>
      <c r="BE104" s="1092">
        <f>IF(AT104=0,0,(AU104-AT104)/AT104*100)</f>
        <v>0</v>
      </c>
      <c r="BF104" s="1092">
        <f>IF(AU104=0,0,(AV104-AU104)/AU104*100)</f>
        <v>0</v>
      </c>
      <c r="BG104" s="1092">
        <f>IF(AV104=0,0,(AW104-AV104)/AV104*100)</f>
        <v>0</v>
      </c>
      <c r="BH104" s="1092">
        <f>IF(AW104=0,0,(AX104-AW104)/AW104*100)</f>
        <v>0</v>
      </c>
      <c r="BI104" s="1092">
        <f>IF(AX104=0,0,(AY104-AX104)/AX104*100)</f>
        <v>0</v>
      </c>
      <c r="BJ104" s="1092">
        <f>IF(AY104=0,0,(AZ104-AY104)/AY104*100)</f>
        <v>0</v>
      </c>
      <c r="BK104" s="1092">
        <f>IF(AZ104=0,0,(BA104-AZ104)/AZ104*100)</f>
        <v>0</v>
      </c>
      <c r="BL104" s="1092">
        <f>IF(BA104=0,0,(BB104-BA104)/BA104*100)</f>
        <v>0</v>
      </c>
      <c r="BM104" s="1092">
        <f>IF(BB104=0,0,(BC104-BB104)/BB104*100)</f>
        <v>0</v>
      </c>
      <c r="BN104" s="1216"/>
      <c r="BO104" s="1223" t="str">
        <f>IF(_xlfn.IFERROR(INDEX(Аренда!$K$26:$L$47,MATCH($F104&amp;"komm",Аренда!$K$26:$K$47,0),2),"")=0,"",_xlfn.IFERROR(INDEX(Аренда!$K$26:$L$47,MATCH($F104&amp;"komm",Аренда!$K$26:$K$47,0),2),""))</f>
        <v/>
      </c>
      <c r="BP104" s="1216"/>
      <c r="BQ104" s="1256"/>
      <c r="BR104" s="1256"/>
      <c r="BS104" s="1041" t="s">
        <v>1948</v>
      </c>
      <c r="BT104" s="1041"/>
      <c r="BU104" s="1041"/>
      <c r="BV104" s="956"/>
      <c r="BW104" s="956"/>
    </row>
    <row customHeight="1" ht="14.625" hidden="1">
      <c r="A105" s="1256"/>
      <c r="B105" s="404">
        <f>STATUS_GO="да"</f>
        <v>0</v>
      </c>
      <c r="C105" s="73"/>
      <c r="D105" s="73"/>
      <c r="E105" s="596">
        <v>15</v>
      </c>
      <c r="F105" s="50" cm="1" t="str">
        <f t="array" ref="F105:F105">OFFSET(E105,-1,1)</f>
        <v>0</v>
      </c>
      <c r="G105" s="73"/>
      <c r="H105" s="73"/>
      <c r="I105" s="73" t="s">
        <v>1949</v>
      </c>
      <c r="J105" s="73"/>
      <c r="K105" s="124" t="s">
        <v>1949</v>
      </c>
      <c r="L105" s="957"/>
      <c r="M105" s="73"/>
      <c r="N105" s="73"/>
      <c r="O105" s="73"/>
      <c r="P105" s="73"/>
      <c r="Q105" s="73"/>
      <c r="R105" s="73"/>
      <c r="S105" s="73"/>
      <c r="T105" s="438" cm="1" t="str">
        <f t="array" ref="T105:T105">T104</f>
        <v>false</v>
      </c>
      <c r="U105" s="73"/>
      <c r="V105" s="73"/>
      <c r="W105" s="73"/>
      <c r="X105" s="1541"/>
      <c r="Y105" s="1256"/>
      <c r="Z105" s="1494"/>
      <c r="AA105" s="1256"/>
      <c r="AB105" s="266" t="s">
        <v>1384</v>
      </c>
      <c r="AC105" s="738" t="s">
        <v>1950</v>
      </c>
      <c r="AD105" s="266" t="s">
        <v>789</v>
      </c>
      <c r="AE105" s="1219" cm="1" t="str">
        <f t="array" ref="AE105:AE105">AE106</f>
        <v>0</v>
      </c>
      <c r="AF105" s="1219" cm="1" t="str">
        <f t="array" ref="AF105:AF105">AF106</f>
        <v>0</v>
      </c>
      <c r="AG105" s="1219" cm="1" t="str">
        <f t="array" ref="AG105:AG105">AG106</f>
        <v>0</v>
      </c>
      <c r="AH105" s="1092">
        <f>AG105-AF105</f>
        <v>0</v>
      </c>
      <c r="AI105" s="1219" cm="1" t="str">
        <f t="array" ref="AI105:AI105">AI106</f>
        <v>0</v>
      </c>
      <c r="AJ105" s="3564" cm="1" t="str">
        <f t="array" ref="AJ105:AJ105">AJ106</f>
        <v>0</v>
      </c>
      <c r="AK105" s="1219" cm="1" t="str">
        <f t="array" ref="AK105:AK105">AK106</f>
        <v>0</v>
      </c>
      <c r="AL105" s="1219" cm="1" t="str">
        <f t="array" ref="AL105:AL105">AL106</f>
        <v>0</v>
      </c>
      <c r="AM105" s="1219" cm="1" t="str">
        <f t="array" ref="AM105:AM105">AM106</f>
        <v>0</v>
      </c>
      <c r="AN105" s="1219" cm="1" t="str">
        <f t="array" ref="AN105:AN105">AN106</f>
        <v>0</v>
      </c>
      <c r="AO105" s="1219" cm="1" t="str">
        <f t="array" ref="AO105:AO105">AO106</f>
        <v>0</v>
      </c>
      <c r="AP105" s="1219" cm="1" t="str">
        <f t="array" ref="AP105:AP105">AP106</f>
        <v>0</v>
      </c>
      <c r="AQ105" s="1219" cm="1" t="str">
        <f t="array" ref="AQ105:AQ105">AQ106</f>
        <v>0</v>
      </c>
      <c r="AR105" s="1219" cm="1" t="str">
        <f t="array" ref="AR105:AR105">AR106</f>
        <v>0</v>
      </c>
      <c r="AS105" s="1219" cm="1" t="str">
        <f t="array" ref="AS105:AS105">AS106</f>
        <v>0</v>
      </c>
      <c r="AT105" s="3564" cm="1" t="str">
        <f t="array" ref="AT105:AT105">AT106</f>
        <v>0</v>
      </c>
      <c r="AU105" s="1219" cm="1" t="str">
        <f t="array" ref="AU105:AU105">AU106</f>
        <v>0</v>
      </c>
      <c r="AV105" s="1219" cm="1" t="str">
        <f t="array" ref="AV105:AV105">AV106</f>
        <v>0</v>
      </c>
      <c r="AW105" s="1219" cm="1" t="str">
        <f t="array" ref="AW105:AW105">AW106</f>
        <v>0</v>
      </c>
      <c r="AX105" s="1219" cm="1" t="str">
        <f t="array" ref="AX105:AX105">AX106</f>
        <v>0</v>
      </c>
      <c r="AY105" s="1219" cm="1" t="str">
        <f t="array" ref="AY105:AY105">AY106</f>
        <v>0</v>
      </c>
      <c r="AZ105" s="1219" cm="1" t="str">
        <f t="array" ref="AZ105:AZ105">AZ106</f>
        <v>0</v>
      </c>
      <c r="BA105" s="1219" cm="1" t="str">
        <f t="array" ref="BA105:BA105">BA106</f>
        <v>0</v>
      </c>
      <c r="BB105" s="1219" cm="1" t="str">
        <f t="array" ref="BB105:BB105">BB106</f>
        <v>0</v>
      </c>
      <c r="BC105" s="1219" cm="1" t="str">
        <f t="array" ref="BC105:BC105">BC106</f>
        <v>0</v>
      </c>
      <c r="BD105" s="1092">
        <f>IF(AI105=0,0,(AT105-AI105)/AI105*100)</f>
        <v>0</v>
      </c>
      <c r="BE105" s="1092">
        <f>IF(AT105=0,0,(AU105-AT105)/AT105*100)</f>
        <v>0</v>
      </c>
      <c r="BF105" s="1092">
        <f>IF(AU105=0,0,(AV105-AU105)/AU105*100)</f>
        <v>0</v>
      </c>
      <c r="BG105" s="1092">
        <f>IF(AV105=0,0,(AW105-AV105)/AV105*100)</f>
        <v>0</v>
      </c>
      <c r="BH105" s="1092">
        <f>IF(AW105=0,0,(AX105-AW105)/AW105*100)</f>
        <v>0</v>
      </c>
      <c r="BI105" s="1092">
        <f>IF(AX105=0,0,(AY105-AX105)/AX105*100)</f>
        <v>0</v>
      </c>
      <c r="BJ105" s="1092">
        <f>IF(AY105=0,0,(AZ105-AY105)/AY105*100)</f>
        <v>0</v>
      </c>
      <c r="BK105" s="1092">
        <f>IF(AZ105=0,0,(BA105-AZ105)/AZ105*100)</f>
        <v>0</v>
      </c>
      <c r="BL105" s="1092">
        <f>IF(BA105=0,0,(BB105-BA105)/BA105*100)</f>
        <v>0</v>
      </c>
      <c r="BM105" s="1092">
        <f>IF(BB105=0,0,(BC105-BB105)/BB105*100)</f>
        <v>0</v>
      </c>
      <c r="BN105" s="1216"/>
      <c r="BO105" s="1216"/>
      <c r="BP105" s="1216"/>
      <c r="BQ105" s="1256"/>
      <c r="BR105" s="1256"/>
      <c r="BS105" s="1041" t="s">
        <v>1951</v>
      </c>
      <c r="BT105" s="1041"/>
      <c r="BU105" s="1041"/>
      <c r="BV105" s="956"/>
      <c r="BW105" s="956"/>
    </row>
    <row customHeight="1" ht="14.625" hidden="1">
      <c r="A106" s="1256"/>
      <c r="B106" s="404">
        <f>STATUS_GO="да"</f>
        <v>0</v>
      </c>
      <c r="C106" s="73"/>
      <c r="D106" s="73"/>
      <c r="E106" s="596">
        <v>15</v>
      </c>
      <c r="F106" s="50" cm="1" t="str">
        <f t="array" ref="F106:F106">OFFSET(E106,-1,1)</f>
        <v>0</v>
      </c>
      <c r="G106" s="73" t="s">
        <v>1326</v>
      </c>
      <c r="H106" s="73"/>
      <c r="I106" s="73" t="s">
        <v>1952</v>
      </c>
      <c r="J106" s="73"/>
      <c r="K106" s="124" t="s">
        <v>1952</v>
      </c>
      <c r="L106" s="957"/>
      <c r="M106" s="73"/>
      <c r="N106" s="73"/>
      <c r="O106" s="73"/>
      <c r="P106" s="73"/>
      <c r="Q106" s="73"/>
      <c r="R106" s="73"/>
      <c r="S106" s="73"/>
      <c r="T106" s="438" cm="1" t="str">
        <f t="array" ref="T106:T106">T105</f>
        <v>false</v>
      </c>
      <c r="U106" s="73"/>
      <c r="V106" s="73"/>
      <c r="W106" s="73"/>
      <c r="X106" s="1541"/>
      <c r="Y106" s="1256"/>
      <c r="Z106" s="1494"/>
      <c r="AA106" s="1256"/>
      <c r="AB106" s="266" t="s">
        <v>1953</v>
      </c>
      <c r="AC106" s="741" t="s">
        <v>1326</v>
      </c>
      <c r="AD106" s="266" t="s">
        <v>789</v>
      </c>
      <c r="AE106" s="1092">
        <f>_xlfn.SUMIFS('Сбытовые расходы ГО'!AE$25:AE$51,'Сбытовые расходы ГО'!$F$25:$F$51,$F106,'Сбытовые расходы ГО'!$G$25:$G$51,"l1")</f>
        <v>0</v>
      </c>
      <c r="AF106" s="1092">
        <f>_xlfn.SUMIFS('Сбытовые расходы ГО'!AF$25:AF$51,'Сбытовые расходы ГО'!$F$25:$F$51,$F106,'Сбытовые расходы ГО'!$G$25:$G$51,"l1")</f>
        <v>0</v>
      </c>
      <c r="AG106" s="1092">
        <f>_xlfn.SUMIFS('Сбытовые расходы ГО'!AG$25:AG$51,'Сбытовые расходы ГО'!$F$25:$F$51,$F106,'Сбытовые расходы ГО'!$G$25:$G$51,"l1")</f>
        <v>0</v>
      </c>
      <c r="AH106" s="1092">
        <f>AG106-AF106</f>
        <v>0</v>
      </c>
      <c r="AI106" s="1092">
        <f>_xlfn.SUMIFS('Сбытовые расходы ГО'!AH$25:AH$51,'Сбытовые расходы ГО'!$F$25:$F$51,$F106,'Сбытовые расходы ГО'!$G$25:$G$51,"l1")</f>
        <v>0</v>
      </c>
      <c r="AJ106" s="1092">
        <f>_xlfn.SUMIFS('Сбытовые расходы ГО'!AI$25:AI$51,'Сбытовые расходы ГО'!$F$25:$F$51,$F106,'Сбытовые расходы ГО'!$G$25:$G$51,"l1")</f>
        <v>0</v>
      </c>
      <c r="AK106" s="1219"/>
      <c r="AL106" s="1219"/>
      <c r="AM106" s="1219"/>
      <c r="AN106" s="1219"/>
      <c r="AO106" s="1219"/>
      <c r="AP106" s="1219"/>
      <c r="AQ106" s="1219"/>
      <c r="AR106" s="1219"/>
      <c r="AS106" s="1219"/>
      <c r="AT106" s="1092">
        <f>_xlfn.SUMIFS('Сбытовые расходы ГО'!AJ$25:AJ$51,'Сбытовые расходы ГО'!$F$25:$F$51,$F106,'Сбытовые расходы ГО'!$G$25:$G$51,"l1")</f>
        <v>0</v>
      </c>
      <c r="AU106" s="1219"/>
      <c r="AV106" s="1219"/>
      <c r="AW106" s="1219"/>
      <c r="AX106" s="1219"/>
      <c r="AY106" s="1219"/>
      <c r="AZ106" s="1219"/>
      <c r="BA106" s="1219"/>
      <c r="BB106" s="1219"/>
      <c r="BC106" s="1219"/>
      <c r="BD106" s="1092">
        <f>IF(AI106=0,0,(AT106-AI106)/AI106*100)</f>
        <v>0</v>
      </c>
      <c r="BE106" s="1092">
        <f>IF(AT106=0,0,(AU106-AT106)/AT106*100)</f>
        <v>0</v>
      </c>
      <c r="BF106" s="1092">
        <f>IF(AU106=0,0,(AV106-AU106)/AU106*100)</f>
        <v>0</v>
      </c>
      <c r="BG106" s="1092">
        <f>IF(AV106=0,0,(AW106-AV106)/AV106*100)</f>
        <v>0</v>
      </c>
      <c r="BH106" s="1092">
        <f>IF(AW106=0,0,(AX106-AW106)/AW106*100)</f>
        <v>0</v>
      </c>
      <c r="BI106" s="1092">
        <f>IF(AX106=0,0,(AY106-AX106)/AX106*100)</f>
        <v>0</v>
      </c>
      <c r="BJ106" s="1092">
        <f>IF(AY106=0,0,(AZ106-AY106)/AY106*100)</f>
        <v>0</v>
      </c>
      <c r="BK106" s="1092">
        <f>IF(AZ106=0,0,(BA106-AZ106)/AZ106*100)</f>
        <v>0</v>
      </c>
      <c r="BL106" s="1092">
        <f>IF(BA106=0,0,(BB106-BA106)/BA106*100)</f>
        <v>0</v>
      </c>
      <c r="BM106" s="1092">
        <f>IF(BB106=0,0,(BC106-BB106)/BB106*100)</f>
        <v>0</v>
      </c>
      <c r="BN106" s="1216"/>
      <c r="BO106" s="1223" t="str">
        <f>IF(_xlfn.IFERROR(INDEX('Сбытовые расходы ГО'!$K$26:$M$51,MATCH($F106&amp;"komm",'Сбытовые расходы ГО'!$K$26:$K$51,0),2),"")=0,"",_xlfn.IFERROR(INDEX('Сбытовые расходы ГО'!$K$26:$M$51,MATCH($F106&amp;"komm",'Сбытовые расходы ГО'!$K$26:$K$51,0),2),""))</f>
        <v/>
      </c>
      <c r="BP106" s="1216"/>
      <c r="BQ106" s="1256"/>
      <c r="BR106" s="1256"/>
      <c r="BS106" s="1041" t="s">
        <v>1954</v>
      </c>
      <c r="BT106" s="1041"/>
      <c r="BU106" s="1041"/>
      <c r="BV106" s="956"/>
      <c r="BW106" s="956"/>
    </row>
    <row customHeight="1" ht="14.625" hidden="1">
      <c r="A107" s="1256"/>
      <c r="B107" s="955"/>
      <c r="C107" s="73"/>
      <c r="D107" s="73"/>
      <c r="E107" s="596">
        <v>15</v>
      </c>
      <c r="F107" s="50" cm="1" t="str">
        <f t="array" ref="F107:F107">OFFSET(E107,-1,1)</f>
        <v>0</v>
      </c>
      <c r="G107" s="73" t="s">
        <v>1331</v>
      </c>
      <c r="H107" s="73"/>
      <c r="I107" s="73" t="s">
        <v>1955</v>
      </c>
      <c r="J107" s="73"/>
      <c r="K107" s="124" t="s">
        <v>1955</v>
      </c>
      <c r="L107" s="957"/>
      <c r="M107" s="73"/>
      <c r="N107" s="73"/>
      <c r="O107" s="73"/>
      <c r="P107" s="73"/>
      <c r="Q107" s="73"/>
      <c r="R107" s="73"/>
      <c r="S107" s="73"/>
      <c r="T107" s="438" cm="1" t="str">
        <f t="array" ref="T107:T107">T106</f>
        <v>false</v>
      </c>
      <c r="U107" s="73"/>
      <c r="V107" s="73"/>
      <c r="W107" s="73"/>
      <c r="X107" s="1541"/>
      <c r="Y107" s="1256"/>
      <c r="Z107" s="1494"/>
      <c r="AA107" s="1256"/>
      <c r="AB107" s="266" t="s">
        <v>1389</v>
      </c>
      <c r="AC107" s="738" t="s">
        <v>1331</v>
      </c>
      <c r="AD107" s="266" t="s">
        <v>789</v>
      </c>
      <c r="AE107" s="1219"/>
      <c r="AF107" s="1219"/>
      <c r="AG107" s="1219"/>
      <c r="AH107" s="1092">
        <f>AG107-AF107</f>
        <v>0</v>
      </c>
      <c r="AI107" s="1219"/>
      <c r="AJ107" s="3564">
        <f>_xlfn.SUMIFS(Экономия_корр!AE$25:AE$43,Экономия_корр!$F$25:$F$43,$F107,Экономия_корр!$AC$25:$AC$43,"Экономия расходов с учетом ИПЦ")</f>
        <v>0</v>
      </c>
      <c r="AK107" s="1219">
        <f>_xlfn.SUMIFS(Экономия_корр!AF$25:AF$43,Экономия_корр!$F$25:$F$43,$F107,Экономия_корр!$AC$25:$AC$43,"Экономия расходов с учетом ИПЦ")</f>
        <v>0</v>
      </c>
      <c r="AL107" s="1219">
        <f>_xlfn.SUMIFS(Экономия_корр!AG$25:AG$43,Экономия_корр!$F$25:$F$43,$F107,Экономия_корр!$AC$25:$AC$43,"Экономия расходов с учетом ИПЦ")</f>
        <v>0</v>
      </c>
      <c r="AM107" s="1219">
        <f>_xlfn.SUMIFS(Экономия_корр!AH$25:AH$43,Экономия_корр!$F$25:$F$43,$F107,Экономия_корр!$AC$25:$AC$43,"Экономия расходов с учетом ИПЦ")</f>
        <v>0</v>
      </c>
      <c r="AN107" s="1219">
        <f>_xlfn.SUMIFS(Экономия_корр!AI$25:AI$43,Экономия_корр!$F$25:$F$43,$F107,Экономия_корр!$AC$25:$AC$43,"Экономия расходов с учетом ИПЦ")</f>
        <v>0</v>
      </c>
      <c r="AO107" s="1219">
        <f>_xlfn.SUMIFS(Экономия_корр!AJ$25:AJ$43,Экономия_корр!$F$25:$F$43,$F107,Экономия_корр!$AC$25:$AC$43,"Экономия расходов с учетом ИПЦ")</f>
        <v>0</v>
      </c>
      <c r="AP107" s="1219">
        <f>_xlfn.SUMIFS(Экономия_корр!AK$25:AK$43,Экономия_корр!$F$25:$F$43,$F107,Экономия_корр!$AC$25:$AC$43,"Экономия расходов с учетом ИПЦ")</f>
        <v>0</v>
      </c>
      <c r="AQ107" s="1219">
        <f>_xlfn.SUMIFS(Экономия_корр!AL$25:AL$43,Экономия_корр!$F$25:$F$43,$F107,Экономия_корр!$AC$25:$AC$43,"Экономия расходов с учетом ИПЦ")</f>
        <v>0</v>
      </c>
      <c r="AR107" s="1219">
        <f>_xlfn.SUMIFS(Экономия_корр!AM$25:AM$43,Экономия_корр!$F$25:$F$43,$F107,Экономия_корр!$AC$25:$AC$43,"Экономия расходов с учетом ИПЦ")</f>
        <v>0</v>
      </c>
      <c r="AS107" s="1219">
        <f>_xlfn.SUMIFS(Экономия_корр!AN$25:AN$43,Экономия_корр!$F$25:$F$43,$F107,Экономия_корр!$AC$25:$AC$43,"Экономия расходов с учетом ИПЦ")</f>
        <v>0</v>
      </c>
      <c r="AT107" s="3564">
        <f>_xlfn.SUMIFS(Экономия_корр!AO$25:AO$43,Экономия_корр!$F$25:$F$43,$F107,Экономия_корр!$AC$25:$AC$43,"Экономия расходов с учетом ИПЦ")</f>
        <v>0</v>
      </c>
      <c r="AU107" s="1219">
        <f>_xlfn.SUMIFS(Экономия_корр!AP$25:AP$43,Экономия_корр!$F$25:$F$43,$F107,Экономия_корр!$AC$25:$AC$43,"Экономия расходов с учетом ИПЦ")</f>
        <v>0</v>
      </c>
      <c r="AV107" s="1219">
        <f>_xlfn.SUMIFS(Экономия_корр!AQ$25:AQ$43,Экономия_корр!$F$25:$F$43,$F107,Экономия_корр!$AC$25:$AC$43,"Экономия расходов с учетом ИПЦ")</f>
        <v>0</v>
      </c>
      <c r="AW107" s="1219">
        <f>_xlfn.SUMIFS(Экономия_корр!AR$25:AR$43,Экономия_корр!$F$25:$F$43,$F107,Экономия_корр!$AC$25:$AC$43,"Экономия расходов с учетом ИПЦ")</f>
        <v>0</v>
      </c>
      <c r="AX107" s="1219">
        <f>_xlfn.SUMIFS(Экономия_корр!AS$25:AS$43,Экономия_корр!$F$25:$F$43,$F107,Экономия_корр!$AC$25:$AC$43,"Экономия расходов с учетом ИПЦ")</f>
        <v>0</v>
      </c>
      <c r="AY107" s="1219">
        <f>_xlfn.SUMIFS(Экономия_корр!AT$25:AT$43,Экономия_корр!$F$25:$F$43,$F107,Экономия_корр!$AC$25:$AC$43,"Экономия расходов с учетом ИПЦ")</f>
        <v>0</v>
      </c>
      <c r="AZ107" s="1219">
        <f>_xlfn.SUMIFS(Экономия_корр!AU$25:AU$43,Экономия_корр!$F$25:$F$43,$F107,Экономия_корр!$AC$25:$AC$43,"Экономия расходов с учетом ИПЦ")</f>
        <v>0</v>
      </c>
      <c r="BA107" s="1219">
        <f>_xlfn.SUMIFS(Экономия_корр!AV$25:AV$43,Экономия_корр!$F$25:$F$43,$F107,Экономия_корр!$AC$25:$AC$43,"Экономия расходов с учетом ИПЦ")</f>
        <v>0</v>
      </c>
      <c r="BB107" s="1219">
        <f>_xlfn.SUMIFS(Экономия_корр!AW$25:AW$43,Экономия_корр!$F$25:$F$43,$F107,Экономия_корр!$AC$25:$AC$43,"Экономия расходов с учетом ИПЦ")</f>
        <v>0</v>
      </c>
      <c r="BC107" s="1219">
        <f>_xlfn.SUMIFS(Экономия_корр!AX$25:AX$43,Экономия_корр!$F$25:$F$43,$F107,Экономия_корр!$AC$25:$AC$43,"Экономия расходов с учетом ИПЦ")</f>
        <v>0</v>
      </c>
      <c r="BD107" s="1092">
        <f>IF(AI107=0,0,(AT107-AI107)/AI107*100)</f>
        <v>0</v>
      </c>
      <c r="BE107" s="1092">
        <f>IF(AT107=0,0,(AU107-AT107)/AT107*100)</f>
        <v>0</v>
      </c>
      <c r="BF107" s="1092">
        <f>IF(AU107=0,0,(AV107-AU107)/AU107*100)</f>
        <v>0</v>
      </c>
      <c r="BG107" s="1092">
        <f>IF(AV107=0,0,(AW107-AV107)/AV107*100)</f>
        <v>0</v>
      </c>
      <c r="BH107" s="1092">
        <f>IF(AW107=0,0,(AX107-AW107)/AW107*100)</f>
        <v>0</v>
      </c>
      <c r="BI107" s="1092">
        <f>IF(AX107=0,0,(AY107-AX107)/AX107*100)</f>
        <v>0</v>
      </c>
      <c r="BJ107" s="1092">
        <f>IF(AY107=0,0,(AZ107-AY107)/AY107*100)</f>
        <v>0</v>
      </c>
      <c r="BK107" s="1092">
        <f>IF(AZ107=0,0,(BA107-AZ107)/AZ107*100)</f>
        <v>0</v>
      </c>
      <c r="BL107" s="1092">
        <f>IF(BA107=0,0,(BB107-BA107)/BA107*100)</f>
        <v>0</v>
      </c>
      <c r="BM107" s="1092">
        <f>IF(BB107=0,0,(BC107-BB107)/BB107*100)</f>
        <v>0</v>
      </c>
      <c r="BN107" s="1216"/>
      <c r="BO107" s="1216"/>
      <c r="BP107" s="1216"/>
      <c r="BQ107" s="1256"/>
      <c r="BR107" s="1256"/>
      <c r="BS107" s="1041" t="s">
        <v>1956</v>
      </c>
      <c r="BT107" s="1041"/>
      <c r="BU107" s="1041"/>
      <c r="BV107" s="956"/>
      <c r="BW107" s="956"/>
    </row>
    <row customHeight="1" ht="14.625" hidden="1">
      <c r="A108" s="1256"/>
      <c r="B108" s="955"/>
      <c r="C108" s="73"/>
      <c r="D108" s="73"/>
      <c r="E108" s="596">
        <v>15</v>
      </c>
      <c r="F108" s="50" cm="1" t="str">
        <f t="array" ref="F108:F108">OFFSET(E108,-1,1)</f>
        <v>0</v>
      </c>
      <c r="G108" s="73" t="s">
        <v>1336</v>
      </c>
      <c r="H108" s="73"/>
      <c r="I108" s="73" t="s">
        <v>1957</v>
      </c>
      <c r="J108" s="73"/>
      <c r="K108" s="124" t="s">
        <v>1957</v>
      </c>
      <c r="L108" s="957"/>
      <c r="M108" s="73"/>
      <c r="N108" s="73"/>
      <c r="O108" s="73"/>
      <c r="P108" s="73"/>
      <c r="Q108" s="73"/>
      <c r="R108" s="73"/>
      <c r="S108" s="73"/>
      <c r="T108" s="438" cm="1" t="str">
        <f t="array" ref="T108:T108">T107</f>
        <v>false</v>
      </c>
      <c r="U108" s="73"/>
      <c r="V108" s="73"/>
      <c r="W108" s="73"/>
      <c r="X108" s="1541"/>
      <c r="Y108" s="1256"/>
      <c r="Z108" s="1494"/>
      <c r="AA108" s="1256"/>
      <c r="AB108" s="266" t="s">
        <v>1958</v>
      </c>
      <c r="AC108" s="738" t="s">
        <v>1336</v>
      </c>
      <c r="AD108" s="266" t="s">
        <v>789</v>
      </c>
      <c r="AE108" s="1219"/>
      <c r="AF108" s="1219"/>
      <c r="AG108" s="1219"/>
      <c r="AH108" s="1092">
        <f>AG108-AF108</f>
        <v>0</v>
      </c>
      <c r="AI108" s="1219"/>
      <c r="AJ108" s="3564"/>
      <c r="AK108" s="1219"/>
      <c r="AL108" s="1219"/>
      <c r="AM108" s="1219"/>
      <c r="AN108" s="1219"/>
      <c r="AO108" s="1219"/>
      <c r="AP108" s="1219"/>
      <c r="AQ108" s="1219"/>
      <c r="AR108" s="1219"/>
      <c r="AS108" s="1219"/>
      <c r="AT108" s="3564"/>
      <c r="AU108" s="1219"/>
      <c r="AV108" s="1219"/>
      <c r="AW108" s="1219"/>
      <c r="AX108" s="1219"/>
      <c r="AY108" s="1219"/>
      <c r="AZ108" s="1219"/>
      <c r="BA108" s="1219"/>
      <c r="BB108" s="1219"/>
      <c r="BC108" s="1219"/>
      <c r="BD108" s="1092">
        <f>IF(AI108=0,0,(AT108-AI108)/AI108*100)</f>
        <v>0</v>
      </c>
      <c r="BE108" s="1092">
        <f>IF(AT108=0,0,(AU108-AT108)/AT108*100)</f>
        <v>0</v>
      </c>
      <c r="BF108" s="1092">
        <f>IF(AU108=0,0,(AV108-AU108)/AU108*100)</f>
        <v>0</v>
      </c>
      <c r="BG108" s="1092">
        <f>IF(AV108=0,0,(AW108-AV108)/AV108*100)</f>
        <v>0</v>
      </c>
      <c r="BH108" s="1092">
        <f>IF(AW108=0,0,(AX108-AW108)/AW108*100)</f>
        <v>0</v>
      </c>
      <c r="BI108" s="1092">
        <f>IF(AX108=0,0,(AY108-AX108)/AX108*100)</f>
        <v>0</v>
      </c>
      <c r="BJ108" s="1092">
        <f>IF(AY108=0,0,(AZ108-AY108)/AY108*100)</f>
        <v>0</v>
      </c>
      <c r="BK108" s="1092">
        <f>IF(AZ108=0,0,(BA108-AZ108)/AZ108*100)</f>
        <v>0</v>
      </c>
      <c r="BL108" s="1092">
        <f>IF(BA108=0,0,(BB108-BA108)/BA108*100)</f>
        <v>0</v>
      </c>
      <c r="BM108" s="1092">
        <f>IF(BB108=0,0,(BC108-BB108)/BB108*100)</f>
        <v>0</v>
      </c>
      <c r="BN108" s="1216"/>
      <c r="BO108" s="1216"/>
      <c r="BP108" s="1216"/>
      <c r="BQ108" s="1256"/>
      <c r="BR108" s="1256"/>
      <c r="BS108" s="1041" t="s">
        <v>1686</v>
      </c>
      <c r="BT108" s="1041"/>
      <c r="BU108" s="1041"/>
      <c r="BV108" s="956"/>
      <c r="BW108" s="956"/>
    </row>
    <row customHeight="1" ht="14.625" hidden="1">
      <c r="A109" s="1256"/>
      <c r="B109" s="955"/>
      <c r="C109" s="73"/>
      <c r="D109" s="73"/>
      <c r="E109" s="596">
        <v>15</v>
      </c>
      <c r="F109" s="50" cm="1" t="str">
        <f t="array" ref="F109:F109">OFFSET(E109,-1,1)</f>
        <v>0</v>
      </c>
      <c r="G109" s="73" t="s">
        <v>1341</v>
      </c>
      <c r="H109" s="73"/>
      <c r="I109" s="73" t="s">
        <v>1959</v>
      </c>
      <c r="J109" s="73"/>
      <c r="K109" s="124" t="s">
        <v>1959</v>
      </c>
      <c r="L109" s="957"/>
      <c r="M109" s="73"/>
      <c r="N109" s="73"/>
      <c r="O109" s="73"/>
      <c r="P109" s="73"/>
      <c r="Q109" s="73"/>
      <c r="R109" s="73"/>
      <c r="S109" s="73"/>
      <c r="T109" s="438" cm="1" t="str">
        <f t="array" ref="T109:T109">T108</f>
        <v>false</v>
      </c>
      <c r="U109" s="73"/>
      <c r="V109" s="73"/>
      <c r="W109" s="73"/>
      <c r="X109" s="1541"/>
      <c r="Y109" s="1256"/>
      <c r="Z109" s="1494"/>
      <c r="AA109" s="1256"/>
      <c r="AB109" s="266" t="s">
        <v>1408</v>
      </c>
      <c r="AC109" s="738" t="s">
        <v>1341</v>
      </c>
      <c r="AD109" s="266" t="s">
        <v>789</v>
      </c>
      <c r="AE109" s="1219"/>
      <c r="AF109" s="1219"/>
      <c r="AG109" s="1219"/>
      <c r="AH109" s="1092">
        <f>AG109-AF109</f>
        <v>0</v>
      </c>
      <c r="AI109" s="1219"/>
      <c r="AJ109" s="3564"/>
      <c r="AK109" s="1219"/>
      <c r="AL109" s="1219"/>
      <c r="AM109" s="1219"/>
      <c r="AN109" s="1219"/>
      <c r="AO109" s="1219"/>
      <c r="AP109" s="1219"/>
      <c r="AQ109" s="1219"/>
      <c r="AR109" s="1219"/>
      <c r="AS109" s="1219"/>
      <c r="AT109" s="3564"/>
      <c r="AU109" s="1219"/>
      <c r="AV109" s="1219"/>
      <c r="AW109" s="1219"/>
      <c r="AX109" s="1219"/>
      <c r="AY109" s="1219"/>
      <c r="AZ109" s="1219"/>
      <c r="BA109" s="1219"/>
      <c r="BB109" s="1219"/>
      <c r="BC109" s="1219"/>
      <c r="BD109" s="1092">
        <f>IF(AI109=0,0,(AT109-AI109)/AI109*100)</f>
        <v>0</v>
      </c>
      <c r="BE109" s="1092">
        <f>IF(AT109=0,0,(AU109-AT109)/AT109*100)</f>
        <v>0</v>
      </c>
      <c r="BF109" s="1092">
        <f>IF(AU109=0,0,(AV109-AU109)/AU109*100)</f>
        <v>0</v>
      </c>
      <c r="BG109" s="1092">
        <f>IF(AV109=0,0,(AW109-AV109)/AV109*100)</f>
        <v>0</v>
      </c>
      <c r="BH109" s="1092">
        <f>IF(AW109=0,0,(AX109-AW109)/AW109*100)</f>
        <v>0</v>
      </c>
      <c r="BI109" s="1092">
        <f>IF(AX109=0,0,(AY109-AX109)/AX109*100)</f>
        <v>0</v>
      </c>
      <c r="BJ109" s="1092">
        <f>IF(AY109=0,0,(AZ109-AY109)/AY109*100)</f>
        <v>0</v>
      </c>
      <c r="BK109" s="1092">
        <f>IF(AZ109=0,0,(BA109-AZ109)/AZ109*100)</f>
        <v>0</v>
      </c>
      <c r="BL109" s="1092">
        <f>IF(BA109=0,0,(BB109-BA109)/BA109*100)</f>
        <v>0</v>
      </c>
      <c r="BM109" s="1092">
        <f>IF(BB109=0,0,(BC109-BB109)/BB109*100)</f>
        <v>0</v>
      </c>
      <c r="BN109" s="1216"/>
      <c r="BO109" s="1216"/>
      <c r="BP109" s="1216"/>
      <c r="BQ109" s="1256"/>
      <c r="BR109" s="1256"/>
      <c r="BS109" s="1041" t="s">
        <v>1960</v>
      </c>
      <c r="BT109" s="1041"/>
      <c r="BU109" s="1041"/>
      <c r="BV109" s="956"/>
      <c r="BW109" s="956"/>
    </row>
    <row customHeight="1" ht="14.625" hidden="1">
      <c r="A110" s="1256"/>
      <c r="B110" s="955"/>
      <c r="C110" s="73"/>
      <c r="D110" s="73"/>
      <c r="E110" s="596">
        <v>15</v>
      </c>
      <c r="F110" s="50" cm="1" t="str">
        <f t="array" ref="F110:F110">OFFSET(E110,-1,1)</f>
        <v>0</v>
      </c>
      <c r="G110" s="73" t="s">
        <v>1346</v>
      </c>
      <c r="H110" s="73"/>
      <c r="I110" s="73" t="s">
        <v>1961</v>
      </c>
      <c r="J110" s="73"/>
      <c r="K110" s="124" t="s">
        <v>1961</v>
      </c>
      <c r="L110" s="957"/>
      <c r="M110" s="73"/>
      <c r="N110" s="73"/>
      <c r="O110" s="73"/>
      <c r="P110" s="73"/>
      <c r="Q110" s="73"/>
      <c r="R110" s="73"/>
      <c r="S110" s="73"/>
      <c r="T110" s="438" cm="1" t="str">
        <f t="array" ref="T110:T110">T109</f>
        <v>false</v>
      </c>
      <c r="U110" s="73"/>
      <c r="V110" s="73"/>
      <c r="W110" s="73"/>
      <c r="X110" s="1541"/>
      <c r="Y110" s="1256"/>
      <c r="Z110" s="1494"/>
      <c r="AA110" s="1256"/>
      <c r="AB110" s="266" t="s">
        <v>1412</v>
      </c>
      <c r="AC110" s="738" t="s">
        <v>1346</v>
      </c>
      <c r="AD110" s="266" t="s">
        <v>789</v>
      </c>
      <c r="AE110" s="1094">
        <f>SUM(AE111,AE112)</f>
        <v>0</v>
      </c>
      <c r="AF110" s="1092">
        <f>SUM(AF111,AF112)</f>
        <v>0</v>
      </c>
      <c r="AG110" s="1092">
        <f>SUM(AG111,AG112)</f>
        <v>0</v>
      </c>
      <c r="AH110" s="1092">
        <f>AG110-AF110</f>
        <v>0</v>
      </c>
      <c r="AI110" s="1092">
        <f>SUM(AI111,AI112)</f>
        <v>0</v>
      </c>
      <c r="AJ110" s="1094">
        <f>SUM(AJ111,AJ112)</f>
        <v>0</v>
      </c>
      <c r="AK110" s="1092">
        <f>SUM(AK111,AK112)</f>
        <v>0</v>
      </c>
      <c r="AL110" s="1092">
        <f>SUM(AL111,AL112)</f>
        <v>0</v>
      </c>
      <c r="AM110" s="1092">
        <f>SUM(AM111,AM112)</f>
        <v>0</v>
      </c>
      <c r="AN110" s="1092">
        <f>SUM(AN111,AN112)</f>
        <v>0</v>
      </c>
      <c r="AO110" s="1092">
        <f>SUM(AO111,AO112)</f>
        <v>0</v>
      </c>
      <c r="AP110" s="1092">
        <f>SUM(AP111,AP112)</f>
        <v>0</v>
      </c>
      <c r="AQ110" s="1092">
        <f>SUM(AQ111,AQ112)</f>
        <v>0</v>
      </c>
      <c r="AR110" s="1092">
        <f>SUM(AR111,AR112)</f>
        <v>0</v>
      </c>
      <c r="AS110" s="1092">
        <f>SUM(AS111,AS112)</f>
        <v>0</v>
      </c>
      <c r="AT110" s="1094">
        <f>SUM(AT111,AT112)</f>
        <v>0</v>
      </c>
      <c r="AU110" s="1092">
        <f>SUM(AU111,AU112)</f>
        <v>0</v>
      </c>
      <c r="AV110" s="1092">
        <f>SUM(AV111,AV112)</f>
        <v>0</v>
      </c>
      <c r="AW110" s="1092">
        <f>SUM(AW111,AW112)</f>
        <v>0</v>
      </c>
      <c r="AX110" s="1092">
        <f>SUM(AX111,AX112)</f>
        <v>0</v>
      </c>
      <c r="AY110" s="1092">
        <f>SUM(AY111,AY112)</f>
        <v>0</v>
      </c>
      <c r="AZ110" s="1092">
        <f>SUM(AZ111,AZ112)</f>
        <v>0</v>
      </c>
      <c r="BA110" s="1092">
        <f>SUM(BA111,BA112)</f>
        <v>0</v>
      </c>
      <c r="BB110" s="1092">
        <f>SUM(BB111,BB112)</f>
        <v>0</v>
      </c>
      <c r="BC110" s="1092">
        <f>SUM(BC111,BC112)</f>
        <v>0</v>
      </c>
      <c r="BD110" s="1092">
        <f>IF(AI110=0,0,(AT110-AI110)/AI110*100)</f>
        <v>0</v>
      </c>
      <c r="BE110" s="1092">
        <f>IF(AT110=0,0,(AU110-AT110)/AT110*100)</f>
        <v>0</v>
      </c>
      <c r="BF110" s="1092">
        <f>IF(AU110=0,0,(AV110-AU110)/AU110*100)</f>
        <v>0</v>
      </c>
      <c r="BG110" s="1092">
        <f>IF(AV110=0,0,(AW110-AV110)/AV110*100)</f>
        <v>0</v>
      </c>
      <c r="BH110" s="1092">
        <f>IF(AW110=0,0,(AX110-AW110)/AW110*100)</f>
        <v>0</v>
      </c>
      <c r="BI110" s="1092">
        <f>IF(AX110=0,0,(AY110-AX110)/AX110*100)</f>
        <v>0</v>
      </c>
      <c r="BJ110" s="1092">
        <f>IF(AY110=0,0,(AZ110-AY110)/AY110*100)</f>
        <v>0</v>
      </c>
      <c r="BK110" s="1092">
        <f>IF(AZ110=0,0,(BA110-AZ110)/AZ110*100)</f>
        <v>0</v>
      </c>
      <c r="BL110" s="1092">
        <f>IF(BA110=0,0,(BB110-BA110)/BA110*100)</f>
        <v>0</v>
      </c>
      <c r="BM110" s="1092">
        <f>IF(BB110=0,0,(BC110-BB110)/BB110*100)</f>
        <v>0</v>
      </c>
      <c r="BN110" s="1216"/>
      <c r="BO110" s="1216"/>
      <c r="BP110" s="1216"/>
      <c r="BQ110" s="1256"/>
      <c r="BR110" s="1256"/>
      <c r="BS110" s="1041" t="s">
        <v>1962</v>
      </c>
      <c r="BT110" s="1041"/>
      <c r="BU110" s="1041"/>
      <c r="BV110" s="956"/>
      <c r="BW110" s="956"/>
    </row>
    <row customHeight="1" ht="14.625" hidden="1">
      <c r="A111" s="1256"/>
      <c r="B111" s="955"/>
      <c r="C111" s="73"/>
      <c r="D111" s="73"/>
      <c r="E111" s="596">
        <v>15</v>
      </c>
      <c r="F111" s="50" cm="1" t="str">
        <f t="array" ref="F111:F111">OFFSET(E111,-1,1)</f>
        <v>0</v>
      </c>
      <c r="G111" s="73"/>
      <c r="H111" s="73"/>
      <c r="I111" s="73" t="s">
        <v>1963</v>
      </c>
      <c r="J111" s="73"/>
      <c r="K111" s="124" t="s">
        <v>1963</v>
      </c>
      <c r="L111" s="957"/>
      <c r="M111" s="73"/>
      <c r="N111" s="73"/>
      <c r="O111" s="73"/>
      <c r="P111" s="73"/>
      <c r="Q111" s="73"/>
      <c r="R111" s="73"/>
      <c r="S111" s="73"/>
      <c r="T111" s="438" cm="1" t="str">
        <f t="array" ref="T111:T111">T110</f>
        <v>false</v>
      </c>
      <c r="U111" s="73"/>
      <c r="V111" s="73"/>
      <c r="W111" s="73"/>
      <c r="X111" s="1541"/>
      <c r="Y111" s="1256"/>
      <c r="Z111" s="1494"/>
      <c r="AA111" s="1256"/>
      <c r="AB111" s="266" t="s">
        <v>1964</v>
      </c>
      <c r="AC111" s="741" t="s">
        <v>1965</v>
      </c>
      <c r="AD111" s="266" t="s">
        <v>789</v>
      </c>
      <c r="AE111" s="1219"/>
      <c r="AF111" s="1219"/>
      <c r="AG111" s="1219"/>
      <c r="AH111" s="1092">
        <f>AG111-AF111</f>
        <v>0</v>
      </c>
      <c r="AI111" s="1219"/>
      <c r="AJ111" s="3564"/>
      <c r="AK111" s="1219"/>
      <c r="AL111" s="1219"/>
      <c r="AM111" s="1219"/>
      <c r="AN111" s="1219"/>
      <c r="AO111" s="1219"/>
      <c r="AP111" s="1219"/>
      <c r="AQ111" s="1219"/>
      <c r="AR111" s="1219"/>
      <c r="AS111" s="1219"/>
      <c r="AT111" s="3564"/>
      <c r="AU111" s="1219"/>
      <c r="AV111" s="1219"/>
      <c r="AW111" s="1219"/>
      <c r="AX111" s="1219"/>
      <c r="AY111" s="1219"/>
      <c r="AZ111" s="1219"/>
      <c r="BA111" s="1219"/>
      <c r="BB111" s="1219"/>
      <c r="BC111" s="1219"/>
      <c r="BD111" s="1092">
        <f>IF(AI111=0,0,(AT111-AI111)/AI111*100)</f>
        <v>0</v>
      </c>
      <c r="BE111" s="1092">
        <f>IF(AT111=0,0,(AU111-AT111)/AT111*100)</f>
        <v>0</v>
      </c>
      <c r="BF111" s="1092">
        <f>IF(AU111=0,0,(AV111-AU111)/AU111*100)</f>
        <v>0</v>
      </c>
      <c r="BG111" s="1092">
        <f>IF(AV111=0,0,(AW111-AV111)/AV111*100)</f>
        <v>0</v>
      </c>
      <c r="BH111" s="1092">
        <f>IF(AW111=0,0,(AX111-AW111)/AW111*100)</f>
        <v>0</v>
      </c>
      <c r="BI111" s="1092">
        <f>IF(AX111=0,0,(AY111-AX111)/AX111*100)</f>
        <v>0</v>
      </c>
      <c r="BJ111" s="1092">
        <f>IF(AY111=0,0,(AZ111-AY111)/AY111*100)</f>
        <v>0</v>
      </c>
      <c r="BK111" s="1092">
        <f>IF(AZ111=0,0,(BA111-AZ111)/AZ111*100)</f>
        <v>0</v>
      </c>
      <c r="BL111" s="1092">
        <f>IF(BA111=0,0,(BB111-BA111)/BA111*100)</f>
        <v>0</v>
      </c>
      <c r="BM111" s="1092">
        <f>IF(BB111=0,0,(BC111-BB111)/BB111*100)</f>
        <v>0</v>
      </c>
      <c r="BN111" s="1216"/>
      <c r="BO111" s="1216"/>
      <c r="BP111" s="1216"/>
      <c r="BQ111" s="1256"/>
      <c r="BR111" s="1256"/>
      <c r="BS111" s="1041" t="s">
        <v>1139</v>
      </c>
      <c r="BT111" s="1041"/>
      <c r="BU111" s="1041"/>
      <c r="BV111" s="956"/>
      <c r="BW111" s="956"/>
    </row>
    <row customHeight="1" ht="14.625" hidden="1">
      <c r="A112" s="1256"/>
      <c r="B112" s="955"/>
      <c r="C112" s="73"/>
      <c r="D112" s="73"/>
      <c r="E112" s="596">
        <v>15</v>
      </c>
      <c r="F112" s="50" cm="1" t="str">
        <f t="array" ref="F112:F112">OFFSET(E112,-1,1)</f>
        <v>0</v>
      </c>
      <c r="G112" s="73"/>
      <c r="H112" s="73"/>
      <c r="I112" s="73" t="s">
        <v>1966</v>
      </c>
      <c r="J112" s="73"/>
      <c r="K112" s="124" t="s">
        <v>1966</v>
      </c>
      <c r="L112" s="957" t="s">
        <v>856</v>
      </c>
      <c r="M112" s="73"/>
      <c r="N112" s="73"/>
      <c r="O112" s="73"/>
      <c r="P112" s="73"/>
      <c r="Q112" s="73"/>
      <c r="R112" s="73"/>
      <c r="S112" s="73"/>
      <c r="T112" s="438" cm="1" t="str">
        <f t="array" ref="T112:T112">T111</f>
        <v>false</v>
      </c>
      <c r="U112" s="73"/>
      <c r="V112" s="73"/>
      <c r="W112" s="73"/>
      <c r="X112" s="1541"/>
      <c r="Y112" s="1256"/>
      <c r="Z112" s="1494"/>
      <c r="AA112" s="1256"/>
      <c r="AB112" s="266" t="s">
        <v>1967</v>
      </c>
      <c r="AC112" s="741" t="s">
        <v>1968</v>
      </c>
      <c r="AD112" s="266" t="s">
        <v>789</v>
      </c>
      <c r="AE112" s="1219"/>
      <c r="AF112" s="1219"/>
      <c r="AG112" s="1219"/>
      <c r="AH112" s="1092">
        <f>AG112-AF112</f>
        <v>0</v>
      </c>
      <c r="AI112" s="1219"/>
      <c r="AJ112" s="3564"/>
      <c r="AK112" s="1219"/>
      <c r="AL112" s="1219"/>
      <c r="AM112" s="1219"/>
      <c r="AN112" s="1219"/>
      <c r="AO112" s="1219"/>
      <c r="AP112" s="1219"/>
      <c r="AQ112" s="1219"/>
      <c r="AR112" s="1219"/>
      <c r="AS112" s="1219"/>
      <c r="AT112" s="3564"/>
      <c r="AU112" s="1219"/>
      <c r="AV112" s="1219"/>
      <c r="AW112" s="1219"/>
      <c r="AX112" s="1219"/>
      <c r="AY112" s="1219"/>
      <c r="AZ112" s="1219"/>
      <c r="BA112" s="1219"/>
      <c r="BB112" s="1219"/>
      <c r="BC112" s="1219"/>
      <c r="BD112" s="1092">
        <f>IF(AI112=0,0,(AT112-AI112)/AI112*100)</f>
        <v>0</v>
      </c>
      <c r="BE112" s="1092">
        <f>IF(AT112=0,0,(AU112-AT112)/AT112*100)</f>
        <v>0</v>
      </c>
      <c r="BF112" s="1092">
        <f>IF(AU112=0,0,(AV112-AU112)/AU112*100)</f>
        <v>0</v>
      </c>
      <c r="BG112" s="1092">
        <f>IF(AV112=0,0,(AW112-AV112)/AV112*100)</f>
        <v>0</v>
      </c>
      <c r="BH112" s="1092">
        <f>IF(AW112=0,0,(AX112-AW112)/AW112*100)</f>
        <v>0</v>
      </c>
      <c r="BI112" s="1092">
        <f>IF(AX112=0,0,(AY112-AX112)/AX112*100)</f>
        <v>0</v>
      </c>
      <c r="BJ112" s="1092">
        <f>IF(AY112=0,0,(AZ112-AY112)/AY112*100)</f>
        <v>0</v>
      </c>
      <c r="BK112" s="1092">
        <f>IF(AZ112=0,0,(BA112-AZ112)/AZ112*100)</f>
        <v>0</v>
      </c>
      <c r="BL112" s="1092">
        <f>IF(BA112=0,0,(BB112-BA112)/BA112*100)</f>
        <v>0</v>
      </c>
      <c r="BM112" s="1092">
        <f>IF(BB112=0,0,(BC112-BB112)/BB112*100)</f>
        <v>0</v>
      </c>
      <c r="BN112" s="1216"/>
      <c r="BO112" s="1216"/>
      <c r="BP112" s="1216"/>
      <c r="BQ112" s="1256"/>
      <c r="BR112" s="1256"/>
      <c r="BS112" s="1041" t="s">
        <v>1969</v>
      </c>
      <c r="BT112" s="1041"/>
      <c r="BU112" s="1041"/>
      <c r="BV112" s="956"/>
      <c r="BW112" s="956"/>
    </row>
    <row customHeight="1" ht="21.9375" hidden="1">
      <c r="A113" s="1256"/>
      <c r="B113" s="955"/>
      <c r="C113" s="73"/>
      <c r="D113" s="73"/>
      <c r="E113" s="596">
        <v>22.5</v>
      </c>
      <c r="F113" s="50" cm="1" t="str">
        <f t="array" ref="F113:F113">OFFSET(E113,-1,1)</f>
        <v>0</v>
      </c>
      <c r="G113" s="73" t="s">
        <v>1351</v>
      </c>
      <c r="H113" s="73"/>
      <c r="I113" s="73" t="s">
        <v>1970</v>
      </c>
      <c r="J113" s="73"/>
      <c r="K113" s="124" t="s">
        <v>1970</v>
      </c>
      <c r="L113" s="957"/>
      <c r="M113" s="73"/>
      <c r="N113" s="73"/>
      <c r="O113" s="73"/>
      <c r="P113" s="73"/>
      <c r="Q113" s="73"/>
      <c r="R113" s="73"/>
      <c r="S113" s="73"/>
      <c r="T113" s="438" cm="1" t="str">
        <f t="array" ref="T113:T113">T112</f>
        <v>false</v>
      </c>
      <c r="U113" s="73"/>
      <c r="V113" s="73"/>
      <c r="W113" s="73"/>
      <c r="X113" s="1541"/>
      <c r="Y113" s="1256"/>
      <c r="Z113" s="1494"/>
      <c r="AA113" s="1256"/>
      <c r="AB113" s="266" t="s">
        <v>1415</v>
      </c>
      <c r="AC113" s="738" t="s">
        <v>1971</v>
      </c>
      <c r="AD113" s="266" t="s">
        <v>789</v>
      </c>
      <c r="AE113" s="1219"/>
      <c r="AF113" s="1219"/>
      <c r="AG113" s="1219"/>
      <c r="AH113" s="1092">
        <f>AG113-AF113</f>
        <v>0</v>
      </c>
      <c r="AI113" s="1219"/>
      <c r="AJ113" s="3564"/>
      <c r="AK113" s="1219"/>
      <c r="AL113" s="1219"/>
      <c r="AM113" s="1219"/>
      <c r="AN113" s="1219"/>
      <c r="AO113" s="1219"/>
      <c r="AP113" s="1219"/>
      <c r="AQ113" s="1219"/>
      <c r="AR113" s="1219"/>
      <c r="AS113" s="1219"/>
      <c r="AT113" s="3564"/>
      <c r="AU113" s="1219"/>
      <c r="AV113" s="1219"/>
      <c r="AW113" s="1219"/>
      <c r="AX113" s="1219"/>
      <c r="AY113" s="1219"/>
      <c r="AZ113" s="1219"/>
      <c r="BA113" s="1219"/>
      <c r="BB113" s="1219"/>
      <c r="BC113" s="1219"/>
      <c r="BD113" s="1092">
        <f>IF(AI113=0,0,(AT113-AI113)/AI113*100)</f>
        <v>0</v>
      </c>
      <c r="BE113" s="1092">
        <f>IF(AT113=0,0,(AU113-AT113)/AT113*100)</f>
        <v>0</v>
      </c>
      <c r="BF113" s="1092">
        <f>IF(AU113=0,0,(AV113-AU113)/AU113*100)</f>
        <v>0</v>
      </c>
      <c r="BG113" s="1092">
        <f>IF(AV113=0,0,(AW113-AV113)/AV113*100)</f>
        <v>0</v>
      </c>
      <c r="BH113" s="1092">
        <f>IF(AW113=0,0,(AX113-AW113)/AW113*100)</f>
        <v>0</v>
      </c>
      <c r="BI113" s="1092">
        <f>IF(AX113=0,0,(AY113-AX113)/AX113*100)</f>
        <v>0</v>
      </c>
      <c r="BJ113" s="1092">
        <f>IF(AY113=0,0,(AZ113-AY113)/AY113*100)</f>
        <v>0</v>
      </c>
      <c r="BK113" s="1092">
        <f>IF(AZ113=0,0,(BA113-AZ113)/AZ113*100)</f>
        <v>0</v>
      </c>
      <c r="BL113" s="1092">
        <f>IF(BA113=0,0,(BB113-BA113)/BA113*100)</f>
        <v>0</v>
      </c>
      <c r="BM113" s="1092">
        <f>IF(BB113=0,0,(BC113-BB113)/BB113*100)</f>
        <v>0</v>
      </c>
      <c r="BN113" s="1216"/>
      <c r="BO113" s="1216"/>
      <c r="BP113" s="1216"/>
      <c r="BQ113" s="1256"/>
      <c r="BR113" s="1256"/>
      <c r="BS113" s="1041" t="s">
        <v>1972</v>
      </c>
      <c r="BT113" s="1041"/>
      <c r="BU113" s="1041"/>
      <c r="BV113" s="956"/>
      <c r="BW113" s="956"/>
    </row>
    <row s="676" customFormat="1" customHeight="1" ht="20.475" hidden="1">
      <c r="A114" s="676"/>
      <c r="B114" s="407"/>
      <c r="C114" s="75"/>
      <c r="D114" s="75"/>
      <c r="E114" s="802">
        <v>21</v>
      </c>
      <c r="F114" s="50" cm="1" t="str">
        <f t="array" ref="F114:F114">OFFSET(E114,-1,1)</f>
        <v>0</v>
      </c>
      <c r="G114" s="73" t="s">
        <v>1973</v>
      </c>
      <c r="H114" s="73"/>
      <c r="I114" s="73" t="s">
        <v>323</v>
      </c>
      <c r="J114" s="75"/>
      <c r="K114" s="124" t="s">
        <v>323</v>
      </c>
      <c r="L114" s="962" t="s">
        <v>1208</v>
      </c>
      <c r="M114" s="75"/>
      <c r="N114" s="75"/>
      <c r="O114" s="75"/>
      <c r="P114" s="75"/>
      <c r="Q114" s="75"/>
      <c r="R114" s="75"/>
      <c r="S114" s="75"/>
      <c r="T114" s="438" cm="1" t="str">
        <f t="array" ref="T114:T114">T113</f>
        <v>false</v>
      </c>
      <c r="U114" s="75"/>
      <c r="V114" s="75"/>
      <c r="W114" s="75"/>
      <c r="X114" s="1541"/>
      <c r="Y114" s="676"/>
      <c r="Z114" s="1494"/>
      <c r="AA114" s="676"/>
      <c r="AB114" s="177" t="s">
        <v>319</v>
      </c>
      <c r="AC114" s="178" t="s">
        <v>1974</v>
      </c>
      <c r="AD114" s="177" t="s">
        <v>789</v>
      </c>
      <c r="AE114" s="754">
        <f>_xlfn.SUMIFS(ЭЭ!AE$25:AE$67,ЭЭ!$F$25:$F$67,$F114,ЭЭ!$AC$25:$AC$67,"Всего по тарифу")</f>
        <v>0</v>
      </c>
      <c r="AF114" s="754">
        <f>_xlfn.SUMIFS(ЭЭ!AF$25:AF$67,ЭЭ!$F$25:$F$67,$F114,ЭЭ!$AC$25:$AC$67,"Всего по тарифу")</f>
        <v>0</v>
      </c>
      <c r="AG114" s="754">
        <f>_xlfn.SUMIFS(ЭЭ!AG$25:AG$67,ЭЭ!$F$25:$F$67,$F114,ЭЭ!$AC$25:$AC$67,"Всего по тарифу")</f>
        <v>0</v>
      </c>
      <c r="AH114" s="754">
        <f>AG114-AF114</f>
        <v>0</v>
      </c>
      <c r="AI114" s="754">
        <f>_xlfn.SUMIFS(ЭЭ!AH$25:AH$67,ЭЭ!$F$25:$F$67,$F114,ЭЭ!$AC$25:$AC$67,"Всего по тарифу")</f>
        <v>0</v>
      </c>
      <c r="AJ114" s="754">
        <f>_xlfn.SUMIFS(ЭЭ!AI$25:AI$67,ЭЭ!$F$25:$F$67,$F114,ЭЭ!$AC$25:$AC$67,"Всего по тарифу")</f>
        <v>0</v>
      </c>
      <c r="AK114" s="754">
        <f>_xlfn.SUMIFS(ЭЭ!AJ$25:AJ$67,ЭЭ!$F$25:$F$67,$F114,ЭЭ!$AC$25:$AC$67,"Всего по тарифу")</f>
        <v>0</v>
      </c>
      <c r="AL114" s="754">
        <f>_xlfn.SUMIFS(ЭЭ!AK$25:AK$67,ЭЭ!$F$25:$F$67,$F114,ЭЭ!$AC$25:$AC$67,"Всего по тарифу")</f>
        <v>0</v>
      </c>
      <c r="AM114" s="754">
        <f>_xlfn.SUMIFS(ЭЭ!AL$25:AL$67,ЭЭ!$F$25:$F$67,$F114,ЭЭ!$AC$25:$AC$67,"Всего по тарифу")</f>
        <v>0</v>
      </c>
      <c r="AN114" s="754">
        <f>_xlfn.SUMIFS(ЭЭ!AM$25:AM$67,ЭЭ!$F$25:$F$67,$F114,ЭЭ!$AC$25:$AC$67,"Всего по тарифу")</f>
        <v>0</v>
      </c>
      <c r="AO114" s="754">
        <f>_xlfn.SUMIFS(ЭЭ!AN$25:AN$67,ЭЭ!$F$25:$F$67,$F114,ЭЭ!$AC$25:$AC$67,"Всего по тарифу")</f>
        <v>0</v>
      </c>
      <c r="AP114" s="754">
        <f>_xlfn.SUMIFS(ЭЭ!AO$25:AO$67,ЭЭ!$F$25:$F$67,$F114,ЭЭ!$AC$25:$AC$67,"Всего по тарифу")</f>
        <v>0</v>
      </c>
      <c r="AQ114" s="754">
        <f>_xlfn.SUMIFS(ЭЭ!AP$25:AP$67,ЭЭ!$F$25:$F$67,$F114,ЭЭ!$AC$25:$AC$67,"Всего по тарифу")</f>
        <v>0</v>
      </c>
      <c r="AR114" s="754">
        <f>_xlfn.SUMIFS(ЭЭ!AQ$25:AQ$67,ЭЭ!$F$25:$F$67,$F114,ЭЭ!$AC$25:$AC$67,"Всего по тарифу")</f>
        <v>0</v>
      </c>
      <c r="AS114" s="754">
        <f>_xlfn.SUMIFS(ЭЭ!AR$25:AR$67,ЭЭ!$F$25:$F$67,$F114,ЭЭ!$AC$25:$AC$67,"Всего по тарифу")</f>
        <v>0</v>
      </c>
      <c r="AT114" s="754">
        <f>_xlfn.SUMIFS(ЭЭ!AS$25:AS$67,ЭЭ!$F$25:$F$67,$F114,ЭЭ!$AC$25:$AC$67,"Всего по тарифу")</f>
        <v>0</v>
      </c>
      <c r="AU114" s="754">
        <f>_xlfn.SUMIFS(ЭЭ!AT$25:AT$67,ЭЭ!$F$25:$F$67,$F114,ЭЭ!$AC$25:$AC$67,"Всего по тарифу")</f>
        <v>0</v>
      </c>
      <c r="AV114" s="754">
        <f>_xlfn.SUMIFS(ЭЭ!AU$25:AU$67,ЭЭ!$F$25:$F$67,$F114,ЭЭ!$AC$25:$AC$67,"Всего по тарифу")</f>
        <v>0</v>
      </c>
      <c r="AW114" s="754">
        <f>_xlfn.SUMIFS(ЭЭ!AV$25:AV$67,ЭЭ!$F$25:$F$67,$F114,ЭЭ!$AC$25:$AC$67,"Всего по тарифу")</f>
        <v>0</v>
      </c>
      <c r="AX114" s="754">
        <f>_xlfn.SUMIFS(ЭЭ!AW$25:AW$67,ЭЭ!$F$25:$F$67,$F114,ЭЭ!$AC$25:$AC$67,"Всего по тарифу")</f>
        <v>0</v>
      </c>
      <c r="AY114" s="754">
        <f>_xlfn.SUMIFS(ЭЭ!AX$25:AX$67,ЭЭ!$F$25:$F$67,$F114,ЭЭ!$AC$25:$AC$67,"Всего по тарифу")</f>
        <v>0</v>
      </c>
      <c r="AZ114" s="754">
        <f>_xlfn.SUMIFS(ЭЭ!AY$25:AY$67,ЭЭ!$F$25:$F$67,$F114,ЭЭ!$AC$25:$AC$67,"Всего по тарифу")</f>
        <v>0</v>
      </c>
      <c r="BA114" s="754">
        <f>_xlfn.SUMIFS(ЭЭ!AZ$25:AZ$67,ЭЭ!$F$25:$F$67,$F114,ЭЭ!$AC$25:$AC$67,"Всего по тарифу")</f>
        <v>0</v>
      </c>
      <c r="BB114" s="754">
        <f>_xlfn.SUMIFS(ЭЭ!BA$25:BA$67,ЭЭ!$F$25:$F$67,$F114,ЭЭ!$AC$25:$AC$67,"Всего по тарифу")</f>
        <v>0</v>
      </c>
      <c r="BC114" s="754">
        <f>_xlfn.SUMIFS(ЭЭ!BB$25:BB$67,ЭЭ!$F$25:$F$67,$F114,ЭЭ!$AC$25:$AC$67,"Всего по тарифу")</f>
        <v>0</v>
      </c>
      <c r="BD114" s="754">
        <f>IF(AI114=0,0,(AT114-AI114)/AI114*100)</f>
        <v>0</v>
      </c>
      <c r="BE114" s="754">
        <f>IF(AT114=0,0,(AU114-AT114)/AT114*100)</f>
        <v>0</v>
      </c>
      <c r="BF114" s="754">
        <f>IF(AU114=0,0,(AV114-AU114)/AU114*100)</f>
        <v>0</v>
      </c>
      <c r="BG114" s="754">
        <f>IF(AV114=0,0,(AW114-AV114)/AV114*100)</f>
        <v>0</v>
      </c>
      <c r="BH114" s="754">
        <f>IF(AW114=0,0,(AX114-AW114)/AW114*100)</f>
        <v>0</v>
      </c>
      <c r="BI114" s="754">
        <f>IF(AX114=0,0,(AY114-AX114)/AX114*100)</f>
        <v>0</v>
      </c>
      <c r="BJ114" s="754">
        <f>IF(AY114=0,0,(AZ114-AY114)/AY114*100)</f>
        <v>0</v>
      </c>
      <c r="BK114" s="754">
        <f>IF(AZ114=0,0,(BA114-AZ114)/AZ114*100)</f>
        <v>0</v>
      </c>
      <c r="BL114" s="754">
        <f>IF(BA114=0,0,(BB114-BA114)/BA114*100)</f>
        <v>0</v>
      </c>
      <c r="BM114" s="754">
        <f>IF(BB114=0,0,(BC114-BB114)/BB114*100)</f>
        <v>0</v>
      </c>
      <c r="BN114" s="1216"/>
      <c r="BO114" s="1223" t="str">
        <f>IF(_xlfn.IFERROR(INDEX(ЭЭ!$K$26:$L$67,MATCH($F114&amp;"komm",ЭЭ!$K$26:$K$67,0),2),"")=0,"",_xlfn.IFERROR(INDEX(ЭЭ!$K$26:$L$67,MATCH($F114&amp;"komm",ЭЭ!$K$26:$K$67,0),2),""))</f>
        <v/>
      </c>
      <c r="BP114" s="1216"/>
      <c r="BQ114" s="676"/>
      <c r="BR114" s="676"/>
      <c r="BS114" s="1047" t="s">
        <v>1580</v>
      </c>
      <c r="BT114" s="1047"/>
      <c r="BU114" s="1047"/>
      <c r="BV114" s="683"/>
      <c r="BW114" s="683"/>
    </row>
    <row s="676" customFormat="1" customHeight="1" ht="21.9375" hidden="1">
      <c r="A115" s="676"/>
      <c r="B115" s="128">
        <f>method_reg="Метод индексации"</f>
        <v>0</v>
      </c>
      <c r="C115" s="75"/>
      <c r="D115" s="75"/>
      <c r="E115" s="802">
        <v>22.5</v>
      </c>
      <c r="F115" s="50" cm="1" t="str">
        <f t="array" ref="F115:F115">OFFSET(E115,-1,1)</f>
        <v>0</v>
      </c>
      <c r="G115" s="73" t="s">
        <v>1373</v>
      </c>
      <c r="H115" s="73"/>
      <c r="I115" s="73" t="s">
        <v>325</v>
      </c>
      <c r="J115" s="75"/>
      <c r="K115" s="124"/>
      <c r="L115" s="962" t="s">
        <v>324</v>
      </c>
      <c r="M115" s="75"/>
      <c r="N115" s="75"/>
      <c r="O115" s="75"/>
      <c r="P115" s="75"/>
      <c r="Q115" s="75"/>
      <c r="R115" s="75"/>
      <c r="S115" s="75"/>
      <c r="T115" s="438" cm="1" t="str">
        <f t="array" ref="T115:T115">T114</f>
        <v>false</v>
      </c>
      <c r="U115" s="75"/>
      <c r="V115" s="75"/>
      <c r="W115" s="75"/>
      <c r="X115" s="1541"/>
      <c r="Y115" s="676"/>
      <c r="Z115" s="1494"/>
      <c r="AA115" s="676"/>
      <c r="AB115" s="177" t="s">
        <v>530</v>
      </c>
      <c r="AC115" s="178" t="s">
        <v>1975</v>
      </c>
      <c r="AD115" s="177" t="s">
        <v>789</v>
      </c>
      <c r="AE115" s="754">
        <f>_xlfn.SUMIFS(Амортизация!AE$25:AE$125,Амортизация!$F$25:$F$125,$F115,Амортизация!$AC$25:$AC$125,"Сумма амортизационных отчислений")</f>
        <v>0</v>
      </c>
      <c r="AF115" s="754">
        <f>_xlfn.SUMIFS(Амортизация!AF$25:AF$125,Амортизация!$F$25:$F$125,$F115,Амортизация!$AC$25:$AC$125,"Сумма амортизационных отчислений")</f>
        <v>0</v>
      </c>
      <c r="AG115" s="754">
        <f>_xlfn.SUMIFS(Амортизация!AG$25:AG$125,Амортизация!$F$25:$F$125,$F115,Амортизация!$AC$25:$AC$125,"Сумма амортизационных отчислений")</f>
        <v>0</v>
      </c>
      <c r="AH115" s="754">
        <f>AG115-AF115</f>
        <v>0</v>
      </c>
      <c r="AI115" s="754">
        <f>_xlfn.SUMIFS(Амортизация!AH$25:AH$125,Амортизация!$F$25:$F$125,$F115,Амортизация!$AC$25:$AC$125,"Сумма амортизационных отчислений")</f>
        <v>0</v>
      </c>
      <c r="AJ115" s="754">
        <f>_xlfn.SUMIFS(Амортизация!AI$25:AI$125,Амортизация!$F$25:$F$125,$F115,Амортизация!$AC$25:$AC$125,"Сумма амортизационных отчислений")</f>
        <v>0</v>
      </c>
      <c r="AK115" s="754">
        <f>_xlfn.SUMIFS(Амортизация!AJ$25:AJ$125,Амортизация!$F$25:$F$125,$F115,Амортизация!$AC$25:$AC$125,"Сумма амортизационных отчислений")</f>
        <v>0</v>
      </c>
      <c r="AL115" s="754">
        <f>_xlfn.SUMIFS(Амортизация!AK$25:AK$125,Амортизация!$F$25:$F$125,$F115,Амортизация!$AC$25:$AC$125,"Сумма амортизационных отчислений")</f>
        <v>0</v>
      </c>
      <c r="AM115" s="754">
        <f>_xlfn.SUMIFS(Амортизация!AL$25:AL$125,Амортизация!$F$25:$F$125,$F115,Амортизация!$AC$25:$AC$125,"Сумма амортизационных отчислений")</f>
        <v>0</v>
      </c>
      <c r="AN115" s="754">
        <f>_xlfn.SUMIFS(Амортизация!AM$25:AM$125,Амортизация!$F$25:$F$125,$F115,Амортизация!$AC$25:$AC$125,"Сумма амортизационных отчислений")</f>
        <v>0</v>
      </c>
      <c r="AO115" s="754">
        <f>_xlfn.SUMIFS(Амортизация!AN$25:AN$125,Амортизация!$F$25:$F$125,$F115,Амортизация!$AC$25:$AC$125,"Сумма амортизационных отчислений")</f>
        <v>0</v>
      </c>
      <c r="AP115" s="754">
        <f>_xlfn.SUMIFS(Амортизация!AO$25:AO$125,Амортизация!$F$25:$F$125,$F115,Амортизация!$AC$25:$AC$125,"Сумма амортизационных отчислений")</f>
        <v>0</v>
      </c>
      <c r="AQ115" s="754">
        <f>_xlfn.SUMIFS(Амортизация!AP$25:AP$125,Амортизация!$F$25:$F$125,$F115,Амортизация!$AC$25:$AC$125,"Сумма амортизационных отчислений")</f>
        <v>0</v>
      </c>
      <c r="AR115" s="754">
        <f>_xlfn.SUMIFS(Амортизация!AQ$25:AQ$125,Амортизация!$F$25:$F$125,$F115,Амортизация!$AC$25:$AC$125,"Сумма амортизационных отчислений")</f>
        <v>0</v>
      </c>
      <c r="AS115" s="754">
        <f>_xlfn.SUMIFS(Амортизация!AR$25:AR$125,Амортизация!$F$25:$F$125,$F115,Амортизация!$AC$25:$AC$125,"Сумма амортизационных отчислений")</f>
        <v>0</v>
      </c>
      <c r="AT115" s="754">
        <f>_xlfn.SUMIFS(Амортизация!AS$25:AS$125,Амортизация!$F$25:$F$125,$F115,Амортизация!$AC$25:$AC$125,"Сумма амортизационных отчислений")</f>
        <v>0</v>
      </c>
      <c r="AU115" s="754">
        <f>_xlfn.SUMIFS(Амортизация!AT$25:AT$125,Амортизация!$F$25:$F$125,$F115,Амортизация!$AC$25:$AC$125,"Сумма амортизационных отчислений")</f>
        <v>0</v>
      </c>
      <c r="AV115" s="754">
        <f>_xlfn.SUMIFS(Амортизация!AU$25:AU$125,Амортизация!$F$25:$F$125,$F115,Амортизация!$AC$25:$AC$125,"Сумма амортизационных отчислений")</f>
        <v>0</v>
      </c>
      <c r="AW115" s="754">
        <f>_xlfn.SUMIFS(Амортизация!AV$25:AV$125,Амортизация!$F$25:$F$125,$F115,Амортизация!$AC$25:$AC$125,"Сумма амортизационных отчислений")</f>
        <v>0</v>
      </c>
      <c r="AX115" s="754">
        <f>_xlfn.SUMIFS(Амортизация!AW$25:AW$125,Амортизация!$F$25:$F$125,$F115,Амортизация!$AC$25:$AC$125,"Сумма амортизационных отчислений")</f>
        <v>0</v>
      </c>
      <c r="AY115" s="754">
        <f>_xlfn.SUMIFS(Амортизация!AX$25:AX$125,Амортизация!$F$25:$F$125,$F115,Амортизация!$AC$25:$AC$125,"Сумма амортизационных отчислений")</f>
        <v>0</v>
      </c>
      <c r="AZ115" s="754">
        <f>_xlfn.SUMIFS(Амортизация!AY$25:AY$125,Амортизация!$F$25:$F$125,$F115,Амортизация!$AC$25:$AC$125,"Сумма амортизационных отчислений")</f>
        <v>0</v>
      </c>
      <c r="BA115" s="754">
        <f>_xlfn.SUMIFS(Амортизация!AZ$25:AZ$125,Амортизация!$F$25:$F$125,$F115,Амортизация!$AC$25:$AC$125,"Сумма амортизационных отчислений")</f>
        <v>0</v>
      </c>
      <c r="BB115" s="754">
        <f>_xlfn.SUMIFS(Амортизация!BA$25:BA$125,Амортизация!$F$25:$F$125,$F115,Амортизация!$AC$25:$AC$125,"Сумма амортизационных отчислений")</f>
        <v>0</v>
      </c>
      <c r="BC115" s="754">
        <f>_xlfn.SUMIFS(Амортизация!BB$25:BB$125,Амортизация!$F$25:$F$125,$F115,Амортизация!$AC$25:$AC$125,"Сумма амортизационных отчислений")</f>
        <v>0</v>
      </c>
      <c r="BD115" s="754">
        <f>IF(AI115=0,0,(AT115-AI115)/AI115*100)</f>
        <v>0</v>
      </c>
      <c r="BE115" s="754">
        <f>IF(AT115=0,0,(AU115-AT115)/AT115*100)</f>
        <v>0</v>
      </c>
      <c r="BF115" s="754">
        <f>IF(AU115=0,0,(AV115-AU115)/AU115*100)</f>
        <v>0</v>
      </c>
      <c r="BG115" s="754">
        <f>IF(AV115=0,0,(AW115-AV115)/AV115*100)</f>
        <v>0</v>
      </c>
      <c r="BH115" s="754">
        <f>IF(AW115=0,0,(AX115-AW115)/AW115*100)</f>
        <v>0</v>
      </c>
      <c r="BI115" s="754">
        <f>IF(AX115=0,0,(AY115-AX115)/AX115*100)</f>
        <v>0</v>
      </c>
      <c r="BJ115" s="754">
        <f>IF(AY115=0,0,(AZ115-AY115)/AY115*100)</f>
        <v>0</v>
      </c>
      <c r="BK115" s="754">
        <f>IF(AZ115=0,0,(BA115-AZ115)/AZ115*100)</f>
        <v>0</v>
      </c>
      <c r="BL115" s="754">
        <f>IF(BA115=0,0,(BB115-BA115)/BA115*100)</f>
        <v>0</v>
      </c>
      <c r="BM115" s="754">
        <f>IF(BB115=0,0,(BC115-BB115)/BB115*100)</f>
        <v>0</v>
      </c>
      <c r="BN115" s="1216"/>
      <c r="BO115" s="1220" t="str">
        <f>IF(_xlfn.IFERROR(INDEX(Амортизация!$K$26:$L$125,MATCH($F115&amp;"komm",Амортизация!$K$26:$K$125,0),2),"")=0,"",_xlfn.IFERROR(INDEX(Амортизация!$K$26:$L$125,MATCH($F115&amp;"komm",Амортизация!$K$26:$K$125,0),2),""))</f>
        <v/>
      </c>
      <c r="BP115" s="1216"/>
      <c r="BQ115" s="676"/>
      <c r="BR115" s="676"/>
      <c r="BS115" s="1047" t="s">
        <v>1118</v>
      </c>
      <c r="BT115" s="1047"/>
      <c r="BU115" s="1047"/>
      <c r="BV115" s="683"/>
      <c r="BW115" s="683"/>
    </row>
    <row customHeight="1" ht="14.625" hidden="1">
      <c r="A116" s="1256"/>
      <c r="B116" s="404" cm="1" t="str">
        <f t="array" ref="B116:B116">B115</f>
        <v>false</v>
      </c>
      <c r="C116" s="73"/>
      <c r="D116" s="73"/>
      <c r="E116" s="596">
        <v>15</v>
      </c>
      <c r="F116" s="50" cm="1" t="str">
        <f t="array" ref="F116:F116">OFFSET(E116,-1,1)</f>
        <v>0</v>
      </c>
      <c r="G116" s="73"/>
      <c r="H116" s="73"/>
      <c r="I116" s="73" t="s">
        <v>508</v>
      </c>
      <c r="J116" s="73"/>
      <c r="K116" s="1256"/>
      <c r="L116" s="957" t="s">
        <v>522</v>
      </c>
      <c r="M116" s="73"/>
      <c r="N116" s="73"/>
      <c r="O116" s="73"/>
      <c r="P116" s="73"/>
      <c r="Q116" s="73"/>
      <c r="R116" s="73"/>
      <c r="S116" s="73"/>
      <c r="T116" s="438" cm="1" t="str">
        <f t="array" ref="T116:T116">T115</f>
        <v>false</v>
      </c>
      <c r="U116" s="73"/>
      <c r="V116" s="73"/>
      <c r="W116" s="73"/>
      <c r="X116" s="1541"/>
      <c r="Y116" s="1256"/>
      <c r="Z116" s="1494"/>
      <c r="AA116" s="1256"/>
      <c r="AB116" s="266" t="s">
        <v>646</v>
      </c>
      <c r="AC116" s="738" t="s">
        <v>1673</v>
      </c>
      <c r="AD116" s="266" t="s">
        <v>789</v>
      </c>
      <c r="AE116" s="1219">
        <f>_xlfn.SUMIFS('ИП + источники'!AF$27:AF$87,'ИП + источники'!$F$27:$F$87,$F116,'ИП + источники'!$AC$27:$AC$87,"Амортизационные отчисления")+_xlfn.SUMIFS('ИП + источники'!AF$27:AF$87,'ИП + источники'!$F$27:$F$87,$F116,'ИП + источники'!$AC$27:$AC$87,"погашение займов и кредитов из амортизации")</f>
        <v>0</v>
      </c>
      <c r="AF116" s="1219">
        <f>_xlfn.SUMIFS('ИП + источники'!AG$27:AG$87,'ИП + источники'!$F$27:$F$87,$F116,'ИП + источники'!$AC$27:$AC$87,"Амортизационные отчисления")+_xlfn.SUMIFS('ИП + источники'!AG$27:AG$87,'ИП + источники'!$F$27:$F$87,$F116,'ИП + источники'!$AC$27:$AC$87,"погашение займов и кредитов из амортизации")</f>
        <v>0</v>
      </c>
      <c r="AG116" s="1219">
        <f>_xlfn.SUMIFS('ИП + источники'!AH$27:AH$87,'ИП + источники'!$F$27:$F$87,$F116,'ИП + источники'!$AC$27:$AC$87,"Амортизационные отчисления")+_xlfn.SUMIFS('ИП + источники'!AH$27:AH$87,'ИП + источники'!$F$27:$F$87,$F116,'ИП + источники'!$AC$27:$AC$87,"погашение займов и кредитов из амортизации")</f>
        <v>0</v>
      </c>
      <c r="AH116" s="1092">
        <f>AG116-AF116</f>
        <v>0</v>
      </c>
      <c r="AI116" s="1219">
        <f>_xlfn.SUMIFS('ИП + источники'!AJ$27:AJ$87,'ИП + источники'!$F$27:$F$87,$F116,'ИП + источники'!$AC$27:$AC$87,"Амортизационные отчисления")+_xlfn.SUMIFS('ИП + источники'!AJ$27:AJ$87,'ИП + источники'!$F$27:$F$87,$F116,'ИП + источники'!$AC$27:$AC$87,"погашение займов и кредитов из амортизации")</f>
        <v>0</v>
      </c>
      <c r="AJ116" s="3564">
        <f>_xlfn.SUMIFS('ИП + источники'!AK$27:AK$87,'ИП + источники'!$F$27:$F$87,$F116,'ИП + источники'!$AC$27:$AC$87,"Амортизационные отчисления")+_xlfn.SUMIFS('ИП + источники'!AK$27:AK$87,'ИП + источники'!$F$27:$F$87,$F116,'ИП + источники'!$AC$27:$AC$87,"погашение займов и кредитов из амортизации")</f>
        <v>0</v>
      </c>
      <c r="AK116" s="1219">
        <f>_xlfn.SUMIFS('ИП + источники'!AL$27:AL$87,'ИП + источники'!$F$27:$F$87,$F116,'ИП + источники'!$AC$27:$AC$87,"Амортизационные отчисления")+_xlfn.SUMIFS('ИП + источники'!AL$27:AL$87,'ИП + источники'!$F$27:$F$87,$F116,'ИП + источники'!$AC$27:$AC$87,"погашение займов и кредитов из амортизации")</f>
        <v>0</v>
      </c>
      <c r="AL116" s="1219">
        <f>_xlfn.SUMIFS('ИП + источники'!AM$27:AM$87,'ИП + источники'!$F$27:$F$87,$F116,'ИП + источники'!$AC$27:$AC$87,"Амортизационные отчисления")+_xlfn.SUMIFS('ИП + источники'!AM$27:AM$87,'ИП + источники'!$F$27:$F$87,$F116,'ИП + источники'!$AC$27:$AC$87,"погашение займов и кредитов из амортизации")</f>
        <v>0</v>
      </c>
      <c r="AM116" s="1219">
        <f>_xlfn.SUMIFS('ИП + источники'!AN$27:AN$87,'ИП + источники'!$F$27:$F$87,$F116,'ИП + источники'!$AC$27:$AC$87,"Амортизационные отчисления")+_xlfn.SUMIFS('ИП + источники'!AN$27:AN$87,'ИП + источники'!$F$27:$F$87,$F116,'ИП + источники'!$AC$27:$AC$87,"погашение займов и кредитов из амортизации")</f>
        <v>0</v>
      </c>
      <c r="AN116" s="1219">
        <f>_xlfn.SUMIFS('ИП + источники'!AO$27:AO$87,'ИП + источники'!$F$27:$F$87,$F116,'ИП + источники'!$AC$27:$AC$87,"Амортизационные отчисления")+_xlfn.SUMIFS('ИП + источники'!AO$27:AO$87,'ИП + источники'!$F$27:$F$87,$F116,'ИП + источники'!$AC$27:$AC$87,"погашение займов и кредитов из амортизации")</f>
        <v>0</v>
      </c>
      <c r="AO116" s="1219">
        <f>_xlfn.SUMIFS('ИП + источники'!AP$27:AP$87,'ИП + источники'!$F$27:$F$87,$F116,'ИП + источники'!$AC$27:$AC$87,"Амортизационные отчисления")+_xlfn.SUMIFS('ИП + источники'!AP$27:AP$87,'ИП + источники'!$F$27:$F$87,$F116,'ИП + источники'!$AC$27:$AC$87,"погашение займов и кредитов из амортизации")</f>
        <v>0</v>
      </c>
      <c r="AP116" s="1219">
        <f>_xlfn.SUMIFS('ИП + источники'!AQ$27:AQ$87,'ИП + источники'!$F$27:$F$87,$F116,'ИП + источники'!$AC$27:$AC$87,"Амортизационные отчисления")+_xlfn.SUMIFS('ИП + источники'!AQ$27:AQ$87,'ИП + источники'!$F$27:$F$87,$F116,'ИП + источники'!$AC$27:$AC$87,"погашение займов и кредитов из амортизации")</f>
        <v>0</v>
      </c>
      <c r="AQ116" s="1219">
        <f>_xlfn.SUMIFS('ИП + источники'!AR$27:AR$87,'ИП + источники'!$F$27:$F$87,$F116,'ИП + источники'!$AC$27:$AC$87,"Амортизационные отчисления")+_xlfn.SUMIFS('ИП + источники'!AR$27:AR$87,'ИП + источники'!$F$27:$F$87,$F116,'ИП + источники'!$AC$27:$AC$87,"погашение займов и кредитов из амортизации")</f>
        <v>0</v>
      </c>
      <c r="AR116" s="1219">
        <f>_xlfn.SUMIFS('ИП + источники'!AS$27:AS$87,'ИП + источники'!$F$27:$F$87,$F116,'ИП + источники'!$AC$27:$AC$87,"Амортизационные отчисления")+_xlfn.SUMIFS('ИП + источники'!AS$27:AS$87,'ИП + источники'!$F$27:$F$87,$F116,'ИП + источники'!$AC$27:$AC$87,"погашение займов и кредитов из амортизации")</f>
        <v>0</v>
      </c>
      <c r="AS116" s="1219">
        <f>_xlfn.SUMIFS('ИП + источники'!AT$27:AT$87,'ИП + источники'!$F$27:$F$87,$F116,'ИП + источники'!$AC$27:$AC$87,"Амортизационные отчисления")+_xlfn.SUMIFS('ИП + источники'!AT$27:AT$87,'ИП + источники'!$F$27:$F$87,$F116,'ИП + источники'!$AC$27:$AC$87,"погашение займов и кредитов из амортизации")</f>
        <v>0</v>
      </c>
      <c r="AT116" s="3564">
        <f>_xlfn.SUMIFS('ИП + источники'!AU$27:AU$87,'ИП + источники'!$F$27:$F$87,$F116,'ИП + источники'!$AC$27:$AC$87,"Амортизационные отчисления")+_xlfn.SUMIFS('ИП + источники'!AU$27:AU$87,'ИП + источники'!$F$27:$F$87,$F116,'ИП + источники'!$AC$27:$AC$87,"погашение займов и кредитов из амортизации")</f>
        <v>0</v>
      </c>
      <c r="AU116" s="1219">
        <f>_xlfn.SUMIFS('ИП + источники'!AV$27:AV$87,'ИП + источники'!$F$27:$F$87,$F116,'ИП + источники'!$AC$27:$AC$87,"Амортизационные отчисления")+_xlfn.SUMIFS('ИП + источники'!AV$27:AV$87,'ИП + источники'!$F$27:$F$87,$F116,'ИП + источники'!$AC$27:$AC$87,"погашение займов и кредитов из амортизации")</f>
        <v>0</v>
      </c>
      <c r="AV116" s="1219">
        <f>_xlfn.SUMIFS('ИП + источники'!AW$27:AW$87,'ИП + источники'!$F$27:$F$87,$F116,'ИП + источники'!$AC$27:$AC$87,"Амортизационные отчисления")+_xlfn.SUMIFS('ИП + источники'!AW$27:AW$87,'ИП + источники'!$F$27:$F$87,$F116,'ИП + источники'!$AC$27:$AC$87,"погашение займов и кредитов из амортизации")</f>
        <v>0</v>
      </c>
      <c r="AW116" s="1219">
        <f>_xlfn.SUMIFS('ИП + источники'!AX$27:AX$87,'ИП + источники'!$F$27:$F$87,$F116,'ИП + источники'!$AC$27:$AC$87,"Амортизационные отчисления")+_xlfn.SUMIFS('ИП + источники'!AX$27:AX$87,'ИП + источники'!$F$27:$F$87,$F116,'ИП + источники'!$AC$27:$AC$87,"погашение займов и кредитов из амортизации")</f>
        <v>0</v>
      </c>
      <c r="AX116" s="1219">
        <f>_xlfn.SUMIFS('ИП + источники'!AY$27:AY$87,'ИП + источники'!$F$27:$F$87,$F116,'ИП + источники'!$AC$27:$AC$87,"Амортизационные отчисления")+_xlfn.SUMIFS('ИП + источники'!AY$27:AY$87,'ИП + источники'!$F$27:$F$87,$F116,'ИП + источники'!$AC$27:$AC$87,"погашение займов и кредитов из амортизации")</f>
        <v>0</v>
      </c>
      <c r="AY116" s="1219">
        <f>_xlfn.SUMIFS('ИП + источники'!AZ$27:AZ$87,'ИП + источники'!$F$27:$F$87,$F116,'ИП + источники'!$AC$27:$AC$87,"Амортизационные отчисления")+_xlfn.SUMIFS('ИП + источники'!AZ$27:AZ$87,'ИП + источники'!$F$27:$F$87,$F116,'ИП + источники'!$AC$27:$AC$87,"погашение займов и кредитов из амортизации")</f>
        <v>0</v>
      </c>
      <c r="AZ116" s="1219">
        <f>_xlfn.SUMIFS('ИП + источники'!BA$27:BA$87,'ИП + источники'!$F$27:$F$87,$F116,'ИП + источники'!$AC$27:$AC$87,"Амортизационные отчисления")+_xlfn.SUMIFS('ИП + источники'!BA$27:BA$87,'ИП + источники'!$F$27:$F$87,$F116,'ИП + источники'!$AC$27:$AC$87,"погашение займов и кредитов из амортизации")</f>
        <v>0</v>
      </c>
      <c r="BA116" s="1219">
        <f>_xlfn.SUMIFS('ИП + источники'!BB$27:BB$87,'ИП + источники'!$F$27:$F$87,$F116,'ИП + источники'!$AC$27:$AC$87,"Амортизационные отчисления")+_xlfn.SUMIFS('ИП + источники'!BB$27:BB$87,'ИП + источники'!$F$27:$F$87,$F116,'ИП + источники'!$AC$27:$AC$87,"погашение займов и кредитов из амортизации")</f>
        <v>0</v>
      </c>
      <c r="BB116" s="1219">
        <f>_xlfn.SUMIFS('ИП + источники'!BC$27:BC$87,'ИП + источники'!$F$27:$F$87,$F116,'ИП + источники'!$AC$27:$AC$87,"Амортизационные отчисления")+_xlfn.SUMIFS('ИП + источники'!BC$27:BC$87,'ИП + источники'!$F$27:$F$87,$F116,'ИП + источники'!$AC$27:$AC$87,"погашение займов и кредитов из амортизации")</f>
        <v>0</v>
      </c>
      <c r="BC116" s="1219">
        <f>_xlfn.SUMIFS('ИП + источники'!BD$27:BD$87,'ИП + источники'!$F$27:$F$87,$F116,'ИП + источники'!$AC$27:$AC$87,"Амортизационные отчисления")+_xlfn.SUMIFS('ИП + источники'!BD$27:BD$87,'ИП + источники'!$F$27:$F$87,$F116,'ИП + источники'!$AC$27:$AC$87,"погашение займов и кредитов из амортизации")</f>
        <v>0</v>
      </c>
      <c r="BD116" s="1092">
        <f>IF(AI116=0,0,(AT116-AI116)/AI116*100)</f>
        <v>0</v>
      </c>
      <c r="BE116" s="1092">
        <f>IF(AT116=0,0,(AU116-AT116)/AT116*100)</f>
        <v>0</v>
      </c>
      <c r="BF116" s="1092">
        <f>IF(AU116=0,0,(AV116-AU116)/AU116*100)</f>
        <v>0</v>
      </c>
      <c r="BG116" s="1092">
        <f>IF(AV116=0,0,(AW116-AV116)/AV116*100)</f>
        <v>0</v>
      </c>
      <c r="BH116" s="1092">
        <f>IF(AW116=0,0,(AX116-AW116)/AW116*100)</f>
        <v>0</v>
      </c>
      <c r="BI116" s="1092">
        <f>IF(AX116=0,0,(AY116-AX116)/AX116*100)</f>
        <v>0</v>
      </c>
      <c r="BJ116" s="1092">
        <f>IF(AY116=0,0,(AZ116-AY116)/AY116*100)</f>
        <v>0</v>
      </c>
      <c r="BK116" s="1092">
        <f>IF(AZ116=0,0,(BA116-AZ116)/AZ116*100)</f>
        <v>0</v>
      </c>
      <c r="BL116" s="1092">
        <f>IF(BA116=0,0,(BB116-BA116)/BA116*100)</f>
        <v>0</v>
      </c>
      <c r="BM116" s="1092">
        <f>IF(BB116=0,0,(BC116-BB116)/BB116*100)</f>
        <v>0</v>
      </c>
      <c r="BN116" s="1216"/>
      <c r="BO116" s="1216"/>
      <c r="BP116" s="1216"/>
      <c r="BQ116" s="1256"/>
      <c r="BR116" s="1256"/>
      <c r="BS116" s="1041" t="s">
        <v>1674</v>
      </c>
      <c r="BT116" s="1041"/>
      <c r="BU116" s="1041"/>
      <c r="BV116" s="956"/>
      <c r="BW116" s="956"/>
    </row>
    <row s="676" customFormat="1" customHeight="1" ht="20.475" hidden="1">
      <c r="A117" s="676"/>
      <c r="B117" s="404" cm="1" t="str">
        <f t="array" ref="B117:B117">B116</f>
        <v>false</v>
      </c>
      <c r="C117" s="75"/>
      <c r="D117" s="75"/>
      <c r="E117" s="802">
        <v>21</v>
      </c>
      <c r="F117" s="50" cm="1" t="str">
        <f t="array" ref="F117:F117">OFFSET(E117,-1,1)</f>
        <v>0</v>
      </c>
      <c r="G117" s="73" t="s">
        <v>1377</v>
      </c>
      <c r="H117" s="73"/>
      <c r="I117" s="73" t="s">
        <v>324</v>
      </c>
      <c r="J117" s="75"/>
      <c r="K117" s="124"/>
      <c r="L117" s="962" t="s">
        <v>535</v>
      </c>
      <c r="M117" s="75"/>
      <c r="N117" s="75"/>
      <c r="O117" s="75"/>
      <c r="P117" s="75"/>
      <c r="Q117" s="75"/>
      <c r="R117" s="75"/>
      <c r="S117" s="75"/>
      <c r="T117" s="438" cm="1" t="str">
        <f t="array" ref="T117:T117">T116</f>
        <v>false</v>
      </c>
      <c r="U117" s="75"/>
      <c r="V117" s="75"/>
      <c r="W117" s="75"/>
      <c r="X117" s="1541"/>
      <c r="Y117" s="676"/>
      <c r="Z117" s="1494"/>
      <c r="AA117" s="676"/>
      <c r="AB117" s="177" t="s">
        <v>485</v>
      </c>
      <c r="AC117" s="178" t="s">
        <v>1377</v>
      </c>
      <c r="AD117" s="200" t="s">
        <v>789</v>
      </c>
      <c r="AE117" s="179">
        <f>AE118+AE119+AE120+AE121</f>
        <v>0</v>
      </c>
      <c r="AF117" s="179">
        <f>AF118+AF119+AF120+AF121</f>
        <v>0</v>
      </c>
      <c r="AG117" s="179">
        <f>AG118+AG119+AG120+AG121</f>
        <v>0</v>
      </c>
      <c r="AH117" s="179">
        <f>AG117-AF117</f>
        <v>0</v>
      </c>
      <c r="AI117" s="179">
        <f>AI118+AI119+AI120+AI121</f>
        <v>0</v>
      </c>
      <c r="AJ117" s="179">
        <f>AJ118+AJ119+AJ120+AJ121</f>
        <v>0</v>
      </c>
      <c r="AK117" s="179">
        <f>AK118+AK119+AK120+AK121</f>
        <v>0</v>
      </c>
      <c r="AL117" s="179">
        <f>AL118+AL119+AL120+AL121</f>
        <v>0</v>
      </c>
      <c r="AM117" s="179">
        <f>AM118+AM119+AM120+AM121</f>
        <v>0</v>
      </c>
      <c r="AN117" s="179">
        <f>AN118+AN119+AN120+AN121</f>
        <v>0</v>
      </c>
      <c r="AO117" s="179">
        <f>AO118+AO119+AO120+AO121</f>
        <v>0</v>
      </c>
      <c r="AP117" s="179">
        <f>AP118+AP119+AP120+AP121</f>
        <v>0</v>
      </c>
      <c r="AQ117" s="179">
        <f>AQ118+AQ119+AQ120+AQ121</f>
        <v>0</v>
      </c>
      <c r="AR117" s="179">
        <f>AR118+AR119+AR120+AR121</f>
        <v>0</v>
      </c>
      <c r="AS117" s="179">
        <f>AS118+AS119+AS120+AS121</f>
        <v>0</v>
      </c>
      <c r="AT117" s="179">
        <f>AT118+AT119+AT120+AT121</f>
        <v>0</v>
      </c>
      <c r="AU117" s="179">
        <f>AU118+AU119+AU120+AU121</f>
        <v>0</v>
      </c>
      <c r="AV117" s="179">
        <f>AV118+AV119+AV120+AV121</f>
        <v>0</v>
      </c>
      <c r="AW117" s="179">
        <f>AW118+AW119+AW120+AW121</f>
        <v>0</v>
      </c>
      <c r="AX117" s="179">
        <f>AX118+AX119+AX120+AX121</f>
        <v>0</v>
      </c>
      <c r="AY117" s="179">
        <f>AY118+AY119+AY120+AY121</f>
        <v>0</v>
      </c>
      <c r="AZ117" s="179">
        <f>AZ118+AZ119+AZ120+AZ121</f>
        <v>0</v>
      </c>
      <c r="BA117" s="179">
        <f>BA118+BA119+BA120+BA121</f>
        <v>0</v>
      </c>
      <c r="BB117" s="179">
        <f>BB118+BB119+BB120+BB121</f>
        <v>0</v>
      </c>
      <c r="BC117" s="179">
        <f>BC118+BC119+BC120+BC121</f>
        <v>0</v>
      </c>
      <c r="BD117" s="754">
        <f>IF(AI117=0,0,(AT117-AI117)/AI117*100)</f>
        <v>0</v>
      </c>
      <c r="BE117" s="754">
        <f>IF(AT117=0,0,(AU117-AT117)/AT117*100)</f>
        <v>0</v>
      </c>
      <c r="BF117" s="754">
        <f>IF(AU117=0,0,(AV117-AU117)/AU117*100)</f>
        <v>0</v>
      </c>
      <c r="BG117" s="754">
        <f>IF(AV117=0,0,(AW117-AV117)/AV117*100)</f>
        <v>0</v>
      </c>
      <c r="BH117" s="754">
        <f>IF(AW117=0,0,(AX117-AW117)/AW117*100)</f>
        <v>0</v>
      </c>
      <c r="BI117" s="754">
        <f>IF(AX117=0,0,(AY117-AX117)/AX117*100)</f>
        <v>0</v>
      </c>
      <c r="BJ117" s="754">
        <f>IF(AY117=0,0,(AZ117-AY117)/AY117*100)</f>
        <v>0</v>
      </c>
      <c r="BK117" s="754">
        <f>IF(AZ117=0,0,(BA117-AZ117)/AZ117*100)</f>
        <v>0</v>
      </c>
      <c r="BL117" s="754">
        <f>IF(BA117=0,0,(BB117-BA117)/BA117*100)</f>
        <v>0</v>
      </c>
      <c r="BM117" s="754">
        <f>IF(BB117=0,0,(BC117-BB117)/BB117*100)</f>
        <v>0</v>
      </c>
      <c r="BN117" s="1216"/>
      <c r="BO117" s="1216"/>
      <c r="BP117" s="1216"/>
      <c r="BQ117" s="676"/>
      <c r="BR117" s="676"/>
      <c r="BS117" s="1040" t="s">
        <v>1381</v>
      </c>
      <c r="BT117" s="1047"/>
      <c r="BU117" s="1047"/>
      <c r="BV117" s="683"/>
      <c r="BW117" s="683"/>
    </row>
    <row customHeight="1" ht="14.625" hidden="1">
      <c r="A118" s="1256"/>
      <c r="B118" s="404" cm="1" t="str">
        <f t="array" ref="B118:B118">B117</f>
        <v>false</v>
      </c>
      <c r="C118" s="73"/>
      <c r="D118" s="73"/>
      <c r="E118" s="596">
        <v>15</v>
      </c>
      <c r="F118" s="50" cm="1" t="str">
        <f t="array" ref="F118:F118">OFFSET(E118,-1,1)</f>
        <v>0</v>
      </c>
      <c r="G118" s="73"/>
      <c r="H118" s="73"/>
      <c r="I118" s="73" t="s">
        <v>522</v>
      </c>
      <c r="J118" s="73"/>
      <c r="K118" s="1256"/>
      <c r="L118" s="957"/>
      <c r="M118" s="73"/>
      <c r="N118" s="73"/>
      <c r="O118" s="73"/>
      <c r="P118" s="73"/>
      <c r="Q118" s="73"/>
      <c r="R118" s="73"/>
      <c r="S118" s="73"/>
      <c r="T118" s="438" cm="1" t="str">
        <f t="array" ref="T118:T118">T117</f>
        <v>false</v>
      </c>
      <c r="U118" s="73"/>
      <c r="V118" s="73"/>
      <c r="W118" s="73"/>
      <c r="X118" s="1541"/>
      <c r="Y118" s="1256"/>
      <c r="Z118" s="1494"/>
      <c r="AA118" s="1256"/>
      <c r="AB118" s="266" t="s">
        <v>653</v>
      </c>
      <c r="AC118" s="738" t="s">
        <v>1976</v>
      </c>
      <c r="AD118" s="266" t="s">
        <v>789</v>
      </c>
      <c r="AE118" s="1219">
        <f>_xlfn.SUMIFS('ИП + источники'!AF$27:AF$87,'ИП + источники'!$F$27:$F$87,$F118,'ИП + источники'!$AC$27:$AC$87,"погашение займов и кредитов из нормативной прибыли")</f>
        <v>0</v>
      </c>
      <c r="AF118" s="1219">
        <f>_xlfn.SUMIFS('ИП + источники'!AG$27:AG$87,'ИП + источники'!$F$27:$F$87,$F118,'ИП + источники'!$AC$27:$AC$87,"погашение займов и кредитов из нормативной прибыли")</f>
        <v>0</v>
      </c>
      <c r="AG118" s="1219">
        <f>_xlfn.SUMIFS('ИП + источники'!AH$27:AH$87,'ИП + источники'!$F$27:$F$87,$F118,'ИП + источники'!$AC$27:$AC$87,"погашение займов и кредитов из нормативной прибыли")</f>
        <v>0</v>
      </c>
      <c r="AH118" s="1092">
        <f>AG118-AF118</f>
        <v>0</v>
      </c>
      <c r="AI118" s="1219">
        <f>_xlfn.SUMIFS('ИП + источники'!AJ$27:AJ$87,'ИП + источники'!$F$27:$F$87,$F118,'ИП + источники'!$AC$27:$AC$87,"погашение займов и кредитов из нормативной прибыли")</f>
        <v>0</v>
      </c>
      <c r="AJ118" s="3564">
        <f>_xlfn.SUMIFS('ИП + источники'!AK$27:AK$87,'ИП + источники'!$F$27:$F$87,$F118,'ИП + источники'!$AC$27:$AC$87,"погашение займов и кредитов из нормативной прибыли")</f>
        <v>0</v>
      </c>
      <c r="AK118" s="1219">
        <f>_xlfn.SUMIFS('ИП + источники'!AL$27:AL$87,'ИП + источники'!$F$27:$F$87,$F118,'ИП + источники'!$AC$27:$AC$87,"погашение займов и кредитов из нормативной прибыли")</f>
        <v>0</v>
      </c>
      <c r="AL118" s="1219">
        <f>_xlfn.SUMIFS('ИП + источники'!AM$27:AM$87,'ИП + источники'!$F$27:$F$87,$F118,'ИП + источники'!$AC$27:$AC$87,"погашение займов и кредитов из нормативной прибыли")</f>
        <v>0</v>
      </c>
      <c r="AM118" s="1219">
        <f>_xlfn.SUMIFS('ИП + источники'!AN$27:AN$87,'ИП + источники'!$F$27:$F$87,$F118,'ИП + источники'!$AC$27:$AC$87,"погашение займов и кредитов из нормативной прибыли")</f>
        <v>0</v>
      </c>
      <c r="AN118" s="1219">
        <f>_xlfn.SUMIFS('ИП + источники'!AO$27:AO$87,'ИП + источники'!$F$27:$F$87,$F118,'ИП + источники'!$AC$27:$AC$87,"погашение займов и кредитов из нормативной прибыли")</f>
        <v>0</v>
      </c>
      <c r="AO118" s="1219">
        <f>_xlfn.SUMIFS('ИП + источники'!AP$27:AP$87,'ИП + источники'!$F$27:$F$87,$F118,'ИП + источники'!$AC$27:$AC$87,"погашение займов и кредитов из нормативной прибыли")</f>
        <v>0</v>
      </c>
      <c r="AP118" s="1219">
        <f>_xlfn.SUMIFS('ИП + источники'!AQ$27:AQ$87,'ИП + источники'!$F$27:$F$87,$F118,'ИП + источники'!$AC$27:$AC$87,"погашение займов и кредитов из нормативной прибыли")</f>
        <v>0</v>
      </c>
      <c r="AQ118" s="1219">
        <f>_xlfn.SUMIFS('ИП + источники'!AR$27:AR$87,'ИП + источники'!$F$27:$F$87,$F118,'ИП + источники'!$AC$27:$AC$87,"погашение займов и кредитов из нормативной прибыли")</f>
        <v>0</v>
      </c>
      <c r="AR118" s="1219">
        <f>_xlfn.SUMIFS('ИП + источники'!AS$27:AS$87,'ИП + источники'!$F$27:$F$87,$F118,'ИП + источники'!$AC$27:$AC$87,"погашение займов и кредитов из нормативной прибыли")</f>
        <v>0</v>
      </c>
      <c r="AS118" s="1219">
        <f>_xlfn.SUMIFS('ИП + источники'!AT$27:AT$87,'ИП + источники'!$F$27:$F$87,$F118,'ИП + источники'!$AC$27:$AC$87,"погашение займов и кредитов из нормативной прибыли")</f>
        <v>0</v>
      </c>
      <c r="AT118" s="3564">
        <f>_xlfn.SUMIFS('ИП + источники'!AU$27:AU$87,'ИП + источники'!$F$27:$F$87,$F118,'ИП + источники'!$AC$27:$AC$87,"погашение займов и кредитов из нормативной прибыли")</f>
        <v>0</v>
      </c>
      <c r="AU118" s="1219">
        <f>_xlfn.SUMIFS('ИП + источники'!AV$27:AV$87,'ИП + источники'!$F$27:$F$87,$F118,'ИП + источники'!$AC$27:$AC$87,"погашение займов и кредитов из нормативной прибыли")</f>
        <v>0</v>
      </c>
      <c r="AV118" s="1219">
        <f>_xlfn.SUMIFS('ИП + источники'!AW$27:AW$87,'ИП + источники'!$F$27:$F$87,$F118,'ИП + источники'!$AC$27:$AC$87,"погашение займов и кредитов из нормативной прибыли")</f>
        <v>0</v>
      </c>
      <c r="AW118" s="1219">
        <f>_xlfn.SUMIFS('ИП + источники'!AX$27:AX$87,'ИП + источники'!$F$27:$F$87,$F118,'ИП + источники'!$AC$27:$AC$87,"погашение займов и кредитов из нормативной прибыли")</f>
        <v>0</v>
      </c>
      <c r="AX118" s="1219">
        <f>_xlfn.SUMIFS('ИП + источники'!AY$27:AY$87,'ИП + источники'!$F$27:$F$87,$F118,'ИП + источники'!$AC$27:$AC$87,"погашение займов и кредитов из нормативной прибыли")</f>
        <v>0</v>
      </c>
      <c r="AY118" s="1219">
        <f>_xlfn.SUMIFS('ИП + источники'!AZ$27:AZ$87,'ИП + источники'!$F$27:$F$87,$F118,'ИП + источники'!$AC$27:$AC$87,"погашение займов и кредитов из нормативной прибыли")</f>
        <v>0</v>
      </c>
      <c r="AZ118" s="1219">
        <f>_xlfn.SUMIFS('ИП + источники'!BA$27:BA$87,'ИП + источники'!$F$27:$F$87,$F118,'ИП + источники'!$AC$27:$AC$87,"погашение займов и кредитов из нормативной прибыли")</f>
        <v>0</v>
      </c>
      <c r="BA118" s="1219">
        <f>_xlfn.SUMIFS('ИП + источники'!BB$27:BB$87,'ИП + источники'!$F$27:$F$87,$F118,'ИП + источники'!$AC$27:$AC$87,"погашение займов и кредитов из нормативной прибыли")</f>
        <v>0</v>
      </c>
      <c r="BB118" s="1219">
        <f>_xlfn.SUMIFS('ИП + источники'!BC$27:BC$87,'ИП + источники'!$F$27:$F$87,$F118,'ИП + источники'!$AC$27:$AC$87,"погашение займов и кредитов из нормативной прибыли")</f>
        <v>0</v>
      </c>
      <c r="BC118" s="1219">
        <f>_xlfn.SUMIFS('ИП + источники'!BD$27:BD$87,'ИП + источники'!$F$27:$F$87,$F118,'ИП + источники'!$AC$27:$AC$87,"погашение займов и кредитов из нормативной прибыли")</f>
        <v>0</v>
      </c>
      <c r="BD118" s="1092">
        <f>IF(AI118=0,0,(AT118-AI118)/AI118*100)</f>
        <v>0</v>
      </c>
      <c r="BE118" s="1092">
        <f>IF(AT118=0,0,(AU118-AT118)/AT118*100)</f>
        <v>0</v>
      </c>
      <c r="BF118" s="1092">
        <f>IF(AU118=0,0,(AV118-AU118)/AU118*100)</f>
        <v>0</v>
      </c>
      <c r="BG118" s="1092">
        <f>IF(AV118=0,0,(AW118-AV118)/AV118*100)</f>
        <v>0</v>
      </c>
      <c r="BH118" s="1092">
        <f>IF(AW118=0,0,(AX118-AW118)/AW118*100)</f>
        <v>0</v>
      </c>
      <c r="BI118" s="1092">
        <f>IF(AX118=0,0,(AY118-AX118)/AX118*100)</f>
        <v>0</v>
      </c>
      <c r="BJ118" s="1092">
        <f>IF(AY118=0,0,(AZ118-AY118)/AY118*100)</f>
        <v>0</v>
      </c>
      <c r="BK118" s="1092">
        <f>IF(AZ118=0,0,(BA118-AZ118)/AZ118*100)</f>
        <v>0</v>
      </c>
      <c r="BL118" s="1092">
        <f>IF(BA118=0,0,(BB118-BA118)/BA118*100)</f>
        <v>0</v>
      </c>
      <c r="BM118" s="1092">
        <f>IF(BB118=0,0,(BC118-BB118)/BB118*100)</f>
        <v>0</v>
      </c>
      <c r="BN118" s="1216"/>
      <c r="BO118" s="1220" t="str">
        <f>IF(_xlfn.IFERROR(INDEX('ИП + источники'!$K$28:$L$87,MATCH($F118&amp;"2komm",'ИП + источники'!$K$28:$K$87,0),2),"")=0,"",_xlfn.IFERROR(INDEX('ИП + источники'!$K$28:$L$87,MATCH($F118&amp;"2komm",'ИП + источники'!$K$28:$K$87,0),2),""))</f>
        <v/>
      </c>
      <c r="BP118" s="1216"/>
      <c r="BQ118" s="1256"/>
      <c r="BR118" s="1256"/>
      <c r="BS118" s="1041" t="s">
        <v>1977</v>
      </c>
      <c r="BT118" s="1041"/>
      <c r="BU118" s="1041"/>
      <c r="BV118" s="956"/>
      <c r="BW118" s="956"/>
    </row>
    <row customHeight="1" ht="14.625" hidden="1">
      <c r="A119" s="1256"/>
      <c r="B119" s="404" cm="1" t="str">
        <f t="array" ref="B119:B119">B118</f>
        <v>false</v>
      </c>
      <c r="C119" s="73"/>
      <c r="D119" s="73"/>
      <c r="E119" s="596">
        <v>15</v>
      </c>
      <c r="F119" s="50" cm="1" t="str">
        <f t="array" ref="F119:F119">OFFSET(E119,-1,1)</f>
        <v>0</v>
      </c>
      <c r="G119" s="73"/>
      <c r="H119" s="73"/>
      <c r="I119" s="73" t="s">
        <v>526</v>
      </c>
      <c r="J119" s="73"/>
      <c r="K119" s="1256"/>
      <c r="L119" s="957"/>
      <c r="M119" s="73"/>
      <c r="N119" s="73"/>
      <c r="O119" s="73"/>
      <c r="P119" s="73"/>
      <c r="Q119" s="73"/>
      <c r="R119" s="73"/>
      <c r="S119" s="73"/>
      <c r="T119" s="438" cm="1" t="str">
        <f t="array" ref="T119:T119">T118</f>
        <v>false</v>
      </c>
      <c r="U119" s="73"/>
      <c r="V119" s="73"/>
      <c r="W119" s="73"/>
      <c r="X119" s="1541"/>
      <c r="Y119" s="1256"/>
      <c r="Z119" s="1494"/>
      <c r="AA119" s="1256"/>
      <c r="AB119" s="266" t="s">
        <v>656</v>
      </c>
      <c r="AC119" s="738" t="s">
        <v>1978</v>
      </c>
      <c r="AD119" s="266" t="s">
        <v>789</v>
      </c>
      <c r="AE119" s="1219">
        <f>_xlfn.SUMIFS('ИП + источники'!AF$27:AF$87,'ИП + источники'!$F$27:$F$87,$F119,'ИП + источники'!$AC$27:$AC$87,"уплата процентов по кредитам из нормативной прибыли")</f>
        <v>0</v>
      </c>
      <c r="AF119" s="1219">
        <f>_xlfn.SUMIFS('ИП + источники'!AG$27:AG$87,'ИП + источники'!$F$27:$F$87,$F119,'ИП + источники'!$AC$27:$AC$87,"уплата процентов по кредитам из нормативной прибыли")</f>
        <v>0</v>
      </c>
      <c r="AG119" s="1219">
        <f>_xlfn.SUMIFS('ИП + источники'!AH$27:AH$87,'ИП + источники'!$F$27:$F$87,$F119,'ИП + источники'!$AC$27:$AC$87,"уплата процентов по кредитам из нормативной прибыли")</f>
        <v>0</v>
      </c>
      <c r="AH119" s="1092">
        <f>AG119-AF119</f>
        <v>0</v>
      </c>
      <c r="AI119" s="1219">
        <f>_xlfn.SUMIFS('ИП + источники'!AJ$27:AJ$87,'ИП + источники'!$F$27:$F$87,$F119,'ИП + источники'!$AC$27:$AC$87,"уплата процентов по кредитам из нормативной прибыли")</f>
        <v>0</v>
      </c>
      <c r="AJ119" s="3564">
        <f>_xlfn.SUMIFS('ИП + источники'!AK$27:AK$87,'ИП + источники'!$F$27:$F$87,$F119,'ИП + источники'!$AC$27:$AC$87,"уплата процентов по кредитам из нормативной прибыли")</f>
        <v>0</v>
      </c>
      <c r="AK119" s="1219">
        <f>_xlfn.SUMIFS('ИП + источники'!AL$27:AL$87,'ИП + источники'!$F$27:$F$87,$F119,'ИП + источники'!$AC$27:$AC$87,"уплата процентов по кредитам из нормативной прибыли")</f>
        <v>0</v>
      </c>
      <c r="AL119" s="1219">
        <f>_xlfn.SUMIFS('ИП + источники'!AM$27:AM$87,'ИП + источники'!$F$27:$F$87,$F119,'ИП + источники'!$AC$27:$AC$87,"уплата процентов по кредитам из нормативной прибыли")</f>
        <v>0</v>
      </c>
      <c r="AM119" s="1219">
        <f>_xlfn.SUMIFS('ИП + источники'!AN$27:AN$87,'ИП + источники'!$F$27:$F$87,$F119,'ИП + источники'!$AC$27:$AC$87,"уплата процентов по кредитам из нормативной прибыли")</f>
        <v>0</v>
      </c>
      <c r="AN119" s="1219">
        <f>_xlfn.SUMIFS('ИП + источники'!AO$27:AO$87,'ИП + источники'!$F$27:$F$87,$F119,'ИП + источники'!$AC$27:$AC$87,"уплата процентов по кредитам из нормативной прибыли")</f>
        <v>0</v>
      </c>
      <c r="AO119" s="1219">
        <f>_xlfn.SUMIFS('ИП + источники'!AP$27:AP$87,'ИП + источники'!$F$27:$F$87,$F119,'ИП + источники'!$AC$27:$AC$87,"уплата процентов по кредитам из нормативной прибыли")</f>
        <v>0</v>
      </c>
      <c r="AP119" s="1219">
        <f>_xlfn.SUMIFS('ИП + источники'!AQ$27:AQ$87,'ИП + источники'!$F$27:$F$87,$F119,'ИП + источники'!$AC$27:$AC$87,"уплата процентов по кредитам из нормативной прибыли")</f>
        <v>0</v>
      </c>
      <c r="AQ119" s="1219">
        <f>_xlfn.SUMIFS('ИП + источники'!AR$27:AR$87,'ИП + источники'!$F$27:$F$87,$F119,'ИП + источники'!$AC$27:$AC$87,"уплата процентов по кредитам из нормативной прибыли")</f>
        <v>0</v>
      </c>
      <c r="AR119" s="1219">
        <f>_xlfn.SUMIFS('ИП + источники'!AS$27:AS$87,'ИП + источники'!$F$27:$F$87,$F119,'ИП + источники'!$AC$27:$AC$87,"уплата процентов по кредитам из нормативной прибыли")</f>
        <v>0</v>
      </c>
      <c r="AS119" s="1219">
        <f>_xlfn.SUMIFS('ИП + источники'!AT$27:AT$87,'ИП + источники'!$F$27:$F$87,$F119,'ИП + источники'!$AC$27:$AC$87,"уплата процентов по кредитам из нормативной прибыли")</f>
        <v>0</v>
      </c>
      <c r="AT119" s="3564">
        <f>_xlfn.SUMIFS('ИП + источники'!AU$27:AU$87,'ИП + источники'!$F$27:$F$87,$F119,'ИП + источники'!$AC$27:$AC$87,"уплата процентов по кредитам из нормативной прибыли")</f>
        <v>0</v>
      </c>
      <c r="AU119" s="1219">
        <f>_xlfn.SUMIFS('ИП + источники'!AV$27:AV$87,'ИП + источники'!$F$27:$F$87,$F119,'ИП + источники'!$AC$27:$AC$87,"уплата процентов по кредитам из нормативной прибыли")</f>
        <v>0</v>
      </c>
      <c r="AV119" s="1219">
        <f>_xlfn.SUMIFS('ИП + источники'!AW$27:AW$87,'ИП + источники'!$F$27:$F$87,$F119,'ИП + источники'!$AC$27:$AC$87,"уплата процентов по кредитам из нормативной прибыли")</f>
        <v>0</v>
      </c>
      <c r="AW119" s="1219">
        <f>_xlfn.SUMIFS('ИП + источники'!AX$27:AX$87,'ИП + источники'!$F$27:$F$87,$F119,'ИП + источники'!$AC$27:$AC$87,"уплата процентов по кредитам из нормативной прибыли")</f>
        <v>0</v>
      </c>
      <c r="AX119" s="1219">
        <f>_xlfn.SUMIFS('ИП + источники'!AY$27:AY$87,'ИП + источники'!$F$27:$F$87,$F119,'ИП + источники'!$AC$27:$AC$87,"уплата процентов по кредитам из нормативной прибыли")</f>
        <v>0</v>
      </c>
      <c r="AY119" s="1219">
        <f>_xlfn.SUMIFS('ИП + источники'!AZ$27:AZ$87,'ИП + источники'!$F$27:$F$87,$F119,'ИП + источники'!$AC$27:$AC$87,"уплата процентов по кредитам из нормативной прибыли")</f>
        <v>0</v>
      </c>
      <c r="AZ119" s="1219">
        <f>_xlfn.SUMIFS('ИП + источники'!BA$27:BA$87,'ИП + источники'!$F$27:$F$87,$F119,'ИП + источники'!$AC$27:$AC$87,"уплата процентов по кредитам из нормативной прибыли")</f>
        <v>0</v>
      </c>
      <c r="BA119" s="1219">
        <f>_xlfn.SUMIFS('ИП + источники'!BB$27:BB$87,'ИП + источники'!$F$27:$F$87,$F119,'ИП + источники'!$AC$27:$AC$87,"уплата процентов по кредитам из нормативной прибыли")</f>
        <v>0</v>
      </c>
      <c r="BB119" s="1219">
        <f>_xlfn.SUMIFS('ИП + источники'!BC$27:BC$87,'ИП + источники'!$F$27:$F$87,$F119,'ИП + источники'!$AC$27:$AC$87,"уплата процентов по кредитам из нормативной прибыли")</f>
        <v>0</v>
      </c>
      <c r="BC119" s="1219">
        <f>_xlfn.SUMIFS('ИП + источники'!BD$27:BD$87,'ИП + источники'!$F$27:$F$87,$F119,'ИП + источники'!$AC$27:$AC$87,"уплата процентов по кредитам из нормативной прибыли")</f>
        <v>0</v>
      </c>
      <c r="BD119" s="1092">
        <f>IF(AI119=0,0,(AT119-AI119)/AI119*100)</f>
        <v>0</v>
      </c>
      <c r="BE119" s="1092">
        <f>IF(AT119=0,0,(AU119-AT119)/AT119*100)</f>
        <v>0</v>
      </c>
      <c r="BF119" s="1092">
        <f>IF(AU119=0,0,(AV119-AU119)/AU119*100)</f>
        <v>0</v>
      </c>
      <c r="BG119" s="1092">
        <f>IF(AV119=0,0,(AW119-AV119)/AV119*100)</f>
        <v>0</v>
      </c>
      <c r="BH119" s="1092">
        <f>IF(AW119=0,0,(AX119-AW119)/AW119*100)</f>
        <v>0</v>
      </c>
      <c r="BI119" s="1092">
        <f>IF(AX119=0,0,(AY119-AX119)/AX119*100)</f>
        <v>0</v>
      </c>
      <c r="BJ119" s="1092">
        <f>IF(AY119=0,0,(AZ119-AY119)/AY119*100)</f>
        <v>0</v>
      </c>
      <c r="BK119" s="1092">
        <f>IF(AZ119=0,0,(BA119-AZ119)/AZ119*100)</f>
        <v>0</v>
      </c>
      <c r="BL119" s="1092">
        <f>IF(BA119=0,0,(BB119-BA119)/BA119*100)</f>
        <v>0</v>
      </c>
      <c r="BM119" s="1092">
        <f>IF(BB119=0,0,(BC119-BB119)/BB119*100)</f>
        <v>0</v>
      </c>
      <c r="BN119" s="1216"/>
      <c r="BO119" s="1220" t="str">
        <f>IF(_xlfn.IFERROR(INDEX('ИП + источники'!$K$28:$L$87,MATCH($F119&amp;"3komm",'ИП + источники'!$K$28:$K$87,0),2),"")=0,"",_xlfn.IFERROR(INDEX('ИП + источники'!$K$28:$L$87,MATCH($F119&amp;"3komm",'ИП + источники'!$K$28:$K$87,0),2),""))</f>
        <v/>
      </c>
      <c r="BP119" s="1216"/>
      <c r="BQ119" s="1256"/>
      <c r="BR119" s="1256"/>
      <c r="BS119" s="1041" t="s">
        <v>1979</v>
      </c>
      <c r="BT119" s="1041"/>
      <c r="BU119" s="1041"/>
      <c r="BV119" s="956"/>
      <c r="BW119" s="956"/>
    </row>
    <row customHeight="1" ht="14.625" hidden="1">
      <c r="A120" s="1256"/>
      <c r="B120" s="404" cm="1" t="str">
        <f t="array" ref="B120:B120">B119</f>
        <v>false</v>
      </c>
      <c r="C120" s="73"/>
      <c r="D120" s="73"/>
      <c r="E120" s="596">
        <v>15</v>
      </c>
      <c r="F120" s="50" cm="1" t="str">
        <f t="array" ref="F120:F120">OFFSET(E120,-1,1)</f>
        <v>0</v>
      </c>
      <c r="G120" s="73"/>
      <c r="H120" s="73"/>
      <c r="I120" s="73" t="s">
        <v>743</v>
      </c>
      <c r="J120" s="73"/>
      <c r="K120" s="1256"/>
      <c r="L120" s="957" t="s">
        <v>542</v>
      </c>
      <c r="M120" s="73"/>
      <c r="N120" s="73"/>
      <c r="O120" s="73"/>
      <c r="P120" s="73"/>
      <c r="Q120" s="73"/>
      <c r="R120" s="73"/>
      <c r="S120" s="73"/>
      <c r="T120" s="438" cm="1" t="str">
        <f t="array" ref="T120:T120">T119</f>
        <v>false</v>
      </c>
      <c r="U120" s="73"/>
      <c r="V120" s="73"/>
      <c r="W120" s="73"/>
      <c r="X120" s="1541"/>
      <c r="Y120" s="1256"/>
      <c r="Z120" s="1494"/>
      <c r="AA120" s="1256"/>
      <c r="AB120" s="266" t="s">
        <v>899</v>
      </c>
      <c r="AC120" s="738" t="s">
        <v>1980</v>
      </c>
      <c r="AD120" s="266" t="s">
        <v>789</v>
      </c>
      <c r="AE120" s="1219">
        <f>_xlfn.SUMIFS('ИП + источники'!AF$27:AF$87,'ИП + источники'!$F$27:$F$87,$F120,'ИП + источники'!$AC$27:$AC$87,"Прибыль на капвложения")</f>
        <v>0</v>
      </c>
      <c r="AF120" s="1219">
        <f>_xlfn.SUMIFS('ИП + источники'!AG$27:AG$87,'ИП + источники'!$F$27:$F$87,$F120,'ИП + источники'!$AC$27:$AC$87,"Прибыль на капвложения")</f>
        <v>0</v>
      </c>
      <c r="AG120" s="1219">
        <f>_xlfn.SUMIFS('ИП + источники'!AH$27:AH$87,'ИП + источники'!$F$27:$F$87,$F120,'ИП + источники'!$AC$27:$AC$87,"Прибыль на капвложения")</f>
        <v>0</v>
      </c>
      <c r="AH120" s="1092">
        <f>AG120-AF120</f>
        <v>0</v>
      </c>
      <c r="AI120" s="1219">
        <f>_xlfn.SUMIFS('ИП + источники'!AJ$27:AJ$87,'ИП + источники'!$F$27:$F$87,$F120,'ИП + источники'!$AC$27:$AC$87,"Прибыль на капвложения")</f>
        <v>0</v>
      </c>
      <c r="AJ120" s="3564">
        <f>_xlfn.SUMIFS('ИП + источники'!AK$27:AK$87,'ИП + источники'!$F$27:$F$87,$F120,'ИП + источники'!$AC$27:$AC$87,"Прибыль на капвложения")</f>
        <v>0</v>
      </c>
      <c r="AK120" s="1219">
        <f>_xlfn.SUMIFS('ИП + источники'!AL$27:AL$87,'ИП + источники'!$F$27:$F$87,$F120,'ИП + источники'!$AC$27:$AC$87,"Прибыль на капвложения")</f>
        <v>0</v>
      </c>
      <c r="AL120" s="1219">
        <f>_xlfn.SUMIFS('ИП + источники'!AM$27:AM$87,'ИП + источники'!$F$27:$F$87,$F120,'ИП + источники'!$AC$27:$AC$87,"Прибыль на капвложения")</f>
        <v>0</v>
      </c>
      <c r="AM120" s="1219">
        <f>_xlfn.SUMIFS('ИП + источники'!AN$27:AN$87,'ИП + источники'!$F$27:$F$87,$F120,'ИП + источники'!$AC$27:$AC$87,"Прибыль на капвложения")</f>
        <v>0</v>
      </c>
      <c r="AN120" s="1219">
        <f>_xlfn.SUMIFS('ИП + источники'!AO$27:AO$87,'ИП + источники'!$F$27:$F$87,$F120,'ИП + источники'!$AC$27:$AC$87,"Прибыль на капвложения")</f>
        <v>0</v>
      </c>
      <c r="AO120" s="1219">
        <f>_xlfn.SUMIFS('ИП + источники'!AP$27:AP$87,'ИП + источники'!$F$27:$F$87,$F120,'ИП + источники'!$AC$27:$AC$87,"Прибыль на капвложения")</f>
        <v>0</v>
      </c>
      <c r="AP120" s="1219">
        <f>_xlfn.SUMIFS('ИП + источники'!AQ$27:AQ$87,'ИП + источники'!$F$27:$F$87,$F120,'ИП + источники'!$AC$27:$AC$87,"Прибыль на капвложения")</f>
        <v>0</v>
      </c>
      <c r="AQ120" s="1219">
        <f>_xlfn.SUMIFS('ИП + источники'!AR$27:AR$87,'ИП + источники'!$F$27:$F$87,$F120,'ИП + источники'!$AC$27:$AC$87,"Прибыль на капвложения")</f>
        <v>0</v>
      </c>
      <c r="AR120" s="1219">
        <f>_xlfn.SUMIFS('ИП + источники'!AS$27:AS$87,'ИП + источники'!$F$27:$F$87,$F120,'ИП + источники'!$AC$27:$AC$87,"Прибыль на капвложения")</f>
        <v>0</v>
      </c>
      <c r="AS120" s="1219">
        <f>_xlfn.SUMIFS('ИП + источники'!AT$27:AT$87,'ИП + источники'!$F$27:$F$87,$F120,'ИП + источники'!$AC$27:$AC$87,"Прибыль на капвложения")</f>
        <v>0</v>
      </c>
      <c r="AT120" s="3564">
        <f>_xlfn.SUMIFS('ИП + источники'!AU$27:AU$87,'ИП + источники'!$F$27:$F$87,$F120,'ИП + источники'!$AC$27:$AC$87,"Прибыль на капвложения")</f>
        <v>0</v>
      </c>
      <c r="AU120" s="1219">
        <f>_xlfn.SUMIFS('ИП + источники'!AV$27:AV$87,'ИП + источники'!$F$27:$F$87,$F120,'ИП + источники'!$AC$27:$AC$87,"Прибыль на капвложения")</f>
        <v>0</v>
      </c>
      <c r="AV120" s="1219">
        <f>_xlfn.SUMIFS('ИП + источники'!AW$27:AW$87,'ИП + источники'!$F$27:$F$87,$F120,'ИП + источники'!$AC$27:$AC$87,"Прибыль на капвложения")</f>
        <v>0</v>
      </c>
      <c r="AW120" s="1219">
        <f>_xlfn.SUMIFS('ИП + источники'!AX$27:AX$87,'ИП + источники'!$F$27:$F$87,$F120,'ИП + источники'!$AC$27:$AC$87,"Прибыль на капвложения")</f>
        <v>0</v>
      </c>
      <c r="AX120" s="1219">
        <f>_xlfn.SUMIFS('ИП + источники'!AY$27:AY$87,'ИП + источники'!$F$27:$F$87,$F120,'ИП + источники'!$AC$27:$AC$87,"Прибыль на капвложения")</f>
        <v>0</v>
      </c>
      <c r="AY120" s="1219">
        <f>_xlfn.SUMIFS('ИП + источники'!AZ$27:AZ$87,'ИП + источники'!$F$27:$F$87,$F120,'ИП + источники'!$AC$27:$AC$87,"Прибыль на капвложения")</f>
        <v>0</v>
      </c>
      <c r="AZ120" s="1219">
        <f>_xlfn.SUMIFS('ИП + источники'!BA$27:BA$87,'ИП + источники'!$F$27:$F$87,$F120,'ИП + источники'!$AC$27:$AC$87,"Прибыль на капвложения")</f>
        <v>0</v>
      </c>
      <c r="BA120" s="1219">
        <f>_xlfn.SUMIFS('ИП + источники'!BB$27:BB$87,'ИП + источники'!$F$27:$F$87,$F120,'ИП + источники'!$AC$27:$AC$87,"Прибыль на капвложения")</f>
        <v>0</v>
      </c>
      <c r="BB120" s="1219">
        <f>_xlfn.SUMIFS('ИП + источники'!BC$27:BC$87,'ИП + источники'!$F$27:$F$87,$F120,'ИП + источники'!$AC$27:$AC$87,"Прибыль на капвложения")</f>
        <v>0</v>
      </c>
      <c r="BC120" s="1219">
        <f>_xlfn.SUMIFS('ИП + источники'!BD$27:BD$87,'ИП + источники'!$F$27:$F$87,$F120,'ИП + источники'!$AC$27:$AC$87,"Прибыль на капвложения")</f>
        <v>0</v>
      </c>
      <c r="BD120" s="1092">
        <f>IF(AI120=0,0,(AT120-AI120)/AI120*100)</f>
        <v>0</v>
      </c>
      <c r="BE120" s="1092">
        <f>IF(AT120=0,0,(AU120-AT120)/AT120*100)</f>
        <v>0</v>
      </c>
      <c r="BF120" s="1092">
        <f>IF(AU120=0,0,(AV120-AU120)/AU120*100)</f>
        <v>0</v>
      </c>
      <c r="BG120" s="1092">
        <f>IF(AV120=0,0,(AW120-AV120)/AV120*100)</f>
        <v>0</v>
      </c>
      <c r="BH120" s="1092">
        <f>IF(AW120=0,0,(AX120-AW120)/AW120*100)</f>
        <v>0</v>
      </c>
      <c r="BI120" s="1092">
        <f>IF(AX120=0,0,(AY120-AX120)/AX120*100)</f>
        <v>0</v>
      </c>
      <c r="BJ120" s="1092">
        <f>IF(AY120=0,0,(AZ120-AY120)/AY120*100)</f>
        <v>0</v>
      </c>
      <c r="BK120" s="1092">
        <f>IF(AZ120=0,0,(BA120-AZ120)/AZ120*100)</f>
        <v>0</v>
      </c>
      <c r="BL120" s="1092">
        <f>IF(BA120=0,0,(BB120-BA120)/BA120*100)</f>
        <v>0</v>
      </c>
      <c r="BM120" s="1092">
        <f>IF(BB120=0,0,(BC120-BB120)/BB120*100)</f>
        <v>0</v>
      </c>
      <c r="BN120" s="1216"/>
      <c r="BO120" s="1220" t="str">
        <f>IF(_xlfn.IFERROR(INDEX('ИП + источники'!$K$28:$L$87,MATCH($F120&amp;"1komm",'ИП + источники'!$K$28:$K$87,0),2),"")=0,"",_xlfn.IFERROR(INDEX('ИП + источники'!$K$28:$L$87,MATCH($F120&amp;"1komm",'ИП + источники'!$K$28:$K$87,0),2),""))</f>
        <v/>
      </c>
      <c r="BP120" s="1216"/>
      <c r="BQ120" s="1256"/>
      <c r="BR120" s="1256"/>
      <c r="BS120" s="1041" t="s">
        <v>1681</v>
      </c>
      <c r="BT120" s="1041"/>
      <c r="BU120" s="1041"/>
      <c r="BV120" s="956"/>
      <c r="BW120" s="956"/>
    </row>
    <row customHeight="1" ht="21.9375" hidden="1">
      <c r="A121" s="1256"/>
      <c r="B121" s="404" cm="1" t="str">
        <f t="array" ref="B121:B121">B120</f>
        <v>false</v>
      </c>
      <c r="C121" s="73"/>
      <c r="D121" s="73"/>
      <c r="E121" s="596">
        <v>22.5</v>
      </c>
      <c r="F121" s="50" cm="1" t="str">
        <f t="array" ref="F121:F121">OFFSET(E121,-1,1)</f>
        <v>0</v>
      </c>
      <c r="G121" s="73" t="s">
        <v>1981</v>
      </c>
      <c r="H121" s="73"/>
      <c r="I121" s="73" t="s">
        <v>901</v>
      </c>
      <c r="J121" s="73"/>
      <c r="K121" s="1256"/>
      <c r="L121" s="957" t="s">
        <v>546</v>
      </c>
      <c r="M121" s="73"/>
      <c r="N121" s="73"/>
      <c r="O121" s="73"/>
      <c r="P121" s="73"/>
      <c r="Q121" s="73"/>
      <c r="R121" s="73"/>
      <c r="S121" s="73"/>
      <c r="T121" s="438" cm="1" t="str">
        <f t="array" ref="T121:T121">T120</f>
        <v>false</v>
      </c>
      <c r="U121" s="73"/>
      <c r="V121" s="73"/>
      <c r="W121" s="73"/>
      <c r="X121" s="1541"/>
      <c r="Y121" s="1256"/>
      <c r="Z121" s="1494"/>
      <c r="AA121" s="1256"/>
      <c r="AB121" s="266" t="s">
        <v>902</v>
      </c>
      <c r="AC121" s="738" t="s">
        <v>1982</v>
      </c>
      <c r="AD121" s="266" t="s">
        <v>789</v>
      </c>
      <c r="AE121" s="1219"/>
      <c r="AF121" s="1219"/>
      <c r="AG121" s="1219"/>
      <c r="AH121" s="1092">
        <f>AG121-AF121</f>
        <v>0</v>
      </c>
      <c r="AI121" s="1219"/>
      <c r="AJ121" s="3564"/>
      <c r="AK121" s="1219"/>
      <c r="AL121" s="1219"/>
      <c r="AM121" s="1219"/>
      <c r="AN121" s="1219"/>
      <c r="AO121" s="1219"/>
      <c r="AP121" s="1219"/>
      <c r="AQ121" s="1219"/>
      <c r="AR121" s="1219"/>
      <c r="AS121" s="1219"/>
      <c r="AT121" s="3564"/>
      <c r="AU121" s="1219"/>
      <c r="AV121" s="1219"/>
      <c r="AW121" s="1219"/>
      <c r="AX121" s="1219"/>
      <c r="AY121" s="1219"/>
      <c r="AZ121" s="1219"/>
      <c r="BA121" s="1219"/>
      <c r="BB121" s="1219"/>
      <c r="BC121" s="1219"/>
      <c r="BD121" s="1092">
        <f>IF(AI121=0,0,(AT121-AI121)/AI121*100)</f>
        <v>0</v>
      </c>
      <c r="BE121" s="1092">
        <f>IF(AT121=0,0,(AU121-AT121)/AT121*100)</f>
        <v>0</v>
      </c>
      <c r="BF121" s="1092">
        <f>IF(AU121=0,0,(AV121-AU121)/AU121*100)</f>
        <v>0</v>
      </c>
      <c r="BG121" s="1092">
        <f>IF(AV121=0,0,(AW121-AV121)/AV121*100)</f>
        <v>0</v>
      </c>
      <c r="BH121" s="1092">
        <f>IF(AW121=0,0,(AX121-AW121)/AW121*100)</f>
        <v>0</v>
      </c>
      <c r="BI121" s="1092">
        <f>IF(AX121=0,0,(AY121-AX121)/AX121*100)</f>
        <v>0</v>
      </c>
      <c r="BJ121" s="1092">
        <f>IF(AY121=0,0,(AZ121-AY121)/AY121*100)</f>
        <v>0</v>
      </c>
      <c r="BK121" s="1092">
        <f>IF(AZ121=0,0,(BA121-AZ121)/AZ121*100)</f>
        <v>0</v>
      </c>
      <c r="BL121" s="1092">
        <f>IF(BA121=0,0,(BB121-BA121)/BA121*100)</f>
        <v>0</v>
      </c>
      <c r="BM121" s="1092">
        <f>IF(BB121=0,0,(BC121-BB121)/BB121*100)</f>
        <v>0</v>
      </c>
      <c r="BN121" s="1216"/>
      <c r="BO121" s="1216"/>
      <c r="BP121" s="1216"/>
      <c r="BQ121" s="1256"/>
      <c r="BR121" s="1256"/>
      <c r="BS121" s="1041" t="s">
        <v>1983</v>
      </c>
      <c r="BT121" s="1041"/>
      <c r="BU121" s="1041"/>
      <c r="BV121" s="956"/>
      <c r="BW121" s="956"/>
    </row>
    <row customHeight="1" ht="14.625" hidden="1">
      <c r="A122" s="1256"/>
      <c r="B122" s="404">
        <f>AND(method_reg="Метод индексации",STATUS_GO="да")</f>
        <v>0</v>
      </c>
      <c r="C122" s="73"/>
      <c r="D122" s="73"/>
      <c r="E122" s="596">
        <v>15</v>
      </c>
      <c r="F122" s="50" cm="1" t="str">
        <f t="array" ref="F122:F122">OFFSET(E122,-1,1)</f>
        <v>0</v>
      </c>
      <c r="G122" s="73" t="s">
        <v>1684</v>
      </c>
      <c r="H122" s="73"/>
      <c r="I122" s="73" t="s">
        <v>484</v>
      </c>
      <c r="J122" s="73"/>
      <c r="K122" s="1256"/>
      <c r="L122" s="957" t="s">
        <v>550</v>
      </c>
      <c r="M122" s="73"/>
      <c r="N122" s="73"/>
      <c r="O122" s="73"/>
      <c r="P122" s="73"/>
      <c r="Q122" s="73"/>
      <c r="R122" s="73"/>
      <c r="S122" s="73"/>
      <c r="T122" s="438" cm="1" t="str">
        <f t="array" ref="T122:T122">T121</f>
        <v>false</v>
      </c>
      <c r="U122" s="73"/>
      <c r="V122" s="73"/>
      <c r="W122" s="73"/>
      <c r="X122" s="1541"/>
      <c r="Y122" s="1256"/>
      <c r="Z122" s="1494"/>
      <c r="AA122" s="1256"/>
      <c r="AB122" s="266" t="s">
        <v>489</v>
      </c>
      <c r="AC122" s="424" t="s">
        <v>1684</v>
      </c>
      <c r="AD122" s="266" t="s">
        <v>789</v>
      </c>
      <c r="AE122" s="1219"/>
      <c r="AF122" s="1219"/>
      <c r="AG122" s="1219"/>
      <c r="AH122" s="1092">
        <f>AG122-AF122</f>
        <v>0</v>
      </c>
      <c r="AI122" s="1219"/>
      <c r="AJ122" s="3564"/>
      <c r="AK122" s="1219"/>
      <c r="AL122" s="1219"/>
      <c r="AM122" s="1219"/>
      <c r="AN122" s="1219"/>
      <c r="AO122" s="1219"/>
      <c r="AP122" s="1219"/>
      <c r="AQ122" s="1219"/>
      <c r="AR122" s="1219"/>
      <c r="AS122" s="1219"/>
      <c r="AT122" s="3564"/>
      <c r="AU122" s="1219"/>
      <c r="AV122" s="1219"/>
      <c r="AW122" s="1219"/>
      <c r="AX122" s="1219"/>
      <c r="AY122" s="1219"/>
      <c r="AZ122" s="1219"/>
      <c r="BA122" s="1219"/>
      <c r="BB122" s="1219"/>
      <c r="BC122" s="1219"/>
      <c r="BD122" s="1092">
        <f>IF(AI122=0,0,(AT122-AI122)/AI122*100)</f>
        <v>0</v>
      </c>
      <c r="BE122" s="1092">
        <f>IF(AT122=0,0,(AU122-AT122)/AT122*100)</f>
        <v>0</v>
      </c>
      <c r="BF122" s="1092">
        <f>IF(AU122=0,0,(AV122-AU122)/AU122*100)</f>
        <v>0</v>
      </c>
      <c r="BG122" s="1092">
        <f>IF(AV122=0,0,(AW122-AV122)/AV122*100)</f>
        <v>0</v>
      </c>
      <c r="BH122" s="1092">
        <f>IF(AW122=0,0,(AX122-AW122)/AW122*100)</f>
        <v>0</v>
      </c>
      <c r="BI122" s="1092">
        <f>IF(AX122=0,0,(AY122-AX122)/AX122*100)</f>
        <v>0</v>
      </c>
      <c r="BJ122" s="1092">
        <f>IF(AY122=0,0,(AZ122-AY122)/AY122*100)</f>
        <v>0</v>
      </c>
      <c r="BK122" s="1092">
        <f>IF(AZ122=0,0,(BA122-AZ122)/AZ122*100)</f>
        <v>0</v>
      </c>
      <c r="BL122" s="1092">
        <f>IF(BA122=0,0,(BB122-BA122)/BA122*100)</f>
        <v>0</v>
      </c>
      <c r="BM122" s="1092">
        <f>IF(BB122=0,0,(BC122-BB122)/BB122*100)</f>
        <v>0</v>
      </c>
      <c r="BN122" s="1216"/>
      <c r="BO122" s="1216"/>
      <c r="BP122" s="1216"/>
      <c r="BQ122" s="1256"/>
      <c r="BR122" s="1256"/>
      <c r="BS122" s="1041" t="s">
        <v>1685</v>
      </c>
      <c r="BT122" s="1041"/>
      <c r="BU122" s="1041"/>
      <c r="BV122" s="956"/>
      <c r="BW122" s="956"/>
    </row>
    <row customHeight="1" ht="14.625" hidden="1">
      <c r="A123" s="1256"/>
      <c r="B123" s="836">
        <f>method_reg="Метод обеспечения доходности инвестированного капитала"</f>
        <v>0</v>
      </c>
      <c r="C123" s="73"/>
      <c r="D123" s="73"/>
      <c r="E123" s="596">
        <v>15</v>
      </c>
      <c r="F123" s="50" cm="1" t="str">
        <f t="array" ref="F123:F123">OFFSET(E123,-1,1)</f>
        <v>0</v>
      </c>
      <c r="G123" s="73"/>
      <c r="H123" s="73"/>
      <c r="I123" s="73"/>
      <c r="J123" s="73"/>
      <c r="K123" s="73" t="s">
        <v>325</v>
      </c>
      <c r="L123" s="957"/>
      <c r="M123" s="73"/>
      <c r="N123" s="73"/>
      <c r="O123" s="73"/>
      <c r="P123" s="73"/>
      <c r="Q123" s="73"/>
      <c r="R123" s="73"/>
      <c r="S123" s="73"/>
      <c r="T123" s="836" cm="1" t="str">
        <f t="array" ref="T123:T123">T122</f>
        <v>false</v>
      </c>
      <c r="U123" s="73"/>
      <c r="V123" s="73"/>
      <c r="W123" s="73"/>
      <c r="X123" s="1541"/>
      <c r="Y123" s="1256"/>
      <c r="Z123" s="1494"/>
      <c r="AA123" s="1256"/>
      <c r="AB123" s="770" t="s">
        <v>530</v>
      </c>
      <c r="AC123" s="769" t="s">
        <v>1984</v>
      </c>
      <c r="AD123" s="770" t="s">
        <v>789</v>
      </c>
      <c r="AE123" s="1224"/>
      <c r="AF123" s="1224"/>
      <c r="AG123" s="1224"/>
      <c r="AH123" s="737">
        <f>AG123-AF123</f>
        <v>0</v>
      </c>
      <c r="AI123" s="1224"/>
      <c r="AJ123" s="3597"/>
      <c r="AK123" s="1224"/>
      <c r="AL123" s="1224"/>
      <c r="AM123" s="1224"/>
      <c r="AN123" s="1224"/>
      <c r="AO123" s="1224"/>
      <c r="AP123" s="1224"/>
      <c r="AQ123" s="1224"/>
      <c r="AR123" s="1224"/>
      <c r="AS123" s="1224"/>
      <c r="AT123" s="3597"/>
      <c r="AU123" s="1224"/>
      <c r="AV123" s="1224"/>
      <c r="AW123" s="1224"/>
      <c r="AX123" s="1224"/>
      <c r="AY123" s="1224"/>
      <c r="AZ123" s="1224"/>
      <c r="BA123" s="1224"/>
      <c r="BB123" s="1224"/>
      <c r="BC123" s="1224"/>
      <c r="BD123" s="737">
        <f>IF(AI123=0,0,(AT123-AI123)/AI123*100)</f>
        <v>0</v>
      </c>
      <c r="BE123" s="737">
        <f>IF(AT123=0,0,(AU123-AT123)/AT123*100)</f>
        <v>0</v>
      </c>
      <c r="BF123" s="737">
        <f>IF(AU123=0,0,(AV123-AU123)/AU123*100)</f>
        <v>0</v>
      </c>
      <c r="BG123" s="737">
        <f>IF(AV123=0,0,(AW123-AV123)/AV123*100)</f>
        <v>0</v>
      </c>
      <c r="BH123" s="737">
        <f>IF(AW123=0,0,(AX123-AW123)/AW123*100)</f>
        <v>0</v>
      </c>
      <c r="BI123" s="737">
        <f>IF(AX123=0,0,(AY123-AX123)/AX123*100)</f>
        <v>0</v>
      </c>
      <c r="BJ123" s="737">
        <f>IF(AY123=0,0,(AZ123-AY123)/AY123*100)</f>
        <v>0</v>
      </c>
      <c r="BK123" s="737">
        <f>IF(AZ123=0,0,(BA123-AZ123)/AZ123*100)</f>
        <v>0</v>
      </c>
      <c r="BL123" s="737">
        <f>IF(BA123=0,0,(BB123-BA123)/BA123*100)</f>
        <v>0</v>
      </c>
      <c r="BM123" s="737">
        <f>IF(BB123=0,0,(BC123-BB123)/BB123*100)</f>
        <v>0</v>
      </c>
      <c r="BN123" s="1225"/>
      <c r="BO123" s="1225"/>
      <c r="BP123" s="1225"/>
      <c r="BQ123" s="1256"/>
      <c r="BR123" s="1256"/>
      <c r="BS123" s="1041" t="s">
        <v>1985</v>
      </c>
      <c r="BT123" s="1041"/>
      <c r="BU123" s="1041"/>
      <c r="BV123" s="956"/>
      <c r="BW123" s="956"/>
    </row>
    <row customHeight="1" ht="14.625" hidden="1">
      <c r="A124" s="1256"/>
      <c r="B124" s="836" cm="1" t="str">
        <f t="array" ref="B124:B124">B123</f>
        <v>false</v>
      </c>
      <c r="C124" s="73"/>
      <c r="D124" s="73"/>
      <c r="E124" s="596">
        <v>15</v>
      </c>
      <c r="F124" s="50" cm="1" t="str">
        <f t="array" ref="F124:F124">OFFSET(E124,-1,1)</f>
        <v>0</v>
      </c>
      <c r="G124" s="73"/>
      <c r="H124" s="73"/>
      <c r="I124" s="73"/>
      <c r="J124" s="73"/>
      <c r="K124" s="73" t="s">
        <v>508</v>
      </c>
      <c r="L124" s="957"/>
      <c r="M124" s="73"/>
      <c r="N124" s="73"/>
      <c r="O124" s="73"/>
      <c r="P124" s="73"/>
      <c r="Q124" s="73"/>
      <c r="R124" s="73"/>
      <c r="S124" s="73"/>
      <c r="T124" s="836" cm="1" t="str">
        <f t="array" ref="T124:T124">T123</f>
        <v>false</v>
      </c>
      <c r="U124" s="73"/>
      <c r="V124" s="73"/>
      <c r="W124" s="73"/>
      <c r="X124" s="1541"/>
      <c r="Y124" s="1256"/>
      <c r="Z124" s="1494"/>
      <c r="AA124" s="1256"/>
      <c r="AB124" s="773" t="s">
        <v>646</v>
      </c>
      <c r="AC124" s="772" t="s">
        <v>1986</v>
      </c>
      <c r="AD124" s="773" t="s">
        <v>789</v>
      </c>
      <c r="AE124" s="1226"/>
      <c r="AF124" s="1226"/>
      <c r="AG124" s="1226"/>
      <c r="AH124" s="739"/>
      <c r="AI124" s="1226"/>
      <c r="AJ124" s="3602"/>
      <c r="AK124" s="1226"/>
      <c r="AL124" s="1226"/>
      <c r="AM124" s="1226"/>
      <c r="AN124" s="1226"/>
      <c r="AO124" s="1226"/>
      <c r="AP124" s="1226"/>
      <c r="AQ124" s="1226"/>
      <c r="AR124" s="1226"/>
      <c r="AS124" s="1226"/>
      <c r="AT124" s="3602"/>
      <c r="AU124" s="1226"/>
      <c r="AV124" s="1226"/>
      <c r="AW124" s="1226"/>
      <c r="AX124" s="1226"/>
      <c r="AY124" s="1226"/>
      <c r="AZ124" s="1226"/>
      <c r="BA124" s="1226"/>
      <c r="BB124" s="1226"/>
      <c r="BC124" s="1226"/>
      <c r="BD124" s="739"/>
      <c r="BE124" s="739"/>
      <c r="BF124" s="739"/>
      <c r="BG124" s="739"/>
      <c r="BH124" s="739"/>
      <c r="BI124" s="739"/>
      <c r="BJ124" s="739"/>
      <c r="BK124" s="739"/>
      <c r="BL124" s="739"/>
      <c r="BM124" s="739"/>
      <c r="BN124" s="1227"/>
      <c r="BO124" s="1227"/>
      <c r="BP124" s="1227"/>
      <c r="BQ124" s="1256"/>
      <c r="BR124" s="1256"/>
      <c r="BS124" s="1041" t="s">
        <v>1987</v>
      </c>
      <c r="BT124" s="1041"/>
      <c r="BU124" s="1041"/>
      <c r="BV124" s="956"/>
      <c r="BW124" s="956"/>
    </row>
    <row customHeight="1" ht="14.625" hidden="1">
      <c r="A125" s="1256"/>
      <c r="B125" s="836" cm="1" t="str">
        <f t="array" ref="B125:B125">B124</f>
        <v>false</v>
      </c>
      <c r="C125" s="73"/>
      <c r="D125" s="73"/>
      <c r="E125" s="596">
        <v>15</v>
      </c>
      <c r="F125" s="50" cm="1" t="str">
        <f t="array" ref="F125:F125">OFFSET(E125,-1,1)</f>
        <v>0</v>
      </c>
      <c r="G125" s="73"/>
      <c r="H125" s="73"/>
      <c r="I125" s="73"/>
      <c r="J125" s="73"/>
      <c r="K125" s="73" t="s">
        <v>512</v>
      </c>
      <c r="L125" s="957"/>
      <c r="M125" s="73"/>
      <c r="N125" s="73"/>
      <c r="O125" s="73"/>
      <c r="P125" s="73"/>
      <c r="Q125" s="73"/>
      <c r="R125" s="73"/>
      <c r="S125" s="73"/>
      <c r="T125" s="836" cm="1" t="str">
        <f t="array" ref="T125:T125">T124</f>
        <v>false</v>
      </c>
      <c r="U125" s="73"/>
      <c r="V125" s="73"/>
      <c r="W125" s="73"/>
      <c r="X125" s="1541"/>
      <c r="Y125" s="1256"/>
      <c r="Z125" s="1494"/>
      <c r="AA125" s="1256"/>
      <c r="AB125" s="773" t="s">
        <v>649</v>
      </c>
      <c r="AC125" s="772" t="s">
        <v>1988</v>
      </c>
      <c r="AD125" s="773" t="s">
        <v>1989</v>
      </c>
      <c r="AE125" s="1226"/>
      <c r="AF125" s="1226"/>
      <c r="AG125" s="1226"/>
      <c r="AH125" s="739"/>
      <c r="AI125" s="1226"/>
      <c r="AJ125" s="3602"/>
      <c r="AK125" s="1226"/>
      <c r="AL125" s="1226"/>
      <c r="AM125" s="1226"/>
      <c r="AN125" s="1226"/>
      <c r="AO125" s="1226"/>
      <c r="AP125" s="1226"/>
      <c r="AQ125" s="1226"/>
      <c r="AR125" s="1226"/>
      <c r="AS125" s="1226"/>
      <c r="AT125" s="3602"/>
      <c r="AU125" s="1226"/>
      <c r="AV125" s="1226"/>
      <c r="AW125" s="1226"/>
      <c r="AX125" s="1226"/>
      <c r="AY125" s="1226"/>
      <c r="AZ125" s="1226"/>
      <c r="BA125" s="1226"/>
      <c r="BB125" s="1226"/>
      <c r="BC125" s="1226"/>
      <c r="BD125" s="739"/>
      <c r="BE125" s="739"/>
      <c r="BF125" s="739"/>
      <c r="BG125" s="739"/>
      <c r="BH125" s="739"/>
      <c r="BI125" s="739"/>
      <c r="BJ125" s="739"/>
      <c r="BK125" s="739"/>
      <c r="BL125" s="739"/>
      <c r="BM125" s="739"/>
      <c r="BN125" s="1227"/>
      <c r="BO125" s="1227"/>
      <c r="BP125" s="1227"/>
      <c r="BQ125" s="1256"/>
      <c r="BR125" s="1256"/>
      <c r="BS125" s="1041" t="s">
        <v>1990</v>
      </c>
      <c r="BT125" s="1041"/>
      <c r="BU125" s="1041"/>
      <c r="BV125" s="956"/>
      <c r="BW125" s="956"/>
    </row>
    <row customHeight="1" ht="14.625" hidden="1">
      <c r="A126" s="1256"/>
      <c r="B126" s="836" cm="1" t="str">
        <f t="array" ref="B126:B126">B125</f>
        <v>false</v>
      </c>
      <c r="C126" s="73"/>
      <c r="D126" s="73"/>
      <c r="E126" s="596">
        <v>15</v>
      </c>
      <c r="F126" s="50" cm="1" t="str">
        <f t="array" ref="F126:F126">OFFSET(E126,-1,1)</f>
        <v>0</v>
      </c>
      <c r="G126" s="73"/>
      <c r="H126" s="73"/>
      <c r="I126" s="73"/>
      <c r="J126" s="73"/>
      <c r="K126" s="73" t="s">
        <v>324</v>
      </c>
      <c r="L126" s="957"/>
      <c r="M126" s="73"/>
      <c r="N126" s="73"/>
      <c r="O126" s="73"/>
      <c r="P126" s="73"/>
      <c r="Q126" s="73"/>
      <c r="R126" s="73"/>
      <c r="S126" s="73"/>
      <c r="T126" s="836" cm="1" t="str">
        <f t="array" ref="T126:T126">T125</f>
        <v>false</v>
      </c>
      <c r="U126" s="73"/>
      <c r="V126" s="73"/>
      <c r="W126" s="73"/>
      <c r="X126" s="1541"/>
      <c r="Y126" s="1256"/>
      <c r="Z126" s="1494"/>
      <c r="AA126" s="1256"/>
      <c r="AB126" s="770" t="s">
        <v>485</v>
      </c>
      <c r="AC126" s="769" t="s">
        <v>1991</v>
      </c>
      <c r="AD126" s="770" t="s">
        <v>789</v>
      </c>
      <c r="AE126" s="1224"/>
      <c r="AF126" s="1224"/>
      <c r="AG126" s="1224"/>
      <c r="AH126" s="737">
        <f>AG126-AF126</f>
        <v>0</v>
      </c>
      <c r="AI126" s="1224"/>
      <c r="AJ126" s="3597"/>
      <c r="AK126" s="1224"/>
      <c r="AL126" s="1224"/>
      <c r="AM126" s="1224"/>
      <c r="AN126" s="1224"/>
      <c r="AO126" s="1224"/>
      <c r="AP126" s="1224"/>
      <c r="AQ126" s="1224"/>
      <c r="AR126" s="1224"/>
      <c r="AS126" s="1224"/>
      <c r="AT126" s="3597"/>
      <c r="AU126" s="1224"/>
      <c r="AV126" s="1224"/>
      <c r="AW126" s="1224"/>
      <c r="AX126" s="1224"/>
      <c r="AY126" s="1224"/>
      <c r="AZ126" s="1224"/>
      <c r="BA126" s="1224"/>
      <c r="BB126" s="1224"/>
      <c r="BC126" s="1224"/>
      <c r="BD126" s="737">
        <f>IF(AI126=0,0,(AT126-AI126)/AI126*100)</f>
        <v>0</v>
      </c>
      <c r="BE126" s="737">
        <f>IF(AT126=0,0,(AU126-AT126)/AT126*100)</f>
        <v>0</v>
      </c>
      <c r="BF126" s="737">
        <f>IF(AU126=0,0,(AV126-AU126)/AU126*100)</f>
        <v>0</v>
      </c>
      <c r="BG126" s="737">
        <f>IF(AV126=0,0,(AW126-AV126)/AV126*100)</f>
        <v>0</v>
      </c>
      <c r="BH126" s="737">
        <f>IF(AW126=0,0,(AX126-AW126)/AW126*100)</f>
        <v>0</v>
      </c>
      <c r="BI126" s="737">
        <f>IF(AX126=0,0,(AY126-AX126)/AX126*100)</f>
        <v>0</v>
      </c>
      <c r="BJ126" s="737">
        <f>IF(AY126=0,0,(AZ126-AY126)/AY126*100)</f>
        <v>0</v>
      </c>
      <c r="BK126" s="737">
        <f>IF(AZ126=0,0,(BA126-AZ126)/AZ126*100)</f>
        <v>0</v>
      </c>
      <c r="BL126" s="737">
        <f>IF(BA126=0,0,(BB126-BA126)/BA126*100)</f>
        <v>0</v>
      </c>
      <c r="BM126" s="737">
        <f>IF(BB126=0,0,(BC126-BB126)/BB126*100)</f>
        <v>0</v>
      </c>
      <c r="BN126" s="1225"/>
      <c r="BO126" s="1225"/>
      <c r="BP126" s="1225"/>
      <c r="BQ126" s="1256"/>
      <c r="BR126" s="1256"/>
      <c r="BS126" s="1041" t="s">
        <v>1992</v>
      </c>
      <c r="BT126" s="1041"/>
      <c r="BU126" s="1041"/>
      <c r="BV126" s="956"/>
      <c r="BW126" s="956"/>
    </row>
    <row customHeight="1" ht="14.625" hidden="1">
      <c r="A127" s="1256"/>
      <c r="B127" s="836" cm="1" t="str">
        <f t="array" ref="B127:B127">B126</f>
        <v>false</v>
      </c>
      <c r="C127" s="73"/>
      <c r="D127" s="73"/>
      <c r="E127" s="596">
        <v>15</v>
      </c>
      <c r="F127" s="50" cm="1" t="str">
        <f t="array" ref="F127:F127">OFFSET(E127,-1,1)</f>
        <v>0</v>
      </c>
      <c r="G127" s="73"/>
      <c r="H127" s="73"/>
      <c r="I127" s="73"/>
      <c r="J127" s="73"/>
      <c r="K127" s="73" t="s">
        <v>522</v>
      </c>
      <c r="L127" s="957"/>
      <c r="M127" s="73"/>
      <c r="N127" s="73"/>
      <c r="O127" s="73"/>
      <c r="P127" s="73"/>
      <c r="Q127" s="73"/>
      <c r="R127" s="73"/>
      <c r="S127" s="73"/>
      <c r="T127" s="836" cm="1" t="str">
        <f t="array" ref="T127:T127">T126</f>
        <v>false</v>
      </c>
      <c r="U127" s="73"/>
      <c r="V127" s="73"/>
      <c r="W127" s="73"/>
      <c r="X127" s="1541"/>
      <c r="Y127" s="1256"/>
      <c r="Z127" s="1494"/>
      <c r="AA127" s="1256"/>
      <c r="AB127" s="773" t="s">
        <v>653</v>
      </c>
      <c r="AC127" s="772" t="s">
        <v>1993</v>
      </c>
      <c r="AD127" s="773" t="s">
        <v>789</v>
      </c>
      <c r="AE127" s="1226"/>
      <c r="AF127" s="1226"/>
      <c r="AG127" s="1226"/>
      <c r="AH127" s="739"/>
      <c r="AI127" s="1226"/>
      <c r="AJ127" s="3602"/>
      <c r="AK127" s="1226"/>
      <c r="AL127" s="1226"/>
      <c r="AM127" s="1226"/>
      <c r="AN127" s="1226"/>
      <c r="AO127" s="1226"/>
      <c r="AP127" s="1226"/>
      <c r="AQ127" s="1226"/>
      <c r="AR127" s="1226"/>
      <c r="AS127" s="1226"/>
      <c r="AT127" s="3602"/>
      <c r="AU127" s="1226"/>
      <c r="AV127" s="1226"/>
      <c r="AW127" s="1226"/>
      <c r="AX127" s="1226"/>
      <c r="AY127" s="1226"/>
      <c r="AZ127" s="1226"/>
      <c r="BA127" s="1226"/>
      <c r="BB127" s="1226"/>
      <c r="BC127" s="1226"/>
      <c r="BD127" s="739"/>
      <c r="BE127" s="739"/>
      <c r="BF127" s="739"/>
      <c r="BG127" s="739"/>
      <c r="BH127" s="739"/>
      <c r="BI127" s="739"/>
      <c r="BJ127" s="739"/>
      <c r="BK127" s="739"/>
      <c r="BL127" s="739"/>
      <c r="BM127" s="739"/>
      <c r="BN127" s="1227"/>
      <c r="BO127" s="1227"/>
      <c r="BP127" s="1227"/>
      <c r="BQ127" s="1256"/>
      <c r="BR127" s="1256"/>
      <c r="BS127" s="1041" t="s">
        <v>1994</v>
      </c>
      <c r="BT127" s="1041"/>
      <c r="BU127" s="1041"/>
      <c r="BV127" s="956"/>
      <c r="BW127" s="956"/>
    </row>
    <row customHeight="1" ht="14.625" hidden="1">
      <c r="A128" s="1256"/>
      <c r="B128" s="836" cm="1" t="str">
        <f t="array" ref="B128:B128">B127</f>
        <v>false</v>
      </c>
      <c r="C128" s="73"/>
      <c r="D128" s="73"/>
      <c r="E128" s="596">
        <v>15</v>
      </c>
      <c r="F128" s="50" cm="1" t="str">
        <f t="array" ref="F128:F128">OFFSET(E128,-1,1)</f>
        <v>0</v>
      </c>
      <c r="G128" s="73"/>
      <c r="H128" s="73"/>
      <c r="I128" s="73"/>
      <c r="J128" s="73"/>
      <c r="K128" s="73" t="s">
        <v>526</v>
      </c>
      <c r="L128" s="957"/>
      <c r="M128" s="73"/>
      <c r="N128" s="73"/>
      <c r="O128" s="73"/>
      <c r="P128" s="73"/>
      <c r="Q128" s="73"/>
      <c r="R128" s="73"/>
      <c r="S128" s="73"/>
      <c r="T128" s="836" cm="1" t="str">
        <f t="array" ref="T128:T128">T127</f>
        <v>false</v>
      </c>
      <c r="U128" s="73"/>
      <c r="V128" s="73"/>
      <c r="W128" s="73"/>
      <c r="X128" s="1541"/>
      <c r="Y128" s="1256"/>
      <c r="Z128" s="1494"/>
      <c r="AA128" s="1256"/>
      <c r="AB128" s="773" t="s">
        <v>656</v>
      </c>
      <c r="AC128" s="772" t="s">
        <v>1995</v>
      </c>
      <c r="AD128" s="773" t="s">
        <v>430</v>
      </c>
      <c r="AE128" s="1226"/>
      <c r="AF128" s="1226"/>
      <c r="AG128" s="1226"/>
      <c r="AH128" s="739"/>
      <c r="AI128" s="1226"/>
      <c r="AJ128" s="3602"/>
      <c r="AK128" s="1226"/>
      <c r="AL128" s="1226"/>
      <c r="AM128" s="1226"/>
      <c r="AN128" s="1226"/>
      <c r="AO128" s="1226"/>
      <c r="AP128" s="1226"/>
      <c r="AQ128" s="1226"/>
      <c r="AR128" s="1226"/>
      <c r="AS128" s="1226"/>
      <c r="AT128" s="3602"/>
      <c r="AU128" s="1226"/>
      <c r="AV128" s="1226"/>
      <c r="AW128" s="1226"/>
      <c r="AX128" s="1226"/>
      <c r="AY128" s="1226"/>
      <c r="AZ128" s="1226"/>
      <c r="BA128" s="1226"/>
      <c r="BB128" s="1226"/>
      <c r="BC128" s="1226"/>
      <c r="BD128" s="739"/>
      <c r="BE128" s="739"/>
      <c r="BF128" s="739"/>
      <c r="BG128" s="739"/>
      <c r="BH128" s="739"/>
      <c r="BI128" s="739"/>
      <c r="BJ128" s="739"/>
      <c r="BK128" s="739"/>
      <c r="BL128" s="739"/>
      <c r="BM128" s="739"/>
      <c r="BN128" s="1227"/>
      <c r="BO128" s="1227"/>
      <c r="BP128" s="1227"/>
      <c r="BQ128" s="1256"/>
      <c r="BR128" s="1256"/>
      <c r="BS128" s="1041" t="s">
        <v>1996</v>
      </c>
      <c r="BT128" s="1041"/>
      <c r="BU128" s="1041"/>
      <c r="BV128" s="956"/>
      <c r="BW128" s="956"/>
    </row>
    <row customHeight="1" ht="14.625" hidden="1">
      <c r="A129" s="1256"/>
      <c r="B129" s="836" cm="1" t="str">
        <f t="array" ref="B129:B129">B128</f>
        <v>false</v>
      </c>
      <c r="C129" s="73"/>
      <c r="D129" s="73"/>
      <c r="E129" s="596">
        <v>15</v>
      </c>
      <c r="F129" s="50" cm="1" t="str">
        <f t="array" ref="F129:F129">OFFSET(E129,-1,1)</f>
        <v>0</v>
      </c>
      <c r="G129" s="73"/>
      <c r="H129" s="73"/>
      <c r="I129" s="73"/>
      <c r="J129" s="73"/>
      <c r="K129" s="73" t="s">
        <v>743</v>
      </c>
      <c r="L129" s="957"/>
      <c r="M129" s="73"/>
      <c r="N129" s="73"/>
      <c r="O129" s="73"/>
      <c r="P129" s="73"/>
      <c r="Q129" s="73"/>
      <c r="R129" s="73"/>
      <c r="S129" s="73"/>
      <c r="T129" s="836" cm="1" t="str">
        <f t="array" ref="T129:T129">T128</f>
        <v>false</v>
      </c>
      <c r="U129" s="73"/>
      <c r="V129" s="73"/>
      <c r="W129" s="73"/>
      <c r="X129" s="1541"/>
      <c r="Y129" s="1256"/>
      <c r="Z129" s="1494"/>
      <c r="AA129" s="1256"/>
      <c r="AB129" s="773" t="s">
        <v>899</v>
      </c>
      <c r="AC129" s="772" t="s">
        <v>1997</v>
      </c>
      <c r="AD129" s="773" t="s">
        <v>789</v>
      </c>
      <c r="AE129" s="1226"/>
      <c r="AF129" s="1226"/>
      <c r="AG129" s="1226"/>
      <c r="AH129" s="739"/>
      <c r="AI129" s="1226"/>
      <c r="AJ129" s="3602"/>
      <c r="AK129" s="1226"/>
      <c r="AL129" s="1226"/>
      <c r="AM129" s="1226"/>
      <c r="AN129" s="1226"/>
      <c r="AO129" s="1226"/>
      <c r="AP129" s="1226"/>
      <c r="AQ129" s="1226"/>
      <c r="AR129" s="1226"/>
      <c r="AS129" s="1226"/>
      <c r="AT129" s="3602"/>
      <c r="AU129" s="1226"/>
      <c r="AV129" s="1226"/>
      <c r="AW129" s="1226"/>
      <c r="AX129" s="1226"/>
      <c r="AY129" s="1226"/>
      <c r="AZ129" s="1226"/>
      <c r="BA129" s="1226"/>
      <c r="BB129" s="1226"/>
      <c r="BC129" s="1226"/>
      <c r="BD129" s="739"/>
      <c r="BE129" s="739"/>
      <c r="BF129" s="739"/>
      <c r="BG129" s="739"/>
      <c r="BH129" s="739"/>
      <c r="BI129" s="739"/>
      <c r="BJ129" s="739"/>
      <c r="BK129" s="739"/>
      <c r="BL129" s="739"/>
      <c r="BM129" s="739"/>
      <c r="BN129" s="1227"/>
      <c r="BO129" s="1227"/>
      <c r="BP129" s="1227"/>
      <c r="BQ129" s="1256"/>
      <c r="BR129" s="1256"/>
      <c r="BS129" s="1041" t="s">
        <v>1998</v>
      </c>
      <c r="BT129" s="1041"/>
      <c r="BU129" s="1041"/>
      <c r="BV129" s="956"/>
      <c r="BW129" s="956"/>
    </row>
    <row customHeight="1" ht="14.625" hidden="1">
      <c r="A130" s="1256"/>
      <c r="B130" s="836" cm="1" t="str">
        <f t="array" ref="B130:B130">B129</f>
        <v>false</v>
      </c>
      <c r="C130" s="73"/>
      <c r="D130" s="73"/>
      <c r="E130" s="596">
        <v>15</v>
      </c>
      <c r="F130" s="50" cm="1" t="str">
        <f t="array" ref="F130:F130">OFFSET(E130,-1,1)</f>
        <v>0</v>
      </c>
      <c r="G130" s="73"/>
      <c r="H130" s="73"/>
      <c r="I130" s="73"/>
      <c r="J130" s="73"/>
      <c r="K130" s="73" t="s">
        <v>901</v>
      </c>
      <c r="L130" s="957"/>
      <c r="M130" s="73"/>
      <c r="N130" s="73"/>
      <c r="O130" s="73"/>
      <c r="P130" s="73"/>
      <c r="Q130" s="73"/>
      <c r="R130" s="73"/>
      <c r="S130" s="73"/>
      <c r="T130" s="836" cm="1" t="str">
        <f t="array" ref="T130:T130">T129</f>
        <v>false</v>
      </c>
      <c r="U130" s="73"/>
      <c r="V130" s="73"/>
      <c r="W130" s="73"/>
      <c r="X130" s="1541"/>
      <c r="Y130" s="1256"/>
      <c r="Z130" s="1494"/>
      <c r="AA130" s="1256"/>
      <c r="AB130" s="773" t="s">
        <v>902</v>
      </c>
      <c r="AC130" s="772" t="s">
        <v>1999</v>
      </c>
      <c r="AD130" s="773" t="s">
        <v>789</v>
      </c>
      <c r="AE130" s="1226"/>
      <c r="AF130" s="1226"/>
      <c r="AG130" s="1226"/>
      <c r="AH130" s="739"/>
      <c r="AI130" s="1226"/>
      <c r="AJ130" s="3602"/>
      <c r="AK130" s="1226"/>
      <c r="AL130" s="1226"/>
      <c r="AM130" s="1226"/>
      <c r="AN130" s="1226"/>
      <c r="AO130" s="1226"/>
      <c r="AP130" s="1226"/>
      <c r="AQ130" s="1226"/>
      <c r="AR130" s="1226"/>
      <c r="AS130" s="1226"/>
      <c r="AT130" s="3602"/>
      <c r="AU130" s="1226"/>
      <c r="AV130" s="1226"/>
      <c r="AW130" s="1226"/>
      <c r="AX130" s="1226"/>
      <c r="AY130" s="1226"/>
      <c r="AZ130" s="1226"/>
      <c r="BA130" s="1226"/>
      <c r="BB130" s="1226"/>
      <c r="BC130" s="1226"/>
      <c r="BD130" s="739"/>
      <c r="BE130" s="739"/>
      <c r="BF130" s="739"/>
      <c r="BG130" s="739"/>
      <c r="BH130" s="739"/>
      <c r="BI130" s="739"/>
      <c r="BJ130" s="739"/>
      <c r="BK130" s="739"/>
      <c r="BL130" s="739"/>
      <c r="BM130" s="739"/>
      <c r="BN130" s="1227"/>
      <c r="BO130" s="1227"/>
      <c r="BP130" s="1227"/>
      <c r="BQ130" s="1256"/>
      <c r="BR130" s="1256"/>
      <c r="BS130" s="1041" t="s">
        <v>2000</v>
      </c>
      <c r="BT130" s="1041"/>
      <c r="BU130" s="1041"/>
      <c r="BV130" s="956"/>
      <c r="BW130" s="956"/>
    </row>
    <row customHeight="1" ht="14.625" hidden="1">
      <c r="A131" s="1256"/>
      <c r="B131" s="836" cm="1" t="str">
        <f t="array" ref="B131:B131">B130</f>
        <v>false</v>
      </c>
      <c r="C131" s="73"/>
      <c r="D131" s="73"/>
      <c r="E131" s="596">
        <v>15</v>
      </c>
      <c r="F131" s="50" cm="1" t="str">
        <f t="array" ref="F131:F131">OFFSET(E131,-1,1)</f>
        <v>0</v>
      </c>
      <c r="G131" s="73"/>
      <c r="H131" s="73"/>
      <c r="I131" s="73"/>
      <c r="J131" s="73"/>
      <c r="K131" s="73" t="s">
        <v>2001</v>
      </c>
      <c r="L131" s="957"/>
      <c r="M131" s="73"/>
      <c r="N131" s="73"/>
      <c r="O131" s="73"/>
      <c r="P131" s="73"/>
      <c r="Q131" s="73"/>
      <c r="R131" s="73"/>
      <c r="S131" s="73"/>
      <c r="T131" s="836" cm="1" t="str">
        <f t="array" ref="T131:T131">T130</f>
        <v>false</v>
      </c>
      <c r="U131" s="73"/>
      <c r="V131" s="73"/>
      <c r="W131" s="73"/>
      <c r="X131" s="1541"/>
      <c r="Y131" s="1256"/>
      <c r="Z131" s="1494"/>
      <c r="AA131" s="1256"/>
      <c r="AB131" s="773" t="s">
        <v>2002</v>
      </c>
      <c r="AC131" s="774" t="s">
        <v>2003</v>
      </c>
      <c r="AD131" s="773" t="s">
        <v>430</v>
      </c>
      <c r="AE131" s="1226"/>
      <c r="AF131" s="1226"/>
      <c r="AG131" s="1226"/>
      <c r="AH131" s="739"/>
      <c r="AI131" s="1226"/>
      <c r="AJ131" s="3602"/>
      <c r="AK131" s="1226"/>
      <c r="AL131" s="1226"/>
      <c r="AM131" s="1226"/>
      <c r="AN131" s="1226"/>
      <c r="AO131" s="1226"/>
      <c r="AP131" s="1226"/>
      <c r="AQ131" s="1226"/>
      <c r="AR131" s="1226"/>
      <c r="AS131" s="1226"/>
      <c r="AT131" s="3602"/>
      <c r="AU131" s="1226"/>
      <c r="AV131" s="1226"/>
      <c r="AW131" s="1226"/>
      <c r="AX131" s="1226"/>
      <c r="AY131" s="1226"/>
      <c r="AZ131" s="1226"/>
      <c r="BA131" s="1226"/>
      <c r="BB131" s="1226"/>
      <c r="BC131" s="1226"/>
      <c r="BD131" s="739"/>
      <c r="BE131" s="739"/>
      <c r="BF131" s="739"/>
      <c r="BG131" s="739"/>
      <c r="BH131" s="739"/>
      <c r="BI131" s="739"/>
      <c r="BJ131" s="739"/>
      <c r="BK131" s="739"/>
      <c r="BL131" s="739"/>
      <c r="BM131" s="739"/>
      <c r="BN131" s="1227"/>
      <c r="BO131" s="1227"/>
      <c r="BP131" s="1227"/>
      <c r="BQ131" s="1256"/>
      <c r="BR131" s="1256"/>
      <c r="BS131" s="1041" t="s">
        <v>2004</v>
      </c>
      <c r="BT131" s="1041"/>
      <c r="BU131" s="1041"/>
      <c r="BV131" s="956"/>
      <c r="BW131" s="956"/>
    </row>
    <row customHeight="1" ht="14.625" hidden="1">
      <c r="A132" s="1256"/>
      <c r="B132" s="836" cm="1" t="str">
        <f t="array" ref="B132:B132">B131</f>
        <v>false</v>
      </c>
      <c r="C132" s="73"/>
      <c r="D132" s="73"/>
      <c r="E132" s="596">
        <v>15</v>
      </c>
      <c r="F132" s="50" cm="1" t="str">
        <f t="array" ref="F132:F132">OFFSET(E132,-1,1)</f>
        <v>0</v>
      </c>
      <c r="G132" s="73"/>
      <c r="H132" s="73"/>
      <c r="I132" s="73"/>
      <c r="J132" s="73"/>
      <c r="K132" s="73" t="s">
        <v>904</v>
      </c>
      <c r="L132" s="957"/>
      <c r="M132" s="73"/>
      <c r="N132" s="73"/>
      <c r="O132" s="73"/>
      <c r="P132" s="73"/>
      <c r="Q132" s="73"/>
      <c r="R132" s="73"/>
      <c r="S132" s="73"/>
      <c r="T132" s="836" cm="1" t="str">
        <f t="array" ref="T132:T132">T131</f>
        <v>false</v>
      </c>
      <c r="U132" s="73"/>
      <c r="V132" s="73"/>
      <c r="W132" s="73"/>
      <c r="X132" s="1541"/>
      <c r="Y132" s="1256"/>
      <c r="Z132" s="1494"/>
      <c r="AA132" s="1256"/>
      <c r="AB132" s="773" t="s">
        <v>905</v>
      </c>
      <c r="AC132" s="772" t="s">
        <v>2005</v>
      </c>
      <c r="AD132" s="773" t="s">
        <v>430</v>
      </c>
      <c r="AE132" s="1226"/>
      <c r="AF132" s="1226"/>
      <c r="AG132" s="1226"/>
      <c r="AH132" s="739"/>
      <c r="AI132" s="1226"/>
      <c r="AJ132" s="3602"/>
      <c r="AK132" s="1226"/>
      <c r="AL132" s="1226"/>
      <c r="AM132" s="1226"/>
      <c r="AN132" s="1226"/>
      <c r="AO132" s="1226"/>
      <c r="AP132" s="1226"/>
      <c r="AQ132" s="1226"/>
      <c r="AR132" s="1226"/>
      <c r="AS132" s="1226"/>
      <c r="AT132" s="3602"/>
      <c r="AU132" s="1226"/>
      <c r="AV132" s="1226"/>
      <c r="AW132" s="1226"/>
      <c r="AX132" s="1226"/>
      <c r="AY132" s="1226"/>
      <c r="AZ132" s="1226"/>
      <c r="BA132" s="1226"/>
      <c r="BB132" s="1226"/>
      <c r="BC132" s="1226"/>
      <c r="BD132" s="739"/>
      <c r="BE132" s="739"/>
      <c r="BF132" s="739"/>
      <c r="BG132" s="739"/>
      <c r="BH132" s="739"/>
      <c r="BI132" s="739"/>
      <c r="BJ132" s="739"/>
      <c r="BK132" s="739"/>
      <c r="BL132" s="739"/>
      <c r="BM132" s="739"/>
      <c r="BN132" s="1227"/>
      <c r="BO132" s="1227"/>
      <c r="BP132" s="1227"/>
      <c r="BQ132" s="1256"/>
      <c r="BR132" s="1256"/>
      <c r="BS132" s="1041" t="s">
        <v>2006</v>
      </c>
      <c r="BT132" s="1041"/>
      <c r="BU132" s="1041"/>
      <c r="BV132" s="956"/>
      <c r="BW132" s="956"/>
    </row>
    <row customHeight="1" ht="14.625" hidden="1">
      <c r="A133" s="1256"/>
      <c r="B133" s="836" cm="1" t="str">
        <f t="array" ref="B133:B133">B132</f>
        <v>false</v>
      </c>
      <c r="C133" s="73"/>
      <c r="D133" s="73"/>
      <c r="E133" s="596">
        <v>15</v>
      </c>
      <c r="F133" s="50" cm="1" t="str">
        <f t="array" ref="F133:F133">OFFSET(E133,-1,1)</f>
        <v>0</v>
      </c>
      <c r="G133" s="73"/>
      <c r="H133" s="73"/>
      <c r="I133" s="73"/>
      <c r="J133" s="73"/>
      <c r="K133" s="73" t="s">
        <v>2007</v>
      </c>
      <c r="L133" s="957"/>
      <c r="M133" s="73"/>
      <c r="N133" s="73"/>
      <c r="O133" s="73"/>
      <c r="P133" s="73"/>
      <c r="Q133" s="73"/>
      <c r="R133" s="73"/>
      <c r="S133" s="73"/>
      <c r="T133" s="836" cm="1" t="str">
        <f t="array" ref="T133:T133">T132</f>
        <v>false</v>
      </c>
      <c r="U133" s="73"/>
      <c r="V133" s="73"/>
      <c r="W133" s="73"/>
      <c r="X133" s="1541"/>
      <c r="Y133" s="1256"/>
      <c r="Z133" s="1494"/>
      <c r="AA133" s="1256"/>
      <c r="AB133" s="773" t="s">
        <v>2008</v>
      </c>
      <c r="AC133" s="774" t="s">
        <v>2009</v>
      </c>
      <c r="AD133" s="773" t="s">
        <v>430</v>
      </c>
      <c r="AE133" s="1226"/>
      <c r="AF133" s="1226"/>
      <c r="AG133" s="1226"/>
      <c r="AH133" s="739"/>
      <c r="AI133" s="1226"/>
      <c r="AJ133" s="3602"/>
      <c r="AK133" s="1226"/>
      <c r="AL133" s="1226"/>
      <c r="AM133" s="1226"/>
      <c r="AN133" s="1226"/>
      <c r="AO133" s="1226"/>
      <c r="AP133" s="1226"/>
      <c r="AQ133" s="1226"/>
      <c r="AR133" s="1226"/>
      <c r="AS133" s="1226"/>
      <c r="AT133" s="3602"/>
      <c r="AU133" s="1226"/>
      <c r="AV133" s="1226"/>
      <c r="AW133" s="1226"/>
      <c r="AX133" s="1226"/>
      <c r="AY133" s="1226"/>
      <c r="AZ133" s="1226"/>
      <c r="BA133" s="1226"/>
      <c r="BB133" s="1226"/>
      <c r="BC133" s="1226"/>
      <c r="BD133" s="739"/>
      <c r="BE133" s="739"/>
      <c r="BF133" s="739"/>
      <c r="BG133" s="739"/>
      <c r="BH133" s="739"/>
      <c r="BI133" s="739"/>
      <c r="BJ133" s="739"/>
      <c r="BK133" s="739"/>
      <c r="BL133" s="739"/>
      <c r="BM133" s="739"/>
      <c r="BN133" s="1227"/>
      <c r="BO133" s="1227"/>
      <c r="BP133" s="1227"/>
      <c r="BQ133" s="1256"/>
      <c r="BR133" s="1256"/>
      <c r="BS133" s="1041" t="s">
        <v>2010</v>
      </c>
      <c r="BT133" s="1041"/>
      <c r="BU133" s="1041"/>
      <c r="BV133" s="956"/>
      <c r="BW133" s="956"/>
    </row>
    <row customHeight="1" ht="14.625" hidden="1">
      <c r="A134" s="1256"/>
      <c r="B134" s="836" cm="1" t="str">
        <f t="array" ref="B134:B134">B133</f>
        <v>false</v>
      </c>
      <c r="C134" s="73"/>
      <c r="D134" s="73"/>
      <c r="E134" s="596">
        <v>15</v>
      </c>
      <c r="F134" s="50" cm="1" t="str">
        <f t="array" ref="F134:F134">OFFSET(E134,-1,1)</f>
        <v>0</v>
      </c>
      <c r="G134" s="73"/>
      <c r="H134" s="73"/>
      <c r="I134" s="73"/>
      <c r="J134" s="73"/>
      <c r="K134" s="73" t="s">
        <v>2011</v>
      </c>
      <c r="L134" s="957"/>
      <c r="M134" s="73"/>
      <c r="N134" s="73"/>
      <c r="O134" s="73"/>
      <c r="P134" s="73"/>
      <c r="Q134" s="73"/>
      <c r="R134" s="73"/>
      <c r="S134" s="73"/>
      <c r="T134" s="836" cm="1" t="str">
        <f t="array" ref="T134:T134">T133</f>
        <v>false</v>
      </c>
      <c r="U134" s="73"/>
      <c r="V134" s="73"/>
      <c r="W134" s="73"/>
      <c r="X134" s="1541"/>
      <c r="Y134" s="1256"/>
      <c r="Z134" s="1494"/>
      <c r="AA134" s="1256"/>
      <c r="AB134" s="773" t="s">
        <v>2012</v>
      </c>
      <c r="AC134" s="774" t="s">
        <v>2013</v>
      </c>
      <c r="AD134" s="773" t="s">
        <v>430</v>
      </c>
      <c r="AE134" s="1226"/>
      <c r="AF134" s="1226"/>
      <c r="AG134" s="1226"/>
      <c r="AH134" s="739"/>
      <c r="AI134" s="1226"/>
      <c r="AJ134" s="3602"/>
      <c r="AK134" s="1226"/>
      <c r="AL134" s="1226"/>
      <c r="AM134" s="1226"/>
      <c r="AN134" s="1226"/>
      <c r="AO134" s="1226"/>
      <c r="AP134" s="1226"/>
      <c r="AQ134" s="1226"/>
      <c r="AR134" s="1226"/>
      <c r="AS134" s="1226"/>
      <c r="AT134" s="3602"/>
      <c r="AU134" s="1226"/>
      <c r="AV134" s="1226"/>
      <c r="AW134" s="1226"/>
      <c r="AX134" s="1226"/>
      <c r="AY134" s="1226"/>
      <c r="AZ134" s="1226"/>
      <c r="BA134" s="1226"/>
      <c r="BB134" s="1226"/>
      <c r="BC134" s="1226"/>
      <c r="BD134" s="739"/>
      <c r="BE134" s="739"/>
      <c r="BF134" s="739"/>
      <c r="BG134" s="739"/>
      <c r="BH134" s="739"/>
      <c r="BI134" s="739"/>
      <c r="BJ134" s="739"/>
      <c r="BK134" s="739"/>
      <c r="BL134" s="739"/>
      <c r="BM134" s="739"/>
      <c r="BN134" s="1227"/>
      <c r="BO134" s="1227"/>
      <c r="BP134" s="1227"/>
      <c r="BQ134" s="1256"/>
      <c r="BR134" s="1256"/>
      <c r="BS134" s="1041" t="s">
        <v>2014</v>
      </c>
      <c r="BT134" s="1041"/>
      <c r="BU134" s="1041"/>
      <c r="BV134" s="956"/>
      <c r="BW134" s="956"/>
    </row>
    <row s="676" customFormat="1" customHeight="1" ht="20.475" hidden="1">
      <c r="A135" s="676"/>
      <c r="B135" s="407"/>
      <c r="C135" s="75"/>
      <c r="D135" s="75" t="str">
        <f>IF(B134,"6","7")</f>
        <v>7</v>
      </c>
      <c r="E135" s="802">
        <v>21</v>
      </c>
      <c r="F135" s="50" cm="1" t="str">
        <f t="array" ref="F135:F135">OFFSET(E135,-1,1)</f>
        <v>0</v>
      </c>
      <c r="G135" s="73" t="s">
        <v>2015</v>
      </c>
      <c r="H135" s="73"/>
      <c r="I135" s="350" t="s">
        <v>2016</v>
      </c>
      <c r="J135" s="75"/>
      <c r="K135" s="346" t="s">
        <v>2016</v>
      </c>
      <c r="L135" s="962"/>
      <c r="M135" s="75"/>
      <c r="N135" s="75"/>
      <c r="O135" s="75"/>
      <c r="P135" s="75"/>
      <c r="Q135" s="75"/>
      <c r="R135" s="75"/>
      <c r="S135" s="75"/>
      <c r="T135" s="438" cm="1" t="str">
        <f t="array" ref="T135:T135">T134</f>
        <v>false</v>
      </c>
      <c r="U135" s="75"/>
      <c r="V135" s="75"/>
      <c r="W135" s="75"/>
      <c r="X135" s="1541"/>
      <c r="Y135" s="676"/>
      <c r="Z135" s="1494"/>
      <c r="AA135" s="676"/>
      <c r="AB135" s="177" cm="1" t="str">
        <f t="array" ref="AB135:AB135">D135</f>
        <v>7</v>
      </c>
      <c r="AC135" s="185" t="s">
        <v>1462</v>
      </c>
      <c r="AD135" s="177" t="s">
        <v>789</v>
      </c>
      <c r="AE135" s="1215"/>
      <c r="AF135" s="1215"/>
      <c r="AG135" s="1215"/>
      <c r="AH135" s="754">
        <f>AG135-AF135</f>
        <v>0</v>
      </c>
      <c r="AI135" s="1215"/>
      <c r="AJ135" s="3564">
        <f>_xlfn.SUMIFS('Корректировка НВВ'!$AF$25:$AF$129,'Корректировка НВВ'!$F$25:$F$129,$F135,'Корректировка НВВ'!$I$25:$I$129,$G135)</f>
        <v>0</v>
      </c>
      <c r="AK135" s="1215"/>
      <c r="AL135" s="1215"/>
      <c r="AM135" s="1215"/>
      <c r="AN135" s="1215"/>
      <c r="AO135" s="1215"/>
      <c r="AP135" s="1215"/>
      <c r="AQ135" s="1215"/>
      <c r="AR135" s="1215"/>
      <c r="AS135" s="1215"/>
      <c r="AT135" s="3564">
        <f>_xlfn.SUMIFS('Корректировка НВВ'!$AG$25:$AG$129,'Корректировка НВВ'!$F$25:$F$129,$F135,'Корректировка НВВ'!$I$25:$I$129,$G135)</f>
        <v>0</v>
      </c>
      <c r="AU135" s="1215"/>
      <c r="AV135" s="1215"/>
      <c r="AW135" s="1215"/>
      <c r="AX135" s="1215"/>
      <c r="AY135" s="1215"/>
      <c r="AZ135" s="1215"/>
      <c r="BA135" s="1215"/>
      <c r="BB135" s="1215"/>
      <c r="BC135" s="1215"/>
      <c r="BD135" s="754">
        <f>IF(AI135=0,0,(AT135-AI135)/AI135*100)</f>
        <v>0</v>
      </c>
      <c r="BE135" s="754">
        <f>IF(AT135=0,0,(AU135-AT135)/AT135*100)</f>
        <v>0</v>
      </c>
      <c r="BF135" s="754">
        <f>IF(AU135=0,0,(AV135-AU135)/AU135*100)</f>
        <v>0</v>
      </c>
      <c r="BG135" s="754">
        <f>IF(AV135=0,0,(AW135-AV135)/AV135*100)</f>
        <v>0</v>
      </c>
      <c r="BH135" s="754">
        <f>IF(AW135=0,0,(AX135-AW135)/AW135*100)</f>
        <v>0</v>
      </c>
      <c r="BI135" s="754">
        <f>IF(AX135=0,0,(AY135-AX135)/AX135*100)</f>
        <v>0</v>
      </c>
      <c r="BJ135" s="754">
        <f>IF(AY135=0,0,(AZ135-AY135)/AY135*100)</f>
        <v>0</v>
      </c>
      <c r="BK135" s="754">
        <f>IF(AZ135=0,0,(BA135-AZ135)/AZ135*100)</f>
        <v>0</v>
      </c>
      <c r="BL135" s="754">
        <f>IF(BA135=0,0,(BB135-BA135)/BA135*100)</f>
        <v>0</v>
      </c>
      <c r="BM135" s="754">
        <f>IF(BB135=0,0,(BC135-BB135)/BB135*100)</f>
        <v>0</v>
      </c>
      <c r="BN135" s="1218"/>
      <c r="BO135" s="1220" t="str">
        <f>IF(_xlfn.IFERROR(INDEX('Корректировка НВВ'!$K$26:$L$129,MATCH($F135&amp;"11komm",'Корректировка НВВ'!$K$26:$K$129,0),2),"")=0,"",_xlfn.IFERROR(INDEX('Корректировка НВВ'!$K$26:$L$129,MATCH($F135&amp;"11komm",'Корректировка НВВ'!$K$26:$K$129,0),2),""))</f>
        <v/>
      </c>
      <c r="BP135" s="1218"/>
      <c r="BQ135" s="676"/>
      <c r="BR135" s="676"/>
      <c r="BS135" s="1047" t="s">
        <v>2017</v>
      </c>
      <c r="BT135" s="1047"/>
      <c r="BU135" s="1047"/>
      <c r="BV135" s="683"/>
      <c r="BW135" s="683"/>
    </row>
    <row customHeight="1" ht="14.625" hidden="1">
      <c r="A136" s="1256"/>
      <c r="B136" s="955"/>
      <c r="C136" s="73"/>
      <c r="D136" s="73" cm="1" t="str">
        <f t="array" ref="D136:D136">D135</f>
        <v>7</v>
      </c>
      <c r="E136" s="596">
        <v>15</v>
      </c>
      <c r="F136" s="50" cm="1" t="str">
        <f t="array" ref="F136:F136">OFFSET(E136,-1,1)</f>
        <v>0</v>
      </c>
      <c r="G136" s="73"/>
      <c r="H136" s="73"/>
      <c r="I136" s="73"/>
      <c r="J136" s="73"/>
      <c r="K136" s="1256"/>
      <c r="L136" s="957"/>
      <c r="M136" s="73"/>
      <c r="N136" s="73"/>
      <c r="O136" s="73"/>
      <c r="P136" s="73"/>
      <c r="Q136" s="73"/>
      <c r="R136" s="73"/>
      <c r="S136" s="73"/>
      <c r="T136" s="438" cm="1" t="str">
        <f t="array" ref="T136:T136">T135</f>
        <v>false</v>
      </c>
      <c r="U136" s="73"/>
      <c r="V136" s="73"/>
      <c r="W136" s="73"/>
      <c r="X136" s="1541"/>
      <c r="Y136" s="1256"/>
      <c r="Z136" s="1494"/>
      <c r="AA136" s="1256"/>
      <c r="AB136" s="266"/>
      <c r="AC136" s="424" t="s">
        <v>2018</v>
      </c>
      <c r="AD136" s="266"/>
      <c r="AE136" s="1093"/>
      <c r="AF136" s="1093"/>
      <c r="AG136" s="1093"/>
      <c r="AH136" s="1093"/>
      <c r="AI136" s="1093"/>
      <c r="AJ136" s="1093"/>
      <c r="AK136" s="1093"/>
      <c r="AL136" s="1093"/>
      <c r="AM136" s="1093"/>
      <c r="AN136" s="1093"/>
      <c r="AO136" s="1093"/>
      <c r="AP136" s="1093"/>
      <c r="AQ136" s="1093"/>
      <c r="AR136" s="1093"/>
      <c r="AS136" s="1093"/>
      <c r="AT136" s="1093"/>
      <c r="AU136" s="1093"/>
      <c r="AV136" s="1093"/>
      <c r="AW136" s="1093"/>
      <c r="AX136" s="1093"/>
      <c r="AY136" s="1093"/>
      <c r="AZ136" s="1093"/>
      <c r="BA136" s="1093"/>
      <c r="BB136" s="1093"/>
      <c r="BC136" s="1093"/>
      <c r="BD136" s="1093"/>
      <c r="BE136" s="1093"/>
      <c r="BF136" s="1093"/>
      <c r="BG136" s="1093"/>
      <c r="BH136" s="1093"/>
      <c r="BI136" s="1093"/>
      <c r="BJ136" s="1093"/>
      <c r="BK136" s="1093"/>
      <c r="BL136" s="1093"/>
      <c r="BM136" s="1093"/>
      <c r="BN136" s="1095"/>
      <c r="BO136" s="1095"/>
      <c r="BP136" s="1095"/>
      <c r="BQ136" s="1256"/>
      <c r="BR136" s="1256"/>
      <c r="BS136" s="1041"/>
      <c r="BT136" s="1041"/>
      <c r="BU136" s="1041"/>
      <c r="BV136" s="956"/>
      <c r="BW136" s="956"/>
    </row>
    <row customHeight="1" ht="21.9375" hidden="1">
      <c r="A137" s="1256"/>
      <c r="B137" s="955"/>
      <c r="C137" s="73"/>
      <c r="D137" s="73" cm="1" t="str">
        <f t="array" ref="D137:D137">D136</f>
        <v>7</v>
      </c>
      <c r="E137" s="596">
        <v>22.5</v>
      </c>
      <c r="F137" s="50" cm="1" t="str">
        <f t="array" ref="F137:F137">OFFSET(E137,-1,1)</f>
        <v>0</v>
      </c>
      <c r="G137" s="73" t="s">
        <v>364</v>
      </c>
      <c r="H137" s="73"/>
      <c r="I137" s="73" t="s">
        <v>488</v>
      </c>
      <c r="J137" s="73"/>
      <c r="K137" s="124" t="s">
        <v>488</v>
      </c>
      <c r="L137" s="957"/>
      <c r="M137" s="73"/>
      <c r="N137" s="73"/>
      <c r="O137" s="73"/>
      <c r="P137" s="73"/>
      <c r="Q137" s="73"/>
      <c r="R137" s="73"/>
      <c r="S137" s="73"/>
      <c r="T137" s="438" cm="1" t="str">
        <f t="array" ref="T137:T137">T136</f>
        <v>false</v>
      </c>
      <c r="U137" s="73"/>
      <c r="V137" s="73"/>
      <c r="W137" s="73"/>
      <c r="X137" s="1541"/>
      <c r="Y137" s="1256"/>
      <c r="Z137" s="1494"/>
      <c r="AA137" s="1256"/>
      <c r="AB137" s="266" t="str">
        <f>D137&amp;".1"</f>
        <v>7.1</v>
      </c>
      <c r="AC137" s="738" t="s">
        <v>2019</v>
      </c>
      <c r="AD137" s="266" t="s">
        <v>789</v>
      </c>
      <c r="AE137" s="1219"/>
      <c r="AF137" s="1219"/>
      <c r="AG137" s="1219"/>
      <c r="AH137" s="1092">
        <f>AG137-AF137</f>
        <v>0</v>
      </c>
      <c r="AI137" s="1219"/>
      <c r="AJ137" s="3564">
        <f>_xlfn.SUMIFS('Корректировка НВВ'!$AF$25:$AF$129,'Корректировка НВВ'!$F$25:$F$129,$F137,'Корректировка НВВ'!$I$25:$I$129,$G137)</f>
        <v>0</v>
      </c>
      <c r="AK137" s="1219"/>
      <c r="AL137" s="1219"/>
      <c r="AM137" s="1219"/>
      <c r="AN137" s="1219"/>
      <c r="AO137" s="1219"/>
      <c r="AP137" s="1219"/>
      <c r="AQ137" s="1219"/>
      <c r="AR137" s="1219"/>
      <c r="AS137" s="1219"/>
      <c r="AT137" s="3564">
        <f>_xlfn.SUMIFS('Корректировка НВВ'!$AG$25:$AG$129,'Корректировка НВВ'!$F$25:$F$129,$F137,'Корректировка НВВ'!$I$25:$I$129,$G137)</f>
        <v>0</v>
      </c>
      <c r="AU137" s="1219"/>
      <c r="AV137" s="1219"/>
      <c r="AW137" s="1219"/>
      <c r="AX137" s="1219"/>
      <c r="AY137" s="1219"/>
      <c r="AZ137" s="1219"/>
      <c r="BA137" s="1219"/>
      <c r="BB137" s="1219"/>
      <c r="BC137" s="1219"/>
      <c r="BD137" s="1093"/>
      <c r="BE137" s="1093"/>
      <c r="BF137" s="1093"/>
      <c r="BG137" s="1093"/>
      <c r="BH137" s="1093"/>
      <c r="BI137" s="1093"/>
      <c r="BJ137" s="1093"/>
      <c r="BK137" s="1093"/>
      <c r="BL137" s="1093"/>
      <c r="BM137" s="1093"/>
      <c r="BN137" s="1216"/>
      <c r="BO137" s="1220" t="str">
        <f>IF(_xlfn.IFERROR(INDEX('Корректировка НВВ'!$K$26:$L$129,MATCH($F137&amp;"1komm",'Корректировка НВВ'!$K$26:$K$129,0),2),"")=0,"",_xlfn.IFERROR(INDEX('Корректировка НВВ'!$K$26:$L$129,MATCH($F137&amp;"1komm",'Корректировка НВВ'!$K$26:$K$129,0),2),""))</f>
        <v/>
      </c>
      <c r="BP137" s="1216"/>
      <c r="BQ137" s="1256"/>
      <c r="BR137" s="1256"/>
      <c r="BS137" s="1041" t="s">
        <v>2020</v>
      </c>
      <c r="BT137" s="1041"/>
      <c r="BU137" s="1041"/>
      <c r="BV137" s="956"/>
      <c r="BW137" s="956"/>
    </row>
    <row customHeight="1" ht="98.71875" hidden="1">
      <c r="A138" s="1256"/>
      <c r="B138" s="955"/>
      <c r="C138" s="73"/>
      <c r="D138" s="73" cm="1" t="str">
        <f t="array" ref="D138:D138">D137</f>
        <v>7</v>
      </c>
      <c r="E138" s="596">
        <v>101.25</v>
      </c>
      <c r="F138" s="50" cm="1" t="str">
        <f t="array" ref="F138:F138">OFFSET(E138,-1,1)</f>
        <v>0</v>
      </c>
      <c r="G138" s="73" t="s">
        <v>2021</v>
      </c>
      <c r="H138" s="73"/>
      <c r="I138" s="73" t="s">
        <v>535</v>
      </c>
      <c r="J138" s="73"/>
      <c r="K138" s="124" t="s">
        <v>535</v>
      </c>
      <c r="L138" s="957"/>
      <c r="M138" s="73"/>
      <c r="N138" s="73"/>
      <c r="O138" s="73"/>
      <c r="P138" s="73"/>
      <c r="Q138" s="73"/>
      <c r="R138" s="73"/>
      <c r="S138" s="73"/>
      <c r="T138" s="438" cm="1" t="str">
        <f t="array" ref="T138:T138">T137</f>
        <v>false</v>
      </c>
      <c r="U138" s="73"/>
      <c r="V138" s="73"/>
      <c r="W138" s="73"/>
      <c r="X138" s="1541"/>
      <c r="Y138" s="1256"/>
      <c r="Z138" s="1494"/>
      <c r="AA138" s="1256"/>
      <c r="AB138" s="266" t="str">
        <f>D138&amp;".2"</f>
        <v>7.2</v>
      </c>
      <c r="AC138" s="738" t="s">
        <v>2022</v>
      </c>
      <c r="AD138" s="266" t="s">
        <v>789</v>
      </c>
      <c r="AE138" s="1219"/>
      <c r="AF138" s="1219"/>
      <c r="AG138" s="1219"/>
      <c r="AH138" s="1092">
        <f>AG138-AF138</f>
        <v>0</v>
      </c>
      <c r="AI138" s="1219"/>
      <c r="AJ138" s="3564">
        <f>_xlfn.SUMIFS('Корректировка НВВ'!$AF$25:$AF$129,'Корректировка НВВ'!$F$25:$F$129,$F138,'Корректировка НВВ'!$I$25:$I$129,$G138)</f>
        <v>0</v>
      </c>
      <c r="AK138" s="1219"/>
      <c r="AL138" s="1219"/>
      <c r="AM138" s="1219"/>
      <c r="AN138" s="1219"/>
      <c r="AO138" s="1219"/>
      <c r="AP138" s="1219"/>
      <c r="AQ138" s="1219"/>
      <c r="AR138" s="1219"/>
      <c r="AS138" s="1219"/>
      <c r="AT138" s="3564">
        <f>_xlfn.SUMIFS('Корректировка НВВ'!$AG$25:$AG$129,'Корректировка НВВ'!$F$25:$F$129,$F138,'Корректировка НВВ'!$I$25:$I$129,$G138)</f>
        <v>0</v>
      </c>
      <c r="AU138" s="1219"/>
      <c r="AV138" s="1219"/>
      <c r="AW138" s="1219"/>
      <c r="AX138" s="1219"/>
      <c r="AY138" s="1219"/>
      <c r="AZ138" s="1219"/>
      <c r="BA138" s="1219"/>
      <c r="BB138" s="1219"/>
      <c r="BC138" s="1219"/>
      <c r="BD138" s="1093"/>
      <c r="BE138" s="1093"/>
      <c r="BF138" s="1093"/>
      <c r="BG138" s="1093"/>
      <c r="BH138" s="1093"/>
      <c r="BI138" s="1093"/>
      <c r="BJ138" s="1093"/>
      <c r="BK138" s="1093"/>
      <c r="BL138" s="1093"/>
      <c r="BM138" s="1093"/>
      <c r="BN138" s="1216"/>
      <c r="BO138" s="1220" t="str">
        <f>IF(_xlfn.IFERROR(INDEX('Корректировка НВВ'!$K$26:$L$129,MATCH($F138&amp;"2komm",'Корректировка НВВ'!$K$26:$K$129,0),2),"")=0,"",_xlfn.IFERROR(INDEX('Корректировка НВВ'!$K$26:$L$129,MATCH($F138&amp;"2komm",'Корректировка НВВ'!$K$26:$K$129,0),2),""))</f>
        <v/>
      </c>
      <c r="BP138" s="1216"/>
      <c r="BQ138" s="1256"/>
      <c r="BR138" s="1256"/>
      <c r="BS138" s="1041" t="s">
        <v>2023</v>
      </c>
      <c r="BT138" s="1041"/>
      <c r="BU138" s="1041"/>
      <c r="BV138" s="956"/>
      <c r="BW138" s="956"/>
    </row>
    <row customHeight="1" ht="43.875" hidden="1">
      <c r="A139" s="1256"/>
      <c r="B139" s="955"/>
      <c r="C139" s="73"/>
      <c r="D139" s="73" cm="1" t="str">
        <f t="array" ref="D139:D139">D138</f>
        <v>7</v>
      </c>
      <c r="E139" s="596">
        <v>45</v>
      </c>
      <c r="F139" s="50" cm="1" t="str">
        <f t="array" ref="F139:F139">OFFSET(E139,-1,1)</f>
        <v>0</v>
      </c>
      <c r="G139" s="73"/>
      <c r="H139" s="73"/>
      <c r="I139" s="73" t="s">
        <v>550</v>
      </c>
      <c r="J139" s="73"/>
      <c r="K139" s="124" t="s">
        <v>550</v>
      </c>
      <c r="L139" s="957"/>
      <c r="M139" s="73"/>
      <c r="N139" s="73"/>
      <c r="O139" s="73"/>
      <c r="P139" s="73"/>
      <c r="Q139" s="73"/>
      <c r="R139" s="73"/>
      <c r="S139" s="73"/>
      <c r="T139" s="438" cm="1" t="str">
        <f t="array" ref="T139:T139">T138</f>
        <v>false</v>
      </c>
      <c r="U139" s="73"/>
      <c r="V139" s="73"/>
      <c r="W139" s="73"/>
      <c r="X139" s="1541"/>
      <c r="Y139" s="1256"/>
      <c r="Z139" s="1494"/>
      <c r="AA139" s="1256"/>
      <c r="AB139" s="266" t="str">
        <f>D139&amp;".3"</f>
        <v>7.3</v>
      </c>
      <c r="AC139" s="738" t="s">
        <v>2024</v>
      </c>
      <c r="AD139" s="266" t="s">
        <v>789</v>
      </c>
      <c r="AE139" s="1219"/>
      <c r="AF139" s="1219"/>
      <c r="AG139" s="1219"/>
      <c r="AH139" s="1092">
        <f>AG139-AF139</f>
        <v>0</v>
      </c>
      <c r="AI139" s="1219"/>
      <c r="AJ139" s="3564">
        <f>_xlfn.SUMIFS('Корректировка НВВ'!$AF$25:$AF$129,'Корректировка НВВ'!$F$25:$F$129,$F139,'Корректировка НВВ'!$I$25:$I$129,"L1")+_xlfn.SUMIFS('Корректировка НВВ'!$AF$25:$AF$129,'Корректировка НВВ'!$F$25:$F$129,$F139,'Корректировка НВВ'!$I$25:$I$129,"L2")</f>
        <v>0</v>
      </c>
      <c r="AK139" s="1219"/>
      <c r="AL139" s="1219"/>
      <c r="AM139" s="1219"/>
      <c r="AN139" s="1219"/>
      <c r="AO139" s="1219"/>
      <c r="AP139" s="1219"/>
      <c r="AQ139" s="1219"/>
      <c r="AR139" s="1219"/>
      <c r="AS139" s="1219"/>
      <c r="AT139" s="3564">
        <f>_xlfn.SUMIFS('Корректировка НВВ'!$AG$25:$AG$129,'Корректировка НВВ'!$F$25:$F$129,$F139,'Корректировка НВВ'!$I$25:$I$129,"L1")+_xlfn.SUMIFS('Корректировка НВВ'!$AF$25:$AF$129,'Корректировка НВВ'!$F$25:$F$129,$F139,'Корректировка НВВ'!$I$25:$I$129,"L2")</f>
        <v>0</v>
      </c>
      <c r="AU139" s="1219"/>
      <c r="AV139" s="1219"/>
      <c r="AW139" s="1219"/>
      <c r="AX139" s="1219"/>
      <c r="AY139" s="1219"/>
      <c r="AZ139" s="1219"/>
      <c r="BA139" s="1219"/>
      <c r="BB139" s="1219"/>
      <c r="BC139" s="1219"/>
      <c r="BD139" s="1093"/>
      <c r="BE139" s="1093"/>
      <c r="BF139" s="1093"/>
      <c r="BG139" s="1093"/>
      <c r="BH139" s="1093"/>
      <c r="BI139" s="1093"/>
      <c r="BJ139" s="1093"/>
      <c r="BK139" s="1093"/>
      <c r="BL139" s="1093"/>
      <c r="BM139" s="1093"/>
      <c r="BN139" s="1216"/>
      <c r="BO139" s="1220"/>
      <c r="BP139" s="1216"/>
      <c r="BQ139" s="1256"/>
      <c r="BR139" s="1256"/>
      <c r="BS139" s="1041" t="s">
        <v>2025</v>
      </c>
      <c r="BT139" s="1041"/>
      <c r="BU139" s="1041"/>
      <c r="BV139" s="956"/>
      <c r="BW139" s="956"/>
    </row>
    <row customHeight="1" ht="87.75" hidden="1">
      <c r="A140" s="1256"/>
      <c r="B140" s="417">
        <f>S27="Водоотведение"</f>
        <v>0</v>
      </c>
      <c r="C140" s="73"/>
      <c r="D140" s="73" cm="1" t="str">
        <f t="array" ref="D140:D140">D139</f>
        <v>7</v>
      </c>
      <c r="E140" s="596">
        <v>90</v>
      </c>
      <c r="F140" s="50" cm="1" t="str">
        <f t="array" ref="F140:F140">OFFSET(E140,-1,1)</f>
        <v>0</v>
      </c>
      <c r="G140" s="73" t="s">
        <v>2026</v>
      </c>
      <c r="H140" s="824"/>
      <c r="I140" s="73" t="s">
        <v>719</v>
      </c>
      <c r="J140" s="73"/>
      <c r="K140" s="124" t="s">
        <v>719</v>
      </c>
      <c r="L140" s="957" t="s">
        <v>716</v>
      </c>
      <c r="M140" s="73"/>
      <c r="N140" s="73"/>
      <c r="O140" s="73"/>
      <c r="P140" s="73"/>
      <c r="Q140" s="73"/>
      <c r="R140" s="73"/>
      <c r="S140" s="73"/>
      <c r="T140" s="438" cm="1" t="str">
        <f t="array" ref="T140:T140">T139</f>
        <v>false</v>
      </c>
      <c r="U140" s="73"/>
      <c r="V140" s="73"/>
      <c r="W140" s="73"/>
      <c r="X140" s="1541"/>
      <c r="Y140" s="1256"/>
      <c r="Z140" s="1494"/>
      <c r="AA140" s="1256"/>
      <c r="AB140" s="266" t="str">
        <f>D140&amp;".4"</f>
        <v>7.4</v>
      </c>
      <c r="AC140" s="738" t="s">
        <v>1687</v>
      </c>
      <c r="AD140" s="742" t="s">
        <v>789</v>
      </c>
      <c r="AE140" s="1219"/>
      <c r="AF140" s="1219"/>
      <c r="AG140" s="1219"/>
      <c r="AH140" s="1092">
        <f>AG140-AF140</f>
        <v>0</v>
      </c>
      <c r="AI140" s="1219"/>
      <c r="AJ140" s="3564">
        <f>_xlfn.SUMIFS('Корректировка НВВ'!$AF$25:$AF$129,'Корректировка НВВ'!$F$25:$F$129,$F140,'Корректировка НВВ'!$I$25:$I$129,$G140)</f>
        <v>0</v>
      </c>
      <c r="AK140" s="1219"/>
      <c r="AL140" s="1219"/>
      <c r="AM140" s="1219"/>
      <c r="AN140" s="1219"/>
      <c r="AO140" s="1219"/>
      <c r="AP140" s="1219"/>
      <c r="AQ140" s="1219"/>
      <c r="AR140" s="1219"/>
      <c r="AS140" s="1219"/>
      <c r="AT140" s="3564">
        <f>_xlfn.SUMIFS('Корректировка НВВ'!$AG$25:$AG$129,'Корректировка НВВ'!$F$25:$F$129,$F140,'Корректировка НВВ'!$I$25:$I$129,$G140)</f>
        <v>0</v>
      </c>
      <c r="AU140" s="1219"/>
      <c r="AV140" s="1219"/>
      <c r="AW140" s="1219"/>
      <c r="AX140" s="1219"/>
      <c r="AY140" s="1219"/>
      <c r="AZ140" s="1219"/>
      <c r="BA140" s="1219"/>
      <c r="BB140" s="1219"/>
      <c r="BC140" s="1219"/>
      <c r="BD140" s="1093"/>
      <c r="BE140" s="1093"/>
      <c r="BF140" s="1093"/>
      <c r="BG140" s="1093"/>
      <c r="BH140" s="1093"/>
      <c r="BI140" s="1093"/>
      <c r="BJ140" s="1093"/>
      <c r="BK140" s="1093"/>
      <c r="BL140" s="1093"/>
      <c r="BM140" s="1093"/>
      <c r="BN140" s="1216"/>
      <c r="BO140" s="1220" t="str">
        <f>IF(_xlfn.IFERROR(INDEX('Корректировка НВВ'!$K$26:$L$129,MATCH($F140&amp;"3komm",'Корректировка НВВ'!$K$26:$K$129,0),2),"")=0,"",_xlfn.IFERROR(INDEX('Корректировка НВВ'!$K$26:$L$129,MATCH($F140&amp;"3komm",'Корректировка НВВ'!$K$26:$K$129,0),2),""))</f>
        <v/>
      </c>
      <c r="BP140" s="1216"/>
      <c r="BQ140" s="1256"/>
      <c r="BR140" s="1256"/>
      <c r="BS140" s="1041" t="s">
        <v>1238</v>
      </c>
      <c r="BT140" s="1041"/>
      <c r="BU140" s="1041"/>
      <c r="BV140" s="956"/>
      <c r="BW140" s="956"/>
    </row>
    <row customHeight="1" ht="54.84375" hidden="1">
      <c r="A141" s="1256"/>
      <c r="B141" s="417" cm="1" t="str">
        <f t="array" ref="B141:B141">B140</f>
        <v>false</v>
      </c>
      <c r="C141" s="73"/>
      <c r="D141" s="73" cm="1" t="str">
        <f t="array" ref="D141:D141">D140</f>
        <v>7</v>
      </c>
      <c r="E141" s="596">
        <v>56.25</v>
      </c>
      <c r="F141" s="50" cm="1" t="str">
        <f t="array" ref="F141:F141">OFFSET(E141,-1,1)</f>
        <v>0</v>
      </c>
      <c r="G141" s="73" t="s">
        <v>2027</v>
      </c>
      <c r="H141" s="824"/>
      <c r="I141" s="73" t="s">
        <v>754</v>
      </c>
      <c r="J141" s="73"/>
      <c r="K141" s="124" t="s">
        <v>754</v>
      </c>
      <c r="L141" s="957" t="s">
        <v>719</v>
      </c>
      <c r="M141" s="73"/>
      <c r="N141" s="73"/>
      <c r="O141" s="73"/>
      <c r="P141" s="73"/>
      <c r="Q141" s="73"/>
      <c r="R141" s="73"/>
      <c r="S141" s="73"/>
      <c r="T141" s="438" cm="1" t="str">
        <f t="array" ref="T141:T141">T140</f>
        <v>false</v>
      </c>
      <c r="U141" s="73"/>
      <c r="V141" s="73"/>
      <c r="W141" s="73"/>
      <c r="X141" s="1541"/>
      <c r="Y141" s="1256"/>
      <c r="Z141" s="1494"/>
      <c r="AA141" s="1256"/>
      <c r="AB141" s="266" t="str">
        <f>D141&amp;".5"</f>
        <v>7.5</v>
      </c>
      <c r="AC141" s="738" t="s">
        <v>1689</v>
      </c>
      <c r="AD141" s="742" t="s">
        <v>789</v>
      </c>
      <c r="AE141" s="1219"/>
      <c r="AF141" s="1219"/>
      <c r="AG141" s="1219"/>
      <c r="AH141" s="1092">
        <f>AG141-AF141</f>
        <v>0</v>
      </c>
      <c r="AI141" s="1219"/>
      <c r="AJ141" s="3564">
        <f>_xlfn.SUMIFS('Корректировка НВВ'!$AF$25:$AF$129,'Корректировка НВВ'!$F$25:$F$129,$F141,'Корректировка НВВ'!$I$25:$I$129,$G141)</f>
        <v>0</v>
      </c>
      <c r="AK141" s="1219"/>
      <c r="AL141" s="1219"/>
      <c r="AM141" s="1219"/>
      <c r="AN141" s="1219"/>
      <c r="AO141" s="1219"/>
      <c r="AP141" s="1219"/>
      <c r="AQ141" s="1219"/>
      <c r="AR141" s="1219"/>
      <c r="AS141" s="1219"/>
      <c r="AT141" s="3564">
        <f>_xlfn.SUMIFS('Корректировка НВВ'!$AG$25:$AG$129,'Корректировка НВВ'!$F$25:$F$129,$F141,'Корректировка НВВ'!$I$25:$I$129,$G141)</f>
        <v>0</v>
      </c>
      <c r="AU141" s="1219"/>
      <c r="AV141" s="1219"/>
      <c r="AW141" s="1219"/>
      <c r="AX141" s="1219"/>
      <c r="AY141" s="1219"/>
      <c r="AZ141" s="1219"/>
      <c r="BA141" s="1219"/>
      <c r="BB141" s="1219"/>
      <c r="BC141" s="1219"/>
      <c r="BD141" s="1093"/>
      <c r="BE141" s="1093"/>
      <c r="BF141" s="1093"/>
      <c r="BG141" s="1093"/>
      <c r="BH141" s="1093"/>
      <c r="BI141" s="1093"/>
      <c r="BJ141" s="1093"/>
      <c r="BK141" s="1093"/>
      <c r="BL141" s="1093"/>
      <c r="BM141" s="1093"/>
      <c r="BN141" s="1216"/>
      <c r="BO141" s="1220" t="str">
        <f>IF(_xlfn.IFERROR(INDEX('Корректировка НВВ'!$K$26:$L$129,MATCH($F141&amp;"4komm",'Корректировка НВВ'!$K$26:$K$129,0),2),"")=0,"",_xlfn.IFERROR(INDEX('Корректировка НВВ'!$K$26:$L$129,MATCH($F141&amp;"4komm",'Корректировка НВВ'!$K$26:$K$129,0),2),""))</f>
        <v/>
      </c>
      <c r="BP141" s="1216"/>
      <c r="BQ141" s="1256"/>
      <c r="BR141" s="1256"/>
      <c r="BS141" s="1041" t="s">
        <v>1242</v>
      </c>
      <c r="BT141" s="1041"/>
      <c r="BU141" s="1041"/>
      <c r="BV141" s="956"/>
      <c r="BW141" s="956"/>
    </row>
    <row customHeight="1" ht="14.625" hidden="1">
      <c r="A142" s="1256"/>
      <c r="B142" s="399"/>
      <c r="C142" s="73"/>
      <c r="D142" s="73" cm="1" t="str">
        <f t="array" ref="D142:D142">D141</f>
        <v>7</v>
      </c>
      <c r="E142" s="596">
        <v>15</v>
      </c>
      <c r="F142" s="50" cm="1" t="str">
        <f t="array" ref="F142:F142">OFFSET(E142,-1,1)</f>
        <v>0</v>
      </c>
      <c r="G142" s="73" t="s">
        <v>2028</v>
      </c>
      <c r="H142" s="73"/>
      <c r="I142" s="73" t="s">
        <v>755</v>
      </c>
      <c r="J142" s="73"/>
      <c r="K142" s="124" t="s">
        <v>755</v>
      </c>
      <c r="L142" s="957" t="s">
        <v>754</v>
      </c>
      <c r="M142" s="73"/>
      <c r="N142" s="73"/>
      <c r="O142" s="73"/>
      <c r="P142" s="73"/>
      <c r="Q142" s="73"/>
      <c r="R142" s="73"/>
      <c r="S142" s="73"/>
      <c r="T142" s="438" cm="1" t="str">
        <f t="array" ref="T142:T142">T141</f>
        <v>false</v>
      </c>
      <c r="U142" s="73"/>
      <c r="V142" s="73"/>
      <c r="W142" s="73"/>
      <c r="X142" s="1541"/>
      <c r="Y142" s="1256"/>
      <c r="Z142" s="1494"/>
      <c r="AA142" s="1256"/>
      <c r="AB142" s="266" t="str">
        <f>IF(B141,D142&amp;".6",D142&amp;".4")</f>
        <v>7.4</v>
      </c>
      <c r="AC142" s="738" t="s">
        <v>1455</v>
      </c>
      <c r="AD142" s="266" t="s">
        <v>789</v>
      </c>
      <c r="AE142" s="1219"/>
      <c r="AF142" s="1219"/>
      <c r="AG142" s="1219"/>
      <c r="AH142" s="1092">
        <f>AG142-AF142</f>
        <v>0</v>
      </c>
      <c r="AI142" s="1219"/>
      <c r="AJ142" s="3564">
        <f>_xlfn.SUMIFS('Корректировка НВВ'!$AF$25:$AF$129,'Корректировка НВВ'!$F$25:$F$129,$F142,'Корректировка НВВ'!$I$25:$I$129,$G142)</f>
        <v>0</v>
      </c>
      <c r="AK142" s="1219"/>
      <c r="AL142" s="1219"/>
      <c r="AM142" s="1219"/>
      <c r="AN142" s="1219"/>
      <c r="AO142" s="1219"/>
      <c r="AP142" s="1219"/>
      <c r="AQ142" s="1219"/>
      <c r="AR142" s="1219"/>
      <c r="AS142" s="1219"/>
      <c r="AT142" s="3564">
        <f>_xlfn.SUMIFS('Корректировка НВВ'!$AG$25:$AG$129,'Корректировка НВВ'!$F$25:$F$129,$F142,'Корректировка НВВ'!$I$25:$I$129,$G142)</f>
        <v>0</v>
      </c>
      <c r="AU142" s="1219"/>
      <c r="AV142" s="1219"/>
      <c r="AW142" s="1219"/>
      <c r="AX142" s="1219"/>
      <c r="AY142" s="1219"/>
      <c r="AZ142" s="1219"/>
      <c r="BA142" s="1219"/>
      <c r="BB142" s="1219"/>
      <c r="BC142" s="1219"/>
      <c r="BD142" s="1093"/>
      <c r="BE142" s="1093"/>
      <c r="BF142" s="1093"/>
      <c r="BG142" s="1093"/>
      <c r="BH142" s="1093"/>
      <c r="BI142" s="1093"/>
      <c r="BJ142" s="1093"/>
      <c r="BK142" s="1093"/>
      <c r="BL142" s="1093"/>
      <c r="BM142" s="1093"/>
      <c r="BN142" s="1216"/>
      <c r="BO142" s="1220" t="str">
        <f>IF(_xlfn.IFERROR(INDEX('Корректировка НВВ'!$K$26:$L$129,MATCH($F142&amp;"5komm",'Корректировка НВВ'!$K$26:$K$129,0),2),"")=0,"",_xlfn.IFERROR(INDEX('Корректировка НВВ'!$K$26:$L$129,MATCH($F142&amp;"5komm",'Корректировка НВВ'!$K$26:$K$129,0),2),""))</f>
        <v/>
      </c>
      <c r="BP142" s="1216"/>
      <c r="BQ142" s="1256"/>
      <c r="BR142" s="1256"/>
      <c r="BS142" s="1041" t="s">
        <v>2029</v>
      </c>
      <c r="BT142" s="1041"/>
      <c r="BU142" s="1041"/>
      <c r="BV142" s="956"/>
      <c r="BW142" s="956"/>
    </row>
    <row customHeight="1" ht="14.625" hidden="1">
      <c r="A143" s="1256"/>
      <c r="B143" s="955"/>
      <c r="C143" s="73"/>
      <c r="D143" s="73" cm="1" t="str">
        <f t="array" ref="D143:D143">D142</f>
        <v>7</v>
      </c>
      <c r="E143" s="596">
        <v>15</v>
      </c>
      <c r="F143" s="50" cm="1" t="str">
        <f t="array" ref="F143:F143">OFFSET(E143,-1,1)</f>
        <v>0</v>
      </c>
      <c r="G143" s="73" t="s">
        <v>2030</v>
      </c>
      <c r="H143" s="73"/>
      <c r="I143" s="73" t="s">
        <v>1699</v>
      </c>
      <c r="J143" s="73"/>
      <c r="K143" s="124" t="s">
        <v>1699</v>
      </c>
      <c r="L143" s="957" t="s">
        <v>755</v>
      </c>
      <c r="M143" s="73"/>
      <c r="N143" s="73"/>
      <c r="O143" s="73"/>
      <c r="P143" s="73"/>
      <c r="Q143" s="73"/>
      <c r="R143" s="73"/>
      <c r="S143" s="73"/>
      <c r="T143" s="438" cm="1" t="str">
        <f t="array" ref="T143:T143">T142</f>
        <v>false</v>
      </c>
      <c r="U143" s="73"/>
      <c r="V143" s="73"/>
      <c r="W143" s="73"/>
      <c r="X143" s="1541"/>
      <c r="Y143" s="1256"/>
      <c r="Z143" s="1494"/>
      <c r="AA143" s="1256"/>
      <c r="AB143" s="266" t="str">
        <f>IF(B141,D142&amp;".7",D142&amp;".5")</f>
        <v>7.5</v>
      </c>
      <c r="AC143" s="738" t="s">
        <v>1417</v>
      </c>
      <c r="AD143" s="266" t="s">
        <v>789</v>
      </c>
      <c r="AE143" s="1219">
        <f>AE144+AE145</f>
        <v>0</v>
      </c>
      <c r="AF143" s="1219">
        <f>AF144+AF145</f>
        <v>0</v>
      </c>
      <c r="AG143" s="1219">
        <f>AG144+AG145</f>
        <v>0</v>
      </c>
      <c r="AH143" s="1092">
        <f>AG143-AF143</f>
        <v>0</v>
      </c>
      <c r="AI143" s="1219">
        <f>AI144+AI145</f>
        <v>0</v>
      </c>
      <c r="AJ143" s="3564">
        <f>_xlfn.SUMIFS('Корректировка НВВ'!$AF$25:$AF$129,'Корректировка НВВ'!$F$25:$F$129,$F143,'Корректировка НВВ'!$I$25:$I$129,$G143)</f>
        <v>0</v>
      </c>
      <c r="AK143" s="1219">
        <f>AK144+AK145</f>
        <v>0</v>
      </c>
      <c r="AL143" s="1219">
        <f>AL144+AL145</f>
        <v>0</v>
      </c>
      <c r="AM143" s="1219">
        <f>AM144+AM145</f>
        <v>0</v>
      </c>
      <c r="AN143" s="1219">
        <f>AN144+AN145</f>
        <v>0</v>
      </c>
      <c r="AO143" s="1219">
        <f>AO144+AO145</f>
        <v>0</v>
      </c>
      <c r="AP143" s="1219">
        <f>AP144+AP145</f>
        <v>0</v>
      </c>
      <c r="AQ143" s="1219">
        <f>AQ144+AQ145</f>
        <v>0</v>
      </c>
      <c r="AR143" s="1219">
        <f>AR144+AR145</f>
        <v>0</v>
      </c>
      <c r="AS143" s="1219">
        <f>AS144+AS145</f>
        <v>0</v>
      </c>
      <c r="AT143" s="3564">
        <f>_xlfn.SUMIFS('Корректировка НВВ'!$AG$25:$AG$129,'Корректировка НВВ'!$F$25:$F$129,$F143,'Корректировка НВВ'!$I$25:$I$129,$G143)</f>
        <v>0</v>
      </c>
      <c r="AU143" s="1219">
        <f>AU144+AU145</f>
        <v>0</v>
      </c>
      <c r="AV143" s="1219">
        <f>AV144+AV145</f>
        <v>0</v>
      </c>
      <c r="AW143" s="1219">
        <f>AW144+AW145</f>
        <v>0</v>
      </c>
      <c r="AX143" s="1219">
        <f>AX144+AX145</f>
        <v>0</v>
      </c>
      <c r="AY143" s="1219">
        <f>AY144+AY145</f>
        <v>0</v>
      </c>
      <c r="AZ143" s="1219">
        <f>AZ144+AZ145</f>
        <v>0</v>
      </c>
      <c r="BA143" s="1219">
        <f>BA144+BA145</f>
        <v>0</v>
      </c>
      <c r="BB143" s="1219">
        <f>BB144+BB145</f>
        <v>0</v>
      </c>
      <c r="BC143" s="1219">
        <f>BC144+BC145</f>
        <v>0</v>
      </c>
      <c r="BD143" s="1092">
        <f>IF(AI143=0,0,(AT143-AI143)/AI143*100)</f>
        <v>0</v>
      </c>
      <c r="BE143" s="1092">
        <f>IF(AT143=0,0,(AU143-AT143)/AT143*100)</f>
        <v>0</v>
      </c>
      <c r="BF143" s="1092">
        <f>IF(AU143=0,0,(AV143-AU143)/AU143*100)</f>
        <v>0</v>
      </c>
      <c r="BG143" s="1092">
        <f>IF(AV143=0,0,(AW143-AV143)/AV143*100)</f>
        <v>0</v>
      </c>
      <c r="BH143" s="1092">
        <f>IF(AW143=0,0,(AX143-AW143)/AW143*100)</f>
        <v>0</v>
      </c>
      <c r="BI143" s="1092">
        <f>IF(AX143=0,0,(AY143-AX143)/AX143*100)</f>
        <v>0</v>
      </c>
      <c r="BJ143" s="1092">
        <f>IF(AY143=0,0,(AZ143-AY143)/AY143*100)</f>
        <v>0</v>
      </c>
      <c r="BK143" s="1092">
        <f>IF(AZ143=0,0,(BA143-AZ143)/AZ143*100)</f>
        <v>0</v>
      </c>
      <c r="BL143" s="1092">
        <f>IF(BA143=0,0,(BB143-BA143)/BA143*100)</f>
        <v>0</v>
      </c>
      <c r="BM143" s="1092">
        <f>IF(BB143=0,0,(BC143-BB143)/BB143*100)</f>
        <v>0</v>
      </c>
      <c r="BN143" s="1216"/>
      <c r="BO143" s="1220" t="str">
        <f>IF(_xlfn.IFERROR(INDEX('Корректировка НВВ'!$K$26:$L$129,MATCH($F143&amp;"6komm",'Корректировка НВВ'!$K$26:$K$129,0),2),"")=0,"",_xlfn.IFERROR(INDEX('Корректировка НВВ'!$K$26:$L$129,MATCH($F143&amp;"6komm",'Корректировка НВВ'!$K$26:$K$129,0),2),""))</f>
        <v/>
      </c>
      <c r="BP143" s="1216"/>
      <c r="BQ143" s="1256"/>
      <c r="BR143" s="1256"/>
      <c r="BS143" s="1041" t="s">
        <v>1419</v>
      </c>
      <c r="BT143" s="1041"/>
      <c r="BU143" s="1041"/>
      <c r="BV143" s="956"/>
      <c r="BW143" s="956"/>
    </row>
    <row customHeight="1" ht="21.9375" hidden="1">
      <c r="A144" s="1256"/>
      <c r="B144" s="955"/>
      <c r="C144" s="73"/>
      <c r="D144" s="73" cm="1" t="str">
        <f t="array" ref="D144:D144">D143</f>
        <v>7</v>
      </c>
      <c r="E144" s="596">
        <v>22.5</v>
      </c>
      <c r="F144" s="50" cm="1" t="str">
        <f t="array" ref="F144:F144">OFFSET(E144,-1,1)</f>
        <v>0</v>
      </c>
      <c r="G144" s="73" t="s">
        <v>2031</v>
      </c>
      <c r="H144" s="73"/>
      <c r="I144" s="73" t="s">
        <v>2032</v>
      </c>
      <c r="J144" s="73"/>
      <c r="K144" s="124" t="s">
        <v>2032</v>
      </c>
      <c r="L144" s="957" t="s">
        <v>1694</v>
      </c>
      <c r="M144" s="73"/>
      <c r="N144" s="73"/>
      <c r="O144" s="73"/>
      <c r="P144" s="73"/>
      <c r="Q144" s="73"/>
      <c r="R144" s="73"/>
      <c r="S144" s="73"/>
      <c r="T144" s="438" cm="1" t="str">
        <f t="array" ref="T144:T144">T143</f>
        <v>false</v>
      </c>
      <c r="U144" s="73"/>
      <c r="V144" s="73"/>
      <c r="W144" s="73"/>
      <c r="X144" s="1541"/>
      <c r="Y144" s="1256"/>
      <c r="Z144" s="1494"/>
      <c r="AA144" s="1256"/>
      <c r="AB144" s="266" t="str">
        <f>AB143&amp;".1"</f>
        <v>7.5.1</v>
      </c>
      <c r="AC144" s="757" t="s">
        <v>1420</v>
      </c>
      <c r="AD144" s="266" t="s">
        <v>789</v>
      </c>
      <c r="AE144" s="1219"/>
      <c r="AF144" s="1219"/>
      <c r="AG144" s="1219"/>
      <c r="AH144" s="1092">
        <f>AG144-AF144</f>
        <v>0</v>
      </c>
      <c r="AI144" s="1219"/>
      <c r="AJ144" s="3564">
        <f>_xlfn.SUMIFS('Корректировка НВВ'!$AF$25:$AF$129,'Корректировка НВВ'!$F$25:$F$129,$F144,'Корректировка НВВ'!$I$25:$I$129,$G144)</f>
        <v>0</v>
      </c>
      <c r="AK144" s="1219"/>
      <c r="AL144" s="1219"/>
      <c r="AM144" s="1219"/>
      <c r="AN144" s="1219"/>
      <c r="AO144" s="1219"/>
      <c r="AP144" s="1219"/>
      <c r="AQ144" s="1219"/>
      <c r="AR144" s="1219"/>
      <c r="AS144" s="1219"/>
      <c r="AT144" s="3564">
        <f>_xlfn.SUMIFS('Корректировка НВВ'!$AG$25:$AG$129,'Корректировка НВВ'!$F$25:$F$129,$F144,'Корректировка НВВ'!$I$25:$I$129,$G144)</f>
        <v>0</v>
      </c>
      <c r="AU144" s="1219"/>
      <c r="AV144" s="1219"/>
      <c r="AW144" s="1219"/>
      <c r="AX144" s="1219"/>
      <c r="AY144" s="1219"/>
      <c r="AZ144" s="1219"/>
      <c r="BA144" s="1219"/>
      <c r="BB144" s="1219"/>
      <c r="BC144" s="1219"/>
      <c r="BD144" s="1093"/>
      <c r="BE144" s="1093"/>
      <c r="BF144" s="1093"/>
      <c r="BG144" s="1093"/>
      <c r="BH144" s="1093"/>
      <c r="BI144" s="1093"/>
      <c r="BJ144" s="1093"/>
      <c r="BK144" s="1093"/>
      <c r="BL144" s="1093"/>
      <c r="BM144" s="1093"/>
      <c r="BN144" s="1216"/>
      <c r="BO144" s="1220" t="str">
        <f>IF(_xlfn.IFERROR(INDEX('Корректировка НВВ'!$K$26:$L$129,MATCH($F144&amp;"7komm",'Корректировка НВВ'!$K$26:$K$129,0),2),"")=0,"",_xlfn.IFERROR(INDEX('Корректировка НВВ'!$K$26:$L$129,MATCH($F144&amp;"7komm",'Корректировка НВВ'!$K$26:$K$129,0),2),""))</f>
        <v/>
      </c>
      <c r="BP144" s="1216"/>
      <c r="BQ144" s="1256"/>
      <c r="BR144" s="1256"/>
      <c r="BS144" s="1041" t="s">
        <v>1421</v>
      </c>
      <c r="BT144" s="1041"/>
      <c r="BU144" s="1041"/>
      <c r="BV144" s="956"/>
      <c r="BW144" s="956"/>
    </row>
    <row customHeight="1" ht="21.9375" hidden="1">
      <c r="A145" s="1256"/>
      <c r="B145" s="955"/>
      <c r="C145" s="73"/>
      <c r="D145" s="73" cm="1" t="str">
        <f t="array" ref="D145:D145">D144</f>
        <v>7</v>
      </c>
      <c r="E145" s="596">
        <v>22.5</v>
      </c>
      <c r="F145" s="50" cm="1" t="str">
        <f t="array" ref="F145:F145">OFFSET(E145,-1,1)</f>
        <v>0</v>
      </c>
      <c r="G145" s="73" t="s">
        <v>2033</v>
      </c>
      <c r="H145" s="73"/>
      <c r="I145" s="73" t="s">
        <v>2034</v>
      </c>
      <c r="J145" s="73"/>
      <c r="K145" s="124" t="s">
        <v>2034</v>
      </c>
      <c r="L145" s="957" t="s">
        <v>1696</v>
      </c>
      <c r="M145" s="73"/>
      <c r="N145" s="73"/>
      <c r="O145" s="73"/>
      <c r="P145" s="73"/>
      <c r="Q145" s="73"/>
      <c r="R145" s="73"/>
      <c r="S145" s="73"/>
      <c r="T145" s="438" cm="1" t="str">
        <f t="array" ref="T145:T145">T144</f>
        <v>false</v>
      </c>
      <c r="U145" s="73"/>
      <c r="V145" s="73"/>
      <c r="W145" s="73"/>
      <c r="X145" s="1541"/>
      <c r="Y145" s="1256"/>
      <c r="Z145" s="1494"/>
      <c r="AA145" s="1256"/>
      <c r="AB145" s="266" t="str">
        <f>AB143&amp;".2"</f>
        <v>7.5.2</v>
      </c>
      <c r="AC145" s="757" t="s">
        <v>1422</v>
      </c>
      <c r="AD145" s="266" t="s">
        <v>789</v>
      </c>
      <c r="AE145" s="1219"/>
      <c r="AF145" s="1219"/>
      <c r="AG145" s="1219"/>
      <c r="AH145" s="1092">
        <f>AG145-AF145</f>
        <v>0</v>
      </c>
      <c r="AI145" s="1219"/>
      <c r="AJ145" s="3564">
        <f>_xlfn.SUMIFS('Корректировка НВВ'!$AF$25:$AF$129,'Корректировка НВВ'!$F$25:$F$129,$F145,'Корректировка НВВ'!$I$25:$I$129,$G145)</f>
        <v>0</v>
      </c>
      <c r="AK145" s="1219"/>
      <c r="AL145" s="1219"/>
      <c r="AM145" s="1219"/>
      <c r="AN145" s="1219"/>
      <c r="AO145" s="1219"/>
      <c r="AP145" s="1219"/>
      <c r="AQ145" s="1219"/>
      <c r="AR145" s="1219"/>
      <c r="AS145" s="1219"/>
      <c r="AT145" s="3564">
        <f>_xlfn.SUMIFS('Корректировка НВВ'!$AG$25:$AG$129,'Корректировка НВВ'!$F$25:$F$129,$F145,'Корректировка НВВ'!$I$25:$I$129,$G145)</f>
        <v>0</v>
      </c>
      <c r="AU145" s="1219"/>
      <c r="AV145" s="1219"/>
      <c r="AW145" s="1219"/>
      <c r="AX145" s="1219"/>
      <c r="AY145" s="1219"/>
      <c r="AZ145" s="1219"/>
      <c r="BA145" s="1219"/>
      <c r="BB145" s="1219"/>
      <c r="BC145" s="1219"/>
      <c r="BD145" s="1093"/>
      <c r="BE145" s="1093"/>
      <c r="BF145" s="1093"/>
      <c r="BG145" s="1093"/>
      <c r="BH145" s="1093"/>
      <c r="BI145" s="1093"/>
      <c r="BJ145" s="1093"/>
      <c r="BK145" s="1093"/>
      <c r="BL145" s="1093"/>
      <c r="BM145" s="1093"/>
      <c r="BN145" s="1216"/>
      <c r="BO145" s="1220" t="str">
        <f>IF(_xlfn.IFERROR(INDEX('Корректировка НВВ'!$K$26:$L$129,MATCH($F145&amp;"8komm",'Корректировка НВВ'!$K$26:$K$129,0),2),"")=0,"",_xlfn.IFERROR(INDEX('Корректировка НВВ'!$K$26:$L$129,MATCH($F145&amp;"8komm",'Корректировка НВВ'!$K$26:$K$129,0),2),""))</f>
        <v/>
      </c>
      <c r="BP145" s="1216"/>
      <c r="BQ145" s="1256"/>
      <c r="BR145" s="1256"/>
      <c r="BS145" s="1041" t="s">
        <v>1423</v>
      </c>
      <c r="BT145" s="1041"/>
      <c r="BU145" s="1041"/>
      <c r="BV145" s="956"/>
      <c r="BW145" s="956"/>
    </row>
    <row customHeight="1" ht="14.625" hidden="1">
      <c r="A146" s="1256"/>
      <c r="B146" s="955"/>
      <c r="C146" s="73"/>
      <c r="D146" s="73" cm="1" t="str">
        <f t="array" ref="D146:D146">D145</f>
        <v>7</v>
      </c>
      <c r="E146" s="596">
        <v>15</v>
      </c>
      <c r="F146" s="50" cm="1" t="str">
        <f t="array" ref="F146:F146">OFFSET(E146,-1,1)</f>
        <v>0</v>
      </c>
      <c r="G146" s="73" t="s">
        <v>308</v>
      </c>
      <c r="H146" s="73"/>
      <c r="I146" s="73" t="s">
        <v>1700</v>
      </c>
      <c r="J146" s="73"/>
      <c r="K146" s="124" t="s">
        <v>1700</v>
      </c>
      <c r="L146" s="957" t="s">
        <v>1699</v>
      </c>
      <c r="M146" s="73"/>
      <c r="N146" s="73"/>
      <c r="O146" s="73"/>
      <c r="P146" s="73"/>
      <c r="Q146" s="73"/>
      <c r="R146" s="73"/>
      <c r="S146" s="73"/>
      <c r="T146" s="438" cm="1" t="str">
        <f t="array" ref="T146:T146">T145</f>
        <v>false</v>
      </c>
      <c r="U146" s="73"/>
      <c r="V146" s="73"/>
      <c r="W146" s="73"/>
      <c r="X146" s="1541"/>
      <c r="Y146" s="1256"/>
      <c r="Z146" s="1494"/>
      <c r="AA146" s="1256"/>
      <c r="AB146" s="266" t="str">
        <f>IF(B141,D142&amp;".8",D142&amp;".6")</f>
        <v>7.6</v>
      </c>
      <c r="AC146" s="758" t="s">
        <v>1424</v>
      </c>
      <c r="AD146" s="266" t="s">
        <v>789</v>
      </c>
      <c r="AE146" s="1219"/>
      <c r="AF146" s="1219"/>
      <c r="AG146" s="1219"/>
      <c r="AH146" s="1092">
        <f>AG146-AF146</f>
        <v>0</v>
      </c>
      <c r="AI146" s="1219"/>
      <c r="AJ146" s="3564">
        <f>_xlfn.SUMIFS('Корректировка НВВ'!$AF$25:$AF$129,'Корректировка НВВ'!$F$25:$F$129,$F146,'Корректировка НВВ'!$I$25:$I$129,$G146)</f>
        <v>0</v>
      </c>
      <c r="AK146" s="1219"/>
      <c r="AL146" s="1219"/>
      <c r="AM146" s="1219"/>
      <c r="AN146" s="1219"/>
      <c r="AO146" s="1219"/>
      <c r="AP146" s="1219"/>
      <c r="AQ146" s="1219"/>
      <c r="AR146" s="1219"/>
      <c r="AS146" s="1219"/>
      <c r="AT146" s="3564">
        <f>_xlfn.SUMIFS('Корректировка НВВ'!$AG$25:$AG$129,'Корректировка НВВ'!$F$25:$F$129,$F146,'Корректировка НВВ'!$I$25:$I$129,$G146)</f>
        <v>0</v>
      </c>
      <c r="AU146" s="1219"/>
      <c r="AV146" s="1219"/>
      <c r="AW146" s="1219"/>
      <c r="AX146" s="1219"/>
      <c r="AY146" s="1219"/>
      <c r="AZ146" s="1219"/>
      <c r="BA146" s="1219"/>
      <c r="BB146" s="1219"/>
      <c r="BC146" s="1219"/>
      <c r="BD146" s="1093"/>
      <c r="BE146" s="1093"/>
      <c r="BF146" s="1093"/>
      <c r="BG146" s="1093"/>
      <c r="BH146" s="1093"/>
      <c r="BI146" s="1093"/>
      <c r="BJ146" s="1093"/>
      <c r="BK146" s="1093"/>
      <c r="BL146" s="1093"/>
      <c r="BM146" s="1093"/>
      <c r="BN146" s="1216"/>
      <c r="BO146" s="1220" t="str">
        <f>IF(_xlfn.IFERROR(INDEX('Корректировка НВВ'!$K$26:$L$129,MATCH($F146&amp;"9komm",'Корректировка НВВ'!$K$26:$K$129,0),2),"")=0,"",_xlfn.IFERROR(INDEX('Корректировка НВВ'!$K$26:$L$129,MATCH($F146&amp;"9komm",'Корректировка НВВ'!$K$26:$K$129,0),2),""))</f>
        <v/>
      </c>
      <c r="BP146" s="1216"/>
      <c r="BQ146" s="1256"/>
      <c r="BR146" s="1256"/>
      <c r="BS146" s="1041" t="s">
        <v>2035</v>
      </c>
      <c r="BT146" s="1041"/>
      <c r="BU146" s="1041"/>
      <c r="BV146" s="956"/>
      <c r="BW146" s="956"/>
    </row>
    <row customHeight="1" ht="14.625" hidden="1">
      <c r="A147" s="1256"/>
      <c r="B147" s="955"/>
      <c r="C147" s="73"/>
      <c r="D147" s="73" cm="1" t="str">
        <f t="array" ref="D147:D147">D146</f>
        <v>7</v>
      </c>
      <c r="E147" s="596">
        <v>15</v>
      </c>
      <c r="F147" s="50" cm="1" t="str">
        <f t="array" ref="F147:F147">OFFSET(E147,-1,1)</f>
        <v>0</v>
      </c>
      <c r="G147" s="73" t="s">
        <v>2036</v>
      </c>
      <c r="H147" s="73"/>
      <c r="I147" s="73" t="s">
        <v>1702</v>
      </c>
      <c r="J147" s="73"/>
      <c r="K147" s="124" t="s">
        <v>1702</v>
      </c>
      <c r="L147" s="957" t="s">
        <v>1700</v>
      </c>
      <c r="M147" s="73"/>
      <c r="N147" s="73"/>
      <c r="O147" s="73"/>
      <c r="P147" s="73"/>
      <c r="Q147" s="73"/>
      <c r="R147" s="73"/>
      <c r="S147" s="73"/>
      <c r="T147" s="438" cm="1" t="str">
        <f t="array" ref="T147:T147">T146</f>
        <v>false</v>
      </c>
      <c r="U147" s="73"/>
      <c r="V147" s="73"/>
      <c r="W147" s="73"/>
      <c r="X147" s="1541"/>
      <c r="Y147" s="1256"/>
      <c r="Z147" s="1494"/>
      <c r="AA147" s="1256"/>
      <c r="AB147" s="266" t="str">
        <f>IF(B141,D142&amp;".9",D142&amp;".7")</f>
        <v>7.7</v>
      </c>
      <c r="AC147" s="758" t="s">
        <v>1426</v>
      </c>
      <c r="AD147" s="266" t="s">
        <v>789</v>
      </c>
      <c r="AE147" s="1219"/>
      <c r="AF147" s="1219"/>
      <c r="AG147" s="1219"/>
      <c r="AH147" s="1092">
        <f>AG147-AF147</f>
        <v>0</v>
      </c>
      <c r="AI147" s="1219"/>
      <c r="AJ147" s="3564">
        <f>_xlfn.SUMIFS('Корректировка НВВ'!$AF$25:$AF$129,'Корректировка НВВ'!$F$25:$F$129,$F147,'Корректировка НВВ'!$I$25:$I$129,$G147)</f>
        <v>0</v>
      </c>
      <c r="AK147" s="1219"/>
      <c r="AL147" s="1219"/>
      <c r="AM147" s="1219"/>
      <c r="AN147" s="1219"/>
      <c r="AO147" s="1219"/>
      <c r="AP147" s="1219"/>
      <c r="AQ147" s="1219"/>
      <c r="AR147" s="1219"/>
      <c r="AS147" s="1219"/>
      <c r="AT147" s="3564">
        <f>_xlfn.SUMIFS('Корректировка НВВ'!$AG$25:$AG$129,'Корректировка НВВ'!$F$25:$F$129,$F147,'Корректировка НВВ'!$I$25:$I$129,$G147)</f>
        <v>0</v>
      </c>
      <c r="AU147" s="1219"/>
      <c r="AV147" s="1219"/>
      <c r="AW147" s="1219"/>
      <c r="AX147" s="1219"/>
      <c r="AY147" s="1219"/>
      <c r="AZ147" s="1219"/>
      <c r="BA147" s="1219"/>
      <c r="BB147" s="1219"/>
      <c r="BC147" s="1219"/>
      <c r="BD147" s="1093"/>
      <c r="BE147" s="1093"/>
      <c r="BF147" s="1093"/>
      <c r="BG147" s="1093"/>
      <c r="BH147" s="1093"/>
      <c r="BI147" s="1093"/>
      <c r="BJ147" s="1093"/>
      <c r="BK147" s="1093"/>
      <c r="BL147" s="1093"/>
      <c r="BM147" s="1093"/>
      <c r="BN147" s="1216"/>
      <c r="BO147" s="1220" t="str">
        <f>IF(_xlfn.IFERROR(INDEX('Корректировка НВВ'!$K$26:$L$129,MATCH($F147&amp;"10komm",'Корректировка НВВ'!$K$26:$K$129,0),2),"")=0,"",_xlfn.IFERROR(INDEX('Корректировка НВВ'!$K$26:$L$129,MATCH($F147&amp;"10komm",'Корректировка НВВ'!$K$26:$K$129,0),2),""))</f>
        <v/>
      </c>
      <c r="BP147" s="1216"/>
      <c r="BQ147" s="1256"/>
      <c r="BR147" s="1256"/>
      <c r="BS147" s="1041" t="s">
        <v>1427</v>
      </c>
      <c r="BT147" s="1041"/>
      <c r="BU147" s="1041"/>
      <c r="BV147" s="956"/>
      <c r="BW147" s="956"/>
    </row>
    <row s="676" customFormat="1" customHeight="1" ht="20.475" hidden="1">
      <c r="A148" s="676"/>
      <c r="B148" s="407"/>
      <c r="C148" s="75"/>
      <c r="D148" s="75">
        <f>D147+1</f>
        <v>8</v>
      </c>
      <c r="E148" s="802">
        <v>21</v>
      </c>
      <c r="F148" s="50" cm="1" t="str">
        <f t="array" ref="F148:F148">OFFSET(E148,-1,1)</f>
        <v>0</v>
      </c>
      <c r="G148" s="75"/>
      <c r="H148" s="75"/>
      <c r="I148" s="75" t="s">
        <v>558</v>
      </c>
      <c r="J148" s="75"/>
      <c r="K148" s="128" t="s">
        <v>558</v>
      </c>
      <c r="L148" s="962"/>
      <c r="M148" s="75"/>
      <c r="N148" s="75"/>
      <c r="O148" s="75"/>
      <c r="P148" s="75"/>
      <c r="Q148" s="75"/>
      <c r="R148" s="75"/>
      <c r="S148" s="75"/>
      <c r="T148" s="438" cm="1" t="str">
        <f t="array" ref="T148:T148">T147</f>
        <v>false</v>
      </c>
      <c r="U148" s="75"/>
      <c r="V148" s="75"/>
      <c r="W148" s="75"/>
      <c r="X148" s="1541"/>
      <c r="Y148" s="676"/>
      <c r="Z148" s="1494"/>
      <c r="AA148" s="676"/>
      <c r="AB148" s="177" cm="1" t="str">
        <f t="array" ref="AB148:AB148">D148</f>
        <v>8</v>
      </c>
      <c r="AC148" s="178" t="s">
        <v>2037</v>
      </c>
      <c r="AD148" s="177" t="s">
        <v>789</v>
      </c>
      <c r="AE148" s="1215"/>
      <c r="AF148" s="1215"/>
      <c r="AG148" s="1215"/>
      <c r="AH148" s="754">
        <f>AG148-AF148</f>
        <v>0</v>
      </c>
      <c r="AI148" s="1215"/>
      <c r="AJ148" s="3608"/>
      <c r="AK148" s="1215"/>
      <c r="AL148" s="1215"/>
      <c r="AM148" s="1215"/>
      <c r="AN148" s="1215"/>
      <c r="AO148" s="1215"/>
      <c r="AP148" s="1215"/>
      <c r="AQ148" s="1215"/>
      <c r="AR148" s="1215"/>
      <c r="AS148" s="1215"/>
      <c r="AT148" s="3608"/>
      <c r="AU148" s="1215"/>
      <c r="AV148" s="1215"/>
      <c r="AW148" s="1215"/>
      <c r="AX148" s="1215"/>
      <c r="AY148" s="1215"/>
      <c r="AZ148" s="1215"/>
      <c r="BA148" s="1215"/>
      <c r="BB148" s="1215"/>
      <c r="BC148" s="1215"/>
      <c r="BD148" s="182"/>
      <c r="BE148" s="182"/>
      <c r="BF148" s="182"/>
      <c r="BG148" s="182"/>
      <c r="BH148" s="182"/>
      <c r="BI148" s="182"/>
      <c r="BJ148" s="182"/>
      <c r="BK148" s="182"/>
      <c r="BL148" s="182"/>
      <c r="BM148" s="182"/>
      <c r="BN148" s="1218"/>
      <c r="BO148" s="1218"/>
      <c r="BP148" s="1218"/>
      <c r="BQ148" s="676"/>
      <c r="BR148" s="676"/>
      <c r="BS148" s="1047" t="s">
        <v>2038</v>
      </c>
      <c r="BT148" s="1047"/>
      <c r="BU148" s="1047"/>
      <c r="BV148" s="683"/>
      <c r="BW148" s="683"/>
    </row>
    <row customHeight="1" ht="14.625" hidden="1">
      <c r="A149" s="1256"/>
      <c r="B149" s="955"/>
      <c r="C149" s="73"/>
      <c r="D149" s="75" cm="1" t="str">
        <f t="array" ref="D149:D149">D148</f>
        <v>8</v>
      </c>
      <c r="E149" s="596">
        <v>15</v>
      </c>
      <c r="F149" s="50" cm="1" t="str">
        <f t="array" ref="F149:F149">OFFSET(E149,-1,1)</f>
        <v>0</v>
      </c>
      <c r="G149" s="73"/>
      <c r="H149" s="73"/>
      <c r="I149" s="73" t="s">
        <v>562</v>
      </c>
      <c r="J149" s="73"/>
      <c r="K149" s="124" t="s">
        <v>562</v>
      </c>
      <c r="L149" s="957"/>
      <c r="M149" s="73"/>
      <c r="N149" s="73"/>
      <c r="O149" s="73"/>
      <c r="P149" s="73"/>
      <c r="Q149" s="73"/>
      <c r="R149" s="73"/>
      <c r="S149" s="73"/>
      <c r="T149" s="438" cm="1" t="str">
        <f t="array" ref="T149:T149">T148</f>
        <v>false</v>
      </c>
      <c r="U149" s="73"/>
      <c r="V149" s="73"/>
      <c r="W149" s="73"/>
      <c r="X149" s="1541"/>
      <c r="Y149" s="1256"/>
      <c r="Z149" s="1494"/>
      <c r="AA149" s="1256"/>
      <c r="AB149" s="266" t="str">
        <f>D149&amp;".1"</f>
        <v>8.1</v>
      </c>
      <c r="AC149" s="738" t="s">
        <v>2039</v>
      </c>
      <c r="AD149" s="266" t="s">
        <v>430</v>
      </c>
      <c r="AE149" s="1092">
        <f>IF(AE150=0,0,AE148/(AE150+AE135)*100)</f>
        <v>0</v>
      </c>
      <c r="AF149" s="1092">
        <f>IF(AF150=0,0,AF148/(AF150+AF135)*100)</f>
        <v>0</v>
      </c>
      <c r="AG149" s="1092">
        <f>IF(AG150=0,0,AG148/(AG150+AG135)*100)</f>
        <v>0</v>
      </c>
      <c r="AH149" s="1092">
        <f>AG149-AF149</f>
        <v>0</v>
      </c>
      <c r="AI149" s="1092">
        <f>IF(AI150=0,0,AI148/(AI150+AI135)*100)</f>
        <v>0</v>
      </c>
      <c r="AJ149" s="1092">
        <f>IF(AJ150=0,0,AJ148/(AJ150+AJ135)*100)</f>
        <v>0</v>
      </c>
      <c r="AK149" s="1092">
        <f>IF(AK150=0,0,AK148/(AK150+AK135)*100)</f>
        <v>0</v>
      </c>
      <c r="AL149" s="1092">
        <f>IF(AL150=0,0,AL148/(AL150+AL135)*100)</f>
        <v>0</v>
      </c>
      <c r="AM149" s="1092">
        <f>IF(AM150=0,0,AM148/(AM150+AM135)*100)</f>
        <v>0</v>
      </c>
      <c r="AN149" s="1092">
        <f>IF(AN150=0,0,AN148/(AN150+AN135)*100)</f>
        <v>0</v>
      </c>
      <c r="AO149" s="1092">
        <f>IF(AO150=0,0,AO148/(AO150+AO135)*100)</f>
        <v>0</v>
      </c>
      <c r="AP149" s="1092">
        <f>IF(AP150=0,0,AP148/(AP150+AP135)*100)</f>
        <v>0</v>
      </c>
      <c r="AQ149" s="1092">
        <f>IF(AQ150=0,0,AQ148/(AQ150+AQ135)*100)</f>
        <v>0</v>
      </c>
      <c r="AR149" s="1092">
        <f>IF(AR150=0,0,AR148/(AR150+AR135)*100)</f>
        <v>0</v>
      </c>
      <c r="AS149" s="1092">
        <f>IF(AS150=0,0,AS148/(AS150+AS135)*100)</f>
        <v>0</v>
      </c>
      <c r="AT149" s="1092">
        <f>IF(AT150=0,0,AT148/(AT150+AT135)*100)</f>
        <v>0</v>
      </c>
      <c r="AU149" s="1092">
        <f>IF(AU150=0,0,AU148/(AU150+AU135)*100)</f>
        <v>0</v>
      </c>
      <c r="AV149" s="1092">
        <f>IF(AV150=0,0,AV148/(AV150+AV135)*100)</f>
        <v>0</v>
      </c>
      <c r="AW149" s="1092">
        <f>IF(AW150=0,0,AW148/(AW150+AW135)*100)</f>
        <v>0</v>
      </c>
      <c r="AX149" s="1092">
        <f>IF(AX150=0,0,AX148/(AX150+AX135)*100)</f>
        <v>0</v>
      </c>
      <c r="AY149" s="1092">
        <f>IF(AY150=0,0,AY148/(AY150+AY135)*100)</f>
        <v>0</v>
      </c>
      <c r="AZ149" s="1092">
        <f>IF(AZ150=0,0,AZ148/(AZ150+AZ135)*100)</f>
        <v>0</v>
      </c>
      <c r="BA149" s="1092">
        <f>IF(BA150=0,0,BA148/(BA150+BA135)*100)</f>
        <v>0</v>
      </c>
      <c r="BB149" s="1092">
        <f>IF(BB150=0,0,BB148/(BB150+BB135)*100)</f>
        <v>0</v>
      </c>
      <c r="BC149" s="1092">
        <f>IF(BC150=0,0,BC148/(BC150+BC135)*100)</f>
        <v>0</v>
      </c>
      <c r="BD149" s="1093"/>
      <c r="BE149" s="1093"/>
      <c r="BF149" s="1093"/>
      <c r="BG149" s="1093"/>
      <c r="BH149" s="1093"/>
      <c r="BI149" s="1093"/>
      <c r="BJ149" s="1093"/>
      <c r="BK149" s="1093"/>
      <c r="BL149" s="1093"/>
      <c r="BM149" s="1093"/>
      <c r="BN149" s="1216"/>
      <c r="BO149" s="1216"/>
      <c r="BP149" s="1216"/>
      <c r="BQ149" s="1256"/>
      <c r="BR149" s="1256"/>
      <c r="BS149" s="1041" t="s">
        <v>2040</v>
      </c>
      <c r="BT149" s="1041"/>
      <c r="BU149" s="1041"/>
      <c r="BV149" s="956"/>
      <c r="BW149" s="956"/>
    </row>
    <row s="676" customFormat="1" customHeight="1" ht="20.475" hidden="1">
      <c r="A150" s="676"/>
      <c r="B150" s="407"/>
      <c r="C150" s="75"/>
      <c r="D150" s="75">
        <f>D149+1</f>
        <v>9</v>
      </c>
      <c r="E150" s="802">
        <v>21</v>
      </c>
      <c r="F150" s="50" cm="1" t="str">
        <f t="array" ref="F150:F150">OFFSET(E150,-1,1)</f>
        <v>0</v>
      </c>
      <c r="G150" s="75"/>
      <c r="H150" s="73"/>
      <c r="I150" s="73" t="s">
        <v>716</v>
      </c>
      <c r="J150" s="75"/>
      <c r="K150" s="124" t="s">
        <v>716</v>
      </c>
      <c r="L150" s="962" t="s">
        <v>1702</v>
      </c>
      <c r="M150" s="75"/>
      <c r="N150" s="75"/>
      <c r="O150" s="75"/>
      <c r="P150" s="75"/>
      <c r="Q150" s="75"/>
      <c r="R150" s="75"/>
      <c r="S150" s="75"/>
      <c r="T150" s="438" cm="1" t="str">
        <f t="array" ref="T150:T150">T149</f>
        <v>false</v>
      </c>
      <c r="U150" s="75"/>
      <c r="V150" s="75"/>
      <c r="W150" s="75"/>
      <c r="X150" s="1541"/>
      <c r="Y150" s="676"/>
      <c r="Z150" s="1494"/>
      <c r="AA150" s="676"/>
      <c r="AB150" s="177" cm="1" t="str">
        <f t="array" ref="AB150:AB150">D150</f>
        <v>9</v>
      </c>
      <c r="AC150" s="178" t="s">
        <v>1704</v>
      </c>
      <c r="AD150" s="200" t="s">
        <v>789</v>
      </c>
      <c r="AE150" s="179">
        <f>AE28+AE78+AE114+AE115+AE117+AE122+AE123+AE126</f>
        <v>0</v>
      </c>
      <c r="AF150" s="179">
        <f>AF28+AF78+AF114+AF115+AF117+AF122+AF123+AF126</f>
        <v>0</v>
      </c>
      <c r="AG150" s="179">
        <f>AG28+AG78+AG114+AG115+AG117+AG122+AG123+AG126</f>
        <v>0</v>
      </c>
      <c r="AH150" s="754">
        <f>AG150-AF150</f>
        <v>0</v>
      </c>
      <c r="AI150" s="179">
        <f>AI28+AI78+AI114+AI115+AI117+AI122+AI123+AI126</f>
        <v>0</v>
      </c>
      <c r="AJ150" s="179">
        <f>AJ28+AJ78+AJ114+AJ115+AJ117+AJ122+AJ123+AJ126</f>
        <v>0</v>
      </c>
      <c r="AK150" s="179">
        <f>AK28+AK78+AK114+AK115+AK117+AK122+AK123+AK126</f>
        <v>0</v>
      </c>
      <c r="AL150" s="179">
        <f>AL28+AL78+AL114+AL115+AL117+AL122+AL123+AL126</f>
        <v>0</v>
      </c>
      <c r="AM150" s="179">
        <f>AM28+AM78+AM114+AM115+AM117+AM122+AM123+AM126</f>
        <v>0</v>
      </c>
      <c r="AN150" s="179">
        <f>AN28+AN78+AN114+AN115+AN117+AN122+AN123+AN126</f>
        <v>0</v>
      </c>
      <c r="AO150" s="179">
        <f>AO28+AO78+AO114+AO115+AO117+AO122+AO123+AO126</f>
        <v>0</v>
      </c>
      <c r="AP150" s="179">
        <f>AP28+AP78+AP114+AP115+AP117+AP122+AP123+AP126</f>
        <v>0</v>
      </c>
      <c r="AQ150" s="179">
        <f>AQ28+AQ78+AQ114+AQ115+AQ117+AQ122+AQ123+AQ126</f>
        <v>0</v>
      </c>
      <c r="AR150" s="179">
        <f>AR28+AR78+AR114+AR115+AR117+AR122+AR123+AR126</f>
        <v>0</v>
      </c>
      <c r="AS150" s="179">
        <f>AS28+AS78+AS114+AS115+AS117+AS122+AS123+AS126</f>
        <v>0</v>
      </c>
      <c r="AT150" s="179">
        <f>AT28+AT78+AT114+AT115+AT117+AT122+AT123+AT126</f>
        <v>0</v>
      </c>
      <c r="AU150" s="179">
        <f>AU28+AU78+AU114+AU115+AU117+AU122+AU123+AU126</f>
        <v>0</v>
      </c>
      <c r="AV150" s="179">
        <f>AV28+AV78+AV114+AV115+AV117+AV122+AV123+AV126</f>
        <v>0</v>
      </c>
      <c r="AW150" s="179">
        <f>AW28+AW78+AW114+AW115+AW117+AW122+AW123+AW126</f>
        <v>0</v>
      </c>
      <c r="AX150" s="179">
        <f>AX28+AX78+AX114+AX115+AX117+AX122+AX123+AX126</f>
        <v>0</v>
      </c>
      <c r="AY150" s="179">
        <f>AY28+AY78+AY114+AY115+AY117+AY122+AY123+AY126</f>
        <v>0</v>
      </c>
      <c r="AZ150" s="179">
        <f>AZ28+AZ78+AZ114+AZ115+AZ117+AZ122+AZ123+AZ126</f>
        <v>0</v>
      </c>
      <c r="BA150" s="179">
        <f>BA28+BA78+BA114+BA115+BA117+BA122+BA123+BA126</f>
        <v>0</v>
      </c>
      <c r="BB150" s="179">
        <f>BB28+BB78+BB114+BB115+BB117+BB122+BB123+BB126</f>
        <v>0</v>
      </c>
      <c r="BC150" s="179">
        <f>BC28+BC78+BC114+BC115+BC117+BC122+BC123+BC126</f>
        <v>0</v>
      </c>
      <c r="BD150" s="754">
        <f>IF(AI150=0,0,(AT150-AI150)/AI150*100)</f>
        <v>0</v>
      </c>
      <c r="BE150" s="754">
        <f>IF(AT150=0,0,(AU150-AT150)/AT150*100)</f>
        <v>0</v>
      </c>
      <c r="BF150" s="754">
        <f>IF(AU150=0,0,(AV150-AU150)/AU150*100)</f>
        <v>0</v>
      </c>
      <c r="BG150" s="754">
        <f>IF(AV150=0,0,(AW150-AV150)/AV150*100)</f>
        <v>0</v>
      </c>
      <c r="BH150" s="754">
        <f>IF(AW150=0,0,(AX150-AW150)/AW150*100)</f>
        <v>0</v>
      </c>
      <c r="BI150" s="754">
        <f>IF(AX150=0,0,(AY150-AX150)/AX150*100)</f>
        <v>0</v>
      </c>
      <c r="BJ150" s="754">
        <f>IF(AY150=0,0,(AZ150-AY150)/AY150*100)</f>
        <v>0</v>
      </c>
      <c r="BK150" s="754">
        <f>IF(AZ150=0,0,(BA150-AZ150)/AZ150*100)</f>
        <v>0</v>
      </c>
      <c r="BL150" s="754">
        <f>IF(BA150=0,0,(BB150-BA150)/BA150*100)</f>
        <v>0</v>
      </c>
      <c r="BM150" s="754">
        <f>IF(BB150=0,0,(BC150-BB150)/BB150*100)</f>
        <v>0</v>
      </c>
      <c r="BN150" s="1216"/>
      <c r="BO150" s="1216"/>
      <c r="BP150" s="1216"/>
      <c r="BQ150" s="676"/>
      <c r="BR150" s="676"/>
      <c r="BS150" s="1047" t="s">
        <v>1705</v>
      </c>
      <c r="BT150" s="1047"/>
      <c r="BU150" s="1047"/>
      <c r="BV150" s="683"/>
      <c r="BW150" s="683"/>
    </row>
    <row s="676" customFormat="1" customHeight="1" ht="20.475" hidden="1">
      <c r="A151" s="676"/>
      <c r="B151" s="407"/>
      <c r="C151" s="75"/>
      <c r="D151" s="75">
        <f>D150+1</f>
        <v>10</v>
      </c>
      <c r="E151" s="802">
        <v>21</v>
      </c>
      <c r="F151" s="50" cm="1" t="str">
        <f t="array" ref="F151:F151">OFFSET(E151,-1,1)</f>
        <v>0</v>
      </c>
      <c r="G151" s="75"/>
      <c r="H151" s="73"/>
      <c r="I151" s="73" t="s">
        <v>1714</v>
      </c>
      <c r="J151" s="75"/>
      <c r="K151" s="124" t="s">
        <v>1714</v>
      </c>
      <c r="L151" s="962"/>
      <c r="M151" s="75"/>
      <c r="N151" s="75"/>
      <c r="O151" s="75"/>
      <c r="P151" s="75"/>
      <c r="Q151" s="75"/>
      <c r="R151" s="75"/>
      <c r="S151" s="75"/>
      <c r="T151" s="438" cm="1" t="str">
        <f t="array" ref="T151:T151">T150</f>
        <v>false</v>
      </c>
      <c r="U151" s="75"/>
      <c r="V151" s="75"/>
      <c r="W151" s="75"/>
      <c r="X151" s="1541"/>
      <c r="Y151" s="676"/>
      <c r="Z151" s="1494"/>
      <c r="AA151" s="676"/>
      <c r="AB151" s="177" cm="1" t="str">
        <f t="array" ref="AB151:AB151">D151</f>
        <v>10</v>
      </c>
      <c r="AC151" s="178" t="s">
        <v>2041</v>
      </c>
      <c r="AD151" s="177" t="s">
        <v>789</v>
      </c>
      <c r="AE151" s="179">
        <f>AE150+AE135+AE148</f>
        <v>0</v>
      </c>
      <c r="AF151" s="179">
        <f>AF150+AF135+AF148</f>
        <v>0</v>
      </c>
      <c r="AG151" s="179">
        <f>AG150+AG135+AG148</f>
        <v>0</v>
      </c>
      <c r="AH151" s="179">
        <f>AH150+AH135+AH148</f>
        <v>0</v>
      </c>
      <c r="AI151" s="179">
        <f>AI150+AI135+AI148</f>
        <v>0</v>
      </c>
      <c r="AJ151" s="179">
        <f>AJ150+AJ135+AJ148</f>
        <v>0</v>
      </c>
      <c r="AK151" s="179">
        <f>AK150+AK135+AK148</f>
        <v>0</v>
      </c>
      <c r="AL151" s="179">
        <f>AL150+AL135+AL148</f>
        <v>0</v>
      </c>
      <c r="AM151" s="179">
        <f>AM150+AM135+AM148</f>
        <v>0</v>
      </c>
      <c r="AN151" s="179">
        <f>AN150+AN135+AN148</f>
        <v>0</v>
      </c>
      <c r="AO151" s="179">
        <f>AO150+AO135+AO148</f>
        <v>0</v>
      </c>
      <c r="AP151" s="179">
        <f>AP150+AP135+AP148</f>
        <v>0</v>
      </c>
      <c r="AQ151" s="179">
        <f>AQ150+AQ135+AQ148</f>
        <v>0</v>
      </c>
      <c r="AR151" s="179">
        <f>AR150+AR135+AR148</f>
        <v>0</v>
      </c>
      <c r="AS151" s="179">
        <f>AS150+AS135+AS148</f>
        <v>0</v>
      </c>
      <c r="AT151" s="179">
        <f>AT150+AT135+AT148</f>
        <v>0</v>
      </c>
      <c r="AU151" s="179">
        <f>AU150+AU135+AU148</f>
        <v>0</v>
      </c>
      <c r="AV151" s="179">
        <f>AV150+AV135+AV148</f>
        <v>0</v>
      </c>
      <c r="AW151" s="179">
        <f>AW150+AW135+AW148</f>
        <v>0</v>
      </c>
      <c r="AX151" s="179">
        <f>AX150+AX135+AX148</f>
        <v>0</v>
      </c>
      <c r="AY151" s="179">
        <f>AY150+AY135+AY148</f>
        <v>0</v>
      </c>
      <c r="AZ151" s="179">
        <f>AZ150+AZ135+AZ148</f>
        <v>0</v>
      </c>
      <c r="BA151" s="179">
        <f>BA150+BA135+BA148</f>
        <v>0</v>
      </c>
      <c r="BB151" s="179">
        <f>BB150+BB135+BB148</f>
        <v>0</v>
      </c>
      <c r="BC151" s="179">
        <f>BC150+BC135+BC148</f>
        <v>0</v>
      </c>
      <c r="BD151" s="754">
        <f>IF(AI151=0,0,(AT151-AI151)/AI151*100)</f>
        <v>0</v>
      </c>
      <c r="BE151" s="754">
        <f>IF(AT151=0,0,(AU151-AT151)/AT151*100)</f>
        <v>0</v>
      </c>
      <c r="BF151" s="754">
        <f>IF(AU151=0,0,(AV151-AU151)/AU151*100)</f>
        <v>0</v>
      </c>
      <c r="BG151" s="754">
        <f>IF(AV151=0,0,(AW151-AV151)/AV151*100)</f>
        <v>0</v>
      </c>
      <c r="BH151" s="754">
        <f>IF(AW151=0,0,(AX151-AW151)/AW151*100)</f>
        <v>0</v>
      </c>
      <c r="BI151" s="754">
        <f>IF(AX151=0,0,(AY151-AX151)/AX151*100)</f>
        <v>0</v>
      </c>
      <c r="BJ151" s="754">
        <f>IF(AY151=0,0,(AZ151-AY151)/AY151*100)</f>
        <v>0</v>
      </c>
      <c r="BK151" s="754">
        <f>IF(AZ151=0,0,(BA151-AZ151)/AZ151*100)</f>
        <v>0</v>
      </c>
      <c r="BL151" s="754">
        <f>IF(BA151=0,0,(BB151-BA151)/BA151*100)</f>
        <v>0</v>
      </c>
      <c r="BM151" s="754">
        <f>IF(BB151=0,0,(BC151-BB151)/BB151*100)</f>
        <v>0</v>
      </c>
      <c r="BN151" s="1216"/>
      <c r="BO151" s="1216"/>
      <c r="BP151" s="1216"/>
      <c r="BQ151" s="676"/>
      <c r="BR151" s="676"/>
      <c r="BS151" s="1047" t="s">
        <v>2042</v>
      </c>
      <c r="BT151" s="1047"/>
      <c r="BU151" s="1047"/>
      <c r="BV151" s="683"/>
      <c r="BW151" s="683"/>
    </row>
    <row customHeight="1" ht="14.625" hidden="1">
      <c r="A152" s="1256"/>
      <c r="B152" s="417">
        <f>A27="двухставочный"</f>
        <v>0</v>
      </c>
      <c r="C152" s="73"/>
      <c r="D152" s="73" cm="1" t="str">
        <f t="array" ref="D152:D152">D151</f>
        <v>10</v>
      </c>
      <c r="E152" s="596">
        <v>15</v>
      </c>
      <c r="F152" s="50" cm="1" t="str">
        <f t="array" ref="F152:F152">OFFSET(E152,-1,1)</f>
        <v>0</v>
      </c>
      <c r="G152" s="73"/>
      <c r="H152" s="824"/>
      <c r="I152" s="824" t="s">
        <v>1718</v>
      </c>
      <c r="J152" s="73"/>
      <c r="K152" s="345" t="s">
        <v>1718</v>
      </c>
      <c r="L152" s="957" t="s">
        <v>1706</v>
      </c>
      <c r="M152" s="73"/>
      <c r="N152" s="73"/>
      <c r="O152" s="73"/>
      <c r="P152" s="73"/>
      <c r="Q152" s="73"/>
      <c r="R152" s="73"/>
      <c r="S152" s="73"/>
      <c r="T152" s="438" cm="1" t="str">
        <f t="array" ref="T152:T152">T151</f>
        <v>false</v>
      </c>
      <c r="U152" s="73"/>
      <c r="V152" s="73"/>
      <c r="W152" s="73"/>
      <c r="X152" s="1541"/>
      <c r="Y152" s="1256"/>
      <c r="Z152" s="1494"/>
      <c r="AA152" s="1256"/>
      <c r="AB152" s="266" t="str">
        <f>D152&amp;".1"</f>
        <v>10.1</v>
      </c>
      <c r="AC152" s="1090" t="s">
        <v>1708</v>
      </c>
      <c r="AD152" s="266" t="s">
        <v>789</v>
      </c>
      <c r="AE152" s="1219"/>
      <c r="AF152" s="1219"/>
      <c r="AG152" s="1219"/>
      <c r="AH152" s="1092">
        <f>AG152-AF152</f>
        <v>0</v>
      </c>
      <c r="AI152" s="1219"/>
      <c r="AJ152" s="3564"/>
      <c r="AK152" s="1219"/>
      <c r="AL152" s="1219"/>
      <c r="AM152" s="1219"/>
      <c r="AN152" s="1219"/>
      <c r="AO152" s="1219"/>
      <c r="AP152" s="1219"/>
      <c r="AQ152" s="1219"/>
      <c r="AR152" s="1219"/>
      <c r="AS152" s="1219"/>
      <c r="AT152" s="3564"/>
      <c r="AU152" s="1219"/>
      <c r="AV152" s="1219"/>
      <c r="AW152" s="1219"/>
      <c r="AX152" s="1219"/>
      <c r="AY152" s="1219"/>
      <c r="AZ152" s="1219"/>
      <c r="BA152" s="1219"/>
      <c r="BB152" s="1219"/>
      <c r="BC152" s="1219"/>
      <c r="BD152" s="1093"/>
      <c r="BE152" s="1093"/>
      <c r="BF152" s="1093"/>
      <c r="BG152" s="1093"/>
      <c r="BH152" s="1093"/>
      <c r="BI152" s="1093"/>
      <c r="BJ152" s="1093"/>
      <c r="BK152" s="1093"/>
      <c r="BL152" s="1093"/>
      <c r="BM152" s="1093"/>
      <c r="BN152" s="1216"/>
      <c r="BO152" s="1216"/>
      <c r="BP152" s="1216"/>
      <c r="BQ152" s="1256"/>
      <c r="BR152" s="1256"/>
      <c r="BS152" s="1039" t="s">
        <v>1709</v>
      </c>
      <c r="BT152" s="1041"/>
      <c r="BU152" s="1041"/>
      <c r="BV152" s="956"/>
      <c r="BW152" s="956"/>
    </row>
    <row customHeight="1" ht="14.625" hidden="1">
      <c r="A153" s="1256"/>
      <c r="B153" s="417">
        <f>A27="двухставочный"</f>
        <v>0</v>
      </c>
      <c r="C153" s="73"/>
      <c r="D153" s="73" cm="1" t="str">
        <f t="array" ref="D153:D153">D152</f>
        <v>10</v>
      </c>
      <c r="E153" s="596">
        <v>15</v>
      </c>
      <c r="F153" s="50" cm="1" t="str">
        <f t="array" ref="F153:F153">OFFSET(E153,-1,1)</f>
        <v>0</v>
      </c>
      <c r="G153" s="73"/>
      <c r="H153" s="824"/>
      <c r="I153" s="824" t="s">
        <v>1722</v>
      </c>
      <c r="J153" s="73"/>
      <c r="K153" s="345" t="s">
        <v>1722</v>
      </c>
      <c r="L153" s="957" t="s">
        <v>1710</v>
      </c>
      <c r="M153" s="73"/>
      <c r="N153" s="73"/>
      <c r="O153" s="73"/>
      <c r="P153" s="73"/>
      <c r="Q153" s="73"/>
      <c r="R153" s="73"/>
      <c r="S153" s="73"/>
      <c r="T153" s="438" cm="1" t="str">
        <f t="array" ref="T153:T153">T152</f>
        <v>false</v>
      </c>
      <c r="U153" s="73"/>
      <c r="V153" s="73"/>
      <c r="W153" s="73"/>
      <c r="X153" s="1541"/>
      <c r="Y153" s="1256"/>
      <c r="Z153" s="1494"/>
      <c r="AA153" s="1256"/>
      <c r="AB153" s="266" t="str">
        <f>D153&amp;".2"</f>
        <v>10.2</v>
      </c>
      <c r="AC153" s="1090" t="s">
        <v>1712</v>
      </c>
      <c r="AD153" s="266" t="s">
        <v>789</v>
      </c>
      <c r="AE153" s="1219"/>
      <c r="AF153" s="1219"/>
      <c r="AG153" s="1219"/>
      <c r="AH153" s="1092">
        <f>AG153-AF153</f>
        <v>0</v>
      </c>
      <c r="AI153" s="1219"/>
      <c r="AJ153" s="3564"/>
      <c r="AK153" s="1219"/>
      <c r="AL153" s="1219"/>
      <c r="AM153" s="1219"/>
      <c r="AN153" s="1219"/>
      <c r="AO153" s="1219"/>
      <c r="AP153" s="1219"/>
      <c r="AQ153" s="1219"/>
      <c r="AR153" s="1219"/>
      <c r="AS153" s="1219"/>
      <c r="AT153" s="3564"/>
      <c r="AU153" s="1219"/>
      <c r="AV153" s="1219"/>
      <c r="AW153" s="1219"/>
      <c r="AX153" s="1219"/>
      <c r="AY153" s="1219"/>
      <c r="AZ153" s="1219"/>
      <c r="BA153" s="1219"/>
      <c r="BB153" s="1219"/>
      <c r="BC153" s="1219"/>
      <c r="BD153" s="1093"/>
      <c r="BE153" s="1093"/>
      <c r="BF153" s="1093"/>
      <c r="BG153" s="1093"/>
      <c r="BH153" s="1093"/>
      <c r="BI153" s="1093"/>
      <c r="BJ153" s="1093"/>
      <c r="BK153" s="1093"/>
      <c r="BL153" s="1093"/>
      <c r="BM153" s="1093"/>
      <c r="BN153" s="1216"/>
      <c r="BO153" s="1216"/>
      <c r="BP153" s="1216"/>
      <c r="BQ153" s="1256"/>
      <c r="BR153" s="1256"/>
      <c r="BS153" s="1039" t="s">
        <v>1713</v>
      </c>
      <c r="BT153" s="1041"/>
      <c r="BU153" s="1041"/>
      <c r="BV153" s="956"/>
      <c r="BW153" s="956"/>
    </row>
    <row s="676" customFormat="1" customHeight="1" ht="20.475" hidden="1">
      <c r="A154" s="676"/>
      <c r="B154" s="407"/>
      <c r="C154" s="75"/>
      <c r="D154" s="75">
        <f>D153+1</f>
        <v>11</v>
      </c>
      <c r="E154" s="802">
        <v>21</v>
      </c>
      <c r="F154" s="50" cm="1" t="str">
        <f t="array" ref="F154:F154">OFFSET(E154,-1,1)</f>
        <v>0</v>
      </c>
      <c r="G154" s="73" t="s">
        <v>1485</v>
      </c>
      <c r="H154" s="73"/>
      <c r="I154" s="73" t="s">
        <v>1742</v>
      </c>
      <c r="J154" s="75"/>
      <c r="K154" s="124" t="s">
        <v>1742</v>
      </c>
      <c r="L154" s="962" t="s">
        <v>1714</v>
      </c>
      <c r="M154" s="75"/>
      <c r="N154" s="75"/>
      <c r="O154" s="75"/>
      <c r="P154" s="75"/>
      <c r="Q154" s="75"/>
      <c r="R154" s="75"/>
      <c r="S154" s="75"/>
      <c r="T154" s="438" cm="1" t="str">
        <f t="array" ref="T154:T154">T153</f>
        <v>false</v>
      </c>
      <c r="U154" s="75"/>
      <c r="V154" s="75"/>
      <c r="W154" s="75"/>
      <c r="X154" s="1541"/>
      <c r="Y154" s="676"/>
      <c r="Z154" s="1494"/>
      <c r="AA154" s="676"/>
      <c r="AB154" s="177" cm="1" t="str">
        <f t="array" ref="AB154:AB154">D154</f>
        <v>11</v>
      </c>
      <c r="AC154" s="178" t="s">
        <v>1716</v>
      </c>
      <c r="AD154" s="177" t="s">
        <v>506</v>
      </c>
      <c r="AE154" s="761">
        <f>_xlfn.SUMIFS(Баланс!AE$26:AE$209,Баланс!$F$26:$F$209,$F154,Баланс!$G$26:$G$209,"ПО")</f>
        <v>0</v>
      </c>
      <c r="AF154" s="761">
        <f>_xlfn.SUMIFS(Баланс!AF$26:AF$209,Баланс!$F$26:$F$209,$F154,Баланс!$G$26:$G$209,"ПО")</f>
        <v>0</v>
      </c>
      <c r="AG154" s="761">
        <f>_xlfn.SUMIFS(Баланс!AG$26:AG$209,Баланс!$F$26:$F$209,$F154,Баланс!$G$26:$G$209,"ПО")</f>
        <v>0</v>
      </c>
      <c r="AH154" s="761">
        <f>AG154-AF154</f>
        <v>0</v>
      </c>
      <c r="AI154" s="761">
        <f>_xlfn.SUMIFS(Баланс!AH$26:AH$209,Баланс!$F$26:$F$209,$F154,Баланс!$G$26:$G$209,"ПО")</f>
        <v>0</v>
      </c>
      <c r="AJ154" s="761">
        <f>_xlfn.SUMIFS(Баланс!AI$26:AI$209,Баланс!$F$26:$F$209,$F154,Баланс!$G$26:$G$209,"ПО")</f>
        <v>0</v>
      </c>
      <c r="AK154" s="761">
        <f>_xlfn.SUMIFS(Баланс!AJ$26:AJ$209,Баланс!$F$26:$F$209,$F154,Баланс!$G$26:$G$209,"ПО")</f>
        <v>0</v>
      </c>
      <c r="AL154" s="761">
        <f>_xlfn.SUMIFS(Баланс!AK$26:AK$209,Баланс!$F$26:$F$209,$F154,Баланс!$G$26:$G$209,"ПО")</f>
        <v>0</v>
      </c>
      <c r="AM154" s="761">
        <f>_xlfn.SUMIFS(Баланс!AL$26:AL$209,Баланс!$F$26:$F$209,$F154,Баланс!$G$26:$G$209,"ПО")</f>
        <v>0</v>
      </c>
      <c r="AN154" s="761">
        <f>_xlfn.SUMIFS(Баланс!AM$26:AM$209,Баланс!$F$26:$F$209,$F154,Баланс!$G$26:$G$209,"ПО")</f>
        <v>0</v>
      </c>
      <c r="AO154" s="761">
        <f>_xlfn.SUMIFS(Баланс!AN$26:AN$209,Баланс!$F$26:$F$209,$F154,Баланс!$G$26:$G$209,"ПО")</f>
        <v>0</v>
      </c>
      <c r="AP154" s="761">
        <f>_xlfn.SUMIFS(Баланс!AO$26:AO$209,Баланс!$F$26:$F$209,$F154,Баланс!$G$26:$G$209,"ПО")</f>
        <v>0</v>
      </c>
      <c r="AQ154" s="761">
        <f>_xlfn.SUMIFS(Баланс!AP$26:AP$209,Баланс!$F$26:$F$209,$F154,Баланс!$G$26:$G$209,"ПО")</f>
        <v>0</v>
      </c>
      <c r="AR154" s="761">
        <f>_xlfn.SUMIFS(Баланс!AQ$26:AQ$209,Баланс!$F$26:$F$209,$F154,Баланс!$G$26:$G$209,"ПО")</f>
        <v>0</v>
      </c>
      <c r="AS154" s="761">
        <f>_xlfn.SUMIFS(Баланс!AR$26:AR$209,Баланс!$F$26:$F$209,$F154,Баланс!$G$26:$G$209,"ПО")</f>
        <v>0</v>
      </c>
      <c r="AT154" s="761">
        <f>_xlfn.SUMIFS(Баланс!AS$26:AS$209,Баланс!$F$26:$F$209,$F154,Баланс!$G$26:$G$209,"ПО")</f>
        <v>0</v>
      </c>
      <c r="AU154" s="761">
        <f>_xlfn.SUMIFS(Баланс!AT$26:AT$209,Баланс!$F$26:$F$209,$F154,Баланс!$G$26:$G$209,"ПО")</f>
        <v>0</v>
      </c>
      <c r="AV154" s="761">
        <f>_xlfn.SUMIFS(Баланс!AU$26:AU$209,Баланс!$F$26:$F$209,$F154,Баланс!$G$26:$G$209,"ПО")</f>
        <v>0</v>
      </c>
      <c r="AW154" s="761">
        <f>_xlfn.SUMIFS(Баланс!AV$26:AV$209,Баланс!$F$26:$F$209,$F154,Баланс!$G$26:$G$209,"ПО")</f>
        <v>0</v>
      </c>
      <c r="AX154" s="761">
        <f>_xlfn.SUMIFS(Баланс!AW$26:AW$209,Баланс!$F$26:$F$209,$F154,Баланс!$G$26:$G$209,"ПО")</f>
        <v>0</v>
      </c>
      <c r="AY154" s="761">
        <f>_xlfn.SUMIFS(Баланс!AX$26:AX$209,Баланс!$F$26:$F$209,$F154,Баланс!$G$26:$G$209,"ПО")</f>
        <v>0</v>
      </c>
      <c r="AZ154" s="761">
        <f>_xlfn.SUMIFS(Баланс!AY$26:AY$209,Баланс!$F$26:$F$209,$F154,Баланс!$G$26:$G$209,"ПО")</f>
        <v>0</v>
      </c>
      <c r="BA154" s="761">
        <f>_xlfn.SUMIFS(Баланс!AZ$26:AZ$209,Баланс!$F$26:$F$209,$F154,Баланс!$G$26:$G$209,"ПО")</f>
        <v>0</v>
      </c>
      <c r="BB154" s="761">
        <f>_xlfn.SUMIFS(Баланс!BA$26:BA$209,Баланс!$F$26:$F$209,$F154,Баланс!$G$26:$G$209,"ПО")</f>
        <v>0</v>
      </c>
      <c r="BC154" s="761">
        <f>_xlfn.SUMIFS(Баланс!BB$26:BB$209,Баланс!$F$26:$F$209,$F154,Баланс!$G$26:$G$209,"ПО")</f>
        <v>0</v>
      </c>
      <c r="BD154" s="182"/>
      <c r="BE154" s="182"/>
      <c r="BF154" s="182"/>
      <c r="BG154" s="182"/>
      <c r="BH154" s="182"/>
      <c r="BI154" s="182"/>
      <c r="BJ154" s="182"/>
      <c r="BK154" s="182"/>
      <c r="BL154" s="182"/>
      <c r="BM154" s="182"/>
      <c r="BN154" s="1216"/>
      <c r="BO154" s="1216"/>
      <c r="BP154" s="1216"/>
      <c r="BQ154" s="676"/>
      <c r="BR154" s="676"/>
      <c r="BS154" s="1040" t="s">
        <v>1717</v>
      </c>
      <c r="BT154" s="1047"/>
      <c r="BU154" s="1047"/>
      <c r="BV154" s="683"/>
      <c r="BW154" s="683"/>
    </row>
    <row customHeight="1" ht="14.625" hidden="1">
      <c r="A155" s="1256"/>
      <c r="B155" s="955"/>
      <c r="C155" s="73"/>
      <c r="D155" s="73" cm="1" t="str">
        <f t="array" ref="D155:D155">D154</f>
        <v>11</v>
      </c>
      <c r="E155" s="596">
        <v>15</v>
      </c>
      <c r="F155" s="50" cm="1" t="str">
        <f t="array" ref="F155:F155">OFFSET(E155,-1,1)</f>
        <v>0</v>
      </c>
      <c r="G155" s="73" t="s">
        <v>1512</v>
      </c>
      <c r="H155" s="73"/>
      <c r="I155" s="73" t="s">
        <v>2043</v>
      </c>
      <c r="J155" s="73"/>
      <c r="K155" s="124" t="s">
        <v>2043</v>
      </c>
      <c r="L155" s="957" t="s">
        <v>1718</v>
      </c>
      <c r="M155" s="73"/>
      <c r="N155" s="73"/>
      <c r="O155" s="73"/>
      <c r="P155" s="73"/>
      <c r="Q155" s="73"/>
      <c r="R155" s="73"/>
      <c r="S155" s="73"/>
      <c r="T155" s="438" cm="1" t="str">
        <f t="array" ref="T155:T155">T154</f>
        <v>false</v>
      </c>
      <c r="U155" s="73"/>
      <c r="V155" s="73"/>
      <c r="W155" s="73"/>
      <c r="X155" s="1541"/>
      <c r="Y155" s="1256"/>
      <c r="Z155" s="1494"/>
      <c r="AA155" s="1256"/>
      <c r="AB155" s="266" t="str">
        <f>D155&amp;".1"</f>
        <v>11.1</v>
      </c>
      <c r="AC155" s="1089" t="s">
        <v>1720</v>
      </c>
      <c r="AD155" s="266" t="s">
        <v>506</v>
      </c>
      <c r="AE155" s="1217">
        <f>AE154/2</f>
        <v>0</v>
      </c>
      <c r="AF155" s="1217">
        <f>AF154/2</f>
        <v>0</v>
      </c>
      <c r="AG155" s="1217">
        <f>AG154/2</f>
        <v>0</v>
      </c>
      <c r="AH155" s="1091">
        <f>AG155-AF155</f>
        <v>0</v>
      </c>
      <c r="AI155" s="1217">
        <f>AI154/2</f>
        <v>0</v>
      </c>
      <c r="AJ155" s="3551">
        <f>IF(god=2026,AJ154/12*9,AJ154/2)</f>
        <v>0</v>
      </c>
      <c r="AK155" s="1217">
        <f>IF(god=2025,AK154/12*9,AK154/2)</f>
        <v>0</v>
      </c>
      <c r="AL155" s="1217">
        <f>AL154/2</f>
        <v>0</v>
      </c>
      <c r="AM155" s="1217">
        <f>AM154/2</f>
        <v>0</v>
      </c>
      <c r="AN155" s="1217">
        <f>AN154/2</f>
        <v>0</v>
      </c>
      <c r="AO155" s="1217">
        <f>AO154/2</f>
        <v>0</v>
      </c>
      <c r="AP155" s="1217">
        <f>AP154/2</f>
        <v>0</v>
      </c>
      <c r="AQ155" s="1217">
        <f>AQ154/2</f>
        <v>0</v>
      </c>
      <c r="AR155" s="1217">
        <f>AR154/2</f>
        <v>0</v>
      </c>
      <c r="AS155" s="1217">
        <f>AS154/2</f>
        <v>0</v>
      </c>
      <c r="AT155" s="3611">
        <f>IF(god=2026,AT154/12*9,AT154/2)</f>
        <v>0</v>
      </c>
      <c r="AU155" s="1239">
        <f>IF(god=2025,AU154/12*9,AU154/2)</f>
        <v>0</v>
      </c>
      <c r="AV155" s="1217">
        <f>AV154/2</f>
        <v>0</v>
      </c>
      <c r="AW155" s="1217">
        <f>AW154/2</f>
        <v>0</v>
      </c>
      <c r="AX155" s="1217">
        <f>AX154/2</f>
        <v>0</v>
      </c>
      <c r="AY155" s="1217">
        <f>AY154/2</f>
        <v>0</v>
      </c>
      <c r="AZ155" s="1217">
        <f>AZ154/2</f>
        <v>0</v>
      </c>
      <c r="BA155" s="1217">
        <f>BA154/2</f>
        <v>0</v>
      </c>
      <c r="BB155" s="1217">
        <f>BB154/2</f>
        <v>0</v>
      </c>
      <c r="BC155" s="1217">
        <f>BC154/2</f>
        <v>0</v>
      </c>
      <c r="BD155" s="1093"/>
      <c r="BE155" s="1093"/>
      <c r="BF155" s="1093"/>
      <c r="BG155" s="1093"/>
      <c r="BH155" s="1093"/>
      <c r="BI155" s="1093"/>
      <c r="BJ155" s="1093"/>
      <c r="BK155" s="1093"/>
      <c r="BL155" s="1093"/>
      <c r="BM155" s="1093"/>
      <c r="BN155" s="1216"/>
      <c r="BO155" s="1216"/>
      <c r="BP155" s="1216"/>
      <c r="BQ155" s="1256"/>
      <c r="BR155" s="1256"/>
      <c r="BS155" s="1039" t="s">
        <v>1721</v>
      </c>
      <c r="BT155" s="1041"/>
      <c r="BU155" s="1041"/>
      <c r="BV155" s="956"/>
      <c r="BW155" s="956"/>
    </row>
    <row customHeight="1" ht="14.625" hidden="1">
      <c r="A156" s="1256"/>
      <c r="B156" s="955"/>
      <c r="C156" s="73"/>
      <c r="D156" s="73" cm="1" t="str">
        <f t="array" ref="D156:D156">D155</f>
        <v>11</v>
      </c>
      <c r="E156" s="596">
        <v>15</v>
      </c>
      <c r="F156" s="50" cm="1" t="str">
        <f t="array" ref="F156:F156">OFFSET(E156,-1,1)</f>
        <v>0</v>
      </c>
      <c r="G156" s="73" t="s">
        <v>1473</v>
      </c>
      <c r="H156" s="73"/>
      <c r="I156" s="73" t="s">
        <v>2044</v>
      </c>
      <c r="J156" s="73"/>
      <c r="K156" s="124" t="s">
        <v>2044</v>
      </c>
      <c r="L156" s="957" t="s">
        <v>1722</v>
      </c>
      <c r="M156" s="73"/>
      <c r="N156" s="73"/>
      <c r="O156" s="73"/>
      <c r="P156" s="73"/>
      <c r="Q156" s="73"/>
      <c r="R156" s="73"/>
      <c r="S156" s="73"/>
      <c r="T156" s="438" cm="1" t="str">
        <f t="array" ref="T156:T156">T155</f>
        <v>false</v>
      </c>
      <c r="U156" s="73"/>
      <c r="V156" s="73"/>
      <c r="W156" s="73"/>
      <c r="X156" s="1541"/>
      <c r="Y156" s="1256"/>
      <c r="Z156" s="1494"/>
      <c r="AA156" s="1256"/>
      <c r="AB156" s="266" t="str">
        <f>D156&amp;".2"</f>
        <v>11.2</v>
      </c>
      <c r="AC156" s="1089" t="s">
        <v>1724</v>
      </c>
      <c r="AD156" s="266" t="s">
        <v>1476</v>
      </c>
      <c r="AE156" s="1219"/>
      <c r="AF156" s="1219"/>
      <c r="AG156" s="1219"/>
      <c r="AH156" s="1092">
        <f>AG156-AF156</f>
        <v>0</v>
      </c>
      <c r="AI156" s="1219"/>
      <c r="AJ156" s="3564"/>
      <c r="AK156" s="1219"/>
      <c r="AL156" s="1219"/>
      <c r="AM156" s="1219"/>
      <c r="AN156" s="1219"/>
      <c r="AO156" s="1219"/>
      <c r="AP156" s="1219"/>
      <c r="AQ156" s="1219"/>
      <c r="AR156" s="1219"/>
      <c r="AS156" s="1219"/>
      <c r="AT156" s="3564"/>
      <c r="AU156" s="1219" cm="1" t="str">
        <f t="array" ref="AU156:AU156">AT158</f>
        <v>0</v>
      </c>
      <c r="AV156" s="1219" cm="1" t="str">
        <f t="array" ref="AV156:AV156">AU158</f>
        <v>0</v>
      </c>
      <c r="AW156" s="1219" cm="1" t="str">
        <f t="array" ref="AW156:AW156">AV158</f>
        <v>0</v>
      </c>
      <c r="AX156" s="1219" cm="1" t="str">
        <f t="array" ref="AX156:AX156">AW158</f>
        <v>0</v>
      </c>
      <c r="AY156" s="1219" cm="1" t="str">
        <f t="array" ref="AY156:AY156">AX158</f>
        <v>0</v>
      </c>
      <c r="AZ156" s="1219" cm="1" t="str">
        <f t="array" ref="AZ156:AZ156">AY158</f>
        <v>0</v>
      </c>
      <c r="BA156" s="1219" cm="1" t="str">
        <f t="array" ref="BA156:BA156">AZ158</f>
        <v>0</v>
      </c>
      <c r="BB156" s="1219" cm="1" t="str">
        <f t="array" ref="BB156:BB156">BA158</f>
        <v>0</v>
      </c>
      <c r="BC156" s="1219" cm="1" t="str">
        <f t="array" ref="BC156:BC156">BB158</f>
        <v>0</v>
      </c>
      <c r="BD156" s="1093"/>
      <c r="BE156" s="1093"/>
      <c r="BF156" s="1093"/>
      <c r="BG156" s="1093"/>
      <c r="BH156" s="1093"/>
      <c r="BI156" s="1093"/>
      <c r="BJ156" s="1093"/>
      <c r="BK156" s="1093"/>
      <c r="BL156" s="1093"/>
      <c r="BM156" s="1093"/>
      <c r="BN156" s="1216"/>
      <c r="BO156" s="1216"/>
      <c r="BP156" s="1216"/>
      <c r="BQ156" s="1256"/>
      <c r="BR156" s="1256"/>
      <c r="BS156" s="1039" t="s">
        <v>1725</v>
      </c>
      <c r="BT156" s="1041"/>
      <c r="BU156" s="1041"/>
      <c r="BV156" s="956"/>
      <c r="BW156" s="956"/>
    </row>
    <row customHeight="1" ht="14.625" hidden="1">
      <c r="A157" s="1256"/>
      <c r="B157" s="955"/>
      <c r="C157" s="73"/>
      <c r="D157" s="73" cm="1" t="str">
        <f t="array" ref="D157:D157">D156</f>
        <v>11</v>
      </c>
      <c r="E157" s="596">
        <v>15</v>
      </c>
      <c r="F157" s="50" cm="1" t="str">
        <f t="array" ref="F157:F157">OFFSET(E157,-1,1)</f>
        <v>0</v>
      </c>
      <c r="G157" s="73" t="s">
        <v>1525</v>
      </c>
      <c r="H157" s="73"/>
      <c r="I157" s="73" t="s">
        <v>2045</v>
      </c>
      <c r="J157" s="73"/>
      <c r="K157" s="124" t="s">
        <v>2045</v>
      </c>
      <c r="L157" s="957" t="s">
        <v>1726</v>
      </c>
      <c r="M157" s="73"/>
      <c r="N157" s="73"/>
      <c r="O157" s="73"/>
      <c r="P157" s="73"/>
      <c r="Q157" s="73"/>
      <c r="R157" s="73"/>
      <c r="S157" s="73"/>
      <c r="T157" s="438" cm="1" t="str">
        <f t="array" ref="T157:T157">T156</f>
        <v>false</v>
      </c>
      <c r="U157" s="73"/>
      <c r="V157" s="73"/>
      <c r="W157" s="73"/>
      <c r="X157" s="1541"/>
      <c r="Y157" s="1256"/>
      <c r="Z157" s="1494"/>
      <c r="AA157" s="1256"/>
      <c r="AB157" s="266" t="str">
        <f>D157&amp;".3"</f>
        <v>11.3</v>
      </c>
      <c r="AC157" s="1089" t="s">
        <v>2046</v>
      </c>
      <c r="AD157" s="266" t="s">
        <v>506</v>
      </c>
      <c r="AE157" s="1091">
        <f>AE154-AE155</f>
        <v>0</v>
      </c>
      <c r="AF157" s="1091">
        <f>AF154-AF155</f>
        <v>0</v>
      </c>
      <c r="AG157" s="1091">
        <f>AG154-AG155</f>
        <v>0</v>
      </c>
      <c r="AH157" s="1091">
        <f>AG157-AF157</f>
        <v>0</v>
      </c>
      <c r="AI157" s="1091">
        <f>AI154-AI155</f>
        <v>0</v>
      </c>
      <c r="AJ157" s="1091">
        <f>AJ154-AJ155</f>
        <v>0</v>
      </c>
      <c r="AK157" s="1091">
        <f>AK154-AK155</f>
        <v>0</v>
      </c>
      <c r="AL157" s="1091">
        <f>AL154-AL155</f>
        <v>0</v>
      </c>
      <c r="AM157" s="1091">
        <f>AM154-AM155</f>
        <v>0</v>
      </c>
      <c r="AN157" s="1091">
        <f>AN154-AN155</f>
        <v>0</v>
      </c>
      <c r="AO157" s="1091">
        <f>AO154-AO155</f>
        <v>0</v>
      </c>
      <c r="AP157" s="1091">
        <f>AP154-AP155</f>
        <v>0</v>
      </c>
      <c r="AQ157" s="1091">
        <f>AQ154-AQ155</f>
        <v>0</v>
      </c>
      <c r="AR157" s="1091">
        <f>AR154-AR155</f>
        <v>0</v>
      </c>
      <c r="AS157" s="1091">
        <f>AS154-AS155</f>
        <v>0</v>
      </c>
      <c r="AT157" s="1091">
        <f>AT154-AT155</f>
        <v>0</v>
      </c>
      <c r="AU157" s="1091">
        <f>AU154-AU155</f>
        <v>0</v>
      </c>
      <c r="AV157" s="1091">
        <f>AV154-AV155</f>
        <v>0</v>
      </c>
      <c r="AW157" s="1091">
        <f>AW154-AW155</f>
        <v>0</v>
      </c>
      <c r="AX157" s="1091">
        <f>AX154-AX155</f>
        <v>0</v>
      </c>
      <c r="AY157" s="1091">
        <f>AY154-AY155</f>
        <v>0</v>
      </c>
      <c r="AZ157" s="1091">
        <f>AZ154-AZ155</f>
        <v>0</v>
      </c>
      <c r="BA157" s="1091">
        <f>BA154-BA155</f>
        <v>0</v>
      </c>
      <c r="BB157" s="1091">
        <f>BB154-BB155</f>
        <v>0</v>
      </c>
      <c r="BC157" s="1091">
        <f>BC154-BC155</f>
        <v>0</v>
      </c>
      <c r="BD157" s="1093"/>
      <c r="BE157" s="1093"/>
      <c r="BF157" s="1093"/>
      <c r="BG157" s="1093"/>
      <c r="BH157" s="1093"/>
      <c r="BI157" s="1093"/>
      <c r="BJ157" s="1093"/>
      <c r="BK157" s="1093"/>
      <c r="BL157" s="1093"/>
      <c r="BM157" s="1093"/>
      <c r="BN157" s="1216"/>
      <c r="BO157" s="1216"/>
      <c r="BP157" s="1216"/>
      <c r="BQ157" s="1256"/>
      <c r="BR157" s="1256"/>
      <c r="BS157" s="1039" t="s">
        <v>1729</v>
      </c>
      <c r="BT157" s="1041"/>
      <c r="BU157" s="1041"/>
      <c r="BV157" s="956"/>
      <c r="BW157" s="956"/>
    </row>
    <row customHeight="1" ht="14.625" hidden="1">
      <c r="A158" s="1256"/>
      <c r="B158" s="955"/>
      <c r="C158" s="73"/>
      <c r="D158" s="73" cm="1" t="str">
        <f t="array" ref="D158:D158">D157</f>
        <v>11</v>
      </c>
      <c r="E158" s="596">
        <v>15</v>
      </c>
      <c r="F158" s="50" cm="1" t="str">
        <f t="array" ref="F158:F158">OFFSET(E158,-1,1)</f>
        <v>0</v>
      </c>
      <c r="G158" s="73" t="s">
        <v>1478</v>
      </c>
      <c r="H158" s="73"/>
      <c r="I158" s="73" t="s">
        <v>2047</v>
      </c>
      <c r="J158" s="73"/>
      <c r="K158" s="124" t="s">
        <v>2047</v>
      </c>
      <c r="L158" s="957" t="s">
        <v>1730</v>
      </c>
      <c r="M158" s="73"/>
      <c r="N158" s="73"/>
      <c r="O158" s="73"/>
      <c r="P158" s="73"/>
      <c r="Q158" s="73"/>
      <c r="R158" s="73"/>
      <c r="S158" s="73"/>
      <c r="T158" s="438" cm="1" t="str">
        <f t="array" ref="T158:T158">T157</f>
        <v>false</v>
      </c>
      <c r="U158" s="73"/>
      <c r="V158" s="73"/>
      <c r="W158" s="73"/>
      <c r="X158" s="1541"/>
      <c r="Y158" s="1256"/>
      <c r="Z158" s="1494"/>
      <c r="AA158" s="1256"/>
      <c r="AB158" s="266" t="str">
        <f>D158&amp;".4"</f>
        <v>11.4</v>
      </c>
      <c r="AC158" s="1089" t="s">
        <v>1732</v>
      </c>
      <c r="AD158" s="266" t="s">
        <v>1476</v>
      </c>
      <c r="AE158" s="1219">
        <f>IF(AE157=0,0,(AE151-AE155*AE156)/AE157)</f>
        <v>0</v>
      </c>
      <c r="AF158" s="1219">
        <f>IF(AF157=0,0,(AF151-AF155*AF156)/AF157)</f>
        <v>0</v>
      </c>
      <c r="AG158" s="1219">
        <f>IF(AG157=0,0,(AG151-AG155*AG156)/AG157)</f>
        <v>0</v>
      </c>
      <c r="AH158" s="1092">
        <f>AG158-AF158</f>
        <v>0</v>
      </c>
      <c r="AI158" s="1219">
        <f>IF(AI157=0,0,(AI151-AI155*AI156)/AI157)</f>
        <v>0</v>
      </c>
      <c r="AJ158" s="3564">
        <f>IF(AJ157=0,0,(AJ151-AJ155*AJ156)/AJ157)</f>
        <v>0</v>
      </c>
      <c r="AK158" s="1219">
        <f>IF(AK157=0,0,(AK151-AK155*AK156)/AK157)</f>
        <v>0</v>
      </c>
      <c r="AL158" s="1219">
        <f>IF(AL157=0,0,(AL151-AL155*AL156)/AL157)</f>
        <v>0</v>
      </c>
      <c r="AM158" s="1219">
        <f>IF(AM157=0,0,(AM151-AM155*AM156)/AM157)</f>
        <v>0</v>
      </c>
      <c r="AN158" s="1219">
        <f>IF(AN157=0,0,(AN151-AN155*AN156)/AN157)</f>
        <v>0</v>
      </c>
      <c r="AO158" s="1219">
        <f>IF(AO157=0,0,(AO151-AO155*AO156)/AO157)</f>
        <v>0</v>
      </c>
      <c r="AP158" s="1219">
        <f>IF(AP157=0,0,(AP151-AP155*AP156)/AP157)</f>
        <v>0</v>
      </c>
      <c r="AQ158" s="1219">
        <f>IF(AQ157=0,0,(AQ151-AQ155*AQ156)/AQ157)</f>
        <v>0</v>
      </c>
      <c r="AR158" s="1219">
        <f>IF(AR157=0,0,(AR151-AR155*AR156)/AR157)</f>
        <v>0</v>
      </c>
      <c r="AS158" s="1219">
        <f>IF(AS157=0,0,(AS151-AS155*AS156)/AS157)</f>
        <v>0</v>
      </c>
      <c r="AT158" s="3564">
        <f>IF(AT157=0,0,(AT151-AT155*AT156)/AT157)</f>
        <v>0</v>
      </c>
      <c r="AU158" s="1219">
        <f>IF(AU157=0,0,(AU151-AU155*AU156)/AU157)</f>
        <v>0</v>
      </c>
      <c r="AV158" s="1219">
        <f>IF(AV157=0,0,(AV151-AV155*AV156)/AV157)</f>
        <v>0</v>
      </c>
      <c r="AW158" s="1219">
        <f>IF(AW157=0,0,(AW151-AW155*AW156)/AW157)</f>
        <v>0</v>
      </c>
      <c r="AX158" s="1219">
        <f>IF(AX157=0,0,(AX151-AX155*AX156)/AX157)</f>
        <v>0</v>
      </c>
      <c r="AY158" s="1219">
        <f>IF(AY157=0,0,(AY151-AY155*AY156)/AY157)</f>
        <v>0</v>
      </c>
      <c r="AZ158" s="1219">
        <f>IF(AZ157=0,0,(AZ151-AZ155*AZ156)/AZ157)</f>
        <v>0</v>
      </c>
      <c r="BA158" s="1219">
        <f>IF(BA157=0,0,(BA151-BA155*BA156)/BA157)</f>
        <v>0</v>
      </c>
      <c r="BB158" s="1219">
        <f>IF(BB157=0,0,(BB151-BB155*BB156)/BB157)</f>
        <v>0</v>
      </c>
      <c r="BC158" s="1219">
        <f>IF(BC157=0,0,(BC151-BC155*BC156)/BC157)</f>
        <v>0</v>
      </c>
      <c r="BD158" s="1093"/>
      <c r="BE158" s="1093"/>
      <c r="BF158" s="1093"/>
      <c r="BG158" s="1093"/>
      <c r="BH158" s="1093"/>
      <c r="BI158" s="1093"/>
      <c r="BJ158" s="1093"/>
      <c r="BK158" s="1093"/>
      <c r="BL158" s="1093"/>
      <c r="BM158" s="1093"/>
      <c r="BN158" s="1216"/>
      <c r="BO158" s="1216"/>
      <c r="BP158" s="1216"/>
      <c r="BQ158" s="1256"/>
      <c r="BR158" s="1256"/>
      <c r="BS158" s="1039" t="s">
        <v>1733</v>
      </c>
      <c r="BT158" s="1041"/>
      <c r="BU158" s="1041"/>
      <c r="BV158" s="956"/>
      <c r="BW158" s="956"/>
    </row>
    <row customHeight="1" ht="14.625" hidden="1">
      <c r="A159" s="1256"/>
      <c r="B159" s="955"/>
      <c r="C159" s="73"/>
      <c r="D159" s="73" cm="1" t="str">
        <f t="array" ref="D159:D159">D158</f>
        <v>11</v>
      </c>
      <c r="E159" s="596">
        <v>15</v>
      </c>
      <c r="F159" s="50" cm="1" t="str">
        <f t="array" ref="F159:F159">OFFSET(E159,-1,1)</f>
        <v>0</v>
      </c>
      <c r="G159" s="73"/>
      <c r="H159" s="73"/>
      <c r="I159" s="73" t="s">
        <v>2048</v>
      </c>
      <c r="J159" s="73"/>
      <c r="K159" s="124" t="s">
        <v>2048</v>
      </c>
      <c r="L159" s="957" t="s">
        <v>1734</v>
      </c>
      <c r="M159" s="73"/>
      <c r="N159" s="73"/>
      <c r="O159" s="73"/>
      <c r="P159" s="73"/>
      <c r="Q159" s="73"/>
      <c r="R159" s="73"/>
      <c r="S159" s="73"/>
      <c r="T159" s="438" cm="1" t="str">
        <f t="array" ref="T159:T159">T158</f>
        <v>false</v>
      </c>
      <c r="U159" s="73"/>
      <c r="V159" s="73"/>
      <c r="W159" s="73"/>
      <c r="X159" s="1541"/>
      <c r="Y159" s="1256"/>
      <c r="Z159" s="1494"/>
      <c r="AA159" s="1256"/>
      <c r="AB159" s="266" t="str">
        <f>D159&amp;".5"</f>
        <v>11.5</v>
      </c>
      <c r="AC159" s="1089" t="s">
        <v>1736</v>
      </c>
      <c r="AD159" s="266" t="s">
        <v>430</v>
      </c>
      <c r="AE159" s="1092">
        <f>IF(AE156=0,0,AE158/AE156*100)</f>
        <v>0</v>
      </c>
      <c r="AF159" s="1092">
        <f>IF(AF156=0,0,AF158/AF156*100)</f>
        <v>0</v>
      </c>
      <c r="AG159" s="1092">
        <f>IF(AG156=0,0,AG158/AG156*100)</f>
        <v>0</v>
      </c>
      <c r="AH159" s="1093"/>
      <c r="AI159" s="1092">
        <f>IF(AI156=0,0,AI158/AI156*100)</f>
        <v>0</v>
      </c>
      <c r="AJ159" s="1092">
        <f>IF(AJ156=0,0,AJ158/AJ156*100)</f>
        <v>0</v>
      </c>
      <c r="AK159" s="1092">
        <f>IF(AK156=0,0,AK158/AK156*100)</f>
        <v>0</v>
      </c>
      <c r="AL159" s="1092">
        <f>IF(AL156=0,0,AL158/AL156*100)</f>
        <v>0</v>
      </c>
      <c r="AM159" s="1092">
        <f>IF(AM156=0,0,AM158/AM156*100)</f>
        <v>0</v>
      </c>
      <c r="AN159" s="1092">
        <f>IF(AN156=0,0,AN158/AN156*100)</f>
        <v>0</v>
      </c>
      <c r="AO159" s="1092">
        <f>IF(AO156=0,0,AO158/AO156*100)</f>
        <v>0</v>
      </c>
      <c r="AP159" s="1092">
        <f>IF(AP156=0,0,AP158/AP156*100)</f>
        <v>0</v>
      </c>
      <c r="AQ159" s="1092">
        <f>IF(AQ156=0,0,AQ158/AQ156*100)</f>
        <v>0</v>
      </c>
      <c r="AR159" s="1092">
        <f>IF(AR156=0,0,AR158/AR156*100)</f>
        <v>0</v>
      </c>
      <c r="AS159" s="1092">
        <f>IF(AS156=0,0,AS158/AS156*100)</f>
        <v>0</v>
      </c>
      <c r="AT159" s="1092">
        <f>IF(AT156=0,0,AT158/AT156*100)</f>
        <v>0</v>
      </c>
      <c r="AU159" s="1092">
        <f>IF(AU156=0,0,AU158/AU156*100)</f>
        <v>0</v>
      </c>
      <c r="AV159" s="1092">
        <f>IF(AV156=0,0,AV158/AV156*100)</f>
        <v>0</v>
      </c>
      <c r="AW159" s="1092">
        <f>IF(AW156=0,0,AW158/AW156*100)</f>
        <v>0</v>
      </c>
      <c r="AX159" s="1092">
        <f>IF(AX156=0,0,AX158/AX156*100)</f>
        <v>0</v>
      </c>
      <c r="AY159" s="1092">
        <f>IF(AY156=0,0,AY158/AY156*100)</f>
        <v>0</v>
      </c>
      <c r="AZ159" s="1092">
        <f>IF(AZ156=0,0,AZ158/AZ156*100)</f>
        <v>0</v>
      </c>
      <c r="BA159" s="1092">
        <f>IF(BA156=0,0,BA158/BA156*100)</f>
        <v>0</v>
      </c>
      <c r="BB159" s="1092">
        <f>IF(BB156=0,0,BB158/BB156*100)</f>
        <v>0</v>
      </c>
      <c r="BC159" s="1092">
        <f>IF(BC156=0,0,BC158/BC156*100)</f>
        <v>0</v>
      </c>
      <c r="BD159" s="1093"/>
      <c r="BE159" s="1093"/>
      <c r="BF159" s="1093"/>
      <c r="BG159" s="1093"/>
      <c r="BH159" s="1093"/>
      <c r="BI159" s="1093"/>
      <c r="BJ159" s="1093"/>
      <c r="BK159" s="1093"/>
      <c r="BL159" s="1093"/>
      <c r="BM159" s="1093"/>
      <c r="BN159" s="1216"/>
      <c r="BO159" s="1216"/>
      <c r="BP159" s="1216"/>
      <c r="BQ159" s="1256"/>
      <c r="BR159" s="1256"/>
      <c r="BS159" s="1039" t="s">
        <v>1737</v>
      </c>
      <c r="BT159" s="1041"/>
      <c r="BU159" s="1041"/>
      <c r="BV159" s="956"/>
      <c r="BW159" s="956"/>
    </row>
    <row customHeight="1" ht="14.625" hidden="1">
      <c r="A160" s="1256"/>
      <c r="B160" s="955"/>
      <c r="C160" s="73"/>
      <c r="D160" s="73" cm="1" t="str">
        <f t="array" ref="D160:D160">D159</f>
        <v>11</v>
      </c>
      <c r="E160" s="596">
        <v>15</v>
      </c>
      <c r="F160" s="50" cm="1" t="str">
        <f t="array" ref="F160:F160">OFFSET(E160,-1,1)</f>
        <v>0</v>
      </c>
      <c r="G160" s="73"/>
      <c r="H160" s="73"/>
      <c r="I160" s="73" t="s">
        <v>2049</v>
      </c>
      <c r="J160" s="73"/>
      <c r="K160" s="124" t="s">
        <v>2049</v>
      </c>
      <c r="L160" s="957" t="s">
        <v>1738</v>
      </c>
      <c r="M160" s="73"/>
      <c r="N160" s="73"/>
      <c r="O160" s="73"/>
      <c r="P160" s="73"/>
      <c r="Q160" s="73"/>
      <c r="R160" s="73"/>
      <c r="S160" s="73"/>
      <c r="T160" s="438" cm="1" t="str">
        <f t="array" ref="T160:T160">T159</f>
        <v>false</v>
      </c>
      <c r="U160" s="73"/>
      <c r="V160" s="73"/>
      <c r="W160" s="73"/>
      <c r="X160" s="1541"/>
      <c r="Y160" s="1256"/>
      <c r="Z160" s="1494"/>
      <c r="AA160" s="1256"/>
      <c r="AB160" s="266" t="str">
        <f>D160&amp;".6"</f>
        <v>11.6</v>
      </c>
      <c r="AC160" s="1089" t="s">
        <v>1740</v>
      </c>
      <c r="AD160" s="266" t="s">
        <v>1476</v>
      </c>
      <c r="AE160" s="1219">
        <f>IF(AE154=0,0,AE151/AE154)</f>
        <v>0</v>
      </c>
      <c r="AF160" s="1219">
        <f>IF(AF154=0,0,AF151/AF154)</f>
        <v>0</v>
      </c>
      <c r="AG160" s="1219">
        <f>IF(AG154=0,0,AG151/AG154)</f>
        <v>0</v>
      </c>
      <c r="AH160" s="1092">
        <f>AG160-AF160</f>
        <v>0</v>
      </c>
      <c r="AI160" s="1219">
        <f>IF(AI154=0,0,AI151/AI154)</f>
        <v>0</v>
      </c>
      <c r="AJ160" s="3564">
        <f>IF(AJ154=0,0,AJ151/AJ154)</f>
        <v>0</v>
      </c>
      <c r="AK160" s="1219">
        <f>IF(AK154=0,0,AK151/AK154)</f>
        <v>0</v>
      </c>
      <c r="AL160" s="1219">
        <f>IF(AL154=0,0,AL151/AL154)</f>
        <v>0</v>
      </c>
      <c r="AM160" s="1219">
        <f>IF(AM154=0,0,AM151/AM154)</f>
        <v>0</v>
      </c>
      <c r="AN160" s="1219">
        <f>IF(AN154=0,0,AN151/AN154)</f>
        <v>0</v>
      </c>
      <c r="AO160" s="1219">
        <f>IF(AO154=0,0,AO151/AO154)</f>
        <v>0</v>
      </c>
      <c r="AP160" s="1219">
        <f>IF(AP154=0,0,AP151/AP154)</f>
        <v>0</v>
      </c>
      <c r="AQ160" s="1219">
        <f>IF(AQ154=0,0,AQ151/AQ154)</f>
        <v>0</v>
      </c>
      <c r="AR160" s="1219">
        <f>IF(AR154=0,0,AR151/AR154)</f>
        <v>0</v>
      </c>
      <c r="AS160" s="1219">
        <f>IF(AS154=0,0,AS151/AS154)</f>
        <v>0</v>
      </c>
      <c r="AT160" s="3564">
        <f>IF(AT154=0,0,AT151/AT154)</f>
        <v>0</v>
      </c>
      <c r="AU160" s="1219">
        <f>IF(AU154=0,0,AU151/AU154)</f>
        <v>0</v>
      </c>
      <c r="AV160" s="1219">
        <f>IF(AV154=0,0,AV151/AV154)</f>
        <v>0</v>
      </c>
      <c r="AW160" s="1219">
        <f>IF(AW154=0,0,AW151/AW154)</f>
        <v>0</v>
      </c>
      <c r="AX160" s="1219">
        <f>IF(AX154=0,0,AX151/AX154)</f>
        <v>0</v>
      </c>
      <c r="AY160" s="1219">
        <f>IF(AY154=0,0,AY151/AY154)</f>
        <v>0</v>
      </c>
      <c r="AZ160" s="1219">
        <f>IF(AZ154=0,0,AZ151/AZ154)</f>
        <v>0</v>
      </c>
      <c r="BA160" s="1219">
        <f>IF(BA154=0,0,BA151/BA154)</f>
        <v>0</v>
      </c>
      <c r="BB160" s="1219">
        <f>IF(BB154=0,0,BB151/BB154)</f>
        <v>0</v>
      </c>
      <c r="BC160" s="1219">
        <f>IF(BC154=0,0,BC151/BC154)</f>
        <v>0</v>
      </c>
      <c r="BD160" s="1093"/>
      <c r="BE160" s="1093"/>
      <c r="BF160" s="1093"/>
      <c r="BG160" s="1093"/>
      <c r="BH160" s="1093"/>
      <c r="BI160" s="1093"/>
      <c r="BJ160" s="1093"/>
      <c r="BK160" s="1093"/>
      <c r="BL160" s="1093"/>
      <c r="BM160" s="1093"/>
      <c r="BN160" s="1216"/>
      <c r="BO160" s="1216"/>
      <c r="BP160" s="1216"/>
      <c r="BQ160" s="1256"/>
      <c r="BR160" s="1256"/>
      <c r="BS160" s="1039" t="s">
        <v>1741</v>
      </c>
      <c r="BT160" s="1041"/>
      <c r="BU160" s="1041"/>
      <c r="BV160" s="956"/>
      <c r="BW160" s="956"/>
    </row>
    <row s="676" customFormat="1" customHeight="1" ht="20.475" hidden="1">
      <c r="A161" s="676"/>
      <c r="B161" s="407"/>
      <c r="C161" s="75"/>
      <c r="D161" s="75">
        <f>D160+1</f>
        <v>12</v>
      </c>
      <c r="E161" s="802">
        <v>21</v>
      </c>
      <c r="F161" s="50" cm="1" t="str">
        <f t="array" ref="F161:F161">OFFSET(E161,-1,1)</f>
        <v>0</v>
      </c>
      <c r="G161" s="75"/>
      <c r="H161" s="73"/>
      <c r="I161" s="73" t="s">
        <v>1746</v>
      </c>
      <c r="J161" s="75"/>
      <c r="K161" s="124" t="s">
        <v>1746</v>
      </c>
      <c r="L161" s="962" t="s">
        <v>1742</v>
      </c>
      <c r="M161" s="75"/>
      <c r="N161" s="75"/>
      <c r="O161" s="75"/>
      <c r="P161" s="75"/>
      <c r="Q161" s="75"/>
      <c r="R161" s="75"/>
      <c r="S161" s="75"/>
      <c r="T161" s="438" cm="1" t="str">
        <f t="array" ref="T161:T161">T160</f>
        <v>false</v>
      </c>
      <c r="U161" s="75"/>
      <c r="V161" s="75"/>
      <c r="W161" s="75"/>
      <c r="X161" s="1541"/>
      <c r="Y161" s="676"/>
      <c r="Z161" s="1494"/>
      <c r="AA161" s="676"/>
      <c r="AB161" s="177" cm="1" t="str">
        <f t="array" ref="AB161:AB161">D161</f>
        <v>12</v>
      </c>
      <c r="AC161" s="178" t="s">
        <v>1744</v>
      </c>
      <c r="AD161" s="177" t="s">
        <v>789</v>
      </c>
      <c r="AE161" s="1228">
        <f>IF(AE154=0,0,AE151/AE154*AE162)</f>
        <v>0</v>
      </c>
      <c r="AF161" s="1228">
        <f>IF(AF154=0,0,AF151/AF154*AF162)</f>
        <v>0</v>
      </c>
      <c r="AG161" s="1228">
        <f>IF(AG154=0,0,AG151/AG154*AG162)</f>
        <v>0</v>
      </c>
      <c r="AH161" s="179">
        <f>AH163*AH164+AH165*AH166</f>
        <v>0</v>
      </c>
      <c r="AI161" s="1228">
        <f>IF(AI154=0,0,AI151/AI154*AI162)</f>
        <v>0</v>
      </c>
      <c r="AJ161" s="3614">
        <f>IF(AJ154=0,0,AJ151/AJ154*AJ162)</f>
        <v>0</v>
      </c>
      <c r="AK161" s="1228">
        <f>IF(AK154=0,0,AK151/AK154*AK162)</f>
        <v>0</v>
      </c>
      <c r="AL161" s="1228">
        <f>IF(AL154=0,0,AL151/AL154*AL162)</f>
        <v>0</v>
      </c>
      <c r="AM161" s="1228">
        <f>IF(AM154=0,0,AM151/AM154*AM162)</f>
        <v>0</v>
      </c>
      <c r="AN161" s="1228">
        <f>IF(AN154=0,0,AN151/AN154*AN162)</f>
        <v>0</v>
      </c>
      <c r="AO161" s="1228">
        <f>IF(AO154=0,0,AO151/AO154*AO162)</f>
        <v>0</v>
      </c>
      <c r="AP161" s="1228">
        <f>IF(AP154=0,0,AP151/AP154*AP162)</f>
        <v>0</v>
      </c>
      <c r="AQ161" s="1228">
        <f>IF(AQ154=0,0,AQ151/AQ154*AQ162)</f>
        <v>0</v>
      </c>
      <c r="AR161" s="1228">
        <f>IF(AR154=0,0,AR151/AR154*AR162)</f>
        <v>0</v>
      </c>
      <c r="AS161" s="1228">
        <f>IF(AS154=0,0,AS151/AS154*AS162)</f>
        <v>0</v>
      </c>
      <c r="AT161" s="3614">
        <f>IF(AT154=0,0,AT151/AT154*AT162)</f>
        <v>0</v>
      </c>
      <c r="AU161" s="1228">
        <f>IF(AU154=0,0,AU151/AU154*AU162)</f>
        <v>0</v>
      </c>
      <c r="AV161" s="1228">
        <f>IF(AV154=0,0,AV151/AV154*AV162)</f>
        <v>0</v>
      </c>
      <c r="AW161" s="1228">
        <f>IF(AW154=0,0,AW151/AW154*AW162)</f>
        <v>0</v>
      </c>
      <c r="AX161" s="1228">
        <f>IF(AX154=0,0,AX151/AX154*AX162)</f>
        <v>0</v>
      </c>
      <c r="AY161" s="1228">
        <f>IF(AY154=0,0,AY151/AY154*AY162)</f>
        <v>0</v>
      </c>
      <c r="AZ161" s="1228">
        <f>IF(AZ154=0,0,AZ151/AZ154*AZ162)</f>
        <v>0</v>
      </c>
      <c r="BA161" s="1228">
        <f>IF(BA154=0,0,BA151/BA154*BA162)</f>
        <v>0</v>
      </c>
      <c r="BB161" s="1228">
        <f>IF(BB154=0,0,BB151/BB154*BB162)</f>
        <v>0</v>
      </c>
      <c r="BC161" s="1228">
        <f>IF(BC154=0,0,BC151/BC154*BC162)</f>
        <v>0</v>
      </c>
      <c r="BD161" s="754">
        <f>IF(AI161=0,0,(AT161-AI161)/AI161*100)</f>
        <v>0</v>
      </c>
      <c r="BE161" s="754">
        <f>IF(AT161=0,0,(AU161-AT161)/AT161*100)</f>
        <v>0</v>
      </c>
      <c r="BF161" s="754">
        <f>IF(AU161=0,0,(AV161-AU161)/AU161*100)</f>
        <v>0</v>
      </c>
      <c r="BG161" s="754">
        <f>IF(AV161=0,0,(AW161-AV161)/AV161*100)</f>
        <v>0</v>
      </c>
      <c r="BH161" s="754">
        <f>IF(AW161=0,0,(AX161-AW161)/AW161*100)</f>
        <v>0</v>
      </c>
      <c r="BI161" s="754">
        <f>IF(AX161=0,0,(AY161-AX161)/AX161*100)</f>
        <v>0</v>
      </c>
      <c r="BJ161" s="754">
        <f>IF(AY161=0,0,(AZ161-AY161)/AY161*100)</f>
        <v>0</v>
      </c>
      <c r="BK161" s="754">
        <f>IF(AZ161=0,0,(BA161-AZ161)/AZ161*100)</f>
        <v>0</v>
      </c>
      <c r="BL161" s="754">
        <f>IF(BA161=0,0,(BB161-BA161)/BA161*100)</f>
        <v>0</v>
      </c>
      <c r="BM161" s="754">
        <f>IF(BB161=0,0,(BC161-BB161)/BB161*100)</f>
        <v>0</v>
      </c>
      <c r="BN161" s="1216"/>
      <c r="BO161" s="1216"/>
      <c r="BP161" s="1216"/>
      <c r="BQ161" s="676"/>
      <c r="BR161" s="676"/>
      <c r="BS161" s="1040" t="s">
        <v>1745</v>
      </c>
      <c r="BT161" s="1047"/>
      <c r="BU161" s="1047"/>
      <c r="BV161" s="683"/>
      <c r="BW161" s="683"/>
    </row>
    <row s="676" customFormat="1" customHeight="1" ht="20.475" hidden="1">
      <c r="A162" s="676"/>
      <c r="B162" s="407"/>
      <c r="C162" s="75"/>
      <c r="D162" s="75">
        <f>D161+1</f>
        <v>13</v>
      </c>
      <c r="E162" s="802">
        <v>21</v>
      </c>
      <c r="F162" s="50" cm="1" t="str">
        <f t="array" ref="F162:F162">OFFSET(E162,-1,1)</f>
        <v>0</v>
      </c>
      <c r="G162" s="73" t="s">
        <v>1498</v>
      </c>
      <c r="H162" s="73"/>
      <c r="I162" s="73" t="s">
        <v>2050</v>
      </c>
      <c r="J162" s="75"/>
      <c r="K162" s="124" t="s">
        <v>2050</v>
      </c>
      <c r="L162" s="962" t="s">
        <v>1746</v>
      </c>
      <c r="M162" s="75"/>
      <c r="N162" s="75"/>
      <c r="O162" s="75"/>
      <c r="P162" s="75"/>
      <c r="Q162" s="75"/>
      <c r="R162" s="75"/>
      <c r="S162" s="75"/>
      <c r="T162" s="438" cm="1" t="str">
        <f t="array" ref="T162:T162">T161</f>
        <v>false</v>
      </c>
      <c r="U162" s="75"/>
      <c r="V162" s="75"/>
      <c r="W162" s="75"/>
      <c r="X162" s="1541"/>
      <c r="Y162" s="676"/>
      <c r="Z162" s="1494"/>
      <c r="AA162" s="676"/>
      <c r="AB162" s="177" cm="1" t="str">
        <f t="array" ref="AB162:AB162">D162</f>
        <v>13</v>
      </c>
      <c r="AC162" s="178" t="s">
        <v>1748</v>
      </c>
      <c r="AD162" s="177" t="s">
        <v>506</v>
      </c>
      <c r="AE162" s="761">
        <f>_xlfn.SUMIFS(Баланс!AE$26:AE$209,Баланс!$F$26:$F$209,$F162,Баланс!$G$26:$G$209,"население")</f>
        <v>0</v>
      </c>
      <c r="AF162" s="761">
        <f>_xlfn.SUMIFS(Баланс!AF$26:AF$209,Баланс!$F$26:$F$209,$F162,Баланс!$G$26:$G$209,"население")</f>
        <v>0</v>
      </c>
      <c r="AG162" s="761">
        <f>_xlfn.SUMIFS(Баланс!AG$26:AG$209,Баланс!$F$26:$F$209,$F162,Баланс!$G$26:$G$209,"население")</f>
        <v>0</v>
      </c>
      <c r="AH162" s="761">
        <f>AG162-AF162</f>
        <v>0</v>
      </c>
      <c r="AI162" s="761">
        <f>_xlfn.SUMIFS(Баланс!AH$26:AH$209,Баланс!$F$26:$F$209,$F162,Баланс!$G$26:$G$209,"население")</f>
        <v>0</v>
      </c>
      <c r="AJ162" s="761">
        <f>_xlfn.SUMIFS(Баланс!AI$26:AI$209,Баланс!$F$26:$F$209,$F162,Баланс!$G$26:$G$209,"население")</f>
        <v>0</v>
      </c>
      <c r="AK162" s="761">
        <f>_xlfn.SUMIFS(Баланс!AJ$26:AJ$209,Баланс!$F$26:$F$209,$F162,Баланс!$G$26:$G$209,"население")</f>
        <v>0</v>
      </c>
      <c r="AL162" s="761">
        <f>_xlfn.SUMIFS(Баланс!AK$26:AK$209,Баланс!$F$26:$F$209,$F162,Баланс!$G$26:$G$209,"население")</f>
        <v>0</v>
      </c>
      <c r="AM162" s="761">
        <f>_xlfn.SUMIFS(Баланс!AL$26:AL$209,Баланс!$F$26:$F$209,$F162,Баланс!$G$26:$G$209,"население")</f>
        <v>0</v>
      </c>
      <c r="AN162" s="761">
        <f>_xlfn.SUMIFS(Баланс!AM$26:AM$209,Баланс!$F$26:$F$209,$F162,Баланс!$G$26:$G$209,"население")</f>
        <v>0</v>
      </c>
      <c r="AO162" s="761">
        <f>_xlfn.SUMIFS(Баланс!AN$26:AN$209,Баланс!$F$26:$F$209,$F162,Баланс!$G$26:$G$209,"население")</f>
        <v>0</v>
      </c>
      <c r="AP162" s="761">
        <f>_xlfn.SUMIFS(Баланс!AO$26:AO$209,Баланс!$F$26:$F$209,$F162,Баланс!$G$26:$G$209,"население")</f>
        <v>0</v>
      </c>
      <c r="AQ162" s="761">
        <f>_xlfn.SUMIFS(Баланс!AP$26:AP$209,Баланс!$F$26:$F$209,$F162,Баланс!$G$26:$G$209,"население")</f>
        <v>0</v>
      </c>
      <c r="AR162" s="761">
        <f>_xlfn.SUMIFS(Баланс!AQ$26:AQ$209,Баланс!$F$26:$F$209,$F162,Баланс!$G$26:$G$209,"население")</f>
        <v>0</v>
      </c>
      <c r="AS162" s="761">
        <f>_xlfn.SUMIFS(Баланс!AR$26:AR$209,Баланс!$F$26:$F$209,$F162,Баланс!$G$26:$G$209,"население")</f>
        <v>0</v>
      </c>
      <c r="AT162" s="761">
        <f>_xlfn.SUMIFS(Баланс!AS$26:AS$209,Баланс!$F$26:$F$209,$F162,Баланс!$G$26:$G$209,"население")</f>
        <v>0</v>
      </c>
      <c r="AU162" s="761">
        <f>_xlfn.SUMIFS(Баланс!AT$26:AT$209,Баланс!$F$26:$F$209,$F162,Баланс!$G$26:$G$209,"население")</f>
        <v>0</v>
      </c>
      <c r="AV162" s="761">
        <f>_xlfn.SUMIFS(Баланс!AU$26:AU$209,Баланс!$F$26:$F$209,$F162,Баланс!$G$26:$G$209,"население")</f>
        <v>0</v>
      </c>
      <c r="AW162" s="761">
        <f>_xlfn.SUMIFS(Баланс!AV$26:AV$209,Баланс!$F$26:$F$209,$F162,Баланс!$G$26:$G$209,"население")</f>
        <v>0</v>
      </c>
      <c r="AX162" s="761">
        <f>_xlfn.SUMIFS(Баланс!AW$26:AW$209,Баланс!$F$26:$F$209,$F162,Баланс!$G$26:$G$209,"население")</f>
        <v>0</v>
      </c>
      <c r="AY162" s="761">
        <f>_xlfn.SUMIFS(Баланс!AX$26:AX$209,Баланс!$F$26:$F$209,$F162,Баланс!$G$26:$G$209,"население")</f>
        <v>0</v>
      </c>
      <c r="AZ162" s="761">
        <f>_xlfn.SUMIFS(Баланс!AY$26:AY$209,Баланс!$F$26:$F$209,$F162,Баланс!$G$26:$G$209,"население")</f>
        <v>0</v>
      </c>
      <c r="BA162" s="761">
        <f>_xlfn.SUMIFS(Баланс!AZ$26:AZ$209,Баланс!$F$26:$F$209,$F162,Баланс!$G$26:$G$209,"население")</f>
        <v>0</v>
      </c>
      <c r="BB162" s="761">
        <f>_xlfn.SUMIFS(Баланс!BA$26:BA$209,Баланс!$F$26:$F$209,$F162,Баланс!$G$26:$G$209,"население")</f>
        <v>0</v>
      </c>
      <c r="BC162" s="761">
        <f>_xlfn.SUMIFS(Баланс!BB$26:BB$209,Баланс!$F$26:$F$209,$F162,Баланс!$G$26:$G$209,"население")</f>
        <v>0</v>
      </c>
      <c r="BD162" s="182"/>
      <c r="BE162" s="182"/>
      <c r="BF162" s="182"/>
      <c r="BG162" s="182"/>
      <c r="BH162" s="182"/>
      <c r="BI162" s="182"/>
      <c r="BJ162" s="182"/>
      <c r="BK162" s="182"/>
      <c r="BL162" s="182"/>
      <c r="BM162" s="182"/>
      <c r="BN162" s="1216"/>
      <c r="BO162" s="1216"/>
      <c r="BP162" s="1216"/>
      <c r="BQ162" s="676"/>
      <c r="BR162" s="676"/>
      <c r="BS162" s="1040" t="s">
        <v>1749</v>
      </c>
      <c r="BT162" s="1047"/>
      <c r="BU162" s="1047"/>
      <c r="BV162" s="683"/>
      <c r="BW162" s="683"/>
    </row>
    <row customHeight="1" ht="14.625" hidden="1">
      <c r="A163" s="1256"/>
      <c r="B163" s="955"/>
      <c r="C163" s="73"/>
      <c r="D163" s="73" cm="1" t="str">
        <f t="array" ref="D163:D163">D162</f>
        <v>13</v>
      </c>
      <c r="E163" s="596">
        <v>15</v>
      </c>
      <c r="F163" s="50" cm="1" t="str">
        <f t="array" ref="F163:F163">OFFSET(E163,-1,1)</f>
        <v>0</v>
      </c>
      <c r="G163" s="73" t="s">
        <v>1532</v>
      </c>
      <c r="H163" s="73"/>
      <c r="I163" s="73" t="s">
        <v>2051</v>
      </c>
      <c r="J163" s="73"/>
      <c r="K163" s="124" t="s">
        <v>2051</v>
      </c>
      <c r="L163" s="957" t="s">
        <v>1750</v>
      </c>
      <c r="M163" s="73"/>
      <c r="N163" s="73"/>
      <c r="O163" s="73"/>
      <c r="P163" s="73"/>
      <c r="Q163" s="73"/>
      <c r="R163" s="73"/>
      <c r="S163" s="73"/>
      <c r="T163" s="438" cm="1" t="str">
        <f t="array" ref="T163:T163">T162</f>
        <v>false</v>
      </c>
      <c r="U163" s="73"/>
      <c r="V163" s="73"/>
      <c r="W163" s="73"/>
      <c r="X163" s="1541"/>
      <c r="Y163" s="1256"/>
      <c r="Z163" s="1494"/>
      <c r="AA163" s="1256"/>
      <c r="AB163" s="266" t="str">
        <f>D163&amp;".1"</f>
        <v>13.1</v>
      </c>
      <c r="AC163" s="1089" t="s">
        <v>1752</v>
      </c>
      <c r="AD163" s="266" t="s">
        <v>506</v>
      </c>
      <c r="AE163" s="1217">
        <f>AE162/2</f>
        <v>0</v>
      </c>
      <c r="AF163" s="1217">
        <f>AF162/2</f>
        <v>0</v>
      </c>
      <c r="AG163" s="1217">
        <f>AG162/2</f>
        <v>0</v>
      </c>
      <c r="AH163" s="1091">
        <f>AG163-AF163</f>
        <v>0</v>
      </c>
      <c r="AI163" s="1217">
        <f>AI162/2</f>
        <v>0</v>
      </c>
      <c r="AJ163" s="3551">
        <f>IF(god=2026,AJ162/12*9,AJ162/2)</f>
        <v>0</v>
      </c>
      <c r="AK163" s="1217">
        <f>IF(god=2025,AK162/12*9,AK162/2)</f>
        <v>0</v>
      </c>
      <c r="AL163" s="1217">
        <f>AL162/2</f>
        <v>0</v>
      </c>
      <c r="AM163" s="1217">
        <f>AM162/2</f>
        <v>0</v>
      </c>
      <c r="AN163" s="1217">
        <f>AN162/2</f>
        <v>0</v>
      </c>
      <c r="AO163" s="1217">
        <f>AO162/2</f>
        <v>0</v>
      </c>
      <c r="AP163" s="1217">
        <f>AP162/2</f>
        <v>0</v>
      </c>
      <c r="AQ163" s="1217">
        <f>AQ162/2</f>
        <v>0</v>
      </c>
      <c r="AR163" s="1217">
        <f>AR162/2</f>
        <v>0</v>
      </c>
      <c r="AS163" s="1217">
        <f>AS162/2</f>
        <v>0</v>
      </c>
      <c r="AT163" s="3611">
        <f>IF(god=2026,AT162/12*9,AT162/2)</f>
        <v>0</v>
      </c>
      <c r="AU163" s="1239">
        <f>IF(god=2025,AU162/12*9,AU162/2)</f>
        <v>0</v>
      </c>
      <c r="AV163" s="1217">
        <f>AV162/2</f>
        <v>0</v>
      </c>
      <c r="AW163" s="1217">
        <f>AW162/2</f>
        <v>0</v>
      </c>
      <c r="AX163" s="1217">
        <f>AX162/2</f>
        <v>0</v>
      </c>
      <c r="AY163" s="1217">
        <f>AY162/2</f>
        <v>0</v>
      </c>
      <c r="AZ163" s="1217">
        <f>AZ162/2</f>
        <v>0</v>
      </c>
      <c r="BA163" s="1217">
        <f>BA162/2</f>
        <v>0</v>
      </c>
      <c r="BB163" s="1217">
        <f>BB162/2</f>
        <v>0</v>
      </c>
      <c r="BC163" s="1217">
        <f>BC162/2</f>
        <v>0</v>
      </c>
      <c r="BD163" s="1093"/>
      <c r="BE163" s="1093"/>
      <c r="BF163" s="1093"/>
      <c r="BG163" s="1093"/>
      <c r="BH163" s="1093"/>
      <c r="BI163" s="1093"/>
      <c r="BJ163" s="1093"/>
      <c r="BK163" s="1093"/>
      <c r="BL163" s="1093"/>
      <c r="BM163" s="1093"/>
      <c r="BN163" s="1216"/>
      <c r="BO163" s="1216"/>
      <c r="BP163" s="1216"/>
      <c r="BQ163" s="1256"/>
      <c r="BR163" s="1256"/>
      <c r="BS163" s="1039" t="s">
        <v>1753</v>
      </c>
      <c r="BT163" s="1041"/>
      <c r="BU163" s="1041"/>
      <c r="BV163" s="956"/>
      <c r="BW163" s="956"/>
    </row>
    <row customHeight="1" ht="14.625" hidden="1">
      <c r="A164" s="1256"/>
      <c r="B164" s="955"/>
      <c r="C164" s="73"/>
      <c r="D164" s="73" cm="1" t="str">
        <f t="array" ref="D164:D164">D163</f>
        <v>13</v>
      </c>
      <c r="E164" s="596">
        <v>15</v>
      </c>
      <c r="F164" s="50" cm="1" t="str">
        <f t="array" ref="F164:F164">OFFSET(E164,-1,1)</f>
        <v>0</v>
      </c>
      <c r="G164" s="73" t="s">
        <v>1488</v>
      </c>
      <c r="H164" s="73"/>
      <c r="I164" s="73" t="s">
        <v>2052</v>
      </c>
      <c r="J164" s="73"/>
      <c r="K164" s="124" t="s">
        <v>2052</v>
      </c>
      <c r="L164" s="957" t="s">
        <v>1754</v>
      </c>
      <c r="M164" s="73"/>
      <c r="N164" s="73"/>
      <c r="O164" s="73"/>
      <c r="P164" s="73"/>
      <c r="Q164" s="73"/>
      <c r="R164" s="73"/>
      <c r="S164" s="73"/>
      <c r="T164" s="438" cm="1" t="str">
        <f t="array" ref="T164:T164">T163</f>
        <v>false</v>
      </c>
      <c r="U164" s="73"/>
      <c r="V164" s="73"/>
      <c r="W164" s="73"/>
      <c r="X164" s="1541"/>
      <c r="Y164" s="1256"/>
      <c r="Z164" s="1494"/>
      <c r="AA164" s="1256"/>
      <c r="AB164" s="266" t="str">
        <f>D164&amp;".2"</f>
        <v>13.2</v>
      </c>
      <c r="AC164" s="1089" t="s">
        <v>1756</v>
      </c>
      <c r="AD164" s="266" t="s">
        <v>1476</v>
      </c>
      <c r="AE164" s="1219">
        <f>IF(AE162=0,0,AE156*(1+Сценарии!AE$26))</f>
        <v>0</v>
      </c>
      <c r="AF164" s="1240">
        <f>IF(AF162=0,0,AF156*(1+Сценарии!AF$26))</f>
        <v>0</v>
      </c>
      <c r="AG164" s="1240">
        <f>IF(AG162=0,0,AG156*(1+Сценарии!AG$26))</f>
        <v>0</v>
      </c>
      <c r="AH164" s="1092">
        <f>AG164-AF164</f>
        <v>0</v>
      </c>
      <c r="AI164" s="1219">
        <f>IF(AI162=0,0,AI156*(1+Сценарии!AI$26))</f>
        <v>0</v>
      </c>
      <c r="AJ164" s="3616">
        <f>IF(AJ162=0,0,AJ156*(1+Сценарии!AJ$26))</f>
        <v>0</v>
      </c>
      <c r="AK164" s="1240">
        <f>IF(AK162=0,0,AK156*(1+Сценарии!AO$26))</f>
        <v>0</v>
      </c>
      <c r="AL164" s="1240">
        <f>IF(AL162=0,0,AL156*(1+Сценарии!AP$26))</f>
        <v>0</v>
      </c>
      <c r="AM164" s="1240">
        <f>IF(AM162=0,0,AM156*(1+Сценарии!AQ$26))</f>
        <v>0</v>
      </c>
      <c r="AN164" s="1240">
        <f>IF(AN162=0,0,AN156*(1+Сценарии!AR$26))</f>
        <v>0</v>
      </c>
      <c r="AO164" s="1240">
        <f>IF(AO162=0,0,AO156*(1+Сценарии!AS$26))</f>
        <v>0</v>
      </c>
      <c r="AP164" s="1240">
        <f>IF(AP162=0,0,AP156*(1+Сценарии!AT$26))</f>
        <v>0</v>
      </c>
      <c r="AQ164" s="1240">
        <f>IF(AQ162=0,0,AQ156*(1+Сценарии!AU$26))</f>
        <v>0</v>
      </c>
      <c r="AR164" s="1240">
        <f>IF(AR162=0,0,AR156*(1+Сценарии!AV$26))</f>
        <v>0</v>
      </c>
      <c r="AS164" s="1240">
        <f>IF(AS162=0,0,AS156*(1+Сценарии!AW$26))</f>
        <v>0</v>
      </c>
      <c r="AT164" s="3564">
        <f>IF(AT162=0,0,AT156*(1+Сценарии!AK$26))</f>
        <v>0</v>
      </c>
      <c r="AU164" s="1219">
        <f>IF(AU162=0,0,AU156*(1+Сценарии!AX$26))</f>
        <v>0</v>
      </c>
      <c r="AV164" s="1240">
        <f>IF(AV162=0,0,AV156*(1+Сценарии!AY$26))</f>
        <v>0</v>
      </c>
      <c r="AW164" s="1240">
        <f>IF(AW162=0,0,AW156*(1+Сценарии!AZ$26))</f>
        <v>0</v>
      </c>
      <c r="AX164" s="1240">
        <f>IF(AX162=0,0,AX156*(1+Сценарии!BA$26))</f>
        <v>0</v>
      </c>
      <c r="AY164" s="1240">
        <f>IF(AY162=0,0,AY156*(1+Сценарии!BB$26))</f>
        <v>0</v>
      </c>
      <c r="AZ164" s="1240">
        <f>IF(AZ162=0,0,AZ156*(1+Сценарии!BC$26))</f>
        <v>0</v>
      </c>
      <c r="BA164" s="1240">
        <f>IF(BA162=0,0,BA156*(1+Сценарии!BD$26))</f>
        <v>0</v>
      </c>
      <c r="BB164" s="1240">
        <f>IF(BB162=0,0,BB156*(1+Сценарии!BE$26))</f>
        <v>0</v>
      </c>
      <c r="BC164" s="1240">
        <f>IF(BC162=0,0,BC156*(1+Сценарии!BF$26))</f>
        <v>0</v>
      </c>
      <c r="BD164" s="1093"/>
      <c r="BE164" s="1093"/>
      <c r="BF164" s="1093"/>
      <c r="BG164" s="1093"/>
      <c r="BH164" s="1093"/>
      <c r="BI164" s="1093"/>
      <c r="BJ164" s="1093"/>
      <c r="BK164" s="1093"/>
      <c r="BL164" s="1093"/>
      <c r="BM164" s="1093"/>
      <c r="BN164" s="1216"/>
      <c r="BO164" s="1216"/>
      <c r="BP164" s="1216"/>
      <c r="BQ164" s="1256"/>
      <c r="BR164" s="1256"/>
      <c r="BS164" s="1039" t="s">
        <v>1757</v>
      </c>
      <c r="BT164" s="1041"/>
      <c r="BU164" s="1041"/>
      <c r="BV164" s="956"/>
      <c r="BW164" s="956"/>
    </row>
    <row customHeight="1" ht="14.625" hidden="1">
      <c r="A165" s="1256"/>
      <c r="B165" s="955"/>
      <c r="C165" s="73"/>
      <c r="D165" s="73" cm="1" t="str">
        <f t="array" ref="D165:D165">D164</f>
        <v>13</v>
      </c>
      <c r="E165" s="596">
        <v>15</v>
      </c>
      <c r="F165" s="50" cm="1" t="str">
        <f t="array" ref="F165:F165">OFFSET(E165,-1,1)</f>
        <v>0</v>
      </c>
      <c r="G165" s="73" t="s">
        <v>1539</v>
      </c>
      <c r="H165" s="73"/>
      <c r="I165" s="73" t="s">
        <v>2053</v>
      </c>
      <c r="J165" s="73"/>
      <c r="K165" s="73" t="s">
        <v>2053</v>
      </c>
      <c r="L165" s="957" t="s">
        <v>1758</v>
      </c>
      <c r="M165" s="73"/>
      <c r="N165" s="73"/>
      <c r="O165" s="73"/>
      <c r="P165" s="73"/>
      <c r="Q165" s="73"/>
      <c r="R165" s="73"/>
      <c r="S165" s="73"/>
      <c r="T165" s="438" cm="1" t="str">
        <f t="array" ref="T165:T165">T164</f>
        <v>false</v>
      </c>
      <c r="U165" s="73"/>
      <c r="V165" s="73"/>
      <c r="W165" s="73"/>
      <c r="X165" s="1541"/>
      <c r="Y165" s="1256"/>
      <c r="Z165" s="1494"/>
      <c r="AA165" s="1256"/>
      <c r="AB165" s="266" t="str">
        <f>D165&amp;".3"</f>
        <v>13.3</v>
      </c>
      <c r="AC165" s="1089" t="s">
        <v>1728</v>
      </c>
      <c r="AD165" s="266" t="s">
        <v>506</v>
      </c>
      <c r="AE165" s="1091">
        <f>AE162-AE163</f>
        <v>0</v>
      </c>
      <c r="AF165" s="1091">
        <f>AF162-AF163</f>
        <v>0</v>
      </c>
      <c r="AG165" s="1091">
        <f>AG162-AG163</f>
        <v>0</v>
      </c>
      <c r="AH165" s="1091">
        <f>AG165-AF165</f>
        <v>0</v>
      </c>
      <c r="AI165" s="1091">
        <f>AI162-AI163</f>
        <v>0</v>
      </c>
      <c r="AJ165" s="1091">
        <f>AJ162-AJ163</f>
        <v>0</v>
      </c>
      <c r="AK165" s="1091">
        <f>AK162-AK163</f>
        <v>0</v>
      </c>
      <c r="AL165" s="1091">
        <f>AL162-AL163</f>
        <v>0</v>
      </c>
      <c r="AM165" s="1091">
        <f>AM162-AM163</f>
        <v>0</v>
      </c>
      <c r="AN165" s="1091">
        <f>AN162-AN163</f>
        <v>0</v>
      </c>
      <c r="AO165" s="1091">
        <f>AO162-AO163</f>
        <v>0</v>
      </c>
      <c r="AP165" s="1091">
        <f>AP162-AP163</f>
        <v>0</v>
      </c>
      <c r="AQ165" s="1091">
        <f>AQ162-AQ163</f>
        <v>0</v>
      </c>
      <c r="AR165" s="1091">
        <f>AR162-AR163</f>
        <v>0</v>
      </c>
      <c r="AS165" s="1091">
        <f>AS162-AS163</f>
        <v>0</v>
      </c>
      <c r="AT165" s="1091">
        <f>AT162-AT163</f>
        <v>0</v>
      </c>
      <c r="AU165" s="1091">
        <f>AU162-AU163</f>
        <v>0</v>
      </c>
      <c r="AV165" s="1091">
        <f>AV162-AV163</f>
        <v>0</v>
      </c>
      <c r="AW165" s="1091">
        <f>AW162-AW163</f>
        <v>0</v>
      </c>
      <c r="AX165" s="1091">
        <f>AX162-AX163</f>
        <v>0</v>
      </c>
      <c r="AY165" s="1091">
        <f>AY162-AY163</f>
        <v>0</v>
      </c>
      <c r="AZ165" s="1091">
        <f>AZ162-AZ163</f>
        <v>0</v>
      </c>
      <c r="BA165" s="1091">
        <f>BA162-BA163</f>
        <v>0</v>
      </c>
      <c r="BB165" s="1091">
        <f>BB162-BB163</f>
        <v>0</v>
      </c>
      <c r="BC165" s="1091">
        <f>BC162-BC163</f>
        <v>0</v>
      </c>
      <c r="BD165" s="1093"/>
      <c r="BE165" s="1093"/>
      <c r="BF165" s="1093"/>
      <c r="BG165" s="1093"/>
      <c r="BH165" s="1093"/>
      <c r="BI165" s="1093"/>
      <c r="BJ165" s="1093"/>
      <c r="BK165" s="1093"/>
      <c r="BL165" s="1093"/>
      <c r="BM165" s="1093"/>
      <c r="BN165" s="1216"/>
      <c r="BO165" s="1216"/>
      <c r="BP165" s="1216"/>
      <c r="BQ165" s="1256"/>
      <c r="BR165" s="1256"/>
      <c r="BS165" s="1039" t="s">
        <v>1760</v>
      </c>
      <c r="BT165" s="1041"/>
      <c r="BU165" s="1041"/>
      <c r="BV165" s="956"/>
      <c r="BW165" s="956"/>
    </row>
    <row customHeight="1" ht="14.625" hidden="1">
      <c r="A166" s="1256"/>
      <c r="B166" s="955"/>
      <c r="C166" s="73"/>
      <c r="D166" s="73" cm="1" t="str">
        <f t="array" ref="D166:D166">D165</f>
        <v>13</v>
      </c>
      <c r="E166" s="596">
        <v>15</v>
      </c>
      <c r="F166" s="50" cm="1" t="str">
        <f t="array" ref="F166:F166">OFFSET(E166,-1,1)</f>
        <v>0</v>
      </c>
      <c r="G166" s="73" t="s">
        <v>1492</v>
      </c>
      <c r="H166" s="73"/>
      <c r="I166" s="73" t="s">
        <v>2054</v>
      </c>
      <c r="J166" s="73"/>
      <c r="K166" s="73" t="s">
        <v>2054</v>
      </c>
      <c r="L166" s="957" t="s">
        <v>1761</v>
      </c>
      <c r="M166" s="73"/>
      <c r="N166" s="73"/>
      <c r="O166" s="73"/>
      <c r="P166" s="73"/>
      <c r="Q166" s="73"/>
      <c r="R166" s="73"/>
      <c r="S166" s="73"/>
      <c r="T166" s="438" cm="1" t="str">
        <f t="array" ref="T166:T166">T165</f>
        <v>false</v>
      </c>
      <c r="U166" s="73"/>
      <c r="V166" s="73"/>
      <c r="W166" s="73"/>
      <c r="X166" s="1541"/>
      <c r="Y166" s="1256"/>
      <c r="Z166" s="1494"/>
      <c r="AA166" s="1256"/>
      <c r="AB166" s="266" t="str">
        <f>D166&amp;".4"</f>
        <v>13.4</v>
      </c>
      <c r="AC166" s="1089" t="s">
        <v>1732</v>
      </c>
      <c r="AD166" s="266" t="s">
        <v>1476</v>
      </c>
      <c r="AE166" s="1219">
        <f>IF(AE162=0,0,AE158*(1+Сценарии!AE$26))</f>
        <v>0</v>
      </c>
      <c r="AF166" s="1240">
        <f>IF(AF162=0,0,AF158*(1+Сценарии!AF$26))</f>
        <v>0</v>
      </c>
      <c r="AG166" s="1240">
        <f>IF(AG162=0,0,AG158*(1+Сценарии!AG$26))</f>
        <v>0</v>
      </c>
      <c r="AH166" s="1092">
        <f>AG166-AF166</f>
        <v>0</v>
      </c>
      <c r="AI166" s="1219">
        <f>IF(AI162=0,0,AI158*(1+Сценарии!AI$26))</f>
        <v>0</v>
      </c>
      <c r="AJ166" s="3616">
        <f>IF(AJ162=0,0,AJ158*(1+Сценарии!AJ$26))</f>
        <v>0</v>
      </c>
      <c r="AK166" s="1219">
        <f>IF(AK162=0,0,AK158*(1+Сценарии!AO$26))</f>
        <v>0</v>
      </c>
      <c r="AL166" s="1240">
        <f>IF(AL162=0,0,AL158*(1+Сценарии!AP$26))</f>
        <v>0</v>
      </c>
      <c r="AM166" s="1240">
        <f>IF(AM162=0,0,AM158*(1+Сценарии!AQ$26))</f>
        <v>0</v>
      </c>
      <c r="AN166" s="1240">
        <f>IF(AN162=0,0,AN158*(1+Сценарии!AR$26))</f>
        <v>0</v>
      </c>
      <c r="AO166" s="1240">
        <f>IF(AO162=0,0,AO158*(1+Сценарии!AS$26))</f>
        <v>0</v>
      </c>
      <c r="AP166" s="1240">
        <f>IF(AP162=0,0,AP158*(1+Сценарии!AT$26))</f>
        <v>0</v>
      </c>
      <c r="AQ166" s="1240">
        <f>IF(AQ162=0,0,AQ158*(1+Сценарии!AU$26))</f>
        <v>0</v>
      </c>
      <c r="AR166" s="1240">
        <f>IF(AR162=0,0,AR158*(1+Сценарии!AV$26))</f>
        <v>0</v>
      </c>
      <c r="AS166" s="1240">
        <f>IF(AS162=0,0,AS158*(1+Сценарии!AW$26))</f>
        <v>0</v>
      </c>
      <c r="AT166" s="3564">
        <f>IF(AT162=0,0,AT158*(1+Сценарии!AK$26))</f>
        <v>0</v>
      </c>
      <c r="AU166" s="1219">
        <f>IF(AU162=0,0,AU158*(1+Сценарии!AX$26))</f>
        <v>0</v>
      </c>
      <c r="AV166" s="1240">
        <f>IF(AV162=0,0,AV158*(1+Сценарии!AY$26))</f>
        <v>0</v>
      </c>
      <c r="AW166" s="1240">
        <f>IF(AW162=0,0,AW158*(1+Сценарии!AZ$26))</f>
        <v>0</v>
      </c>
      <c r="AX166" s="1240">
        <f>IF(AX162=0,0,AX158*(1+Сценарии!BA$26))</f>
        <v>0</v>
      </c>
      <c r="AY166" s="1240">
        <f>IF(AY162=0,0,AY158*(1+Сценарии!BB$26))</f>
        <v>0</v>
      </c>
      <c r="AZ166" s="1240">
        <f>IF(AZ162=0,0,AZ158*(1+Сценарии!BC$26))</f>
        <v>0</v>
      </c>
      <c r="BA166" s="1240">
        <f>IF(BA162=0,0,BA158*(1+Сценарии!BD$26))</f>
        <v>0</v>
      </c>
      <c r="BB166" s="1240">
        <f>IF(BB162=0,0,BB158*(1+Сценарии!BE$26))</f>
        <v>0</v>
      </c>
      <c r="BC166" s="1240">
        <f>IF(BC162=0,0,BC158*(1+Сценарии!BF$26))</f>
        <v>0</v>
      </c>
      <c r="BD166" s="1093"/>
      <c r="BE166" s="1093"/>
      <c r="BF166" s="1093"/>
      <c r="BG166" s="1093"/>
      <c r="BH166" s="1093"/>
      <c r="BI166" s="1093"/>
      <c r="BJ166" s="1093"/>
      <c r="BK166" s="1093"/>
      <c r="BL166" s="1093"/>
      <c r="BM166" s="1093"/>
      <c r="BN166" s="1216"/>
      <c r="BO166" s="1216"/>
      <c r="BP166" s="1216"/>
      <c r="BQ166" s="1256"/>
      <c r="BR166" s="1256"/>
      <c r="BS166" s="1039" t="s">
        <v>1764</v>
      </c>
      <c r="BT166" s="1041"/>
      <c r="BU166" s="1041"/>
      <c r="BV166" s="956"/>
      <c r="BW166" s="956"/>
    </row>
    <row customHeight="1" ht="14.625" hidden="1">
      <c r="A167" s="1256"/>
      <c r="B167" s="955"/>
      <c r="C167" s="73"/>
      <c r="D167" s="73">
        <f>D166+1</f>
        <v>14</v>
      </c>
      <c r="E167" s="596">
        <v>15</v>
      </c>
      <c r="F167" s="50" cm="1" t="str">
        <f t="array" ref="F167:F167">OFFSET(E167,-1,1)</f>
        <v>0</v>
      </c>
      <c r="G167" s="73"/>
      <c r="H167" s="73"/>
      <c r="I167" s="73"/>
      <c r="J167" s="73"/>
      <c r="K167" s="73"/>
      <c r="L167" s="957"/>
      <c r="M167" s="73"/>
      <c r="N167" s="73"/>
      <c r="O167" s="73"/>
      <c r="P167" s="73"/>
      <c r="Q167" s="73"/>
      <c r="R167" s="73"/>
      <c r="S167" s="73"/>
      <c r="T167" s="438" cm="1" t="str">
        <f t="array" ref="T167:T167">T166</f>
        <v>false</v>
      </c>
      <c r="U167" s="73"/>
      <c r="V167" s="73"/>
      <c r="W167" s="73"/>
      <c r="X167" s="1541"/>
      <c r="Y167" s="1256"/>
      <c r="Z167" s="1494"/>
      <c r="AA167" s="1256"/>
      <c r="AB167" s="177" cm="1" t="str">
        <f t="array" ref="AB167:AB167">D167</f>
        <v>14</v>
      </c>
      <c r="AC167" s="178" t="s">
        <v>1766</v>
      </c>
      <c r="AD167" s="177" t="s">
        <v>789</v>
      </c>
      <c r="AE167" s="1219"/>
      <c r="AF167" s="1219"/>
      <c r="AG167" s="1219"/>
      <c r="AH167" s="1092">
        <f>AG167-AF167</f>
        <v>0</v>
      </c>
      <c r="AI167" s="1219"/>
      <c r="AJ167" s="3564"/>
      <c r="AK167" s="1219"/>
      <c r="AL167" s="1219"/>
      <c r="AM167" s="1219"/>
      <c r="AN167" s="1219"/>
      <c r="AO167" s="1219"/>
      <c r="AP167" s="1219"/>
      <c r="AQ167" s="1219"/>
      <c r="AR167" s="1219"/>
      <c r="AS167" s="1219"/>
      <c r="AT167" s="3564"/>
      <c r="AU167" s="1219"/>
      <c r="AV167" s="1219"/>
      <c r="AW167" s="1219"/>
      <c r="AX167" s="1219"/>
      <c r="AY167" s="1219"/>
      <c r="AZ167" s="1219"/>
      <c r="BA167" s="1219"/>
      <c r="BB167" s="1219"/>
      <c r="BC167" s="1219"/>
      <c r="BD167" s="1093"/>
      <c r="BE167" s="1093"/>
      <c r="BF167" s="1093"/>
      <c r="BG167" s="1093"/>
      <c r="BH167" s="1093"/>
      <c r="BI167" s="1093"/>
      <c r="BJ167" s="1093"/>
      <c r="BK167" s="1093"/>
      <c r="BL167" s="1093"/>
      <c r="BM167" s="1093"/>
      <c r="BN167" s="1216"/>
      <c r="BO167" s="1216"/>
      <c r="BP167" s="1216"/>
      <c r="BQ167" s="1256"/>
      <c r="BR167" s="1256"/>
      <c r="BS167" s="1039" t="s">
        <v>1767</v>
      </c>
      <c r="BT167" s="1041"/>
      <c r="BU167" s="1041"/>
      <c r="BV167" s="956"/>
      <c r="BW167" s="956"/>
    </row>
    <row s="1211" customFormat="1" customHeight="1" ht="20.475" hidden="1">
      <c r="A168" s="1211"/>
      <c r="B168" s="729"/>
      <c r="C168" s="73"/>
      <c r="D168" s="73" cm="1" t="str">
        <f t="array" ref="D168:D168">D167</f>
        <v>14</v>
      </c>
      <c r="E168" s="596">
        <v>21</v>
      </c>
      <c r="F168" s="50" cm="1" t="str">
        <f t="array" ref="F168:F168">OFFSET(E168,-1,1)</f>
        <v>0</v>
      </c>
      <c r="G168" s="73"/>
      <c r="H168" s="73"/>
      <c r="I168" s="73"/>
      <c r="J168" s="73"/>
      <c r="K168" s="73"/>
      <c r="L168" s="957"/>
      <c r="M168" s="73"/>
      <c r="N168" s="73"/>
      <c r="O168" s="73"/>
      <c r="P168" s="73"/>
      <c r="Q168" s="73"/>
      <c r="R168" s="73"/>
      <c r="S168" s="73"/>
      <c r="T168" s="438" cm="1" t="str">
        <f t="array" ref="T168:T168">T167</f>
        <v>false</v>
      </c>
      <c r="U168" s="73"/>
      <c r="V168" s="73"/>
      <c r="W168" s="73"/>
      <c r="X168" s="1541"/>
      <c r="Y168" s="1211"/>
      <c r="Z168" s="1494"/>
      <c r="AA168" s="1211"/>
      <c r="AB168" s="266" t="str">
        <f>D168&amp;".1"</f>
        <v>14.1</v>
      </c>
      <c r="AC168" s="738" t="s">
        <v>1769</v>
      </c>
      <c r="AD168" s="266" t="s">
        <v>789</v>
      </c>
      <c r="AE168" s="1219"/>
      <c r="AF168" s="1219"/>
      <c r="AG168" s="1219"/>
      <c r="AH168" s="1092">
        <f>AG168-AF168</f>
        <v>0</v>
      </c>
      <c r="AI168" s="1219"/>
      <c r="AJ168" s="3564"/>
      <c r="AK168" s="1219"/>
      <c r="AL168" s="1219"/>
      <c r="AM168" s="1219"/>
      <c r="AN168" s="1219"/>
      <c r="AO168" s="1219"/>
      <c r="AP168" s="1219"/>
      <c r="AQ168" s="1219"/>
      <c r="AR168" s="1219"/>
      <c r="AS168" s="1219"/>
      <c r="AT168" s="3564"/>
      <c r="AU168" s="1219"/>
      <c r="AV168" s="1219"/>
      <c r="AW168" s="1219"/>
      <c r="AX168" s="1219"/>
      <c r="AY168" s="1219"/>
      <c r="AZ168" s="1219"/>
      <c r="BA168" s="1219"/>
      <c r="BB168" s="1219"/>
      <c r="BC168" s="1219"/>
      <c r="BD168" s="1093"/>
      <c r="BE168" s="1093"/>
      <c r="BF168" s="1093"/>
      <c r="BG168" s="1093"/>
      <c r="BH168" s="1093"/>
      <c r="BI168" s="1093"/>
      <c r="BJ168" s="1093"/>
      <c r="BK168" s="1093"/>
      <c r="BL168" s="1093"/>
      <c r="BM168" s="1093"/>
      <c r="BN168" s="1216"/>
      <c r="BO168" s="1216"/>
      <c r="BP168" s="1216"/>
      <c r="BQ168" s="1211"/>
      <c r="BR168" s="1211"/>
      <c r="BS168" s="1039" t="s">
        <v>1770</v>
      </c>
      <c r="BT168" s="1048"/>
      <c r="BU168" s="1048"/>
      <c r="BV168" s="1049"/>
      <c r="BW168" s="1049"/>
    </row>
    <row s="1211" customFormat="1" customHeight="1" ht="64.935" hidden="1">
      <c r="A169" s="1211"/>
      <c r="B169" s="729"/>
      <c r="C169" s="73"/>
      <c r="D169" s="73" cm="1" t="str">
        <f t="array" ref="D169:D169">D168</f>
        <v>14</v>
      </c>
      <c r="E169" s="596">
        <v>66.6</v>
      </c>
      <c r="F169" s="50" cm="1" t="str">
        <f t="array" ref="F169:F169">OFFSET(E169,-1,1)</f>
        <v>0</v>
      </c>
      <c r="G169" s="73"/>
      <c r="H169" s="73"/>
      <c r="I169" s="73"/>
      <c r="J169" s="73"/>
      <c r="K169" s="73"/>
      <c r="L169" s="957"/>
      <c r="M169" s="73"/>
      <c r="N169" s="73"/>
      <c r="O169" s="73"/>
      <c r="P169" s="73"/>
      <c r="Q169" s="73"/>
      <c r="R169" s="73"/>
      <c r="S169" s="73"/>
      <c r="T169" s="438" cm="1" t="str">
        <f t="array" ref="T169:T169">T168</f>
        <v>false</v>
      </c>
      <c r="U169" s="73"/>
      <c r="V169" s="73"/>
      <c r="W169" s="73"/>
      <c r="X169" s="1541"/>
      <c r="Y169" s="1211"/>
      <c r="Z169" s="1494"/>
      <c r="AA169" s="1211"/>
      <c r="AB169" s="266" t="str">
        <f>D169&amp;".2"</f>
        <v>14.2</v>
      </c>
      <c r="AC169" s="738" t="s">
        <v>1772</v>
      </c>
      <c r="AD169" s="266" t="s">
        <v>789</v>
      </c>
      <c r="AE169" s="1219"/>
      <c r="AF169" s="1219"/>
      <c r="AG169" s="1219"/>
      <c r="AH169" s="1092">
        <f>AG169-AF169</f>
        <v>0</v>
      </c>
      <c r="AI169" s="1219"/>
      <c r="AJ169" s="3564"/>
      <c r="AK169" s="1219"/>
      <c r="AL169" s="1219"/>
      <c r="AM169" s="1219"/>
      <c r="AN169" s="1219"/>
      <c r="AO169" s="1219"/>
      <c r="AP169" s="1219"/>
      <c r="AQ169" s="1219"/>
      <c r="AR169" s="1219"/>
      <c r="AS169" s="1219"/>
      <c r="AT169" s="3564"/>
      <c r="AU169" s="1219"/>
      <c r="AV169" s="1219"/>
      <c r="AW169" s="1219"/>
      <c r="AX169" s="1219"/>
      <c r="AY169" s="1219"/>
      <c r="AZ169" s="1219"/>
      <c r="BA169" s="1219"/>
      <c r="BB169" s="1219"/>
      <c r="BC169" s="1219"/>
      <c r="BD169" s="1093"/>
      <c r="BE169" s="1093"/>
      <c r="BF169" s="1093"/>
      <c r="BG169" s="1093"/>
      <c r="BH169" s="1093"/>
      <c r="BI169" s="1093"/>
      <c r="BJ169" s="1093"/>
      <c r="BK169" s="1093"/>
      <c r="BL169" s="1093"/>
      <c r="BM169" s="1093"/>
      <c r="BN169" s="1216"/>
      <c r="BO169" s="1216"/>
      <c r="BP169" s="1216"/>
      <c r="BQ169" s="1211"/>
      <c r="BR169" s="1211"/>
      <c r="BS169" s="1039" t="s">
        <v>1773</v>
      </c>
      <c r="BT169" s="1048"/>
      <c r="BU169" s="1048"/>
      <c r="BV169" s="1049"/>
      <c r="BW169" s="1049"/>
    </row>
    <row s="1211" customFormat="1" customHeight="1" ht="44.46" hidden="1">
      <c r="A170" s="1211"/>
      <c r="B170" s="729"/>
      <c r="C170" s="73"/>
      <c r="D170" s="73" cm="1" t="str">
        <f t="array" ref="D170:D170">D169</f>
        <v>14</v>
      </c>
      <c r="E170" s="596">
        <v>45.6</v>
      </c>
      <c r="F170" s="50" cm="1" t="str">
        <f t="array" ref="F170:F170">OFFSET(E170,-1,1)</f>
        <v>0</v>
      </c>
      <c r="G170" s="73"/>
      <c r="H170" s="73"/>
      <c r="I170" s="73"/>
      <c r="J170" s="73"/>
      <c r="K170" s="73"/>
      <c r="L170" s="957"/>
      <c r="M170" s="73"/>
      <c r="N170" s="73"/>
      <c r="O170" s="73"/>
      <c r="P170" s="73"/>
      <c r="Q170" s="73"/>
      <c r="R170" s="73"/>
      <c r="S170" s="73"/>
      <c r="T170" s="438" cm="1" t="str">
        <f t="array" ref="T170:T170">T169</f>
        <v>false</v>
      </c>
      <c r="U170" s="73"/>
      <c r="V170" s="73"/>
      <c r="W170" s="73"/>
      <c r="X170" s="1541"/>
      <c r="Y170" s="1211"/>
      <c r="Z170" s="1494"/>
      <c r="AA170" s="1211"/>
      <c r="AB170" s="266" t="str">
        <f>D170&amp;".3"</f>
        <v>14.3</v>
      </c>
      <c r="AC170" s="738" t="s">
        <v>2055</v>
      </c>
      <c r="AD170" s="266" t="s">
        <v>789</v>
      </c>
      <c r="AE170" s="1093"/>
      <c r="AF170" s="1219"/>
      <c r="AG170" s="1219"/>
      <c r="AH170" s="1092">
        <f>AG170-AF170</f>
        <v>0</v>
      </c>
      <c r="AI170" s="1093"/>
      <c r="AJ170" s="1093"/>
      <c r="AK170" s="1093"/>
      <c r="AL170" s="1093"/>
      <c r="AM170" s="1093"/>
      <c r="AN170" s="1093"/>
      <c r="AO170" s="1093"/>
      <c r="AP170" s="1093"/>
      <c r="AQ170" s="1093"/>
      <c r="AR170" s="1093"/>
      <c r="AS170" s="1093"/>
      <c r="AT170" s="1093"/>
      <c r="AU170" s="1093"/>
      <c r="AV170" s="1093"/>
      <c r="AW170" s="1093"/>
      <c r="AX170" s="1093"/>
      <c r="AY170" s="1093"/>
      <c r="AZ170" s="1093"/>
      <c r="BA170" s="1093"/>
      <c r="BB170" s="1093"/>
      <c r="BC170" s="1093"/>
      <c r="BD170" s="1093"/>
      <c r="BE170" s="1093"/>
      <c r="BF170" s="1093"/>
      <c r="BG170" s="1093"/>
      <c r="BH170" s="1093"/>
      <c r="BI170" s="1093"/>
      <c r="BJ170" s="1093"/>
      <c r="BK170" s="1093"/>
      <c r="BL170" s="1093"/>
      <c r="BM170" s="1093"/>
      <c r="BN170" s="1216"/>
      <c r="BO170" s="1216"/>
      <c r="BP170" s="1216"/>
      <c r="BQ170" s="1211"/>
      <c r="BR170" s="1211"/>
      <c r="BS170" s="1048" t="s">
        <v>2056</v>
      </c>
      <c r="BT170" s="1048"/>
      <c r="BU170" s="1048"/>
      <c r="BV170" s="1049"/>
      <c r="BW170" s="1049"/>
    </row>
    <row s="511" customFormat="1" customHeight="1" ht="14.25">
      <c r="A171" s="1363"/>
      <c r="B171" s="400"/>
      <c r="C171" s="398"/>
      <c r="D171" s="398"/>
      <c r="E171" s="594">
        <v>15</v>
      </c>
      <c r="F171" s="466" cm="1" t="str">
        <f t="array" ref="F171:F171">X171</f>
        <v>1</v>
      </c>
      <c r="G171" s="466" cm="1" t="str">
        <f t="array" ref="G171:G171">INDEX('Общие сведения'!$AK$179:$AK$208,MATCH($X171,'Общие сведения'!$Z$179:$Z$208,0))</f>
        <v>одноставочный</v>
      </c>
      <c r="H171" s="398"/>
      <c r="I171" s="466"/>
      <c r="J171" s="398"/>
      <c r="K171" s="398"/>
      <c r="L171" s="959"/>
      <c r="M171" s="398"/>
      <c r="N171" s="398"/>
      <c r="O171" s="398"/>
      <c r="P171" s="398"/>
      <c r="Q171" s="398"/>
      <c r="R171" s="398"/>
      <c r="S171" s="398" cm="1" t="str">
        <f t="array" ref="S171:S171">INDEX('Общие сведения'!$AE$179:$AE$208,MATCH($X171,'Общие сведения'!$Z$179:$Z$208,0))</f>
        <v>Водоотведение</v>
      </c>
      <c r="T171" s="438">
        <f>X171&gt;0</f>
        <v>1</v>
      </c>
      <c r="U171" s="398"/>
      <c r="V171" s="398" cm="1" t="str">
        <f t="array" ref="V171:V171">'Калькуляция (МЭОР)'!$AB$112</f>
        <v>Тариф 1 (Водоотведение) - тариф на транспортировку сточных вод</v>
      </c>
      <c r="W171" s="398"/>
      <c r="X171" s="1541" t="s">
        <v>281</v>
      </c>
      <c r="Y171" s="1363"/>
      <c r="Z171" s="1494"/>
      <c r="AA171" s="1363"/>
      <c r="AB171" s="347" cm="1" t="str">
        <f t="array" ref="AB171:AB171">'Калькуляция (МЭОР)'!$AB$112</f>
        <v>Тариф 1 (Водоотведение) - тариф на транспортировку сточных вод</v>
      </c>
      <c r="AC171" s="218"/>
      <c r="AD171" s="218"/>
      <c r="AE171" s="218"/>
      <c r="AF171" s="218"/>
      <c r="AG171" s="218"/>
      <c r="AH171" s="218"/>
      <c r="AI171" s="218"/>
      <c r="AJ171" s="218"/>
      <c r="AK171" s="218"/>
      <c r="AL171" s="218"/>
      <c r="AM171" s="218"/>
      <c r="AN171" s="218"/>
      <c r="AO171" s="218"/>
      <c r="AP171" s="218"/>
      <c r="AQ171" s="218"/>
      <c r="AR171" s="218"/>
      <c r="AS171" s="218"/>
      <c r="AT171" s="218"/>
      <c r="AU171" s="218"/>
      <c r="AV171" s="218"/>
      <c r="AW171" s="218"/>
      <c r="AX171" s="218"/>
      <c r="AY171" s="218"/>
      <c r="AZ171" s="218"/>
      <c r="BA171" s="218"/>
      <c r="BB171" s="218"/>
      <c r="BC171" s="218"/>
      <c r="BD171" s="218"/>
      <c r="BE171" s="218"/>
      <c r="BF171" s="218"/>
      <c r="BG171" s="218"/>
      <c r="BH171" s="218"/>
      <c r="BI171" s="218"/>
      <c r="BJ171" s="218"/>
      <c r="BK171" s="218"/>
      <c r="BL171" s="218"/>
      <c r="BM171" s="218"/>
      <c r="BN171" s="218"/>
      <c r="BO171" s="218"/>
      <c r="BP171" s="218"/>
      <c r="BQ171" s="1363"/>
      <c r="BR171" s="1363"/>
      <c r="BS171" s="974"/>
      <c r="BT171" s="974"/>
      <c r="BU171" s="974"/>
      <c r="BV171" s="593"/>
      <c r="BW171" s="593"/>
    </row>
    <row s="3617" customFormat="1" customHeight="1" ht="20.25">
      <c r="A172" s="127"/>
      <c r="B172" s="406"/>
      <c r="C172" s="831"/>
      <c r="D172" s="831"/>
      <c r="E172" s="832">
        <v>21</v>
      </c>
      <c r="F172" s="50" cm="1" t="str">
        <f t="array" ref="F172:F172">OFFSET(E172,-1,1)</f>
        <v>1</v>
      </c>
      <c r="G172" s="831"/>
      <c r="H172" s="78"/>
      <c r="I172" s="78" t="s">
        <v>321</v>
      </c>
      <c r="J172" s="831"/>
      <c r="K172" s="343" t="s">
        <v>321</v>
      </c>
      <c r="L172" s="960"/>
      <c r="M172" s="831"/>
      <c r="N172" s="831"/>
      <c r="O172" s="831"/>
      <c r="P172" s="831"/>
      <c r="Q172" s="831"/>
      <c r="R172" s="831"/>
      <c r="S172" s="831"/>
      <c r="T172" s="438" cm="1" t="str">
        <f t="array" ref="T172:T172">T171</f>
        <v>true</v>
      </c>
      <c r="U172" s="831"/>
      <c r="V172" s="831"/>
      <c r="W172" s="831"/>
      <c r="X172" s="1541"/>
      <c r="Y172" s="127"/>
      <c r="Z172" s="1494"/>
      <c r="AA172" s="127"/>
      <c r="AB172" s="200" t="s">
        <v>281</v>
      </c>
      <c r="AC172" s="178" t="s">
        <v>1780</v>
      </c>
      <c r="AD172" s="200" t="s">
        <v>789</v>
      </c>
      <c r="AE172" s="754">
        <f>SUM(AE174,AE191,AE197,AE217,AE218,AE219)</f>
        <v>0</v>
      </c>
      <c r="AF172" s="754">
        <f>SUM(AF174,AF191,AF197,AF217,AF218,AF219)</f>
        <v>0</v>
      </c>
      <c r="AG172" s="754">
        <f>SUM(AG174,AG191,AG197,AG217,AG218,AG219)</f>
        <v>0</v>
      </c>
      <c r="AH172" s="754">
        <f>AG172-AF172</f>
        <v>0</v>
      </c>
      <c r="AI172" s="754">
        <f>SUM(AI174,AI191,AI197,AI217,AI218,AI219)</f>
        <v>0</v>
      </c>
      <c r="AJ172" s="754">
        <f>SUM(AJ174,AJ191,AJ197,AJ217,AJ218,AJ219)</f>
        <v>0</v>
      </c>
      <c r="AK172" s="3608">
        <f>AJ172*AK173</f>
        <v>0</v>
      </c>
      <c r="AL172" s="3608">
        <f>AK172*AL173</f>
        <v>0</v>
      </c>
      <c r="AM172" s="3608">
        <f>AL172*AM173</f>
        <v>0</v>
      </c>
      <c r="AN172" s="3608">
        <f>AM172*AN173</f>
        <v>0</v>
      </c>
      <c r="AO172" s="3608">
        <f>AN172*AO173</f>
        <v>0</v>
      </c>
      <c r="AP172" s="3608">
        <f>AO172*AP173</f>
        <v>0</v>
      </c>
      <c r="AQ172" s="3608">
        <f>AP172*AQ173</f>
        <v>0</v>
      </c>
      <c r="AR172" s="3608">
        <f>AQ172*AR173</f>
        <v>0</v>
      </c>
      <c r="AS172" s="3608">
        <f>AR172*AS173</f>
        <v>0</v>
      </c>
      <c r="AT172" s="754">
        <f>SUM(AT174,AT191,AT197,AT217,AT218,AT219)</f>
        <v>0</v>
      </c>
      <c r="AU172" s="3608">
        <f>AT172*AU173</f>
        <v>0</v>
      </c>
      <c r="AV172" s="3608">
        <f>AU172*AV173</f>
        <v>0</v>
      </c>
      <c r="AW172" s="3608">
        <f>AV172*AW173</f>
        <v>0</v>
      </c>
      <c r="AX172" s="3608">
        <f>AW172*AX173</f>
        <v>0</v>
      </c>
      <c r="AY172" s="3608">
        <f>AX172*AY173</f>
        <v>0</v>
      </c>
      <c r="AZ172" s="3608">
        <f>AY172*AZ173</f>
        <v>0</v>
      </c>
      <c r="BA172" s="3608">
        <f>AZ172*BA173</f>
        <v>0</v>
      </c>
      <c r="BB172" s="3608">
        <f>BA172*BB173</f>
        <v>0</v>
      </c>
      <c r="BC172" s="3608">
        <f>BB172*BC173</f>
        <v>0</v>
      </c>
      <c r="BD172" s="754">
        <f>IF(AI172=0,0,(AT172-AI172)/AI172*100)</f>
        <v>0</v>
      </c>
      <c r="BE172" s="754">
        <f>IF(AT172=0,0,(AU172-AT172)/AT172*100)</f>
        <v>0</v>
      </c>
      <c r="BF172" s="754">
        <f>IF(AU172=0,0,(AV172-AU172)/AU172*100)</f>
        <v>0</v>
      </c>
      <c r="BG172" s="754">
        <f>IF(AV172=0,0,(AW172-AV172)/AV172*100)</f>
        <v>0</v>
      </c>
      <c r="BH172" s="754">
        <f>IF(AW172=0,0,(AX172-AW172)/AW172*100)</f>
        <v>0</v>
      </c>
      <c r="BI172" s="754">
        <f>IF(AX172=0,0,(AY172-AX172)/AX172*100)</f>
        <v>0</v>
      </c>
      <c r="BJ172" s="754">
        <f>IF(AY172=0,0,(AZ172-AY172)/AY172*100)</f>
        <v>0</v>
      </c>
      <c r="BK172" s="754">
        <f>IF(AZ172=0,0,(BA172-AZ172)/AZ172*100)</f>
        <v>0</v>
      </c>
      <c r="BL172" s="754">
        <f>IF(BA172=0,0,(BB172-BA172)/BA172*100)</f>
        <v>0</v>
      </c>
      <c r="BM172" s="754">
        <f>IF(BB172=0,0,(BC172-BB172)/BB172*100)</f>
        <v>0</v>
      </c>
      <c r="BN172" s="3618"/>
      <c r="BO172" s="3618"/>
      <c r="BP172" s="3618"/>
      <c r="BQ172" s="126"/>
      <c r="BR172" s="127"/>
      <c r="BS172" s="1045" t="s">
        <v>497</v>
      </c>
      <c r="BT172" s="1045"/>
      <c r="BU172" s="1045"/>
      <c r="BV172" s="681"/>
      <c r="BW172" s="681"/>
    </row>
    <row s="1624" customFormat="1" customHeight="1" ht="14.25">
      <c r="A173" s="1256"/>
      <c r="B173" s="955"/>
      <c r="C173" s="73"/>
      <c r="D173" s="73"/>
      <c r="E173" s="596">
        <v>15</v>
      </c>
      <c r="F173" s="50" cm="1" t="str">
        <f t="array" ref="F173:F173">OFFSET(E173,-1,1)</f>
        <v>1</v>
      </c>
      <c r="G173" s="73"/>
      <c r="H173" s="833"/>
      <c r="I173" s="833" t="s">
        <v>434</v>
      </c>
      <c r="J173" s="73"/>
      <c r="K173" s="344" t="s">
        <v>434</v>
      </c>
      <c r="L173" s="957"/>
      <c r="M173" s="73"/>
      <c r="N173" s="73"/>
      <c r="O173" s="73"/>
      <c r="P173" s="73"/>
      <c r="Q173" s="73"/>
      <c r="R173" s="73"/>
      <c r="S173" s="73"/>
      <c r="T173" s="438" cm="1" t="str">
        <f t="array" ref="T173:T173">T172</f>
        <v>true</v>
      </c>
      <c r="U173" s="73"/>
      <c r="V173" s="73"/>
      <c r="W173" s="73"/>
      <c r="X173" s="1541"/>
      <c r="Y173" s="1256"/>
      <c r="Z173" s="1494"/>
      <c r="AA173" s="1256"/>
      <c r="AB173" s="266" t="s">
        <v>844</v>
      </c>
      <c r="AC173" s="738" t="s">
        <v>1781</v>
      </c>
      <c r="AD173" s="266"/>
      <c r="AE173" s="3551"/>
      <c r="AF173" s="3551"/>
      <c r="AG173" s="3551"/>
      <c r="AH173" s="1091">
        <f>AG173-AF173</f>
        <v>0</v>
      </c>
      <c r="AI173" s="3551"/>
      <c r="AJ173" s="3551"/>
      <c r="AK173" s="3551">
        <f>_xlfn.SUMIFS(INDEX(Сценарии!$AE$25:$BF$82,,MATCH(AK$8,Сценарии!$AE$8:$BF$8,0)),Сценарии!$F$25:$F$82,$F173,Сценарии!$G$25:$G$82,"ИОР")</f>
        <v>1</v>
      </c>
      <c r="AL173" s="3551">
        <f>_xlfn.SUMIFS(INDEX(Сценарии!$AE$25:$BF$82,,MATCH(AL$8,Сценарии!$AE$8:$BF$8,0)),Сценарии!$F$25:$F$82,$F173,Сценарии!$G$25:$G$82,"ИОР")</f>
        <v>1</v>
      </c>
      <c r="AM173" s="3551">
        <f>_xlfn.SUMIFS(INDEX(Сценарии!$AE$25:$BF$82,,MATCH(AM$8,Сценарии!$AE$8:$BF$8,0)),Сценарии!$F$25:$F$82,$F173,Сценарии!$G$25:$G$82,"ИОР")</f>
        <v>1</v>
      </c>
      <c r="AN173" s="3551">
        <f>_xlfn.SUMIFS(INDEX(Сценарии!$AE$25:$BF$82,,MATCH(AN$8,Сценарии!$AE$8:$BF$8,0)),Сценарии!$F$25:$F$82,$F173,Сценарии!$G$25:$G$82,"ИОР")</f>
        <v>1</v>
      </c>
      <c r="AO173" s="3551">
        <f>_xlfn.SUMIFS(INDEX(Сценарии!$AE$25:$BF$82,,MATCH(AO$8,Сценарии!$AE$8:$BF$8,0)),Сценарии!$F$25:$F$82,$F173,Сценарии!$G$25:$G$82,"ИОР")</f>
        <v>1</v>
      </c>
      <c r="AP173" s="3551">
        <f>_xlfn.SUMIFS(INDEX(Сценарии!$AE$25:$BF$82,,MATCH(AP$8,Сценарии!$AE$8:$BF$8,0)),Сценарии!$F$25:$F$82,$F173,Сценарии!$G$25:$G$82,"ИОР")</f>
        <v>1</v>
      </c>
      <c r="AQ173" s="3551">
        <f>_xlfn.SUMIFS(INDEX(Сценарии!$AE$25:$BF$82,,MATCH(AQ$8,Сценарии!$AE$8:$BF$8,0)),Сценарии!$F$25:$F$82,$F173,Сценарии!$G$25:$G$82,"ИОР")</f>
        <v>1</v>
      </c>
      <c r="AR173" s="3551">
        <f>_xlfn.SUMIFS(INDEX(Сценарии!$AE$25:$BF$82,,MATCH(AR$8,Сценарии!$AE$8:$BF$8,0)),Сценарии!$F$25:$F$82,$F173,Сценарии!$G$25:$G$82,"ИОР")</f>
        <v>1</v>
      </c>
      <c r="AS173" s="3551">
        <f>_xlfn.SUMIFS(INDEX(Сценарии!$AE$25:$BF$82,,MATCH(AS$8,Сценарии!$AE$8:$BF$8,0)),Сценарии!$F$25:$F$82,$F173,Сценарии!$G$25:$G$82,"ИОР")</f>
        <v>1</v>
      </c>
      <c r="AT173" s="3551"/>
      <c r="AU173" s="3551">
        <f>_xlfn.SUMIFS(INDEX(Сценарии!$AE$25:$BF$82,,MATCH(AU$8,Сценарии!$AE$8:$BF$8,0)),Сценарии!$F$25:$F$82,$F173,Сценарии!$G$25:$G$82,"ИОР")</f>
        <v>1</v>
      </c>
      <c r="AV173" s="3551">
        <f>_xlfn.SUMIFS(INDEX(Сценарии!$AE$25:$BF$82,,MATCH(AV$8,Сценарии!$AE$8:$BF$8,0)),Сценарии!$F$25:$F$82,$F173,Сценарии!$G$25:$G$82,"ИОР")</f>
        <v>1</v>
      </c>
      <c r="AW173" s="3551">
        <f>_xlfn.SUMIFS(INDEX(Сценарии!$AE$25:$BF$82,,MATCH(AW$8,Сценарии!$AE$8:$BF$8,0)),Сценарии!$F$25:$F$82,$F173,Сценарии!$G$25:$G$82,"ИОР")</f>
        <v>1</v>
      </c>
      <c r="AX173" s="3551">
        <f>_xlfn.SUMIFS(INDEX(Сценарии!$AE$25:$BF$82,,MATCH(AX$8,Сценарии!$AE$8:$BF$8,0)),Сценарии!$F$25:$F$82,$F173,Сценарии!$G$25:$G$82,"ИОР")</f>
        <v>1</v>
      </c>
      <c r="AY173" s="3551">
        <f>_xlfn.SUMIFS(INDEX(Сценарии!$AE$25:$BF$82,,MATCH(AY$8,Сценарии!$AE$8:$BF$8,0)),Сценарии!$F$25:$F$82,$F173,Сценарии!$G$25:$G$82,"ИОР")</f>
        <v>1</v>
      </c>
      <c r="AZ173" s="3551">
        <f>_xlfn.SUMIFS(INDEX(Сценарии!$AE$25:$BF$82,,MATCH(AZ$8,Сценарии!$AE$8:$BF$8,0)),Сценарии!$F$25:$F$82,$F173,Сценарии!$G$25:$G$82,"ИОР")</f>
        <v>1</v>
      </c>
      <c r="BA173" s="3551">
        <f>_xlfn.SUMIFS(INDEX(Сценарии!$AE$25:$BF$82,,MATCH(BA$8,Сценарии!$AE$8:$BF$8,0)),Сценарии!$F$25:$F$82,$F173,Сценарии!$G$25:$G$82,"ИОР")</f>
        <v>1</v>
      </c>
      <c r="BB173" s="3551">
        <f>_xlfn.SUMIFS(INDEX(Сценарии!$AE$25:$BF$82,,MATCH(BB$8,Сценарии!$AE$8:$BF$8,0)),Сценарии!$F$25:$F$82,$F173,Сценарии!$G$25:$G$82,"ИОР")</f>
        <v>1</v>
      </c>
      <c r="BC173" s="3551">
        <f>_xlfn.SUMIFS(INDEX(Сценарии!$AE$25:$BF$82,,MATCH(BC$8,Сценарии!$AE$8:$BF$8,0)),Сценарии!$F$25:$F$82,$F173,Сценарии!$G$25:$G$82,"ИОР")</f>
        <v>1</v>
      </c>
      <c r="BD173" s="1092">
        <f>IF(AI173=0,0,(AT173-AI173)/AI173*100)</f>
        <v>0</v>
      </c>
      <c r="BE173" s="1093"/>
      <c r="BF173" s="1093"/>
      <c r="BG173" s="1093"/>
      <c r="BH173" s="1093"/>
      <c r="BI173" s="1093"/>
      <c r="BJ173" s="1093"/>
      <c r="BK173" s="1093"/>
      <c r="BL173" s="1093"/>
      <c r="BM173" s="1093"/>
      <c r="BN173" s="3618"/>
      <c r="BO173" s="3618"/>
      <c r="BP173" s="3618"/>
      <c r="BQ173" s="1256"/>
      <c r="BR173" s="1256"/>
      <c r="BS173" s="1041" t="s">
        <v>1782</v>
      </c>
      <c r="BT173" s="1041"/>
      <c r="BU173" s="1041"/>
      <c r="BV173" s="956"/>
      <c r="BW173" s="956"/>
    </row>
    <row s="406" customFormat="1" customHeight="1" ht="20.25">
      <c r="A174" s="126"/>
      <c r="B174" s="406"/>
      <c r="C174" s="834"/>
      <c r="D174" s="834"/>
      <c r="E174" s="835">
        <v>21</v>
      </c>
      <c r="F174" s="50" cm="1" t="str">
        <f t="array" ref="F174:F174">OFFSET(E174,-1,1)</f>
        <v>1</v>
      </c>
      <c r="G174" s="834"/>
      <c r="H174" s="78"/>
      <c r="I174" s="78" t="s">
        <v>438</v>
      </c>
      <c r="J174" s="834"/>
      <c r="K174" s="343" t="s">
        <v>438</v>
      </c>
      <c r="L174" s="961" t="s">
        <v>321</v>
      </c>
      <c r="M174" s="834"/>
      <c r="N174" s="834"/>
      <c r="O174" s="834"/>
      <c r="P174" s="834"/>
      <c r="Q174" s="834"/>
      <c r="R174" s="834"/>
      <c r="S174" s="834"/>
      <c r="T174" s="438" cm="1" t="str">
        <f t="array" ref="T174:T174">T173</f>
        <v>true</v>
      </c>
      <c r="U174" s="834"/>
      <c r="V174" s="834"/>
      <c r="W174" s="834"/>
      <c r="X174" s="1541"/>
      <c r="Y174" s="126"/>
      <c r="Z174" s="1494"/>
      <c r="AA174" s="126"/>
      <c r="AB174" s="200" t="s">
        <v>847</v>
      </c>
      <c r="AC174" s="327" t="s">
        <v>1568</v>
      </c>
      <c r="AD174" s="200" t="s">
        <v>789</v>
      </c>
      <c r="AE174" s="754">
        <f>SUM(AE175,AE178,AE179,AE182,AE183)</f>
        <v>0</v>
      </c>
      <c r="AF174" s="754">
        <f>SUM(AF175,AF178,AF179,AF182,AF183)</f>
        <v>0</v>
      </c>
      <c r="AG174" s="754">
        <f>SUM(AG175,AG178,AG179,AG182,AG183)</f>
        <v>0</v>
      </c>
      <c r="AH174" s="754">
        <f>AG174-AF174</f>
        <v>0</v>
      </c>
      <c r="AI174" s="754">
        <f>SUM(AI175,AI178,AI179,AI182,AI183)</f>
        <v>0</v>
      </c>
      <c r="AJ174" s="754">
        <f>SUM(AJ175,AJ178,AJ179,AJ182,AJ183)</f>
        <v>0</v>
      </c>
      <c r="AK174" s="182"/>
      <c r="AL174" s="182"/>
      <c r="AM174" s="182"/>
      <c r="AN174" s="182"/>
      <c r="AO174" s="182"/>
      <c r="AP174" s="182"/>
      <c r="AQ174" s="182"/>
      <c r="AR174" s="182"/>
      <c r="AS174" s="182"/>
      <c r="AT174" s="754">
        <f>SUM(AT175,AT178,AT179,AT182,AT183)</f>
        <v>0</v>
      </c>
      <c r="AU174" s="182"/>
      <c r="AV174" s="182"/>
      <c r="AW174" s="182"/>
      <c r="AX174" s="182"/>
      <c r="AY174" s="182"/>
      <c r="AZ174" s="182"/>
      <c r="BA174" s="182"/>
      <c r="BB174" s="182"/>
      <c r="BC174" s="182"/>
      <c r="BD174" s="754">
        <f>IF(AI174=0,0,(AT174-AI174)/AI174*100)</f>
        <v>0</v>
      </c>
      <c r="BE174" s="182"/>
      <c r="BF174" s="182"/>
      <c r="BG174" s="182"/>
      <c r="BH174" s="182"/>
      <c r="BI174" s="182"/>
      <c r="BJ174" s="182"/>
      <c r="BK174" s="182"/>
      <c r="BL174" s="182"/>
      <c r="BM174" s="182"/>
      <c r="BN174" s="3619"/>
      <c r="BO174" s="3619"/>
      <c r="BP174" s="3619"/>
      <c r="BQ174" s="126"/>
      <c r="BR174" s="126"/>
      <c r="BS174" s="1039" t="s">
        <v>491</v>
      </c>
      <c r="BT174" s="1046"/>
      <c r="BU174" s="1046"/>
      <c r="BV174" s="682"/>
      <c r="BW174" s="682"/>
    </row>
    <row s="1624" customFormat="1" customHeight="1" ht="14.25">
      <c r="A175" s="1256"/>
      <c r="B175" s="955"/>
      <c r="C175" s="73"/>
      <c r="D175" s="73"/>
      <c r="E175" s="596">
        <v>15</v>
      </c>
      <c r="F175" s="50" cm="1" t="str">
        <f t="array" ref="F175:F175">OFFSET(E175,-1,1)</f>
        <v>1</v>
      </c>
      <c r="G175" s="73"/>
      <c r="H175" s="833"/>
      <c r="I175" s="833" t="s">
        <v>1208</v>
      </c>
      <c r="J175" s="73"/>
      <c r="K175" s="344" t="s">
        <v>1208</v>
      </c>
      <c r="L175" s="957" t="s">
        <v>434</v>
      </c>
      <c r="M175" s="73"/>
      <c r="N175" s="73"/>
      <c r="O175" s="73"/>
      <c r="P175" s="73"/>
      <c r="Q175" s="73"/>
      <c r="R175" s="73"/>
      <c r="S175" s="73"/>
      <c r="T175" s="438" cm="1" t="str">
        <f t="array" ref="T175:T175">T174</f>
        <v>true</v>
      </c>
      <c r="U175" s="73"/>
      <c r="V175" s="73"/>
      <c r="W175" s="73"/>
      <c r="X175" s="1541"/>
      <c r="Y175" s="1256"/>
      <c r="Z175" s="1494"/>
      <c r="AA175" s="1256"/>
      <c r="AB175" s="266" t="s">
        <v>1209</v>
      </c>
      <c r="AC175" s="741" t="s">
        <v>1783</v>
      </c>
      <c r="AD175" s="742" t="s">
        <v>789</v>
      </c>
      <c r="AE175" s="1092">
        <f>SUM(AE176,AE177)</f>
        <v>0</v>
      </c>
      <c r="AF175" s="1092">
        <f>SUM(AF176,AF177)</f>
        <v>0</v>
      </c>
      <c r="AG175" s="1092">
        <f>SUM(AG176,AG177)</f>
        <v>0</v>
      </c>
      <c r="AH175" s="1092">
        <f>AG175-AF175</f>
        <v>0</v>
      </c>
      <c r="AI175" s="1092">
        <f>SUM(AI176,AI177)</f>
        <v>0</v>
      </c>
      <c r="AJ175" s="1092">
        <f>SUM(AJ176,AJ177)</f>
        <v>0</v>
      </c>
      <c r="AK175" s="1093"/>
      <c r="AL175" s="1093"/>
      <c r="AM175" s="1093"/>
      <c r="AN175" s="1093"/>
      <c r="AO175" s="1093"/>
      <c r="AP175" s="1093"/>
      <c r="AQ175" s="1093"/>
      <c r="AR175" s="1093"/>
      <c r="AS175" s="1093"/>
      <c r="AT175" s="1092">
        <f>SUM(AT176,AT177)</f>
        <v>0</v>
      </c>
      <c r="AU175" s="1093"/>
      <c r="AV175" s="1093"/>
      <c r="AW175" s="1093"/>
      <c r="AX175" s="1093"/>
      <c r="AY175" s="1093"/>
      <c r="AZ175" s="1093"/>
      <c r="BA175" s="1093"/>
      <c r="BB175" s="1093"/>
      <c r="BC175" s="1093"/>
      <c r="BD175" s="1092">
        <f>IF(AI175=0,0,(AT175-AI175)/AI175*100)</f>
        <v>0</v>
      </c>
      <c r="BE175" s="1093"/>
      <c r="BF175" s="1093"/>
      <c r="BG175" s="1093"/>
      <c r="BH175" s="1093"/>
      <c r="BI175" s="1093"/>
      <c r="BJ175" s="1093"/>
      <c r="BK175" s="1093"/>
      <c r="BL175" s="1093"/>
      <c r="BM175" s="1093"/>
      <c r="BN175" s="3618"/>
      <c r="BO175" s="3618"/>
      <c r="BP175" s="3618"/>
      <c r="BQ175" s="76"/>
      <c r="BR175" s="1256"/>
      <c r="BS175" s="1040" t="s">
        <v>1570</v>
      </c>
      <c r="BT175" s="1041"/>
      <c r="BU175" s="1041"/>
      <c r="BV175" s="956"/>
      <c r="BW175" s="956"/>
    </row>
    <row s="1624" customFormat="1" customHeight="1" ht="14.25">
      <c r="A176" s="1256"/>
      <c r="B176" s="955"/>
      <c r="C176" s="73"/>
      <c r="D176" s="73"/>
      <c r="E176" s="596">
        <v>15</v>
      </c>
      <c r="F176" s="50" cm="1" t="str">
        <f t="array" ref="F176:F176">OFFSET(E176,-1,1)</f>
        <v>1</v>
      </c>
      <c r="G176" s="73"/>
      <c r="H176" s="833"/>
      <c r="I176" s="833" t="s">
        <v>1784</v>
      </c>
      <c r="J176" s="73"/>
      <c r="K176" s="344" t="s">
        <v>1784</v>
      </c>
      <c r="L176" s="957" t="s">
        <v>951</v>
      </c>
      <c r="M176" s="73"/>
      <c r="N176" s="73"/>
      <c r="O176" s="73"/>
      <c r="P176" s="73"/>
      <c r="Q176" s="73"/>
      <c r="R176" s="73"/>
      <c r="S176" s="73"/>
      <c r="T176" s="438" cm="1" t="str">
        <f t="array" ref="T176:T176">T175</f>
        <v>true</v>
      </c>
      <c r="U176" s="73"/>
      <c r="V176" s="73"/>
      <c r="W176" s="73"/>
      <c r="X176" s="1541"/>
      <c r="Y176" s="1256"/>
      <c r="Z176" s="1494"/>
      <c r="AA176" s="1256"/>
      <c r="AB176" s="266" t="s">
        <v>1785</v>
      </c>
      <c r="AC176" s="744" t="s">
        <v>1573</v>
      </c>
      <c r="AD176" s="742" t="s">
        <v>789</v>
      </c>
      <c r="AE176" s="3564"/>
      <c r="AF176" s="3564"/>
      <c r="AG176" s="3564"/>
      <c r="AH176" s="1092">
        <f>AG176-AF176</f>
        <v>0</v>
      </c>
      <c r="AI176" s="3564"/>
      <c r="AJ176" s="3564"/>
      <c r="AK176" s="1093"/>
      <c r="AL176" s="1093"/>
      <c r="AM176" s="1093"/>
      <c r="AN176" s="1093"/>
      <c r="AO176" s="1093"/>
      <c r="AP176" s="1093"/>
      <c r="AQ176" s="1093"/>
      <c r="AR176" s="1093"/>
      <c r="AS176" s="1093"/>
      <c r="AT176" s="3564"/>
      <c r="AU176" s="1093"/>
      <c r="AV176" s="1093"/>
      <c r="AW176" s="1093"/>
      <c r="AX176" s="1093"/>
      <c r="AY176" s="1093"/>
      <c r="AZ176" s="1093"/>
      <c r="BA176" s="1093"/>
      <c r="BB176" s="1093"/>
      <c r="BC176" s="1093"/>
      <c r="BD176" s="1092">
        <f>IF(AI176=0,0,(AT176-AI176)/AI176*100)</f>
        <v>0</v>
      </c>
      <c r="BE176" s="1093"/>
      <c r="BF176" s="1093"/>
      <c r="BG176" s="1093"/>
      <c r="BH176" s="1093"/>
      <c r="BI176" s="1093"/>
      <c r="BJ176" s="1093"/>
      <c r="BK176" s="1093"/>
      <c r="BL176" s="1093"/>
      <c r="BM176" s="1093"/>
      <c r="BN176" s="3618"/>
      <c r="BO176" s="3618"/>
      <c r="BP176" s="3618"/>
      <c r="BQ176" s="1256"/>
      <c r="BR176" s="1256"/>
      <c r="BS176" s="1039" t="s">
        <v>1574</v>
      </c>
      <c r="BT176" s="1041"/>
      <c r="BU176" s="1041"/>
      <c r="BV176" s="956"/>
      <c r="BW176" s="956"/>
    </row>
    <row s="1624" customFormat="1" customHeight="1" ht="14.25">
      <c r="A177" s="1256"/>
      <c r="B177" s="955"/>
      <c r="C177" s="73"/>
      <c r="D177" s="73"/>
      <c r="E177" s="596">
        <v>15</v>
      </c>
      <c r="F177" s="50" cm="1" t="str">
        <f t="array" ref="F177:F177">OFFSET(E177,-1,1)</f>
        <v>1</v>
      </c>
      <c r="G177" s="73"/>
      <c r="H177" s="833"/>
      <c r="I177" s="833" t="s">
        <v>1786</v>
      </c>
      <c r="J177" s="73"/>
      <c r="K177" s="344" t="s">
        <v>1786</v>
      </c>
      <c r="L177" s="957" t="s">
        <v>1183</v>
      </c>
      <c r="M177" s="73"/>
      <c r="N177" s="73"/>
      <c r="O177" s="73"/>
      <c r="P177" s="73"/>
      <c r="Q177" s="73"/>
      <c r="R177" s="73"/>
      <c r="S177" s="73"/>
      <c r="T177" s="438" cm="1" t="str">
        <f t="array" ref="T177:T177">T176</f>
        <v>true</v>
      </c>
      <c r="U177" s="73"/>
      <c r="V177" s="73"/>
      <c r="W177" s="73"/>
      <c r="X177" s="1541"/>
      <c r="Y177" s="1256"/>
      <c r="Z177" s="1494"/>
      <c r="AA177" s="1256"/>
      <c r="AB177" s="266" t="s">
        <v>1787</v>
      </c>
      <c r="AC177" s="744" t="s">
        <v>1575</v>
      </c>
      <c r="AD177" s="742" t="s">
        <v>789</v>
      </c>
      <c r="AE177" s="3564"/>
      <c r="AF177" s="3564"/>
      <c r="AG177" s="3564"/>
      <c r="AH177" s="1092">
        <f>AG177-AF177</f>
        <v>0</v>
      </c>
      <c r="AI177" s="3564"/>
      <c r="AJ177" s="3564"/>
      <c r="AK177" s="1093"/>
      <c r="AL177" s="1093"/>
      <c r="AM177" s="1093"/>
      <c r="AN177" s="1093"/>
      <c r="AO177" s="1093"/>
      <c r="AP177" s="1093"/>
      <c r="AQ177" s="1093"/>
      <c r="AR177" s="1093"/>
      <c r="AS177" s="1093"/>
      <c r="AT177" s="3564"/>
      <c r="AU177" s="1093"/>
      <c r="AV177" s="1093"/>
      <c r="AW177" s="1093"/>
      <c r="AX177" s="1093"/>
      <c r="AY177" s="1093"/>
      <c r="AZ177" s="1093"/>
      <c r="BA177" s="1093"/>
      <c r="BB177" s="1093"/>
      <c r="BC177" s="1093"/>
      <c r="BD177" s="1092">
        <f>IF(AI177=0,0,(AT177-AI177)/AI177*100)</f>
        <v>0</v>
      </c>
      <c r="BE177" s="1093"/>
      <c r="BF177" s="1093"/>
      <c r="BG177" s="1093"/>
      <c r="BH177" s="1093"/>
      <c r="BI177" s="1093"/>
      <c r="BJ177" s="1093"/>
      <c r="BK177" s="1093"/>
      <c r="BL177" s="1093"/>
      <c r="BM177" s="1093"/>
      <c r="BN177" s="3618"/>
      <c r="BO177" s="3618"/>
      <c r="BP177" s="3618"/>
      <c r="BQ177" s="1256"/>
      <c r="BR177" s="1256"/>
      <c r="BS177" s="1039" t="s">
        <v>1576</v>
      </c>
      <c r="BT177" s="1041"/>
      <c r="BU177" s="1041"/>
      <c r="BV177" s="956"/>
      <c r="BW177" s="956"/>
    </row>
    <row s="1624" customFormat="1" customHeight="1" ht="21.75">
      <c r="A178" s="1256"/>
      <c r="B178" s="955"/>
      <c r="C178" s="73"/>
      <c r="D178" s="73"/>
      <c r="E178" s="596">
        <v>22.5</v>
      </c>
      <c r="F178" s="50" cm="1" t="str">
        <f t="array" ref="F178:F178">OFFSET(E178,-1,1)</f>
        <v>1</v>
      </c>
      <c r="G178" s="73"/>
      <c r="H178" s="833"/>
      <c r="I178" s="833" t="s">
        <v>1211</v>
      </c>
      <c r="J178" s="73"/>
      <c r="K178" s="344" t="s">
        <v>1211</v>
      </c>
      <c r="L178" s="957" t="s">
        <v>441</v>
      </c>
      <c r="M178" s="73"/>
      <c r="N178" s="73"/>
      <c r="O178" s="73"/>
      <c r="P178" s="73"/>
      <c r="Q178" s="73"/>
      <c r="R178" s="73"/>
      <c r="S178" s="73"/>
      <c r="T178" s="438" cm="1" t="str">
        <f t="array" ref="T178:T178">T177</f>
        <v>true</v>
      </c>
      <c r="U178" s="73"/>
      <c r="V178" s="73"/>
      <c r="W178" s="73"/>
      <c r="X178" s="1541"/>
      <c r="Y178" s="1256"/>
      <c r="Z178" s="1494"/>
      <c r="AA178" s="1256"/>
      <c r="AB178" s="266" t="s">
        <v>1212</v>
      </c>
      <c r="AC178" s="741" t="s">
        <v>1788</v>
      </c>
      <c r="AD178" s="742" t="s">
        <v>789</v>
      </c>
      <c r="AE178" s="3564"/>
      <c r="AF178" s="3564"/>
      <c r="AG178" s="3564"/>
      <c r="AH178" s="1092">
        <f>AG178-AF178</f>
        <v>0</v>
      </c>
      <c r="AI178" s="3564"/>
      <c r="AJ178" s="3564"/>
      <c r="AK178" s="1093"/>
      <c r="AL178" s="1093"/>
      <c r="AM178" s="1093"/>
      <c r="AN178" s="1093"/>
      <c r="AO178" s="1093"/>
      <c r="AP178" s="1093"/>
      <c r="AQ178" s="1093"/>
      <c r="AR178" s="1093"/>
      <c r="AS178" s="1093"/>
      <c r="AT178" s="3564"/>
      <c r="AU178" s="1093"/>
      <c r="AV178" s="1093"/>
      <c r="AW178" s="1093"/>
      <c r="AX178" s="1093"/>
      <c r="AY178" s="1093"/>
      <c r="AZ178" s="1093"/>
      <c r="BA178" s="1093"/>
      <c r="BB178" s="1093"/>
      <c r="BC178" s="1093"/>
      <c r="BD178" s="1092">
        <f>IF(AI178=0,0,(AT178-AI178)/AI178*100)</f>
        <v>0</v>
      </c>
      <c r="BE178" s="1093"/>
      <c r="BF178" s="1093"/>
      <c r="BG178" s="1093"/>
      <c r="BH178" s="1093"/>
      <c r="BI178" s="1093"/>
      <c r="BJ178" s="1093"/>
      <c r="BK178" s="1093"/>
      <c r="BL178" s="1093"/>
      <c r="BM178" s="1093"/>
      <c r="BN178" s="3618"/>
      <c r="BO178" s="3618"/>
      <c r="BP178" s="3618"/>
      <c r="BQ178" s="1256"/>
      <c r="BR178" s="1256"/>
      <c r="BS178" s="1040" t="s">
        <v>1601</v>
      </c>
      <c r="BT178" s="1041"/>
      <c r="BU178" s="1041"/>
      <c r="BV178" s="956"/>
      <c r="BW178" s="956"/>
    </row>
    <row s="1624" customFormat="1" customHeight="1" ht="21.75">
      <c r="A179" s="1256"/>
      <c r="B179" s="955"/>
      <c r="C179" s="73"/>
      <c r="D179" s="73"/>
      <c r="E179" s="596">
        <v>22.5</v>
      </c>
      <c r="F179" s="50" cm="1" t="str">
        <f t="array" ref="F179:F179">OFFSET(E179,-1,1)</f>
        <v>1</v>
      </c>
      <c r="G179" s="73"/>
      <c r="H179" s="833"/>
      <c r="I179" s="833" t="s">
        <v>1215</v>
      </c>
      <c r="J179" s="73"/>
      <c r="K179" s="344" t="s">
        <v>1215</v>
      </c>
      <c r="L179" s="957" t="s">
        <v>445</v>
      </c>
      <c r="M179" s="73"/>
      <c r="N179" s="73"/>
      <c r="O179" s="73"/>
      <c r="P179" s="73"/>
      <c r="Q179" s="73"/>
      <c r="R179" s="73"/>
      <c r="S179" s="73"/>
      <c r="T179" s="438" cm="1" t="str">
        <f t="array" ref="T179:T179">T178</f>
        <v>true</v>
      </c>
      <c r="U179" s="73"/>
      <c r="V179" s="73"/>
      <c r="W179" s="73"/>
      <c r="X179" s="1541"/>
      <c r="Y179" s="1256"/>
      <c r="Z179" s="1494"/>
      <c r="AA179" s="1256"/>
      <c r="AB179" s="266" t="s">
        <v>1216</v>
      </c>
      <c r="AC179" s="741" t="s">
        <v>1789</v>
      </c>
      <c r="AD179" s="742" t="s">
        <v>789</v>
      </c>
      <c r="AE179" s="1094">
        <f>AE180+AE181</f>
        <v>0</v>
      </c>
      <c r="AF179" s="1094">
        <f>AF180+AF181</f>
        <v>0</v>
      </c>
      <c r="AG179" s="1094">
        <f>AG180+AG181</f>
        <v>0</v>
      </c>
      <c r="AH179" s="1092">
        <f>AG179-AF179</f>
        <v>0</v>
      </c>
      <c r="AI179" s="1094">
        <f>AI180+AI181</f>
        <v>0</v>
      </c>
      <c r="AJ179" s="1094">
        <f>AJ180+AJ181</f>
        <v>0</v>
      </c>
      <c r="AK179" s="1093"/>
      <c r="AL179" s="1093"/>
      <c r="AM179" s="1093"/>
      <c r="AN179" s="1093"/>
      <c r="AO179" s="1093"/>
      <c r="AP179" s="1093"/>
      <c r="AQ179" s="1093"/>
      <c r="AR179" s="1093"/>
      <c r="AS179" s="1093"/>
      <c r="AT179" s="1094">
        <f>AT180+AT181</f>
        <v>0</v>
      </c>
      <c r="AU179" s="1093"/>
      <c r="AV179" s="1093"/>
      <c r="AW179" s="1093"/>
      <c r="AX179" s="1093"/>
      <c r="AY179" s="1093"/>
      <c r="AZ179" s="1093"/>
      <c r="BA179" s="1093"/>
      <c r="BB179" s="1093"/>
      <c r="BC179" s="1093"/>
      <c r="BD179" s="1092">
        <f>IF(AI179=0,0,(AT179-AI179)/AI179*100)</f>
        <v>0</v>
      </c>
      <c r="BE179" s="1093"/>
      <c r="BF179" s="1093"/>
      <c r="BG179" s="1093"/>
      <c r="BH179" s="1093"/>
      <c r="BI179" s="1093"/>
      <c r="BJ179" s="1093"/>
      <c r="BK179" s="1093"/>
      <c r="BL179" s="1093"/>
      <c r="BM179" s="1093"/>
      <c r="BN179" s="3618"/>
      <c r="BO179" s="3618"/>
      <c r="BP179" s="3618"/>
      <c r="BQ179" s="1256"/>
      <c r="BR179" s="1256"/>
      <c r="BS179" s="1040" t="s">
        <v>1790</v>
      </c>
      <c r="BT179" s="1041"/>
      <c r="BU179" s="1041"/>
      <c r="BV179" s="956"/>
      <c r="BW179" s="956"/>
    </row>
    <row s="1624" customFormat="1" customHeight="1" ht="14.25">
      <c r="A180" s="1256"/>
      <c r="B180" s="955"/>
      <c r="C180" s="73"/>
      <c r="D180" s="73"/>
      <c r="E180" s="596">
        <v>15</v>
      </c>
      <c r="F180" s="50" cm="1" t="str">
        <f t="array" ref="F180:F180">OFFSET(E180,-1,1)</f>
        <v>1</v>
      </c>
      <c r="G180" s="340" t="s">
        <v>1033</v>
      </c>
      <c r="H180" s="833"/>
      <c r="I180" s="833" t="s">
        <v>1359</v>
      </c>
      <c r="J180" s="73"/>
      <c r="K180" s="344" t="s">
        <v>1359</v>
      </c>
      <c r="L180" s="957" t="s">
        <v>1235</v>
      </c>
      <c r="M180" s="73"/>
      <c r="N180" s="73"/>
      <c r="O180" s="73"/>
      <c r="P180" s="73"/>
      <c r="Q180" s="73"/>
      <c r="R180" s="73"/>
      <c r="S180" s="73"/>
      <c r="T180" s="438" cm="1" t="str">
        <f t="array" ref="T180:T180">T179</f>
        <v>true</v>
      </c>
      <c r="U180" s="73"/>
      <c r="V180" s="73"/>
      <c r="W180" s="73"/>
      <c r="X180" s="1541"/>
      <c r="Y180" s="1256"/>
      <c r="Z180" s="1494"/>
      <c r="AA180" s="1256"/>
      <c r="AB180" s="266" t="s">
        <v>1791</v>
      </c>
      <c r="AC180" s="744" t="s">
        <v>1604</v>
      </c>
      <c r="AD180" s="742" t="s">
        <v>789</v>
      </c>
      <c r="AE180" s="1092">
        <f>_xlfn.SUMIFS(ФОТ!AE$25:AE$77,ФОТ!$F$25:$F$77,$F180,ФОТ!$G$25:$G$77,$G180)</f>
        <v>0</v>
      </c>
      <c r="AF180" s="1092">
        <f>_xlfn.SUMIFS(ФОТ!AF$25:AF$77,ФОТ!$F$25:$F$77,$F180,ФОТ!$G$25:$G$77,$G180)</f>
        <v>0</v>
      </c>
      <c r="AG180" s="1092">
        <f>_xlfn.SUMIFS(ФОТ!AG$25:AG$77,ФОТ!$F$25:$F$77,$F180,ФОТ!$G$25:$G$77,$G180)</f>
        <v>0</v>
      </c>
      <c r="AH180" s="1092">
        <f>AG180-AF180</f>
        <v>0</v>
      </c>
      <c r="AI180" s="1092">
        <f>_xlfn.SUMIFS(ФОТ!AH$25:AH$77,ФОТ!$F$25:$F$77,$F180,ФОТ!$G$25:$G$77,$G180)</f>
        <v>0</v>
      </c>
      <c r="AJ180" s="1092">
        <f>_xlfn.SUMIFS(ФОТ!AI$25:AI$77,ФОТ!$F$25:$F$77,$F180,ФОТ!$G$25:$G$77,$G180)</f>
        <v>0</v>
      </c>
      <c r="AK180" s="1093"/>
      <c r="AL180" s="1093"/>
      <c r="AM180" s="1093"/>
      <c r="AN180" s="1093"/>
      <c r="AO180" s="1093"/>
      <c r="AP180" s="1093"/>
      <c r="AQ180" s="1093"/>
      <c r="AR180" s="1093"/>
      <c r="AS180" s="1093"/>
      <c r="AT180" s="1092">
        <f>_xlfn.SUMIFS(ФОТ!AJ$25:AJ$77,ФОТ!$F$25:$F$77,$F180,ФОТ!$G$25:$G$77,$G180)</f>
        <v>0</v>
      </c>
      <c r="AU180" s="1093"/>
      <c r="AV180" s="1093"/>
      <c r="AW180" s="1093"/>
      <c r="AX180" s="1093"/>
      <c r="AY180" s="1093"/>
      <c r="AZ180" s="1093"/>
      <c r="BA180" s="1093"/>
      <c r="BB180" s="1093"/>
      <c r="BC180" s="1093"/>
      <c r="BD180" s="1092">
        <f>IF(AI180=0,0,(AT180-AI180)/AI180*100)</f>
        <v>0</v>
      </c>
      <c r="BE180" s="1093"/>
      <c r="BF180" s="1093"/>
      <c r="BG180" s="1093"/>
      <c r="BH180" s="1093"/>
      <c r="BI180" s="1093"/>
      <c r="BJ180" s="1093"/>
      <c r="BK180" s="1093"/>
      <c r="BL180" s="1093"/>
      <c r="BM180" s="1093"/>
      <c r="BN180" s="3618"/>
      <c r="BO180" s="3620" t="str">
        <f>IF(_xlfn.IFERROR(INDEX(ФОТ!$K$26:$L$77,MATCH($F180&amp;"1komm",ФОТ!$K$26:$K$77,0),2),"")=0,"",_xlfn.IFERROR(INDEX(ФОТ!$K$26:$L$77,MATCH($F180&amp;"1komm",ФОТ!$K$26:$K$77,0),2),""))</f>
        <v/>
      </c>
      <c r="BP180" s="3618"/>
      <c r="BQ180" s="1256"/>
      <c r="BR180" s="1256"/>
      <c r="BS180" s="1039" t="s">
        <v>1605</v>
      </c>
      <c r="BT180" s="1041"/>
      <c r="BU180" s="1041"/>
      <c r="BV180" s="956"/>
      <c r="BW180" s="956"/>
    </row>
    <row s="1624" customFormat="1" customHeight="1" ht="21.75">
      <c r="A181" s="1256"/>
      <c r="B181" s="955"/>
      <c r="C181" s="73"/>
      <c r="D181" s="73"/>
      <c r="E181" s="596">
        <v>22.5</v>
      </c>
      <c r="F181" s="50" cm="1" t="str">
        <f t="array" ref="F181:F181">OFFSET(E181,-1,1)</f>
        <v>1</v>
      </c>
      <c r="G181" s="340" t="s">
        <v>1045</v>
      </c>
      <c r="H181" s="833"/>
      <c r="I181" s="833" t="s">
        <v>1363</v>
      </c>
      <c r="J181" s="73"/>
      <c r="K181" s="344" t="s">
        <v>1363</v>
      </c>
      <c r="L181" s="957" t="s">
        <v>1236</v>
      </c>
      <c r="M181" s="73"/>
      <c r="N181" s="73"/>
      <c r="O181" s="73"/>
      <c r="P181" s="73"/>
      <c r="Q181" s="73"/>
      <c r="R181" s="73"/>
      <c r="S181" s="73"/>
      <c r="T181" s="438" cm="1" t="str">
        <f t="array" ref="T181:T181">T180</f>
        <v>true</v>
      </c>
      <c r="U181" s="73"/>
      <c r="V181" s="73"/>
      <c r="W181" s="73"/>
      <c r="X181" s="1541"/>
      <c r="Y181" s="1256"/>
      <c r="Z181" s="1494"/>
      <c r="AA181" s="1256"/>
      <c r="AB181" s="266" t="s">
        <v>1792</v>
      </c>
      <c r="AC181" s="744" t="s">
        <v>1793</v>
      </c>
      <c r="AD181" s="742" t="s">
        <v>789</v>
      </c>
      <c r="AE181" s="1092">
        <f>_xlfn.SUMIFS(ФОТ!AE$25:AE$77,ФОТ!$F$25:$F$77,$F181,ФОТ!$G$25:$G$77,$G181)</f>
        <v>0</v>
      </c>
      <c r="AF181" s="1092">
        <f>_xlfn.SUMIFS(ФОТ!AF$25:AF$77,ФОТ!$F$25:$F$77,$F181,ФОТ!$G$25:$G$77,$G181)</f>
        <v>0</v>
      </c>
      <c r="AG181" s="1092">
        <f>_xlfn.SUMIFS(ФОТ!AG$25:AG$77,ФОТ!$F$25:$F$77,$F181,ФОТ!$G$25:$G$77,$G181)</f>
        <v>0</v>
      </c>
      <c r="AH181" s="1092">
        <f>AG181-AF181</f>
        <v>0</v>
      </c>
      <c r="AI181" s="1092">
        <f>_xlfn.SUMIFS(ФОТ!AH$25:AH$77,ФОТ!$F$25:$F$77,$F181,ФОТ!$G$25:$G$77,$G181)</f>
        <v>0</v>
      </c>
      <c r="AJ181" s="1092">
        <f>_xlfn.SUMIFS(ФОТ!AI$25:AI$77,ФОТ!$F$25:$F$77,$F181,ФОТ!$G$25:$G$77,$G181)</f>
        <v>0</v>
      </c>
      <c r="AK181" s="1093"/>
      <c r="AL181" s="1093"/>
      <c r="AM181" s="1093"/>
      <c r="AN181" s="1093"/>
      <c r="AO181" s="1093"/>
      <c r="AP181" s="1093"/>
      <c r="AQ181" s="1093"/>
      <c r="AR181" s="1093"/>
      <c r="AS181" s="1093"/>
      <c r="AT181" s="1092">
        <f>_xlfn.SUMIFS(ФОТ!AJ$25:AJ$77,ФОТ!$F$25:$F$77,$F181,ФОТ!$G$25:$G$77,$G181)</f>
        <v>0</v>
      </c>
      <c r="AU181" s="1093"/>
      <c r="AV181" s="1093"/>
      <c r="AW181" s="1093"/>
      <c r="AX181" s="1093"/>
      <c r="AY181" s="1093"/>
      <c r="AZ181" s="1093"/>
      <c r="BA181" s="1093"/>
      <c r="BB181" s="1093"/>
      <c r="BC181" s="1093"/>
      <c r="BD181" s="1092">
        <f>IF(AI181=0,0,(AT181-AI181)/AI181*100)</f>
        <v>0</v>
      </c>
      <c r="BE181" s="1093"/>
      <c r="BF181" s="1093"/>
      <c r="BG181" s="1093"/>
      <c r="BH181" s="1093"/>
      <c r="BI181" s="1093"/>
      <c r="BJ181" s="1093"/>
      <c r="BK181" s="1093"/>
      <c r="BL181" s="1093"/>
      <c r="BM181" s="1093"/>
      <c r="BN181" s="3618"/>
      <c r="BO181" s="3620" t="str">
        <f>IF(_xlfn.IFERROR(INDEX(ФОТ!$K$26:$L$77,MATCH($F181&amp;"2komm",ФОТ!$K$26:$K$77,0),2),"")=0,"",_xlfn.IFERROR(INDEX(ФОТ!$K$26:$L$77,MATCH($F181&amp;"2komm",ФОТ!$K$26:$K$77,0),2),""))</f>
        <v/>
      </c>
      <c r="BP181" s="3618"/>
      <c r="BQ181" s="1256"/>
      <c r="BR181" s="1256"/>
      <c r="BS181" s="1039" t="s">
        <v>1607</v>
      </c>
      <c r="BT181" s="1041"/>
      <c r="BU181" s="1041"/>
      <c r="BV181" s="956"/>
      <c r="BW181" s="956"/>
    </row>
    <row s="1624" customFormat="1" customHeight="1" ht="14.25">
      <c r="A182" s="1256"/>
      <c r="B182" s="955"/>
      <c r="C182" s="73"/>
      <c r="D182" s="73"/>
      <c r="E182" s="596">
        <v>15</v>
      </c>
      <c r="F182" s="50" cm="1" t="str">
        <f t="array" ref="F182:F182">OFFSET(E182,-1,1)</f>
        <v>1</v>
      </c>
      <c r="G182" s="73"/>
      <c r="H182" s="833"/>
      <c r="I182" s="833" t="s">
        <v>1374</v>
      </c>
      <c r="J182" s="73"/>
      <c r="K182" s="344" t="s">
        <v>1374</v>
      </c>
      <c r="L182" s="957" t="s">
        <v>1609</v>
      </c>
      <c r="M182" s="73"/>
      <c r="N182" s="73"/>
      <c r="O182" s="73"/>
      <c r="P182" s="73"/>
      <c r="Q182" s="73"/>
      <c r="R182" s="73"/>
      <c r="S182" s="73"/>
      <c r="T182" s="438" cm="1" t="str">
        <f t="array" ref="T182:T182">T181</f>
        <v>true</v>
      </c>
      <c r="U182" s="73"/>
      <c r="V182" s="73"/>
      <c r="W182" s="73"/>
      <c r="X182" s="1541"/>
      <c r="Y182" s="1256"/>
      <c r="Z182" s="1494"/>
      <c r="AA182" s="1256"/>
      <c r="AB182" s="266" t="s">
        <v>1583</v>
      </c>
      <c r="AC182" s="741" t="s">
        <v>1794</v>
      </c>
      <c r="AD182" s="742" t="s">
        <v>789</v>
      </c>
      <c r="AE182" s="3564"/>
      <c r="AF182" s="3564"/>
      <c r="AG182" s="3564"/>
      <c r="AH182" s="1092">
        <f>AG182-AF182</f>
        <v>0</v>
      </c>
      <c r="AI182" s="3564"/>
      <c r="AJ182" s="3564"/>
      <c r="AK182" s="1093"/>
      <c r="AL182" s="1093"/>
      <c r="AM182" s="1093"/>
      <c r="AN182" s="1093"/>
      <c r="AO182" s="1093"/>
      <c r="AP182" s="1093"/>
      <c r="AQ182" s="1093"/>
      <c r="AR182" s="1093"/>
      <c r="AS182" s="1093"/>
      <c r="AT182" s="3564"/>
      <c r="AU182" s="1093"/>
      <c r="AV182" s="1093"/>
      <c r="AW182" s="1093"/>
      <c r="AX182" s="1093"/>
      <c r="AY182" s="1093"/>
      <c r="AZ182" s="1093"/>
      <c r="BA182" s="1093"/>
      <c r="BB182" s="1093"/>
      <c r="BC182" s="1093"/>
      <c r="BD182" s="1092">
        <f>IF(AI182=0,0,(AT182-AI182)/AI182*100)</f>
        <v>0</v>
      </c>
      <c r="BE182" s="1093"/>
      <c r="BF182" s="1093"/>
      <c r="BG182" s="1093"/>
      <c r="BH182" s="1093"/>
      <c r="BI182" s="1093"/>
      <c r="BJ182" s="1093"/>
      <c r="BK182" s="1093"/>
      <c r="BL182" s="1093"/>
      <c r="BM182" s="1093"/>
      <c r="BN182" s="3618"/>
      <c r="BO182" s="3618"/>
      <c r="BP182" s="3618"/>
      <c r="BQ182" s="1256"/>
      <c r="BR182" s="1256"/>
      <c r="BS182" s="1040" t="s">
        <v>1612</v>
      </c>
      <c r="BT182" s="1041"/>
      <c r="BU182" s="1041"/>
      <c r="BV182" s="956"/>
      <c r="BW182" s="956"/>
    </row>
    <row s="1624" customFormat="1" customHeight="1" ht="14.25">
      <c r="A183" s="1256"/>
      <c r="B183" s="955"/>
      <c r="C183" s="73"/>
      <c r="D183" s="73"/>
      <c r="E183" s="596">
        <v>15</v>
      </c>
      <c r="F183" s="50" cm="1" t="str">
        <f t="array" ref="F183:F183">OFFSET(E183,-1,1)</f>
        <v>1</v>
      </c>
      <c r="G183" s="73"/>
      <c r="H183" s="833"/>
      <c r="I183" s="833" t="s">
        <v>1378</v>
      </c>
      <c r="J183" s="73"/>
      <c r="K183" s="344" t="s">
        <v>1378</v>
      </c>
      <c r="L183" s="957" t="s">
        <v>1613</v>
      </c>
      <c r="M183" s="1256"/>
      <c r="N183" s="73"/>
      <c r="O183" s="73"/>
      <c r="P183" s="73"/>
      <c r="Q183" s="73"/>
      <c r="R183" s="73"/>
      <c r="S183" s="73"/>
      <c r="T183" s="438" cm="1" t="str">
        <f t="array" ref="T183:T183">T182</f>
        <v>true</v>
      </c>
      <c r="U183" s="73"/>
      <c r="V183" s="73"/>
      <c r="W183" s="73"/>
      <c r="X183" s="1541"/>
      <c r="Y183" s="1256"/>
      <c r="Z183" s="1494"/>
      <c r="AA183" s="1256"/>
      <c r="AB183" s="266" t="s">
        <v>1585</v>
      </c>
      <c r="AC183" s="741" t="s">
        <v>1795</v>
      </c>
      <c r="AD183" s="266" t="s">
        <v>789</v>
      </c>
      <c r="AE183" s="1094">
        <f>SUM(AE184:AE190)</f>
        <v>0</v>
      </c>
      <c r="AF183" s="1094">
        <f>SUM(AF184:AF190)</f>
        <v>0</v>
      </c>
      <c r="AG183" s="1094">
        <f>SUM(AG184:AG190)</f>
        <v>0</v>
      </c>
      <c r="AH183" s="1092">
        <f>AG183-AF183</f>
        <v>0</v>
      </c>
      <c r="AI183" s="1094">
        <f>SUM(AI184:AI190)</f>
        <v>0</v>
      </c>
      <c r="AJ183" s="1094">
        <f>SUM(AJ184:AJ190)</f>
        <v>0</v>
      </c>
      <c r="AK183" s="1093"/>
      <c r="AL183" s="1093"/>
      <c r="AM183" s="1093"/>
      <c r="AN183" s="1093"/>
      <c r="AO183" s="1093"/>
      <c r="AP183" s="1093"/>
      <c r="AQ183" s="1093"/>
      <c r="AR183" s="1093"/>
      <c r="AS183" s="1093"/>
      <c r="AT183" s="1094">
        <f>SUM(AT184:AT190)</f>
        <v>0</v>
      </c>
      <c r="AU183" s="1093"/>
      <c r="AV183" s="1093"/>
      <c r="AW183" s="1093"/>
      <c r="AX183" s="1093"/>
      <c r="AY183" s="1093"/>
      <c r="AZ183" s="1093"/>
      <c r="BA183" s="1093"/>
      <c r="BB183" s="1093"/>
      <c r="BC183" s="1093"/>
      <c r="BD183" s="1092">
        <f>IF(AI183=0,0,(AT183-AI183)/AI183*100)</f>
        <v>0</v>
      </c>
      <c r="BE183" s="1093"/>
      <c r="BF183" s="1093"/>
      <c r="BG183" s="1093"/>
      <c r="BH183" s="1093"/>
      <c r="BI183" s="1093"/>
      <c r="BJ183" s="1093"/>
      <c r="BK183" s="1093"/>
      <c r="BL183" s="1093"/>
      <c r="BM183" s="1093"/>
      <c r="BN183" s="3618"/>
      <c r="BO183" s="3618"/>
      <c r="BP183" s="3618"/>
      <c r="BQ183" s="1256"/>
      <c r="BR183" s="1256"/>
      <c r="BS183" s="1040" t="s">
        <v>1796</v>
      </c>
      <c r="BT183" s="1041"/>
      <c r="BU183" s="1041"/>
      <c r="BV183" s="956"/>
      <c r="BW183" s="956"/>
    </row>
    <row s="1624" customFormat="1" customHeight="1" ht="14.25">
      <c r="A184" s="1256"/>
      <c r="B184" s="955"/>
      <c r="C184" s="73"/>
      <c r="D184" s="73"/>
      <c r="E184" s="596">
        <v>15</v>
      </c>
      <c r="F184" s="50" cm="1" t="str">
        <f t="array" ref="F184:F184">OFFSET(E184,-1,1)</f>
        <v>1</v>
      </c>
      <c r="G184" s="73"/>
      <c r="H184" s="833"/>
      <c r="I184" s="833" t="s">
        <v>1797</v>
      </c>
      <c r="J184" s="73"/>
      <c r="K184" s="344" t="s">
        <v>1797</v>
      </c>
      <c r="L184" s="957" t="s">
        <v>1613</v>
      </c>
      <c r="M184" s="73" t="s">
        <v>1621</v>
      </c>
      <c r="N184" s="73"/>
      <c r="O184" s="73"/>
      <c r="P184" s="73"/>
      <c r="Q184" s="73"/>
      <c r="R184" s="73"/>
      <c r="S184" s="73"/>
      <c r="T184" s="438" cm="1" t="str">
        <f t="array" ref="T184:T184">T183</f>
        <v>true</v>
      </c>
      <c r="U184" s="73"/>
      <c r="V184" s="73"/>
      <c r="W184" s="73"/>
      <c r="X184" s="1541"/>
      <c r="Y184" s="1256"/>
      <c r="Z184" s="1494"/>
      <c r="AA184" s="1256"/>
      <c r="AB184" s="266" t="s">
        <v>1798</v>
      </c>
      <c r="AC184" s="744" t="s">
        <v>1799</v>
      </c>
      <c r="AD184" s="266" t="s">
        <v>789</v>
      </c>
      <c r="AE184" s="3564"/>
      <c r="AF184" s="3564"/>
      <c r="AG184" s="3564"/>
      <c r="AH184" s="1092">
        <f>AG184-AF184</f>
        <v>0</v>
      </c>
      <c r="AI184" s="3564"/>
      <c r="AJ184" s="3564"/>
      <c r="AK184" s="1093"/>
      <c r="AL184" s="1093"/>
      <c r="AM184" s="1093"/>
      <c r="AN184" s="1093"/>
      <c r="AO184" s="1093"/>
      <c r="AP184" s="1093"/>
      <c r="AQ184" s="1093"/>
      <c r="AR184" s="1093"/>
      <c r="AS184" s="1093"/>
      <c r="AT184" s="3564"/>
      <c r="AU184" s="1093"/>
      <c r="AV184" s="1093"/>
      <c r="AW184" s="1093"/>
      <c r="AX184" s="1093"/>
      <c r="AY184" s="1093"/>
      <c r="AZ184" s="1093"/>
      <c r="BA184" s="1093"/>
      <c r="BB184" s="1093"/>
      <c r="BC184" s="1093"/>
      <c r="BD184" s="1092">
        <f>IF(AI184=0,0,(AT184-AI184)/AI184*100)</f>
        <v>0</v>
      </c>
      <c r="BE184" s="1093"/>
      <c r="BF184" s="1093"/>
      <c r="BG184" s="1093"/>
      <c r="BH184" s="1093"/>
      <c r="BI184" s="1093"/>
      <c r="BJ184" s="1093"/>
      <c r="BK184" s="1093"/>
      <c r="BL184" s="1093"/>
      <c r="BM184" s="1093"/>
      <c r="BN184" s="3618"/>
      <c r="BO184" s="3618"/>
      <c r="BP184" s="3618"/>
      <c r="BQ184" s="1256"/>
      <c r="BR184" s="1256"/>
      <c r="BS184" s="1039" t="s">
        <v>1624</v>
      </c>
      <c r="BT184" s="1041"/>
      <c r="BU184" s="1041"/>
      <c r="BV184" s="956"/>
      <c r="BW184" s="956"/>
    </row>
    <row s="1624" customFormat="1" customHeight="1" ht="21.75">
      <c r="A185" s="1256"/>
      <c r="B185" s="955"/>
      <c r="C185" s="73"/>
      <c r="D185" s="73"/>
      <c r="E185" s="596">
        <v>22.5</v>
      </c>
      <c r="F185" s="50" cm="1" t="str">
        <f t="array" ref="F185:F185">OFFSET(E185,-1,1)</f>
        <v>1</v>
      </c>
      <c r="G185" s="73"/>
      <c r="H185" s="833"/>
      <c r="I185" s="833" t="s">
        <v>1800</v>
      </c>
      <c r="J185" s="73"/>
      <c r="K185" s="344" t="s">
        <v>1800</v>
      </c>
      <c r="L185" s="957" t="s">
        <v>1613</v>
      </c>
      <c r="M185" s="73" t="s">
        <v>1617</v>
      </c>
      <c r="N185" s="73"/>
      <c r="O185" s="73"/>
      <c r="P185" s="73"/>
      <c r="Q185" s="73"/>
      <c r="R185" s="73"/>
      <c r="S185" s="73"/>
      <c r="T185" s="438" cm="1" t="str">
        <f t="array" ref="T185:T185">T184</f>
        <v>true</v>
      </c>
      <c r="U185" s="73"/>
      <c r="V185" s="73"/>
      <c r="W185" s="73"/>
      <c r="X185" s="1541"/>
      <c r="Y185" s="1256"/>
      <c r="Z185" s="1494"/>
      <c r="AA185" s="1256"/>
      <c r="AB185" s="266" t="s">
        <v>1801</v>
      </c>
      <c r="AC185" s="744" t="s">
        <v>1802</v>
      </c>
      <c r="AD185" s="266" t="s">
        <v>789</v>
      </c>
      <c r="AE185" s="3564"/>
      <c r="AF185" s="3564"/>
      <c r="AG185" s="3564"/>
      <c r="AH185" s="1092">
        <f>AG185-AF185</f>
        <v>0</v>
      </c>
      <c r="AI185" s="3564"/>
      <c r="AJ185" s="3564"/>
      <c r="AK185" s="1093"/>
      <c r="AL185" s="1093"/>
      <c r="AM185" s="1093"/>
      <c r="AN185" s="1093"/>
      <c r="AO185" s="1093"/>
      <c r="AP185" s="1093"/>
      <c r="AQ185" s="1093"/>
      <c r="AR185" s="1093"/>
      <c r="AS185" s="1093"/>
      <c r="AT185" s="3564"/>
      <c r="AU185" s="1093"/>
      <c r="AV185" s="1093"/>
      <c r="AW185" s="1093"/>
      <c r="AX185" s="1093"/>
      <c r="AY185" s="1093"/>
      <c r="AZ185" s="1093"/>
      <c r="BA185" s="1093"/>
      <c r="BB185" s="1093"/>
      <c r="BC185" s="1093"/>
      <c r="BD185" s="1092">
        <f>IF(AI185=0,0,(AT185-AI185)/AI185*100)</f>
        <v>0</v>
      </c>
      <c r="BE185" s="1093"/>
      <c r="BF185" s="1093"/>
      <c r="BG185" s="1093"/>
      <c r="BH185" s="1093"/>
      <c r="BI185" s="1093"/>
      <c r="BJ185" s="1093"/>
      <c r="BK185" s="1093"/>
      <c r="BL185" s="1093"/>
      <c r="BM185" s="1093"/>
      <c r="BN185" s="3618"/>
      <c r="BO185" s="3618"/>
      <c r="BP185" s="3618"/>
      <c r="BQ185" s="1256"/>
      <c r="BR185" s="1256"/>
      <c r="BS185" s="1041" t="s">
        <v>1803</v>
      </c>
      <c r="BT185" s="1041"/>
      <c r="BU185" s="1041"/>
      <c r="BV185" s="956"/>
      <c r="BW185" s="956"/>
    </row>
    <row s="1624" customFormat="1" customHeight="1" ht="21.75">
      <c r="A186" s="1256"/>
      <c r="B186" s="955"/>
      <c r="C186" s="73"/>
      <c r="D186" s="73"/>
      <c r="E186" s="596">
        <v>22.5</v>
      </c>
      <c r="F186" s="50" cm="1" t="str">
        <f t="array" ref="F186:F186">OFFSET(E186,-1,1)</f>
        <v>1</v>
      </c>
      <c r="G186" s="73"/>
      <c r="H186" s="833"/>
      <c r="I186" s="833" t="s">
        <v>1804</v>
      </c>
      <c r="J186" s="73"/>
      <c r="K186" s="344" t="s">
        <v>1804</v>
      </c>
      <c r="L186" s="1256"/>
      <c r="M186" s="1256"/>
      <c r="N186" s="73"/>
      <c r="O186" s="73"/>
      <c r="P186" s="73"/>
      <c r="Q186" s="73"/>
      <c r="R186" s="73"/>
      <c r="S186" s="73"/>
      <c r="T186" s="438" cm="1" t="str">
        <f t="array" ref="T186:T186">T185</f>
        <v>true</v>
      </c>
      <c r="U186" s="73"/>
      <c r="V186" s="73"/>
      <c r="W186" s="73"/>
      <c r="X186" s="1541"/>
      <c r="Y186" s="1256"/>
      <c r="Z186" s="1494"/>
      <c r="AA186" s="1256"/>
      <c r="AB186" s="266" t="s">
        <v>1805</v>
      </c>
      <c r="AC186" s="745" t="s">
        <v>1806</v>
      </c>
      <c r="AD186" s="266" t="s">
        <v>789</v>
      </c>
      <c r="AE186" s="3564"/>
      <c r="AF186" s="3564"/>
      <c r="AG186" s="3564"/>
      <c r="AH186" s="1092">
        <f>AG186-AF186</f>
        <v>0</v>
      </c>
      <c r="AI186" s="3564"/>
      <c r="AJ186" s="3564"/>
      <c r="AK186" s="1093"/>
      <c r="AL186" s="1093"/>
      <c r="AM186" s="1093"/>
      <c r="AN186" s="1093"/>
      <c r="AO186" s="1093"/>
      <c r="AP186" s="1093"/>
      <c r="AQ186" s="1093"/>
      <c r="AR186" s="1093"/>
      <c r="AS186" s="1093"/>
      <c r="AT186" s="3564"/>
      <c r="AU186" s="1093"/>
      <c r="AV186" s="1093"/>
      <c r="AW186" s="1093"/>
      <c r="AX186" s="1093"/>
      <c r="AY186" s="1093"/>
      <c r="AZ186" s="1093"/>
      <c r="BA186" s="1093"/>
      <c r="BB186" s="1093"/>
      <c r="BC186" s="1093"/>
      <c r="BD186" s="1092">
        <f>IF(AI186=0,0,(AT186-AI186)/AI186*100)</f>
        <v>0</v>
      </c>
      <c r="BE186" s="1093"/>
      <c r="BF186" s="1093"/>
      <c r="BG186" s="1093"/>
      <c r="BH186" s="1093"/>
      <c r="BI186" s="1093"/>
      <c r="BJ186" s="1093"/>
      <c r="BK186" s="1093"/>
      <c r="BL186" s="1093"/>
      <c r="BM186" s="1093"/>
      <c r="BN186" s="3618"/>
      <c r="BO186" s="3618"/>
      <c r="BP186" s="3618"/>
      <c r="BQ186" s="1256"/>
      <c r="BR186" s="1256"/>
      <c r="BS186" s="1041" t="s">
        <v>1807</v>
      </c>
      <c r="BT186" s="1041"/>
      <c r="BU186" s="1041"/>
      <c r="BV186" s="956"/>
      <c r="BW186" s="956"/>
    </row>
    <row s="1624" customFormat="1" customHeight="1" ht="21.75">
      <c r="A187" s="1256"/>
      <c r="B187" s="955"/>
      <c r="C187" s="73"/>
      <c r="D187" s="73"/>
      <c r="E187" s="596">
        <v>22.5</v>
      </c>
      <c r="F187" s="50" cm="1" t="str">
        <f t="array" ref="F187:F187">OFFSET(E187,-1,1)</f>
        <v>1</v>
      </c>
      <c r="G187" s="73"/>
      <c r="H187" s="833"/>
      <c r="I187" s="833" t="s">
        <v>1808</v>
      </c>
      <c r="J187" s="73"/>
      <c r="K187" s="344" t="s">
        <v>1808</v>
      </c>
      <c r="L187" s="957"/>
      <c r="M187" s="1256"/>
      <c r="N187" s="73"/>
      <c r="O187" s="73"/>
      <c r="P187" s="73"/>
      <c r="Q187" s="73"/>
      <c r="R187" s="73"/>
      <c r="S187" s="73"/>
      <c r="T187" s="438" cm="1" t="str">
        <f t="array" ref="T187:T187">T186</f>
        <v>true</v>
      </c>
      <c r="U187" s="73"/>
      <c r="V187" s="73"/>
      <c r="W187" s="73"/>
      <c r="X187" s="1541"/>
      <c r="Y187" s="1256"/>
      <c r="Z187" s="1494"/>
      <c r="AA187" s="1256"/>
      <c r="AB187" s="266" t="s">
        <v>1809</v>
      </c>
      <c r="AC187" s="745" t="s">
        <v>1810</v>
      </c>
      <c r="AD187" s="266" t="s">
        <v>789</v>
      </c>
      <c r="AE187" s="3564"/>
      <c r="AF187" s="3564"/>
      <c r="AG187" s="3564"/>
      <c r="AH187" s="1092">
        <f>AG187-AF187</f>
        <v>0</v>
      </c>
      <c r="AI187" s="3564"/>
      <c r="AJ187" s="3564"/>
      <c r="AK187" s="1093"/>
      <c r="AL187" s="1093"/>
      <c r="AM187" s="1093"/>
      <c r="AN187" s="1093"/>
      <c r="AO187" s="1093"/>
      <c r="AP187" s="1093"/>
      <c r="AQ187" s="1093"/>
      <c r="AR187" s="1093"/>
      <c r="AS187" s="1093"/>
      <c r="AT187" s="3564"/>
      <c r="AU187" s="1093"/>
      <c r="AV187" s="1093"/>
      <c r="AW187" s="1093"/>
      <c r="AX187" s="1093"/>
      <c r="AY187" s="1093"/>
      <c r="AZ187" s="1093"/>
      <c r="BA187" s="1093"/>
      <c r="BB187" s="1093"/>
      <c r="BC187" s="1093"/>
      <c r="BD187" s="1092">
        <f>IF(AI187=0,0,(AT187-AI187)/AI187*100)</f>
        <v>0</v>
      </c>
      <c r="BE187" s="1093"/>
      <c r="BF187" s="1093"/>
      <c r="BG187" s="1093"/>
      <c r="BH187" s="1093"/>
      <c r="BI187" s="1093"/>
      <c r="BJ187" s="1093"/>
      <c r="BK187" s="1093"/>
      <c r="BL187" s="1093"/>
      <c r="BM187" s="1093"/>
      <c r="BN187" s="3618"/>
      <c r="BO187" s="3618"/>
      <c r="BP187" s="3618"/>
      <c r="BQ187" s="1256"/>
      <c r="BR187" s="1256"/>
      <c r="BS187" s="1041" t="s">
        <v>1811</v>
      </c>
      <c r="BT187" s="1041"/>
      <c r="BU187" s="1041"/>
      <c r="BV187" s="956"/>
      <c r="BW187" s="956"/>
    </row>
    <row s="1624" customFormat="1" customHeight="1" ht="43.5">
      <c r="A188" s="1256"/>
      <c r="B188" s="955"/>
      <c r="C188" s="73"/>
      <c r="D188" s="73"/>
      <c r="E188" s="596">
        <v>45</v>
      </c>
      <c r="F188" s="50" cm="1" t="str">
        <f t="array" ref="F188:F188">OFFSET(E188,-1,1)</f>
        <v>1</v>
      </c>
      <c r="G188" s="73"/>
      <c r="H188" s="833"/>
      <c r="I188" s="833" t="s">
        <v>1812</v>
      </c>
      <c r="J188" s="73"/>
      <c r="K188" s="344" t="s">
        <v>1812</v>
      </c>
      <c r="L188" s="957" t="s">
        <v>1613</v>
      </c>
      <c r="M188" s="73" t="s">
        <v>1625</v>
      </c>
      <c r="N188" s="73"/>
      <c r="O188" s="73"/>
      <c r="P188" s="73"/>
      <c r="Q188" s="73"/>
      <c r="R188" s="73"/>
      <c r="S188" s="73"/>
      <c r="T188" s="438" cm="1" t="str">
        <f t="array" ref="T188:T188">T187</f>
        <v>true</v>
      </c>
      <c r="U188" s="73"/>
      <c r="V188" s="73"/>
      <c r="W188" s="73"/>
      <c r="X188" s="1541"/>
      <c r="Y188" s="1256"/>
      <c r="Z188" s="1494"/>
      <c r="AA188" s="1256"/>
      <c r="AB188" s="266" t="s">
        <v>1813</v>
      </c>
      <c r="AC188" s="744" t="s">
        <v>1814</v>
      </c>
      <c r="AD188" s="266" t="s">
        <v>789</v>
      </c>
      <c r="AE188" s="3564"/>
      <c r="AF188" s="3564"/>
      <c r="AG188" s="3564"/>
      <c r="AH188" s="1092">
        <f>AG188-AF188</f>
        <v>0</v>
      </c>
      <c r="AI188" s="3564"/>
      <c r="AJ188" s="3564"/>
      <c r="AK188" s="1093"/>
      <c r="AL188" s="1093"/>
      <c r="AM188" s="1093"/>
      <c r="AN188" s="1093"/>
      <c r="AO188" s="1093"/>
      <c r="AP188" s="1093"/>
      <c r="AQ188" s="1093"/>
      <c r="AR188" s="1093"/>
      <c r="AS188" s="1093"/>
      <c r="AT188" s="3564"/>
      <c r="AU188" s="1093"/>
      <c r="AV188" s="1093"/>
      <c r="AW188" s="1093"/>
      <c r="AX188" s="1093"/>
      <c r="AY188" s="1093"/>
      <c r="AZ188" s="1093"/>
      <c r="BA188" s="1093"/>
      <c r="BB188" s="1093"/>
      <c r="BC188" s="1093"/>
      <c r="BD188" s="1092">
        <f>IF(AI188=0,0,(AT188-AI188)/AI188*100)</f>
        <v>0</v>
      </c>
      <c r="BE188" s="1093"/>
      <c r="BF188" s="1093"/>
      <c r="BG188" s="1093"/>
      <c r="BH188" s="1093"/>
      <c r="BI188" s="1093"/>
      <c r="BJ188" s="1093"/>
      <c r="BK188" s="1093"/>
      <c r="BL188" s="1093"/>
      <c r="BM188" s="1093"/>
      <c r="BN188" s="3618"/>
      <c r="BO188" s="3618"/>
      <c r="BP188" s="3618"/>
      <c r="BQ188" s="1256"/>
      <c r="BR188" s="1256"/>
      <c r="BS188" s="1041" t="s">
        <v>1628</v>
      </c>
      <c r="BT188" s="1041"/>
      <c r="BU188" s="1041"/>
      <c r="BV188" s="956"/>
      <c r="BW188" s="956"/>
    </row>
    <row s="1624" customFormat="1" customHeight="1" ht="14.25">
      <c r="A189" s="1256"/>
      <c r="B189" s="955"/>
      <c r="C189" s="73"/>
      <c r="D189" s="73"/>
      <c r="E189" s="596">
        <v>15</v>
      </c>
      <c r="F189" s="50" cm="1" t="str">
        <f t="array" ref="F189:F189">OFFSET(E189,-1,1)</f>
        <v>1</v>
      </c>
      <c r="G189" s="73"/>
      <c r="H189" s="833"/>
      <c r="I189" s="833" t="s">
        <v>1815</v>
      </c>
      <c r="J189" s="73"/>
      <c r="K189" s="344" t="s">
        <v>1815</v>
      </c>
      <c r="L189" s="957" t="s">
        <v>1613</v>
      </c>
      <c r="M189" s="73" t="s">
        <v>1629</v>
      </c>
      <c r="N189" s="73"/>
      <c r="O189" s="73"/>
      <c r="P189" s="73"/>
      <c r="Q189" s="73"/>
      <c r="R189" s="73"/>
      <c r="S189" s="73"/>
      <c r="T189" s="438" cm="1" t="str">
        <f t="array" ref="T189:T189">T188</f>
        <v>true</v>
      </c>
      <c r="U189" s="73"/>
      <c r="V189" s="73"/>
      <c r="W189" s="73"/>
      <c r="X189" s="1541"/>
      <c r="Y189" s="1256"/>
      <c r="Z189" s="1494"/>
      <c r="AA189" s="1256"/>
      <c r="AB189" s="266" t="s">
        <v>1816</v>
      </c>
      <c r="AC189" s="744" t="s">
        <v>1631</v>
      </c>
      <c r="AD189" s="266" t="s">
        <v>789</v>
      </c>
      <c r="AE189" s="3564"/>
      <c r="AF189" s="3564"/>
      <c r="AG189" s="3564"/>
      <c r="AH189" s="1092">
        <f>AG189-AF189</f>
        <v>0</v>
      </c>
      <c r="AI189" s="3564"/>
      <c r="AJ189" s="3564"/>
      <c r="AK189" s="1093"/>
      <c r="AL189" s="1093"/>
      <c r="AM189" s="1093"/>
      <c r="AN189" s="1093"/>
      <c r="AO189" s="1093"/>
      <c r="AP189" s="1093"/>
      <c r="AQ189" s="1093"/>
      <c r="AR189" s="1093"/>
      <c r="AS189" s="1093"/>
      <c r="AT189" s="3564"/>
      <c r="AU189" s="1093"/>
      <c r="AV189" s="1093"/>
      <c r="AW189" s="1093"/>
      <c r="AX189" s="1093"/>
      <c r="AY189" s="1093"/>
      <c r="AZ189" s="1093"/>
      <c r="BA189" s="1093"/>
      <c r="BB189" s="1093"/>
      <c r="BC189" s="1093"/>
      <c r="BD189" s="1092">
        <f>IF(AI189=0,0,(AT189-AI189)/AI189*100)</f>
        <v>0</v>
      </c>
      <c r="BE189" s="1093"/>
      <c r="BF189" s="1093"/>
      <c r="BG189" s="1093"/>
      <c r="BH189" s="1093"/>
      <c r="BI189" s="1093"/>
      <c r="BJ189" s="1093"/>
      <c r="BK189" s="1093"/>
      <c r="BL189" s="1093"/>
      <c r="BM189" s="1093"/>
      <c r="BN189" s="3618"/>
      <c r="BO189" s="3618"/>
      <c r="BP189" s="3618"/>
      <c r="BQ189" s="1256"/>
      <c r="BR189" s="1256"/>
      <c r="BS189" s="1041" t="s">
        <v>1632</v>
      </c>
      <c r="BT189" s="1041"/>
      <c r="BU189" s="1041"/>
      <c r="BV189" s="956"/>
      <c r="BW189" s="956"/>
    </row>
    <row s="1624" customFormat="1" customHeight="1" ht="14.25">
      <c r="A190" s="1256"/>
      <c r="B190" s="955"/>
      <c r="C190" s="73"/>
      <c r="D190" s="73"/>
      <c r="E190" s="596">
        <v>15</v>
      </c>
      <c r="F190" s="50" cm="1" t="str">
        <f t="array" ref="F190:F190">OFFSET(E190,-1,1)</f>
        <v>1</v>
      </c>
      <c r="G190" s="73"/>
      <c r="H190" s="833"/>
      <c r="I190" s="833" t="s">
        <v>1817</v>
      </c>
      <c r="J190" s="73"/>
      <c r="K190" s="344" t="s">
        <v>1817</v>
      </c>
      <c r="L190" s="957"/>
      <c r="M190" s="73"/>
      <c r="N190" s="73"/>
      <c r="O190" s="73"/>
      <c r="P190" s="73"/>
      <c r="Q190" s="73"/>
      <c r="R190" s="73"/>
      <c r="S190" s="73"/>
      <c r="T190" s="438" cm="1" t="str">
        <f t="array" ref="T190:T190">T189</f>
        <v>true</v>
      </c>
      <c r="U190" s="73"/>
      <c r="V190" s="73"/>
      <c r="W190" s="73"/>
      <c r="X190" s="1541"/>
      <c r="Y190" s="1256"/>
      <c r="Z190" s="1494"/>
      <c r="AA190" s="1256"/>
      <c r="AB190" s="266" t="s">
        <v>1818</v>
      </c>
      <c r="AC190" s="744" t="s">
        <v>1819</v>
      </c>
      <c r="AD190" s="266" t="s">
        <v>789</v>
      </c>
      <c r="AE190" s="3564"/>
      <c r="AF190" s="3564"/>
      <c r="AG190" s="3564"/>
      <c r="AH190" s="1092">
        <f>AG190-AF190</f>
        <v>0</v>
      </c>
      <c r="AI190" s="3564"/>
      <c r="AJ190" s="1331"/>
      <c r="AK190" s="1093"/>
      <c r="AL190" s="1093"/>
      <c r="AM190" s="1093"/>
      <c r="AN190" s="1093"/>
      <c r="AO190" s="1093"/>
      <c r="AP190" s="1093"/>
      <c r="AQ190" s="1093"/>
      <c r="AR190" s="1093"/>
      <c r="AS190" s="1093"/>
      <c r="AT190" s="1359"/>
      <c r="AU190" s="1093"/>
      <c r="AV190" s="1093"/>
      <c r="AW190" s="1093"/>
      <c r="AX190" s="1093"/>
      <c r="AY190" s="1093"/>
      <c r="AZ190" s="1093"/>
      <c r="BA190" s="1093"/>
      <c r="BB190" s="1093"/>
      <c r="BC190" s="1093"/>
      <c r="BD190" s="1092">
        <f>IF(AI190=0,0,(AT190-AI190)/AI190*100)</f>
        <v>0</v>
      </c>
      <c r="BE190" s="1093"/>
      <c r="BF190" s="1093"/>
      <c r="BG190" s="1093"/>
      <c r="BH190" s="1093"/>
      <c r="BI190" s="1093"/>
      <c r="BJ190" s="1093"/>
      <c r="BK190" s="1093"/>
      <c r="BL190" s="1093"/>
      <c r="BM190" s="1093"/>
      <c r="BN190" s="3618"/>
      <c r="BO190" s="3618"/>
      <c r="BP190" s="3618"/>
      <c r="BQ190" s="1256"/>
      <c r="BR190" s="1256"/>
      <c r="BS190" s="1041" t="s">
        <v>1616</v>
      </c>
      <c r="BT190" s="1041"/>
      <c r="BU190" s="1041"/>
      <c r="BV190" s="956"/>
      <c r="BW190" s="956"/>
    </row>
    <row s="3621" customFormat="1" customHeight="1" ht="20.25">
      <c r="A191" s="676"/>
      <c r="B191" s="407"/>
      <c r="C191" s="75"/>
      <c r="D191" s="75"/>
      <c r="E191" s="802">
        <v>21</v>
      </c>
      <c r="F191" s="50" cm="1" t="str">
        <f t="array" ref="F191:F191">OFFSET(E191,-1,1)</f>
        <v>1</v>
      </c>
      <c r="G191" s="75"/>
      <c r="H191" s="833"/>
      <c r="I191" s="833" t="s">
        <v>441</v>
      </c>
      <c r="J191" s="75"/>
      <c r="K191" s="344" t="s">
        <v>441</v>
      </c>
      <c r="L191" s="962"/>
      <c r="M191" s="75"/>
      <c r="N191" s="75"/>
      <c r="O191" s="75"/>
      <c r="P191" s="75"/>
      <c r="Q191" s="75"/>
      <c r="R191" s="75"/>
      <c r="S191" s="75"/>
      <c r="T191" s="438" cm="1" t="str">
        <f t="array" ref="T191:T191">T190</f>
        <v>true</v>
      </c>
      <c r="U191" s="75"/>
      <c r="V191" s="75"/>
      <c r="W191" s="75"/>
      <c r="X191" s="1541"/>
      <c r="Y191" s="676"/>
      <c r="Z191" s="1494"/>
      <c r="AA191" s="676"/>
      <c r="AB191" s="177" t="s">
        <v>850</v>
      </c>
      <c r="AC191" s="327" t="s">
        <v>1636</v>
      </c>
      <c r="AD191" s="177" t="s">
        <v>789</v>
      </c>
      <c r="AE191" s="179">
        <f>AE192+AE193+AE194</f>
        <v>0</v>
      </c>
      <c r="AF191" s="179">
        <f>AF192+AF193+AF194</f>
        <v>0</v>
      </c>
      <c r="AG191" s="179">
        <f>AG192+AG193+AG194</f>
        <v>0</v>
      </c>
      <c r="AH191" s="754">
        <f>AG191-AF191</f>
        <v>0</v>
      </c>
      <c r="AI191" s="179">
        <f>AI192+AI193+AI194</f>
        <v>0</v>
      </c>
      <c r="AJ191" s="179">
        <f>AJ192+AJ193+AJ194</f>
        <v>0</v>
      </c>
      <c r="AK191" s="182"/>
      <c r="AL191" s="182"/>
      <c r="AM191" s="182"/>
      <c r="AN191" s="182"/>
      <c r="AO191" s="182"/>
      <c r="AP191" s="182"/>
      <c r="AQ191" s="182"/>
      <c r="AR191" s="182"/>
      <c r="AS191" s="182"/>
      <c r="AT191" s="179">
        <f>AT192+AT193+AT194</f>
        <v>0</v>
      </c>
      <c r="AU191" s="182"/>
      <c r="AV191" s="182"/>
      <c r="AW191" s="182"/>
      <c r="AX191" s="182"/>
      <c r="AY191" s="182"/>
      <c r="AZ191" s="182"/>
      <c r="BA191" s="182"/>
      <c r="BB191" s="182"/>
      <c r="BC191" s="182"/>
      <c r="BD191" s="754">
        <f>IF(AI191=0,0,(AT191-AI191)/AI191*100)</f>
        <v>0</v>
      </c>
      <c r="BE191" s="182"/>
      <c r="BF191" s="182"/>
      <c r="BG191" s="182"/>
      <c r="BH191" s="182"/>
      <c r="BI191" s="182"/>
      <c r="BJ191" s="182"/>
      <c r="BK191" s="182"/>
      <c r="BL191" s="182"/>
      <c r="BM191" s="182"/>
      <c r="BN191" s="3619"/>
      <c r="BO191" s="3619"/>
      <c r="BP191" s="3619"/>
      <c r="BQ191" s="676"/>
      <c r="BR191" s="676"/>
      <c r="BS191" s="1040" t="s">
        <v>1637</v>
      </c>
      <c r="BT191" s="1047"/>
      <c r="BU191" s="1047"/>
      <c r="BV191" s="683"/>
      <c r="BW191" s="683"/>
    </row>
    <row s="1624" customFormat="1" customHeight="1" ht="21.75">
      <c r="A192" s="1256"/>
      <c r="B192" s="955"/>
      <c r="C192" s="73"/>
      <c r="D192" s="73"/>
      <c r="E192" s="596">
        <v>22.5</v>
      </c>
      <c r="F192" s="50" cm="1" t="str">
        <f t="array" ref="F192:F192">OFFSET(E192,-1,1)</f>
        <v>1</v>
      </c>
      <c r="G192" s="73"/>
      <c r="H192" s="833"/>
      <c r="I192" s="833" t="s">
        <v>1221</v>
      </c>
      <c r="J192" s="73"/>
      <c r="K192" s="344" t="s">
        <v>1221</v>
      </c>
      <c r="L192" s="957"/>
      <c r="M192" s="73"/>
      <c r="N192" s="73"/>
      <c r="O192" s="73"/>
      <c r="P192" s="73"/>
      <c r="Q192" s="73"/>
      <c r="R192" s="73"/>
      <c r="S192" s="73"/>
      <c r="T192" s="438" cm="1" t="str">
        <f t="array" ref="T192:T192">T191</f>
        <v>true</v>
      </c>
      <c r="U192" s="73"/>
      <c r="V192" s="73"/>
      <c r="W192" s="73"/>
      <c r="X192" s="1541"/>
      <c r="Y192" s="1256"/>
      <c r="Z192" s="1494"/>
      <c r="AA192" s="1256"/>
      <c r="AB192" s="266" t="s">
        <v>1222</v>
      </c>
      <c r="AC192" s="741" t="s">
        <v>1820</v>
      </c>
      <c r="AD192" s="266" t="s">
        <v>789</v>
      </c>
      <c r="AE192" s="3564"/>
      <c r="AF192" s="3564"/>
      <c r="AG192" s="3564"/>
      <c r="AH192" s="1092">
        <f>AG192-AF192</f>
        <v>0</v>
      </c>
      <c r="AI192" s="3564"/>
      <c r="AJ192" s="3564"/>
      <c r="AK192" s="1093"/>
      <c r="AL192" s="1093"/>
      <c r="AM192" s="1093"/>
      <c r="AN192" s="1093"/>
      <c r="AO192" s="1093"/>
      <c r="AP192" s="1093"/>
      <c r="AQ192" s="1093"/>
      <c r="AR192" s="1093"/>
      <c r="AS192" s="1093"/>
      <c r="AT192" s="3564"/>
      <c r="AU192" s="1093"/>
      <c r="AV192" s="1093"/>
      <c r="AW192" s="1093"/>
      <c r="AX192" s="1093"/>
      <c r="AY192" s="1093"/>
      <c r="AZ192" s="1093"/>
      <c r="BA192" s="1093"/>
      <c r="BB192" s="1093"/>
      <c r="BC192" s="1093"/>
      <c r="BD192" s="1092">
        <f>IF(AI192=0,0,(AT192-AI192)/AI192*100)</f>
        <v>0</v>
      </c>
      <c r="BE192" s="1093"/>
      <c r="BF192" s="1093"/>
      <c r="BG192" s="1093"/>
      <c r="BH192" s="1093"/>
      <c r="BI192" s="1093"/>
      <c r="BJ192" s="1093"/>
      <c r="BK192" s="1093"/>
      <c r="BL192" s="1093"/>
      <c r="BM192" s="1093"/>
      <c r="BN192" s="3618"/>
      <c r="BO192" s="3618"/>
      <c r="BP192" s="3618"/>
      <c r="BQ192" s="1256"/>
      <c r="BR192" s="1256"/>
      <c r="BS192" s="1039" t="s">
        <v>1639</v>
      </c>
      <c r="BT192" s="1041"/>
      <c r="BU192" s="1041"/>
      <c r="BV192" s="956"/>
      <c r="BW192" s="956"/>
    </row>
    <row s="1624" customFormat="1" customHeight="1" ht="21.75">
      <c r="A193" s="1256"/>
      <c r="B193" s="955"/>
      <c r="C193" s="73"/>
      <c r="D193" s="73"/>
      <c r="E193" s="596">
        <v>22.5</v>
      </c>
      <c r="F193" s="50" cm="1" t="str">
        <f t="array" ref="F193:F193">OFFSET(E193,-1,1)</f>
        <v>1</v>
      </c>
      <c r="G193" s="73"/>
      <c r="H193" s="833"/>
      <c r="I193" s="833" t="s">
        <v>1225</v>
      </c>
      <c r="J193" s="73"/>
      <c r="K193" s="344" t="s">
        <v>1225</v>
      </c>
      <c r="L193" s="957"/>
      <c r="M193" s="73"/>
      <c r="N193" s="73"/>
      <c r="O193" s="73"/>
      <c r="P193" s="73"/>
      <c r="Q193" s="73"/>
      <c r="R193" s="73"/>
      <c r="S193" s="73"/>
      <c r="T193" s="438" cm="1" t="str">
        <f t="array" ref="T193:T193">T192</f>
        <v>true</v>
      </c>
      <c r="U193" s="73"/>
      <c r="V193" s="73"/>
      <c r="W193" s="73"/>
      <c r="X193" s="1541"/>
      <c r="Y193" s="1256"/>
      <c r="Z193" s="1494"/>
      <c r="AA193" s="1256"/>
      <c r="AB193" s="266" t="s">
        <v>1226</v>
      </c>
      <c r="AC193" s="741" t="s">
        <v>1821</v>
      </c>
      <c r="AD193" s="266" t="s">
        <v>789</v>
      </c>
      <c r="AE193" s="3564"/>
      <c r="AF193" s="3564"/>
      <c r="AG193" s="3564"/>
      <c r="AH193" s="1092">
        <f>AG193-AF193</f>
        <v>0</v>
      </c>
      <c r="AI193" s="3564"/>
      <c r="AJ193" s="3564"/>
      <c r="AK193" s="1093"/>
      <c r="AL193" s="1093"/>
      <c r="AM193" s="1093"/>
      <c r="AN193" s="1093"/>
      <c r="AO193" s="1093"/>
      <c r="AP193" s="1093"/>
      <c r="AQ193" s="1093"/>
      <c r="AR193" s="1093"/>
      <c r="AS193" s="1093"/>
      <c r="AT193" s="3564"/>
      <c r="AU193" s="1093"/>
      <c r="AV193" s="1093"/>
      <c r="AW193" s="1093"/>
      <c r="AX193" s="1093"/>
      <c r="AY193" s="1093"/>
      <c r="AZ193" s="1093"/>
      <c r="BA193" s="1093"/>
      <c r="BB193" s="1093"/>
      <c r="BC193" s="1093"/>
      <c r="BD193" s="1092">
        <f>IF(AI193=0,0,(AT193-AI193)/AI193*100)</f>
        <v>0</v>
      </c>
      <c r="BE193" s="1093"/>
      <c r="BF193" s="1093"/>
      <c r="BG193" s="1093"/>
      <c r="BH193" s="1093"/>
      <c r="BI193" s="1093"/>
      <c r="BJ193" s="1093"/>
      <c r="BK193" s="1093"/>
      <c r="BL193" s="1093"/>
      <c r="BM193" s="1093"/>
      <c r="BN193" s="3618"/>
      <c r="BO193" s="3618"/>
      <c r="BP193" s="3618"/>
      <c r="BQ193" s="1256"/>
      <c r="BR193" s="1256"/>
      <c r="BS193" s="1041" t="s">
        <v>1822</v>
      </c>
      <c r="BT193" s="1041"/>
      <c r="BU193" s="1041"/>
      <c r="BV193" s="956"/>
      <c r="BW193" s="956"/>
    </row>
    <row s="1624" customFormat="1" customHeight="1" ht="21.75">
      <c r="A194" s="1256"/>
      <c r="B194" s="955"/>
      <c r="C194" s="73"/>
      <c r="D194" s="73"/>
      <c r="E194" s="596">
        <v>22.5</v>
      </c>
      <c r="F194" s="50" cm="1" t="str">
        <f t="array" ref="F194:F194">OFFSET(E194,-1,1)</f>
        <v>1</v>
      </c>
      <c r="G194" s="73"/>
      <c r="H194" s="833"/>
      <c r="I194" s="833" t="s">
        <v>1229</v>
      </c>
      <c r="J194" s="73"/>
      <c r="K194" s="344" t="s">
        <v>1229</v>
      </c>
      <c r="L194" s="957" t="s">
        <v>455</v>
      </c>
      <c r="M194" s="73"/>
      <c r="N194" s="73"/>
      <c r="O194" s="73"/>
      <c r="P194" s="73"/>
      <c r="Q194" s="73"/>
      <c r="R194" s="73"/>
      <c r="S194" s="73"/>
      <c r="T194" s="438" cm="1" t="str">
        <f t="array" ref="T194:T194">T193</f>
        <v>true</v>
      </c>
      <c r="U194" s="73"/>
      <c r="V194" s="73"/>
      <c r="W194" s="73"/>
      <c r="X194" s="1541"/>
      <c r="Y194" s="1256"/>
      <c r="Z194" s="1494"/>
      <c r="AA194" s="1256"/>
      <c r="AB194" s="266" t="s">
        <v>1230</v>
      </c>
      <c r="AC194" s="741" t="s">
        <v>1823</v>
      </c>
      <c r="AD194" s="266" t="s">
        <v>789</v>
      </c>
      <c r="AE194" s="1094">
        <f>AE195+AE196</f>
        <v>0</v>
      </c>
      <c r="AF194" s="1094">
        <f>AF195+AF196</f>
        <v>0</v>
      </c>
      <c r="AG194" s="1094">
        <f>AG195+AG196</f>
        <v>0</v>
      </c>
      <c r="AH194" s="1092">
        <f>AG194-AF194</f>
        <v>0</v>
      </c>
      <c r="AI194" s="1094">
        <f>AI195+AI196</f>
        <v>0</v>
      </c>
      <c r="AJ194" s="1094">
        <f>AJ195+AJ196</f>
        <v>0</v>
      </c>
      <c r="AK194" s="1093"/>
      <c r="AL194" s="1093"/>
      <c r="AM194" s="1093"/>
      <c r="AN194" s="1093"/>
      <c r="AO194" s="1093"/>
      <c r="AP194" s="1093"/>
      <c r="AQ194" s="1093"/>
      <c r="AR194" s="1093"/>
      <c r="AS194" s="1093"/>
      <c r="AT194" s="1094">
        <f>AT195+AT196</f>
        <v>0</v>
      </c>
      <c r="AU194" s="1093"/>
      <c r="AV194" s="1093"/>
      <c r="AW194" s="1093"/>
      <c r="AX194" s="1093"/>
      <c r="AY194" s="1093"/>
      <c r="AZ194" s="1093"/>
      <c r="BA194" s="1093"/>
      <c r="BB194" s="1093"/>
      <c r="BC194" s="1093"/>
      <c r="BD194" s="1092">
        <f>IF(AI194=0,0,(AT194-AI194)/AI194*100)</f>
        <v>0</v>
      </c>
      <c r="BE194" s="1093"/>
      <c r="BF194" s="1093"/>
      <c r="BG194" s="1093"/>
      <c r="BH194" s="1093"/>
      <c r="BI194" s="1093"/>
      <c r="BJ194" s="1093"/>
      <c r="BK194" s="1093"/>
      <c r="BL194" s="1093"/>
      <c r="BM194" s="1093"/>
      <c r="BN194" s="3618"/>
      <c r="BO194" s="3618"/>
      <c r="BP194" s="3618"/>
      <c r="BQ194" s="1256"/>
      <c r="BR194" s="1256"/>
      <c r="BS194" s="1039" t="s">
        <v>1641</v>
      </c>
      <c r="BT194" s="1041"/>
      <c r="BU194" s="1041"/>
      <c r="BV194" s="956"/>
      <c r="BW194" s="956"/>
    </row>
    <row s="1624" customFormat="1" customHeight="1" ht="14.25">
      <c r="A195" s="1256"/>
      <c r="B195" s="955"/>
      <c r="C195" s="73"/>
      <c r="D195" s="73"/>
      <c r="E195" s="596">
        <v>15</v>
      </c>
      <c r="F195" s="50" cm="1" t="str">
        <f t="array" ref="F195:F195">OFFSET(E195,-1,1)</f>
        <v>1</v>
      </c>
      <c r="G195" s="824" t="s">
        <v>1048</v>
      </c>
      <c r="H195" s="833"/>
      <c r="I195" s="833" t="s">
        <v>1824</v>
      </c>
      <c r="J195" s="73"/>
      <c r="K195" s="344" t="s">
        <v>1824</v>
      </c>
      <c r="L195" s="957" t="s">
        <v>1642</v>
      </c>
      <c r="M195" s="73"/>
      <c r="N195" s="73"/>
      <c r="O195" s="73"/>
      <c r="P195" s="73"/>
      <c r="Q195" s="73"/>
      <c r="R195" s="73"/>
      <c r="S195" s="73"/>
      <c r="T195" s="438" cm="1" t="str">
        <f t="array" ref="T195:T195">T194</f>
        <v>true</v>
      </c>
      <c r="U195" s="73"/>
      <c r="V195" s="73"/>
      <c r="W195" s="73"/>
      <c r="X195" s="1541"/>
      <c r="Y195" s="1256"/>
      <c r="Z195" s="1494"/>
      <c r="AA195" s="1256"/>
      <c r="AB195" s="266" t="s">
        <v>1825</v>
      </c>
      <c r="AC195" s="744" t="s">
        <v>1643</v>
      </c>
      <c r="AD195" s="266" t="s">
        <v>789</v>
      </c>
      <c r="AE195" s="1092">
        <f>_xlfn.SUMIFS(ФОТ!AE$25:AE$77,ФОТ!$F$25:$F$77,$F195,ФОТ!$G$25:$G$77,$G195)</f>
        <v>0</v>
      </c>
      <c r="AF195" s="1092">
        <f>_xlfn.SUMIFS(ФОТ!AF$25:AF$77,ФОТ!$F$25:$F$77,$F195,ФОТ!$G$25:$G$77,$G195)</f>
        <v>0</v>
      </c>
      <c r="AG195" s="1092">
        <f>_xlfn.SUMIFS(ФОТ!AG$25:AG$77,ФОТ!$F$25:$F$77,$F195,ФОТ!$G$25:$G$77,$G195)</f>
        <v>0</v>
      </c>
      <c r="AH195" s="1092">
        <f>AG195-AF195</f>
        <v>0</v>
      </c>
      <c r="AI195" s="1092">
        <f>_xlfn.SUMIFS(ФОТ!AH$25:AH$77,ФОТ!$F$25:$F$77,$F195,ФОТ!$G$25:$G$77,$G195)</f>
        <v>0</v>
      </c>
      <c r="AJ195" s="1092">
        <f>_xlfn.SUMIFS(ФОТ!AI$25:AI$77,ФОТ!$F$25:$F$77,$F195,ФОТ!$G$25:$G$77,$G195)</f>
        <v>0</v>
      </c>
      <c r="AK195" s="1093"/>
      <c r="AL195" s="1093"/>
      <c r="AM195" s="1093"/>
      <c r="AN195" s="1093"/>
      <c r="AO195" s="1093"/>
      <c r="AP195" s="1093"/>
      <c r="AQ195" s="1093"/>
      <c r="AR195" s="1093"/>
      <c r="AS195" s="1093"/>
      <c r="AT195" s="1092">
        <f>_xlfn.SUMIFS(ФОТ!AJ$25:AJ$77,ФОТ!$F$25:$F$77,$F195,ФОТ!$G$25:$G$77,$G195)</f>
        <v>0</v>
      </c>
      <c r="AU195" s="1093"/>
      <c r="AV195" s="1093"/>
      <c r="AW195" s="1093"/>
      <c r="AX195" s="1093"/>
      <c r="AY195" s="1093"/>
      <c r="AZ195" s="1093"/>
      <c r="BA195" s="1093"/>
      <c r="BB195" s="1093"/>
      <c r="BC195" s="1093"/>
      <c r="BD195" s="1092">
        <f>IF(AI195=0,0,(AT195-AI195)/AI195*100)</f>
        <v>0</v>
      </c>
      <c r="BE195" s="1093"/>
      <c r="BF195" s="1093"/>
      <c r="BG195" s="1093"/>
      <c r="BH195" s="1093"/>
      <c r="BI195" s="1093"/>
      <c r="BJ195" s="1093"/>
      <c r="BK195" s="1093"/>
      <c r="BL195" s="1093"/>
      <c r="BM195" s="1093"/>
      <c r="BN195" s="3618"/>
      <c r="BO195" s="3620" t="str">
        <f>IF(_xlfn.IFERROR(INDEX(ФОТ!$K$26:$L$77,MATCH($F195&amp;"3komm",ФОТ!$K$26:$K$77,0),2),"")=0,"",_xlfn.IFERROR(INDEX(ФОТ!$K$26:$L$77,MATCH($F195&amp;"3komm",ФОТ!$K$26:$K$77,0),2),""))</f>
        <v/>
      </c>
      <c r="BP195" s="3618"/>
      <c r="BQ195" s="1256"/>
      <c r="BR195" s="1256"/>
      <c r="BS195" s="1039" t="s">
        <v>1644</v>
      </c>
      <c r="BT195" s="1041"/>
      <c r="BU195" s="1041"/>
      <c r="BV195" s="956"/>
      <c r="BW195" s="956"/>
    </row>
    <row s="1624" customFormat="1" customHeight="1" ht="21.75">
      <c r="A196" s="1256"/>
      <c r="B196" s="955"/>
      <c r="C196" s="73"/>
      <c r="D196" s="73"/>
      <c r="E196" s="596">
        <v>22.5</v>
      </c>
      <c r="F196" s="50" cm="1" t="str">
        <f t="array" ref="F196:F196">OFFSET(E196,-1,1)</f>
        <v>1</v>
      </c>
      <c r="G196" s="824" t="s">
        <v>1053</v>
      </c>
      <c r="H196" s="833"/>
      <c r="I196" s="833" t="s">
        <v>1826</v>
      </c>
      <c r="J196" s="73"/>
      <c r="K196" s="344" t="s">
        <v>1826</v>
      </c>
      <c r="L196" s="957" t="s">
        <v>1645</v>
      </c>
      <c r="M196" s="73"/>
      <c r="N196" s="73"/>
      <c r="O196" s="73"/>
      <c r="P196" s="73"/>
      <c r="Q196" s="73"/>
      <c r="R196" s="73"/>
      <c r="S196" s="73"/>
      <c r="T196" s="438" cm="1" t="str">
        <f t="array" ref="T196:T196">T195</f>
        <v>true</v>
      </c>
      <c r="U196" s="73"/>
      <c r="V196" s="73"/>
      <c r="W196" s="73"/>
      <c r="X196" s="1541"/>
      <c r="Y196" s="1256"/>
      <c r="Z196" s="1494"/>
      <c r="AA196" s="1256"/>
      <c r="AB196" s="266" t="s">
        <v>1827</v>
      </c>
      <c r="AC196" s="744" t="s">
        <v>1828</v>
      </c>
      <c r="AD196" s="266" t="s">
        <v>789</v>
      </c>
      <c r="AE196" s="1092">
        <f>_xlfn.SUMIFS(ФОТ!AE$25:AE$77,ФОТ!$F$25:$F$77,$F196,ФОТ!$G$25:$G$77,$G196)</f>
        <v>0</v>
      </c>
      <c r="AF196" s="1092">
        <f>_xlfn.SUMIFS(ФОТ!AF$25:AF$77,ФОТ!$F$25:$F$77,$F196,ФОТ!$G$25:$G$77,$G196)</f>
        <v>0</v>
      </c>
      <c r="AG196" s="1092">
        <f>_xlfn.SUMIFS(ФОТ!AG$25:AG$77,ФОТ!$F$25:$F$77,$F196,ФОТ!$G$25:$G$77,$G196)</f>
        <v>0</v>
      </c>
      <c r="AH196" s="1092">
        <f>AG196-AF196</f>
        <v>0</v>
      </c>
      <c r="AI196" s="1092">
        <f>_xlfn.SUMIFS(ФОТ!AH$25:AH$77,ФОТ!$F$25:$F$77,$F196,ФОТ!$G$25:$G$77,$G196)</f>
        <v>0</v>
      </c>
      <c r="AJ196" s="1092">
        <f>_xlfn.SUMIFS(ФОТ!AI$25:AI$77,ФОТ!$F$25:$F$77,$F196,ФОТ!$G$25:$G$77,$G196)</f>
        <v>0</v>
      </c>
      <c r="AK196" s="1093"/>
      <c r="AL196" s="1093"/>
      <c r="AM196" s="1093"/>
      <c r="AN196" s="1093"/>
      <c r="AO196" s="1093"/>
      <c r="AP196" s="1093"/>
      <c r="AQ196" s="1093"/>
      <c r="AR196" s="1093"/>
      <c r="AS196" s="1093"/>
      <c r="AT196" s="1092">
        <f>_xlfn.SUMIFS(ФОТ!AJ$25:AJ$77,ФОТ!$F$25:$F$77,$F196,ФОТ!$G$25:$G$77,$G196)</f>
        <v>0</v>
      </c>
      <c r="AU196" s="1093"/>
      <c r="AV196" s="1093"/>
      <c r="AW196" s="1093"/>
      <c r="AX196" s="1093"/>
      <c r="AY196" s="1093"/>
      <c r="AZ196" s="1093"/>
      <c r="BA196" s="1093"/>
      <c r="BB196" s="1093"/>
      <c r="BC196" s="1093"/>
      <c r="BD196" s="1092">
        <f>IF(AI196=0,0,(AT196-AI196)/AI196*100)</f>
        <v>0</v>
      </c>
      <c r="BE196" s="1093"/>
      <c r="BF196" s="1093"/>
      <c r="BG196" s="1093"/>
      <c r="BH196" s="1093"/>
      <c r="BI196" s="1093"/>
      <c r="BJ196" s="1093"/>
      <c r="BK196" s="1093"/>
      <c r="BL196" s="1093"/>
      <c r="BM196" s="1093"/>
      <c r="BN196" s="3618"/>
      <c r="BO196" s="3620" t="str">
        <f>IF(_xlfn.IFERROR(INDEX(ФОТ!$K$26:$L$77,MATCH($F196&amp;"4komm",ФОТ!$K$26:$K$77,0),2),"")=0,"",_xlfn.IFERROR(INDEX(ФОТ!$K$26:$L$77,MATCH($F196&amp;"4komm",ФОТ!$K$26:$K$77,0),2),""))</f>
        <v/>
      </c>
      <c r="BP196" s="3618"/>
      <c r="BQ196" s="1256"/>
      <c r="BR196" s="1256"/>
      <c r="BS196" s="1039" t="s">
        <v>1647</v>
      </c>
      <c r="BT196" s="1041"/>
      <c r="BU196" s="1041"/>
      <c r="BV196" s="956"/>
      <c r="BW196" s="956"/>
    </row>
    <row s="3622" customFormat="1" customHeight="1" ht="20.25">
      <c r="A197" s="676"/>
      <c r="B197" s="407"/>
      <c r="C197" s="75"/>
      <c r="D197" s="75"/>
      <c r="E197" s="802">
        <v>21</v>
      </c>
      <c r="F197" s="50" cm="1" t="str">
        <f t="array" ref="F197:F197">OFFSET(E197,-1,1)</f>
        <v>1</v>
      </c>
      <c r="G197" s="75"/>
      <c r="H197" s="833"/>
      <c r="I197" s="833" t="s">
        <v>445</v>
      </c>
      <c r="J197" s="75"/>
      <c r="K197" s="344" t="s">
        <v>445</v>
      </c>
      <c r="L197" s="962" t="s">
        <v>323</v>
      </c>
      <c r="M197" s="75"/>
      <c r="N197" s="75"/>
      <c r="O197" s="75"/>
      <c r="P197" s="75"/>
      <c r="Q197" s="75"/>
      <c r="R197" s="75"/>
      <c r="S197" s="75"/>
      <c r="T197" s="438" cm="1" t="str">
        <f t="array" ref="T197:T197">T196</f>
        <v>true</v>
      </c>
      <c r="U197" s="75"/>
      <c r="V197" s="75"/>
      <c r="W197" s="75"/>
      <c r="X197" s="1541"/>
      <c r="Y197" s="676"/>
      <c r="Z197" s="1494"/>
      <c r="AA197" s="676"/>
      <c r="AB197" s="177" t="s">
        <v>853</v>
      </c>
      <c r="AC197" s="327" t="s">
        <v>1829</v>
      </c>
      <c r="AD197" s="177" t="s">
        <v>789</v>
      </c>
      <c r="AE197" s="179">
        <f>AE198+AE206+AE209+AE210+AE211+AE212+AE213</f>
        <v>0</v>
      </c>
      <c r="AF197" s="179">
        <f>AF198+AF206+AF209+AF210+AF211+AF212+AF213</f>
        <v>0</v>
      </c>
      <c r="AG197" s="179">
        <f>AG198+AG206+AG209+AG210+AG211+AG212+AG213</f>
        <v>0</v>
      </c>
      <c r="AH197" s="754">
        <f>AG197-AF197</f>
        <v>0</v>
      </c>
      <c r="AI197" s="179">
        <f>AI198+AI206+AI209+AI210+AI211+AI212+AI213</f>
        <v>0</v>
      </c>
      <c r="AJ197" s="179">
        <f>AJ198+AJ206+AJ209+AJ210+AJ211+AJ212+AJ213</f>
        <v>0</v>
      </c>
      <c r="AK197" s="182"/>
      <c r="AL197" s="182"/>
      <c r="AM197" s="182"/>
      <c r="AN197" s="182"/>
      <c r="AO197" s="182"/>
      <c r="AP197" s="182"/>
      <c r="AQ197" s="182"/>
      <c r="AR197" s="182"/>
      <c r="AS197" s="182"/>
      <c r="AT197" s="179">
        <f>AT198+AT206+AT209+AT210+AT211+AT212+AT213</f>
        <v>0</v>
      </c>
      <c r="AU197" s="182"/>
      <c r="AV197" s="182"/>
      <c r="AW197" s="182"/>
      <c r="AX197" s="182"/>
      <c r="AY197" s="182"/>
      <c r="AZ197" s="182"/>
      <c r="BA197" s="182"/>
      <c r="BB197" s="182"/>
      <c r="BC197" s="182"/>
      <c r="BD197" s="754">
        <f>IF(AI197=0,0,(AT197-AI197)/AI197*100)</f>
        <v>0</v>
      </c>
      <c r="BE197" s="182"/>
      <c r="BF197" s="182"/>
      <c r="BG197" s="182"/>
      <c r="BH197" s="182"/>
      <c r="BI197" s="182"/>
      <c r="BJ197" s="182"/>
      <c r="BK197" s="182"/>
      <c r="BL197" s="182"/>
      <c r="BM197" s="182"/>
      <c r="BN197" s="3619"/>
      <c r="BO197" s="3619"/>
      <c r="BP197" s="3619"/>
      <c r="BQ197" s="676"/>
      <c r="BR197" s="676"/>
      <c r="BS197" s="1040" t="s">
        <v>1649</v>
      </c>
      <c r="BT197" s="1047"/>
      <c r="BU197" s="1047"/>
      <c r="BV197" s="683"/>
      <c r="BW197" s="683"/>
    </row>
    <row s="1624" customFormat="1" customHeight="1" ht="21.75">
      <c r="A198" s="1256"/>
      <c r="B198" s="955"/>
      <c r="C198" s="73"/>
      <c r="D198" s="73"/>
      <c r="E198" s="596">
        <v>22.5</v>
      </c>
      <c r="F198" s="50" cm="1" t="str">
        <f t="array" ref="F198:F198">OFFSET(E198,-1,1)</f>
        <v>1</v>
      </c>
      <c r="G198" s="73" t="s">
        <v>1074</v>
      </c>
      <c r="H198" s="833"/>
      <c r="I198" s="833" t="s">
        <v>1235</v>
      </c>
      <c r="J198" s="73"/>
      <c r="K198" s="344" t="s">
        <v>1235</v>
      </c>
      <c r="L198" s="957" t="s">
        <v>874</v>
      </c>
      <c r="M198" s="73"/>
      <c r="N198" s="73"/>
      <c r="O198" s="73"/>
      <c r="P198" s="73"/>
      <c r="Q198" s="73"/>
      <c r="R198" s="73"/>
      <c r="S198" s="73"/>
      <c r="T198" s="438" cm="1" t="str">
        <f t="array" ref="T198:T198">T197</f>
        <v>true</v>
      </c>
      <c r="U198" s="73"/>
      <c r="V198" s="73"/>
      <c r="W198" s="73"/>
      <c r="X198" s="1541"/>
      <c r="Y198" s="1256"/>
      <c r="Z198" s="1494"/>
      <c r="AA198" s="1256"/>
      <c r="AB198" s="266" t="s">
        <v>964</v>
      </c>
      <c r="AC198" s="741" t="s">
        <v>1830</v>
      </c>
      <c r="AD198" s="266" t="s">
        <v>789</v>
      </c>
      <c r="AE198" s="1092">
        <f>_xlfn.SUMIFS(Административные!AE$25:AE$65,Административные!$F$25:$F$65,$F198,Административные!$G$25:$G$65,$G198)</f>
        <v>0</v>
      </c>
      <c r="AF198" s="1092">
        <f>_xlfn.SUMIFS(Административные!AF$25:AF$65,Административные!$F$25:$F$65,$F198,Административные!$G$25:$G$65,$G198)</f>
        <v>0</v>
      </c>
      <c r="AG198" s="1092">
        <f>_xlfn.SUMIFS(Административные!AG$25:AG$65,Административные!$F$25:$F$65,$F198,Административные!$G$25:$G$65,$G198)</f>
        <v>0</v>
      </c>
      <c r="AH198" s="1092">
        <f>AG198-AF198</f>
        <v>0</v>
      </c>
      <c r="AI198" s="1092">
        <f>_xlfn.SUMIFS(Административные!AH$25:AH$65,Административные!$F$25:$F$65,$F198,Административные!$G$25:$G$65,$G198)</f>
        <v>0</v>
      </c>
      <c r="AJ198" s="1092">
        <f>_xlfn.SUMIFS(Административные!AI$25:AI$65,Административные!$F$25:$F$65,$F198,Административные!$G$25:$G$65,$G198)</f>
        <v>0</v>
      </c>
      <c r="AK198" s="1093"/>
      <c r="AL198" s="1093"/>
      <c r="AM198" s="1093"/>
      <c r="AN198" s="1093"/>
      <c r="AO198" s="1093"/>
      <c r="AP198" s="1093"/>
      <c r="AQ198" s="1093"/>
      <c r="AR198" s="1093"/>
      <c r="AS198" s="1093"/>
      <c r="AT198" s="1092">
        <f>_xlfn.SUMIFS(Административные!AJ$25:AJ$65,Административные!$F$25:$F$65,$F198,Административные!$G$25:$G$65,$G198)</f>
        <v>0</v>
      </c>
      <c r="AU198" s="1093"/>
      <c r="AV198" s="1093"/>
      <c r="AW198" s="1093"/>
      <c r="AX198" s="1093"/>
      <c r="AY198" s="1093"/>
      <c r="AZ198" s="1093"/>
      <c r="BA198" s="1093"/>
      <c r="BB198" s="1093"/>
      <c r="BC198" s="1093"/>
      <c r="BD198" s="1092">
        <f>IF(AI198=0,0,(AT198-AI198)/AI198*100)</f>
        <v>0</v>
      </c>
      <c r="BE198" s="1093"/>
      <c r="BF198" s="1093"/>
      <c r="BG198" s="1093"/>
      <c r="BH198" s="1093"/>
      <c r="BI198" s="1093"/>
      <c r="BJ198" s="1093"/>
      <c r="BK198" s="1093"/>
      <c r="BL198" s="1093"/>
      <c r="BM198" s="1093"/>
      <c r="BN198" s="3618"/>
      <c r="BO198" s="3620" t="str">
        <f>IF(_xlfn.IFERROR(INDEX(Административные!$K$26:$L$65,MATCH($F198&amp;"17komm",Административные!$K$26:$K$65,0),2),"")=0,"",_xlfn.IFERROR(INDEX(Административные!$K$26:$L$65,MATCH($F198&amp;"17komm",Административные!$K$26:$K$65,0),2),""))</f>
        <v/>
      </c>
      <c r="BP198" s="3618"/>
      <c r="BQ198" s="1256"/>
      <c r="BR198" s="1256"/>
      <c r="BS198" s="1039" t="s">
        <v>1076</v>
      </c>
      <c r="BT198" s="1041"/>
      <c r="BU198" s="1041"/>
      <c r="BV198" s="956"/>
      <c r="BW198" s="956"/>
    </row>
    <row s="1624" customFormat="1" customHeight="1" ht="14.25">
      <c r="A199" s="1256"/>
      <c r="B199" s="955"/>
      <c r="C199" s="73"/>
      <c r="D199" s="73"/>
      <c r="E199" s="596">
        <v>15</v>
      </c>
      <c r="F199" s="50" cm="1" t="str">
        <f t="array" ref="F199:F199">OFFSET(E199,-1,1)</f>
        <v>1</v>
      </c>
      <c r="G199" s="73" t="s">
        <v>1077</v>
      </c>
      <c r="H199" s="833"/>
      <c r="I199" s="833" t="s">
        <v>1831</v>
      </c>
      <c r="J199" s="73"/>
      <c r="K199" s="344" t="s">
        <v>1831</v>
      </c>
      <c r="L199" s="957"/>
      <c r="M199" s="73"/>
      <c r="N199" s="73"/>
      <c r="O199" s="73"/>
      <c r="P199" s="73"/>
      <c r="Q199" s="73"/>
      <c r="R199" s="73"/>
      <c r="S199" s="73"/>
      <c r="T199" s="438" cm="1" t="str">
        <f t="array" ref="T199:T199">T198</f>
        <v>true</v>
      </c>
      <c r="U199" s="73"/>
      <c r="V199" s="73"/>
      <c r="W199" s="73"/>
      <c r="X199" s="1541"/>
      <c r="Y199" s="1256"/>
      <c r="Z199" s="1494"/>
      <c r="AA199" s="1256"/>
      <c r="AB199" s="266" t="s">
        <v>1832</v>
      </c>
      <c r="AC199" s="744" t="s">
        <v>1078</v>
      </c>
      <c r="AD199" s="266" t="s">
        <v>789</v>
      </c>
      <c r="AE199" s="1092">
        <f>_xlfn.SUMIFS(Административные!AE$25:AE$65,Административные!$F$25:$F$65,$F199,Административные!$G$25:$G$65,$G199)</f>
        <v>0</v>
      </c>
      <c r="AF199" s="1092">
        <f>_xlfn.SUMIFS(Административные!AF$25:AF$65,Административные!$F$25:$F$65,$F199,Административные!$G$25:$G$65,$G199)</f>
        <v>0</v>
      </c>
      <c r="AG199" s="1092">
        <f>_xlfn.SUMIFS(Административные!AG$25:AG$65,Административные!$F$25:$F$65,$F199,Административные!$G$25:$G$65,$G199)</f>
        <v>0</v>
      </c>
      <c r="AH199" s="1092">
        <f>AG199-AF199</f>
        <v>0</v>
      </c>
      <c r="AI199" s="1092">
        <f>_xlfn.SUMIFS(Административные!AH$25:AH$65,Административные!$F$25:$F$65,$F199,Административные!$G$25:$G$65,$G199)</f>
        <v>0</v>
      </c>
      <c r="AJ199" s="1092">
        <f>_xlfn.SUMIFS(Административные!AI$25:AI$65,Административные!$F$25:$F$65,$F199,Административные!$G$25:$G$65,$G199)</f>
        <v>0</v>
      </c>
      <c r="AK199" s="1093"/>
      <c r="AL199" s="1093"/>
      <c r="AM199" s="1093"/>
      <c r="AN199" s="1093"/>
      <c r="AO199" s="1093"/>
      <c r="AP199" s="1093"/>
      <c r="AQ199" s="1093"/>
      <c r="AR199" s="1093"/>
      <c r="AS199" s="1093"/>
      <c r="AT199" s="1092">
        <f>_xlfn.SUMIFS(Административные!AJ$25:AJ$65,Административные!$F$25:$F$65,$F199,Административные!$G$25:$G$65,$G199)</f>
        <v>0</v>
      </c>
      <c r="AU199" s="1093"/>
      <c r="AV199" s="1093"/>
      <c r="AW199" s="1093"/>
      <c r="AX199" s="1093"/>
      <c r="AY199" s="1093"/>
      <c r="AZ199" s="1093"/>
      <c r="BA199" s="1093"/>
      <c r="BB199" s="1093"/>
      <c r="BC199" s="1093"/>
      <c r="BD199" s="1092">
        <f>IF(AI199=0,0,(AT199-AI199)/AI199*100)</f>
        <v>0</v>
      </c>
      <c r="BE199" s="1093"/>
      <c r="BF199" s="1093"/>
      <c r="BG199" s="1093"/>
      <c r="BH199" s="1093"/>
      <c r="BI199" s="1093"/>
      <c r="BJ199" s="1093"/>
      <c r="BK199" s="1093"/>
      <c r="BL199" s="1093"/>
      <c r="BM199" s="1093"/>
      <c r="BN199" s="3618"/>
      <c r="BO199" s="3620" t="str">
        <f>IF(_xlfn.IFERROR(INDEX(Административные!$K$26:$L$65,MATCH($F199&amp;"18komm",Административные!$K$26:$K$65,0),2),"")=0,"",_xlfn.IFERROR(INDEX(Административные!$K$26:$L$65,MATCH($F199&amp;"18komm",Административные!$K$26:$K$65,0),2),""))</f>
        <v/>
      </c>
      <c r="BP199" s="3618"/>
      <c r="BQ199" s="1256"/>
      <c r="BR199" s="1256"/>
      <c r="BS199" s="1041" t="s">
        <v>1079</v>
      </c>
      <c r="BT199" s="1041"/>
      <c r="BU199" s="1041"/>
      <c r="BV199" s="956"/>
      <c r="BW199" s="956"/>
    </row>
    <row s="1624" customFormat="1" customHeight="1" ht="14.25">
      <c r="A200" s="1256"/>
      <c r="B200" s="955"/>
      <c r="C200" s="73"/>
      <c r="D200" s="73"/>
      <c r="E200" s="596">
        <v>15</v>
      </c>
      <c r="F200" s="50" cm="1" t="str">
        <f t="array" ref="F200:F200">OFFSET(E200,-1,1)</f>
        <v>1</v>
      </c>
      <c r="G200" s="73" t="s">
        <v>1080</v>
      </c>
      <c r="H200" s="833"/>
      <c r="I200" s="833" t="s">
        <v>1833</v>
      </c>
      <c r="J200" s="73"/>
      <c r="K200" s="344" t="s">
        <v>1833</v>
      </c>
      <c r="L200" s="957"/>
      <c r="M200" s="73"/>
      <c r="N200" s="73"/>
      <c r="O200" s="73"/>
      <c r="P200" s="73"/>
      <c r="Q200" s="73"/>
      <c r="R200" s="73"/>
      <c r="S200" s="73"/>
      <c r="T200" s="438" cm="1" t="str">
        <f t="array" ref="T200:T200">T199</f>
        <v>true</v>
      </c>
      <c r="U200" s="73"/>
      <c r="V200" s="73"/>
      <c r="W200" s="73"/>
      <c r="X200" s="1541"/>
      <c r="Y200" s="1256"/>
      <c r="Z200" s="1494"/>
      <c r="AA200" s="1256"/>
      <c r="AB200" s="266" t="s">
        <v>1834</v>
      </c>
      <c r="AC200" s="744" t="s">
        <v>1081</v>
      </c>
      <c r="AD200" s="266" t="s">
        <v>789</v>
      </c>
      <c r="AE200" s="1092">
        <f>_xlfn.SUMIFS(Административные!AE$25:AE$65,Административные!$F$25:$F$65,$F200,Административные!$G$25:$G$65,$G200)</f>
        <v>0</v>
      </c>
      <c r="AF200" s="1092">
        <f>_xlfn.SUMIFS(Административные!AF$25:AF$65,Административные!$F$25:$F$65,$F200,Административные!$G$25:$G$65,$G200)</f>
        <v>0</v>
      </c>
      <c r="AG200" s="1092">
        <f>_xlfn.SUMIFS(Административные!AG$25:AG$65,Административные!$F$25:$F$65,$F200,Административные!$G$25:$G$65,$G200)</f>
        <v>0</v>
      </c>
      <c r="AH200" s="1092">
        <f>AG200-AF200</f>
        <v>0</v>
      </c>
      <c r="AI200" s="1092">
        <f>_xlfn.SUMIFS(Административные!AH$25:AH$65,Административные!$F$25:$F$65,$F200,Административные!$G$25:$G$65,$G200)</f>
        <v>0</v>
      </c>
      <c r="AJ200" s="1092">
        <f>_xlfn.SUMIFS(Административные!AI$25:AI$65,Административные!$F$25:$F$65,$F200,Административные!$G$25:$G$65,$G200)</f>
        <v>0</v>
      </c>
      <c r="AK200" s="1093"/>
      <c r="AL200" s="1093"/>
      <c r="AM200" s="1093"/>
      <c r="AN200" s="1093"/>
      <c r="AO200" s="1093"/>
      <c r="AP200" s="1093"/>
      <c r="AQ200" s="1093"/>
      <c r="AR200" s="1093"/>
      <c r="AS200" s="1093"/>
      <c r="AT200" s="1092">
        <f>_xlfn.SUMIFS(Административные!AJ$25:AJ$65,Административные!$F$25:$F$65,$F200,Административные!$G$25:$G$65,$G200)</f>
        <v>0</v>
      </c>
      <c r="AU200" s="1093"/>
      <c r="AV200" s="1093"/>
      <c r="AW200" s="1093"/>
      <c r="AX200" s="1093"/>
      <c r="AY200" s="1093"/>
      <c r="AZ200" s="1093"/>
      <c r="BA200" s="1093"/>
      <c r="BB200" s="1093"/>
      <c r="BC200" s="1093"/>
      <c r="BD200" s="1092">
        <f>IF(AI200=0,0,(AT200-AI200)/AI200*100)</f>
        <v>0</v>
      </c>
      <c r="BE200" s="1093"/>
      <c r="BF200" s="1093"/>
      <c r="BG200" s="1093"/>
      <c r="BH200" s="1093"/>
      <c r="BI200" s="1093"/>
      <c r="BJ200" s="1093"/>
      <c r="BK200" s="1093"/>
      <c r="BL200" s="1093"/>
      <c r="BM200" s="1093"/>
      <c r="BN200" s="3618"/>
      <c r="BO200" s="3620" t="str">
        <f>IF(_xlfn.IFERROR(INDEX(Административные!$K$26:$L$65,MATCH($F200&amp;"11komm",Административные!$K$26:$K$65,0),2),"")=0,"",_xlfn.IFERROR(INDEX(Административные!$K$26:$L$65,MATCH($F200&amp;"11komm",Административные!$K$26:$K$65,0),2),""))</f>
        <v/>
      </c>
      <c r="BP200" s="3618"/>
      <c r="BQ200" s="1256"/>
      <c r="BR200" s="1256"/>
      <c r="BS200" s="1041" t="s">
        <v>1082</v>
      </c>
      <c r="BT200" s="1041"/>
      <c r="BU200" s="1041"/>
      <c r="BV200" s="956"/>
      <c r="BW200" s="956"/>
    </row>
    <row s="1624" customFormat="1" customHeight="1" ht="14.25">
      <c r="A201" s="1256"/>
      <c r="B201" s="955"/>
      <c r="C201" s="73"/>
      <c r="D201" s="73"/>
      <c r="E201" s="596">
        <v>15</v>
      </c>
      <c r="F201" s="50" cm="1" t="str">
        <f t="array" ref="F201:F201">OFFSET(E201,-1,1)</f>
        <v>1</v>
      </c>
      <c r="G201" s="73" t="s">
        <v>1083</v>
      </c>
      <c r="H201" s="833"/>
      <c r="I201" s="833" t="s">
        <v>1835</v>
      </c>
      <c r="J201" s="73"/>
      <c r="K201" s="344" t="s">
        <v>1835</v>
      </c>
      <c r="L201" s="957"/>
      <c r="M201" s="73"/>
      <c r="N201" s="73"/>
      <c r="O201" s="73"/>
      <c r="P201" s="73"/>
      <c r="Q201" s="73"/>
      <c r="R201" s="73"/>
      <c r="S201" s="73"/>
      <c r="T201" s="438" cm="1" t="str">
        <f t="array" ref="T201:T201">T200</f>
        <v>true</v>
      </c>
      <c r="U201" s="73"/>
      <c r="V201" s="73"/>
      <c r="W201" s="73"/>
      <c r="X201" s="1541"/>
      <c r="Y201" s="1256"/>
      <c r="Z201" s="1494"/>
      <c r="AA201" s="1256"/>
      <c r="AB201" s="266" t="s">
        <v>1836</v>
      </c>
      <c r="AC201" s="744" t="s">
        <v>1084</v>
      </c>
      <c r="AD201" s="266" t="s">
        <v>789</v>
      </c>
      <c r="AE201" s="1092">
        <f>_xlfn.SUMIFS(Административные!AE$25:AE$65,Административные!$F$25:$F$65,$F201,Административные!$G$25:$G$65,$G201)</f>
        <v>0</v>
      </c>
      <c r="AF201" s="1092">
        <f>_xlfn.SUMIFS(Административные!AF$25:AF$65,Административные!$F$25:$F$65,$F201,Административные!$G$25:$G$65,$G201)</f>
        <v>0</v>
      </c>
      <c r="AG201" s="1092">
        <f>_xlfn.SUMIFS(Административные!AG$25:AG$65,Административные!$F$25:$F$65,$F201,Административные!$G$25:$G$65,$G201)</f>
        <v>0</v>
      </c>
      <c r="AH201" s="1092">
        <f>AG201-AF201</f>
        <v>0</v>
      </c>
      <c r="AI201" s="1092">
        <f>_xlfn.SUMIFS(Административные!AH$25:AH$65,Административные!$F$25:$F$65,$F201,Административные!$G$25:$G$65,$G201)</f>
        <v>0</v>
      </c>
      <c r="AJ201" s="1092">
        <f>_xlfn.SUMIFS(Административные!AI$25:AI$65,Административные!$F$25:$F$65,$F201,Административные!$G$25:$G$65,$G201)</f>
        <v>0</v>
      </c>
      <c r="AK201" s="1093"/>
      <c r="AL201" s="1093"/>
      <c r="AM201" s="1093"/>
      <c r="AN201" s="1093"/>
      <c r="AO201" s="1093"/>
      <c r="AP201" s="1093"/>
      <c r="AQ201" s="1093"/>
      <c r="AR201" s="1093"/>
      <c r="AS201" s="1093"/>
      <c r="AT201" s="1092">
        <f>_xlfn.SUMIFS(Административные!AJ$25:AJ$65,Административные!$F$25:$F$65,$F201,Административные!$G$25:$G$65,$G201)</f>
        <v>0</v>
      </c>
      <c r="AU201" s="1093"/>
      <c r="AV201" s="1093"/>
      <c r="AW201" s="1093"/>
      <c r="AX201" s="1093"/>
      <c r="AY201" s="1093"/>
      <c r="AZ201" s="1093"/>
      <c r="BA201" s="1093"/>
      <c r="BB201" s="1093"/>
      <c r="BC201" s="1093"/>
      <c r="BD201" s="1092">
        <f>IF(AI201=0,0,(AT201-AI201)/AI201*100)</f>
        <v>0</v>
      </c>
      <c r="BE201" s="1093"/>
      <c r="BF201" s="1093"/>
      <c r="BG201" s="1093"/>
      <c r="BH201" s="1093"/>
      <c r="BI201" s="1093"/>
      <c r="BJ201" s="1093"/>
      <c r="BK201" s="1093"/>
      <c r="BL201" s="1093"/>
      <c r="BM201" s="1093"/>
      <c r="BN201" s="3618"/>
      <c r="BO201" s="3620" t="str">
        <f>IF(_xlfn.IFERROR(INDEX(Административные!$K$26:$L$65,MATCH($F201&amp;"12komm",Административные!$K$26:$K$65,0),2),"")=0,"",_xlfn.IFERROR(INDEX(Административные!$K$26:$L$65,MATCH($F201&amp;"12komm",Административные!$K$26:$K$65,0),2),""))</f>
        <v/>
      </c>
      <c r="BP201" s="3618"/>
      <c r="BQ201" s="1256"/>
      <c r="BR201" s="1256"/>
      <c r="BS201" s="1041" t="s">
        <v>1085</v>
      </c>
      <c r="BT201" s="1041"/>
      <c r="BU201" s="1041"/>
      <c r="BV201" s="956"/>
      <c r="BW201" s="956"/>
    </row>
    <row s="1624" customFormat="1" customHeight="1" ht="14.25">
      <c r="A202" s="1256"/>
      <c r="B202" s="955"/>
      <c r="C202" s="73"/>
      <c r="D202" s="73"/>
      <c r="E202" s="596">
        <v>15</v>
      </c>
      <c r="F202" s="50" cm="1" t="str">
        <f t="array" ref="F202:F202">OFFSET(E202,-1,1)</f>
        <v>1</v>
      </c>
      <c r="G202" s="73" t="s">
        <v>1086</v>
      </c>
      <c r="H202" s="833"/>
      <c r="I202" s="833" t="s">
        <v>1837</v>
      </c>
      <c r="J202" s="73"/>
      <c r="K202" s="344" t="s">
        <v>1837</v>
      </c>
      <c r="L202" s="957"/>
      <c r="M202" s="73"/>
      <c r="N202" s="73"/>
      <c r="O202" s="73"/>
      <c r="P202" s="73"/>
      <c r="Q202" s="73"/>
      <c r="R202" s="73"/>
      <c r="S202" s="73"/>
      <c r="T202" s="438" cm="1" t="str">
        <f t="array" ref="T202:T202">T201</f>
        <v>true</v>
      </c>
      <c r="U202" s="73"/>
      <c r="V202" s="73"/>
      <c r="W202" s="73"/>
      <c r="X202" s="1541"/>
      <c r="Y202" s="1256"/>
      <c r="Z202" s="1494"/>
      <c r="AA202" s="1256"/>
      <c r="AB202" s="266" t="s">
        <v>1838</v>
      </c>
      <c r="AC202" s="744" t="s">
        <v>1087</v>
      </c>
      <c r="AD202" s="266" t="s">
        <v>789</v>
      </c>
      <c r="AE202" s="1092">
        <f>_xlfn.SUMIFS(Административные!AE$25:AE$65,Административные!$F$25:$F$65,$F202,Административные!$G$25:$G$65,$G202)</f>
        <v>0</v>
      </c>
      <c r="AF202" s="1092">
        <f>_xlfn.SUMIFS(Административные!AF$25:AF$65,Административные!$F$25:$F$65,$F202,Административные!$G$25:$G$65,$G202)</f>
        <v>0</v>
      </c>
      <c r="AG202" s="1092">
        <f>_xlfn.SUMIFS(Административные!AG$25:AG$65,Административные!$F$25:$F$65,$F202,Административные!$G$25:$G$65,$G202)</f>
        <v>0</v>
      </c>
      <c r="AH202" s="1092">
        <f>AG202-AF202</f>
        <v>0</v>
      </c>
      <c r="AI202" s="1092">
        <f>_xlfn.SUMIFS(Административные!AH$25:AH$65,Административные!$F$25:$F$65,$F202,Административные!$G$25:$G$65,$G202)</f>
        <v>0</v>
      </c>
      <c r="AJ202" s="1092">
        <f>_xlfn.SUMIFS(Административные!AI$25:AI$65,Административные!$F$25:$F$65,$F202,Административные!$G$25:$G$65,$G202)</f>
        <v>0</v>
      </c>
      <c r="AK202" s="1093"/>
      <c r="AL202" s="1093"/>
      <c r="AM202" s="1093"/>
      <c r="AN202" s="1093"/>
      <c r="AO202" s="1093"/>
      <c r="AP202" s="1093"/>
      <c r="AQ202" s="1093"/>
      <c r="AR202" s="1093"/>
      <c r="AS202" s="1093"/>
      <c r="AT202" s="1092">
        <f>_xlfn.SUMIFS(Административные!AJ$25:AJ$65,Административные!$F$25:$F$65,$F202,Административные!$G$25:$G$65,$G202)</f>
        <v>0</v>
      </c>
      <c r="AU202" s="1093"/>
      <c r="AV202" s="1093"/>
      <c r="AW202" s="1093"/>
      <c r="AX202" s="1093"/>
      <c r="AY202" s="1093"/>
      <c r="AZ202" s="1093"/>
      <c r="BA202" s="1093"/>
      <c r="BB202" s="1093"/>
      <c r="BC202" s="1093"/>
      <c r="BD202" s="1092">
        <f>IF(AI202=0,0,(AT202-AI202)/AI202*100)</f>
        <v>0</v>
      </c>
      <c r="BE202" s="1093"/>
      <c r="BF202" s="1093"/>
      <c r="BG202" s="1093"/>
      <c r="BH202" s="1093"/>
      <c r="BI202" s="1093"/>
      <c r="BJ202" s="1093"/>
      <c r="BK202" s="1093"/>
      <c r="BL202" s="1093"/>
      <c r="BM202" s="1093"/>
      <c r="BN202" s="3618"/>
      <c r="BO202" s="3620" t="str">
        <f>IF(_xlfn.IFERROR(INDEX(Административные!$K$26:$L$65,MATCH($F202&amp;"13komm",Административные!$K$26:$K$65,0),2),"")=0,"",_xlfn.IFERROR(INDEX(Административные!$K$26:$L$65,MATCH($F202&amp;"13komm",Административные!$K$26:$K$65,0),2),""))</f>
        <v/>
      </c>
      <c r="BP202" s="3618"/>
      <c r="BQ202" s="1256"/>
      <c r="BR202" s="1256"/>
      <c r="BS202" s="1041" t="s">
        <v>1088</v>
      </c>
      <c r="BT202" s="1041"/>
      <c r="BU202" s="1041"/>
      <c r="BV202" s="956"/>
      <c r="BW202" s="956"/>
    </row>
    <row s="1624" customFormat="1" customHeight="1" ht="14.25">
      <c r="A203" s="1256"/>
      <c r="B203" s="955"/>
      <c r="C203" s="73"/>
      <c r="D203" s="73"/>
      <c r="E203" s="596">
        <v>15</v>
      </c>
      <c r="F203" s="50" cm="1" t="str">
        <f t="array" ref="F203:F203">OFFSET(E203,-1,1)</f>
        <v>1</v>
      </c>
      <c r="G203" s="73" t="s">
        <v>1089</v>
      </c>
      <c r="H203" s="833"/>
      <c r="I203" s="833" t="s">
        <v>1839</v>
      </c>
      <c r="J203" s="73"/>
      <c r="K203" s="344" t="s">
        <v>1839</v>
      </c>
      <c r="L203" s="957"/>
      <c r="M203" s="73"/>
      <c r="N203" s="73"/>
      <c r="O203" s="73"/>
      <c r="P203" s="73"/>
      <c r="Q203" s="73"/>
      <c r="R203" s="73"/>
      <c r="S203" s="73"/>
      <c r="T203" s="438" cm="1" t="str">
        <f t="array" ref="T203:T203">T202</f>
        <v>true</v>
      </c>
      <c r="U203" s="73"/>
      <c r="V203" s="73"/>
      <c r="W203" s="73"/>
      <c r="X203" s="1541"/>
      <c r="Y203" s="1256"/>
      <c r="Z203" s="1494"/>
      <c r="AA203" s="1256"/>
      <c r="AB203" s="266" t="s">
        <v>1840</v>
      </c>
      <c r="AC203" s="744" t="s">
        <v>1090</v>
      </c>
      <c r="AD203" s="266" t="s">
        <v>789</v>
      </c>
      <c r="AE203" s="763">
        <f>_xlfn.SUMIFS(Административные!AE$25:AE$65,Административные!$F$25:$F$65,$F203,Административные!$G$25:$G$65,$G203)</f>
        <v>0</v>
      </c>
      <c r="AF203" s="763">
        <f>_xlfn.SUMIFS(Административные!AF$25:AF$65,Административные!$F$25:$F$65,$F203,Административные!$G$25:$G$65,$G203)</f>
        <v>0</v>
      </c>
      <c r="AG203" s="763">
        <f>_xlfn.SUMIFS(Административные!AG$25:AG$65,Административные!$F$25:$F$65,$F203,Административные!$G$25:$G$65,$G203)</f>
        <v>0</v>
      </c>
      <c r="AH203" s="743">
        <f>AG203-AF203</f>
        <v>0</v>
      </c>
      <c r="AI203" s="763">
        <f>_xlfn.SUMIFS(Административные!AH$25:AH$65,Административные!$F$25:$F$65,$F203,Административные!$G$25:$G$65,$G203)</f>
        <v>0</v>
      </c>
      <c r="AJ203" s="763">
        <f>_xlfn.SUMIFS(Административные!AI$25:AI$65,Административные!$F$25:$F$65,$F203,Административные!$G$25:$G$65,$G203)</f>
        <v>0</v>
      </c>
      <c r="AK203" s="739"/>
      <c r="AL203" s="739"/>
      <c r="AM203" s="739"/>
      <c r="AN203" s="739"/>
      <c r="AO203" s="739"/>
      <c r="AP203" s="739"/>
      <c r="AQ203" s="739"/>
      <c r="AR203" s="739"/>
      <c r="AS203" s="739"/>
      <c r="AT203" s="763">
        <f>_xlfn.SUMIFS(Административные!AJ$25:AJ$65,Административные!$F$25:$F$65,$F203,Административные!$G$25:$G$65,$G203)</f>
        <v>0</v>
      </c>
      <c r="AU203" s="1093"/>
      <c r="AV203" s="1093"/>
      <c r="AW203" s="1093"/>
      <c r="AX203" s="1093"/>
      <c r="AY203" s="1093"/>
      <c r="AZ203" s="1093"/>
      <c r="BA203" s="1093"/>
      <c r="BB203" s="1093"/>
      <c r="BC203" s="1093"/>
      <c r="BD203" s="1092">
        <f>IF(AI203=0,0,(AT203-AI203)/AI203*100)</f>
        <v>0</v>
      </c>
      <c r="BE203" s="1093"/>
      <c r="BF203" s="1093"/>
      <c r="BG203" s="1093"/>
      <c r="BH203" s="1093"/>
      <c r="BI203" s="1093"/>
      <c r="BJ203" s="1093"/>
      <c r="BK203" s="1093"/>
      <c r="BL203" s="1093"/>
      <c r="BM203" s="1093"/>
      <c r="BN203" s="3618"/>
      <c r="BO203" s="3620" t="str">
        <f>IF(_xlfn.IFERROR(INDEX(Административные!$K$26:$L$65,MATCH($F203&amp;"14komm",Административные!$K$26:$K$65,0),2),"")=0,"",_xlfn.IFERROR(INDEX(Административные!$K$26:$L$65,MATCH($F203&amp;"14komm",Административные!$K$26:$K$65,0),2),""))</f>
        <v/>
      </c>
      <c r="BP203" s="3618"/>
      <c r="BQ203" s="1256"/>
      <c r="BR203" s="1256"/>
      <c r="BS203" s="1041" t="s">
        <v>1841</v>
      </c>
      <c r="BT203" s="1041"/>
      <c r="BU203" s="1041"/>
      <c r="BV203" s="956"/>
      <c r="BW203" s="956"/>
    </row>
    <row s="1624" customFormat="1" customHeight="1" ht="14.25">
      <c r="A204" s="1256"/>
      <c r="B204" s="955"/>
      <c r="C204" s="73"/>
      <c r="D204" s="73"/>
      <c r="E204" s="596">
        <v>15</v>
      </c>
      <c r="F204" s="50" cm="1" t="str">
        <f t="array" ref="F204:F204">OFFSET(E204,-1,1)</f>
        <v>1</v>
      </c>
      <c r="G204" s="73" t="s">
        <v>1092</v>
      </c>
      <c r="H204" s="833"/>
      <c r="I204" s="833" t="s">
        <v>1842</v>
      </c>
      <c r="J204" s="73"/>
      <c r="K204" s="344" t="s">
        <v>1842</v>
      </c>
      <c r="L204" s="957"/>
      <c r="M204" s="73"/>
      <c r="N204" s="73"/>
      <c r="O204" s="73"/>
      <c r="P204" s="73"/>
      <c r="Q204" s="73"/>
      <c r="R204" s="73"/>
      <c r="S204" s="73"/>
      <c r="T204" s="438" cm="1" t="str">
        <f t="array" ref="T204:T204">T203</f>
        <v>true</v>
      </c>
      <c r="U204" s="73"/>
      <c r="V204" s="73"/>
      <c r="W204" s="73"/>
      <c r="X204" s="1541"/>
      <c r="Y204" s="1256"/>
      <c r="Z204" s="1494"/>
      <c r="AA204" s="1256"/>
      <c r="AB204" s="266" t="s">
        <v>1843</v>
      </c>
      <c r="AC204" s="744" t="s">
        <v>1095</v>
      </c>
      <c r="AD204" s="266" t="s">
        <v>789</v>
      </c>
      <c r="AE204" s="1092">
        <f>_xlfn.SUMIFS(Административные!AE$25:AE$65,Административные!$F$25:$F$65,$F204,Административные!$G$25:$G$65,$G204)</f>
        <v>0</v>
      </c>
      <c r="AF204" s="1092">
        <f>_xlfn.SUMIFS(Административные!AF$25:AF$65,Административные!$F$25:$F$65,$F204,Административные!$G$25:$G$65,$G204)</f>
        <v>0</v>
      </c>
      <c r="AG204" s="1092">
        <f>_xlfn.SUMIFS(Административные!AG$25:AG$65,Административные!$F$25:$F$65,$F204,Административные!$G$25:$G$65,$G204)</f>
        <v>0</v>
      </c>
      <c r="AH204" s="1092">
        <f>AG204-AF204</f>
        <v>0</v>
      </c>
      <c r="AI204" s="1092">
        <f>_xlfn.SUMIFS(Административные!AH$25:AH$65,Административные!$F$25:$F$65,$F204,Административные!$G$25:$G$65,$G204)</f>
        <v>0</v>
      </c>
      <c r="AJ204" s="1092">
        <f>_xlfn.SUMIFS(Административные!AI$25:AI$65,Административные!$F$25:$F$65,$F204,Административные!$G$25:$G$65,$G204)</f>
        <v>0</v>
      </c>
      <c r="AK204" s="1093"/>
      <c r="AL204" s="1093"/>
      <c r="AM204" s="1093"/>
      <c r="AN204" s="1093"/>
      <c r="AO204" s="1093"/>
      <c r="AP204" s="1093"/>
      <c r="AQ204" s="1093"/>
      <c r="AR204" s="1093"/>
      <c r="AS204" s="1093"/>
      <c r="AT204" s="1092">
        <f>_xlfn.SUMIFS(Административные!AJ$25:AJ$65,Административные!$F$25:$F$65,$F204,Административные!$G$25:$G$65,$G204)</f>
        <v>0</v>
      </c>
      <c r="AU204" s="1093"/>
      <c r="AV204" s="1093"/>
      <c r="AW204" s="1093"/>
      <c r="AX204" s="1093"/>
      <c r="AY204" s="1093"/>
      <c r="AZ204" s="1093"/>
      <c r="BA204" s="1093"/>
      <c r="BB204" s="1093"/>
      <c r="BC204" s="1093"/>
      <c r="BD204" s="1092">
        <f>IF(AI204=0,0,(AT204-AI204)/AI204*100)</f>
        <v>0</v>
      </c>
      <c r="BE204" s="1093"/>
      <c r="BF204" s="1093"/>
      <c r="BG204" s="1093"/>
      <c r="BH204" s="1093"/>
      <c r="BI204" s="1093"/>
      <c r="BJ204" s="1093"/>
      <c r="BK204" s="1093"/>
      <c r="BL204" s="1093"/>
      <c r="BM204" s="1093"/>
      <c r="BN204" s="3618"/>
      <c r="BO204" s="3620" t="str">
        <f>IF(_xlfn.IFERROR(INDEX(Административные!$K$26:$L$65,MATCH($F204&amp;"15komm",Административные!$K$26:$K$65,0),2),"")=0,"",_xlfn.IFERROR(INDEX(Административные!$K$26:$L$65,MATCH($F204&amp;"15komm",Административные!$K$26:$K$65,0),2),""))</f>
        <v/>
      </c>
      <c r="BP204" s="3618"/>
      <c r="BQ204" s="1256"/>
      <c r="BR204" s="1256"/>
      <c r="BS204" s="1041" t="s">
        <v>1096</v>
      </c>
      <c r="BT204" s="1041"/>
      <c r="BU204" s="1041"/>
      <c r="BV204" s="956"/>
      <c r="BW204" s="956"/>
    </row>
    <row s="1624" customFormat="1" customHeight="1" ht="14.25">
      <c r="A205" s="1256"/>
      <c r="B205" s="955"/>
      <c r="C205" s="73"/>
      <c r="D205" s="73"/>
      <c r="E205" s="596">
        <v>15</v>
      </c>
      <c r="F205" s="50" cm="1" t="str">
        <f t="array" ref="F205:F205">OFFSET(E205,-1,1)</f>
        <v>1</v>
      </c>
      <c r="G205" s="73" t="s">
        <v>1097</v>
      </c>
      <c r="H205" s="833"/>
      <c r="I205" s="833" t="s">
        <v>1844</v>
      </c>
      <c r="J205" s="73"/>
      <c r="K205" s="344" t="s">
        <v>1844</v>
      </c>
      <c r="L205" s="957"/>
      <c r="M205" s="73"/>
      <c r="N205" s="73"/>
      <c r="O205" s="73"/>
      <c r="P205" s="73"/>
      <c r="Q205" s="73"/>
      <c r="R205" s="73"/>
      <c r="S205" s="73"/>
      <c r="T205" s="438" cm="1" t="str">
        <f t="array" ref="T205:T205">T204</f>
        <v>true</v>
      </c>
      <c r="U205" s="73"/>
      <c r="V205" s="73"/>
      <c r="W205" s="73"/>
      <c r="X205" s="1541"/>
      <c r="Y205" s="1256"/>
      <c r="Z205" s="1494"/>
      <c r="AA205" s="1256"/>
      <c r="AB205" s="266" t="s">
        <v>1845</v>
      </c>
      <c r="AC205" s="744" t="s">
        <v>1100</v>
      </c>
      <c r="AD205" s="266" t="s">
        <v>789</v>
      </c>
      <c r="AE205" s="1092">
        <f>_xlfn.SUMIFS(Административные!AE$25:AE$65,Административные!$F$25:$F$65,$F205,Административные!$G$25:$G$65,$G205)</f>
        <v>0</v>
      </c>
      <c r="AF205" s="1092">
        <f>_xlfn.SUMIFS(Административные!AF$25:AF$65,Административные!$F$25:$F$65,$F205,Административные!$G$25:$G$65,$G205)</f>
        <v>0</v>
      </c>
      <c r="AG205" s="1092">
        <f>_xlfn.SUMIFS(Административные!AG$25:AG$65,Административные!$F$25:$F$65,$F205,Административные!$G$25:$G$65,$G205)</f>
        <v>0</v>
      </c>
      <c r="AH205" s="1092">
        <f>AG205-AF205</f>
        <v>0</v>
      </c>
      <c r="AI205" s="1092">
        <f>_xlfn.SUMIFS(Административные!AH$25:AH$65,Административные!$F$25:$F$65,$F205,Административные!$G$25:$G$65,$G205)</f>
        <v>0</v>
      </c>
      <c r="AJ205" s="1092">
        <f>_xlfn.SUMIFS(Административные!AI$25:AI$65,Административные!$F$25:$F$65,$F205,Административные!$G$25:$G$65,$G205)</f>
        <v>0</v>
      </c>
      <c r="AK205" s="1093"/>
      <c r="AL205" s="1093"/>
      <c r="AM205" s="1093"/>
      <c r="AN205" s="1093"/>
      <c r="AO205" s="1093"/>
      <c r="AP205" s="1093"/>
      <c r="AQ205" s="1093"/>
      <c r="AR205" s="1093"/>
      <c r="AS205" s="1093"/>
      <c r="AT205" s="1092">
        <f>_xlfn.SUMIFS(Административные!AJ$25:AJ$65,Административные!$F$25:$F$65,$F205,Административные!$G$25:$G$65,$G205)</f>
        <v>0</v>
      </c>
      <c r="AU205" s="1093"/>
      <c r="AV205" s="1093"/>
      <c r="AW205" s="1093"/>
      <c r="AX205" s="1093"/>
      <c r="AY205" s="1093"/>
      <c r="AZ205" s="1093"/>
      <c r="BA205" s="1093"/>
      <c r="BB205" s="1093"/>
      <c r="BC205" s="1093"/>
      <c r="BD205" s="1092">
        <f>IF(AI205=0,0,(AT205-AI205)/AI205*100)</f>
        <v>0</v>
      </c>
      <c r="BE205" s="1093"/>
      <c r="BF205" s="1093"/>
      <c r="BG205" s="1093"/>
      <c r="BH205" s="1093"/>
      <c r="BI205" s="1093"/>
      <c r="BJ205" s="1093"/>
      <c r="BK205" s="1093"/>
      <c r="BL205" s="1093"/>
      <c r="BM205" s="1093"/>
      <c r="BN205" s="3618"/>
      <c r="BO205" s="3620" t="str">
        <f>IF(_xlfn.IFERROR(INDEX(Административные!$K$26:$L$65,MATCH($F205&amp;"16komm",Административные!$K$26:$K$65,0),2),"")=0,"",_xlfn.IFERROR(INDEX(Административные!$K$26:$L$65,MATCH($F205&amp;"16komm",Административные!$K$26:$K$65,0),2),""))</f>
        <v/>
      </c>
      <c r="BP205" s="3618"/>
      <c r="BQ205" s="1256"/>
      <c r="BR205" s="1256"/>
      <c r="BS205" s="1041" t="s">
        <v>1846</v>
      </c>
      <c r="BT205" s="1041"/>
      <c r="BU205" s="1041"/>
      <c r="BV205" s="956"/>
      <c r="BW205" s="956"/>
    </row>
    <row s="1624" customFormat="1" customHeight="1" ht="21.75">
      <c r="A206" s="1256"/>
      <c r="B206" s="955"/>
      <c r="C206" s="73"/>
      <c r="D206" s="73"/>
      <c r="E206" s="596">
        <v>22.5</v>
      </c>
      <c r="F206" s="50" cm="1" t="str">
        <f t="array" ref="F206:F206">OFFSET(E206,-1,1)</f>
        <v>1</v>
      </c>
      <c r="G206" s="73"/>
      <c r="H206" s="833"/>
      <c r="I206" s="833" t="s">
        <v>1236</v>
      </c>
      <c r="J206" s="73"/>
      <c r="K206" s="344" t="s">
        <v>1236</v>
      </c>
      <c r="L206" s="957" t="s">
        <v>876</v>
      </c>
      <c r="M206" s="73"/>
      <c r="N206" s="73"/>
      <c r="O206" s="73"/>
      <c r="P206" s="73"/>
      <c r="Q206" s="73"/>
      <c r="R206" s="73"/>
      <c r="S206" s="73"/>
      <c r="T206" s="438" cm="1" t="str">
        <f t="array" ref="T206:T206">T205</f>
        <v>true</v>
      </c>
      <c r="U206" s="73"/>
      <c r="V206" s="73"/>
      <c r="W206" s="73"/>
      <c r="X206" s="1541"/>
      <c r="Y206" s="1256"/>
      <c r="Z206" s="1494"/>
      <c r="AA206" s="1256"/>
      <c r="AB206" s="266" t="s">
        <v>967</v>
      </c>
      <c r="AC206" s="741" t="s">
        <v>1847</v>
      </c>
      <c r="AD206" s="266" t="s">
        <v>789</v>
      </c>
      <c r="AE206" s="1094">
        <f>AE207+AE208</f>
        <v>0</v>
      </c>
      <c r="AF206" s="1094">
        <f>AF207+AF208</f>
        <v>0</v>
      </c>
      <c r="AG206" s="1094">
        <f>AG207+AG208</f>
        <v>0</v>
      </c>
      <c r="AH206" s="1092">
        <f>AG206-AF206</f>
        <v>0</v>
      </c>
      <c r="AI206" s="1094">
        <f>AI207+AI208</f>
        <v>0</v>
      </c>
      <c r="AJ206" s="1094">
        <f>AJ207+AJ208</f>
        <v>0</v>
      </c>
      <c r="AK206" s="1093"/>
      <c r="AL206" s="1093"/>
      <c r="AM206" s="1093"/>
      <c r="AN206" s="1093"/>
      <c r="AO206" s="1093"/>
      <c r="AP206" s="1093"/>
      <c r="AQ206" s="1093"/>
      <c r="AR206" s="1093"/>
      <c r="AS206" s="1093"/>
      <c r="AT206" s="1094">
        <f>AT207+AT208</f>
        <v>0</v>
      </c>
      <c r="AU206" s="1093"/>
      <c r="AV206" s="1093"/>
      <c r="AW206" s="1093"/>
      <c r="AX206" s="1093"/>
      <c r="AY206" s="1093"/>
      <c r="AZ206" s="1093"/>
      <c r="BA206" s="1093"/>
      <c r="BB206" s="1093"/>
      <c r="BC206" s="1093"/>
      <c r="BD206" s="1092">
        <f>IF(AI206=0,0,(AT206-AI206)/AI206*100)</f>
        <v>0</v>
      </c>
      <c r="BE206" s="1093"/>
      <c r="BF206" s="1093"/>
      <c r="BG206" s="1093"/>
      <c r="BH206" s="1093"/>
      <c r="BI206" s="1093"/>
      <c r="BJ206" s="1093"/>
      <c r="BK206" s="1093"/>
      <c r="BL206" s="1093"/>
      <c r="BM206" s="1093"/>
      <c r="BN206" s="3618"/>
      <c r="BO206" s="3618"/>
      <c r="BP206" s="3618"/>
      <c r="BQ206" s="1256"/>
      <c r="BR206" s="1256"/>
      <c r="BS206" s="1039" t="s">
        <v>1652</v>
      </c>
      <c r="BT206" s="1041"/>
      <c r="BU206" s="1041"/>
      <c r="BV206" s="956"/>
      <c r="BW206" s="956"/>
    </row>
    <row s="1624" customFormat="1" customHeight="1" ht="14.25">
      <c r="A207" s="1256"/>
      <c r="B207" s="955"/>
      <c r="C207" s="73"/>
      <c r="D207" s="73"/>
      <c r="E207" s="596">
        <v>15</v>
      </c>
      <c r="F207" s="50" cm="1" t="str">
        <f t="array" ref="F207:F207">OFFSET(E207,-1,1)</f>
        <v>1</v>
      </c>
      <c r="G207" s="73" t="s">
        <v>1056</v>
      </c>
      <c r="H207" s="833"/>
      <c r="I207" s="833" t="s">
        <v>1848</v>
      </c>
      <c r="J207" s="73"/>
      <c r="K207" s="344" t="s">
        <v>1848</v>
      </c>
      <c r="L207" s="957" t="s">
        <v>470</v>
      </c>
      <c r="M207" s="73"/>
      <c r="N207" s="73"/>
      <c r="O207" s="73"/>
      <c r="P207" s="73"/>
      <c r="Q207" s="73"/>
      <c r="R207" s="73"/>
      <c r="S207" s="73"/>
      <c r="T207" s="438" cm="1" t="str">
        <f t="array" ref="T207:T207">T206</f>
        <v>true</v>
      </c>
      <c r="U207" s="73"/>
      <c r="V207" s="73"/>
      <c r="W207" s="73"/>
      <c r="X207" s="1541"/>
      <c r="Y207" s="1256"/>
      <c r="Z207" s="1494"/>
      <c r="AA207" s="1256"/>
      <c r="AB207" s="266" t="s">
        <v>1849</v>
      </c>
      <c r="AC207" s="744" t="s">
        <v>1653</v>
      </c>
      <c r="AD207" s="747" t="s">
        <v>789</v>
      </c>
      <c r="AE207" s="1092">
        <f>_xlfn.SUMIFS(ФОТ!AE$25:AE$77,ФОТ!$F$25:$F$77,$F207,ФОТ!$G$25:$G$77,$G207)</f>
        <v>0</v>
      </c>
      <c r="AF207" s="1092">
        <f>_xlfn.SUMIFS(ФОТ!AF$25:AF$77,ФОТ!$F$25:$F$77,$F207,ФОТ!$G$25:$G$77,$G207)</f>
        <v>0</v>
      </c>
      <c r="AG207" s="1092">
        <f>_xlfn.SUMIFS(ФОТ!AG$25:AG$77,ФОТ!$F$25:$F$77,$F207,ФОТ!$G$25:$G$77,$G207)</f>
        <v>0</v>
      </c>
      <c r="AH207" s="1092">
        <f>AG207-AF207</f>
        <v>0</v>
      </c>
      <c r="AI207" s="1092">
        <f>_xlfn.SUMIFS(ФОТ!AH$25:AH$77,ФОТ!$F$25:$F$77,$F207,ФОТ!$G$25:$G$77,$G207)</f>
        <v>0</v>
      </c>
      <c r="AJ207" s="1092">
        <f>_xlfn.SUMIFS(ФОТ!AI$25:AI$77,ФОТ!$F$25:$F$77,$F207,ФОТ!$G$25:$G$77,$G207)</f>
        <v>0</v>
      </c>
      <c r="AK207" s="1093"/>
      <c r="AL207" s="1093"/>
      <c r="AM207" s="1093"/>
      <c r="AN207" s="1093"/>
      <c r="AO207" s="1093"/>
      <c r="AP207" s="1093"/>
      <c r="AQ207" s="1093"/>
      <c r="AR207" s="1093"/>
      <c r="AS207" s="1093"/>
      <c r="AT207" s="1092">
        <f>_xlfn.SUMIFS(ФОТ!AJ$25:AJ$77,ФОТ!$F$25:$F$77,$F207,ФОТ!$G$25:$G$77,$G207)</f>
        <v>0</v>
      </c>
      <c r="AU207" s="1093"/>
      <c r="AV207" s="1093"/>
      <c r="AW207" s="1093"/>
      <c r="AX207" s="1093"/>
      <c r="AY207" s="1093"/>
      <c r="AZ207" s="1093"/>
      <c r="BA207" s="1093"/>
      <c r="BB207" s="1093"/>
      <c r="BC207" s="1093"/>
      <c r="BD207" s="1092">
        <f>IF(AI207=0,0,(AT207-AI207)/AI207*100)</f>
        <v>0</v>
      </c>
      <c r="BE207" s="1093"/>
      <c r="BF207" s="1093"/>
      <c r="BG207" s="1093"/>
      <c r="BH207" s="1093"/>
      <c r="BI207" s="1093"/>
      <c r="BJ207" s="1093"/>
      <c r="BK207" s="1093"/>
      <c r="BL207" s="1093"/>
      <c r="BM207" s="1093"/>
      <c r="BN207" s="3618"/>
      <c r="BO207" s="3620" t="str">
        <f>IF(_xlfn.IFERROR(INDEX(ФОТ!$K$26:$L$77,MATCH($F207&amp;"5komm",ФОТ!$K$26:$K$77,0),2),"")=0,"",_xlfn.IFERROR(INDEX(ФОТ!$K$26:$L$77,MATCH($F207&amp;"5komm",ФОТ!$K$26:$K$77,0),2),""))</f>
        <v/>
      </c>
      <c r="BP207" s="3618"/>
      <c r="BQ207" s="1256"/>
      <c r="BR207" s="1256"/>
      <c r="BS207" s="1039" t="s">
        <v>1073</v>
      </c>
      <c r="BT207" s="1041"/>
      <c r="BU207" s="1041"/>
      <c r="BV207" s="956"/>
      <c r="BW207" s="956"/>
    </row>
    <row s="1624" customFormat="1" customHeight="1" ht="21.75">
      <c r="A208" s="1256"/>
      <c r="B208" s="955"/>
      <c r="C208" s="73"/>
      <c r="D208" s="73"/>
      <c r="E208" s="596">
        <v>22.5</v>
      </c>
      <c r="F208" s="50" cm="1" t="str">
        <f t="array" ref="F208:F208">OFFSET(E208,-1,1)</f>
        <v>1</v>
      </c>
      <c r="G208" s="73" t="s">
        <v>1061</v>
      </c>
      <c r="H208" s="833"/>
      <c r="I208" s="833" t="s">
        <v>1850</v>
      </c>
      <c r="J208" s="73"/>
      <c r="K208" s="344" t="s">
        <v>1850</v>
      </c>
      <c r="L208" s="957" t="s">
        <v>475</v>
      </c>
      <c r="M208" s="73"/>
      <c r="N208" s="73"/>
      <c r="O208" s="73"/>
      <c r="P208" s="73"/>
      <c r="Q208" s="73"/>
      <c r="R208" s="73"/>
      <c r="S208" s="73"/>
      <c r="T208" s="438" cm="1" t="str">
        <f t="array" ref="T208:T208">T207</f>
        <v>true</v>
      </c>
      <c r="U208" s="73"/>
      <c r="V208" s="73"/>
      <c r="W208" s="73"/>
      <c r="X208" s="1541"/>
      <c r="Y208" s="1256"/>
      <c r="Z208" s="1494"/>
      <c r="AA208" s="1256"/>
      <c r="AB208" s="266" t="s">
        <v>1851</v>
      </c>
      <c r="AC208" s="744" t="s">
        <v>1852</v>
      </c>
      <c r="AD208" s="266" t="s">
        <v>789</v>
      </c>
      <c r="AE208" s="1092">
        <f>_xlfn.SUMIFS(ФОТ!AE$25:AE$77,ФОТ!$F$25:$F$77,$F208,ФОТ!$G$25:$G$77,$G208)</f>
        <v>0</v>
      </c>
      <c r="AF208" s="1092">
        <f>_xlfn.SUMIFS(ФОТ!AF$25:AF$77,ФОТ!$F$25:$F$77,$F208,ФОТ!$G$25:$G$77,$G208)</f>
        <v>0</v>
      </c>
      <c r="AG208" s="1092">
        <f>_xlfn.SUMIFS(ФОТ!AG$25:AG$77,ФОТ!$F$25:$F$77,$F208,ФОТ!$G$25:$G$77,$G208)</f>
        <v>0</v>
      </c>
      <c r="AH208" s="1092">
        <f>AG208-AF208</f>
        <v>0</v>
      </c>
      <c r="AI208" s="1092">
        <f>_xlfn.SUMIFS(ФОТ!AH$25:AH$77,ФОТ!$F$25:$F$77,$F208,ФОТ!$G$25:$G$77,$G208)</f>
        <v>0</v>
      </c>
      <c r="AJ208" s="1092">
        <f>_xlfn.SUMIFS(ФОТ!AI$25:AI$77,ФОТ!$F$25:$F$77,$F208,ФОТ!$G$25:$G$77,$G208)</f>
        <v>0</v>
      </c>
      <c r="AK208" s="1093"/>
      <c r="AL208" s="1093"/>
      <c r="AM208" s="1093"/>
      <c r="AN208" s="1093"/>
      <c r="AO208" s="1093"/>
      <c r="AP208" s="1093"/>
      <c r="AQ208" s="1093"/>
      <c r="AR208" s="1093"/>
      <c r="AS208" s="1093"/>
      <c r="AT208" s="1092">
        <f>_xlfn.SUMIFS(ФОТ!AJ$25:AJ$77,ФОТ!$F$25:$F$77,$F208,ФОТ!$G$25:$G$77,$G208)</f>
        <v>0</v>
      </c>
      <c r="AU208" s="1093"/>
      <c r="AV208" s="1093"/>
      <c r="AW208" s="1093"/>
      <c r="AX208" s="1093"/>
      <c r="AY208" s="1093"/>
      <c r="AZ208" s="1093"/>
      <c r="BA208" s="1093"/>
      <c r="BB208" s="1093"/>
      <c r="BC208" s="1093"/>
      <c r="BD208" s="1092">
        <f>IF(AI208=0,0,(AT208-AI208)/AI208*100)</f>
        <v>0</v>
      </c>
      <c r="BE208" s="1093"/>
      <c r="BF208" s="1093"/>
      <c r="BG208" s="1093"/>
      <c r="BH208" s="1093"/>
      <c r="BI208" s="1093"/>
      <c r="BJ208" s="1093"/>
      <c r="BK208" s="1093"/>
      <c r="BL208" s="1093"/>
      <c r="BM208" s="1093"/>
      <c r="BN208" s="3618"/>
      <c r="BO208" s="3620" t="str">
        <f>IF(_xlfn.IFERROR(INDEX(ФОТ!$K$26:$L$77,MATCH($F208&amp;"6komm",ФОТ!$K$26:$K$77,0),2),"")=0,"",_xlfn.IFERROR(INDEX(ФОТ!$K$26:$L$77,MATCH($F208&amp;"6komm",ФОТ!$K$26:$K$77,0),2),""))</f>
        <v/>
      </c>
      <c r="BP208" s="3618"/>
      <c r="BQ208" s="1256"/>
      <c r="BR208" s="1256"/>
      <c r="BS208" s="1039" t="s">
        <v>1655</v>
      </c>
      <c r="BT208" s="1041"/>
      <c r="BU208" s="1041"/>
      <c r="BV208" s="956"/>
      <c r="BW208" s="956"/>
    </row>
    <row s="1624" customFormat="1" customHeight="1" ht="32.25">
      <c r="A209" s="1256"/>
      <c r="B209" s="955"/>
      <c r="C209" s="73"/>
      <c r="D209" s="73"/>
      <c r="E209" s="596">
        <v>33.75</v>
      </c>
      <c r="F209" s="50" cm="1" t="str">
        <f t="array" ref="F209:F209">OFFSET(E209,-1,1)</f>
        <v>1</v>
      </c>
      <c r="G209" s="824" t="s">
        <v>1102</v>
      </c>
      <c r="H209" s="833"/>
      <c r="I209" s="833" t="s">
        <v>1239</v>
      </c>
      <c r="J209" s="73"/>
      <c r="K209" s="344" t="s">
        <v>1239</v>
      </c>
      <c r="L209" s="957" t="s">
        <v>878</v>
      </c>
      <c r="M209" s="73"/>
      <c r="N209" s="73"/>
      <c r="O209" s="73"/>
      <c r="P209" s="73"/>
      <c r="Q209" s="73"/>
      <c r="R209" s="73"/>
      <c r="S209" s="73"/>
      <c r="T209" s="438" cm="1" t="str">
        <f t="array" ref="T209:T209">T208</f>
        <v>true</v>
      </c>
      <c r="U209" s="73"/>
      <c r="V209" s="73"/>
      <c r="W209" s="73"/>
      <c r="X209" s="1541"/>
      <c r="Y209" s="1256"/>
      <c r="Z209" s="1494"/>
      <c r="AA209" s="1256"/>
      <c r="AB209" s="266" t="s">
        <v>1240</v>
      </c>
      <c r="AC209" s="741" t="s">
        <v>1853</v>
      </c>
      <c r="AD209" s="266" t="s">
        <v>789</v>
      </c>
      <c r="AE209" s="1092">
        <f>_xlfn.SUMIFS(Административные!AE$25:AE$65,Административные!$F$25:$F$65,$F209,Административные!$G$25:$G$65,$G209)</f>
        <v>0</v>
      </c>
      <c r="AF209" s="1092">
        <f>_xlfn.SUMIFS(Административные!AF$25:AF$65,Административные!$F$25:$F$65,$F209,Административные!$G$25:$G$65,$G209)</f>
        <v>0</v>
      </c>
      <c r="AG209" s="1092">
        <f>_xlfn.SUMIFS(Административные!AG$25:AG$65,Административные!$F$25:$F$65,$F209,Административные!$G$25:$G$65,$G209)</f>
        <v>0</v>
      </c>
      <c r="AH209" s="1092">
        <f>AG209-AF209</f>
        <v>0</v>
      </c>
      <c r="AI209" s="1092">
        <f>_xlfn.SUMIFS(Административные!AH$25:AH$65,Административные!$F$25:$F$65,$F209,Административные!$G$25:$G$65,$G209)</f>
        <v>0</v>
      </c>
      <c r="AJ209" s="1092">
        <f>_xlfn.SUMIFS(Административные!AI$25:AI$65,Административные!$F$25:$F$65,$F209,Административные!$G$25:$G$65,$G209)</f>
        <v>0</v>
      </c>
      <c r="AK209" s="1093"/>
      <c r="AL209" s="1093"/>
      <c r="AM209" s="1093"/>
      <c r="AN209" s="1093"/>
      <c r="AO209" s="1093"/>
      <c r="AP209" s="1093"/>
      <c r="AQ209" s="1093"/>
      <c r="AR209" s="1093"/>
      <c r="AS209" s="1093"/>
      <c r="AT209" s="1092">
        <f>_xlfn.SUMIFS(Административные!AJ$25:AJ$65,Административные!$F$25:$F$65,$F209,Административные!$G$25:$G$65,$G209)</f>
        <v>0</v>
      </c>
      <c r="AU209" s="1093"/>
      <c r="AV209" s="1093"/>
      <c r="AW209" s="1093"/>
      <c r="AX209" s="1093"/>
      <c r="AY209" s="1093"/>
      <c r="AZ209" s="1093"/>
      <c r="BA209" s="1093"/>
      <c r="BB209" s="1093"/>
      <c r="BC209" s="1093"/>
      <c r="BD209" s="1092">
        <f>IF(AI209=0,0,(AT209-AI209)/AI209*100)</f>
        <v>0</v>
      </c>
      <c r="BE209" s="1093"/>
      <c r="BF209" s="1093"/>
      <c r="BG209" s="1093"/>
      <c r="BH209" s="1093"/>
      <c r="BI209" s="1093"/>
      <c r="BJ209" s="1093"/>
      <c r="BK209" s="1093"/>
      <c r="BL209" s="1093"/>
      <c r="BM209" s="1093"/>
      <c r="BN209" s="3618"/>
      <c r="BO209" s="3620" t="str">
        <f>IF(_xlfn.IFERROR(INDEX(Административные!$K$26:$L$65,MATCH($F209&amp;"2komm",Административные!$K$26:$K$65,0),2),"")=0,"",_xlfn.IFERROR(INDEX(Административные!$K$26:$L$65,MATCH($F209&amp;"2komm",Административные!$K$26:$K$65,0),2),""))</f>
        <v/>
      </c>
      <c r="BP209" s="3618"/>
      <c r="BQ209" s="1256"/>
      <c r="BR209" s="1256"/>
      <c r="BS209" s="1039" t="s">
        <v>1104</v>
      </c>
      <c r="BT209" s="1041"/>
      <c r="BU209" s="1041"/>
      <c r="BV209" s="956"/>
      <c r="BW209" s="956"/>
    </row>
    <row s="1624" customFormat="1" customHeight="1" ht="14.25">
      <c r="A210" s="1256"/>
      <c r="B210" s="955"/>
      <c r="C210" s="73"/>
      <c r="D210" s="73"/>
      <c r="E210" s="596">
        <v>15</v>
      </c>
      <c r="F210" s="50" cm="1" t="str">
        <f t="array" ref="F210:F210">OFFSET(E210,-1,1)</f>
        <v>1</v>
      </c>
      <c r="G210" s="824" t="s">
        <v>1105</v>
      </c>
      <c r="H210" s="833"/>
      <c r="I210" s="833" t="s">
        <v>1243</v>
      </c>
      <c r="J210" s="73"/>
      <c r="K210" s="344" t="s">
        <v>1243</v>
      </c>
      <c r="L210" s="957" t="s">
        <v>880</v>
      </c>
      <c r="M210" s="73"/>
      <c r="N210" s="73"/>
      <c r="O210" s="73"/>
      <c r="P210" s="73"/>
      <c r="Q210" s="73"/>
      <c r="R210" s="73"/>
      <c r="S210" s="73"/>
      <c r="T210" s="438" cm="1" t="str">
        <f t="array" ref="T210:T210">T209</f>
        <v>true</v>
      </c>
      <c r="U210" s="73"/>
      <c r="V210" s="73"/>
      <c r="W210" s="73"/>
      <c r="X210" s="1541"/>
      <c r="Y210" s="1256"/>
      <c r="Z210" s="1494"/>
      <c r="AA210" s="1256"/>
      <c r="AB210" s="266" t="s">
        <v>1244</v>
      </c>
      <c r="AC210" s="741" t="s">
        <v>1854</v>
      </c>
      <c r="AD210" s="266" t="s">
        <v>789</v>
      </c>
      <c r="AE210" s="1092">
        <f>_xlfn.SUMIFS(Административные!AE$25:AE$65,Административные!$F$25:$F$65,$F210,Административные!$G$25:$G$65,$G210)</f>
        <v>0</v>
      </c>
      <c r="AF210" s="1092">
        <f>_xlfn.SUMIFS(Административные!AF$25:AF$65,Административные!$F$25:$F$65,$F210,Административные!$G$25:$G$65,$G210)</f>
        <v>0</v>
      </c>
      <c r="AG210" s="1092">
        <f>_xlfn.SUMIFS(Административные!AG$25:AG$65,Административные!$F$25:$F$65,$F210,Административные!$G$25:$G$65,$G210)</f>
        <v>0</v>
      </c>
      <c r="AH210" s="1092">
        <f>AG210-AF210</f>
        <v>0</v>
      </c>
      <c r="AI210" s="1092">
        <f>_xlfn.SUMIFS(Административные!AH$25:AH$65,Административные!$F$25:$F$65,$F210,Административные!$G$25:$G$65,$G210)</f>
        <v>0</v>
      </c>
      <c r="AJ210" s="1092">
        <f>_xlfn.SUMIFS(Административные!AI$25:AI$65,Административные!$F$25:$F$65,$F210,Административные!$G$25:$G$65,$G210)</f>
        <v>0</v>
      </c>
      <c r="AK210" s="1093"/>
      <c r="AL210" s="1093"/>
      <c r="AM210" s="1093"/>
      <c r="AN210" s="1093"/>
      <c r="AO210" s="1093"/>
      <c r="AP210" s="1093"/>
      <c r="AQ210" s="1093"/>
      <c r="AR210" s="1093"/>
      <c r="AS210" s="1093"/>
      <c r="AT210" s="1092">
        <f>_xlfn.SUMIFS(Административные!AJ$25:AJ$65,Административные!$F$25:$F$65,$F210,Административные!$G$25:$G$65,$G210)</f>
        <v>0</v>
      </c>
      <c r="AU210" s="1093"/>
      <c r="AV210" s="1093"/>
      <c r="AW210" s="1093"/>
      <c r="AX210" s="1093"/>
      <c r="AY210" s="1093"/>
      <c r="AZ210" s="1093"/>
      <c r="BA210" s="1093"/>
      <c r="BB210" s="1093"/>
      <c r="BC210" s="1093"/>
      <c r="BD210" s="1092">
        <f>IF(AI210=0,0,(AT210-AI210)/AI210*100)</f>
        <v>0</v>
      </c>
      <c r="BE210" s="1093"/>
      <c r="BF210" s="1093"/>
      <c r="BG210" s="1093"/>
      <c r="BH210" s="1093"/>
      <c r="BI210" s="1093"/>
      <c r="BJ210" s="1093"/>
      <c r="BK210" s="1093"/>
      <c r="BL210" s="1093"/>
      <c r="BM210" s="1093"/>
      <c r="BN210" s="3618"/>
      <c r="BO210" s="3620" t="str">
        <f>IF(_xlfn.IFERROR(INDEX(Административные!$K$26:$L$65,MATCH($F210&amp;"3komm",Административные!$K$26:$K$65,0),2),"")=0,"",_xlfn.IFERROR(INDEX(Административные!$K$26:$L$65,MATCH($F210&amp;"3komm",Административные!$K$26:$K$65,0),2),""))</f>
        <v/>
      </c>
      <c r="BP210" s="3618"/>
      <c r="BQ210" s="1256"/>
      <c r="BR210" s="1256"/>
      <c r="BS210" s="1039" t="s">
        <v>1107</v>
      </c>
      <c r="BT210" s="1041"/>
      <c r="BU210" s="1041"/>
      <c r="BV210" s="956"/>
      <c r="BW210" s="956"/>
    </row>
    <row s="1624" customFormat="1" customHeight="1" ht="14.25">
      <c r="A211" s="1256"/>
      <c r="B211" s="955"/>
      <c r="C211" s="73"/>
      <c r="D211" s="73"/>
      <c r="E211" s="596">
        <v>15</v>
      </c>
      <c r="F211" s="50" cm="1" t="str">
        <f t="array" ref="F211:F211">OFFSET(E211,-1,1)</f>
        <v>1</v>
      </c>
      <c r="G211" s="824" t="s">
        <v>1108</v>
      </c>
      <c r="H211" s="833"/>
      <c r="I211" s="833" t="s">
        <v>1855</v>
      </c>
      <c r="J211" s="73"/>
      <c r="K211" s="344" t="s">
        <v>1855</v>
      </c>
      <c r="L211" s="957" t="s">
        <v>883</v>
      </c>
      <c r="M211" s="73"/>
      <c r="N211" s="73"/>
      <c r="O211" s="73"/>
      <c r="P211" s="73"/>
      <c r="Q211" s="73"/>
      <c r="R211" s="73"/>
      <c r="S211" s="73"/>
      <c r="T211" s="438" cm="1" t="str">
        <f t="array" ref="T211:T211">T210</f>
        <v>true</v>
      </c>
      <c r="U211" s="73"/>
      <c r="V211" s="73"/>
      <c r="W211" s="73"/>
      <c r="X211" s="1541"/>
      <c r="Y211" s="1256"/>
      <c r="Z211" s="1494"/>
      <c r="AA211" s="1256"/>
      <c r="AB211" s="266" t="s">
        <v>1856</v>
      </c>
      <c r="AC211" s="741" t="s">
        <v>1857</v>
      </c>
      <c r="AD211" s="266" t="s">
        <v>789</v>
      </c>
      <c r="AE211" s="1092">
        <f>_xlfn.SUMIFS(Административные!AE$25:AE$65,Административные!$F$25:$F$65,$F211,Административные!$G$25:$G$65,$G211)</f>
        <v>0</v>
      </c>
      <c r="AF211" s="1092">
        <f>_xlfn.SUMIFS(Административные!AF$25:AF$65,Административные!$F$25:$F$65,$F211,Административные!$G$25:$G$65,$G211)</f>
        <v>0</v>
      </c>
      <c r="AG211" s="1092">
        <f>_xlfn.SUMIFS(Административные!AG$25:AG$65,Административные!$F$25:$F$65,$F211,Административные!$G$25:$G$65,$G211)</f>
        <v>0</v>
      </c>
      <c r="AH211" s="1092">
        <f>AG211-AF211</f>
        <v>0</v>
      </c>
      <c r="AI211" s="1092">
        <f>_xlfn.SUMIFS(Административные!AH$25:AH$65,Административные!$F$25:$F$65,$F211,Административные!$G$25:$G$65,$G211)</f>
        <v>0</v>
      </c>
      <c r="AJ211" s="1092">
        <f>_xlfn.SUMIFS(Административные!AI$25:AI$65,Административные!$F$25:$F$65,$F211,Административные!$G$25:$G$65,$G211)</f>
        <v>0</v>
      </c>
      <c r="AK211" s="1093"/>
      <c r="AL211" s="1093"/>
      <c r="AM211" s="1093"/>
      <c r="AN211" s="1093"/>
      <c r="AO211" s="1093"/>
      <c r="AP211" s="1093"/>
      <c r="AQ211" s="1093"/>
      <c r="AR211" s="1093"/>
      <c r="AS211" s="1093"/>
      <c r="AT211" s="1092">
        <f>_xlfn.SUMIFS(Административные!AJ$25:AJ$65,Административные!$F$25:$F$65,$F211,Административные!$G$25:$G$65,$G211)</f>
        <v>0</v>
      </c>
      <c r="AU211" s="1093"/>
      <c r="AV211" s="1093"/>
      <c r="AW211" s="1093"/>
      <c r="AX211" s="1093"/>
      <c r="AY211" s="1093"/>
      <c r="AZ211" s="1093"/>
      <c r="BA211" s="1093"/>
      <c r="BB211" s="1093"/>
      <c r="BC211" s="1093"/>
      <c r="BD211" s="1092">
        <f>IF(AI211=0,0,(AT211-AI211)/AI211*100)</f>
        <v>0</v>
      </c>
      <c r="BE211" s="1093"/>
      <c r="BF211" s="1093"/>
      <c r="BG211" s="1093"/>
      <c r="BH211" s="1093"/>
      <c r="BI211" s="1093"/>
      <c r="BJ211" s="1093"/>
      <c r="BK211" s="1093"/>
      <c r="BL211" s="1093"/>
      <c r="BM211" s="1093"/>
      <c r="BN211" s="3618"/>
      <c r="BO211" s="3620" t="str">
        <f>IF(_xlfn.IFERROR(INDEX(Административные!$K$26:$L$65,MATCH($F211&amp;"4komm",Административные!$K$26:$K$65,0),2),"")=0,"",_xlfn.IFERROR(INDEX(Административные!$K$26:$L$65,MATCH($F211&amp;"4komm",Административные!$K$26:$K$65,0),2),""))</f>
        <v/>
      </c>
      <c r="BP211" s="3618"/>
      <c r="BQ211" s="1256"/>
      <c r="BR211" s="1256"/>
      <c r="BS211" s="1039" t="s">
        <v>1110</v>
      </c>
      <c r="BT211" s="1041"/>
      <c r="BU211" s="1041"/>
      <c r="BV211" s="956"/>
      <c r="BW211" s="956"/>
    </row>
    <row s="1624" customFormat="1" customHeight="1" ht="14.25">
      <c r="A212" s="1256"/>
      <c r="B212" s="955"/>
      <c r="C212" s="73"/>
      <c r="D212" s="73"/>
      <c r="E212" s="596">
        <v>15</v>
      </c>
      <c r="F212" s="50" cm="1" t="str">
        <f t="array" ref="F212:F212">OFFSET(E212,-1,1)</f>
        <v>1</v>
      </c>
      <c r="G212" s="824" t="s">
        <v>1111</v>
      </c>
      <c r="H212" s="833"/>
      <c r="I212" s="833" t="s">
        <v>1858</v>
      </c>
      <c r="J212" s="73"/>
      <c r="K212" s="344" t="s">
        <v>1858</v>
      </c>
      <c r="L212" s="957" t="s">
        <v>1093</v>
      </c>
      <c r="M212" s="73"/>
      <c r="N212" s="73"/>
      <c r="O212" s="73"/>
      <c r="P212" s="73"/>
      <c r="Q212" s="73"/>
      <c r="R212" s="73"/>
      <c r="S212" s="73"/>
      <c r="T212" s="438" cm="1" t="str">
        <f t="array" ref="T212:T212">T211</f>
        <v>true</v>
      </c>
      <c r="U212" s="73"/>
      <c r="V212" s="73"/>
      <c r="W212" s="73"/>
      <c r="X212" s="1541"/>
      <c r="Y212" s="1256"/>
      <c r="Z212" s="1494"/>
      <c r="AA212" s="1256"/>
      <c r="AB212" s="266" t="s">
        <v>1859</v>
      </c>
      <c r="AC212" s="741" t="s">
        <v>1860</v>
      </c>
      <c r="AD212" s="266" t="s">
        <v>789</v>
      </c>
      <c r="AE212" s="1092">
        <f>_xlfn.SUMIFS(Административные!AE$25:AE$65,Административные!$F$25:$F$65,$F212,Административные!$G$25:$G$65,$G212)</f>
        <v>0</v>
      </c>
      <c r="AF212" s="1092">
        <f>_xlfn.SUMIFS(Административные!AF$25:AF$65,Административные!$F$25:$F$65,$F212,Административные!$G$25:$G$65,$G212)</f>
        <v>0</v>
      </c>
      <c r="AG212" s="1092">
        <f>_xlfn.SUMIFS(Административные!AG$25:AG$65,Административные!$F$25:$F$65,$F212,Административные!$G$25:$G$65,$G212)</f>
        <v>0</v>
      </c>
      <c r="AH212" s="1092">
        <f>AG212-AF212</f>
        <v>0</v>
      </c>
      <c r="AI212" s="1092">
        <f>_xlfn.SUMIFS(Административные!AH$25:AH$65,Административные!$F$25:$F$65,$F212,Административные!$G$25:$G$65,$G212)</f>
        <v>0</v>
      </c>
      <c r="AJ212" s="1092">
        <f>_xlfn.SUMIFS(Административные!AI$25:AI$65,Административные!$F$25:$F$65,$F212,Административные!$G$25:$G$65,$G212)</f>
        <v>0</v>
      </c>
      <c r="AK212" s="1093"/>
      <c r="AL212" s="1093"/>
      <c r="AM212" s="1093"/>
      <c r="AN212" s="1093"/>
      <c r="AO212" s="1093"/>
      <c r="AP212" s="1093"/>
      <c r="AQ212" s="1093"/>
      <c r="AR212" s="1093"/>
      <c r="AS212" s="1093"/>
      <c r="AT212" s="1092">
        <f>_xlfn.SUMIFS(Административные!AJ$25:AJ$65,Административные!$F$25:$F$65,$F212,Административные!$G$25:$G$65,$G212)</f>
        <v>0</v>
      </c>
      <c r="AU212" s="1093"/>
      <c r="AV212" s="1093"/>
      <c r="AW212" s="1093"/>
      <c r="AX212" s="1093"/>
      <c r="AY212" s="1093"/>
      <c r="AZ212" s="1093"/>
      <c r="BA212" s="1093"/>
      <c r="BB212" s="1093"/>
      <c r="BC212" s="1093"/>
      <c r="BD212" s="1092">
        <f>IF(AI212=0,0,(AT212-AI212)/AI212*100)</f>
        <v>0</v>
      </c>
      <c r="BE212" s="1093"/>
      <c r="BF212" s="1093"/>
      <c r="BG212" s="1093"/>
      <c r="BH212" s="1093"/>
      <c r="BI212" s="1093"/>
      <c r="BJ212" s="1093"/>
      <c r="BK212" s="1093"/>
      <c r="BL212" s="1093"/>
      <c r="BM212" s="1093"/>
      <c r="BN212" s="3618"/>
      <c r="BO212" s="3620" t="str">
        <f>IF(_xlfn.IFERROR(INDEX(Административные!$K$26:$L$65,MATCH($F212&amp;"5komm",Административные!$K$26:$K$65,0),2),"")=0,"",_xlfn.IFERROR(INDEX(Административные!$K$26:$L$65,MATCH($F212&amp;"5komm",Административные!$K$26:$K$65,0),2),""))</f>
        <v/>
      </c>
      <c r="BP212" s="3618"/>
      <c r="BQ212" s="1256"/>
      <c r="BR212" s="1256"/>
      <c r="BS212" s="1039" t="s">
        <v>1657</v>
      </c>
      <c r="BT212" s="1041"/>
      <c r="BU212" s="1041"/>
      <c r="BV212" s="956"/>
      <c r="BW212" s="956"/>
    </row>
    <row s="1624" customFormat="1" customHeight="1" ht="14.25">
      <c r="A213" s="1256"/>
      <c r="B213" s="955"/>
      <c r="C213" s="73"/>
      <c r="D213" s="73"/>
      <c r="E213" s="596">
        <v>15</v>
      </c>
      <c r="F213" s="50" cm="1" t="str">
        <f t="array" ref="F213:F213">OFFSET(E213,-1,1)</f>
        <v>1</v>
      </c>
      <c r="G213" s="824" t="s">
        <v>1114</v>
      </c>
      <c r="H213" s="833"/>
      <c r="I213" s="833" t="s">
        <v>1861</v>
      </c>
      <c r="J213" s="73"/>
      <c r="K213" s="344" t="s">
        <v>1861</v>
      </c>
      <c r="L213" s="957" t="s">
        <v>1098</v>
      </c>
      <c r="M213" s="73"/>
      <c r="N213" s="73"/>
      <c r="O213" s="73"/>
      <c r="P213" s="73"/>
      <c r="Q213" s="73"/>
      <c r="R213" s="73"/>
      <c r="S213" s="73"/>
      <c r="T213" s="438" cm="1" t="str">
        <f t="array" ref="T213:T213">T212</f>
        <v>true</v>
      </c>
      <c r="U213" s="73"/>
      <c r="V213" s="73"/>
      <c r="W213" s="73"/>
      <c r="X213" s="1541"/>
      <c r="Y213" s="1256"/>
      <c r="Z213" s="1494"/>
      <c r="AA213" s="1256"/>
      <c r="AB213" s="266" t="s">
        <v>1862</v>
      </c>
      <c r="AC213" s="741" t="s">
        <v>1863</v>
      </c>
      <c r="AD213" s="266" t="s">
        <v>789</v>
      </c>
      <c r="AE213" s="1092">
        <f>_xlfn.SUMIFS(Административные!AE$25:AE$65,Административные!$F$25:$F$65,$F213,Административные!$G$25:$G$65,$G213)</f>
        <v>0</v>
      </c>
      <c r="AF213" s="1092">
        <f>_xlfn.SUMIFS(Административные!AF$25:AF$65,Административные!$F$25:$F$65,$F213,Административные!$G$25:$G$65,$G213)</f>
        <v>0</v>
      </c>
      <c r="AG213" s="1092">
        <f>_xlfn.SUMIFS(Административные!AG$25:AG$65,Административные!$F$25:$F$65,$F213,Административные!$G$25:$G$65,$G213)</f>
        <v>0</v>
      </c>
      <c r="AH213" s="1092">
        <f>AG213-AF213</f>
        <v>0</v>
      </c>
      <c r="AI213" s="1092">
        <f>_xlfn.SUMIFS(Административные!AH$25:AH$65,Административные!$F$25:$F$65,$F213,Административные!$G$25:$G$65,$G213)</f>
        <v>0</v>
      </c>
      <c r="AJ213" s="1092">
        <f>_xlfn.SUMIFS(Административные!AI$25:AI$65,Административные!$F$25:$F$65,$F213,Административные!$G$25:$G$65,$G213)</f>
        <v>0</v>
      </c>
      <c r="AK213" s="1093"/>
      <c r="AL213" s="1093"/>
      <c r="AM213" s="1093"/>
      <c r="AN213" s="1093"/>
      <c r="AO213" s="1093"/>
      <c r="AP213" s="1093"/>
      <c r="AQ213" s="1093"/>
      <c r="AR213" s="1093"/>
      <c r="AS213" s="1093"/>
      <c r="AT213" s="1092">
        <f>_xlfn.SUMIFS(Административные!AJ$25:AJ$65,Административные!$F$25:$F$65,$F213,Административные!$G$25:$G$65,$G213)</f>
        <v>0</v>
      </c>
      <c r="AU213" s="1093"/>
      <c r="AV213" s="1093"/>
      <c r="AW213" s="1093"/>
      <c r="AX213" s="1093"/>
      <c r="AY213" s="1093"/>
      <c r="AZ213" s="1093"/>
      <c r="BA213" s="1093"/>
      <c r="BB213" s="1093"/>
      <c r="BC213" s="1093"/>
      <c r="BD213" s="1092">
        <f>IF(AI213=0,0,(AT213-AI213)/AI213*100)</f>
        <v>0</v>
      </c>
      <c r="BE213" s="1093"/>
      <c r="BF213" s="1093"/>
      <c r="BG213" s="1093"/>
      <c r="BH213" s="1093"/>
      <c r="BI213" s="1093"/>
      <c r="BJ213" s="1093"/>
      <c r="BK213" s="1093"/>
      <c r="BL213" s="1093"/>
      <c r="BM213" s="1093"/>
      <c r="BN213" s="3618"/>
      <c r="BO213" s="3620" t="str">
        <f>IF(_xlfn.IFERROR(INDEX(Административные!$K$26:$L$65,MATCH($F213&amp;"6komm",Административные!$K$26:$K$65,0),2),"")=0,"",_xlfn.IFERROR(INDEX(Административные!$K$26:$L$65,MATCH($F213&amp;"6komm",Административные!$K$26:$K$65,0),2),""))</f>
        <v/>
      </c>
      <c r="BP213" s="3618"/>
      <c r="BQ213" s="1256"/>
      <c r="BR213" s="1256"/>
      <c r="BS213" s="1039" t="s">
        <v>1659</v>
      </c>
      <c r="BT213" s="1041"/>
      <c r="BU213" s="1041"/>
      <c r="BV213" s="956"/>
      <c r="BW213" s="956"/>
    </row>
    <row s="1624" customFormat="1" customHeight="1" ht="14.25">
      <c r="A214" s="1256"/>
      <c r="B214" s="955"/>
      <c r="C214" s="73"/>
      <c r="D214" s="73"/>
      <c r="E214" s="596">
        <v>15</v>
      </c>
      <c r="F214" s="50" cm="1" t="str">
        <f t="array" ref="F214:F214">OFFSET(E214,-1,1)</f>
        <v>1</v>
      </c>
      <c r="G214" s="824" t="s">
        <v>1116</v>
      </c>
      <c r="H214" s="833"/>
      <c r="I214" s="833" t="s">
        <v>1864</v>
      </c>
      <c r="J214" s="73"/>
      <c r="K214" s="344" t="s">
        <v>1864</v>
      </c>
      <c r="L214" s="957" t="s">
        <v>1660</v>
      </c>
      <c r="M214" s="73"/>
      <c r="N214" s="73"/>
      <c r="O214" s="73"/>
      <c r="P214" s="73"/>
      <c r="Q214" s="73"/>
      <c r="R214" s="73"/>
      <c r="S214" s="73"/>
      <c r="T214" s="438" cm="1" t="str">
        <f t="array" ref="T214:T214">T213</f>
        <v>true</v>
      </c>
      <c r="U214" s="73"/>
      <c r="V214" s="73"/>
      <c r="W214" s="73"/>
      <c r="X214" s="1541"/>
      <c r="Y214" s="1256"/>
      <c r="Z214" s="1494"/>
      <c r="AA214" s="1256"/>
      <c r="AB214" s="266" t="s">
        <v>1865</v>
      </c>
      <c r="AC214" s="744" t="s">
        <v>1662</v>
      </c>
      <c r="AD214" s="266" t="s">
        <v>789</v>
      </c>
      <c r="AE214" s="1092">
        <f>_xlfn.SUMIFS(Административные!AE$25:AE$65,Административные!$F$25:$F$65,$F214,Административные!$G$25:$G$65,$G214)</f>
        <v>0</v>
      </c>
      <c r="AF214" s="1092">
        <f>_xlfn.SUMIFS(Административные!AF$25:AF$65,Административные!$F$25:$F$65,$F214,Административные!$G$25:$G$65,$G214)</f>
        <v>0</v>
      </c>
      <c r="AG214" s="1092">
        <f>_xlfn.SUMIFS(Административные!AG$25:AG$65,Административные!$F$25:$F$65,$F214,Административные!$G$25:$G$65,$G214)</f>
        <v>0</v>
      </c>
      <c r="AH214" s="1092">
        <f>AG214-AF214</f>
        <v>0</v>
      </c>
      <c r="AI214" s="1092">
        <f>_xlfn.SUMIFS(Административные!AH$25:AH$65,Административные!$F$25:$F$65,$F214,Административные!$G$25:$G$65,$G214)</f>
        <v>0</v>
      </c>
      <c r="AJ214" s="1092">
        <f>_xlfn.SUMIFS(Административные!AI$25:AI$65,Административные!$F$25:$F$65,$F214,Административные!$G$25:$G$65,$G214)</f>
        <v>0</v>
      </c>
      <c r="AK214" s="1093"/>
      <c r="AL214" s="1093"/>
      <c r="AM214" s="1093"/>
      <c r="AN214" s="1093"/>
      <c r="AO214" s="1093"/>
      <c r="AP214" s="1093"/>
      <c r="AQ214" s="1093"/>
      <c r="AR214" s="1093"/>
      <c r="AS214" s="1093"/>
      <c r="AT214" s="1092">
        <f>_xlfn.SUMIFS(Административные!AJ$25:AJ$65,Административные!$F$25:$F$65,$F214,Административные!$G$25:$G$65,$G214)</f>
        <v>0</v>
      </c>
      <c r="AU214" s="1093"/>
      <c r="AV214" s="1093"/>
      <c r="AW214" s="1093"/>
      <c r="AX214" s="1093"/>
      <c r="AY214" s="1093"/>
      <c r="AZ214" s="1093"/>
      <c r="BA214" s="1093"/>
      <c r="BB214" s="1093"/>
      <c r="BC214" s="1093"/>
      <c r="BD214" s="1092">
        <f>IF(AI214=0,0,(AT214-AI214)/AI214*100)</f>
        <v>0</v>
      </c>
      <c r="BE214" s="1093"/>
      <c r="BF214" s="1093"/>
      <c r="BG214" s="1093"/>
      <c r="BH214" s="1093"/>
      <c r="BI214" s="1093"/>
      <c r="BJ214" s="1093"/>
      <c r="BK214" s="1093"/>
      <c r="BL214" s="1093"/>
      <c r="BM214" s="1093"/>
      <c r="BN214" s="3618"/>
      <c r="BO214" s="3620" t="str">
        <f>IF(_xlfn.IFERROR(INDEX(Административные!$K$26:$L$65,MATCH($F214&amp;"7komm",Административные!$K$26:$K$65,0),2),"")=0,"",_xlfn.IFERROR(INDEX(Административные!$K$26:$L$65,MATCH($F214&amp;"7komm",Административные!$K$26:$K$65,0),2),""))</f>
        <v/>
      </c>
      <c r="BP214" s="3618"/>
      <c r="BQ214" s="1256"/>
      <c r="BR214" s="1256"/>
      <c r="BS214" s="1039" t="s">
        <v>1663</v>
      </c>
      <c r="BT214" s="1041"/>
      <c r="BU214" s="1041"/>
      <c r="BV214" s="956"/>
      <c r="BW214" s="956"/>
    </row>
    <row s="1624" customFormat="1" customHeight="1" ht="14.25">
      <c r="A215" s="1256"/>
      <c r="B215" s="955"/>
      <c r="C215" s="73"/>
      <c r="D215" s="73"/>
      <c r="E215" s="596">
        <v>15</v>
      </c>
      <c r="F215" s="50" cm="1" t="str">
        <f t="array" ref="F215:F215">OFFSET(E215,-1,1)</f>
        <v>1</v>
      </c>
      <c r="G215" s="824" t="s">
        <v>1119</v>
      </c>
      <c r="H215" s="833"/>
      <c r="I215" s="833" t="s">
        <v>1866</v>
      </c>
      <c r="J215" s="73"/>
      <c r="K215" s="344" t="s">
        <v>1866</v>
      </c>
      <c r="L215" s="957" t="s">
        <v>1664</v>
      </c>
      <c r="M215" s="73"/>
      <c r="N215" s="73"/>
      <c r="O215" s="73"/>
      <c r="P215" s="73"/>
      <c r="Q215" s="73"/>
      <c r="R215" s="73"/>
      <c r="S215" s="73"/>
      <c r="T215" s="438" cm="1" t="str">
        <f t="array" ref="T215:T215">T214</f>
        <v>true</v>
      </c>
      <c r="U215" s="73"/>
      <c r="V215" s="73"/>
      <c r="W215" s="73"/>
      <c r="X215" s="1541"/>
      <c r="Y215" s="1256"/>
      <c r="Z215" s="1494"/>
      <c r="AA215" s="1256"/>
      <c r="AB215" s="266" t="s">
        <v>1867</v>
      </c>
      <c r="AC215" s="744" t="s">
        <v>1120</v>
      </c>
      <c r="AD215" s="266" t="s">
        <v>789</v>
      </c>
      <c r="AE215" s="1092">
        <f>_xlfn.SUMIFS(Административные!AE$25:AE$65,Административные!$F$25:$F$65,$F215,Административные!$G$25:$G$65,$G215)</f>
        <v>0</v>
      </c>
      <c r="AF215" s="1092">
        <f>_xlfn.SUMIFS(Административные!AF$25:AF$65,Административные!$F$25:$F$65,$F215,Административные!$G$25:$G$65,$G215)</f>
        <v>0</v>
      </c>
      <c r="AG215" s="1092">
        <f>_xlfn.SUMIFS(Административные!AG$25:AG$65,Административные!$F$25:$F$65,$F215,Административные!$G$25:$G$65,$G215)</f>
        <v>0</v>
      </c>
      <c r="AH215" s="1092">
        <f>AG215-AF215</f>
        <v>0</v>
      </c>
      <c r="AI215" s="1092">
        <f>_xlfn.SUMIFS(Административные!AH$25:AH$65,Административные!$F$25:$F$65,$F215,Административные!$G$25:$G$65,$G215)</f>
        <v>0</v>
      </c>
      <c r="AJ215" s="1092">
        <f>_xlfn.SUMIFS(Административные!AI$25:AI$65,Административные!$F$25:$F$65,$F215,Административные!$G$25:$G$65,$G215)</f>
        <v>0</v>
      </c>
      <c r="AK215" s="1093"/>
      <c r="AL215" s="1093"/>
      <c r="AM215" s="1093"/>
      <c r="AN215" s="1093"/>
      <c r="AO215" s="1093"/>
      <c r="AP215" s="1093"/>
      <c r="AQ215" s="1093"/>
      <c r="AR215" s="1093"/>
      <c r="AS215" s="1093"/>
      <c r="AT215" s="1092">
        <f>_xlfn.SUMIFS(Административные!AJ$25:AJ$65,Административные!$F$25:$F$65,$F215,Административные!$G$25:$G$65,$G215)</f>
        <v>0</v>
      </c>
      <c r="AU215" s="1093"/>
      <c r="AV215" s="1093"/>
      <c r="AW215" s="1093"/>
      <c r="AX215" s="1093"/>
      <c r="AY215" s="1093"/>
      <c r="AZ215" s="1093"/>
      <c r="BA215" s="1093"/>
      <c r="BB215" s="1093"/>
      <c r="BC215" s="1093"/>
      <c r="BD215" s="1092">
        <f>IF(AI215=0,0,(AT215-AI215)/AI215*100)</f>
        <v>0</v>
      </c>
      <c r="BE215" s="1093"/>
      <c r="BF215" s="1093"/>
      <c r="BG215" s="1093"/>
      <c r="BH215" s="1093"/>
      <c r="BI215" s="1093"/>
      <c r="BJ215" s="1093"/>
      <c r="BK215" s="1093"/>
      <c r="BL215" s="1093"/>
      <c r="BM215" s="1093"/>
      <c r="BN215" s="3618"/>
      <c r="BO215" s="3620" t="str">
        <f>IF(_xlfn.IFERROR(INDEX(Административные!$K$26:$L$65,MATCH($F215&amp;"8komm",Административные!$K$26:$K$65,0),2),"")=0,"",_xlfn.IFERROR(INDEX(Административные!$K$26:$L$65,MATCH($F215&amp;"8komm",Административные!$K$26:$K$65,0),2),""))</f>
        <v/>
      </c>
      <c r="BP215" s="3618"/>
      <c r="BQ215" s="1256"/>
      <c r="BR215" s="1256"/>
      <c r="BS215" s="1039" t="s">
        <v>1666</v>
      </c>
      <c r="BT215" s="1041"/>
      <c r="BU215" s="1041"/>
      <c r="BV215" s="956"/>
      <c r="BW215" s="956"/>
    </row>
    <row s="1624" customFormat="1" customHeight="1" ht="14.25">
      <c r="A216" s="1256"/>
      <c r="B216" s="955"/>
      <c r="C216" s="73"/>
      <c r="D216" s="73"/>
      <c r="E216" s="596">
        <v>15</v>
      </c>
      <c r="F216" s="50" cm="1" t="str">
        <f t="array" ref="F216:F216">OFFSET(E216,-1,1)</f>
        <v>1</v>
      </c>
      <c r="G216" s="73" t="s">
        <v>1122</v>
      </c>
      <c r="H216" s="833"/>
      <c r="I216" s="833" t="s">
        <v>1868</v>
      </c>
      <c r="J216" s="73"/>
      <c r="K216" s="344" t="s">
        <v>1868</v>
      </c>
      <c r="L216" s="957" t="s">
        <v>1667</v>
      </c>
      <c r="M216" s="73"/>
      <c r="N216" s="73"/>
      <c r="O216" s="73"/>
      <c r="P216" s="73"/>
      <c r="Q216" s="73"/>
      <c r="R216" s="73"/>
      <c r="S216" s="73"/>
      <c r="T216" s="438" cm="1" t="str">
        <f t="array" ref="T216:T216">T215</f>
        <v>true</v>
      </c>
      <c r="U216" s="73"/>
      <c r="V216" s="73"/>
      <c r="W216" s="73"/>
      <c r="X216" s="1541"/>
      <c r="Y216" s="1256"/>
      <c r="Z216" s="1494"/>
      <c r="AA216" s="1256"/>
      <c r="AB216" s="266" t="s">
        <v>1869</v>
      </c>
      <c r="AC216" s="744" t="s">
        <v>1123</v>
      </c>
      <c r="AD216" s="266" t="s">
        <v>789</v>
      </c>
      <c r="AE216" s="1092">
        <f>_xlfn.SUMIFS(Административные!AE$25:AE$65,Административные!$F$25:$F$65,$F216,Административные!$G$25:$G$65,$G216)</f>
        <v>0</v>
      </c>
      <c r="AF216" s="1092">
        <f>_xlfn.SUMIFS(Административные!AF$25:AF$65,Административные!$F$25:$F$65,$F216,Административные!$G$25:$G$65,$G216)</f>
        <v>0</v>
      </c>
      <c r="AG216" s="1092">
        <f>_xlfn.SUMIFS(Административные!AG$25:AG$65,Административные!$F$25:$F$65,$F216,Административные!$G$25:$G$65,$G216)</f>
        <v>0</v>
      </c>
      <c r="AH216" s="1092">
        <f>AG216-AF216</f>
        <v>0</v>
      </c>
      <c r="AI216" s="1092">
        <f>_xlfn.SUMIFS(Административные!AH$25:AH$65,Административные!$F$25:$F$65,$F216,Административные!$G$25:$G$65,$G216)</f>
        <v>0</v>
      </c>
      <c r="AJ216" s="1094">
        <f>_xlfn.SUMIFS(Административные!AI$25:AI$65,Административные!$F$25:$F$65,$F216,Административные!$G$25:$G$65,$G216)</f>
        <v>0</v>
      </c>
      <c r="AK216" s="1093"/>
      <c r="AL216" s="1093"/>
      <c r="AM216" s="1093"/>
      <c r="AN216" s="1093"/>
      <c r="AO216" s="1093"/>
      <c r="AP216" s="1093"/>
      <c r="AQ216" s="1093"/>
      <c r="AR216" s="1093"/>
      <c r="AS216" s="1093"/>
      <c r="AT216" s="1094">
        <f>_xlfn.SUMIFS(Административные!AJ$25:AJ$65,Административные!$F$25:$F$65,$F216,Административные!$G$25:$G$65,$G216)</f>
        <v>0</v>
      </c>
      <c r="AU216" s="1093"/>
      <c r="AV216" s="1093"/>
      <c r="AW216" s="1093"/>
      <c r="AX216" s="1093"/>
      <c r="AY216" s="1093"/>
      <c r="AZ216" s="1093"/>
      <c r="BA216" s="1093"/>
      <c r="BB216" s="1093"/>
      <c r="BC216" s="1093"/>
      <c r="BD216" s="1092">
        <f>IF(AI216=0,0,(AT216-AI216)/AI216*100)</f>
        <v>0</v>
      </c>
      <c r="BE216" s="1093"/>
      <c r="BF216" s="1093"/>
      <c r="BG216" s="1093"/>
      <c r="BH216" s="1093"/>
      <c r="BI216" s="1093"/>
      <c r="BJ216" s="1093"/>
      <c r="BK216" s="1093"/>
      <c r="BL216" s="1093"/>
      <c r="BM216" s="1093"/>
      <c r="BN216" s="3618"/>
      <c r="BO216" s="3620" t="str">
        <f>IF(_xlfn.IFERROR(INDEX(Административные!$K$26:$L$65,MATCH($F216&amp;"9komm",Административные!$K$26:$K$65,0),2),"")=0,"",_xlfn.IFERROR(INDEX(Административные!$K$26:$L$65,MATCH($F216&amp;"9komm",Административные!$K$26:$K$65,0),2),""))</f>
        <v/>
      </c>
      <c r="BP216" s="3618"/>
      <c r="BQ216" s="1256"/>
      <c r="BR216" s="1256"/>
      <c r="BS216" s="1039" t="s">
        <v>1669</v>
      </c>
      <c r="BT216" s="1041"/>
      <c r="BU216" s="1041"/>
      <c r="BV216" s="956"/>
      <c r="BW216" s="956"/>
    </row>
    <row s="1624" customFormat="1" customHeight="1" ht="21.75" hidden="1">
      <c r="A217" s="1256"/>
      <c r="B217" s="404">
        <f>STATUS_GO="да"</f>
        <v>0</v>
      </c>
      <c r="C217" s="73"/>
      <c r="D217" s="73"/>
      <c r="E217" s="596">
        <v>22.5</v>
      </c>
      <c r="F217" s="50" cm="1" t="str">
        <f t="array" ref="F217:F217">OFFSET(E217,-1,1)</f>
        <v>1</v>
      </c>
      <c r="G217" s="73"/>
      <c r="H217" s="833"/>
      <c r="I217" s="833" t="s">
        <v>856</v>
      </c>
      <c r="J217" s="73"/>
      <c r="K217" s="344" t="s">
        <v>856</v>
      </c>
      <c r="L217" s="957" t="s">
        <v>325</v>
      </c>
      <c r="M217" s="73"/>
      <c r="N217" s="73"/>
      <c r="O217" s="73"/>
      <c r="P217" s="73"/>
      <c r="Q217" s="73"/>
      <c r="R217" s="73"/>
      <c r="S217" s="73"/>
      <c r="T217" s="438" cm="1" t="str">
        <f t="array" ref="T217:T217">T216</f>
        <v>true</v>
      </c>
      <c r="U217" s="73"/>
      <c r="V217" s="73"/>
      <c r="W217" s="73"/>
      <c r="X217" s="1541"/>
      <c r="Y217" s="1256"/>
      <c r="Z217" s="1494"/>
      <c r="AA217" s="1256"/>
      <c r="AB217" s="266" t="s">
        <v>857</v>
      </c>
      <c r="AC217" s="738" t="s">
        <v>1870</v>
      </c>
      <c r="AD217" s="266" t="s">
        <v>789</v>
      </c>
      <c r="AE217" s="1092">
        <f>_xlfn.SUMIFS('Сбытовые расходы ГО'!AE$25:AE$51,'Сбытовые расходы ГО'!$F$25:$F$51,$F217,'Сбытовые расходы ГО'!$G$25:$G$51,"L0")-_xlfn.SUMIFS('Сбытовые расходы ГО'!AE$25:AE$51,'Сбытовые расходы ГО'!$F$25:$F$51,$F217,'Сбытовые расходы ГО'!$G$25:$G$51,"L1")</f>
        <v>0</v>
      </c>
      <c r="AF217" s="1092">
        <f>_xlfn.SUMIFS('Сбытовые расходы ГО'!AF$25:AF$51,'Сбытовые расходы ГО'!$F$25:$F$51,$F217,'Сбытовые расходы ГО'!$G$25:$G$51,"L0")-_xlfn.SUMIFS('Сбытовые расходы ГО'!AF$25:AF$51,'Сбытовые расходы ГО'!$F$25:$F$51,$F217,'Сбытовые расходы ГО'!$G$25:$G$51,"L1")</f>
        <v>0</v>
      </c>
      <c r="AG217" s="1092">
        <f>_xlfn.SUMIFS('Сбытовые расходы ГО'!AG$25:AG$51,'Сбытовые расходы ГО'!$F$25:$F$51,$F217,'Сбытовые расходы ГО'!$G$25:$G$51,"L0")-_xlfn.SUMIFS('Сбытовые расходы ГО'!AG$25:AG$51,'Сбытовые расходы ГО'!$F$25:$F$51,$F217,'Сбытовые расходы ГО'!$G$25:$G$51,"L1")</f>
        <v>0</v>
      </c>
      <c r="AH217" s="1092">
        <f>AG217-AF217</f>
        <v>0</v>
      </c>
      <c r="AI217" s="1092">
        <f>_xlfn.SUMIFS('Сбытовые расходы ГО'!AH$25:AH$51,'Сбытовые расходы ГО'!$F$25:$F$51,$F217,'Сбытовые расходы ГО'!$G$25:$G$51,"L0")-_xlfn.SUMIFS('Сбытовые расходы ГО'!AH$25:AH$51,'Сбытовые расходы ГО'!$F$25:$F$51,$F217,'Сбытовые расходы ГО'!$G$25:$G$51,"L1")</f>
        <v>0</v>
      </c>
      <c r="AJ217" s="1092">
        <f>_xlfn.SUMIFS('Сбытовые расходы ГО'!AI$25:AI$51,'Сбытовые расходы ГО'!$F$25:$F$51,$F217,'Сбытовые расходы ГО'!$G$25:$G$51,"L0")-_xlfn.SUMIFS('Сбытовые расходы ГО'!AI$25:AI$51,'Сбытовые расходы ГО'!$F$25:$F$51,$F217,'Сбытовые расходы ГО'!$G$25:$G$51,"L1")</f>
        <v>0</v>
      </c>
      <c r="AK217" s="1093"/>
      <c r="AL217" s="1093"/>
      <c r="AM217" s="1093"/>
      <c r="AN217" s="1093"/>
      <c r="AO217" s="1093"/>
      <c r="AP217" s="1093"/>
      <c r="AQ217" s="1093"/>
      <c r="AR217" s="1093"/>
      <c r="AS217" s="1093"/>
      <c r="AT217" s="1092">
        <f>_xlfn.SUMIFS('Сбытовые расходы ГО'!AJ$25:AJ$51,'Сбытовые расходы ГО'!$F$25:$F$51,$F217,'Сбытовые расходы ГО'!$G$25:$G$51,"L0")-_xlfn.SUMIFS('Сбытовые расходы ГО'!AJ$25:AJ$51,'Сбытовые расходы ГО'!$F$25:$F$51,$F217,'Сбытовые расходы ГО'!$G$25:$G$51,"L1")</f>
        <v>0</v>
      </c>
      <c r="AU217" s="1093"/>
      <c r="AV217" s="1093"/>
      <c r="AW217" s="1093"/>
      <c r="AX217" s="1093"/>
      <c r="AY217" s="1093"/>
      <c r="AZ217" s="1093"/>
      <c r="BA217" s="1093"/>
      <c r="BB217" s="1093"/>
      <c r="BC217" s="1093"/>
      <c r="BD217" s="1092">
        <f>IF(AI217=0,0,(AT217-AI217)/AI217*100)</f>
        <v>0</v>
      </c>
      <c r="BE217" s="1093"/>
      <c r="BF217" s="1093"/>
      <c r="BG217" s="1093"/>
      <c r="BH217" s="1093"/>
      <c r="BI217" s="1093"/>
      <c r="BJ217" s="1093"/>
      <c r="BK217" s="1093"/>
      <c r="BL217" s="1093"/>
      <c r="BM217" s="1093"/>
      <c r="BN217" s="1216"/>
      <c r="BO217" s="1216"/>
      <c r="BP217" s="1216"/>
      <c r="BQ217" s="1256"/>
      <c r="BR217" s="1256"/>
      <c r="BS217" s="1040" t="s">
        <v>1671</v>
      </c>
      <c r="BT217" s="1041"/>
      <c r="BU217" s="1041"/>
      <c r="BV217" s="956"/>
      <c r="BW217" s="956"/>
    </row>
    <row s="1624" customFormat="1" customHeight="1" ht="14.25">
      <c r="A218" s="1256"/>
      <c r="B218" s="955"/>
      <c r="C218" s="73"/>
      <c r="D218" s="73"/>
      <c r="E218" s="596">
        <v>15</v>
      </c>
      <c r="F218" s="50" cm="1" t="str">
        <f t="array" ref="F218:F218">OFFSET(E218,-1,1)</f>
        <v>1</v>
      </c>
      <c r="G218" s="73"/>
      <c r="H218" s="833"/>
      <c r="I218" s="833" t="s">
        <v>1609</v>
      </c>
      <c r="J218" s="73"/>
      <c r="K218" s="344" t="s">
        <v>1609</v>
      </c>
      <c r="L218" s="957"/>
      <c r="M218" s="73"/>
      <c r="N218" s="73"/>
      <c r="O218" s="73"/>
      <c r="P218" s="73"/>
      <c r="Q218" s="73"/>
      <c r="R218" s="73"/>
      <c r="S218" s="73"/>
      <c r="T218" s="438" cm="1" t="str">
        <f t="array" ref="T218:T218">T217</f>
        <v>true</v>
      </c>
      <c r="U218" s="73"/>
      <c r="V218" s="73"/>
      <c r="W218" s="73"/>
      <c r="X218" s="1541"/>
      <c r="Y218" s="1256"/>
      <c r="Z218" s="1494"/>
      <c r="AA218" s="1256"/>
      <c r="AB218" s="266" t="s">
        <v>1610</v>
      </c>
      <c r="AC218" s="738" t="s">
        <v>1871</v>
      </c>
      <c r="AD218" s="266" t="s">
        <v>789</v>
      </c>
      <c r="AE218" s="3564"/>
      <c r="AF218" s="3564"/>
      <c r="AG218" s="3564"/>
      <c r="AH218" s="1092">
        <f>AG218-AF218</f>
        <v>0</v>
      </c>
      <c r="AI218" s="3564"/>
      <c r="AJ218" s="3564"/>
      <c r="AK218" s="1093"/>
      <c r="AL218" s="1093"/>
      <c r="AM218" s="1093"/>
      <c r="AN218" s="1093"/>
      <c r="AO218" s="1093"/>
      <c r="AP218" s="1093"/>
      <c r="AQ218" s="1093"/>
      <c r="AR218" s="1093"/>
      <c r="AS218" s="1093"/>
      <c r="AT218" s="3564"/>
      <c r="AU218" s="1093"/>
      <c r="AV218" s="1093"/>
      <c r="AW218" s="1093"/>
      <c r="AX218" s="1093"/>
      <c r="AY218" s="1093"/>
      <c r="AZ218" s="1093"/>
      <c r="BA218" s="1093"/>
      <c r="BB218" s="1093"/>
      <c r="BC218" s="1093"/>
      <c r="BD218" s="1092">
        <f>IF(AI218=0,0,(AT218-AI218)/AI218*100)</f>
        <v>0</v>
      </c>
      <c r="BE218" s="1093"/>
      <c r="BF218" s="1093"/>
      <c r="BG218" s="1093"/>
      <c r="BH218" s="1093"/>
      <c r="BI218" s="1093"/>
      <c r="BJ218" s="1093"/>
      <c r="BK218" s="1093"/>
      <c r="BL218" s="1093"/>
      <c r="BM218" s="1093"/>
      <c r="BN218" s="3618"/>
      <c r="BO218" s="3618"/>
      <c r="BP218" s="3618"/>
      <c r="BQ218" s="1256"/>
      <c r="BR218" s="1256"/>
      <c r="BS218" s="1041" t="s">
        <v>1872</v>
      </c>
      <c r="BT218" s="1041"/>
      <c r="BU218" s="1041"/>
      <c r="BV218" s="956"/>
      <c r="BW218" s="956"/>
    </row>
    <row s="3623" customFormat="1" customHeight="1" ht="20.25" hidden="1">
      <c r="A219" s="676"/>
      <c r="B219" s="407"/>
      <c r="C219" s="75"/>
      <c r="D219" s="75"/>
      <c r="E219" s="802">
        <v>21</v>
      </c>
      <c r="F219" s="50" cm="1" t="str">
        <f t="array" ref="F219:F219">OFFSET(E219,-1,1)</f>
        <v>1</v>
      </c>
      <c r="G219" s="75"/>
      <c r="H219" s="833"/>
      <c r="I219" s="833" t="s">
        <v>1613</v>
      </c>
      <c r="J219" s="75"/>
      <c r="K219" s="344" t="s">
        <v>1613</v>
      </c>
      <c r="L219" s="962"/>
      <c r="M219" s="75"/>
      <c r="N219" s="75"/>
      <c r="O219" s="75"/>
      <c r="P219" s="75"/>
      <c r="Q219" s="75"/>
      <c r="R219" s="75"/>
      <c r="S219" s="75"/>
      <c r="T219" s="438">
        <f>AND(F219&gt;0,method_reg="Метод индексации")</f>
        <v>0</v>
      </c>
      <c r="U219" s="75"/>
      <c r="V219" s="75"/>
      <c r="W219" s="75"/>
      <c r="X219" s="1541"/>
      <c r="Y219" s="676"/>
      <c r="Z219" s="1494"/>
      <c r="AA219" s="676"/>
      <c r="AB219" s="177" t="s">
        <v>1614</v>
      </c>
      <c r="AC219" s="327" t="s">
        <v>1873</v>
      </c>
      <c r="AD219" s="177" t="s">
        <v>789</v>
      </c>
      <c r="AE219" s="179">
        <f>SUM(AE220:AE221)</f>
        <v>0</v>
      </c>
      <c r="AF219" s="179">
        <f>SUM(AF220:AF221)</f>
        <v>0</v>
      </c>
      <c r="AG219" s="179">
        <f>SUM(AG220:AG221)</f>
        <v>0</v>
      </c>
      <c r="AH219" s="754">
        <f>AG219-AF219</f>
        <v>0</v>
      </c>
      <c r="AI219" s="179">
        <f>SUM(AI220:AI221)</f>
        <v>0</v>
      </c>
      <c r="AJ219" s="179">
        <f>SUM(AJ220:AJ221)</f>
        <v>0</v>
      </c>
      <c r="AK219" s="182"/>
      <c r="AL219" s="182"/>
      <c r="AM219" s="182"/>
      <c r="AN219" s="182"/>
      <c r="AO219" s="182"/>
      <c r="AP219" s="182"/>
      <c r="AQ219" s="182"/>
      <c r="AR219" s="182"/>
      <c r="AS219" s="182"/>
      <c r="AT219" s="179">
        <f>SUM(AT220:AT221)</f>
        <v>0</v>
      </c>
      <c r="AU219" s="182"/>
      <c r="AV219" s="182"/>
      <c r="AW219" s="182"/>
      <c r="AX219" s="182"/>
      <c r="AY219" s="182"/>
      <c r="AZ219" s="182"/>
      <c r="BA219" s="182"/>
      <c r="BB219" s="182"/>
      <c r="BC219" s="182"/>
      <c r="BD219" s="754">
        <f>IF(AI219=0,0,(AT219-AI219)/AI219*100)</f>
        <v>0</v>
      </c>
      <c r="BE219" s="182"/>
      <c r="BF219" s="182"/>
      <c r="BG219" s="182"/>
      <c r="BH219" s="182"/>
      <c r="BI219" s="182"/>
      <c r="BJ219" s="182"/>
      <c r="BK219" s="182"/>
      <c r="BL219" s="182"/>
      <c r="BM219" s="182"/>
      <c r="BN219" s="1218"/>
      <c r="BO219" s="1218"/>
      <c r="BP219" s="1218"/>
      <c r="BQ219" s="676"/>
      <c r="BR219" s="676"/>
      <c r="BS219" s="1047" t="s">
        <v>1874</v>
      </c>
      <c r="BT219" s="1047"/>
      <c r="BU219" s="1047"/>
      <c r="BV219" s="683"/>
      <c r="BW219" s="683"/>
    </row>
    <row s="1624" customFormat="1" customHeight="1" ht="14.25" hidden="1">
      <c r="A220" s="1256"/>
      <c r="B220" s="404">
        <f>method_reg="Метод индексации"</f>
        <v>0</v>
      </c>
      <c r="C220" s="73"/>
      <c r="D220" s="73"/>
      <c r="E220" s="596">
        <v>15</v>
      </c>
      <c r="F220" s="50" cm="1" t="str">
        <f t="array" ref="F220:F220">OFFSET(E220,-1,1)</f>
        <v>1</v>
      </c>
      <c r="G220" s="73"/>
      <c r="H220" s="73"/>
      <c r="I220" s="833" t="s">
        <v>1613</v>
      </c>
      <c r="J220" s="73" cm="1" t="str">
        <f t="array" ref="J220:J220">AC220</f>
        <v>0</v>
      </c>
      <c r="K220" s="344" t="s">
        <v>1613</v>
      </c>
      <c r="L220" s="957"/>
      <c r="M220" s="73"/>
      <c r="N220" s="73"/>
      <c r="O220" s="73"/>
      <c r="P220" s="73"/>
      <c r="Q220" s="73"/>
      <c r="R220" s="73"/>
      <c r="S220" s="73"/>
      <c r="T220" s="438">
        <f>AND(F220&gt;0,Y220&gt;0)</f>
        <v>0</v>
      </c>
      <c r="U220" s="73"/>
      <c r="V220" s="73"/>
      <c r="W220" s="73" t="s">
        <v>172</v>
      </c>
      <c r="X220" s="1541"/>
      <c r="Y220" s="124">
        <v>0</v>
      </c>
      <c r="Z220" s="1494"/>
      <c r="AA220" s="392" t="s">
        <v>173</v>
      </c>
      <c r="AB220" s="266" t="str">
        <f>"1.7."&amp;Y220</f>
        <v>1.7.0</v>
      </c>
      <c r="AC220" s="1221"/>
      <c r="AD220" s="266" t="s">
        <v>789</v>
      </c>
      <c r="AE220" s="1219"/>
      <c r="AF220" s="1219"/>
      <c r="AG220" s="1219"/>
      <c r="AH220" s="1092">
        <f>AG220-AF220</f>
        <v>0</v>
      </c>
      <c r="AI220" s="1219"/>
      <c r="AJ220" s="3564"/>
      <c r="AK220" s="1093"/>
      <c r="AL220" s="1093"/>
      <c r="AM220" s="1093"/>
      <c r="AN220" s="1093"/>
      <c r="AO220" s="1093"/>
      <c r="AP220" s="1093"/>
      <c r="AQ220" s="1093"/>
      <c r="AR220" s="1093"/>
      <c r="AS220" s="1093"/>
      <c r="AT220" s="3564"/>
      <c r="AU220" s="1093"/>
      <c r="AV220" s="1093"/>
      <c r="AW220" s="1093"/>
      <c r="AX220" s="1093"/>
      <c r="AY220" s="1093"/>
      <c r="AZ220" s="1093"/>
      <c r="BA220" s="1093"/>
      <c r="BB220" s="1093"/>
      <c r="BC220" s="1093"/>
      <c r="BD220" s="1092">
        <f>IF(AI220=0,0,(AT220-AI220)/AI220*100)</f>
        <v>0</v>
      </c>
      <c r="BE220" s="1093"/>
      <c r="BF220" s="1093"/>
      <c r="BG220" s="1093"/>
      <c r="BH220" s="1093"/>
      <c r="BI220" s="1093"/>
      <c r="BJ220" s="1093"/>
      <c r="BK220" s="1093"/>
      <c r="BL220" s="1093"/>
      <c r="BM220" s="1093"/>
      <c r="BN220" s="1216"/>
      <c r="BO220" s="1216"/>
      <c r="BP220" s="1216"/>
      <c r="BQ220" s="1256"/>
      <c r="BR220" s="1256"/>
      <c r="BS220" s="1041" t="s">
        <v>1874</v>
      </c>
      <c r="BT220" s="1041" t="s">
        <v>1875</v>
      </c>
      <c r="BU220" s="1041" cm="1" t="str">
        <f t="array" ref="BU220:BU220">AC220</f>
        <v>0</v>
      </c>
      <c r="BV220" s="956"/>
      <c r="BW220" s="679" t="b">
        <v>1</v>
      </c>
    </row>
    <row s="1624" customFormat="1" customHeight="1" ht="14.25" hidden="1">
      <c r="A221" s="1256"/>
      <c r="B221" s="404" cm="1" t="str">
        <f t="array" ref="B221:B221">B220</f>
        <v>false</v>
      </c>
      <c r="C221" s="73"/>
      <c r="D221" s="73"/>
      <c r="E221" s="596">
        <v>15</v>
      </c>
      <c r="F221" s="50" cm="1" t="str">
        <f t="array" ref="F221:F221">OFFSET(E221,-1,1)</f>
        <v>1</v>
      </c>
      <c r="G221" s="453"/>
      <c r="H221" s="73"/>
      <c r="I221" s="73"/>
      <c r="J221" s="73" t="s">
        <v>1876</v>
      </c>
      <c r="K221" s="1256"/>
      <c r="L221" s="957"/>
      <c r="M221" s="73"/>
      <c r="N221" s="73"/>
      <c r="O221" s="73"/>
      <c r="P221" s="73"/>
      <c r="Q221" s="73"/>
      <c r="R221" s="73"/>
      <c r="S221" s="73"/>
      <c r="T221" s="438">
        <f>F221&gt;0</f>
        <v>1</v>
      </c>
      <c r="U221" s="73"/>
      <c r="V221" s="73"/>
      <c r="W221" s="805" t="s">
        <v>388</v>
      </c>
      <c r="X221" s="1541"/>
      <c r="Y221" s="1256"/>
      <c r="Z221" s="1494"/>
      <c r="AA221" s="1256"/>
      <c r="AB221" s="850"/>
      <c r="AC221" s="226" t="s">
        <v>176</v>
      </c>
      <c r="AD221" s="752"/>
      <c r="AE221" s="752"/>
      <c r="AF221" s="752"/>
      <c r="AG221" s="752"/>
      <c r="AH221" s="752"/>
      <c r="AI221" s="752"/>
      <c r="AJ221" s="752"/>
      <c r="AK221" s="752"/>
      <c r="AL221" s="752"/>
      <c r="AM221" s="752"/>
      <c r="AN221" s="752"/>
      <c r="AO221" s="752"/>
      <c r="AP221" s="752"/>
      <c r="AQ221" s="752"/>
      <c r="AR221" s="752"/>
      <c r="AS221" s="752"/>
      <c r="AT221" s="752"/>
      <c r="AU221" s="752"/>
      <c r="AV221" s="752"/>
      <c r="AW221" s="752"/>
      <c r="AX221" s="752"/>
      <c r="AY221" s="752"/>
      <c r="AZ221" s="752"/>
      <c r="BA221" s="752"/>
      <c r="BB221" s="752"/>
      <c r="BC221" s="752"/>
      <c r="BD221" s="752"/>
      <c r="BE221" s="752"/>
      <c r="BF221" s="752"/>
      <c r="BG221" s="752"/>
      <c r="BH221" s="752"/>
      <c r="BI221" s="752"/>
      <c r="BJ221" s="752"/>
      <c r="BK221" s="752"/>
      <c r="BL221" s="752"/>
      <c r="BM221" s="752"/>
      <c r="BN221" s="752"/>
      <c r="BO221" s="752"/>
      <c r="BP221" s="753"/>
      <c r="BQ221" s="1256"/>
      <c r="BR221" s="1256"/>
      <c r="BS221" s="1041"/>
      <c r="BT221" s="1041"/>
      <c r="BU221" s="1041"/>
      <c r="BV221" s="679" t="s">
        <v>1875</v>
      </c>
      <c r="BW221" s="956"/>
    </row>
    <row s="3665" customFormat="1" customHeight="1" ht="20.25">
      <c r="A222" s="676"/>
      <c r="B222" s="407"/>
      <c r="C222" s="75"/>
      <c r="D222" s="75"/>
      <c r="E222" s="802">
        <v>21</v>
      </c>
      <c r="F222" s="50" cm="1" t="str">
        <f t="array" ref="F222:F222">OFFSET(E222,-1,1)</f>
        <v>1</v>
      </c>
      <c r="G222" s="75"/>
      <c r="H222" s="73"/>
      <c r="I222" s="73" t="s">
        <v>322</v>
      </c>
      <c r="J222" s="75"/>
      <c r="K222" s="124" t="s">
        <v>322</v>
      </c>
      <c r="L222" s="962"/>
      <c r="M222" s="75"/>
      <c r="N222" s="75"/>
      <c r="O222" s="75"/>
      <c r="P222" s="75"/>
      <c r="Q222" s="75"/>
      <c r="R222" s="75"/>
      <c r="S222" s="75"/>
      <c r="T222" s="438">
        <f>F222&gt;0</f>
        <v>1</v>
      </c>
      <c r="U222" s="75"/>
      <c r="V222" s="75"/>
      <c r="W222" s="75"/>
      <c r="X222" s="1541"/>
      <c r="Y222" s="676"/>
      <c r="Z222" s="1494"/>
      <c r="AA222" s="676"/>
      <c r="AB222" s="200" t="s">
        <v>504</v>
      </c>
      <c r="AC222" s="178" t="s">
        <v>1877</v>
      </c>
      <c r="AD222" s="200" t="s">
        <v>789</v>
      </c>
      <c r="AE222" s="179">
        <f>AE223+AE235+AE236++AE247+AE248+AE249+AE251+AE252+AE253+AE254+AE257</f>
        <v>0</v>
      </c>
      <c r="AF222" s="179">
        <f>AF223+AF235+AF236++AF247+AF248+AF249+AF251+AF252+AF253+AF254+AF257</f>
        <v>0</v>
      </c>
      <c r="AG222" s="179">
        <f>AG223+AG235+AG236++AG247+AG248+AG249+AG251+AG252+AG253+AG254+AG257</f>
        <v>0</v>
      </c>
      <c r="AH222" s="754">
        <f>AG222-AF222</f>
        <v>0</v>
      </c>
      <c r="AI222" s="179">
        <f>AI223+AI235+AI236++AI247+AI248+AI249+AI251+AI252+AI253+AI254+AI257</f>
        <v>0</v>
      </c>
      <c r="AJ222" s="179">
        <f>AJ223+AJ235+AJ236++AJ247+AJ248+AJ249+AJ251+AJ252+AJ253+AJ254+AJ257</f>
        <v>0</v>
      </c>
      <c r="AK222" s="179">
        <f>AK223+AK235+AK236++AK247+AK248+AK249+AK251+AK252+AK253+AK254+AK257</f>
        <v>0</v>
      </c>
      <c r="AL222" s="179">
        <f>AL223+AL235+AL236++AL247+AL248+AL249+AL251+AL252+AL253+AL254+AL257</f>
        <v>0</v>
      </c>
      <c r="AM222" s="179">
        <f>AM223+AM235+AM236++AM247+AM248+AM249+AM251+AM252+AM253+AM254+AM257</f>
        <v>0</v>
      </c>
      <c r="AN222" s="179">
        <f>AN223+AN235+AN236++AN247+AN248+AN249+AN251+AN252+AN253+AN254+AN257</f>
        <v>0</v>
      </c>
      <c r="AO222" s="179">
        <f>AO223+AO235+AO236++AO247+AO248+AO249+AO251+AO252+AO253+AO254+AO257</f>
        <v>0</v>
      </c>
      <c r="AP222" s="179">
        <f>AP223+AP235+AP236++AP247+AP248+AP249+AP251+AP252+AP253+AP254+AP257</f>
        <v>0</v>
      </c>
      <c r="AQ222" s="179">
        <f>AQ223+AQ235+AQ236++AQ247+AQ248+AQ249+AQ251+AQ252+AQ253+AQ254+AQ257</f>
        <v>0</v>
      </c>
      <c r="AR222" s="179">
        <f>AR223+AR235+AR236++AR247+AR248+AR249+AR251+AR252+AR253+AR254+AR257</f>
        <v>0</v>
      </c>
      <c r="AS222" s="179">
        <f>AS223+AS235+AS236++AS247+AS248+AS249+AS251+AS252+AS253+AS254+AS257</f>
        <v>0</v>
      </c>
      <c r="AT222" s="179">
        <f>AT223+AT235+AT236++AT247+AT248+AT249+AT251+AT252+AT253+AT254+AT257</f>
        <v>0</v>
      </c>
      <c r="AU222" s="179">
        <f>AU223+AU235+AU236++AU247+AU248+AU249+AU251+AU252+AU253+AU254+AU257</f>
        <v>0</v>
      </c>
      <c r="AV222" s="179">
        <f>AV223+AV235+AV236++AV247+AV248+AV249+AV251+AV252+AV253+AV254+AV257</f>
        <v>0</v>
      </c>
      <c r="AW222" s="179">
        <f>AW223+AW235+AW236++AW247+AW248+AW249+AW251+AW252+AW253+AW254+AW257</f>
        <v>0</v>
      </c>
      <c r="AX222" s="179">
        <f>AX223+AX235+AX236++AX247+AX248+AX249+AX251+AX252+AX253+AX254+AX257</f>
        <v>0</v>
      </c>
      <c r="AY222" s="179">
        <f>AY223+AY235+AY236++AY247+AY248+AY249+AY251+AY252+AY253+AY254+AY257</f>
        <v>0</v>
      </c>
      <c r="AZ222" s="179">
        <f>AZ223+AZ235+AZ236++AZ247+AZ248+AZ249+AZ251+AZ252+AZ253+AZ254+AZ257</f>
        <v>0</v>
      </c>
      <c r="BA222" s="179">
        <f>BA223+BA235+BA236++BA247+BA248+BA249+BA251+BA252+BA253+BA254+BA257</f>
        <v>0</v>
      </c>
      <c r="BB222" s="179">
        <f>BB223+BB235+BB236++BB247+BB248+BB249+BB251+BB252+BB253+BB254+BB257</f>
        <v>0</v>
      </c>
      <c r="BC222" s="179">
        <f>BC223+BC235+BC236++BC247+BC248+BC249+BC251+BC252+BC253+BC254+BC257</f>
        <v>0</v>
      </c>
      <c r="BD222" s="754">
        <f>IF(AI222=0,0,(AT222-AI222)/AI222*100)</f>
        <v>0</v>
      </c>
      <c r="BE222" s="754">
        <f>IF(AT222=0,0,(AU222-AT222)/AT222*100)</f>
        <v>0</v>
      </c>
      <c r="BF222" s="754">
        <f>IF(AU222=0,0,(AV222-AU222)/AU222*100)</f>
        <v>0</v>
      </c>
      <c r="BG222" s="754">
        <f>IF(AV222=0,0,(AW222-AV222)/AV222*100)</f>
        <v>0</v>
      </c>
      <c r="BH222" s="754">
        <f>IF(AW222=0,0,(AX222-AW222)/AW222*100)</f>
        <v>0</v>
      </c>
      <c r="BI222" s="754">
        <f>IF(AX222=0,0,(AY222-AX222)/AX222*100)</f>
        <v>0</v>
      </c>
      <c r="BJ222" s="754">
        <f>IF(AY222=0,0,(AZ222-AY222)/AY222*100)</f>
        <v>0</v>
      </c>
      <c r="BK222" s="754">
        <f>IF(AZ222=0,0,(BA222-AZ222)/AZ222*100)</f>
        <v>0</v>
      </c>
      <c r="BL222" s="754">
        <f>IF(BA222=0,0,(BB222-BA222)/BA222*100)</f>
        <v>0</v>
      </c>
      <c r="BM222" s="754">
        <f>IF(BB222=0,0,(BC222-BB222)/BB222*100)</f>
        <v>0</v>
      </c>
      <c r="BN222" s="3618"/>
      <c r="BO222" s="3618"/>
      <c r="BP222" s="3618"/>
      <c r="BQ222" s="126"/>
      <c r="BR222" s="676"/>
      <c r="BS222" s="1047" t="s">
        <v>1878</v>
      </c>
      <c r="BT222" s="1047"/>
      <c r="BU222" s="1047"/>
      <c r="BV222" s="683"/>
      <c r="BW222" s="683"/>
    </row>
    <row s="3666" customFormat="1" customHeight="1" ht="21.75">
      <c r="A223" s="676"/>
      <c r="B223" s="407"/>
      <c r="C223" s="75"/>
      <c r="D223" s="75"/>
      <c r="E223" s="802">
        <v>22.5</v>
      </c>
      <c r="F223" s="50" cm="1" t="str">
        <f t="array" ref="F223:F223">OFFSET(E223,-1,1)</f>
        <v>1</v>
      </c>
      <c r="G223" s="340" cm="1" t="str">
        <f t="array" ref="G223:G223">F222</f>
        <v>1</v>
      </c>
      <c r="H223" s="73"/>
      <c r="I223" s="73" t="s">
        <v>452</v>
      </c>
      <c r="J223" s="75"/>
      <c r="K223" s="124" t="s">
        <v>452</v>
      </c>
      <c r="L223" s="962" t="s">
        <v>438</v>
      </c>
      <c r="M223" s="75"/>
      <c r="N223" s="75"/>
      <c r="O223" s="75"/>
      <c r="P223" s="75"/>
      <c r="Q223" s="75"/>
      <c r="R223" s="75"/>
      <c r="S223" s="75"/>
      <c r="T223" s="438" cm="1" t="str">
        <f t="array" ref="T223:T223">T222</f>
        <v>true</v>
      </c>
      <c r="U223" s="75"/>
      <c r="V223" s="75"/>
      <c r="W223" s="75"/>
      <c r="X223" s="1541"/>
      <c r="Y223" s="676"/>
      <c r="Z223" s="1494"/>
      <c r="AA223" s="676"/>
      <c r="AB223" s="177" t="s">
        <v>509</v>
      </c>
      <c r="AC223" s="327" t="s">
        <v>1879</v>
      </c>
      <c r="AD223" s="177" t="s">
        <v>789</v>
      </c>
      <c r="AE223" s="179">
        <f>SUM(AE224:AE234)</f>
        <v>0</v>
      </c>
      <c r="AF223" s="179">
        <f>SUM(AF224:AF234)</f>
        <v>0</v>
      </c>
      <c r="AG223" s="179">
        <f>SUM(AG224:AG234)</f>
        <v>0</v>
      </c>
      <c r="AH223" s="754">
        <f>AG223-AF223</f>
        <v>0</v>
      </c>
      <c r="AI223" s="179">
        <f>SUM(AI224:AI234)</f>
        <v>0</v>
      </c>
      <c r="AJ223" s="179">
        <f>SUM(AJ224:AJ234)</f>
        <v>0</v>
      </c>
      <c r="AK223" s="179">
        <f>SUM(AK224:AK234)</f>
        <v>0</v>
      </c>
      <c r="AL223" s="179">
        <f>SUM(AL224:AL234)</f>
        <v>0</v>
      </c>
      <c r="AM223" s="179">
        <f>SUM(AM224:AM234)</f>
        <v>0</v>
      </c>
      <c r="AN223" s="179">
        <f>SUM(AN224:AN234)</f>
        <v>0</v>
      </c>
      <c r="AO223" s="179">
        <f>SUM(AO224:AO234)</f>
        <v>0</v>
      </c>
      <c r="AP223" s="179">
        <f>SUM(AP224:AP234)</f>
        <v>0</v>
      </c>
      <c r="AQ223" s="179">
        <f>SUM(AQ224:AQ234)</f>
        <v>0</v>
      </c>
      <c r="AR223" s="179">
        <f>SUM(AR224:AR234)</f>
        <v>0</v>
      </c>
      <c r="AS223" s="179">
        <f>SUM(AS224:AS234)</f>
        <v>0</v>
      </c>
      <c r="AT223" s="179">
        <f>SUM(AT224:AT234)</f>
        <v>0</v>
      </c>
      <c r="AU223" s="179">
        <f>SUM(AU224:AU234)</f>
        <v>0</v>
      </c>
      <c r="AV223" s="179">
        <f>SUM(AV224:AV234)</f>
        <v>0</v>
      </c>
      <c r="AW223" s="179">
        <f>SUM(AW224:AW234)</f>
        <v>0</v>
      </c>
      <c r="AX223" s="179">
        <f>SUM(AX224:AX234)</f>
        <v>0</v>
      </c>
      <c r="AY223" s="179">
        <f>SUM(AY224:AY234)</f>
        <v>0</v>
      </c>
      <c r="AZ223" s="179">
        <f>SUM(AZ224:AZ234)</f>
        <v>0</v>
      </c>
      <c r="BA223" s="179">
        <f>SUM(BA224:BA234)</f>
        <v>0</v>
      </c>
      <c r="BB223" s="179">
        <f>SUM(BB224:BB234)</f>
        <v>0</v>
      </c>
      <c r="BC223" s="179">
        <f>SUM(BC224:BC234)</f>
        <v>0</v>
      </c>
      <c r="BD223" s="754">
        <f>IF(AI223=0,0,(AT223-AI223)/AI223*100)</f>
        <v>0</v>
      </c>
      <c r="BE223" s="754">
        <f>IF(AT223=0,0,(AU223-AT223)/AT223*100)</f>
        <v>0</v>
      </c>
      <c r="BF223" s="754">
        <f>IF(AU223=0,0,(AV223-AU223)/AU223*100)</f>
        <v>0</v>
      </c>
      <c r="BG223" s="754">
        <f>IF(AV223=0,0,(AW223-AV223)/AV223*100)</f>
        <v>0</v>
      </c>
      <c r="BH223" s="754">
        <f>IF(AW223=0,0,(AX223-AW223)/AW223*100)</f>
        <v>0</v>
      </c>
      <c r="BI223" s="754">
        <f>IF(AX223=0,0,(AY223-AX223)/AX223*100)</f>
        <v>0</v>
      </c>
      <c r="BJ223" s="754">
        <f>IF(AY223=0,0,(AZ223-AY223)/AY223*100)</f>
        <v>0</v>
      </c>
      <c r="BK223" s="754">
        <f>IF(AZ223=0,0,(BA223-AZ223)/AZ223*100)</f>
        <v>0</v>
      </c>
      <c r="BL223" s="754">
        <f>IF(BA223=0,0,(BB223-BA223)/BA223*100)</f>
        <v>0</v>
      </c>
      <c r="BM223" s="754">
        <f>IF(BB223=0,0,(BC223-BB223)/BB223*100)</f>
        <v>0</v>
      </c>
      <c r="BN223" s="3619"/>
      <c r="BO223" s="3619"/>
      <c r="BP223" s="3619"/>
      <c r="BQ223" s="676"/>
      <c r="BR223" s="676"/>
      <c r="BS223" s="1047" t="s">
        <v>1880</v>
      </c>
      <c r="BT223" s="1047"/>
      <c r="BU223" s="1047"/>
      <c r="BV223" s="683"/>
      <c r="BW223" s="683"/>
    </row>
    <row s="1624" customFormat="1" customHeight="1" ht="14.25">
      <c r="A224" s="1256"/>
      <c r="B224" s="955"/>
      <c r="C224" s="73"/>
      <c r="D224" s="73"/>
      <c r="E224" s="596">
        <v>15</v>
      </c>
      <c r="F224" s="50" cm="1" t="str">
        <f t="array" ref="F224:F224">OFFSET(E224,-1,1)</f>
        <v>1</v>
      </c>
      <c r="G224" s="73" t="s">
        <v>1023</v>
      </c>
      <c r="H224" s="73"/>
      <c r="I224" s="73" t="s">
        <v>1434</v>
      </c>
      <c r="J224" s="73"/>
      <c r="K224" s="124" t="s">
        <v>1434</v>
      </c>
      <c r="L224" s="957" t="s">
        <v>1211</v>
      </c>
      <c r="M224" s="73"/>
      <c r="N224" s="73"/>
      <c r="O224" s="73"/>
      <c r="P224" s="73"/>
      <c r="Q224" s="73"/>
      <c r="R224" s="73"/>
      <c r="S224" s="73"/>
      <c r="T224" s="438" cm="1" t="str">
        <f t="array" ref="T224:T224">T223</f>
        <v>true</v>
      </c>
      <c r="U224" s="73"/>
      <c r="V224" s="73"/>
      <c r="W224" s="73"/>
      <c r="X224" s="1541"/>
      <c r="Y224" s="1256"/>
      <c r="Z224" s="1494"/>
      <c r="AA224" s="1256"/>
      <c r="AB224" s="266" t="s">
        <v>460</v>
      </c>
      <c r="AC224" s="741" t="s">
        <v>1881</v>
      </c>
      <c r="AD224" s="266" t="s">
        <v>789</v>
      </c>
      <c r="AE224" s="1092">
        <f>_xlfn.SUMIFS(Покупка!AE$25:AE$87,Покупка!$F$25:$F$87,$F224,Покупка!$AC$25:$AC$87,$G224)</f>
        <v>0</v>
      </c>
      <c r="AF224" s="1092">
        <f>_xlfn.SUMIFS(Покупка!AF$25:AF$87,Покупка!$F$25:$F$87,$F224,Покупка!$AC$25:$AC$87,$G224)</f>
        <v>0</v>
      </c>
      <c r="AG224" s="1092">
        <f>_xlfn.SUMIFS(Покупка!AG$25:AG$87,Покупка!$F$25:$F$87,$F224,Покупка!$AC$25:$AC$87,$G224)</f>
        <v>0</v>
      </c>
      <c r="AH224" s="1092">
        <f>AG224-AF224</f>
        <v>0</v>
      </c>
      <c r="AI224" s="1092">
        <f>_xlfn.SUMIFS(Покупка!AH$25:AH$87,Покупка!$F$25:$F$87,$F224,Покупка!$AC$25:$AC$87,$G224)</f>
        <v>0</v>
      </c>
      <c r="AJ224" s="1092">
        <f>_xlfn.SUMIFS(Покупка!AI$25:AI$87,Покупка!$F$25:$F$87,$F224,Покупка!$AC$25:$AC$87,$G224)</f>
        <v>0</v>
      </c>
      <c r="AK224" s="1092">
        <f>_xlfn.SUMIFS(Покупка!AJ$25:AJ$87,Покупка!$F$25:$F$87,$F224,Покупка!$AC$25:$AC$87,$G224)</f>
        <v>0</v>
      </c>
      <c r="AL224" s="1092">
        <f>_xlfn.SUMIFS(Покупка!AK$25:AK$87,Покупка!$F$25:$F$87,$F224,Покупка!$AC$25:$AC$87,$G224)</f>
        <v>0</v>
      </c>
      <c r="AM224" s="1092">
        <f>_xlfn.SUMIFS(Покупка!AL$25:AL$87,Покупка!$F$25:$F$87,$F224,Покупка!$AC$25:$AC$87,$G224)</f>
        <v>0</v>
      </c>
      <c r="AN224" s="1092">
        <f>_xlfn.SUMIFS(Покупка!AM$25:AM$87,Покупка!$F$25:$F$87,$F224,Покупка!$AC$25:$AC$87,$G224)</f>
        <v>0</v>
      </c>
      <c r="AO224" s="1092">
        <f>_xlfn.SUMIFS(Покупка!AN$25:AN$87,Покупка!$F$25:$F$87,$F224,Покупка!$AC$25:$AC$87,$G224)</f>
        <v>0</v>
      </c>
      <c r="AP224" s="1092">
        <f>_xlfn.SUMIFS(Покупка!AO$25:AO$87,Покупка!$F$25:$F$87,$F224,Покупка!$AC$25:$AC$87,$G224)</f>
        <v>0</v>
      </c>
      <c r="AQ224" s="1092">
        <f>_xlfn.SUMIFS(Покупка!AP$25:AP$87,Покупка!$F$25:$F$87,$F224,Покупка!$AC$25:$AC$87,$G224)</f>
        <v>0</v>
      </c>
      <c r="AR224" s="1092">
        <f>_xlfn.SUMIFS(Покупка!AQ$25:AQ$87,Покупка!$F$25:$F$87,$F224,Покупка!$AC$25:$AC$87,$G224)</f>
        <v>0</v>
      </c>
      <c r="AS224" s="1092">
        <f>_xlfn.SUMIFS(Покупка!AR$25:AR$87,Покупка!$F$25:$F$87,$F224,Покупка!$AC$25:$AC$87,$G224)</f>
        <v>0</v>
      </c>
      <c r="AT224" s="1092">
        <f>_xlfn.SUMIFS(Покупка!AS$25:AS$87,Покупка!$F$25:$F$87,$F224,Покупка!$AC$25:$AC$87,$G224)</f>
        <v>0</v>
      </c>
      <c r="AU224" s="1092">
        <f>_xlfn.SUMIFS(Покупка!AT$25:AT$87,Покупка!$F$25:$F$87,$F224,Покупка!$AC$25:$AC$87,$G224)</f>
        <v>0</v>
      </c>
      <c r="AV224" s="1092">
        <f>_xlfn.SUMIFS(Покупка!AU$25:AU$87,Покупка!$F$25:$F$87,$F224,Покупка!$AC$25:$AC$87,$G224)</f>
        <v>0</v>
      </c>
      <c r="AW224" s="1092">
        <f>_xlfn.SUMIFS(Покупка!AV$25:AV$87,Покупка!$F$25:$F$87,$F224,Покупка!$AC$25:$AC$87,$G224)</f>
        <v>0</v>
      </c>
      <c r="AX224" s="1092">
        <f>_xlfn.SUMIFS(Покупка!AW$25:AW$87,Покупка!$F$25:$F$87,$F224,Покупка!$AC$25:$AC$87,$G224)</f>
        <v>0</v>
      </c>
      <c r="AY224" s="1092">
        <f>_xlfn.SUMIFS(Покупка!AX$25:AX$87,Покупка!$F$25:$F$87,$F224,Покупка!$AC$25:$AC$87,$G224)</f>
        <v>0</v>
      </c>
      <c r="AZ224" s="1092">
        <f>_xlfn.SUMIFS(Покупка!AY$25:AY$87,Покупка!$F$25:$F$87,$F224,Покупка!$AC$25:$AC$87,$G224)</f>
        <v>0</v>
      </c>
      <c r="BA224" s="1092">
        <f>_xlfn.SUMIFS(Покупка!AZ$25:AZ$87,Покупка!$F$25:$F$87,$F224,Покупка!$AC$25:$AC$87,$G224)</f>
        <v>0</v>
      </c>
      <c r="BB224" s="1092">
        <f>_xlfn.SUMIFS(Покупка!BA$25:BA$87,Покупка!$F$25:$F$87,$F224,Покупка!$AC$25:$AC$87,$G224)</f>
        <v>0</v>
      </c>
      <c r="BC224" s="1092">
        <f>_xlfn.SUMIFS(Покупка!BB$25:BB$87,Покупка!$F$25:$F$87,$F224,Покупка!$AC$25:$AC$87,$G224)</f>
        <v>0</v>
      </c>
      <c r="BD224" s="1092">
        <f>IF(AI224=0,0,(AT224-AI224)/AI224*100)</f>
        <v>0</v>
      </c>
      <c r="BE224" s="1092">
        <f>IF(AT224=0,0,(AU224-AT224)/AT224*100)</f>
        <v>0</v>
      </c>
      <c r="BF224" s="1092">
        <f>IF(AU224=0,0,(AV224-AU224)/AU224*100)</f>
        <v>0</v>
      </c>
      <c r="BG224" s="1092">
        <f>IF(AV224=0,0,(AW224-AV224)/AV224*100)</f>
        <v>0</v>
      </c>
      <c r="BH224" s="1092">
        <f>IF(AW224=0,0,(AX224-AW224)/AW224*100)</f>
        <v>0</v>
      </c>
      <c r="BI224" s="1092">
        <f>IF(AX224=0,0,(AY224-AX224)/AX224*100)</f>
        <v>0</v>
      </c>
      <c r="BJ224" s="1092">
        <f>IF(AY224=0,0,(AZ224-AY224)/AY224*100)</f>
        <v>0</v>
      </c>
      <c r="BK224" s="1092">
        <f>IF(AZ224=0,0,(BA224-AZ224)/AZ224*100)</f>
        <v>0</v>
      </c>
      <c r="BL224" s="1092">
        <f>IF(BA224=0,0,(BB224-BA224)/BA224*100)</f>
        <v>0</v>
      </c>
      <c r="BM224" s="1092">
        <f>IF(BB224=0,0,(BC224-BB224)/BB224*100)</f>
        <v>0</v>
      </c>
      <c r="BN224" s="3618"/>
      <c r="BO224" s="3620" t="str">
        <f>IF(_xlfn.IFERROR(INDEX(Покупка!$K$26:$L$87,MATCH($F224&amp;"6komm",Покупка!$K$26:$K$87,0),2),"")=0,"",_xlfn.IFERROR(INDEX(Покупка!$K$26:$L$87,MATCH($F224&amp;"6komm",Покупка!$K$26:$K$87,0),2),""))</f>
        <v/>
      </c>
      <c r="BP224" s="3618"/>
      <c r="BQ224" s="1256"/>
      <c r="BR224" s="1256"/>
      <c r="BS224" s="1041" t="s">
        <v>1024</v>
      </c>
      <c r="BT224" s="1041"/>
      <c r="BU224" s="1041"/>
      <c r="BV224" s="956"/>
      <c r="BW224" s="956"/>
    </row>
    <row s="1624" customFormat="1" customHeight="1" ht="14.25">
      <c r="A225" s="1256"/>
      <c r="B225" s="955"/>
      <c r="C225" s="73"/>
      <c r="D225" s="73"/>
      <c r="E225" s="596">
        <v>15</v>
      </c>
      <c r="F225" s="50" cm="1" t="str">
        <f t="array" ref="F225:F225">OFFSET(E225,-1,1)</f>
        <v>1</v>
      </c>
      <c r="G225" s="73" t="s">
        <v>1025</v>
      </c>
      <c r="H225" s="73"/>
      <c r="I225" s="73" t="s">
        <v>1438</v>
      </c>
      <c r="J225" s="73"/>
      <c r="K225" s="73" t="s">
        <v>1438</v>
      </c>
      <c r="L225" s="957" t="s">
        <v>1215</v>
      </c>
      <c r="M225" s="73"/>
      <c r="N225" s="73"/>
      <c r="O225" s="73"/>
      <c r="P225" s="73"/>
      <c r="Q225" s="73"/>
      <c r="R225" s="73"/>
      <c r="S225" s="73"/>
      <c r="T225" s="438" cm="1" t="str">
        <f t="array" ref="T225:T225">T224</f>
        <v>true</v>
      </c>
      <c r="U225" s="73"/>
      <c r="V225" s="73"/>
      <c r="W225" s="73"/>
      <c r="X225" s="1541"/>
      <c r="Y225" s="1256"/>
      <c r="Z225" s="1494"/>
      <c r="AA225" s="1256"/>
      <c r="AB225" s="266" t="s">
        <v>1882</v>
      </c>
      <c r="AC225" s="741" t="s">
        <v>1883</v>
      </c>
      <c r="AD225" s="266" t="s">
        <v>789</v>
      </c>
      <c r="AE225" s="1092">
        <f>_xlfn.SUMIFS(Покупка!AE$25:AE$87,Покупка!$F$25:$F$87,$F225,Покупка!$AC$25:$AC$87,$G225)</f>
        <v>0</v>
      </c>
      <c r="AF225" s="1092">
        <f>_xlfn.SUMIFS(Покупка!AF$25:AF$87,Покупка!$F$25:$F$87,$F225,Покупка!$AC$25:$AC$87,$G225)</f>
        <v>0</v>
      </c>
      <c r="AG225" s="1092">
        <f>_xlfn.SUMIFS(Покупка!AG$25:AG$87,Покупка!$F$25:$F$87,$F225,Покупка!$AC$25:$AC$87,$G225)</f>
        <v>0</v>
      </c>
      <c r="AH225" s="1092">
        <f>AG225-AF225</f>
        <v>0</v>
      </c>
      <c r="AI225" s="1092">
        <f>_xlfn.SUMIFS(Покупка!AH$25:AH$87,Покупка!$F$25:$F$87,$F225,Покупка!$AC$25:$AC$87,$G225)</f>
        <v>0</v>
      </c>
      <c r="AJ225" s="1092">
        <f>_xlfn.SUMIFS(Покупка!AI$25:AI$87,Покупка!$F$25:$F$87,$F225,Покупка!$AC$25:$AC$87,$G225)</f>
        <v>0</v>
      </c>
      <c r="AK225" s="1092">
        <f>_xlfn.SUMIFS(Покупка!AJ$25:AJ$87,Покупка!$F$25:$F$87,$F225,Покупка!$AC$25:$AC$87,$G225)</f>
        <v>0</v>
      </c>
      <c r="AL225" s="1092">
        <f>_xlfn.SUMIFS(Покупка!AK$25:AK$87,Покупка!$F$25:$F$87,$F225,Покупка!$AC$25:$AC$87,$G225)</f>
        <v>0</v>
      </c>
      <c r="AM225" s="1092">
        <f>_xlfn.SUMIFS(Покупка!AL$25:AL$87,Покупка!$F$25:$F$87,$F225,Покупка!$AC$25:$AC$87,$G225)</f>
        <v>0</v>
      </c>
      <c r="AN225" s="1092">
        <f>_xlfn.SUMIFS(Покупка!AM$25:AM$87,Покупка!$F$25:$F$87,$F225,Покупка!$AC$25:$AC$87,$G225)</f>
        <v>0</v>
      </c>
      <c r="AO225" s="1092">
        <f>_xlfn.SUMIFS(Покупка!AN$25:AN$87,Покупка!$F$25:$F$87,$F225,Покупка!$AC$25:$AC$87,$G225)</f>
        <v>0</v>
      </c>
      <c r="AP225" s="1092">
        <f>_xlfn.SUMIFS(Покупка!AO$25:AO$87,Покупка!$F$25:$F$87,$F225,Покупка!$AC$25:$AC$87,$G225)</f>
        <v>0</v>
      </c>
      <c r="AQ225" s="1092">
        <f>_xlfn.SUMIFS(Покупка!AP$25:AP$87,Покупка!$F$25:$F$87,$F225,Покупка!$AC$25:$AC$87,$G225)</f>
        <v>0</v>
      </c>
      <c r="AR225" s="1092">
        <f>_xlfn.SUMIFS(Покупка!AQ$25:AQ$87,Покупка!$F$25:$F$87,$F225,Покупка!$AC$25:$AC$87,$G225)</f>
        <v>0</v>
      </c>
      <c r="AS225" s="1092">
        <f>_xlfn.SUMIFS(Покупка!AR$25:AR$87,Покупка!$F$25:$F$87,$F225,Покупка!$AC$25:$AC$87,$G225)</f>
        <v>0</v>
      </c>
      <c r="AT225" s="1092">
        <f>_xlfn.SUMIFS(Покупка!AS$25:AS$87,Покупка!$F$25:$F$87,$F225,Покупка!$AC$25:$AC$87,$G225)</f>
        <v>0</v>
      </c>
      <c r="AU225" s="1092">
        <f>_xlfn.SUMIFS(Покупка!AT$25:AT$87,Покупка!$F$25:$F$87,$F225,Покупка!$AC$25:$AC$87,$G225)</f>
        <v>0</v>
      </c>
      <c r="AV225" s="1092">
        <f>_xlfn.SUMIFS(Покупка!AU$25:AU$87,Покупка!$F$25:$F$87,$F225,Покупка!$AC$25:$AC$87,$G225)</f>
        <v>0</v>
      </c>
      <c r="AW225" s="1092">
        <f>_xlfn.SUMIFS(Покупка!AV$25:AV$87,Покупка!$F$25:$F$87,$F225,Покупка!$AC$25:$AC$87,$G225)</f>
        <v>0</v>
      </c>
      <c r="AX225" s="1092">
        <f>_xlfn.SUMIFS(Покупка!AW$25:AW$87,Покупка!$F$25:$F$87,$F225,Покупка!$AC$25:$AC$87,$G225)</f>
        <v>0</v>
      </c>
      <c r="AY225" s="1092">
        <f>_xlfn.SUMIFS(Покупка!AX$25:AX$87,Покупка!$F$25:$F$87,$F225,Покупка!$AC$25:$AC$87,$G225)</f>
        <v>0</v>
      </c>
      <c r="AZ225" s="1092">
        <f>_xlfn.SUMIFS(Покупка!AY$25:AY$87,Покупка!$F$25:$F$87,$F225,Покупка!$AC$25:$AC$87,$G225)</f>
        <v>0</v>
      </c>
      <c r="BA225" s="1092">
        <f>_xlfn.SUMIFS(Покупка!AZ$25:AZ$87,Покупка!$F$25:$F$87,$F225,Покупка!$AC$25:$AC$87,$G225)</f>
        <v>0</v>
      </c>
      <c r="BB225" s="1092">
        <f>_xlfn.SUMIFS(Покупка!BA$25:BA$87,Покупка!$F$25:$F$87,$F225,Покупка!$AC$25:$AC$87,$G225)</f>
        <v>0</v>
      </c>
      <c r="BC225" s="1092">
        <f>_xlfn.SUMIFS(Покупка!BB$25:BB$87,Покупка!$F$25:$F$87,$F225,Покупка!$AC$25:$AC$87,$G225)</f>
        <v>0</v>
      </c>
      <c r="BD225" s="1092">
        <f>IF(AI225=0,0,(AT225-AI225)/AI225*100)</f>
        <v>0</v>
      </c>
      <c r="BE225" s="1092">
        <f>IF(AT225=0,0,(AU225-AT225)/AT225*100)</f>
        <v>0</v>
      </c>
      <c r="BF225" s="1092">
        <f>IF(AU225=0,0,(AV225-AU225)/AU225*100)</f>
        <v>0</v>
      </c>
      <c r="BG225" s="1092">
        <f>IF(AV225=0,0,(AW225-AV225)/AV225*100)</f>
        <v>0</v>
      </c>
      <c r="BH225" s="1092">
        <f>IF(AW225=0,0,(AX225-AW225)/AW225*100)</f>
        <v>0</v>
      </c>
      <c r="BI225" s="1092">
        <f>IF(AX225=0,0,(AY225-AX225)/AX225*100)</f>
        <v>0</v>
      </c>
      <c r="BJ225" s="1092">
        <f>IF(AY225=0,0,(AZ225-AY225)/AY225*100)</f>
        <v>0</v>
      </c>
      <c r="BK225" s="1092">
        <f>IF(AZ225=0,0,(BA225-AZ225)/AZ225*100)</f>
        <v>0</v>
      </c>
      <c r="BL225" s="1092">
        <f>IF(BA225=0,0,(BB225-BA225)/BA225*100)</f>
        <v>0</v>
      </c>
      <c r="BM225" s="1092">
        <f>IF(BB225=0,0,(BC225-BB225)/BB225*100)</f>
        <v>0</v>
      </c>
      <c r="BN225" s="3618"/>
      <c r="BO225" s="3620" t="str">
        <f>IF(_xlfn.IFERROR(INDEX(Покупка!$K$26:$L$87,MATCH($F225&amp;"7komm",Покупка!$K$26:$K$87,0),2),"")=0,"",_xlfn.IFERROR(INDEX(Покупка!$K$26:$L$87,MATCH($F225&amp;"7komm",Покупка!$K$26:$K$87,0),2),""))</f>
        <v/>
      </c>
      <c r="BP225" s="3618"/>
      <c r="BQ225" s="1256"/>
      <c r="BR225" s="1256"/>
      <c r="BS225" s="1041" t="s">
        <v>1026</v>
      </c>
      <c r="BT225" s="1041"/>
      <c r="BU225" s="1041"/>
      <c r="BV225" s="956"/>
      <c r="BW225" s="956"/>
    </row>
    <row s="1624" customFormat="1" customHeight="1" ht="14.25">
      <c r="A226" s="1256"/>
      <c r="B226" s="955"/>
      <c r="C226" s="73"/>
      <c r="D226" s="73"/>
      <c r="E226" s="596">
        <v>15</v>
      </c>
      <c r="F226" s="50" cm="1" t="str">
        <f t="array" ref="F226:F226">OFFSET(E226,-1,1)</f>
        <v>1</v>
      </c>
      <c r="G226" s="73" t="s">
        <v>1000</v>
      </c>
      <c r="H226" s="73"/>
      <c r="I226" s="73" t="s">
        <v>1513</v>
      </c>
      <c r="J226" s="73"/>
      <c r="K226" s="73" t="s">
        <v>1513</v>
      </c>
      <c r="L226" s="957" t="s">
        <v>1383</v>
      </c>
      <c r="M226" s="73"/>
      <c r="N226" s="73"/>
      <c r="O226" s="73"/>
      <c r="P226" s="73"/>
      <c r="Q226" s="73"/>
      <c r="R226" s="73"/>
      <c r="S226" s="73"/>
      <c r="T226" s="438" cm="1" t="str">
        <f t="array" ref="T226:T226">T225</f>
        <v>true</v>
      </c>
      <c r="U226" s="73"/>
      <c r="V226" s="73"/>
      <c r="W226" s="73"/>
      <c r="X226" s="1541"/>
      <c r="Y226" s="1256"/>
      <c r="Z226" s="1494"/>
      <c r="AA226" s="1256"/>
      <c r="AB226" s="266" t="s">
        <v>1884</v>
      </c>
      <c r="AC226" s="741" t="s">
        <v>1885</v>
      </c>
      <c r="AD226" s="266" t="s">
        <v>789</v>
      </c>
      <c r="AE226" s="1092">
        <f>_xlfn.SUMIFS(Покупка!AE$25:AE$87,Покупка!$F$25:$F$87,$F226,Покупка!$AC$25:$AC$87,$G226)</f>
        <v>0</v>
      </c>
      <c r="AF226" s="1092">
        <f>_xlfn.SUMIFS(Покупка!AF$25:AF$87,Покупка!$F$25:$F$87,$F226,Покупка!$AC$25:$AC$87,$G226)</f>
        <v>0</v>
      </c>
      <c r="AG226" s="1092">
        <f>_xlfn.SUMIFS(Покупка!AG$25:AG$87,Покупка!$F$25:$F$87,$F226,Покупка!$AC$25:$AC$87,$G226)</f>
        <v>0</v>
      </c>
      <c r="AH226" s="1092">
        <f>AG226-AF226</f>
        <v>0</v>
      </c>
      <c r="AI226" s="1092">
        <f>_xlfn.SUMIFS(Покупка!AH$25:AH$87,Покупка!$F$25:$F$87,$F226,Покупка!$AC$25:$AC$87,$G226)</f>
        <v>0</v>
      </c>
      <c r="AJ226" s="1092">
        <f>_xlfn.SUMIFS(Покупка!AI$25:AI$87,Покупка!$F$25:$F$87,$F226,Покупка!$AC$25:$AC$87,$G226)</f>
        <v>0</v>
      </c>
      <c r="AK226" s="1092">
        <f>_xlfn.SUMIFS(Покупка!AJ$25:AJ$87,Покупка!$F$25:$F$87,$F226,Покупка!$AC$25:$AC$87,$G226)</f>
        <v>0</v>
      </c>
      <c r="AL226" s="1092">
        <f>_xlfn.SUMIFS(Покупка!AK$25:AK$87,Покупка!$F$25:$F$87,$F226,Покупка!$AC$25:$AC$87,$G226)</f>
        <v>0</v>
      </c>
      <c r="AM226" s="1092">
        <f>_xlfn.SUMIFS(Покупка!AL$25:AL$87,Покупка!$F$25:$F$87,$F226,Покупка!$AC$25:$AC$87,$G226)</f>
        <v>0</v>
      </c>
      <c r="AN226" s="1092">
        <f>_xlfn.SUMIFS(Покупка!AM$25:AM$87,Покупка!$F$25:$F$87,$F226,Покупка!$AC$25:$AC$87,$G226)</f>
        <v>0</v>
      </c>
      <c r="AO226" s="1092">
        <f>_xlfn.SUMIFS(Покупка!AN$25:AN$87,Покупка!$F$25:$F$87,$F226,Покупка!$AC$25:$AC$87,$G226)</f>
        <v>0</v>
      </c>
      <c r="AP226" s="1092">
        <f>_xlfn.SUMIFS(Покупка!AO$25:AO$87,Покупка!$F$25:$F$87,$F226,Покупка!$AC$25:$AC$87,$G226)</f>
        <v>0</v>
      </c>
      <c r="AQ226" s="1092">
        <f>_xlfn.SUMIFS(Покупка!AP$25:AP$87,Покупка!$F$25:$F$87,$F226,Покупка!$AC$25:$AC$87,$G226)</f>
        <v>0</v>
      </c>
      <c r="AR226" s="1092">
        <f>_xlfn.SUMIFS(Покупка!AQ$25:AQ$87,Покупка!$F$25:$F$87,$F226,Покупка!$AC$25:$AC$87,$G226)</f>
        <v>0</v>
      </c>
      <c r="AS226" s="1092">
        <f>_xlfn.SUMIFS(Покупка!AR$25:AR$87,Покупка!$F$25:$F$87,$F226,Покупка!$AC$25:$AC$87,$G226)</f>
        <v>0</v>
      </c>
      <c r="AT226" s="1092">
        <f>_xlfn.SUMIFS(Покупка!AS$25:AS$87,Покупка!$F$25:$F$87,$F226,Покупка!$AC$25:$AC$87,$G226)</f>
        <v>0</v>
      </c>
      <c r="AU226" s="1092">
        <f>_xlfn.SUMIFS(Покупка!AT$25:AT$87,Покупка!$F$25:$F$87,$F226,Покупка!$AC$25:$AC$87,$G226)</f>
        <v>0</v>
      </c>
      <c r="AV226" s="1092">
        <f>_xlfn.SUMIFS(Покупка!AU$25:AU$87,Покупка!$F$25:$F$87,$F226,Покупка!$AC$25:$AC$87,$G226)</f>
        <v>0</v>
      </c>
      <c r="AW226" s="1092">
        <f>_xlfn.SUMIFS(Покупка!AV$25:AV$87,Покупка!$F$25:$F$87,$F226,Покупка!$AC$25:$AC$87,$G226)</f>
        <v>0</v>
      </c>
      <c r="AX226" s="1092">
        <f>_xlfn.SUMIFS(Покупка!AW$25:AW$87,Покупка!$F$25:$F$87,$F226,Покупка!$AC$25:$AC$87,$G226)</f>
        <v>0</v>
      </c>
      <c r="AY226" s="1092">
        <f>_xlfn.SUMIFS(Покупка!AX$25:AX$87,Покупка!$F$25:$F$87,$F226,Покупка!$AC$25:$AC$87,$G226)</f>
        <v>0</v>
      </c>
      <c r="AZ226" s="1092">
        <f>_xlfn.SUMIFS(Покупка!AY$25:AY$87,Покупка!$F$25:$F$87,$F226,Покупка!$AC$25:$AC$87,$G226)</f>
        <v>0</v>
      </c>
      <c r="BA226" s="1092">
        <f>_xlfn.SUMIFS(Покупка!AZ$25:AZ$87,Покупка!$F$25:$F$87,$F226,Покупка!$AC$25:$AC$87,$G226)</f>
        <v>0</v>
      </c>
      <c r="BB226" s="1092">
        <f>_xlfn.SUMIFS(Покупка!BA$25:BA$87,Покупка!$F$25:$F$87,$F226,Покупка!$AC$25:$AC$87,$G226)</f>
        <v>0</v>
      </c>
      <c r="BC226" s="1092">
        <f>_xlfn.SUMIFS(Покупка!BB$25:BB$87,Покупка!$F$25:$F$87,$F226,Покупка!$AC$25:$AC$87,$G226)</f>
        <v>0</v>
      </c>
      <c r="BD226" s="1092">
        <f>IF(AI226=0,0,(AT226-AI226)/AI226*100)</f>
        <v>0</v>
      </c>
      <c r="BE226" s="1092">
        <f>IF(AT226=0,0,(AU226-AT226)/AT226*100)</f>
        <v>0</v>
      </c>
      <c r="BF226" s="1092">
        <f>IF(AU226=0,0,(AV226-AU226)/AU226*100)</f>
        <v>0</v>
      </c>
      <c r="BG226" s="1092">
        <f>IF(AV226=0,0,(AW226-AV226)/AV226*100)</f>
        <v>0</v>
      </c>
      <c r="BH226" s="1092">
        <f>IF(AW226=0,0,(AX226-AW226)/AW226*100)</f>
        <v>0</v>
      </c>
      <c r="BI226" s="1092">
        <f>IF(AX226=0,0,(AY226-AX226)/AX226*100)</f>
        <v>0</v>
      </c>
      <c r="BJ226" s="1092">
        <f>IF(AY226=0,0,(AZ226-AY226)/AY226*100)</f>
        <v>0</v>
      </c>
      <c r="BK226" s="1092">
        <f>IF(AZ226=0,0,(BA226-AZ226)/AZ226*100)</f>
        <v>0</v>
      </c>
      <c r="BL226" s="1092">
        <f>IF(BA226=0,0,(BB226-BA226)/BA226*100)</f>
        <v>0</v>
      </c>
      <c r="BM226" s="1092">
        <f>IF(BB226=0,0,(BC226-BB226)/BB226*100)</f>
        <v>0</v>
      </c>
      <c r="BN226" s="3618"/>
      <c r="BO226" s="3620" t="str">
        <f>IF(_xlfn.IFERROR(INDEX(Покупка!$K$26:$L$87,MATCH($F226&amp;"2komm",Покупка!$K$26:$K$87,0),2),"")=0,"",_xlfn.IFERROR(INDEX(Покупка!$K$26:$L$87,MATCH($F226&amp;"2komm",Покупка!$K$26:$K$87,0),2),""))</f>
        <v/>
      </c>
      <c r="BP226" s="3618"/>
      <c r="BQ226" s="1256"/>
      <c r="BR226" s="1256"/>
      <c r="BS226" s="1041" t="s">
        <v>1886</v>
      </c>
      <c r="BT226" s="1041"/>
      <c r="BU226" s="1041"/>
      <c r="BV226" s="956"/>
      <c r="BW226" s="956"/>
    </row>
    <row s="1624" customFormat="1" customHeight="1" ht="14.25">
      <c r="A227" s="1256"/>
      <c r="B227" s="955"/>
      <c r="C227" s="73"/>
      <c r="D227" s="73"/>
      <c r="E227" s="596">
        <v>15</v>
      </c>
      <c r="F227" s="50" cm="1" t="str">
        <f t="array" ref="F227:F227">OFFSET(E227,-1,1)</f>
        <v>1</v>
      </c>
      <c r="G227" s="73" t="s">
        <v>991</v>
      </c>
      <c r="H227" s="73"/>
      <c r="I227" s="73" t="s">
        <v>1515</v>
      </c>
      <c r="J227" s="73"/>
      <c r="K227" s="73" t="s">
        <v>1515</v>
      </c>
      <c r="L227" s="957" t="s">
        <v>1378</v>
      </c>
      <c r="M227" s="73"/>
      <c r="N227" s="73"/>
      <c r="O227" s="73"/>
      <c r="P227" s="73"/>
      <c r="Q227" s="73"/>
      <c r="R227" s="73"/>
      <c r="S227" s="73"/>
      <c r="T227" s="438" cm="1" t="str">
        <f t="array" ref="T227:T227">T226</f>
        <v>true</v>
      </c>
      <c r="U227" s="73"/>
      <c r="V227" s="73"/>
      <c r="W227" s="73"/>
      <c r="X227" s="1541"/>
      <c r="Y227" s="1256"/>
      <c r="Z227" s="1494"/>
      <c r="AA227" s="1256"/>
      <c r="AB227" s="266" t="s">
        <v>1887</v>
      </c>
      <c r="AC227" s="741" t="s">
        <v>1888</v>
      </c>
      <c r="AD227" s="266" t="s">
        <v>789</v>
      </c>
      <c r="AE227" s="1092">
        <f>_xlfn.SUMIFS(Покупка!AE$25:AE$87,Покупка!$F$25:$F$87,$F227,Покупка!$AC$25:$AC$87,$G227)</f>
        <v>0</v>
      </c>
      <c r="AF227" s="1092">
        <f>_xlfn.SUMIFS(Покупка!AF$25:AF$87,Покупка!$F$25:$F$87,$F227,Покупка!$AC$25:$AC$87,$G227)</f>
        <v>0</v>
      </c>
      <c r="AG227" s="1092">
        <f>_xlfn.SUMIFS(Покупка!AG$25:AG$87,Покупка!$F$25:$F$87,$F227,Покупка!$AC$25:$AC$87,$G227)</f>
        <v>0</v>
      </c>
      <c r="AH227" s="1092">
        <f>AG227-AF227</f>
        <v>0</v>
      </c>
      <c r="AI227" s="1092">
        <f>_xlfn.SUMIFS(Покупка!AH$25:AH$87,Покупка!$F$25:$F$87,$F227,Покупка!$AC$25:$AC$87,$G227)</f>
        <v>0</v>
      </c>
      <c r="AJ227" s="1092">
        <f>_xlfn.SUMIFS(Покупка!AI$25:AI$87,Покупка!$F$25:$F$87,$F227,Покупка!$AC$25:$AC$87,$G227)</f>
        <v>0</v>
      </c>
      <c r="AK227" s="1092">
        <f>_xlfn.SUMIFS(Покупка!AJ$25:AJ$87,Покупка!$F$25:$F$87,$F227,Покупка!$AC$25:$AC$87,$G227)</f>
        <v>0</v>
      </c>
      <c r="AL227" s="1092">
        <f>_xlfn.SUMIFS(Покупка!AK$25:AK$87,Покупка!$F$25:$F$87,$F227,Покупка!$AC$25:$AC$87,$G227)</f>
        <v>0</v>
      </c>
      <c r="AM227" s="1092">
        <f>_xlfn.SUMIFS(Покупка!AL$25:AL$87,Покупка!$F$25:$F$87,$F227,Покупка!$AC$25:$AC$87,$G227)</f>
        <v>0</v>
      </c>
      <c r="AN227" s="1092">
        <f>_xlfn.SUMIFS(Покупка!AM$25:AM$87,Покупка!$F$25:$F$87,$F227,Покупка!$AC$25:$AC$87,$G227)</f>
        <v>0</v>
      </c>
      <c r="AO227" s="1092">
        <f>_xlfn.SUMIFS(Покупка!AN$25:AN$87,Покупка!$F$25:$F$87,$F227,Покупка!$AC$25:$AC$87,$G227)</f>
        <v>0</v>
      </c>
      <c r="AP227" s="1092">
        <f>_xlfn.SUMIFS(Покупка!AO$25:AO$87,Покупка!$F$25:$F$87,$F227,Покупка!$AC$25:$AC$87,$G227)</f>
        <v>0</v>
      </c>
      <c r="AQ227" s="1092">
        <f>_xlfn.SUMIFS(Покупка!AP$25:AP$87,Покупка!$F$25:$F$87,$F227,Покупка!$AC$25:$AC$87,$G227)</f>
        <v>0</v>
      </c>
      <c r="AR227" s="1092">
        <f>_xlfn.SUMIFS(Покупка!AQ$25:AQ$87,Покупка!$F$25:$F$87,$F227,Покупка!$AC$25:$AC$87,$G227)</f>
        <v>0</v>
      </c>
      <c r="AS227" s="1092">
        <f>_xlfn.SUMIFS(Покупка!AR$25:AR$87,Покупка!$F$25:$F$87,$F227,Покупка!$AC$25:$AC$87,$G227)</f>
        <v>0</v>
      </c>
      <c r="AT227" s="1092">
        <f>_xlfn.SUMIFS(Покупка!AS$25:AS$87,Покупка!$F$25:$F$87,$F227,Покупка!$AC$25:$AC$87,$G227)</f>
        <v>0</v>
      </c>
      <c r="AU227" s="1092">
        <f>_xlfn.SUMIFS(Покупка!AT$25:AT$87,Покупка!$F$25:$F$87,$F227,Покупка!$AC$25:$AC$87,$G227)</f>
        <v>0</v>
      </c>
      <c r="AV227" s="1092">
        <f>_xlfn.SUMIFS(Покупка!AU$25:AU$87,Покупка!$F$25:$F$87,$F227,Покупка!$AC$25:$AC$87,$G227)</f>
        <v>0</v>
      </c>
      <c r="AW227" s="1092">
        <f>_xlfn.SUMIFS(Покупка!AV$25:AV$87,Покупка!$F$25:$F$87,$F227,Покупка!$AC$25:$AC$87,$G227)</f>
        <v>0</v>
      </c>
      <c r="AX227" s="1092">
        <f>_xlfn.SUMIFS(Покупка!AW$25:AW$87,Покупка!$F$25:$F$87,$F227,Покупка!$AC$25:$AC$87,$G227)</f>
        <v>0</v>
      </c>
      <c r="AY227" s="1092">
        <f>_xlfn.SUMIFS(Покупка!AX$25:AX$87,Покупка!$F$25:$F$87,$F227,Покупка!$AC$25:$AC$87,$G227)</f>
        <v>0</v>
      </c>
      <c r="AZ227" s="1092">
        <f>_xlfn.SUMIFS(Покупка!AY$25:AY$87,Покупка!$F$25:$F$87,$F227,Покупка!$AC$25:$AC$87,$G227)</f>
        <v>0</v>
      </c>
      <c r="BA227" s="1092">
        <f>_xlfn.SUMIFS(Покупка!AZ$25:AZ$87,Покупка!$F$25:$F$87,$F227,Покупка!$AC$25:$AC$87,$G227)</f>
        <v>0</v>
      </c>
      <c r="BB227" s="1092">
        <f>_xlfn.SUMIFS(Покупка!BA$25:BA$87,Покупка!$F$25:$F$87,$F227,Покупка!$AC$25:$AC$87,$G227)</f>
        <v>0</v>
      </c>
      <c r="BC227" s="1092">
        <f>_xlfn.SUMIFS(Покупка!BB$25:BB$87,Покупка!$F$25:$F$87,$F227,Покупка!$AC$25:$AC$87,$G227)</f>
        <v>0</v>
      </c>
      <c r="BD227" s="1092">
        <f>IF(AI227=0,0,(AT227-AI227)/AI227*100)</f>
        <v>0</v>
      </c>
      <c r="BE227" s="1092">
        <f>IF(AT227=0,0,(AU227-AT227)/AT227*100)</f>
        <v>0</v>
      </c>
      <c r="BF227" s="1092">
        <f>IF(AU227=0,0,(AV227-AU227)/AU227*100)</f>
        <v>0</v>
      </c>
      <c r="BG227" s="1092">
        <f>IF(AV227=0,0,(AW227-AV227)/AV227*100)</f>
        <v>0</v>
      </c>
      <c r="BH227" s="1092">
        <f>IF(AW227=0,0,(AX227-AW227)/AW227*100)</f>
        <v>0</v>
      </c>
      <c r="BI227" s="1092">
        <f>IF(AX227=0,0,(AY227-AX227)/AX227*100)</f>
        <v>0</v>
      </c>
      <c r="BJ227" s="1092">
        <f>IF(AY227=0,0,(AZ227-AY227)/AY227*100)</f>
        <v>0</v>
      </c>
      <c r="BK227" s="1092">
        <f>IF(AZ227=0,0,(BA227-AZ227)/AZ227*100)</f>
        <v>0</v>
      </c>
      <c r="BL227" s="1092">
        <f>IF(BA227=0,0,(BB227-BA227)/BA227*100)</f>
        <v>0</v>
      </c>
      <c r="BM227" s="1092">
        <f>IF(BB227=0,0,(BC227-BB227)/BB227*100)</f>
        <v>0</v>
      </c>
      <c r="BN227" s="3618"/>
      <c r="BO227" s="3620" t="str">
        <f>IF(_xlfn.IFERROR(INDEX(Покупка!$K$26:$L$87,MATCH($F227&amp;"1komm",Покупка!$K$26:$K$87,0),2),"")=0,"",_xlfn.IFERROR(INDEX(Покупка!$K$26:$L$87,MATCH($F227&amp;"1komm",Покупка!$K$26:$K$87,0),2),""))</f>
        <v/>
      </c>
      <c r="BP227" s="3618"/>
      <c r="BQ227" s="1256"/>
      <c r="BR227" s="1256"/>
      <c r="BS227" s="1041" t="s">
        <v>1889</v>
      </c>
      <c r="BT227" s="1041"/>
      <c r="BU227" s="1041"/>
      <c r="BV227" s="956"/>
      <c r="BW227" s="956"/>
    </row>
    <row s="1624" customFormat="1" customHeight="1" ht="14.25">
      <c r="A228" s="1256"/>
      <c r="B228" s="955"/>
      <c r="C228" s="73"/>
      <c r="D228" s="73"/>
      <c r="E228" s="596">
        <v>15</v>
      </c>
      <c r="F228" s="50" cm="1" t="str">
        <f t="array" ref="F228:F228">OFFSET(E228,-1,1)</f>
        <v>1</v>
      </c>
      <c r="G228" s="73" t="s">
        <v>1027</v>
      </c>
      <c r="H228" s="73"/>
      <c r="I228" s="73" t="s">
        <v>1518</v>
      </c>
      <c r="J228" s="73"/>
      <c r="K228" s="73" t="s">
        <v>1518</v>
      </c>
      <c r="L228" s="957"/>
      <c r="M228" s="73"/>
      <c r="N228" s="73"/>
      <c r="O228" s="73"/>
      <c r="P228" s="73"/>
      <c r="Q228" s="73"/>
      <c r="R228" s="73"/>
      <c r="S228" s="73"/>
      <c r="T228" s="438" cm="1" t="str">
        <f t="array" ref="T228:T228">T227</f>
        <v>true</v>
      </c>
      <c r="U228" s="73"/>
      <c r="V228" s="73"/>
      <c r="W228" s="73"/>
      <c r="X228" s="1541"/>
      <c r="Y228" s="1256"/>
      <c r="Z228" s="1494"/>
      <c r="AA228" s="1256"/>
      <c r="AB228" s="266" t="s">
        <v>1890</v>
      </c>
      <c r="AC228" s="741" t="s">
        <v>1891</v>
      </c>
      <c r="AD228" s="266" t="s">
        <v>789</v>
      </c>
      <c r="AE228" s="1092">
        <f>_xlfn.SUMIFS(Покупка!AE$25:AE$87,Покупка!$F$25:$F$87,$F228,Покупка!$AC$25:$AC$87,$G228)</f>
        <v>0</v>
      </c>
      <c r="AF228" s="1092">
        <f>_xlfn.SUMIFS(Покупка!AF$25:AF$87,Покупка!$F$25:$F$87,$F228,Покупка!$AC$25:$AC$87,$G228)</f>
        <v>0</v>
      </c>
      <c r="AG228" s="1092">
        <f>_xlfn.SUMIFS(Покупка!AG$25:AG$87,Покупка!$F$25:$F$87,$F228,Покупка!$AC$25:$AC$87,$G228)</f>
        <v>0</v>
      </c>
      <c r="AH228" s="1092">
        <f>AG228-AF228</f>
        <v>0</v>
      </c>
      <c r="AI228" s="1092">
        <f>_xlfn.SUMIFS(Покупка!AH$25:AH$87,Покупка!$F$25:$F$87,$F228,Покупка!$AC$25:$AC$87,$G228)</f>
        <v>0</v>
      </c>
      <c r="AJ228" s="1092">
        <f>_xlfn.SUMIFS(Покупка!AI$25:AI$87,Покупка!$F$25:$F$87,$F228,Покупка!$AC$25:$AC$87,$G228)</f>
        <v>0</v>
      </c>
      <c r="AK228" s="1092">
        <f>_xlfn.SUMIFS(Покупка!AJ$25:AJ$87,Покупка!$F$25:$F$87,$F228,Покупка!$AC$25:$AC$87,$G228)</f>
        <v>0</v>
      </c>
      <c r="AL228" s="1092">
        <f>_xlfn.SUMIFS(Покупка!AK$25:AK$87,Покупка!$F$25:$F$87,$F228,Покупка!$AC$25:$AC$87,$G228)</f>
        <v>0</v>
      </c>
      <c r="AM228" s="1092">
        <f>_xlfn.SUMIFS(Покупка!AL$25:AL$87,Покупка!$F$25:$F$87,$F228,Покупка!$AC$25:$AC$87,$G228)</f>
        <v>0</v>
      </c>
      <c r="AN228" s="1092">
        <f>_xlfn.SUMIFS(Покупка!AM$25:AM$87,Покупка!$F$25:$F$87,$F228,Покупка!$AC$25:$AC$87,$G228)</f>
        <v>0</v>
      </c>
      <c r="AO228" s="1092">
        <f>_xlfn.SUMIFS(Покупка!AN$25:AN$87,Покупка!$F$25:$F$87,$F228,Покупка!$AC$25:$AC$87,$G228)</f>
        <v>0</v>
      </c>
      <c r="AP228" s="1092">
        <f>_xlfn.SUMIFS(Покупка!AO$25:AO$87,Покупка!$F$25:$F$87,$F228,Покупка!$AC$25:$AC$87,$G228)</f>
        <v>0</v>
      </c>
      <c r="AQ228" s="1092">
        <f>_xlfn.SUMIFS(Покупка!AP$25:AP$87,Покупка!$F$25:$F$87,$F228,Покупка!$AC$25:$AC$87,$G228)</f>
        <v>0</v>
      </c>
      <c r="AR228" s="1092">
        <f>_xlfn.SUMIFS(Покупка!AQ$25:AQ$87,Покупка!$F$25:$F$87,$F228,Покупка!$AC$25:$AC$87,$G228)</f>
        <v>0</v>
      </c>
      <c r="AS228" s="1092">
        <f>_xlfn.SUMIFS(Покупка!AR$25:AR$87,Покупка!$F$25:$F$87,$F228,Покупка!$AC$25:$AC$87,$G228)</f>
        <v>0</v>
      </c>
      <c r="AT228" s="1092">
        <f>_xlfn.SUMIFS(Покупка!AS$25:AS$87,Покупка!$F$25:$F$87,$F228,Покупка!$AC$25:$AC$87,$G228)</f>
        <v>0</v>
      </c>
      <c r="AU228" s="1092">
        <f>_xlfn.SUMIFS(Покупка!AT$25:AT$87,Покупка!$F$25:$F$87,$F228,Покупка!$AC$25:$AC$87,$G228)</f>
        <v>0</v>
      </c>
      <c r="AV228" s="1092">
        <f>_xlfn.SUMIFS(Покупка!AU$25:AU$87,Покупка!$F$25:$F$87,$F228,Покупка!$AC$25:$AC$87,$G228)</f>
        <v>0</v>
      </c>
      <c r="AW228" s="1092">
        <f>_xlfn.SUMIFS(Покупка!AV$25:AV$87,Покупка!$F$25:$F$87,$F228,Покупка!$AC$25:$AC$87,$G228)</f>
        <v>0</v>
      </c>
      <c r="AX228" s="1092">
        <f>_xlfn.SUMIFS(Покупка!AW$25:AW$87,Покупка!$F$25:$F$87,$F228,Покупка!$AC$25:$AC$87,$G228)</f>
        <v>0</v>
      </c>
      <c r="AY228" s="1092">
        <f>_xlfn.SUMIFS(Покупка!AX$25:AX$87,Покупка!$F$25:$F$87,$F228,Покупка!$AC$25:$AC$87,$G228)</f>
        <v>0</v>
      </c>
      <c r="AZ228" s="1092">
        <f>_xlfn.SUMIFS(Покупка!AY$25:AY$87,Покупка!$F$25:$F$87,$F228,Покупка!$AC$25:$AC$87,$G228)</f>
        <v>0</v>
      </c>
      <c r="BA228" s="1092">
        <f>_xlfn.SUMIFS(Покупка!AZ$25:AZ$87,Покупка!$F$25:$F$87,$F228,Покупка!$AC$25:$AC$87,$G228)</f>
        <v>0</v>
      </c>
      <c r="BB228" s="1092">
        <f>_xlfn.SUMIFS(Покупка!BA$25:BA$87,Покупка!$F$25:$F$87,$F228,Покупка!$AC$25:$AC$87,$G228)</f>
        <v>0</v>
      </c>
      <c r="BC228" s="1092">
        <f>_xlfn.SUMIFS(Покупка!BB$25:BB$87,Покупка!$F$25:$F$87,$F228,Покупка!$AC$25:$AC$87,$G228)</f>
        <v>0</v>
      </c>
      <c r="BD228" s="1092">
        <f>IF(AI228=0,0,(AT228-AI228)/AI228*100)</f>
        <v>0</v>
      </c>
      <c r="BE228" s="1092">
        <f>IF(AT228=0,0,(AU228-AT228)/AT228*100)</f>
        <v>0</v>
      </c>
      <c r="BF228" s="1092">
        <f>IF(AU228=0,0,(AV228-AU228)/AU228*100)</f>
        <v>0</v>
      </c>
      <c r="BG228" s="1092">
        <f>IF(AV228=0,0,(AW228-AV228)/AV228*100)</f>
        <v>0</v>
      </c>
      <c r="BH228" s="1092">
        <f>IF(AW228=0,0,(AX228-AW228)/AW228*100)</f>
        <v>0</v>
      </c>
      <c r="BI228" s="1092">
        <f>IF(AX228=0,0,(AY228-AX228)/AX228*100)</f>
        <v>0</v>
      </c>
      <c r="BJ228" s="1092">
        <f>IF(AY228=0,0,(AZ228-AY228)/AY228*100)</f>
        <v>0</v>
      </c>
      <c r="BK228" s="1092">
        <f>IF(AZ228=0,0,(BA228-AZ228)/AZ228*100)</f>
        <v>0</v>
      </c>
      <c r="BL228" s="1092">
        <f>IF(BA228=0,0,(BB228-BA228)/BA228*100)</f>
        <v>0</v>
      </c>
      <c r="BM228" s="1092">
        <f>IF(BB228=0,0,(BC228-BB228)/BB228*100)</f>
        <v>0</v>
      </c>
      <c r="BN228" s="3618"/>
      <c r="BO228" s="3620" t="str">
        <f>IF(_xlfn.IFERROR(INDEX(Покупка!$K$26:$L$87,MATCH($F228&amp;"8komm",Покупка!$K$26:$K$87,0),2),"")=0,"",_xlfn.IFERROR(INDEX(Покупка!$K$26:$L$87,MATCH($F228&amp;"8komm",Покупка!$K$26:$K$87,0),2),""))</f>
        <v/>
      </c>
      <c r="BP228" s="3618"/>
      <c r="BQ228" s="1256"/>
      <c r="BR228" s="1256"/>
      <c r="BS228" s="1041" t="s">
        <v>1028</v>
      </c>
      <c r="BT228" s="1041"/>
      <c r="BU228" s="1041"/>
      <c r="BV228" s="956"/>
      <c r="BW228" s="956"/>
    </row>
    <row s="1624" customFormat="1" customHeight="1" ht="14.25">
      <c r="A229" s="1256"/>
      <c r="B229" s="955"/>
      <c r="C229" s="73"/>
      <c r="D229" s="73"/>
      <c r="E229" s="596">
        <v>15</v>
      </c>
      <c r="F229" s="50" cm="1" t="str">
        <f t="array" ref="F229:F229">OFFSET(E229,-1,1)</f>
        <v>1</v>
      </c>
      <c r="G229" s="73"/>
      <c r="H229" s="73"/>
      <c r="I229" s="73" t="s">
        <v>1892</v>
      </c>
      <c r="J229" s="73"/>
      <c r="K229" s="73" t="s">
        <v>1892</v>
      </c>
      <c r="L229" s="957"/>
      <c r="M229" s="73"/>
      <c r="N229" s="73"/>
      <c r="O229" s="73"/>
      <c r="P229" s="73"/>
      <c r="Q229" s="73"/>
      <c r="R229" s="73"/>
      <c r="S229" s="73"/>
      <c r="T229" s="438" cm="1" t="str">
        <f t="array" ref="T229:T229">T228</f>
        <v>true</v>
      </c>
      <c r="U229" s="73"/>
      <c r="V229" s="73"/>
      <c r="W229" s="73"/>
      <c r="X229" s="1541"/>
      <c r="Y229" s="1256"/>
      <c r="Z229" s="1494"/>
      <c r="AA229" s="1256"/>
      <c r="AB229" s="266" t="s">
        <v>1893</v>
      </c>
      <c r="AC229" s="741" t="s">
        <v>1894</v>
      </c>
      <c r="AD229" s="266" t="s">
        <v>789</v>
      </c>
      <c r="AE229" s="3564"/>
      <c r="AF229" s="3564"/>
      <c r="AG229" s="3564"/>
      <c r="AH229" s="1092">
        <f>AG229-AF229</f>
        <v>0</v>
      </c>
      <c r="AI229" s="3564"/>
      <c r="AJ229" s="3564"/>
      <c r="AK229" s="3564"/>
      <c r="AL229" s="3564"/>
      <c r="AM229" s="3564"/>
      <c r="AN229" s="3564"/>
      <c r="AO229" s="3564"/>
      <c r="AP229" s="3564"/>
      <c r="AQ229" s="3564"/>
      <c r="AR229" s="3564"/>
      <c r="AS229" s="3564"/>
      <c r="AT229" s="3564"/>
      <c r="AU229" s="3564"/>
      <c r="AV229" s="3564"/>
      <c r="AW229" s="3564"/>
      <c r="AX229" s="3564"/>
      <c r="AY229" s="3564"/>
      <c r="AZ229" s="3564"/>
      <c r="BA229" s="3564"/>
      <c r="BB229" s="3564"/>
      <c r="BC229" s="3564"/>
      <c r="BD229" s="1092">
        <f>IF(AI229=0,0,(AT229-AI229)/AI229*100)</f>
        <v>0</v>
      </c>
      <c r="BE229" s="1092">
        <f>IF(AT229=0,0,(AU229-AT229)/AT229*100)</f>
        <v>0</v>
      </c>
      <c r="BF229" s="1092">
        <f>IF(AU229=0,0,(AV229-AU229)/AU229*100)</f>
        <v>0</v>
      </c>
      <c r="BG229" s="1092">
        <f>IF(AV229=0,0,(AW229-AV229)/AV229*100)</f>
        <v>0</v>
      </c>
      <c r="BH229" s="1092">
        <f>IF(AW229=0,0,(AX229-AW229)/AW229*100)</f>
        <v>0</v>
      </c>
      <c r="BI229" s="1092">
        <f>IF(AX229=0,0,(AY229-AX229)/AX229*100)</f>
        <v>0</v>
      </c>
      <c r="BJ229" s="1092">
        <f>IF(AY229=0,0,(AZ229-AY229)/AY229*100)</f>
        <v>0</v>
      </c>
      <c r="BK229" s="1092">
        <f>IF(AZ229=0,0,(BA229-AZ229)/AZ229*100)</f>
        <v>0</v>
      </c>
      <c r="BL229" s="1092">
        <f>IF(BA229=0,0,(BB229-BA229)/BA229*100)</f>
        <v>0</v>
      </c>
      <c r="BM229" s="1092">
        <f>IF(BB229=0,0,(BC229-BB229)/BB229*100)</f>
        <v>0</v>
      </c>
      <c r="BN229" s="3618"/>
      <c r="BO229" s="3618"/>
      <c r="BP229" s="3618"/>
      <c r="BQ229" s="1256"/>
      <c r="BR229" s="1256"/>
      <c r="BS229" s="1041" t="s">
        <v>1895</v>
      </c>
      <c r="BT229" s="1041"/>
      <c r="BU229" s="1041"/>
      <c r="BV229" s="956"/>
      <c r="BW229" s="956"/>
    </row>
    <row s="1624" customFormat="1" customHeight="1" ht="14.25">
      <c r="A230" s="1256"/>
      <c r="B230" s="955"/>
      <c r="C230" s="73"/>
      <c r="D230" s="73"/>
      <c r="E230" s="596">
        <v>15</v>
      </c>
      <c r="F230" s="50" cm="1" t="str">
        <f t="array" ref="F230:F230">OFFSET(E230,-1,1)</f>
        <v>1</v>
      </c>
      <c r="G230" s="73"/>
      <c r="H230" s="73"/>
      <c r="I230" s="73" t="s">
        <v>1896</v>
      </c>
      <c r="J230" s="73"/>
      <c r="K230" s="73" t="s">
        <v>1896</v>
      </c>
      <c r="L230" s="957"/>
      <c r="M230" s="73"/>
      <c r="N230" s="73"/>
      <c r="O230" s="73"/>
      <c r="P230" s="73"/>
      <c r="Q230" s="73"/>
      <c r="R230" s="73"/>
      <c r="S230" s="73"/>
      <c r="T230" s="438" cm="1" t="str">
        <f t="array" ref="T230:T230">T229</f>
        <v>true</v>
      </c>
      <c r="U230" s="73"/>
      <c r="V230" s="73"/>
      <c r="W230" s="73"/>
      <c r="X230" s="1541"/>
      <c r="Y230" s="1256"/>
      <c r="Z230" s="1494"/>
      <c r="AA230" s="1256"/>
      <c r="AB230" s="266" t="s">
        <v>1897</v>
      </c>
      <c r="AC230" s="741" t="s">
        <v>1898</v>
      </c>
      <c r="AD230" s="266" t="s">
        <v>789</v>
      </c>
      <c r="AE230" s="3564"/>
      <c r="AF230" s="3564"/>
      <c r="AG230" s="3564"/>
      <c r="AH230" s="1092">
        <f>AG230-AF230</f>
        <v>0</v>
      </c>
      <c r="AI230" s="3564"/>
      <c r="AJ230" s="3564"/>
      <c r="AK230" s="3564"/>
      <c r="AL230" s="3564"/>
      <c r="AM230" s="3564"/>
      <c r="AN230" s="3564"/>
      <c r="AO230" s="3564"/>
      <c r="AP230" s="3564"/>
      <c r="AQ230" s="3564"/>
      <c r="AR230" s="3564"/>
      <c r="AS230" s="3564"/>
      <c r="AT230" s="3564"/>
      <c r="AU230" s="3564"/>
      <c r="AV230" s="3564"/>
      <c r="AW230" s="3564"/>
      <c r="AX230" s="3564"/>
      <c r="AY230" s="3564"/>
      <c r="AZ230" s="3564"/>
      <c r="BA230" s="3564"/>
      <c r="BB230" s="3564"/>
      <c r="BC230" s="3564"/>
      <c r="BD230" s="1092">
        <f>IF(AI230=0,0,(AT230-AI230)/AI230*100)</f>
        <v>0</v>
      </c>
      <c r="BE230" s="1092">
        <f>IF(AT230=0,0,(AU230-AT230)/AT230*100)</f>
        <v>0</v>
      </c>
      <c r="BF230" s="1092">
        <f>IF(AU230=0,0,(AV230-AU230)/AU230*100)</f>
        <v>0</v>
      </c>
      <c r="BG230" s="1092">
        <f>IF(AV230=0,0,(AW230-AV230)/AV230*100)</f>
        <v>0</v>
      </c>
      <c r="BH230" s="1092">
        <f>IF(AW230=0,0,(AX230-AW230)/AW230*100)</f>
        <v>0</v>
      </c>
      <c r="BI230" s="1092">
        <f>IF(AX230=0,0,(AY230-AX230)/AX230*100)</f>
        <v>0</v>
      </c>
      <c r="BJ230" s="1092">
        <f>IF(AY230=0,0,(AZ230-AY230)/AY230*100)</f>
        <v>0</v>
      </c>
      <c r="BK230" s="1092">
        <f>IF(AZ230=0,0,(BA230-AZ230)/AZ230*100)</f>
        <v>0</v>
      </c>
      <c r="BL230" s="1092">
        <f>IF(BA230=0,0,(BB230-BA230)/BA230*100)</f>
        <v>0</v>
      </c>
      <c r="BM230" s="1092">
        <f>IF(BB230=0,0,(BC230-BB230)/BB230*100)</f>
        <v>0</v>
      </c>
      <c r="BN230" s="3618"/>
      <c r="BO230" s="3618"/>
      <c r="BP230" s="3618"/>
      <c r="BQ230" s="1256"/>
      <c r="BR230" s="1256"/>
      <c r="BS230" s="1041" t="s">
        <v>1899</v>
      </c>
      <c r="BT230" s="1041"/>
      <c r="BU230" s="1041"/>
      <c r="BV230" s="956"/>
      <c r="BW230" s="956"/>
    </row>
    <row s="1624" customFormat="1" customHeight="1" ht="14.25">
      <c r="A231" s="1256"/>
      <c r="B231" s="955"/>
      <c r="C231" s="73"/>
      <c r="D231" s="73"/>
      <c r="E231" s="596">
        <v>15</v>
      </c>
      <c r="F231" s="50" cm="1" t="str">
        <f t="array" ref="F231:F231">OFFSET(E231,-1,1)</f>
        <v>1</v>
      </c>
      <c r="G231" s="73" t="s">
        <v>1005</v>
      </c>
      <c r="H231" s="73"/>
      <c r="I231" s="73" t="s">
        <v>1900</v>
      </c>
      <c r="J231" s="73"/>
      <c r="K231" s="73" t="s">
        <v>1900</v>
      </c>
      <c r="L231" s="957" t="s">
        <v>1392</v>
      </c>
      <c r="M231" s="73"/>
      <c r="N231" s="73"/>
      <c r="O231" s="73"/>
      <c r="P231" s="73"/>
      <c r="Q231" s="73"/>
      <c r="R231" s="73"/>
      <c r="S231" s="73"/>
      <c r="T231" s="438" cm="1" t="str">
        <f t="array" ref="T231:T231">T230</f>
        <v>true</v>
      </c>
      <c r="U231" s="73"/>
      <c r="V231" s="73"/>
      <c r="W231" s="73"/>
      <c r="X231" s="1541"/>
      <c r="Y231" s="1256"/>
      <c r="Z231" s="1494"/>
      <c r="AA231" s="1256"/>
      <c r="AB231" s="266" t="s">
        <v>1901</v>
      </c>
      <c r="AC231" s="741" t="s">
        <v>1902</v>
      </c>
      <c r="AD231" s="266" t="s">
        <v>789</v>
      </c>
      <c r="AE231" s="1092">
        <f>_xlfn.SUMIFS(Покупка!AE$25:AE$87,Покупка!$F$25:$F$87,$F231,Покупка!$AC$25:$AC$87,$G231)</f>
        <v>0</v>
      </c>
      <c r="AF231" s="1092">
        <f>_xlfn.SUMIFS(Покупка!AF$25:AF$87,Покупка!$F$25:$F$87,$F231,Покупка!$AC$25:$AC$87,$G231)</f>
        <v>0</v>
      </c>
      <c r="AG231" s="1092">
        <f>_xlfn.SUMIFS(Покупка!AG$25:AG$87,Покупка!$F$25:$F$87,$F231,Покупка!$AC$25:$AC$87,$G231)</f>
        <v>0</v>
      </c>
      <c r="AH231" s="1092">
        <f>AG231-AF231</f>
        <v>0</v>
      </c>
      <c r="AI231" s="1092">
        <f>_xlfn.SUMIFS(Покупка!AH$25:AH$87,Покупка!$F$25:$F$87,$F231,Покупка!$AC$25:$AC$87,$G231)</f>
        <v>0</v>
      </c>
      <c r="AJ231" s="1092">
        <f>_xlfn.SUMIFS(Покупка!AI$25:AI$87,Покупка!$F$25:$F$87,$F231,Покупка!$AC$25:$AC$87,$G231)</f>
        <v>0</v>
      </c>
      <c r="AK231" s="1092">
        <f>_xlfn.SUMIFS(Покупка!AJ$25:AJ$87,Покупка!$F$25:$F$87,$F231,Покупка!$AC$25:$AC$87,$G231)</f>
        <v>0</v>
      </c>
      <c r="AL231" s="1092">
        <f>_xlfn.SUMIFS(Покупка!AK$25:AK$87,Покупка!$F$25:$F$87,$F231,Покупка!$AC$25:$AC$87,$G231)</f>
        <v>0</v>
      </c>
      <c r="AM231" s="1092">
        <f>_xlfn.SUMIFS(Покупка!AL$25:AL$87,Покупка!$F$25:$F$87,$F231,Покупка!$AC$25:$AC$87,$G231)</f>
        <v>0</v>
      </c>
      <c r="AN231" s="1092">
        <f>_xlfn.SUMIFS(Покупка!AM$25:AM$87,Покупка!$F$25:$F$87,$F231,Покупка!$AC$25:$AC$87,$G231)</f>
        <v>0</v>
      </c>
      <c r="AO231" s="1092">
        <f>_xlfn.SUMIFS(Покупка!AN$25:AN$87,Покупка!$F$25:$F$87,$F231,Покупка!$AC$25:$AC$87,$G231)</f>
        <v>0</v>
      </c>
      <c r="AP231" s="1092">
        <f>_xlfn.SUMIFS(Покупка!AO$25:AO$87,Покупка!$F$25:$F$87,$F231,Покупка!$AC$25:$AC$87,$G231)</f>
        <v>0</v>
      </c>
      <c r="AQ231" s="1092">
        <f>_xlfn.SUMIFS(Покупка!AP$25:AP$87,Покупка!$F$25:$F$87,$F231,Покупка!$AC$25:$AC$87,$G231)</f>
        <v>0</v>
      </c>
      <c r="AR231" s="1092">
        <f>_xlfn.SUMIFS(Покупка!AQ$25:AQ$87,Покупка!$F$25:$F$87,$F231,Покупка!$AC$25:$AC$87,$G231)</f>
        <v>0</v>
      </c>
      <c r="AS231" s="1092">
        <f>_xlfn.SUMIFS(Покупка!AR$25:AR$87,Покупка!$F$25:$F$87,$F231,Покупка!$AC$25:$AC$87,$G231)</f>
        <v>0</v>
      </c>
      <c r="AT231" s="1092">
        <f>_xlfn.SUMIFS(Покупка!AS$25:AS$87,Покупка!$F$25:$F$87,$F231,Покупка!$AC$25:$AC$87,$G231)</f>
        <v>0</v>
      </c>
      <c r="AU231" s="1092">
        <f>_xlfn.SUMIFS(Покупка!AT$25:AT$87,Покупка!$F$25:$F$87,$F231,Покупка!$AC$25:$AC$87,$G231)</f>
        <v>0</v>
      </c>
      <c r="AV231" s="1092">
        <f>_xlfn.SUMIFS(Покупка!AU$25:AU$87,Покупка!$F$25:$F$87,$F231,Покупка!$AC$25:$AC$87,$G231)</f>
        <v>0</v>
      </c>
      <c r="AW231" s="1092">
        <f>_xlfn.SUMIFS(Покупка!AV$25:AV$87,Покупка!$F$25:$F$87,$F231,Покупка!$AC$25:$AC$87,$G231)</f>
        <v>0</v>
      </c>
      <c r="AX231" s="1092">
        <f>_xlfn.SUMIFS(Покупка!AW$25:AW$87,Покупка!$F$25:$F$87,$F231,Покупка!$AC$25:$AC$87,$G231)</f>
        <v>0</v>
      </c>
      <c r="AY231" s="1092">
        <f>_xlfn.SUMIFS(Покупка!AX$25:AX$87,Покупка!$F$25:$F$87,$F231,Покупка!$AC$25:$AC$87,$G231)</f>
        <v>0</v>
      </c>
      <c r="AZ231" s="1092">
        <f>_xlfn.SUMIFS(Покупка!AY$25:AY$87,Покупка!$F$25:$F$87,$F231,Покупка!$AC$25:$AC$87,$G231)</f>
        <v>0</v>
      </c>
      <c r="BA231" s="1092">
        <f>_xlfn.SUMIFS(Покупка!AZ$25:AZ$87,Покупка!$F$25:$F$87,$F231,Покупка!$AC$25:$AC$87,$G231)</f>
        <v>0</v>
      </c>
      <c r="BB231" s="1092">
        <f>_xlfn.SUMIFS(Покупка!BA$25:BA$87,Покупка!$F$25:$F$87,$F231,Покупка!$AC$25:$AC$87,$G231)</f>
        <v>0</v>
      </c>
      <c r="BC231" s="1092">
        <f>_xlfn.SUMIFS(Покупка!BB$25:BB$87,Покупка!$F$25:$F$87,$F231,Покупка!$AC$25:$AC$87,$G231)</f>
        <v>0</v>
      </c>
      <c r="BD231" s="1092">
        <f>IF(AI231=0,0,(AT231-AI231)/AI231*100)</f>
        <v>0</v>
      </c>
      <c r="BE231" s="1092">
        <f>IF(AT231=0,0,(AU231-AT231)/AT231*100)</f>
        <v>0</v>
      </c>
      <c r="BF231" s="1092">
        <f>IF(AU231=0,0,(AV231-AU231)/AU231*100)</f>
        <v>0</v>
      </c>
      <c r="BG231" s="1092">
        <f>IF(AV231=0,0,(AW231-AV231)/AV231*100)</f>
        <v>0</v>
      </c>
      <c r="BH231" s="1092">
        <f>IF(AW231=0,0,(AX231-AW231)/AW231*100)</f>
        <v>0</v>
      </c>
      <c r="BI231" s="1092">
        <f>IF(AX231=0,0,(AY231-AX231)/AX231*100)</f>
        <v>0</v>
      </c>
      <c r="BJ231" s="1092">
        <f>IF(AY231=0,0,(AZ231-AY231)/AY231*100)</f>
        <v>0</v>
      </c>
      <c r="BK231" s="1092">
        <f>IF(AZ231=0,0,(BA231-AZ231)/AZ231*100)</f>
        <v>0</v>
      </c>
      <c r="BL231" s="1092">
        <f>IF(BA231=0,0,(BB231-BA231)/BA231*100)</f>
        <v>0</v>
      </c>
      <c r="BM231" s="1092">
        <f>IF(BB231=0,0,(BC231-BB231)/BB231*100)</f>
        <v>0</v>
      </c>
      <c r="BN231" s="3618"/>
      <c r="BO231" s="3620" t="str">
        <f>IF(_xlfn.IFERROR(INDEX(Покупка!$K$26:$L$87,MATCH($F231&amp;"3komm",Покупка!$K$26:$K$87,0),2),"")=0,"",_xlfn.IFERROR(INDEX(Покупка!$K$26:$L$87,MATCH($F231&amp;"3komm",Покупка!$K$26:$K$87,0),2),""))</f>
        <v/>
      </c>
      <c r="BP231" s="3618"/>
      <c r="BQ231" s="1256"/>
      <c r="BR231" s="1256"/>
      <c r="BS231" s="1041" t="s">
        <v>1593</v>
      </c>
      <c r="BT231" s="1041"/>
      <c r="BU231" s="1041"/>
      <c r="BV231" s="956"/>
      <c r="BW231" s="956"/>
    </row>
    <row s="1624" customFormat="1" customHeight="1" ht="14.25">
      <c r="A232" s="1256"/>
      <c r="B232" s="955"/>
      <c r="C232" s="73"/>
      <c r="D232" s="73"/>
      <c r="E232" s="596">
        <v>15</v>
      </c>
      <c r="F232" s="50" cm="1" t="str">
        <f t="array" ref="F232:F232">OFFSET(E232,-1,1)</f>
        <v>1</v>
      </c>
      <c r="G232" s="73" t="s">
        <v>1011</v>
      </c>
      <c r="H232" s="73"/>
      <c r="I232" s="73" t="s">
        <v>1903</v>
      </c>
      <c r="J232" s="73"/>
      <c r="K232" s="73" t="s">
        <v>1903</v>
      </c>
      <c r="L232" s="957" t="s">
        <v>1397</v>
      </c>
      <c r="M232" s="73"/>
      <c r="N232" s="73"/>
      <c r="O232" s="73"/>
      <c r="P232" s="73"/>
      <c r="Q232" s="73"/>
      <c r="R232" s="73"/>
      <c r="S232" s="73"/>
      <c r="T232" s="438" cm="1" t="str">
        <f t="array" ref="T232:T232">T231</f>
        <v>true</v>
      </c>
      <c r="U232" s="73"/>
      <c r="V232" s="73"/>
      <c r="W232" s="73"/>
      <c r="X232" s="1541"/>
      <c r="Y232" s="1256"/>
      <c r="Z232" s="1494"/>
      <c r="AA232" s="1256"/>
      <c r="AB232" s="266" t="s">
        <v>1904</v>
      </c>
      <c r="AC232" s="741" t="s">
        <v>1905</v>
      </c>
      <c r="AD232" s="266" t="s">
        <v>789</v>
      </c>
      <c r="AE232" s="1092">
        <f>_xlfn.SUMIFS(Покупка!AE$25:AE$87,Покупка!$F$25:$F$87,$F232,Покупка!$AC$25:$AC$87,$G232)</f>
        <v>0</v>
      </c>
      <c r="AF232" s="1092">
        <f>_xlfn.SUMIFS(Покупка!AF$25:AF$87,Покупка!$F$25:$F$87,$F232,Покупка!$AC$25:$AC$87,$G232)</f>
        <v>0</v>
      </c>
      <c r="AG232" s="1092">
        <f>_xlfn.SUMIFS(Покупка!AG$25:AG$87,Покупка!$F$25:$F$87,$F232,Покупка!$AC$25:$AC$87,$G232)</f>
        <v>0</v>
      </c>
      <c r="AH232" s="1092">
        <f>AG232-AF232</f>
        <v>0</v>
      </c>
      <c r="AI232" s="1092">
        <f>_xlfn.SUMIFS(Покупка!AH$25:AH$87,Покупка!$F$25:$F$87,$F232,Покупка!$AC$25:$AC$87,$G232)</f>
        <v>0</v>
      </c>
      <c r="AJ232" s="1092">
        <f>_xlfn.SUMIFS(Покупка!AI$25:AI$87,Покупка!$F$25:$F$87,$F232,Покупка!$AC$25:$AC$87,$G232)</f>
        <v>0</v>
      </c>
      <c r="AK232" s="1092">
        <f>_xlfn.SUMIFS(Покупка!AJ$25:AJ$87,Покупка!$F$25:$F$87,$F232,Покупка!$AC$25:$AC$87,$G232)</f>
        <v>0</v>
      </c>
      <c r="AL232" s="1092">
        <f>_xlfn.SUMIFS(Покупка!AK$25:AK$87,Покупка!$F$25:$F$87,$F232,Покупка!$AC$25:$AC$87,$G232)</f>
        <v>0</v>
      </c>
      <c r="AM232" s="1092">
        <f>_xlfn.SUMIFS(Покупка!AL$25:AL$87,Покупка!$F$25:$F$87,$F232,Покупка!$AC$25:$AC$87,$G232)</f>
        <v>0</v>
      </c>
      <c r="AN232" s="1092">
        <f>_xlfn.SUMIFS(Покупка!AM$25:AM$87,Покупка!$F$25:$F$87,$F232,Покупка!$AC$25:$AC$87,$G232)</f>
        <v>0</v>
      </c>
      <c r="AO232" s="1092">
        <f>_xlfn.SUMIFS(Покупка!AN$25:AN$87,Покупка!$F$25:$F$87,$F232,Покупка!$AC$25:$AC$87,$G232)</f>
        <v>0</v>
      </c>
      <c r="AP232" s="1092">
        <f>_xlfn.SUMIFS(Покупка!AO$25:AO$87,Покупка!$F$25:$F$87,$F232,Покупка!$AC$25:$AC$87,$G232)</f>
        <v>0</v>
      </c>
      <c r="AQ232" s="1092">
        <f>_xlfn.SUMIFS(Покупка!AP$25:AP$87,Покупка!$F$25:$F$87,$F232,Покупка!$AC$25:$AC$87,$G232)</f>
        <v>0</v>
      </c>
      <c r="AR232" s="1092">
        <f>_xlfn.SUMIFS(Покупка!AQ$25:AQ$87,Покупка!$F$25:$F$87,$F232,Покупка!$AC$25:$AC$87,$G232)</f>
        <v>0</v>
      </c>
      <c r="AS232" s="1092">
        <f>_xlfn.SUMIFS(Покупка!AR$25:AR$87,Покупка!$F$25:$F$87,$F232,Покупка!$AC$25:$AC$87,$G232)</f>
        <v>0</v>
      </c>
      <c r="AT232" s="1092">
        <f>_xlfn.SUMIFS(Покупка!AS$25:AS$87,Покупка!$F$25:$F$87,$F232,Покупка!$AC$25:$AC$87,$G232)</f>
        <v>0</v>
      </c>
      <c r="AU232" s="1092">
        <f>_xlfn.SUMIFS(Покупка!AT$25:AT$87,Покупка!$F$25:$F$87,$F232,Покупка!$AC$25:$AC$87,$G232)</f>
        <v>0</v>
      </c>
      <c r="AV232" s="1092">
        <f>_xlfn.SUMIFS(Покупка!AU$25:AU$87,Покупка!$F$25:$F$87,$F232,Покупка!$AC$25:$AC$87,$G232)</f>
        <v>0</v>
      </c>
      <c r="AW232" s="1092">
        <f>_xlfn.SUMIFS(Покупка!AV$25:AV$87,Покупка!$F$25:$F$87,$F232,Покупка!$AC$25:$AC$87,$G232)</f>
        <v>0</v>
      </c>
      <c r="AX232" s="1092">
        <f>_xlfn.SUMIFS(Покупка!AW$25:AW$87,Покупка!$F$25:$F$87,$F232,Покупка!$AC$25:$AC$87,$G232)</f>
        <v>0</v>
      </c>
      <c r="AY232" s="1092">
        <f>_xlfn.SUMIFS(Покупка!AX$25:AX$87,Покупка!$F$25:$F$87,$F232,Покупка!$AC$25:$AC$87,$G232)</f>
        <v>0</v>
      </c>
      <c r="AZ232" s="1092">
        <f>_xlfn.SUMIFS(Покупка!AY$25:AY$87,Покупка!$F$25:$F$87,$F232,Покупка!$AC$25:$AC$87,$G232)</f>
        <v>0</v>
      </c>
      <c r="BA232" s="1092">
        <f>_xlfn.SUMIFS(Покупка!AZ$25:AZ$87,Покупка!$F$25:$F$87,$F232,Покупка!$AC$25:$AC$87,$G232)</f>
        <v>0</v>
      </c>
      <c r="BB232" s="1092">
        <f>_xlfn.SUMIFS(Покупка!BA$25:BA$87,Покупка!$F$25:$F$87,$F232,Покупка!$AC$25:$AC$87,$G232)</f>
        <v>0</v>
      </c>
      <c r="BC232" s="1092">
        <f>_xlfn.SUMIFS(Покупка!BB$25:BB$87,Покупка!$F$25:$F$87,$F232,Покупка!$AC$25:$AC$87,$G232)</f>
        <v>0</v>
      </c>
      <c r="BD232" s="1092">
        <f>IF(AI232=0,0,(AT232-AI232)/AI232*100)</f>
        <v>0</v>
      </c>
      <c r="BE232" s="1092">
        <f>IF(AT232=0,0,(AU232-AT232)/AT232*100)</f>
        <v>0</v>
      </c>
      <c r="BF232" s="1092">
        <f>IF(AU232=0,0,(AV232-AU232)/AU232*100)</f>
        <v>0</v>
      </c>
      <c r="BG232" s="1092">
        <f>IF(AV232=0,0,(AW232-AV232)/AV232*100)</f>
        <v>0</v>
      </c>
      <c r="BH232" s="1092">
        <f>IF(AW232=0,0,(AX232-AW232)/AW232*100)</f>
        <v>0</v>
      </c>
      <c r="BI232" s="1092">
        <f>IF(AX232=0,0,(AY232-AX232)/AX232*100)</f>
        <v>0</v>
      </c>
      <c r="BJ232" s="1092">
        <f>IF(AY232=0,0,(AZ232-AY232)/AY232*100)</f>
        <v>0</v>
      </c>
      <c r="BK232" s="1092">
        <f>IF(AZ232=0,0,(BA232-AZ232)/AZ232*100)</f>
        <v>0</v>
      </c>
      <c r="BL232" s="1092">
        <f>IF(BA232=0,0,(BB232-BA232)/BA232*100)</f>
        <v>0</v>
      </c>
      <c r="BM232" s="1092">
        <f>IF(BB232=0,0,(BC232-BB232)/BB232*100)</f>
        <v>0</v>
      </c>
      <c r="BN232" s="3618"/>
      <c r="BO232" s="3620" t="str">
        <f>IF(_xlfn.IFERROR(INDEX(Покупка!$K$26:$L$87,MATCH($F232&amp;"4komm",Покупка!$K$26:$K$87,0),2),"")=0,"",_xlfn.IFERROR(INDEX(Покупка!$K$26:$L$87,MATCH($F231&amp;"3komm",Покупка!$K$26:$K$87,0),2),""))</f>
        <v/>
      </c>
      <c r="BP232" s="3618"/>
      <c r="BQ232" s="1256"/>
      <c r="BR232" s="1256"/>
      <c r="BS232" s="1041" t="s">
        <v>1596</v>
      </c>
      <c r="BT232" s="1041"/>
      <c r="BU232" s="1041"/>
      <c r="BV232" s="956"/>
      <c r="BW232" s="956"/>
    </row>
    <row s="1624" customFormat="1" customHeight="1" ht="14.25">
      <c r="A233" s="1256"/>
      <c r="B233" s="955"/>
      <c r="C233" s="73"/>
      <c r="D233" s="73"/>
      <c r="E233" s="596">
        <v>15</v>
      </c>
      <c r="F233" s="50" cm="1" t="str">
        <f t="array" ref="F233:F233">OFFSET(E233,-1,1)</f>
        <v>1</v>
      </c>
      <c r="G233" s="73" t="s">
        <v>1017</v>
      </c>
      <c r="H233" s="73"/>
      <c r="I233" s="73" t="s">
        <v>1906</v>
      </c>
      <c r="J233" s="73"/>
      <c r="K233" s="73" t="s">
        <v>1906</v>
      </c>
      <c r="L233" s="957" t="s">
        <v>1407</v>
      </c>
      <c r="M233" s="73"/>
      <c r="N233" s="73"/>
      <c r="O233" s="73"/>
      <c r="P233" s="73"/>
      <c r="Q233" s="73"/>
      <c r="R233" s="73"/>
      <c r="S233" s="73"/>
      <c r="T233" s="438" cm="1" t="str">
        <f t="array" ref="T233:T233">T232</f>
        <v>true</v>
      </c>
      <c r="U233" s="73"/>
      <c r="V233" s="73"/>
      <c r="W233" s="73"/>
      <c r="X233" s="1541"/>
      <c r="Y233" s="1256"/>
      <c r="Z233" s="1494"/>
      <c r="AA233" s="1256"/>
      <c r="AB233" s="266" t="s">
        <v>1907</v>
      </c>
      <c r="AC233" s="741" t="s">
        <v>1908</v>
      </c>
      <c r="AD233" s="266" t="s">
        <v>789</v>
      </c>
      <c r="AE233" s="1092">
        <f>_xlfn.SUMIFS(Покупка!AE$25:AE$87,Покупка!$F$25:$F$87,$F233,Покупка!$AC$25:$AC$87,$G233)</f>
        <v>0</v>
      </c>
      <c r="AF233" s="1092">
        <f>_xlfn.SUMIFS(Покупка!AF$25:AF$87,Покупка!$F$25:$F$87,$F233,Покупка!$AC$25:$AC$87,$G233)</f>
        <v>0</v>
      </c>
      <c r="AG233" s="1092">
        <f>_xlfn.SUMIFS(Покупка!AG$25:AG$87,Покупка!$F$25:$F$87,$F233,Покупка!$AC$25:$AC$87,$G233)</f>
        <v>0</v>
      </c>
      <c r="AH233" s="1092">
        <f>AG233-AF233</f>
        <v>0</v>
      </c>
      <c r="AI233" s="1092">
        <f>_xlfn.SUMIFS(Покупка!AH$25:AH$87,Покупка!$F$25:$F$87,$F233,Покупка!$AC$25:$AC$87,$G233)</f>
        <v>0</v>
      </c>
      <c r="AJ233" s="1092">
        <f>_xlfn.SUMIFS(Покупка!AI$25:AI$87,Покупка!$F$25:$F$87,$F233,Покупка!$AC$25:$AC$87,$G233)</f>
        <v>0</v>
      </c>
      <c r="AK233" s="1092">
        <f>_xlfn.SUMIFS(Покупка!AJ$25:AJ$87,Покупка!$F$25:$F$87,$F233,Покупка!$AC$25:$AC$87,$G233)</f>
        <v>0</v>
      </c>
      <c r="AL233" s="1092">
        <f>_xlfn.SUMIFS(Покупка!AK$25:AK$87,Покупка!$F$25:$F$87,$F233,Покупка!$AC$25:$AC$87,$G233)</f>
        <v>0</v>
      </c>
      <c r="AM233" s="1092">
        <f>_xlfn.SUMIFS(Покупка!AL$25:AL$87,Покупка!$F$25:$F$87,$F233,Покупка!$AC$25:$AC$87,$G233)</f>
        <v>0</v>
      </c>
      <c r="AN233" s="1092">
        <f>_xlfn.SUMIFS(Покупка!AM$25:AM$87,Покупка!$F$25:$F$87,$F233,Покупка!$AC$25:$AC$87,$G233)</f>
        <v>0</v>
      </c>
      <c r="AO233" s="1092">
        <f>_xlfn.SUMIFS(Покупка!AN$25:AN$87,Покупка!$F$25:$F$87,$F233,Покупка!$AC$25:$AC$87,$G233)</f>
        <v>0</v>
      </c>
      <c r="AP233" s="1092">
        <f>_xlfn.SUMIFS(Покупка!AO$25:AO$87,Покупка!$F$25:$F$87,$F233,Покупка!$AC$25:$AC$87,$G233)</f>
        <v>0</v>
      </c>
      <c r="AQ233" s="1092">
        <f>_xlfn.SUMIFS(Покупка!AP$25:AP$87,Покупка!$F$25:$F$87,$F233,Покупка!$AC$25:$AC$87,$G233)</f>
        <v>0</v>
      </c>
      <c r="AR233" s="1092">
        <f>_xlfn.SUMIFS(Покупка!AQ$25:AQ$87,Покупка!$F$25:$F$87,$F233,Покупка!$AC$25:$AC$87,$G233)</f>
        <v>0</v>
      </c>
      <c r="AS233" s="1092">
        <f>_xlfn.SUMIFS(Покупка!AR$25:AR$87,Покупка!$F$25:$F$87,$F233,Покупка!$AC$25:$AC$87,$G233)</f>
        <v>0</v>
      </c>
      <c r="AT233" s="1092">
        <f>_xlfn.SUMIFS(Покупка!AS$25:AS$87,Покупка!$F$25:$F$87,$F233,Покупка!$AC$25:$AC$87,$G233)</f>
        <v>0</v>
      </c>
      <c r="AU233" s="1092">
        <f>_xlfn.SUMIFS(Покупка!AT$25:AT$87,Покупка!$F$25:$F$87,$F233,Покупка!$AC$25:$AC$87,$G233)</f>
        <v>0</v>
      </c>
      <c r="AV233" s="1092">
        <f>_xlfn.SUMIFS(Покупка!AU$25:AU$87,Покупка!$F$25:$F$87,$F233,Покупка!$AC$25:$AC$87,$G233)</f>
        <v>0</v>
      </c>
      <c r="AW233" s="1092">
        <f>_xlfn.SUMIFS(Покупка!AV$25:AV$87,Покупка!$F$25:$F$87,$F233,Покупка!$AC$25:$AC$87,$G233)</f>
        <v>0</v>
      </c>
      <c r="AX233" s="1092">
        <f>_xlfn.SUMIFS(Покупка!AW$25:AW$87,Покупка!$F$25:$F$87,$F233,Покупка!$AC$25:$AC$87,$G233)</f>
        <v>0</v>
      </c>
      <c r="AY233" s="1092">
        <f>_xlfn.SUMIFS(Покупка!AX$25:AX$87,Покупка!$F$25:$F$87,$F233,Покупка!$AC$25:$AC$87,$G233)</f>
        <v>0</v>
      </c>
      <c r="AZ233" s="1092">
        <f>_xlfn.SUMIFS(Покупка!AY$25:AY$87,Покупка!$F$25:$F$87,$F233,Покупка!$AC$25:$AC$87,$G233)</f>
        <v>0</v>
      </c>
      <c r="BA233" s="1092">
        <f>_xlfn.SUMIFS(Покупка!AZ$25:AZ$87,Покупка!$F$25:$F$87,$F233,Покупка!$AC$25:$AC$87,$G233)</f>
        <v>0</v>
      </c>
      <c r="BB233" s="1092">
        <f>_xlfn.SUMIFS(Покупка!BA$25:BA$87,Покупка!$F$25:$F$87,$F233,Покупка!$AC$25:$AC$87,$G233)</f>
        <v>0</v>
      </c>
      <c r="BC233" s="1092">
        <f>_xlfn.SUMIFS(Покупка!BB$25:BB$87,Покупка!$F$25:$F$87,$F233,Покупка!$AC$25:$AC$87,$G233)</f>
        <v>0</v>
      </c>
      <c r="BD233" s="1092">
        <f>IF(AI233=0,0,(AT233-AI233)/AI233*100)</f>
        <v>0</v>
      </c>
      <c r="BE233" s="1092">
        <f>IF(AT233=0,0,(AU233-AT233)/AT233*100)</f>
        <v>0</v>
      </c>
      <c r="BF233" s="1092">
        <f>IF(AU233=0,0,(AV233-AU233)/AU233*100)</f>
        <v>0</v>
      </c>
      <c r="BG233" s="1092">
        <f>IF(AV233=0,0,(AW233-AV233)/AV233*100)</f>
        <v>0</v>
      </c>
      <c r="BH233" s="1092">
        <f>IF(AW233=0,0,(AX233-AW233)/AW233*100)</f>
        <v>0</v>
      </c>
      <c r="BI233" s="1092">
        <f>IF(AX233=0,0,(AY233-AX233)/AX233*100)</f>
        <v>0</v>
      </c>
      <c r="BJ233" s="1092">
        <f>IF(AY233=0,0,(AZ233-AY233)/AY233*100)</f>
        <v>0</v>
      </c>
      <c r="BK233" s="1092">
        <f>IF(AZ233=0,0,(BA233-AZ233)/AZ233*100)</f>
        <v>0</v>
      </c>
      <c r="BL233" s="1092">
        <f>IF(BA233=0,0,(BB233-BA233)/BA233*100)</f>
        <v>0</v>
      </c>
      <c r="BM233" s="1092">
        <f>IF(BB233=0,0,(BC233-BB233)/BB233*100)</f>
        <v>0</v>
      </c>
      <c r="BN233" s="3618"/>
      <c r="BO233" s="3620" t="str">
        <f>IF(_xlfn.IFERROR(INDEX(Покупка!$K$26:$L$87,MATCH($F233&amp;"5komm",Покупка!$K$26:$K$87,0),2),"")=0,"",_xlfn.IFERROR(INDEX(Покупка!$K$26:$L$87,MATCH($F233&amp;"5komm",Покупка!$K$26:$K$87,0),2),""))</f>
        <v/>
      </c>
      <c r="BP233" s="3618"/>
      <c r="BQ233" s="1256"/>
      <c r="BR233" s="1256"/>
      <c r="BS233" s="1041" t="s">
        <v>1599</v>
      </c>
      <c r="BT233" s="1041"/>
      <c r="BU233" s="1041"/>
      <c r="BV233" s="956"/>
      <c r="BW233" s="956"/>
    </row>
    <row s="1624" customFormat="1" customHeight="1" ht="14.25">
      <c r="A234" s="1256"/>
      <c r="B234" s="955"/>
      <c r="C234" s="73"/>
      <c r="D234" s="73"/>
      <c r="E234" s="596">
        <v>15</v>
      </c>
      <c r="F234" s="50" cm="1" t="str">
        <f t="array" ref="F234:F234">OFFSET(E234,-1,1)</f>
        <v>1</v>
      </c>
      <c r="G234" s="73" t="s">
        <v>1029</v>
      </c>
      <c r="H234" s="73"/>
      <c r="I234" s="73"/>
      <c r="J234" s="73"/>
      <c r="K234" s="73"/>
      <c r="L234" s="957" t="s">
        <v>1374</v>
      </c>
      <c r="M234" s="73"/>
      <c r="N234" s="73"/>
      <c r="O234" s="73"/>
      <c r="P234" s="73"/>
      <c r="Q234" s="73"/>
      <c r="R234" s="73"/>
      <c r="S234" s="73"/>
      <c r="T234" s="438" cm="1" t="str">
        <f t="array" ref="T234:T234">T233</f>
        <v>true</v>
      </c>
      <c r="U234" s="73"/>
      <c r="V234" s="73"/>
      <c r="W234" s="73"/>
      <c r="X234" s="1541"/>
      <c r="Y234" s="1256"/>
      <c r="Z234" s="1494"/>
      <c r="AA234" s="1256"/>
      <c r="AB234" s="266" t="s">
        <v>1909</v>
      </c>
      <c r="AC234" s="741" t="s">
        <v>1910</v>
      </c>
      <c r="AD234" s="266" t="s">
        <v>789</v>
      </c>
      <c r="AE234" s="1092">
        <f>_xlfn.SUMIFS(Покупка!AE$25:AE$87,Покупка!$F$25:$F$87,$F234,Покупка!$AC$25:$AC$87,$G234)</f>
        <v>0</v>
      </c>
      <c r="AF234" s="1092">
        <f>_xlfn.SUMIFS(Покупка!AF$25:AF$87,Покупка!$F$25:$F$87,$F234,Покупка!$AC$25:$AC$87,$G234)</f>
        <v>0</v>
      </c>
      <c r="AG234" s="1092">
        <f>_xlfn.SUMIFS(Покупка!AG$25:AG$87,Покупка!$F$25:$F$87,$F234,Покупка!$AC$25:$AC$87,$G234)</f>
        <v>0</v>
      </c>
      <c r="AH234" s="1092">
        <f>AG234-AF234</f>
        <v>0</v>
      </c>
      <c r="AI234" s="1092">
        <f>_xlfn.SUMIFS(Покупка!AH$25:AH$87,Покупка!$F$25:$F$87,$F234,Покупка!$AC$25:$AC$87,$G234)</f>
        <v>0</v>
      </c>
      <c r="AJ234" s="1092">
        <f>_xlfn.SUMIFS(Покупка!AI$25:AI$87,Покупка!$F$25:$F$87,$F234,Покупка!$AC$25:$AC$87,$G234)</f>
        <v>0</v>
      </c>
      <c r="AK234" s="1092">
        <f>_xlfn.SUMIFS(Покупка!AJ$25:AJ$87,Покупка!$F$25:$F$87,$F234,Покупка!$AC$25:$AC$87,$G234)</f>
        <v>0</v>
      </c>
      <c r="AL234" s="1092">
        <f>_xlfn.SUMIFS(Покупка!AK$25:AK$87,Покупка!$F$25:$F$87,$F234,Покупка!$AC$25:$AC$87,$G234)</f>
        <v>0</v>
      </c>
      <c r="AM234" s="1092">
        <f>_xlfn.SUMIFS(Покупка!AL$25:AL$87,Покупка!$F$25:$F$87,$F234,Покупка!$AC$25:$AC$87,$G234)</f>
        <v>0</v>
      </c>
      <c r="AN234" s="1092">
        <f>_xlfn.SUMIFS(Покупка!AM$25:AM$87,Покупка!$F$25:$F$87,$F234,Покупка!$AC$25:$AC$87,$G234)</f>
        <v>0</v>
      </c>
      <c r="AO234" s="1092">
        <f>_xlfn.SUMIFS(Покупка!AN$25:AN$87,Покупка!$F$25:$F$87,$F234,Покупка!$AC$25:$AC$87,$G234)</f>
        <v>0</v>
      </c>
      <c r="AP234" s="1092">
        <f>_xlfn.SUMIFS(Покупка!AO$25:AO$87,Покупка!$F$25:$F$87,$F234,Покупка!$AC$25:$AC$87,$G234)</f>
        <v>0</v>
      </c>
      <c r="AQ234" s="1092">
        <f>_xlfn.SUMIFS(Покупка!AP$25:AP$87,Покупка!$F$25:$F$87,$F234,Покупка!$AC$25:$AC$87,$G234)</f>
        <v>0</v>
      </c>
      <c r="AR234" s="1092">
        <f>_xlfn.SUMIFS(Покупка!AQ$25:AQ$87,Покупка!$F$25:$F$87,$F234,Покупка!$AC$25:$AC$87,$G234)</f>
        <v>0</v>
      </c>
      <c r="AS234" s="1092">
        <f>_xlfn.SUMIFS(Покупка!AR$25:AR$87,Покупка!$F$25:$F$87,$F234,Покупка!$AC$25:$AC$87,$G234)</f>
        <v>0</v>
      </c>
      <c r="AT234" s="1092">
        <f>_xlfn.SUMIFS(Покупка!AS$25:AS$87,Покупка!$F$25:$F$87,$F234,Покупка!$AC$25:$AC$87,$G234)</f>
        <v>0</v>
      </c>
      <c r="AU234" s="1092">
        <f>_xlfn.SUMIFS(Покупка!AT$25:AT$87,Покупка!$F$25:$F$87,$F234,Покупка!$AC$25:$AC$87,$G234)</f>
        <v>0</v>
      </c>
      <c r="AV234" s="1092">
        <f>_xlfn.SUMIFS(Покупка!AU$25:AU$87,Покупка!$F$25:$F$87,$F234,Покупка!$AC$25:$AC$87,$G234)</f>
        <v>0</v>
      </c>
      <c r="AW234" s="1092">
        <f>_xlfn.SUMIFS(Покупка!AV$25:AV$87,Покупка!$F$25:$F$87,$F234,Покупка!$AC$25:$AC$87,$G234)</f>
        <v>0</v>
      </c>
      <c r="AX234" s="1092">
        <f>_xlfn.SUMIFS(Покупка!AW$25:AW$87,Покупка!$F$25:$F$87,$F234,Покупка!$AC$25:$AC$87,$G234)</f>
        <v>0</v>
      </c>
      <c r="AY234" s="1092">
        <f>_xlfn.SUMIFS(Покупка!AX$25:AX$87,Покупка!$F$25:$F$87,$F234,Покупка!$AC$25:$AC$87,$G234)</f>
        <v>0</v>
      </c>
      <c r="AZ234" s="1092">
        <f>_xlfn.SUMIFS(Покупка!AY$25:AY$87,Покупка!$F$25:$F$87,$F234,Покупка!$AC$25:$AC$87,$G234)</f>
        <v>0</v>
      </c>
      <c r="BA234" s="1092">
        <f>_xlfn.SUMIFS(Покупка!AZ$25:AZ$87,Покупка!$F$25:$F$87,$F234,Покупка!$AC$25:$AC$87,$G234)</f>
        <v>0</v>
      </c>
      <c r="BB234" s="1092">
        <f>_xlfn.SUMIFS(Покупка!BA$25:BA$87,Покупка!$F$25:$F$87,$F234,Покупка!$AC$25:$AC$87,$G234)</f>
        <v>0</v>
      </c>
      <c r="BC234" s="1092">
        <f>_xlfn.SUMIFS(Покупка!BB$25:BB$87,Покупка!$F$25:$F$87,$F234,Покупка!$AC$25:$AC$87,$G234)</f>
        <v>0</v>
      </c>
      <c r="BD234" s="1092">
        <f>IF(AI234=0,0,(AT234-AI234)/AI234*100)</f>
        <v>0</v>
      </c>
      <c r="BE234" s="1092">
        <f>IF(AT234=0,0,(AU234-AT234)/AT234*100)</f>
        <v>0</v>
      </c>
      <c r="BF234" s="1092">
        <f>IF(AU234=0,0,(AV234-AU234)/AU234*100)</f>
        <v>0</v>
      </c>
      <c r="BG234" s="1092">
        <f>IF(AV234=0,0,(AW234-AV234)/AV234*100)</f>
        <v>0</v>
      </c>
      <c r="BH234" s="1092">
        <f>IF(AW234=0,0,(AX234-AW234)/AW234*100)</f>
        <v>0</v>
      </c>
      <c r="BI234" s="1092">
        <f>IF(AX234=0,0,(AY234-AX234)/AX234*100)</f>
        <v>0</v>
      </c>
      <c r="BJ234" s="1092">
        <f>IF(AY234=0,0,(AZ234-AY234)/AY234*100)</f>
        <v>0</v>
      </c>
      <c r="BK234" s="1092">
        <f>IF(AZ234=0,0,(BA234-AZ234)/AZ234*100)</f>
        <v>0</v>
      </c>
      <c r="BL234" s="1092">
        <f>IF(BA234=0,0,(BB234-BA234)/BA234*100)</f>
        <v>0</v>
      </c>
      <c r="BM234" s="1092">
        <f>IF(BB234=0,0,(BC234-BB234)/BB234*100)</f>
        <v>0</v>
      </c>
      <c r="BN234" s="3618"/>
      <c r="BO234" s="3620" t="str">
        <f>IF(_xlfn.IFERROR(INDEX(Покупка!$K$26:$L$87,MATCH($F234&amp;"9komm",Покупка!$K$26:$K$87,0),2),"")=0,"",_xlfn.IFERROR(INDEX(Покупка!$K$26:$L$87,MATCH($F234&amp;"9komm",Покупка!$K$26:$K$87,0),2),""))</f>
        <v/>
      </c>
      <c r="BP234" s="3618"/>
      <c r="BQ234" s="1256"/>
      <c r="BR234" s="1256"/>
      <c r="BS234" s="1041" t="s">
        <v>1030</v>
      </c>
      <c r="BT234" s="1041"/>
      <c r="BU234" s="1041"/>
      <c r="BV234" s="956"/>
      <c r="BW234" s="956"/>
    </row>
    <row s="1624" customFormat="1" customHeight="1" ht="14.25">
      <c r="A235" s="1256"/>
      <c r="B235" s="955"/>
      <c r="C235" s="73"/>
      <c r="D235" s="73"/>
      <c r="E235" s="596">
        <v>15</v>
      </c>
      <c r="F235" s="50" cm="1" t="str">
        <f t="array" ref="F235:F235">OFFSET(E235,-1,1)</f>
        <v>1</v>
      </c>
      <c r="G235" s="73"/>
      <c r="H235" s="73"/>
      <c r="I235" s="73" t="s">
        <v>455</v>
      </c>
      <c r="J235" s="73"/>
      <c r="K235" s="73" t="s">
        <v>455</v>
      </c>
      <c r="L235" s="957"/>
      <c r="M235" s="73"/>
      <c r="N235" s="73"/>
      <c r="O235" s="73"/>
      <c r="P235" s="73"/>
      <c r="Q235" s="73"/>
      <c r="R235" s="73"/>
      <c r="S235" s="73"/>
      <c r="T235" s="438" cm="1" t="str">
        <f t="array" ref="T235:T235">T234</f>
        <v>true</v>
      </c>
      <c r="U235" s="73"/>
      <c r="V235" s="73"/>
      <c r="W235" s="73"/>
      <c r="X235" s="1541"/>
      <c r="Y235" s="1256"/>
      <c r="Z235" s="1494"/>
      <c r="AA235" s="1256"/>
      <c r="AB235" s="266" t="s">
        <v>513</v>
      </c>
      <c r="AC235" s="738" t="s">
        <v>1911</v>
      </c>
      <c r="AD235" s="755" t="s">
        <v>789</v>
      </c>
      <c r="AE235" s="1092">
        <f>_xlfn.SUMIFS('Сырье и материалы'!AE$25:AE$35,'Сырье и материалы'!$F$25:$F$35,$F235,'Сырье и материалы'!$AC$25:$AC$35,"Всего по тарифу")</f>
        <v>0</v>
      </c>
      <c r="AF235" s="1092">
        <f>_xlfn.SUMIFS('Сырье и материалы'!AF$25:AF$35,'Сырье и материалы'!$F$25:$F$35,$F235,'Сырье и материалы'!$AC$25:$AC$35,"Всего по тарифу")</f>
        <v>0</v>
      </c>
      <c r="AG235" s="1092">
        <f>_xlfn.SUMIFS('Сырье и материалы'!AG$25:AG$35,'Сырье и материалы'!$F$25:$F$35,$F235,'Сырье и материалы'!$AC$25:$AC$35,"Всего по тарифу")</f>
        <v>0</v>
      </c>
      <c r="AH235" s="1092">
        <f>AG235-AF235</f>
        <v>0</v>
      </c>
      <c r="AI235" s="1092">
        <f>_xlfn.SUMIFS('Сырье и материалы'!AH$25:AH$35,'Сырье и материалы'!$F$25:$F$35,$F235,'Сырье и материалы'!$AC$25:$AC$35,"Всего по тарифу")</f>
        <v>0</v>
      </c>
      <c r="AJ235" s="1092">
        <f>_xlfn.SUMIFS('Сырье и материалы'!AI$25:AI$35,'Сырье и материалы'!$F$25:$F$35,$F235,'Сырье и материалы'!$AC$25:$AC$35,"Всего по тарифу")</f>
        <v>0</v>
      </c>
      <c r="AK235" s="1092">
        <f>_xlfn.SUMIFS('Сырье и материалы'!AJ$25:AJ$35,'Сырье и материалы'!$F$25:$F$35,$F235,'Сырье и материалы'!$AC$25:$AC$35,"Всего по тарифу")</f>
        <v>0</v>
      </c>
      <c r="AL235" s="1092">
        <f>_xlfn.SUMIFS('Сырье и материалы'!AK$25:AK$35,'Сырье и материалы'!$F$25:$F$35,$F235,'Сырье и материалы'!$AC$25:$AC$35,"Всего по тарифу")</f>
        <v>0</v>
      </c>
      <c r="AM235" s="1092">
        <f>_xlfn.SUMIFS('Сырье и материалы'!AL$25:AL$35,'Сырье и материалы'!$F$25:$F$35,$F235,'Сырье и материалы'!$AC$25:$AC$35,"Всего по тарифу")</f>
        <v>0</v>
      </c>
      <c r="AN235" s="1092">
        <f>_xlfn.SUMIFS('Сырье и материалы'!AM$25:AM$35,'Сырье и материалы'!$F$25:$F$35,$F235,'Сырье и материалы'!$AC$25:$AC$35,"Всего по тарифу")</f>
        <v>0</v>
      </c>
      <c r="AO235" s="1092">
        <f>_xlfn.SUMIFS('Сырье и материалы'!AN$25:AN$35,'Сырье и материалы'!$F$25:$F$35,$F235,'Сырье и материалы'!$AC$25:$AC$35,"Всего по тарифу")</f>
        <v>0</v>
      </c>
      <c r="AP235" s="1092">
        <f>_xlfn.SUMIFS('Сырье и материалы'!AO$25:AO$35,'Сырье и материалы'!$F$25:$F$35,$F235,'Сырье и материалы'!$AC$25:$AC$35,"Всего по тарифу")</f>
        <v>0</v>
      </c>
      <c r="AQ235" s="1092">
        <f>_xlfn.SUMIFS('Сырье и материалы'!AP$25:AP$35,'Сырье и материалы'!$F$25:$F$35,$F235,'Сырье и материалы'!$AC$25:$AC$35,"Всего по тарифу")</f>
        <v>0</v>
      </c>
      <c r="AR235" s="1092">
        <f>_xlfn.SUMIFS('Сырье и материалы'!AQ$25:AQ$35,'Сырье и материалы'!$F$25:$F$35,$F235,'Сырье и материалы'!$AC$25:$AC$35,"Всего по тарифу")</f>
        <v>0</v>
      </c>
      <c r="AS235" s="1092">
        <f>_xlfn.SUMIFS('Сырье и материалы'!AR$25:AR$35,'Сырье и материалы'!$F$25:$F$35,$F235,'Сырье и материалы'!$AC$25:$AC$35,"Всего по тарифу")</f>
        <v>0</v>
      </c>
      <c r="AT235" s="1092">
        <f>_xlfn.SUMIFS('Сырье и материалы'!AS$25:AS$35,'Сырье и материалы'!$F$25:$F$35,$F235,'Сырье и материалы'!$AC$25:$AC$35,"Всего по тарифу")</f>
        <v>0</v>
      </c>
      <c r="AU235" s="1092">
        <f>_xlfn.SUMIFS('Сырье и материалы'!AT$25:AT$35,'Сырье и материалы'!$F$25:$F$35,$F235,'Сырье и материалы'!$AC$25:$AC$35,"Всего по тарифу")</f>
        <v>0</v>
      </c>
      <c r="AV235" s="1092">
        <f>_xlfn.SUMIFS('Сырье и материалы'!AU$25:AU$35,'Сырье и материалы'!$F$25:$F$35,$F235,'Сырье и материалы'!$AC$25:$AC$35,"Всего по тарифу")</f>
        <v>0</v>
      </c>
      <c r="AW235" s="1092">
        <f>_xlfn.SUMIFS('Сырье и материалы'!AV$25:AV$35,'Сырье и материалы'!$F$25:$F$35,$F235,'Сырье и материалы'!$AC$25:$AC$35,"Всего по тарифу")</f>
        <v>0</v>
      </c>
      <c r="AX235" s="1092">
        <f>_xlfn.SUMIFS('Сырье и материалы'!AW$25:AW$35,'Сырье и материалы'!$F$25:$F$35,$F235,'Сырье и материалы'!$AC$25:$AC$35,"Всего по тарифу")</f>
        <v>0</v>
      </c>
      <c r="AY235" s="1092">
        <f>_xlfn.SUMIFS('Сырье и материалы'!AX$25:AX$35,'Сырье и материалы'!$F$25:$F$35,$F235,'Сырье и материалы'!$AC$25:$AC$35,"Всего по тарифу")</f>
        <v>0</v>
      </c>
      <c r="AZ235" s="1092">
        <f>_xlfn.SUMIFS('Сырье и материалы'!AY$25:AY$35,'Сырье и материалы'!$F$25:$F$35,$F235,'Сырье и материалы'!$AC$25:$AC$35,"Всего по тарифу")</f>
        <v>0</v>
      </c>
      <c r="BA235" s="1092">
        <f>_xlfn.SUMIFS('Сырье и материалы'!AZ$25:AZ$35,'Сырье и материалы'!$F$25:$F$35,$F235,'Сырье и материалы'!$AC$25:$AC$35,"Всего по тарифу")</f>
        <v>0</v>
      </c>
      <c r="BB235" s="1092">
        <f>_xlfn.SUMIFS('Сырье и материалы'!BA$25:BA$35,'Сырье и материалы'!$F$25:$F$35,$F235,'Сырье и материалы'!$AC$25:$AC$35,"Всего по тарифу")</f>
        <v>0</v>
      </c>
      <c r="BC235" s="1092">
        <f>_xlfn.SUMIFS('Сырье и материалы'!BB$25:BB$35,'Сырье и материалы'!$F$25:$F$35,$F235,'Сырье и материалы'!$AC$25:$AC$35,"Всего по тарифу")</f>
        <v>0</v>
      </c>
      <c r="BD235" s="1092">
        <f>IF(AI235=0,0,(AT235-AI235)/AI235*100)</f>
        <v>0</v>
      </c>
      <c r="BE235" s="1092">
        <f>IF(AT235=0,0,(AU235-AT235)/AT235*100)</f>
        <v>0</v>
      </c>
      <c r="BF235" s="1092">
        <f>IF(AU235=0,0,(AV235-AU235)/AU235*100)</f>
        <v>0</v>
      </c>
      <c r="BG235" s="1092">
        <f>IF(AV235=0,0,(AW235-AV235)/AV235*100)</f>
        <v>0</v>
      </c>
      <c r="BH235" s="1092">
        <f>IF(AW235=0,0,(AX235-AW235)/AW235*100)</f>
        <v>0</v>
      </c>
      <c r="BI235" s="1092">
        <f>IF(AX235=0,0,(AY235-AX235)/AX235*100)</f>
        <v>0</v>
      </c>
      <c r="BJ235" s="1092">
        <f>IF(AY235=0,0,(AZ235-AY235)/AY235*100)</f>
        <v>0</v>
      </c>
      <c r="BK235" s="1092">
        <f>IF(AZ235=0,0,(BA235-AZ235)/AZ235*100)</f>
        <v>0</v>
      </c>
      <c r="BL235" s="1092">
        <f>IF(BA235=0,0,(BB235-BA235)/BA235*100)</f>
        <v>0</v>
      </c>
      <c r="BM235" s="1092">
        <f>IF(BB235=0,0,(BC235-BB235)/BB235*100)</f>
        <v>0</v>
      </c>
      <c r="BN235" s="3618"/>
      <c r="BO235" s="3620" t="str">
        <f>IF(_xlfn.IFERROR(INDEX('Сырье и материалы'!$K$26:$L$35,MATCH($F235&amp;"komm",'Сырье и материалы'!$K$26:$K$35,0),2),"")=0,"",_xlfn.IFERROR(INDEX('Сырье и материалы'!$K$26:$L$35,MATCH($F235&amp;"komm",'Сырье и материалы'!$K$26:$K$35,0),2),""))</f>
        <v/>
      </c>
      <c r="BP235" s="3618"/>
      <c r="BQ235" s="1256"/>
      <c r="BR235" s="1256"/>
      <c r="BS235" s="1041" t="s">
        <v>1572</v>
      </c>
      <c r="BT235" s="1041"/>
      <c r="BU235" s="1041"/>
      <c r="BV235" s="956"/>
      <c r="BW235" s="956"/>
    </row>
    <row s="3667" customFormat="1" customHeight="1" ht="20.25">
      <c r="A236" s="676"/>
      <c r="B236" s="407"/>
      <c r="C236" s="75"/>
      <c r="D236" s="75"/>
      <c r="E236" s="802">
        <v>21</v>
      </c>
      <c r="F236" s="50" cm="1" t="str">
        <f t="array" ref="F236:F236">OFFSET(E236,-1,1)</f>
        <v>1</v>
      </c>
      <c r="G236" s="75"/>
      <c r="H236" s="73"/>
      <c r="I236" s="73" t="s">
        <v>864</v>
      </c>
      <c r="J236" s="75"/>
      <c r="K236" s="73" t="s">
        <v>864</v>
      </c>
      <c r="L236" s="962" t="s">
        <v>488</v>
      </c>
      <c r="M236" s="75"/>
      <c r="N236" s="75"/>
      <c r="O236" s="75"/>
      <c r="P236" s="75"/>
      <c r="Q236" s="75"/>
      <c r="R236" s="75"/>
      <c r="S236" s="75"/>
      <c r="T236" s="438" cm="1" t="str">
        <f t="array" ref="T236:T236">T235</f>
        <v>true</v>
      </c>
      <c r="U236" s="75"/>
      <c r="V236" s="75"/>
      <c r="W236" s="75"/>
      <c r="X236" s="1541"/>
      <c r="Y236" s="676"/>
      <c r="Z236" s="1494"/>
      <c r="AA236" s="676"/>
      <c r="AB236" s="177" t="s">
        <v>517</v>
      </c>
      <c r="AC236" s="327" t="s">
        <v>1912</v>
      </c>
      <c r="AD236" s="177" t="s">
        <v>789</v>
      </c>
      <c r="AE236" s="754">
        <f>SUM(AE237:AE246)</f>
        <v>0</v>
      </c>
      <c r="AF236" s="754">
        <f>SUM(AF237:AF246)</f>
        <v>0</v>
      </c>
      <c r="AG236" s="754">
        <f>SUM(AG237:AG246)</f>
        <v>0</v>
      </c>
      <c r="AH236" s="754">
        <f>AG236-AF236</f>
        <v>0</v>
      </c>
      <c r="AI236" s="754">
        <f>SUM(AI237:AI246)</f>
        <v>0</v>
      </c>
      <c r="AJ236" s="179">
        <f>SUM(AJ237:AJ246)</f>
        <v>0</v>
      </c>
      <c r="AK236" s="754">
        <f>SUM(AK237:AK246)</f>
        <v>0</v>
      </c>
      <c r="AL236" s="754">
        <f>SUM(AL237:AL246)</f>
        <v>0</v>
      </c>
      <c r="AM236" s="754">
        <f>SUM(AM237:AM246)</f>
        <v>0</v>
      </c>
      <c r="AN236" s="754">
        <f>SUM(AN237:AN246)</f>
        <v>0</v>
      </c>
      <c r="AO236" s="754">
        <f>SUM(AO237:AO246)</f>
        <v>0</v>
      </c>
      <c r="AP236" s="754">
        <f>SUM(AP237:AP246)</f>
        <v>0</v>
      </c>
      <c r="AQ236" s="754">
        <f>SUM(AQ237:AQ246)</f>
        <v>0</v>
      </c>
      <c r="AR236" s="754">
        <f>SUM(AR237:AR246)</f>
        <v>0</v>
      </c>
      <c r="AS236" s="754">
        <f>SUM(AS237:AS246)</f>
        <v>0</v>
      </c>
      <c r="AT236" s="179">
        <f>SUM(AT237:AT246)</f>
        <v>0</v>
      </c>
      <c r="AU236" s="754">
        <f>SUM(AU237:AU246)</f>
        <v>0</v>
      </c>
      <c r="AV236" s="754">
        <f>SUM(AV237:AV246)</f>
        <v>0</v>
      </c>
      <c r="AW236" s="754">
        <f>SUM(AW237:AW246)</f>
        <v>0</v>
      </c>
      <c r="AX236" s="754">
        <f>SUM(AX237:AX246)</f>
        <v>0</v>
      </c>
      <c r="AY236" s="754">
        <f>SUM(AY237:AY246)</f>
        <v>0</v>
      </c>
      <c r="AZ236" s="754">
        <f>SUM(AZ237:AZ246)</f>
        <v>0</v>
      </c>
      <c r="BA236" s="754">
        <f>SUM(BA237:BA246)</f>
        <v>0</v>
      </c>
      <c r="BB236" s="754">
        <f>SUM(BB237:BB246)</f>
        <v>0</v>
      </c>
      <c r="BC236" s="754">
        <f>SUM(BC237:BC246)</f>
        <v>0</v>
      </c>
      <c r="BD236" s="754">
        <f>IF(AI236=0,0,(AT236-AI236)/AI236*100)</f>
        <v>0</v>
      </c>
      <c r="BE236" s="754">
        <f>IF(AT236=0,0,(AU236-AT236)/AT236*100)</f>
        <v>0</v>
      </c>
      <c r="BF236" s="754">
        <f>IF(AU236=0,0,(AV236-AU236)/AU236*100)</f>
        <v>0</v>
      </c>
      <c r="BG236" s="754">
        <f>IF(AV236=0,0,(AW236-AV236)/AV236*100)</f>
        <v>0</v>
      </c>
      <c r="BH236" s="754">
        <f>IF(AW236=0,0,(AX236-AW236)/AW236*100)</f>
        <v>0</v>
      </c>
      <c r="BI236" s="754">
        <f>IF(AX236=0,0,(AY236-AX236)/AX236*100)</f>
        <v>0</v>
      </c>
      <c r="BJ236" s="754">
        <f>IF(AY236=0,0,(AZ236-AY236)/AY236*100)</f>
        <v>0</v>
      </c>
      <c r="BK236" s="754">
        <f>IF(AZ236=0,0,(BA236-AZ236)/AZ236*100)</f>
        <v>0</v>
      </c>
      <c r="BL236" s="754">
        <f>IF(BA236=0,0,(BB236-BA236)/BA236*100)</f>
        <v>0</v>
      </c>
      <c r="BM236" s="754">
        <f>IF(BB236=0,0,(BC236-BB236)/BB236*100)</f>
        <v>0</v>
      </c>
      <c r="BN236" s="3619"/>
      <c r="BO236" s="3620" t="str">
        <f>IF(_xlfn.IFERROR(INDEX(Налоги!$K$26:$L$55,MATCH($F236&amp;"komm",Налоги!$K$26:$K$55,0),2),"")=0,"",_xlfn.IFERROR(INDEX(Налоги!$K$26:$L$55,MATCH($F236&amp;"komm",Налоги!$K$26:$K$55,0),2),""))</f>
        <v/>
      </c>
      <c r="BP236" s="3619"/>
      <c r="BQ236" s="676"/>
      <c r="BR236" s="676"/>
      <c r="BS236" s="1047" t="s">
        <v>1146</v>
      </c>
      <c r="BT236" s="1047"/>
      <c r="BU236" s="1047"/>
      <c r="BV236" s="683"/>
      <c r="BW236" s="683"/>
    </row>
    <row s="1624" customFormat="1" customHeight="1" ht="14.25">
      <c r="A237" s="1256"/>
      <c r="B237" s="955"/>
      <c r="C237" s="73"/>
      <c r="D237" s="73"/>
      <c r="E237" s="596">
        <v>15</v>
      </c>
      <c r="F237" s="50" cm="1" t="str">
        <f t="array" ref="F237:F237">OFFSET(E237,-1,1)</f>
        <v>1</v>
      </c>
      <c r="G237" s="898">
        <v>7</v>
      </c>
      <c r="H237" s="73"/>
      <c r="I237" s="73" t="s">
        <v>1913</v>
      </c>
      <c r="J237" s="73"/>
      <c r="K237" s="73" t="s">
        <v>1913</v>
      </c>
      <c r="L237" s="957"/>
      <c r="M237" s="73"/>
      <c r="N237" s="73"/>
      <c r="O237" s="73"/>
      <c r="P237" s="73"/>
      <c r="Q237" s="73"/>
      <c r="R237" s="73"/>
      <c r="S237" s="73"/>
      <c r="T237" s="438" cm="1" t="str">
        <f t="array" ref="T237:T237">T236</f>
        <v>true</v>
      </c>
      <c r="U237" s="73"/>
      <c r="V237" s="73"/>
      <c r="W237" s="73"/>
      <c r="X237" s="1541"/>
      <c r="Y237" s="1256"/>
      <c r="Z237" s="1494"/>
      <c r="AA237" s="1256"/>
      <c r="AB237" s="266" t="s">
        <v>471</v>
      </c>
      <c r="AC237" s="741" t="s">
        <v>1160</v>
      </c>
      <c r="AD237" s="266" t="s">
        <v>789</v>
      </c>
      <c r="AE237" s="1092">
        <f>_xlfn.SUMIFS(Налоги!AE$25:AE$55,Налоги!$F$25:$F$55,$F237,Налоги!$AB$25:$AB$55,$G237)</f>
        <v>0</v>
      </c>
      <c r="AF237" s="1092">
        <f>_xlfn.SUMIFS(Налоги!AF$25:AF$55,Налоги!$F$25:$F$55,$F237,Налоги!$AB$25:$AB$55,$G237)</f>
        <v>0</v>
      </c>
      <c r="AG237" s="1092">
        <f>_xlfn.SUMIFS(Налоги!AG$25:AG$55,Налоги!$F$25:$F$55,$F237,Налоги!$AB$25:$AB$55,$G237)</f>
        <v>0</v>
      </c>
      <c r="AH237" s="1092">
        <f>AG237-AF237</f>
        <v>0</v>
      </c>
      <c r="AI237" s="1092">
        <f>_xlfn.SUMIFS(Налоги!AH$25:AH$55,Налоги!$F$25:$F$55,$F237,Налоги!$AB$25:$AB$55,$G237)</f>
        <v>0</v>
      </c>
      <c r="AJ237" s="1092">
        <f>_xlfn.SUMIFS(Налоги!AI$25:AI$55,Налоги!$F$25:$F$55,$F237,Налоги!$AB$25:$AB$55,$G237)</f>
        <v>0</v>
      </c>
      <c r="AK237" s="1092">
        <f>_xlfn.SUMIFS(Налоги!AJ$25:AJ$55,Налоги!$F$25:$F$55,$F237,Налоги!$AB$25:$AB$55,$G237)</f>
        <v>0</v>
      </c>
      <c r="AL237" s="1092">
        <f>_xlfn.SUMIFS(Налоги!AK$25:AK$55,Налоги!$F$25:$F$55,$F237,Налоги!$AB$25:$AB$55,$G237)</f>
        <v>0</v>
      </c>
      <c r="AM237" s="1092">
        <f>_xlfn.SUMIFS(Налоги!AL$25:AL$55,Налоги!$F$25:$F$55,$F237,Налоги!$AB$25:$AB$55,$G237)</f>
        <v>0</v>
      </c>
      <c r="AN237" s="1092">
        <f>_xlfn.SUMIFS(Налоги!AM$25:AM$55,Налоги!$F$25:$F$55,$F237,Налоги!$AB$25:$AB$55,$G237)</f>
        <v>0</v>
      </c>
      <c r="AO237" s="1092">
        <f>_xlfn.SUMIFS(Налоги!AN$25:AN$55,Налоги!$F$25:$F$55,$F237,Налоги!$AB$25:$AB$55,$G237)</f>
        <v>0</v>
      </c>
      <c r="AP237" s="1092">
        <f>_xlfn.SUMIFS(Налоги!AO$25:AO$55,Налоги!$F$25:$F$55,$F237,Налоги!$AB$25:$AB$55,$G237)</f>
        <v>0</v>
      </c>
      <c r="AQ237" s="1092">
        <f>_xlfn.SUMIFS(Налоги!AP$25:AP$55,Налоги!$F$25:$F$55,$F237,Налоги!$AB$25:$AB$55,$G237)</f>
        <v>0</v>
      </c>
      <c r="AR237" s="1092">
        <f>_xlfn.SUMIFS(Налоги!AQ$25:AQ$55,Налоги!$F$25:$F$55,$F237,Налоги!$AB$25:$AB$55,$G237)</f>
        <v>0</v>
      </c>
      <c r="AS237" s="1092">
        <f>_xlfn.SUMIFS(Налоги!AR$25:AR$55,Налоги!$F$25:$F$55,$F237,Налоги!$AB$25:$AB$55,$G237)</f>
        <v>0</v>
      </c>
      <c r="AT237" s="1092">
        <f>_xlfn.SUMIFS(Налоги!AS$25:AS$55,Налоги!$F$25:$F$55,$F237,Налоги!$AB$25:$AB$55,$G237)</f>
        <v>0</v>
      </c>
      <c r="AU237" s="1092">
        <f>_xlfn.SUMIFS(Налоги!AT$25:AT$55,Налоги!$F$25:$F$55,$F237,Налоги!$AB$25:$AB$55,$G237)</f>
        <v>0</v>
      </c>
      <c r="AV237" s="1092">
        <f>_xlfn.SUMIFS(Налоги!AU$25:AU$55,Налоги!$F$25:$F$55,$F237,Налоги!$AB$25:$AB$55,$G237)</f>
        <v>0</v>
      </c>
      <c r="AW237" s="1092">
        <f>_xlfn.SUMIFS(Налоги!AV$25:AV$55,Налоги!$F$25:$F$55,$F237,Налоги!$AB$25:$AB$55,$G237)</f>
        <v>0</v>
      </c>
      <c r="AX237" s="1092">
        <f>_xlfn.SUMIFS(Налоги!AW$25:AW$55,Налоги!$F$25:$F$55,$F237,Налоги!$AB$25:$AB$55,$G237)</f>
        <v>0</v>
      </c>
      <c r="AY237" s="1092">
        <f>_xlfn.SUMIFS(Налоги!AX$25:AX$55,Налоги!$F$25:$F$55,$F237,Налоги!$AB$25:$AB$55,$G237)</f>
        <v>0</v>
      </c>
      <c r="AZ237" s="1092">
        <f>_xlfn.SUMIFS(Налоги!AY$25:AY$55,Налоги!$F$25:$F$55,$F237,Налоги!$AB$25:$AB$55,$G237)</f>
        <v>0</v>
      </c>
      <c r="BA237" s="1092">
        <f>_xlfn.SUMIFS(Налоги!AZ$25:AZ$55,Налоги!$F$25:$F$55,$F237,Налоги!$AB$25:$AB$55,$G237)</f>
        <v>0</v>
      </c>
      <c r="BB237" s="1092">
        <f>_xlfn.SUMIFS(Налоги!BA$25:BA$55,Налоги!$F$25:$F$55,$F237,Налоги!$AB$25:$AB$55,$G237)</f>
        <v>0</v>
      </c>
      <c r="BC237" s="1092">
        <f>_xlfn.SUMIFS(Налоги!BB$25:BB$55,Налоги!$F$25:$F$55,$F237,Налоги!$AB$25:$AB$55,$G237)</f>
        <v>0</v>
      </c>
      <c r="BD237" s="1092">
        <f>IF(AI237=0,0,(AT237-AI237)/AI237*100)</f>
        <v>0</v>
      </c>
      <c r="BE237" s="1092">
        <f>IF(AT237=0,0,(AU237-AT237)/AT237*100)</f>
        <v>0</v>
      </c>
      <c r="BF237" s="1092">
        <f>IF(AU237=0,0,(AV237-AU237)/AU237*100)</f>
        <v>0</v>
      </c>
      <c r="BG237" s="1092">
        <f>IF(AV237=0,0,(AW237-AV237)/AV237*100)</f>
        <v>0</v>
      </c>
      <c r="BH237" s="1092">
        <f>IF(AW237=0,0,(AX237-AW237)/AW237*100)</f>
        <v>0</v>
      </c>
      <c r="BI237" s="1092">
        <f>IF(AX237=0,0,(AY237-AX237)/AX237*100)</f>
        <v>0</v>
      </c>
      <c r="BJ237" s="1092">
        <f>IF(AY237=0,0,(AZ237-AY237)/AY237*100)</f>
        <v>0</v>
      </c>
      <c r="BK237" s="1092">
        <f>IF(AZ237=0,0,(BA237-AZ237)/AZ237*100)</f>
        <v>0</v>
      </c>
      <c r="BL237" s="1092">
        <f>IF(BA237=0,0,(BB237-BA237)/BA237*100)</f>
        <v>0</v>
      </c>
      <c r="BM237" s="1092">
        <f>IF(BB237=0,0,(BC237-BB237)/BB237*100)</f>
        <v>0</v>
      </c>
      <c r="BN237" s="3618"/>
      <c r="BO237" s="3620" t="str">
        <f>IF(_xlfn.IFERROR(INDEX(Налоги!$K$26:$L$55,MATCH($F237&amp;"7komm",Налоги!$K$26:$K$55,0),2),"")=0,"",_xlfn.IFERROR(INDEX(Налоги!$K$26:$L$55,MATCH($F237&amp;"7komm",Налоги!$K$26:$K$55,0),2),""))</f>
        <v/>
      </c>
      <c r="BP237" s="3618"/>
      <c r="BQ237" s="1256"/>
      <c r="BR237" s="1256"/>
      <c r="BS237" s="1041" t="s">
        <v>1914</v>
      </c>
      <c r="BT237" s="1041"/>
      <c r="BU237" s="1041"/>
      <c r="BV237" s="956"/>
      <c r="BW237" s="956"/>
    </row>
    <row s="1624" customFormat="1" customHeight="1" ht="14.25">
      <c r="A238" s="1256"/>
      <c r="B238" s="955"/>
      <c r="C238" s="73"/>
      <c r="D238" s="73"/>
      <c r="E238" s="596">
        <v>15</v>
      </c>
      <c r="F238" s="50" cm="1" t="str">
        <f t="array" ref="F238:F238">OFFSET(E238,-1,1)</f>
        <v>1</v>
      </c>
      <c r="G238" s="898">
        <v>6</v>
      </c>
      <c r="H238" s="73"/>
      <c r="I238" s="73" t="s">
        <v>1915</v>
      </c>
      <c r="J238" s="73"/>
      <c r="K238" s="73" t="s">
        <v>1915</v>
      </c>
      <c r="L238" s="957"/>
      <c r="M238" s="73"/>
      <c r="N238" s="73"/>
      <c r="O238" s="73"/>
      <c r="P238" s="73"/>
      <c r="Q238" s="73"/>
      <c r="R238" s="73"/>
      <c r="S238" s="73"/>
      <c r="T238" s="438" cm="1" t="str">
        <f t="array" ref="T238:T238">T237</f>
        <v>true</v>
      </c>
      <c r="U238" s="73"/>
      <c r="V238" s="73"/>
      <c r="W238" s="73"/>
      <c r="X238" s="1541"/>
      <c r="Y238" s="1256"/>
      <c r="Z238" s="1494"/>
      <c r="AA238" s="1256"/>
      <c r="AB238" s="266" t="s">
        <v>1364</v>
      </c>
      <c r="AC238" s="741" t="s">
        <v>1916</v>
      </c>
      <c r="AD238" s="266" t="s">
        <v>789</v>
      </c>
      <c r="AE238" s="1092">
        <f>_xlfn.SUMIFS(Налоги!AE$25:AE$55,Налоги!$F$25:$F$55,$F238,Налоги!$AB$25:$AB$55,$G238)</f>
        <v>0</v>
      </c>
      <c r="AF238" s="1092">
        <f>_xlfn.SUMIFS(Налоги!AF$25:AF$55,Налоги!$F$25:$F$55,$F238,Налоги!$AB$25:$AB$55,$G238)</f>
        <v>0</v>
      </c>
      <c r="AG238" s="1092">
        <f>_xlfn.SUMIFS(Налоги!AG$25:AG$55,Налоги!$F$25:$F$55,$F238,Налоги!$AB$25:$AB$55,$G238)</f>
        <v>0</v>
      </c>
      <c r="AH238" s="1092">
        <f>AG238-AF238</f>
        <v>0</v>
      </c>
      <c r="AI238" s="1092">
        <f>_xlfn.SUMIFS(Налоги!AH$25:AH$55,Налоги!$F$25:$F$55,$F238,Налоги!$AB$25:$AB$55,$G238)</f>
        <v>0</v>
      </c>
      <c r="AJ238" s="1092">
        <f>_xlfn.SUMIFS(Налоги!AI$25:AI$55,Налоги!$F$25:$F$55,$F238,Налоги!$AB$25:$AB$55,$G238)</f>
        <v>0</v>
      </c>
      <c r="AK238" s="1092">
        <f>_xlfn.SUMIFS(Налоги!AJ$25:AJ$55,Налоги!$F$25:$F$55,$F238,Налоги!$AB$25:$AB$55,$G238)</f>
        <v>0</v>
      </c>
      <c r="AL238" s="1092">
        <f>_xlfn.SUMIFS(Налоги!AK$25:AK$55,Налоги!$F$25:$F$55,$F238,Налоги!$AB$25:$AB$55,$G238)</f>
        <v>0</v>
      </c>
      <c r="AM238" s="1092">
        <f>_xlfn.SUMIFS(Налоги!AL$25:AL$55,Налоги!$F$25:$F$55,$F238,Налоги!$AB$25:$AB$55,$G238)</f>
        <v>0</v>
      </c>
      <c r="AN238" s="1092">
        <f>_xlfn.SUMIFS(Налоги!AM$25:AM$55,Налоги!$F$25:$F$55,$F238,Налоги!$AB$25:$AB$55,$G238)</f>
        <v>0</v>
      </c>
      <c r="AO238" s="1092">
        <f>_xlfn.SUMIFS(Налоги!AN$25:AN$55,Налоги!$F$25:$F$55,$F238,Налоги!$AB$25:$AB$55,$G238)</f>
        <v>0</v>
      </c>
      <c r="AP238" s="1092">
        <f>_xlfn.SUMIFS(Налоги!AO$25:AO$55,Налоги!$F$25:$F$55,$F238,Налоги!$AB$25:$AB$55,$G238)</f>
        <v>0</v>
      </c>
      <c r="AQ238" s="1092">
        <f>_xlfn.SUMIFS(Налоги!AP$25:AP$55,Налоги!$F$25:$F$55,$F238,Налоги!$AB$25:$AB$55,$G238)</f>
        <v>0</v>
      </c>
      <c r="AR238" s="1092">
        <f>_xlfn.SUMIFS(Налоги!AQ$25:AQ$55,Налоги!$F$25:$F$55,$F238,Налоги!$AB$25:$AB$55,$G238)</f>
        <v>0</v>
      </c>
      <c r="AS238" s="1092">
        <f>_xlfn.SUMIFS(Налоги!AR$25:AR$55,Налоги!$F$25:$F$55,$F238,Налоги!$AB$25:$AB$55,$G238)</f>
        <v>0</v>
      </c>
      <c r="AT238" s="1092">
        <f>_xlfn.SUMIFS(Налоги!AS$25:AS$55,Налоги!$F$25:$F$55,$F238,Налоги!$AB$25:$AB$55,$G238)</f>
        <v>0</v>
      </c>
      <c r="AU238" s="1092">
        <f>_xlfn.SUMIFS(Налоги!AT$25:AT$55,Налоги!$F$25:$F$55,$F238,Налоги!$AB$25:$AB$55,$G238)</f>
        <v>0</v>
      </c>
      <c r="AV238" s="1092">
        <f>_xlfn.SUMIFS(Налоги!AU$25:AU$55,Налоги!$F$25:$F$55,$F238,Налоги!$AB$25:$AB$55,$G238)</f>
        <v>0</v>
      </c>
      <c r="AW238" s="1092">
        <f>_xlfn.SUMIFS(Налоги!AV$25:AV$55,Налоги!$F$25:$F$55,$F238,Налоги!$AB$25:$AB$55,$G238)</f>
        <v>0</v>
      </c>
      <c r="AX238" s="1092">
        <f>_xlfn.SUMIFS(Налоги!AW$25:AW$55,Налоги!$F$25:$F$55,$F238,Налоги!$AB$25:$AB$55,$G238)</f>
        <v>0</v>
      </c>
      <c r="AY238" s="1092">
        <f>_xlfn.SUMIFS(Налоги!AX$25:AX$55,Налоги!$F$25:$F$55,$F238,Налоги!$AB$25:$AB$55,$G238)</f>
        <v>0</v>
      </c>
      <c r="AZ238" s="1092">
        <f>_xlfn.SUMIFS(Налоги!AY$25:AY$55,Налоги!$F$25:$F$55,$F238,Налоги!$AB$25:$AB$55,$G238)</f>
        <v>0</v>
      </c>
      <c r="BA238" s="1092">
        <f>_xlfn.SUMIFS(Налоги!AZ$25:AZ$55,Налоги!$F$25:$F$55,$F238,Налоги!$AB$25:$AB$55,$G238)</f>
        <v>0</v>
      </c>
      <c r="BB238" s="1092">
        <f>_xlfn.SUMIFS(Налоги!BA$25:BA$55,Налоги!$F$25:$F$55,$F238,Налоги!$AB$25:$AB$55,$G238)</f>
        <v>0</v>
      </c>
      <c r="BC238" s="1092">
        <f>_xlfn.SUMIFS(Налоги!BB$25:BB$55,Налоги!$F$25:$F$55,$F238,Налоги!$AB$25:$AB$55,$G238)</f>
        <v>0</v>
      </c>
      <c r="BD238" s="1092">
        <f>IF(AI238=0,0,(AT238-AI238)/AI238*100)</f>
        <v>0</v>
      </c>
      <c r="BE238" s="1092">
        <f>IF(AT238=0,0,(AU238-AT238)/AT238*100)</f>
        <v>0</v>
      </c>
      <c r="BF238" s="1092">
        <f>IF(AU238=0,0,(AV238-AU238)/AU238*100)</f>
        <v>0</v>
      </c>
      <c r="BG238" s="1092">
        <f>IF(AV238=0,0,(AW238-AV238)/AV238*100)</f>
        <v>0</v>
      </c>
      <c r="BH238" s="1092">
        <f>IF(AW238=0,0,(AX238-AW238)/AW238*100)</f>
        <v>0</v>
      </c>
      <c r="BI238" s="1092">
        <f>IF(AX238=0,0,(AY238-AX238)/AX238*100)</f>
        <v>0</v>
      </c>
      <c r="BJ238" s="1092">
        <f>IF(AY238=0,0,(AZ238-AY238)/AY238*100)</f>
        <v>0</v>
      </c>
      <c r="BK238" s="1092">
        <f>IF(AZ238=0,0,(BA238-AZ238)/AZ238*100)</f>
        <v>0</v>
      </c>
      <c r="BL238" s="1092">
        <f>IF(BA238=0,0,(BB238-BA238)/BA238*100)</f>
        <v>0</v>
      </c>
      <c r="BM238" s="1092">
        <f>IF(BB238=0,0,(BC238-BB238)/BB238*100)</f>
        <v>0</v>
      </c>
      <c r="BN238" s="3618"/>
      <c r="BO238" s="3620" t="str">
        <f>IF(_xlfn.IFERROR(INDEX(Налоги!$K$26:$L$55,MATCH($F238&amp;"6komm",Налоги!$K$26:$K$55,0),2),"")=0,"",_xlfn.IFERROR(INDEX(Налоги!$K$26:$L$55,MATCH($F238&amp;"6komm",Налоги!$K$26:$K$55,0),2),""))</f>
        <v/>
      </c>
      <c r="BP238" s="3618"/>
      <c r="BQ238" s="1256"/>
      <c r="BR238" s="1256"/>
      <c r="BS238" s="1041" t="s">
        <v>1917</v>
      </c>
      <c r="BT238" s="1041"/>
      <c r="BU238" s="1041"/>
      <c r="BV238" s="956"/>
      <c r="BW238" s="956"/>
    </row>
    <row s="1624" customFormat="1" customHeight="1" ht="14.25">
      <c r="A239" s="1256"/>
      <c r="B239" s="955"/>
      <c r="C239" s="73"/>
      <c r="D239" s="73"/>
      <c r="E239" s="596">
        <v>15</v>
      </c>
      <c r="F239" s="50" cm="1" t="str">
        <f t="array" ref="F239:F239">OFFSET(E239,-1,1)</f>
        <v>1</v>
      </c>
      <c r="G239" s="898">
        <v>2</v>
      </c>
      <c r="H239" s="73"/>
      <c r="I239" s="73" t="s">
        <v>1918</v>
      </c>
      <c r="J239" s="73"/>
      <c r="K239" s="73" t="s">
        <v>1918</v>
      </c>
      <c r="L239" s="957"/>
      <c r="M239" s="73"/>
      <c r="N239" s="73"/>
      <c r="O239" s="73"/>
      <c r="P239" s="73"/>
      <c r="Q239" s="73"/>
      <c r="R239" s="73"/>
      <c r="S239" s="73"/>
      <c r="T239" s="438" cm="1" t="str">
        <f t="array" ref="T239:T239">T238</f>
        <v>true</v>
      </c>
      <c r="U239" s="73"/>
      <c r="V239" s="73"/>
      <c r="W239" s="73"/>
      <c r="X239" s="1541"/>
      <c r="Y239" s="1256"/>
      <c r="Z239" s="1494"/>
      <c r="AA239" s="1256"/>
      <c r="AB239" s="266" t="s">
        <v>1369</v>
      </c>
      <c r="AC239" s="741" t="s">
        <v>1919</v>
      </c>
      <c r="AD239" s="266" t="s">
        <v>789</v>
      </c>
      <c r="AE239" s="1092">
        <f>_xlfn.SUMIFS(Налоги!AE$25:AE$55,Налоги!$F$25:$F$55,$F239,Налоги!$AB$25:$AB$55,$G239)</f>
        <v>0</v>
      </c>
      <c r="AF239" s="1092">
        <f>_xlfn.SUMIFS(Налоги!AF$25:AF$55,Налоги!$F$25:$F$55,$F239,Налоги!$AB$25:$AB$55,$G239)</f>
        <v>0</v>
      </c>
      <c r="AG239" s="1092">
        <f>_xlfn.SUMIFS(Налоги!AG$25:AG$55,Налоги!$F$25:$F$55,$F239,Налоги!$AB$25:$AB$55,$G239)</f>
        <v>0</v>
      </c>
      <c r="AH239" s="1092">
        <f>AG239-AF239</f>
        <v>0</v>
      </c>
      <c r="AI239" s="1092">
        <f>_xlfn.SUMIFS(Налоги!AH$25:AH$55,Налоги!$F$25:$F$55,$F239,Налоги!$AB$25:$AB$55,$G239)</f>
        <v>0</v>
      </c>
      <c r="AJ239" s="1092">
        <f>_xlfn.SUMIFS(Налоги!AI$25:AI$55,Налоги!$F$25:$F$55,$F239,Налоги!$AB$25:$AB$55,$G239)</f>
        <v>0</v>
      </c>
      <c r="AK239" s="1092">
        <f>_xlfn.SUMIFS(Налоги!AJ$25:AJ$55,Налоги!$F$25:$F$55,$F239,Налоги!$AB$25:$AB$55,$G239)</f>
        <v>0</v>
      </c>
      <c r="AL239" s="1092">
        <f>_xlfn.SUMIFS(Налоги!AK$25:AK$55,Налоги!$F$25:$F$55,$F239,Налоги!$AB$25:$AB$55,$G239)</f>
        <v>0</v>
      </c>
      <c r="AM239" s="1092">
        <f>_xlfn.SUMIFS(Налоги!AL$25:AL$55,Налоги!$F$25:$F$55,$F239,Налоги!$AB$25:$AB$55,$G239)</f>
        <v>0</v>
      </c>
      <c r="AN239" s="1092">
        <f>_xlfn.SUMIFS(Налоги!AM$25:AM$55,Налоги!$F$25:$F$55,$F239,Налоги!$AB$25:$AB$55,$G239)</f>
        <v>0</v>
      </c>
      <c r="AO239" s="1092">
        <f>_xlfn.SUMIFS(Налоги!AN$25:AN$55,Налоги!$F$25:$F$55,$F239,Налоги!$AB$25:$AB$55,$G239)</f>
        <v>0</v>
      </c>
      <c r="AP239" s="1092">
        <f>_xlfn.SUMIFS(Налоги!AO$25:AO$55,Налоги!$F$25:$F$55,$F239,Налоги!$AB$25:$AB$55,$G239)</f>
        <v>0</v>
      </c>
      <c r="AQ239" s="1092">
        <f>_xlfn.SUMIFS(Налоги!AP$25:AP$55,Налоги!$F$25:$F$55,$F239,Налоги!$AB$25:$AB$55,$G239)</f>
        <v>0</v>
      </c>
      <c r="AR239" s="1092">
        <f>_xlfn.SUMIFS(Налоги!AQ$25:AQ$55,Налоги!$F$25:$F$55,$F239,Налоги!$AB$25:$AB$55,$G239)</f>
        <v>0</v>
      </c>
      <c r="AS239" s="1092">
        <f>_xlfn.SUMIFS(Налоги!AR$25:AR$55,Налоги!$F$25:$F$55,$F239,Налоги!$AB$25:$AB$55,$G239)</f>
        <v>0</v>
      </c>
      <c r="AT239" s="1092">
        <f>_xlfn.SUMIFS(Налоги!AS$25:AS$55,Налоги!$F$25:$F$55,$F239,Налоги!$AB$25:$AB$55,$G239)</f>
        <v>0</v>
      </c>
      <c r="AU239" s="1092">
        <f>_xlfn.SUMIFS(Налоги!AT$25:AT$55,Налоги!$F$25:$F$55,$F239,Налоги!$AB$25:$AB$55,$G239)</f>
        <v>0</v>
      </c>
      <c r="AV239" s="1092">
        <f>_xlfn.SUMIFS(Налоги!AU$25:AU$55,Налоги!$F$25:$F$55,$F239,Налоги!$AB$25:$AB$55,$G239)</f>
        <v>0</v>
      </c>
      <c r="AW239" s="1092">
        <f>_xlfn.SUMIFS(Налоги!AV$25:AV$55,Налоги!$F$25:$F$55,$F239,Налоги!$AB$25:$AB$55,$G239)</f>
        <v>0</v>
      </c>
      <c r="AX239" s="1092">
        <f>_xlfn.SUMIFS(Налоги!AW$25:AW$55,Налоги!$F$25:$F$55,$F239,Налоги!$AB$25:$AB$55,$G239)</f>
        <v>0</v>
      </c>
      <c r="AY239" s="1092">
        <f>_xlfn.SUMIFS(Налоги!AX$25:AX$55,Налоги!$F$25:$F$55,$F239,Налоги!$AB$25:$AB$55,$G239)</f>
        <v>0</v>
      </c>
      <c r="AZ239" s="1092">
        <f>_xlfn.SUMIFS(Налоги!AY$25:AY$55,Налоги!$F$25:$F$55,$F239,Налоги!$AB$25:$AB$55,$G239)</f>
        <v>0</v>
      </c>
      <c r="BA239" s="1092">
        <f>_xlfn.SUMIFS(Налоги!AZ$25:AZ$55,Налоги!$F$25:$F$55,$F239,Налоги!$AB$25:$AB$55,$G239)</f>
        <v>0</v>
      </c>
      <c r="BB239" s="1092">
        <f>_xlfn.SUMIFS(Налоги!BA$25:BA$55,Налоги!$F$25:$F$55,$F239,Налоги!$AB$25:$AB$55,$G239)</f>
        <v>0</v>
      </c>
      <c r="BC239" s="1092">
        <f>_xlfn.SUMIFS(Налоги!BB$25:BB$55,Налоги!$F$25:$F$55,$F239,Налоги!$AB$25:$AB$55,$G239)</f>
        <v>0</v>
      </c>
      <c r="BD239" s="1092">
        <f>IF(AI239=0,0,(AT239-AI239)/AI239*100)</f>
        <v>0</v>
      </c>
      <c r="BE239" s="1092">
        <f>IF(AT239=0,0,(AU239-AT239)/AT239*100)</f>
        <v>0</v>
      </c>
      <c r="BF239" s="1092">
        <f>IF(AU239=0,0,(AV239-AU239)/AU239*100)</f>
        <v>0</v>
      </c>
      <c r="BG239" s="1092">
        <f>IF(AV239=0,0,(AW239-AV239)/AV239*100)</f>
        <v>0</v>
      </c>
      <c r="BH239" s="1092">
        <f>IF(AW239=0,0,(AX239-AW239)/AW239*100)</f>
        <v>0</v>
      </c>
      <c r="BI239" s="1092">
        <f>IF(AX239=0,0,(AY239-AX239)/AX239*100)</f>
        <v>0</v>
      </c>
      <c r="BJ239" s="1092">
        <f>IF(AY239=0,0,(AZ239-AY239)/AY239*100)</f>
        <v>0</v>
      </c>
      <c r="BK239" s="1092">
        <f>IF(AZ239=0,0,(BA239-AZ239)/AZ239*100)</f>
        <v>0</v>
      </c>
      <c r="BL239" s="1092">
        <f>IF(BA239=0,0,(BB239-BA239)/BA239*100)</f>
        <v>0</v>
      </c>
      <c r="BM239" s="1092">
        <f>IF(BB239=0,0,(BC239-BB239)/BB239*100)</f>
        <v>0</v>
      </c>
      <c r="BN239" s="3618"/>
      <c r="BO239" s="3620" t="str">
        <f>IF(_xlfn.IFERROR(INDEX(Налоги!$K$26:$L$55,MATCH($F239&amp;"2komm",Налоги!$K$26:$K$55,0),2),"")=0,"",_xlfn.IFERROR(INDEX(Налоги!$K$26:$L$55,MATCH($F239&amp;"2komm",Налоги!$K$26:$K$55,0),2),""))</f>
        <v/>
      </c>
      <c r="BP239" s="3618"/>
      <c r="BQ239" s="1256"/>
      <c r="BR239" s="1256"/>
      <c r="BS239" s="1041" t="s">
        <v>1920</v>
      </c>
      <c r="BT239" s="1041"/>
      <c r="BU239" s="1041"/>
      <c r="BV239" s="956"/>
      <c r="BW239" s="956"/>
    </row>
    <row s="1624" customFormat="1" customHeight="1" ht="14.25">
      <c r="A240" s="1256"/>
      <c r="B240" s="955"/>
      <c r="C240" s="73"/>
      <c r="D240" s="73"/>
      <c r="E240" s="596">
        <v>15</v>
      </c>
      <c r="F240" s="50" cm="1" t="str">
        <f t="array" ref="F240:F240">OFFSET(E240,-1,1)</f>
        <v>1</v>
      </c>
      <c r="G240" s="898">
        <v>4</v>
      </c>
      <c r="H240" s="73"/>
      <c r="I240" s="73" t="s">
        <v>1921</v>
      </c>
      <c r="J240" s="73"/>
      <c r="K240" s="73" t="s">
        <v>1921</v>
      </c>
      <c r="L240" s="957"/>
      <c r="M240" s="73"/>
      <c r="N240" s="73"/>
      <c r="O240" s="73"/>
      <c r="P240" s="73"/>
      <c r="Q240" s="73"/>
      <c r="R240" s="73"/>
      <c r="S240" s="73"/>
      <c r="T240" s="438" cm="1" t="str">
        <f t="array" ref="T240:T240">T239</f>
        <v>true</v>
      </c>
      <c r="U240" s="73"/>
      <c r="V240" s="73"/>
      <c r="W240" s="73"/>
      <c r="X240" s="1541"/>
      <c r="Y240" s="1256"/>
      <c r="Z240" s="1494"/>
      <c r="AA240" s="1256"/>
      <c r="AB240" s="266" t="s">
        <v>1922</v>
      </c>
      <c r="AC240" s="741" t="s">
        <v>1923</v>
      </c>
      <c r="AD240" s="266" t="s">
        <v>789</v>
      </c>
      <c r="AE240" s="1092">
        <f>_xlfn.SUMIFS(Налоги!AE$25:AE$55,Налоги!$F$25:$F$55,$F240,Налоги!$AB$25:$AB$55,$G240)</f>
        <v>0</v>
      </c>
      <c r="AF240" s="1092">
        <f>_xlfn.SUMIFS(Налоги!AF$25:AF$55,Налоги!$F$25:$F$55,$F240,Налоги!$AB$25:$AB$55,$G240)</f>
        <v>0</v>
      </c>
      <c r="AG240" s="1092">
        <f>_xlfn.SUMIFS(Налоги!AG$25:AG$55,Налоги!$F$25:$F$55,$F240,Налоги!$AB$25:$AB$55,$G240)</f>
        <v>0</v>
      </c>
      <c r="AH240" s="1092">
        <f>AG240-AF240</f>
        <v>0</v>
      </c>
      <c r="AI240" s="1092">
        <f>_xlfn.SUMIFS(Налоги!AH$25:AH$55,Налоги!$F$25:$F$55,$F240,Налоги!$AB$25:$AB$55,$G240)</f>
        <v>0</v>
      </c>
      <c r="AJ240" s="1092">
        <f>_xlfn.SUMIFS(Налоги!AI$25:AI$55,Налоги!$F$25:$F$55,$F240,Налоги!$AB$25:$AB$55,$G240)</f>
        <v>0</v>
      </c>
      <c r="AK240" s="1092">
        <f>_xlfn.SUMIFS(Налоги!AJ$25:AJ$55,Налоги!$F$25:$F$55,$F240,Налоги!$AB$25:$AB$55,$G240)</f>
        <v>0</v>
      </c>
      <c r="AL240" s="1092">
        <f>_xlfn.SUMIFS(Налоги!AK$25:AK$55,Налоги!$F$25:$F$55,$F240,Налоги!$AB$25:$AB$55,$G240)</f>
        <v>0</v>
      </c>
      <c r="AM240" s="1092">
        <f>_xlfn.SUMIFS(Налоги!AL$25:AL$55,Налоги!$F$25:$F$55,$F240,Налоги!$AB$25:$AB$55,$G240)</f>
        <v>0</v>
      </c>
      <c r="AN240" s="1092">
        <f>_xlfn.SUMIFS(Налоги!AM$25:AM$55,Налоги!$F$25:$F$55,$F240,Налоги!$AB$25:$AB$55,$G240)</f>
        <v>0</v>
      </c>
      <c r="AO240" s="1092">
        <f>_xlfn.SUMIFS(Налоги!AN$25:AN$55,Налоги!$F$25:$F$55,$F240,Налоги!$AB$25:$AB$55,$G240)</f>
        <v>0</v>
      </c>
      <c r="AP240" s="1092">
        <f>_xlfn.SUMIFS(Налоги!AO$25:AO$55,Налоги!$F$25:$F$55,$F240,Налоги!$AB$25:$AB$55,$G240)</f>
        <v>0</v>
      </c>
      <c r="AQ240" s="1092">
        <f>_xlfn.SUMIFS(Налоги!AP$25:AP$55,Налоги!$F$25:$F$55,$F240,Налоги!$AB$25:$AB$55,$G240)</f>
        <v>0</v>
      </c>
      <c r="AR240" s="1092">
        <f>_xlfn.SUMIFS(Налоги!AQ$25:AQ$55,Налоги!$F$25:$F$55,$F240,Налоги!$AB$25:$AB$55,$G240)</f>
        <v>0</v>
      </c>
      <c r="AS240" s="1092">
        <f>_xlfn.SUMIFS(Налоги!AR$25:AR$55,Налоги!$F$25:$F$55,$F240,Налоги!$AB$25:$AB$55,$G240)</f>
        <v>0</v>
      </c>
      <c r="AT240" s="1092">
        <f>_xlfn.SUMIFS(Налоги!AS$25:AS$55,Налоги!$F$25:$F$55,$F240,Налоги!$AB$25:$AB$55,$G240)</f>
        <v>0</v>
      </c>
      <c r="AU240" s="1092">
        <f>_xlfn.SUMIFS(Налоги!AT$25:AT$55,Налоги!$F$25:$F$55,$F240,Налоги!$AB$25:$AB$55,$G240)</f>
        <v>0</v>
      </c>
      <c r="AV240" s="1092">
        <f>_xlfn.SUMIFS(Налоги!AU$25:AU$55,Налоги!$F$25:$F$55,$F240,Налоги!$AB$25:$AB$55,$G240)</f>
        <v>0</v>
      </c>
      <c r="AW240" s="1092">
        <f>_xlfn.SUMIFS(Налоги!AV$25:AV$55,Налоги!$F$25:$F$55,$F240,Налоги!$AB$25:$AB$55,$G240)</f>
        <v>0</v>
      </c>
      <c r="AX240" s="1092">
        <f>_xlfn.SUMIFS(Налоги!AW$25:AW$55,Налоги!$F$25:$F$55,$F240,Налоги!$AB$25:$AB$55,$G240)</f>
        <v>0</v>
      </c>
      <c r="AY240" s="1092">
        <f>_xlfn.SUMIFS(Налоги!AX$25:AX$55,Налоги!$F$25:$F$55,$F240,Налоги!$AB$25:$AB$55,$G240)</f>
        <v>0</v>
      </c>
      <c r="AZ240" s="1092">
        <f>_xlfn.SUMIFS(Налоги!AY$25:AY$55,Налоги!$F$25:$F$55,$F240,Налоги!$AB$25:$AB$55,$G240)</f>
        <v>0</v>
      </c>
      <c r="BA240" s="1092">
        <f>_xlfn.SUMIFS(Налоги!AZ$25:AZ$55,Налоги!$F$25:$F$55,$F240,Налоги!$AB$25:$AB$55,$G240)</f>
        <v>0</v>
      </c>
      <c r="BB240" s="1092">
        <f>_xlfn.SUMIFS(Налоги!BA$25:BA$55,Налоги!$F$25:$F$55,$F240,Налоги!$AB$25:$AB$55,$G240)</f>
        <v>0</v>
      </c>
      <c r="BC240" s="1092">
        <f>_xlfn.SUMIFS(Налоги!BB$25:BB$55,Налоги!$F$25:$F$55,$F240,Налоги!$AB$25:$AB$55,$G240)</f>
        <v>0</v>
      </c>
      <c r="BD240" s="1092">
        <f>IF(AI240=0,0,(AT240-AI240)/AI240*100)</f>
        <v>0</v>
      </c>
      <c r="BE240" s="1092">
        <f>IF(AT240=0,0,(AU240-AT240)/AT240*100)</f>
        <v>0</v>
      </c>
      <c r="BF240" s="1092">
        <f>IF(AU240=0,0,(AV240-AU240)/AU240*100)</f>
        <v>0</v>
      </c>
      <c r="BG240" s="1092">
        <f>IF(AV240=0,0,(AW240-AV240)/AV240*100)</f>
        <v>0</v>
      </c>
      <c r="BH240" s="1092">
        <f>IF(AW240=0,0,(AX240-AW240)/AW240*100)</f>
        <v>0</v>
      </c>
      <c r="BI240" s="1092">
        <f>IF(AX240=0,0,(AY240-AX240)/AX240*100)</f>
        <v>0</v>
      </c>
      <c r="BJ240" s="1092">
        <f>IF(AY240=0,0,(AZ240-AY240)/AY240*100)</f>
        <v>0</v>
      </c>
      <c r="BK240" s="1092">
        <f>IF(AZ240=0,0,(BA240-AZ240)/AZ240*100)</f>
        <v>0</v>
      </c>
      <c r="BL240" s="1092">
        <f>IF(BA240=0,0,(BB240-BA240)/BA240*100)</f>
        <v>0</v>
      </c>
      <c r="BM240" s="1092">
        <f>IF(BB240=0,0,(BC240-BB240)/BB240*100)</f>
        <v>0</v>
      </c>
      <c r="BN240" s="3618"/>
      <c r="BO240" s="3620" t="str">
        <f>IF(_xlfn.IFERROR(INDEX(Налоги!$K$26:$L$55,MATCH($F240&amp;"4komm",Налоги!$K$26:$K$55,0),2),"")=0,"",_xlfn.IFERROR(INDEX(Налоги!$K$26:$L$55,MATCH($F240&amp;"4komm",Налоги!$K$26:$K$55,0),2),""))</f>
        <v/>
      </c>
      <c r="BP240" s="3618"/>
      <c r="BQ240" s="1256"/>
      <c r="BR240" s="1256"/>
      <c r="BS240" s="1041" t="s">
        <v>1924</v>
      </c>
      <c r="BT240" s="1041"/>
      <c r="BU240" s="1041"/>
      <c r="BV240" s="956"/>
      <c r="BW240" s="956"/>
    </row>
    <row s="1624" customFormat="1" customHeight="1" ht="14.25">
      <c r="A241" s="1256"/>
      <c r="B241" s="955"/>
      <c r="C241" s="73"/>
      <c r="D241" s="73"/>
      <c r="E241" s="596">
        <v>15</v>
      </c>
      <c r="F241" s="50" cm="1" t="str">
        <f t="array" ref="F241:F241">OFFSET(E241,-1,1)</f>
        <v>1</v>
      </c>
      <c r="G241" s="898">
        <v>5</v>
      </c>
      <c r="H241" s="73"/>
      <c r="I241" s="73" t="s">
        <v>1925</v>
      </c>
      <c r="J241" s="73"/>
      <c r="K241" s="73" t="s">
        <v>1925</v>
      </c>
      <c r="L241" s="957"/>
      <c r="M241" s="73"/>
      <c r="N241" s="73"/>
      <c r="O241" s="73"/>
      <c r="P241" s="73"/>
      <c r="Q241" s="73"/>
      <c r="R241" s="73"/>
      <c r="S241" s="73"/>
      <c r="T241" s="438" cm="1" t="str">
        <f t="array" ref="T241:T241">T240</f>
        <v>true</v>
      </c>
      <c r="U241" s="73"/>
      <c r="V241" s="73"/>
      <c r="W241" s="73"/>
      <c r="X241" s="1541"/>
      <c r="Y241" s="1256"/>
      <c r="Z241" s="1494"/>
      <c r="AA241" s="1256"/>
      <c r="AB241" s="266" t="s">
        <v>1926</v>
      </c>
      <c r="AC241" s="741" t="s">
        <v>1927</v>
      </c>
      <c r="AD241" s="266" t="s">
        <v>789</v>
      </c>
      <c r="AE241" s="1092">
        <f>_xlfn.SUMIFS(Налоги!AE$25:AE$55,Налоги!$F$25:$F$55,$F241,Налоги!$AB$25:$AB$55,$G241)</f>
        <v>0</v>
      </c>
      <c r="AF241" s="1092">
        <f>_xlfn.SUMIFS(Налоги!AF$25:AF$55,Налоги!$F$25:$F$55,$F241,Налоги!$AB$25:$AB$55,$G241)</f>
        <v>0</v>
      </c>
      <c r="AG241" s="1092">
        <f>_xlfn.SUMIFS(Налоги!AG$25:AG$55,Налоги!$F$25:$F$55,$F241,Налоги!$AB$25:$AB$55,$G241)</f>
        <v>0</v>
      </c>
      <c r="AH241" s="1092">
        <f>AG241-AF241</f>
        <v>0</v>
      </c>
      <c r="AI241" s="1092">
        <f>_xlfn.SUMIFS(Налоги!AH$25:AH$55,Налоги!$F$25:$F$55,$F241,Налоги!$AB$25:$AB$55,$G241)</f>
        <v>0</v>
      </c>
      <c r="AJ241" s="1092">
        <f>_xlfn.SUMIFS(Налоги!AI$25:AI$55,Налоги!$F$25:$F$55,$F241,Налоги!$AB$25:$AB$55,$G241)</f>
        <v>0</v>
      </c>
      <c r="AK241" s="1092">
        <f>_xlfn.SUMIFS(Налоги!AJ$25:AJ$55,Налоги!$F$25:$F$55,$F241,Налоги!$AB$25:$AB$55,$G241)</f>
        <v>0</v>
      </c>
      <c r="AL241" s="1092">
        <f>_xlfn.SUMIFS(Налоги!AK$25:AK$55,Налоги!$F$25:$F$55,$F241,Налоги!$AB$25:$AB$55,$G241)</f>
        <v>0</v>
      </c>
      <c r="AM241" s="1092">
        <f>_xlfn.SUMIFS(Налоги!AL$25:AL$55,Налоги!$F$25:$F$55,$F241,Налоги!$AB$25:$AB$55,$G241)</f>
        <v>0</v>
      </c>
      <c r="AN241" s="1092">
        <f>_xlfn.SUMIFS(Налоги!AM$25:AM$55,Налоги!$F$25:$F$55,$F241,Налоги!$AB$25:$AB$55,$G241)</f>
        <v>0</v>
      </c>
      <c r="AO241" s="1092">
        <f>_xlfn.SUMIFS(Налоги!AN$25:AN$55,Налоги!$F$25:$F$55,$F241,Налоги!$AB$25:$AB$55,$G241)</f>
        <v>0</v>
      </c>
      <c r="AP241" s="1092">
        <f>_xlfn.SUMIFS(Налоги!AO$25:AO$55,Налоги!$F$25:$F$55,$F241,Налоги!$AB$25:$AB$55,$G241)</f>
        <v>0</v>
      </c>
      <c r="AQ241" s="1092">
        <f>_xlfn.SUMIFS(Налоги!AP$25:AP$55,Налоги!$F$25:$F$55,$F241,Налоги!$AB$25:$AB$55,$G241)</f>
        <v>0</v>
      </c>
      <c r="AR241" s="1092">
        <f>_xlfn.SUMIFS(Налоги!AQ$25:AQ$55,Налоги!$F$25:$F$55,$F241,Налоги!$AB$25:$AB$55,$G241)</f>
        <v>0</v>
      </c>
      <c r="AS241" s="1092">
        <f>_xlfn.SUMIFS(Налоги!AR$25:AR$55,Налоги!$F$25:$F$55,$F241,Налоги!$AB$25:$AB$55,$G241)</f>
        <v>0</v>
      </c>
      <c r="AT241" s="1092">
        <f>_xlfn.SUMIFS(Налоги!AS$25:AS$55,Налоги!$F$25:$F$55,$F241,Налоги!$AB$25:$AB$55,$G241)</f>
        <v>0</v>
      </c>
      <c r="AU241" s="1092">
        <f>_xlfn.SUMIFS(Налоги!AT$25:AT$55,Налоги!$F$25:$F$55,$F241,Налоги!$AB$25:$AB$55,$G241)</f>
        <v>0</v>
      </c>
      <c r="AV241" s="1092">
        <f>_xlfn.SUMIFS(Налоги!AU$25:AU$55,Налоги!$F$25:$F$55,$F241,Налоги!$AB$25:$AB$55,$G241)</f>
        <v>0</v>
      </c>
      <c r="AW241" s="1092">
        <f>_xlfn.SUMIFS(Налоги!AV$25:AV$55,Налоги!$F$25:$F$55,$F241,Налоги!$AB$25:$AB$55,$G241)</f>
        <v>0</v>
      </c>
      <c r="AX241" s="1092">
        <f>_xlfn.SUMIFS(Налоги!AW$25:AW$55,Налоги!$F$25:$F$55,$F241,Налоги!$AB$25:$AB$55,$G241)</f>
        <v>0</v>
      </c>
      <c r="AY241" s="1092">
        <f>_xlfn.SUMIFS(Налоги!AX$25:AX$55,Налоги!$F$25:$F$55,$F241,Налоги!$AB$25:$AB$55,$G241)</f>
        <v>0</v>
      </c>
      <c r="AZ241" s="1092">
        <f>_xlfn.SUMIFS(Налоги!AY$25:AY$55,Налоги!$F$25:$F$55,$F241,Налоги!$AB$25:$AB$55,$G241)</f>
        <v>0</v>
      </c>
      <c r="BA241" s="1092">
        <f>_xlfn.SUMIFS(Налоги!AZ$25:AZ$55,Налоги!$F$25:$F$55,$F241,Налоги!$AB$25:$AB$55,$G241)</f>
        <v>0</v>
      </c>
      <c r="BB241" s="1092">
        <f>_xlfn.SUMIFS(Налоги!BA$25:BA$55,Налоги!$F$25:$F$55,$F241,Налоги!$AB$25:$AB$55,$G241)</f>
        <v>0</v>
      </c>
      <c r="BC241" s="1092">
        <f>_xlfn.SUMIFS(Налоги!BB$25:BB$55,Налоги!$F$25:$F$55,$F241,Налоги!$AB$25:$AB$55,$G241)</f>
        <v>0</v>
      </c>
      <c r="BD241" s="1092">
        <f>IF(AI241=0,0,(AT241-AI241)/AI241*100)</f>
        <v>0</v>
      </c>
      <c r="BE241" s="1092">
        <f>IF(AT241=0,0,(AU241-AT241)/AT241*100)</f>
        <v>0</v>
      </c>
      <c r="BF241" s="1092">
        <f>IF(AU241=0,0,(AV241-AU241)/AU241*100)</f>
        <v>0</v>
      </c>
      <c r="BG241" s="1092">
        <f>IF(AV241=0,0,(AW241-AV241)/AV241*100)</f>
        <v>0</v>
      </c>
      <c r="BH241" s="1092">
        <f>IF(AW241=0,0,(AX241-AW241)/AW241*100)</f>
        <v>0</v>
      </c>
      <c r="BI241" s="1092">
        <f>IF(AX241=0,0,(AY241-AX241)/AX241*100)</f>
        <v>0</v>
      </c>
      <c r="BJ241" s="1092">
        <f>IF(AY241=0,0,(AZ241-AY241)/AY241*100)</f>
        <v>0</v>
      </c>
      <c r="BK241" s="1092">
        <f>IF(AZ241=0,0,(BA241-AZ241)/AZ241*100)</f>
        <v>0</v>
      </c>
      <c r="BL241" s="1092">
        <f>IF(BA241=0,0,(BB241-BA241)/BA241*100)</f>
        <v>0</v>
      </c>
      <c r="BM241" s="1092">
        <f>IF(BB241=0,0,(BC241-BB241)/BB241*100)</f>
        <v>0</v>
      </c>
      <c r="BN241" s="3618"/>
      <c r="BO241" s="3620" t="str">
        <f>IF(_xlfn.IFERROR(INDEX(Налоги!$K$26:$L$55,MATCH($F241&amp;"5komm",Налоги!$K$26:$K$55,0),2),"")=0,"",_xlfn.IFERROR(INDEX(Налоги!$K$26:$L$55,MATCH($F241&amp;"5komm",Налоги!$K$26:$K$55,0),2),""))</f>
        <v/>
      </c>
      <c r="BP241" s="3618"/>
      <c r="BQ241" s="1256"/>
      <c r="BR241" s="1256"/>
      <c r="BS241" s="1041" t="s">
        <v>1928</v>
      </c>
      <c r="BT241" s="1041"/>
      <c r="BU241" s="1041"/>
      <c r="BV241" s="956"/>
      <c r="BW241" s="956"/>
    </row>
    <row s="1624" customFormat="1" customHeight="1" ht="14.25">
      <c r="A242" s="1256"/>
      <c r="B242" s="955"/>
      <c r="C242" s="73"/>
      <c r="D242" s="73"/>
      <c r="E242" s="596">
        <v>15</v>
      </c>
      <c r="F242" s="50" cm="1" t="str">
        <f t="array" ref="F242:F242">OFFSET(E242,-1,1)</f>
        <v>1</v>
      </c>
      <c r="G242" s="898">
        <v>1</v>
      </c>
      <c r="H242" s="73"/>
      <c r="I242" s="73" t="s">
        <v>1929</v>
      </c>
      <c r="J242" s="73"/>
      <c r="K242" s="73" t="s">
        <v>1929</v>
      </c>
      <c r="L242" s="957"/>
      <c r="M242" s="73"/>
      <c r="N242" s="73"/>
      <c r="O242" s="73"/>
      <c r="P242" s="73"/>
      <c r="Q242" s="73"/>
      <c r="R242" s="73"/>
      <c r="S242" s="73"/>
      <c r="T242" s="438" cm="1" t="str">
        <f t="array" ref="T242:T242">T241</f>
        <v>true</v>
      </c>
      <c r="U242" s="73"/>
      <c r="V242" s="73"/>
      <c r="W242" s="73"/>
      <c r="X242" s="1541"/>
      <c r="Y242" s="1256"/>
      <c r="Z242" s="1494"/>
      <c r="AA242" s="1256"/>
      <c r="AB242" s="266" t="s">
        <v>1930</v>
      </c>
      <c r="AC242" s="741" t="s">
        <v>1931</v>
      </c>
      <c r="AD242" s="266" t="s">
        <v>789</v>
      </c>
      <c r="AE242" s="1092">
        <f>_xlfn.SUMIFS(Налоги!AE$25:AE$55,Налоги!$F$25:$F$55,$F242,Налоги!$AB$25:$AB$55,$G242)</f>
        <v>0</v>
      </c>
      <c r="AF242" s="1092">
        <f>_xlfn.SUMIFS(Налоги!AF$25:AF$55,Налоги!$F$25:$F$55,$F242,Налоги!$AB$25:$AB$55,$G242)</f>
        <v>0</v>
      </c>
      <c r="AG242" s="1092">
        <f>_xlfn.SUMIFS(Налоги!AG$25:AG$55,Налоги!$F$25:$F$55,$F242,Налоги!$AB$25:$AB$55,$G242)</f>
        <v>0</v>
      </c>
      <c r="AH242" s="1092">
        <f>AG242-AF242</f>
        <v>0</v>
      </c>
      <c r="AI242" s="1092">
        <f>_xlfn.SUMIFS(Налоги!AH$25:AH$55,Налоги!$F$25:$F$55,$F242,Налоги!$AB$25:$AB$55,$G242)</f>
        <v>0</v>
      </c>
      <c r="AJ242" s="1092">
        <f>_xlfn.SUMIFS(Налоги!AI$25:AI$55,Налоги!$F$25:$F$55,$F242,Налоги!$AB$25:$AB$55,$G242)</f>
        <v>0</v>
      </c>
      <c r="AK242" s="1092">
        <f>_xlfn.SUMIFS(Налоги!AJ$25:AJ$55,Налоги!$F$25:$F$55,$F242,Налоги!$AB$25:$AB$55,$G242)</f>
        <v>0</v>
      </c>
      <c r="AL242" s="1092">
        <f>_xlfn.SUMIFS(Налоги!AK$25:AK$55,Налоги!$F$25:$F$55,$F242,Налоги!$AB$25:$AB$55,$G242)</f>
        <v>0</v>
      </c>
      <c r="AM242" s="1092">
        <f>_xlfn.SUMIFS(Налоги!AL$25:AL$55,Налоги!$F$25:$F$55,$F242,Налоги!$AB$25:$AB$55,$G242)</f>
        <v>0</v>
      </c>
      <c r="AN242" s="1092">
        <f>_xlfn.SUMIFS(Налоги!AM$25:AM$55,Налоги!$F$25:$F$55,$F242,Налоги!$AB$25:$AB$55,$G242)</f>
        <v>0</v>
      </c>
      <c r="AO242" s="1092">
        <f>_xlfn.SUMIFS(Налоги!AN$25:AN$55,Налоги!$F$25:$F$55,$F242,Налоги!$AB$25:$AB$55,$G242)</f>
        <v>0</v>
      </c>
      <c r="AP242" s="1092">
        <f>_xlfn.SUMIFS(Налоги!AO$25:AO$55,Налоги!$F$25:$F$55,$F242,Налоги!$AB$25:$AB$55,$G242)</f>
        <v>0</v>
      </c>
      <c r="AQ242" s="1092">
        <f>_xlfn.SUMIFS(Налоги!AP$25:AP$55,Налоги!$F$25:$F$55,$F242,Налоги!$AB$25:$AB$55,$G242)</f>
        <v>0</v>
      </c>
      <c r="AR242" s="1092">
        <f>_xlfn.SUMIFS(Налоги!AQ$25:AQ$55,Налоги!$F$25:$F$55,$F242,Налоги!$AB$25:$AB$55,$G242)</f>
        <v>0</v>
      </c>
      <c r="AS242" s="1092">
        <f>_xlfn.SUMIFS(Налоги!AR$25:AR$55,Налоги!$F$25:$F$55,$F242,Налоги!$AB$25:$AB$55,$G242)</f>
        <v>0</v>
      </c>
      <c r="AT242" s="1092">
        <f>_xlfn.SUMIFS(Налоги!AS$25:AS$55,Налоги!$F$25:$F$55,$F242,Налоги!$AB$25:$AB$55,$G242)</f>
        <v>0</v>
      </c>
      <c r="AU242" s="1092">
        <f>_xlfn.SUMIFS(Налоги!AT$25:AT$55,Налоги!$F$25:$F$55,$F242,Налоги!$AB$25:$AB$55,$G242)</f>
        <v>0</v>
      </c>
      <c r="AV242" s="1092">
        <f>_xlfn.SUMIFS(Налоги!AU$25:AU$55,Налоги!$F$25:$F$55,$F242,Налоги!$AB$25:$AB$55,$G242)</f>
        <v>0</v>
      </c>
      <c r="AW242" s="1092">
        <f>_xlfn.SUMIFS(Налоги!AV$25:AV$55,Налоги!$F$25:$F$55,$F242,Налоги!$AB$25:$AB$55,$G242)</f>
        <v>0</v>
      </c>
      <c r="AX242" s="1092">
        <f>_xlfn.SUMIFS(Налоги!AW$25:AW$55,Налоги!$F$25:$F$55,$F242,Налоги!$AB$25:$AB$55,$G242)</f>
        <v>0</v>
      </c>
      <c r="AY242" s="1092">
        <f>_xlfn.SUMIFS(Налоги!AX$25:AX$55,Налоги!$F$25:$F$55,$F242,Налоги!$AB$25:$AB$55,$G242)</f>
        <v>0</v>
      </c>
      <c r="AZ242" s="1092">
        <f>_xlfn.SUMIFS(Налоги!AY$25:AY$55,Налоги!$F$25:$F$55,$F242,Налоги!$AB$25:$AB$55,$G242)</f>
        <v>0</v>
      </c>
      <c r="BA242" s="1092">
        <f>_xlfn.SUMIFS(Налоги!AZ$25:AZ$55,Налоги!$F$25:$F$55,$F242,Налоги!$AB$25:$AB$55,$G242)</f>
        <v>0</v>
      </c>
      <c r="BB242" s="1092">
        <f>_xlfn.SUMIFS(Налоги!BA$25:BA$55,Налоги!$F$25:$F$55,$F242,Налоги!$AB$25:$AB$55,$G242)</f>
        <v>0</v>
      </c>
      <c r="BC242" s="1092">
        <f>_xlfn.SUMIFS(Налоги!BB$25:BB$55,Налоги!$F$25:$F$55,$F242,Налоги!$AB$25:$AB$55,$G242)</f>
        <v>0</v>
      </c>
      <c r="BD242" s="1092">
        <f>IF(AI242=0,0,(AT242-AI242)/AI242*100)</f>
        <v>0</v>
      </c>
      <c r="BE242" s="1092">
        <f>IF(AT242=0,0,(AU242-AT242)/AT242*100)</f>
        <v>0</v>
      </c>
      <c r="BF242" s="1092">
        <f>IF(AU242=0,0,(AV242-AU242)/AU242*100)</f>
        <v>0</v>
      </c>
      <c r="BG242" s="1092">
        <f>IF(AV242=0,0,(AW242-AV242)/AV242*100)</f>
        <v>0</v>
      </c>
      <c r="BH242" s="1092">
        <f>IF(AW242=0,0,(AX242-AW242)/AW242*100)</f>
        <v>0</v>
      </c>
      <c r="BI242" s="1092">
        <f>IF(AX242=0,0,(AY242-AX242)/AX242*100)</f>
        <v>0</v>
      </c>
      <c r="BJ242" s="1092">
        <f>IF(AY242=0,0,(AZ242-AY242)/AY242*100)</f>
        <v>0</v>
      </c>
      <c r="BK242" s="1092">
        <f>IF(AZ242=0,0,(BA242-AZ242)/AZ242*100)</f>
        <v>0</v>
      </c>
      <c r="BL242" s="1092">
        <f>IF(BA242=0,0,(BB242-BA242)/BA242*100)</f>
        <v>0</v>
      </c>
      <c r="BM242" s="1092">
        <f>IF(BB242=0,0,(BC242-BB242)/BB242*100)</f>
        <v>0</v>
      </c>
      <c r="BN242" s="3618"/>
      <c r="BO242" s="3620" t="str">
        <f>IF(_xlfn.IFERROR(INDEX(Налоги!$K$26:$L$55,MATCH($F242&amp;"1komm",Налоги!$K$26:$K$55,0),2),"")=0,"",_xlfn.IFERROR(INDEX(Налоги!$K$26:$L$55,MATCH($F242&amp;"1komm",Налоги!$K$26:$K$55,0),2),""))</f>
        <v/>
      </c>
      <c r="BP242" s="3618"/>
      <c r="BQ242" s="1256"/>
      <c r="BR242" s="1256"/>
      <c r="BS242" s="1041" t="s">
        <v>1932</v>
      </c>
      <c r="BT242" s="1041"/>
      <c r="BU242" s="1041"/>
      <c r="BV242" s="956"/>
      <c r="BW242" s="956"/>
    </row>
    <row s="1624" customFormat="1" customHeight="1" ht="14.25">
      <c r="A243" s="1256"/>
      <c r="B243" s="955"/>
      <c r="C243" s="73"/>
      <c r="D243" s="73"/>
      <c r="E243" s="596">
        <v>15</v>
      </c>
      <c r="F243" s="50" cm="1" t="str">
        <f t="array" ref="F243:F243">OFFSET(E243,-1,1)</f>
        <v>1</v>
      </c>
      <c r="G243" s="898">
        <v>3</v>
      </c>
      <c r="H243" s="73"/>
      <c r="I243" s="73" t="s">
        <v>1933</v>
      </c>
      <c r="J243" s="73"/>
      <c r="K243" s="73" t="s">
        <v>1933</v>
      </c>
      <c r="L243" s="957"/>
      <c r="M243" s="73"/>
      <c r="N243" s="73"/>
      <c r="O243" s="73"/>
      <c r="P243" s="73"/>
      <c r="Q243" s="73"/>
      <c r="R243" s="73"/>
      <c r="S243" s="73"/>
      <c r="T243" s="438" cm="1" t="str">
        <f t="array" ref="T243:T243">T242</f>
        <v>true</v>
      </c>
      <c r="U243" s="73"/>
      <c r="V243" s="73"/>
      <c r="W243" s="73"/>
      <c r="X243" s="1541"/>
      <c r="Y243" s="1256"/>
      <c r="Z243" s="1494"/>
      <c r="AA243" s="1256"/>
      <c r="AB243" s="266" t="s">
        <v>1934</v>
      </c>
      <c r="AC243" s="741" t="s">
        <v>1935</v>
      </c>
      <c r="AD243" s="266" t="s">
        <v>789</v>
      </c>
      <c r="AE243" s="1092">
        <f>_xlfn.SUMIFS(Налоги!AE$25:AE$55,Налоги!$F$25:$F$55,$F243,Налоги!$AB$25:$AB$55,$G243)</f>
        <v>0</v>
      </c>
      <c r="AF243" s="1092">
        <f>_xlfn.SUMIFS(Налоги!AF$25:AF$55,Налоги!$F$25:$F$55,$F243,Налоги!$AB$25:$AB$55,$G243)</f>
        <v>0</v>
      </c>
      <c r="AG243" s="1092">
        <f>_xlfn.SUMIFS(Налоги!AG$25:AG$55,Налоги!$F$25:$F$55,$F243,Налоги!$AB$25:$AB$55,$G243)</f>
        <v>0</v>
      </c>
      <c r="AH243" s="1092">
        <f>AG243-AF243</f>
        <v>0</v>
      </c>
      <c r="AI243" s="1092">
        <f>_xlfn.SUMIFS(Налоги!AH$25:AH$55,Налоги!$F$25:$F$55,$F243,Налоги!$AB$25:$AB$55,$G243)</f>
        <v>0</v>
      </c>
      <c r="AJ243" s="1092">
        <f>_xlfn.SUMIFS(Налоги!AI$25:AI$55,Налоги!$F$25:$F$55,$F243,Налоги!$AB$25:$AB$55,$G243)</f>
        <v>0</v>
      </c>
      <c r="AK243" s="1092">
        <f>_xlfn.SUMIFS(Налоги!AJ$25:AJ$55,Налоги!$F$25:$F$55,$F243,Налоги!$AB$25:$AB$55,$G243)</f>
        <v>0</v>
      </c>
      <c r="AL243" s="1092">
        <f>_xlfn.SUMIFS(Налоги!AK$25:AK$55,Налоги!$F$25:$F$55,$F243,Налоги!$AB$25:$AB$55,$G243)</f>
        <v>0</v>
      </c>
      <c r="AM243" s="1092">
        <f>_xlfn.SUMIFS(Налоги!AL$25:AL$55,Налоги!$F$25:$F$55,$F243,Налоги!$AB$25:$AB$55,$G243)</f>
        <v>0</v>
      </c>
      <c r="AN243" s="1092">
        <f>_xlfn.SUMIFS(Налоги!AM$25:AM$55,Налоги!$F$25:$F$55,$F243,Налоги!$AB$25:$AB$55,$G243)</f>
        <v>0</v>
      </c>
      <c r="AO243" s="1092">
        <f>_xlfn.SUMIFS(Налоги!AN$25:AN$55,Налоги!$F$25:$F$55,$F243,Налоги!$AB$25:$AB$55,$G243)</f>
        <v>0</v>
      </c>
      <c r="AP243" s="1092">
        <f>_xlfn.SUMIFS(Налоги!AO$25:AO$55,Налоги!$F$25:$F$55,$F243,Налоги!$AB$25:$AB$55,$G243)</f>
        <v>0</v>
      </c>
      <c r="AQ243" s="1092">
        <f>_xlfn.SUMIFS(Налоги!AP$25:AP$55,Налоги!$F$25:$F$55,$F243,Налоги!$AB$25:$AB$55,$G243)</f>
        <v>0</v>
      </c>
      <c r="AR243" s="1092">
        <f>_xlfn.SUMIFS(Налоги!AQ$25:AQ$55,Налоги!$F$25:$F$55,$F243,Налоги!$AB$25:$AB$55,$G243)</f>
        <v>0</v>
      </c>
      <c r="AS243" s="1092">
        <f>_xlfn.SUMIFS(Налоги!AR$25:AR$55,Налоги!$F$25:$F$55,$F243,Налоги!$AB$25:$AB$55,$G243)</f>
        <v>0</v>
      </c>
      <c r="AT243" s="1092">
        <f>_xlfn.SUMIFS(Налоги!AS$25:AS$55,Налоги!$F$25:$F$55,$F243,Налоги!$AB$25:$AB$55,$G243)</f>
        <v>0</v>
      </c>
      <c r="AU243" s="1092">
        <f>_xlfn.SUMIFS(Налоги!AT$25:AT$55,Налоги!$F$25:$F$55,$F243,Налоги!$AB$25:$AB$55,$G243)</f>
        <v>0</v>
      </c>
      <c r="AV243" s="1092">
        <f>_xlfn.SUMIFS(Налоги!AU$25:AU$55,Налоги!$F$25:$F$55,$F243,Налоги!$AB$25:$AB$55,$G243)</f>
        <v>0</v>
      </c>
      <c r="AW243" s="1092">
        <f>_xlfn.SUMIFS(Налоги!AV$25:AV$55,Налоги!$F$25:$F$55,$F243,Налоги!$AB$25:$AB$55,$G243)</f>
        <v>0</v>
      </c>
      <c r="AX243" s="1092">
        <f>_xlfn.SUMIFS(Налоги!AW$25:AW$55,Налоги!$F$25:$F$55,$F243,Налоги!$AB$25:$AB$55,$G243)</f>
        <v>0</v>
      </c>
      <c r="AY243" s="1092">
        <f>_xlfn.SUMIFS(Налоги!AX$25:AX$55,Налоги!$F$25:$F$55,$F243,Налоги!$AB$25:$AB$55,$G243)</f>
        <v>0</v>
      </c>
      <c r="AZ243" s="1092">
        <f>_xlfn.SUMIFS(Налоги!AY$25:AY$55,Налоги!$F$25:$F$55,$F243,Налоги!$AB$25:$AB$55,$G243)</f>
        <v>0</v>
      </c>
      <c r="BA243" s="1092">
        <f>_xlfn.SUMIFS(Налоги!AZ$25:AZ$55,Налоги!$F$25:$F$55,$F243,Налоги!$AB$25:$AB$55,$G243)</f>
        <v>0</v>
      </c>
      <c r="BB243" s="1092">
        <f>_xlfn.SUMIFS(Налоги!BA$25:BA$55,Налоги!$F$25:$F$55,$F243,Налоги!$AB$25:$AB$55,$G243)</f>
        <v>0</v>
      </c>
      <c r="BC243" s="1092">
        <f>_xlfn.SUMIFS(Налоги!BB$25:BB$55,Налоги!$F$25:$F$55,$F243,Налоги!$AB$25:$AB$55,$G243)</f>
        <v>0</v>
      </c>
      <c r="BD243" s="1092">
        <f>IF(AI243=0,0,(AT243-AI243)/AI243*100)</f>
        <v>0</v>
      </c>
      <c r="BE243" s="1092">
        <f>IF(AT243=0,0,(AU243-AT243)/AT243*100)</f>
        <v>0</v>
      </c>
      <c r="BF243" s="1092">
        <f>IF(AU243=0,0,(AV243-AU243)/AU243*100)</f>
        <v>0</v>
      </c>
      <c r="BG243" s="1092">
        <f>IF(AV243=0,0,(AW243-AV243)/AV243*100)</f>
        <v>0</v>
      </c>
      <c r="BH243" s="1092">
        <f>IF(AW243=0,0,(AX243-AW243)/AW243*100)</f>
        <v>0</v>
      </c>
      <c r="BI243" s="1092">
        <f>IF(AX243=0,0,(AY243-AX243)/AX243*100)</f>
        <v>0</v>
      </c>
      <c r="BJ243" s="1092">
        <f>IF(AY243=0,0,(AZ243-AY243)/AY243*100)</f>
        <v>0</v>
      </c>
      <c r="BK243" s="1092">
        <f>IF(AZ243=0,0,(BA243-AZ243)/AZ243*100)</f>
        <v>0</v>
      </c>
      <c r="BL243" s="1092">
        <f>IF(BA243=0,0,(BB243-BA243)/BA243*100)</f>
        <v>0</v>
      </c>
      <c r="BM243" s="1092">
        <f>IF(BB243=0,0,(BC243-BB243)/BB243*100)</f>
        <v>0</v>
      </c>
      <c r="BN243" s="3618"/>
      <c r="BO243" s="3620" t="str">
        <f>IF(_xlfn.IFERROR(INDEX(Налоги!$K$26:$L$55,MATCH($F243&amp;"5komm",Налоги!$K$26:$K$55,0),2),"")=0,"",_xlfn.IFERROR(INDEX(Налоги!$K$26:$L$55,MATCH($F243&amp;"5komm",Налоги!$K$26:$K$55,0),2),""))</f>
        <v/>
      </c>
      <c r="BP243" s="3618"/>
      <c r="BQ243" s="1256"/>
      <c r="BR243" s="1256"/>
      <c r="BS243" s="1041" t="s">
        <v>1936</v>
      </c>
      <c r="BT243" s="1041"/>
      <c r="BU243" s="1041"/>
      <c r="BV243" s="956"/>
      <c r="BW243" s="956"/>
    </row>
    <row s="1624" customFormat="1" customHeight="1" ht="14.25">
      <c r="A244" s="1256"/>
      <c r="B244" s="955"/>
      <c r="C244" s="73"/>
      <c r="D244" s="73"/>
      <c r="E244" s="596">
        <v>15</v>
      </c>
      <c r="F244" s="50" cm="1" t="str">
        <f t="array" ref="F244:F244">OFFSET(E244,-1,1)</f>
        <v>1</v>
      </c>
      <c r="G244" s="898">
        <v>8</v>
      </c>
      <c r="H244" s="73"/>
      <c r="I244" s="73" t="s">
        <v>1937</v>
      </c>
      <c r="J244" s="73"/>
      <c r="K244" s="73" t="s">
        <v>1937</v>
      </c>
      <c r="L244" s="957"/>
      <c r="M244" s="73"/>
      <c r="N244" s="73"/>
      <c r="O244" s="73"/>
      <c r="P244" s="73"/>
      <c r="Q244" s="73"/>
      <c r="R244" s="73"/>
      <c r="S244" s="73"/>
      <c r="T244" s="438" cm="1" t="str">
        <f t="array" ref="T244:T244">T243</f>
        <v>true</v>
      </c>
      <c r="U244" s="73"/>
      <c r="V244" s="73"/>
      <c r="W244" s="73"/>
      <c r="X244" s="1541"/>
      <c r="Y244" s="1256"/>
      <c r="Z244" s="1494"/>
      <c r="AA244" s="1256"/>
      <c r="AB244" s="266" t="s">
        <v>1938</v>
      </c>
      <c r="AC244" s="741" t="s">
        <v>1939</v>
      </c>
      <c r="AD244" s="266" t="s">
        <v>789</v>
      </c>
      <c r="AE244" s="1092">
        <f>_xlfn.SUMIFS(Налоги!AE$25:AE$55,Налоги!$F$25:$F$55,$F244,Налоги!$AB$25:$AB$55,$G244)</f>
        <v>0</v>
      </c>
      <c r="AF244" s="1092">
        <f>_xlfn.SUMIFS(Налоги!AF$25:AF$55,Налоги!$F$25:$F$55,$F244,Налоги!$AB$25:$AB$55,$G244)</f>
        <v>0</v>
      </c>
      <c r="AG244" s="1092">
        <f>_xlfn.SUMIFS(Налоги!AG$25:AG$55,Налоги!$F$25:$F$55,$F244,Налоги!$AB$25:$AB$55,$G244)</f>
        <v>0</v>
      </c>
      <c r="AH244" s="1092">
        <f>AG244-AF244</f>
        <v>0</v>
      </c>
      <c r="AI244" s="1092">
        <f>_xlfn.SUMIFS(Налоги!AH$25:AH$55,Налоги!$F$25:$F$55,$F244,Налоги!$AB$25:$AB$55,$G244)</f>
        <v>0</v>
      </c>
      <c r="AJ244" s="1092">
        <f>_xlfn.SUMIFS(Налоги!AI$25:AI$55,Налоги!$F$25:$F$55,$F244,Налоги!$AB$25:$AB$55,$G244)</f>
        <v>0</v>
      </c>
      <c r="AK244" s="1092">
        <f>_xlfn.SUMIFS(Налоги!AJ$25:AJ$55,Налоги!$F$25:$F$55,$F244,Налоги!$AB$25:$AB$55,$G244)</f>
        <v>0</v>
      </c>
      <c r="AL244" s="1092">
        <f>_xlfn.SUMIFS(Налоги!AK$25:AK$55,Налоги!$F$25:$F$55,$F244,Налоги!$AB$25:$AB$55,$G244)</f>
        <v>0</v>
      </c>
      <c r="AM244" s="1092">
        <f>_xlfn.SUMIFS(Налоги!AL$25:AL$55,Налоги!$F$25:$F$55,$F244,Налоги!$AB$25:$AB$55,$G244)</f>
        <v>0</v>
      </c>
      <c r="AN244" s="1092">
        <f>_xlfn.SUMIFS(Налоги!AM$25:AM$55,Налоги!$F$25:$F$55,$F244,Налоги!$AB$25:$AB$55,$G244)</f>
        <v>0</v>
      </c>
      <c r="AO244" s="1092">
        <f>_xlfn.SUMIFS(Налоги!AN$25:AN$55,Налоги!$F$25:$F$55,$F244,Налоги!$AB$25:$AB$55,$G244)</f>
        <v>0</v>
      </c>
      <c r="AP244" s="1092">
        <f>_xlfn.SUMIFS(Налоги!AO$25:AO$55,Налоги!$F$25:$F$55,$F244,Налоги!$AB$25:$AB$55,$G244)</f>
        <v>0</v>
      </c>
      <c r="AQ244" s="1092">
        <f>_xlfn.SUMIFS(Налоги!AP$25:AP$55,Налоги!$F$25:$F$55,$F244,Налоги!$AB$25:$AB$55,$G244)</f>
        <v>0</v>
      </c>
      <c r="AR244" s="1092">
        <f>_xlfn.SUMIFS(Налоги!AQ$25:AQ$55,Налоги!$F$25:$F$55,$F244,Налоги!$AB$25:$AB$55,$G244)</f>
        <v>0</v>
      </c>
      <c r="AS244" s="1092">
        <f>_xlfn.SUMIFS(Налоги!AR$25:AR$55,Налоги!$F$25:$F$55,$F244,Налоги!$AB$25:$AB$55,$G244)</f>
        <v>0</v>
      </c>
      <c r="AT244" s="1092">
        <f>_xlfn.SUMIFS(Налоги!AS$25:AS$55,Налоги!$F$25:$F$55,$F244,Налоги!$AB$25:$AB$55,$G244)</f>
        <v>0</v>
      </c>
      <c r="AU244" s="1092">
        <f>_xlfn.SUMIFS(Налоги!AT$25:AT$55,Налоги!$F$25:$F$55,$F244,Налоги!$AB$25:$AB$55,$G244)</f>
        <v>0</v>
      </c>
      <c r="AV244" s="1092">
        <f>_xlfn.SUMIFS(Налоги!AU$25:AU$55,Налоги!$F$25:$F$55,$F244,Налоги!$AB$25:$AB$55,$G244)</f>
        <v>0</v>
      </c>
      <c r="AW244" s="1092">
        <f>_xlfn.SUMIFS(Налоги!AV$25:AV$55,Налоги!$F$25:$F$55,$F244,Налоги!$AB$25:$AB$55,$G244)</f>
        <v>0</v>
      </c>
      <c r="AX244" s="1092">
        <f>_xlfn.SUMIFS(Налоги!AW$25:AW$55,Налоги!$F$25:$F$55,$F244,Налоги!$AB$25:$AB$55,$G244)</f>
        <v>0</v>
      </c>
      <c r="AY244" s="1092">
        <f>_xlfn.SUMIFS(Налоги!AX$25:AX$55,Налоги!$F$25:$F$55,$F244,Налоги!$AB$25:$AB$55,$G244)</f>
        <v>0</v>
      </c>
      <c r="AZ244" s="1092">
        <f>_xlfn.SUMIFS(Налоги!AY$25:AY$55,Налоги!$F$25:$F$55,$F244,Налоги!$AB$25:$AB$55,$G244)</f>
        <v>0</v>
      </c>
      <c r="BA244" s="1092">
        <f>_xlfn.SUMIFS(Налоги!AZ$25:AZ$55,Налоги!$F$25:$F$55,$F244,Налоги!$AB$25:$AB$55,$G244)</f>
        <v>0</v>
      </c>
      <c r="BB244" s="1092">
        <f>_xlfn.SUMIFS(Налоги!BA$25:BA$55,Налоги!$F$25:$F$55,$F244,Налоги!$AB$25:$AB$55,$G244)</f>
        <v>0</v>
      </c>
      <c r="BC244" s="1092">
        <f>_xlfn.SUMIFS(Налоги!BB$25:BB$55,Налоги!$F$25:$F$55,$F244,Налоги!$AB$25:$AB$55,$G244)</f>
        <v>0</v>
      </c>
      <c r="BD244" s="1092">
        <f>IF(AI244=0,0,(AT244-AI244)/AI244*100)</f>
        <v>0</v>
      </c>
      <c r="BE244" s="1092">
        <f>IF(AT244=0,0,(AU244-AT244)/AT244*100)</f>
        <v>0</v>
      </c>
      <c r="BF244" s="1092">
        <f>IF(AU244=0,0,(AV244-AU244)/AU244*100)</f>
        <v>0</v>
      </c>
      <c r="BG244" s="1092">
        <f>IF(AV244=0,0,(AW244-AV244)/AV244*100)</f>
        <v>0</v>
      </c>
      <c r="BH244" s="1092">
        <f>IF(AW244=0,0,(AX244-AW244)/AW244*100)</f>
        <v>0</v>
      </c>
      <c r="BI244" s="1092">
        <f>IF(AX244=0,0,(AY244-AX244)/AX244*100)</f>
        <v>0</v>
      </c>
      <c r="BJ244" s="1092">
        <f>IF(AY244=0,0,(AZ244-AY244)/AY244*100)</f>
        <v>0</v>
      </c>
      <c r="BK244" s="1092">
        <f>IF(AZ244=0,0,(BA244-AZ244)/AZ244*100)</f>
        <v>0</v>
      </c>
      <c r="BL244" s="1092">
        <f>IF(BA244=0,0,(BB244-BA244)/BA244*100)</f>
        <v>0</v>
      </c>
      <c r="BM244" s="1092">
        <f>IF(BB244=0,0,(BC244-BB244)/BB244*100)</f>
        <v>0</v>
      </c>
      <c r="BN244" s="3618"/>
      <c r="BO244" s="3620" t="str">
        <f>IF(_xlfn.IFERROR(INDEX(Налоги!$K$26:$L$55,MATCH($F244&amp;"8komm",Налоги!$K$26:$K$55,0),2),"")=0,"",_xlfn.IFERROR(INDEX(Налоги!$K$26:$L$55,MATCH($F244&amp;"8komm",Налоги!$K$26:$K$55,0),2),""))</f>
        <v/>
      </c>
      <c r="BP244" s="3618"/>
      <c r="BQ244" s="1256"/>
      <c r="BR244" s="1256"/>
      <c r="BS244" s="1041" t="s">
        <v>1164</v>
      </c>
      <c r="BT244" s="1041"/>
      <c r="BU244" s="1041"/>
      <c r="BV244" s="956"/>
      <c r="BW244" s="956"/>
    </row>
    <row s="1211" customFormat="1" customHeight="1" ht="14.25">
      <c r="A245" s="1211"/>
      <c r="B245" s="729"/>
      <c r="C245" s="73"/>
      <c r="D245" s="73"/>
      <c r="E245" s="596">
        <v>15</v>
      </c>
      <c r="F245" s="50" cm="1" t="str">
        <f t="array" ref="F245:F245">OFFSET(E245,-1,1)</f>
        <v>1</v>
      </c>
      <c r="G245" s="898">
        <v>9</v>
      </c>
      <c r="H245" s="73"/>
      <c r="I245" s="73"/>
      <c r="J245" s="73"/>
      <c r="K245" s="73"/>
      <c r="L245" s="957"/>
      <c r="M245" s="73"/>
      <c r="N245" s="73"/>
      <c r="O245" s="73"/>
      <c r="P245" s="73"/>
      <c r="Q245" s="73"/>
      <c r="R245" s="73"/>
      <c r="S245" s="73"/>
      <c r="T245" s="438" cm="1" t="str">
        <f t="array" ref="T245:T245">T244</f>
        <v>true</v>
      </c>
      <c r="U245" s="73"/>
      <c r="V245" s="73"/>
      <c r="W245" s="73"/>
      <c r="X245" s="1541"/>
      <c r="Y245" s="1211"/>
      <c r="Z245" s="1494"/>
      <c r="AA245" s="1211"/>
      <c r="AB245" s="266" t="s">
        <v>1940</v>
      </c>
      <c r="AC245" s="756" t="s">
        <v>1941</v>
      </c>
      <c r="AD245" s="266" t="s">
        <v>789</v>
      </c>
      <c r="AE245" s="1092">
        <f>_xlfn.SUMIFS(Налоги!AE$25:AE$55,Налоги!$F$25:$F$55,$F245,Налоги!$AB$25:$AB$55,$G245)</f>
        <v>0</v>
      </c>
      <c r="AF245" s="1092">
        <f>_xlfn.SUMIFS(Налоги!AF$25:AF$55,Налоги!$F$25:$F$55,$F245,Налоги!$AB$25:$AB$55,$G245)</f>
        <v>0</v>
      </c>
      <c r="AG245" s="1092">
        <f>_xlfn.SUMIFS(Налоги!AG$25:AG$55,Налоги!$F$25:$F$55,$F245,Налоги!$AB$25:$AB$55,$G245)</f>
        <v>0</v>
      </c>
      <c r="AH245" s="1092">
        <f>AG245-AF245</f>
        <v>0</v>
      </c>
      <c r="AI245" s="1092">
        <f>_xlfn.SUMIFS(Налоги!AH$25:AH$55,Налоги!$F$25:$F$55,$F245,Налоги!$AB$25:$AB$55,$G245)</f>
        <v>0</v>
      </c>
      <c r="AJ245" s="1092">
        <f>_xlfn.SUMIFS(Налоги!AI$25:AI$55,Налоги!$F$25:$F$55,$F245,Налоги!$AB$25:$AB$55,$G245)</f>
        <v>0</v>
      </c>
      <c r="AK245" s="1092">
        <f>_xlfn.SUMIFS(Налоги!AJ$25:AJ$55,Налоги!$F$25:$F$55,$F245,Налоги!$AB$25:$AB$55,$G245)</f>
        <v>0</v>
      </c>
      <c r="AL245" s="1092">
        <f>_xlfn.SUMIFS(Налоги!AK$25:AK$55,Налоги!$F$25:$F$55,$F245,Налоги!$AB$25:$AB$55,$G245)</f>
        <v>0</v>
      </c>
      <c r="AM245" s="1092">
        <f>_xlfn.SUMIFS(Налоги!AL$25:AL$55,Налоги!$F$25:$F$55,$F245,Налоги!$AB$25:$AB$55,$G245)</f>
        <v>0</v>
      </c>
      <c r="AN245" s="1092">
        <f>_xlfn.SUMIFS(Налоги!AM$25:AM$55,Налоги!$F$25:$F$55,$F245,Налоги!$AB$25:$AB$55,$G245)</f>
        <v>0</v>
      </c>
      <c r="AO245" s="1092">
        <f>_xlfn.SUMIFS(Налоги!AN$25:AN$55,Налоги!$F$25:$F$55,$F245,Налоги!$AB$25:$AB$55,$G245)</f>
        <v>0</v>
      </c>
      <c r="AP245" s="1092">
        <f>_xlfn.SUMIFS(Налоги!AO$25:AO$55,Налоги!$F$25:$F$55,$F245,Налоги!$AB$25:$AB$55,$G245)</f>
        <v>0</v>
      </c>
      <c r="AQ245" s="1092">
        <f>_xlfn.SUMIFS(Налоги!AP$25:AP$55,Налоги!$F$25:$F$55,$F245,Налоги!$AB$25:$AB$55,$G245)</f>
        <v>0</v>
      </c>
      <c r="AR245" s="1092">
        <f>_xlfn.SUMIFS(Налоги!AQ$25:AQ$55,Налоги!$F$25:$F$55,$F245,Налоги!$AB$25:$AB$55,$G245)</f>
        <v>0</v>
      </c>
      <c r="AS245" s="1092">
        <f>_xlfn.SUMIFS(Налоги!AR$25:AR$55,Налоги!$F$25:$F$55,$F245,Налоги!$AB$25:$AB$55,$G245)</f>
        <v>0</v>
      </c>
      <c r="AT245" s="1092">
        <f>_xlfn.SUMIFS(Налоги!AS$25:AS$55,Налоги!$F$25:$F$55,$F245,Налоги!$AB$25:$AB$55,$G245)</f>
        <v>0</v>
      </c>
      <c r="AU245" s="1092">
        <f>_xlfn.SUMIFS(Налоги!AT$25:AT$55,Налоги!$F$25:$F$55,$F245,Налоги!$AB$25:$AB$55,$G245)</f>
        <v>0</v>
      </c>
      <c r="AV245" s="1092">
        <f>_xlfn.SUMIFS(Налоги!AU$25:AU$55,Налоги!$F$25:$F$55,$F245,Налоги!$AB$25:$AB$55,$G245)</f>
        <v>0</v>
      </c>
      <c r="AW245" s="1092">
        <f>_xlfn.SUMIFS(Налоги!AV$25:AV$55,Налоги!$F$25:$F$55,$F245,Налоги!$AB$25:$AB$55,$G245)</f>
        <v>0</v>
      </c>
      <c r="AX245" s="1092">
        <f>_xlfn.SUMIFS(Налоги!AW$25:AW$55,Налоги!$F$25:$F$55,$F245,Налоги!$AB$25:$AB$55,$G245)</f>
        <v>0</v>
      </c>
      <c r="AY245" s="1092">
        <f>_xlfn.SUMIFS(Налоги!AX$25:AX$55,Налоги!$F$25:$F$55,$F245,Налоги!$AB$25:$AB$55,$G245)</f>
        <v>0</v>
      </c>
      <c r="AZ245" s="1092">
        <f>_xlfn.SUMIFS(Налоги!AY$25:AY$55,Налоги!$F$25:$F$55,$F245,Налоги!$AB$25:$AB$55,$G245)</f>
        <v>0</v>
      </c>
      <c r="BA245" s="1092">
        <f>_xlfn.SUMIFS(Налоги!AZ$25:AZ$55,Налоги!$F$25:$F$55,$F245,Налоги!$AB$25:$AB$55,$G245)</f>
        <v>0</v>
      </c>
      <c r="BB245" s="1092">
        <f>_xlfn.SUMIFS(Налоги!BA$25:BA$55,Налоги!$F$25:$F$55,$F245,Налоги!$AB$25:$AB$55,$G245)</f>
        <v>0</v>
      </c>
      <c r="BC245" s="1092">
        <f>_xlfn.SUMIFS(Налоги!BB$25:BB$55,Налоги!$F$25:$F$55,$F245,Налоги!$AB$25:$AB$55,$G245)</f>
        <v>0</v>
      </c>
      <c r="BD245" s="1092">
        <f>IF(AI245=0,0,(AT245-AI245)/AI245*100)</f>
        <v>0</v>
      </c>
      <c r="BE245" s="1092">
        <f>IF(AT245=0,0,(AU245-AT245)/AT245*100)</f>
        <v>0</v>
      </c>
      <c r="BF245" s="1092">
        <f>IF(AU245=0,0,(AV245-AU245)/AU245*100)</f>
        <v>0</v>
      </c>
      <c r="BG245" s="1092">
        <f>IF(AV245=0,0,(AW245-AV245)/AV245*100)</f>
        <v>0</v>
      </c>
      <c r="BH245" s="1092">
        <f>IF(AW245=0,0,(AX245-AW245)/AW245*100)</f>
        <v>0</v>
      </c>
      <c r="BI245" s="1092">
        <f>IF(AX245=0,0,(AY245-AX245)/AX245*100)</f>
        <v>0</v>
      </c>
      <c r="BJ245" s="1092">
        <f>IF(AY245=0,0,(AZ245-AY245)/AY245*100)</f>
        <v>0</v>
      </c>
      <c r="BK245" s="1092">
        <f>IF(AZ245=0,0,(BA245-AZ245)/AZ245*100)</f>
        <v>0</v>
      </c>
      <c r="BL245" s="1092">
        <f>IF(BA245=0,0,(BB245-BA245)/BA245*100)</f>
        <v>0</v>
      </c>
      <c r="BM245" s="1092">
        <f>IF(BB245=0,0,(BC245-BB245)/BB245*100)</f>
        <v>0</v>
      </c>
      <c r="BN245" s="3618"/>
      <c r="BO245" s="3620" t="str">
        <f>IF(_xlfn.IFERROR(INDEX(Налоги!$K$26:$L$55,MATCH($F245&amp;"9komm",Налоги!$K$26:$K$55,0),2),"")=0,"",_xlfn.IFERROR(INDEX(Налоги!$K$26:$L$55,MATCH($F245&amp;"9komm",Налоги!$K$26:$K$55,0),2),""))</f>
        <v/>
      </c>
      <c r="BP245" s="3618"/>
      <c r="BQ245" s="1211"/>
      <c r="BR245" s="1211"/>
      <c r="BS245" s="1048" t="s">
        <v>1942</v>
      </c>
      <c r="BT245" s="1048"/>
      <c r="BU245" s="1048"/>
      <c r="BV245" s="1049"/>
      <c r="BW245" s="1049"/>
    </row>
    <row s="1624" customFormat="1" customHeight="1" ht="14.25">
      <c r="A246" s="1256"/>
      <c r="B246" s="955"/>
      <c r="C246" s="73"/>
      <c r="D246" s="73"/>
      <c r="E246" s="596">
        <v>15</v>
      </c>
      <c r="F246" s="50" cm="1" t="str">
        <f t="array" ref="F246:F246">OFFSET(E246,-1,1)</f>
        <v>1</v>
      </c>
      <c r="G246" s="898">
        <v>10</v>
      </c>
      <c r="H246" s="73"/>
      <c r="I246" s="73" t="s">
        <v>1943</v>
      </c>
      <c r="J246" s="73"/>
      <c r="K246" s="73" t="s">
        <v>1943</v>
      </c>
      <c r="L246" s="957"/>
      <c r="M246" s="73"/>
      <c r="N246" s="73"/>
      <c r="O246" s="73"/>
      <c r="P246" s="73"/>
      <c r="Q246" s="73"/>
      <c r="R246" s="73"/>
      <c r="S246" s="73"/>
      <c r="T246" s="438" cm="1" t="str">
        <f t="array" ref="T246:T246">T245</f>
        <v>true</v>
      </c>
      <c r="U246" s="73"/>
      <c r="V246" s="73"/>
      <c r="W246" s="73"/>
      <c r="X246" s="1541"/>
      <c r="Y246" s="1256"/>
      <c r="Z246" s="1494"/>
      <c r="AA246" s="1256"/>
      <c r="AB246" s="266" t="s">
        <v>1944</v>
      </c>
      <c r="AC246" s="757" t="s">
        <v>1945</v>
      </c>
      <c r="AD246" s="266" t="s">
        <v>789</v>
      </c>
      <c r="AE246" s="1092">
        <f>_xlfn.SUMIFS(Налоги!AE$25:AE$55,Налоги!$F$25:$F$55,$F246,Налоги!$AB$25:$AB$55,$G246)</f>
        <v>0</v>
      </c>
      <c r="AF246" s="1092">
        <f>_xlfn.SUMIFS(Налоги!AF$25:AF$55,Налоги!$F$25:$F$55,$F246,Налоги!$AB$25:$AB$55,$G246)</f>
        <v>0</v>
      </c>
      <c r="AG246" s="1092">
        <f>_xlfn.SUMIFS(Налоги!AG$25:AG$55,Налоги!$F$25:$F$55,$F246,Налоги!$AB$25:$AB$55,$G246)</f>
        <v>0</v>
      </c>
      <c r="AH246" s="1092">
        <f>AG246-AF246</f>
        <v>0</v>
      </c>
      <c r="AI246" s="1092">
        <f>_xlfn.SUMIFS(Налоги!AH$25:AH$55,Налоги!$F$25:$F$55,$F246,Налоги!$AB$25:$AB$55,$G246)</f>
        <v>0</v>
      </c>
      <c r="AJ246" s="1092">
        <f>_xlfn.SUMIFS(Налоги!AI$25:AI$55,Налоги!$F$25:$F$55,$F246,Налоги!$AB$25:$AB$55,$G246)</f>
        <v>0</v>
      </c>
      <c r="AK246" s="1092">
        <f>_xlfn.SUMIFS(Налоги!AJ$25:AJ$55,Налоги!$F$25:$F$55,$F246,Налоги!$AB$25:$AB$55,$G246)</f>
        <v>0</v>
      </c>
      <c r="AL246" s="1092">
        <f>_xlfn.SUMIFS(Налоги!AK$25:AK$55,Налоги!$F$25:$F$55,$F246,Налоги!$AB$25:$AB$55,$G246)</f>
        <v>0</v>
      </c>
      <c r="AM246" s="1092">
        <f>_xlfn.SUMIFS(Налоги!AL$25:AL$55,Налоги!$F$25:$F$55,$F246,Налоги!$AB$25:$AB$55,$G246)</f>
        <v>0</v>
      </c>
      <c r="AN246" s="1092">
        <f>_xlfn.SUMIFS(Налоги!AM$25:AM$55,Налоги!$F$25:$F$55,$F246,Налоги!$AB$25:$AB$55,$G246)</f>
        <v>0</v>
      </c>
      <c r="AO246" s="1092">
        <f>_xlfn.SUMIFS(Налоги!AN$25:AN$55,Налоги!$F$25:$F$55,$F246,Налоги!$AB$25:$AB$55,$G246)</f>
        <v>0</v>
      </c>
      <c r="AP246" s="1092">
        <f>_xlfn.SUMIFS(Налоги!AO$25:AO$55,Налоги!$F$25:$F$55,$F246,Налоги!$AB$25:$AB$55,$G246)</f>
        <v>0</v>
      </c>
      <c r="AQ246" s="1092">
        <f>_xlfn.SUMIFS(Налоги!AP$25:AP$55,Налоги!$F$25:$F$55,$F246,Налоги!$AB$25:$AB$55,$G246)</f>
        <v>0</v>
      </c>
      <c r="AR246" s="1092">
        <f>_xlfn.SUMIFS(Налоги!AQ$25:AQ$55,Налоги!$F$25:$F$55,$F246,Налоги!$AB$25:$AB$55,$G246)</f>
        <v>0</v>
      </c>
      <c r="AS246" s="1092">
        <f>_xlfn.SUMIFS(Налоги!AR$25:AR$55,Налоги!$F$25:$F$55,$F246,Налоги!$AB$25:$AB$55,$G246)</f>
        <v>0</v>
      </c>
      <c r="AT246" s="1092">
        <f>_xlfn.SUMIFS(Налоги!AS$25:AS$55,Налоги!$F$25:$F$55,$F246,Налоги!$AB$25:$AB$55,$G246)</f>
        <v>0</v>
      </c>
      <c r="AU246" s="1092">
        <f>_xlfn.SUMIFS(Налоги!AT$25:AT$55,Налоги!$F$25:$F$55,$F246,Налоги!$AB$25:$AB$55,$G246)</f>
        <v>0</v>
      </c>
      <c r="AV246" s="1092">
        <f>_xlfn.SUMIFS(Налоги!AU$25:AU$55,Налоги!$F$25:$F$55,$F246,Налоги!$AB$25:$AB$55,$G246)</f>
        <v>0</v>
      </c>
      <c r="AW246" s="1092">
        <f>_xlfn.SUMIFS(Налоги!AV$25:AV$55,Налоги!$F$25:$F$55,$F246,Налоги!$AB$25:$AB$55,$G246)</f>
        <v>0</v>
      </c>
      <c r="AX246" s="1092">
        <f>_xlfn.SUMIFS(Налоги!AW$25:AW$55,Налоги!$F$25:$F$55,$F246,Налоги!$AB$25:$AB$55,$G246)</f>
        <v>0</v>
      </c>
      <c r="AY246" s="1092">
        <f>_xlfn.SUMIFS(Налоги!AX$25:AX$55,Налоги!$F$25:$F$55,$F246,Налоги!$AB$25:$AB$55,$G246)</f>
        <v>0</v>
      </c>
      <c r="AZ246" s="1092">
        <f>_xlfn.SUMIFS(Налоги!AY$25:AY$55,Налоги!$F$25:$F$55,$F246,Налоги!$AB$25:$AB$55,$G246)</f>
        <v>0</v>
      </c>
      <c r="BA246" s="1092">
        <f>_xlfn.SUMIFS(Налоги!AZ$25:AZ$55,Налоги!$F$25:$F$55,$F246,Налоги!$AB$25:$AB$55,$G246)</f>
        <v>0</v>
      </c>
      <c r="BB246" s="1092">
        <f>_xlfn.SUMIFS(Налоги!BA$25:BA$55,Налоги!$F$25:$F$55,$F246,Налоги!$AB$25:$AB$55,$G246)</f>
        <v>0</v>
      </c>
      <c r="BC246" s="1092">
        <f>_xlfn.SUMIFS(Налоги!BB$25:BB$55,Налоги!$F$25:$F$55,$F246,Налоги!$AB$25:$AB$55,$G246)</f>
        <v>0</v>
      </c>
      <c r="BD246" s="1092">
        <f>IF(AI246=0,0,(AT246-AI246)/AI246*100)</f>
        <v>0</v>
      </c>
      <c r="BE246" s="1092">
        <f>IF(AT246=0,0,(AU246-AT246)/AT246*100)</f>
        <v>0</v>
      </c>
      <c r="BF246" s="1092">
        <f>IF(AU246=0,0,(AV246-AU246)/AU246*100)</f>
        <v>0</v>
      </c>
      <c r="BG246" s="1092">
        <f>IF(AV246=0,0,(AW246-AV246)/AV246*100)</f>
        <v>0</v>
      </c>
      <c r="BH246" s="1092">
        <f>IF(AW246=0,0,(AX246-AW246)/AW246*100)</f>
        <v>0</v>
      </c>
      <c r="BI246" s="1092">
        <f>IF(AX246=0,0,(AY246-AX246)/AX246*100)</f>
        <v>0</v>
      </c>
      <c r="BJ246" s="1092">
        <f>IF(AY246=0,0,(AZ246-AY246)/AY246*100)</f>
        <v>0</v>
      </c>
      <c r="BK246" s="1092">
        <f>IF(AZ246=0,0,(BA246-AZ246)/AZ246*100)</f>
        <v>0</v>
      </c>
      <c r="BL246" s="1092">
        <f>IF(BA246=0,0,(BB246-BA246)/BA246*100)</f>
        <v>0</v>
      </c>
      <c r="BM246" s="1092">
        <f>IF(BB246=0,0,(BC246-BB246)/BB246*100)</f>
        <v>0</v>
      </c>
      <c r="BN246" s="3618"/>
      <c r="BO246" s="3620" t="str">
        <f>IF(_xlfn.IFERROR(INDEX(Налоги!$K$26:$L$55,MATCH($F246&amp;"10komm",Налоги!$K$26:$K$55,0),2),"")=0,"",_xlfn.IFERROR(INDEX(Налоги!$K$26:$L$55,MATCH($F246&amp;"10komm",Налоги!$K$26:$K$55,0),2),""))</f>
        <v/>
      </c>
      <c r="BP246" s="3618"/>
      <c r="BQ246" s="1256"/>
      <c r="BR246" s="1256"/>
      <c r="BS246" s="1041" t="s">
        <v>1946</v>
      </c>
      <c r="BT246" s="1041"/>
      <c r="BU246" s="1041"/>
      <c r="BV246" s="956"/>
      <c r="BW246" s="956"/>
    </row>
    <row s="1624" customFormat="1" customHeight="1" ht="65.25">
      <c r="A247" s="1256"/>
      <c r="B247" s="955"/>
      <c r="C247" s="73"/>
      <c r="D247" s="73"/>
      <c r="E247" s="596">
        <v>67.5</v>
      </c>
      <c r="F247" s="50" cm="1" t="str">
        <f t="array" ref="F247:F247">OFFSET(E247,-1,1)</f>
        <v>1</v>
      </c>
      <c r="G247" s="73" t="s">
        <v>1317</v>
      </c>
      <c r="H247" s="73"/>
      <c r="I247" s="73" t="s">
        <v>866</v>
      </c>
      <c r="J247" s="73"/>
      <c r="K247" s="124" t="s">
        <v>866</v>
      </c>
      <c r="L247" s="957"/>
      <c r="M247" s="73"/>
      <c r="N247" s="73"/>
      <c r="O247" s="73"/>
      <c r="P247" s="73"/>
      <c r="Q247" s="73"/>
      <c r="R247" s="73"/>
      <c r="S247" s="73"/>
      <c r="T247" s="438" cm="1" t="str">
        <f t="array" ref="T247:T247">T246</f>
        <v>true</v>
      </c>
      <c r="U247" s="73"/>
      <c r="V247" s="73"/>
      <c r="W247" s="73"/>
      <c r="X247" s="1541"/>
      <c r="Y247" s="1256"/>
      <c r="Z247" s="1494"/>
      <c r="AA247" s="1256"/>
      <c r="AB247" s="266" t="s">
        <v>867</v>
      </c>
      <c r="AC247" s="758" t="s">
        <v>1320</v>
      </c>
      <c r="AD247" s="266" t="s">
        <v>789</v>
      </c>
      <c r="AE247" s="3589"/>
      <c r="AF247" s="3589"/>
      <c r="AG247" s="3589"/>
      <c r="AH247" s="1092">
        <f>AG247-AF247</f>
        <v>0</v>
      </c>
      <c r="AI247" s="3589"/>
      <c r="AJ247" s="3589"/>
      <c r="AK247" s="3589"/>
      <c r="AL247" s="3589"/>
      <c r="AM247" s="3589"/>
      <c r="AN247" s="3589"/>
      <c r="AO247" s="3589"/>
      <c r="AP247" s="3589"/>
      <c r="AQ247" s="3589"/>
      <c r="AR247" s="3589"/>
      <c r="AS247" s="3589"/>
      <c r="AT247" s="3589"/>
      <c r="AU247" s="3589"/>
      <c r="AV247" s="3589"/>
      <c r="AW247" s="3589"/>
      <c r="AX247" s="3589"/>
      <c r="AY247" s="3589"/>
      <c r="AZ247" s="3589"/>
      <c r="BA247" s="3589"/>
      <c r="BB247" s="3589"/>
      <c r="BC247" s="3589"/>
      <c r="BD247" s="1092">
        <f>IF(AI247=0,0,(AT247-AI247)/AI247*100)</f>
        <v>0</v>
      </c>
      <c r="BE247" s="1092">
        <f>IF(AT247=0,0,(AU247-AT247)/AT247*100)</f>
        <v>0</v>
      </c>
      <c r="BF247" s="1092">
        <f>IF(AU247=0,0,(AV247-AU247)/AU247*100)</f>
        <v>0</v>
      </c>
      <c r="BG247" s="1092">
        <f>IF(AV247=0,0,(AW247-AV247)/AV247*100)</f>
        <v>0</v>
      </c>
      <c r="BH247" s="1092">
        <f>IF(AW247=0,0,(AX247-AW247)/AW247*100)</f>
        <v>0</v>
      </c>
      <c r="BI247" s="1092">
        <f>IF(AX247=0,0,(AY247-AX247)/AX247*100)</f>
        <v>0</v>
      </c>
      <c r="BJ247" s="1092">
        <f>IF(AY247=0,0,(AZ247-AY247)/AY247*100)</f>
        <v>0</v>
      </c>
      <c r="BK247" s="1092">
        <f>IF(AZ247=0,0,(BA247-AZ247)/AZ247*100)</f>
        <v>0</v>
      </c>
      <c r="BL247" s="1092">
        <f>IF(BA247=0,0,(BB247-BA247)/BA247*100)</f>
        <v>0</v>
      </c>
      <c r="BM247" s="1092">
        <f>IF(BB247=0,0,(BC247-BB247)/BB247*100)</f>
        <v>0</v>
      </c>
      <c r="BN247" s="3618"/>
      <c r="BO247" s="3618"/>
      <c r="BP247" s="3618"/>
      <c r="BQ247" s="1256"/>
      <c r="BR247" s="1256"/>
      <c r="BS247" s="1041" t="s">
        <v>1947</v>
      </c>
      <c r="BT247" s="1041"/>
      <c r="BU247" s="1041"/>
      <c r="BV247" s="956"/>
      <c r="BW247" s="956"/>
    </row>
    <row s="1624" customFormat="1" customHeight="1" ht="14.25">
      <c r="A248" s="1256"/>
      <c r="B248" s="955"/>
      <c r="C248" s="73"/>
      <c r="D248" s="73"/>
      <c r="E248" s="596">
        <v>15</v>
      </c>
      <c r="F248" s="50" cm="1" t="str">
        <f t="array" ref="F248:F248">OFFSET(E248,-1,1)</f>
        <v>1</v>
      </c>
      <c r="G248" s="73" t="s">
        <v>942</v>
      </c>
      <c r="H248" s="73"/>
      <c r="I248" s="73" t="s">
        <v>869</v>
      </c>
      <c r="J248" s="73"/>
      <c r="K248" s="124" t="s">
        <v>869</v>
      </c>
      <c r="L248" s="957" t="s">
        <v>484</v>
      </c>
      <c r="M248" s="73"/>
      <c r="N248" s="73"/>
      <c r="O248" s="73"/>
      <c r="P248" s="73"/>
      <c r="Q248" s="73"/>
      <c r="R248" s="73"/>
      <c r="S248" s="73"/>
      <c r="T248" s="438" cm="1" t="str">
        <f t="array" ref="T248:T248">T247</f>
        <v>true</v>
      </c>
      <c r="U248" s="73"/>
      <c r="V248" s="73"/>
      <c r="W248" s="73"/>
      <c r="X248" s="1541"/>
      <c r="Y248" s="1256"/>
      <c r="Z248" s="1494"/>
      <c r="AA248" s="1256"/>
      <c r="AB248" s="266" t="s">
        <v>870</v>
      </c>
      <c r="AC248" s="738" t="s">
        <v>942</v>
      </c>
      <c r="AD248" s="266" t="s">
        <v>789</v>
      </c>
      <c r="AE248" s="1092">
        <f>_xlfn.SUMIFS(Аренда!AE$25:AE$47,Аренда!$F$25:$F$47,$F248,Аренда!$G$25:$G$47,"Арендная и концессионная плата, лизинговые платежи")</f>
        <v>0</v>
      </c>
      <c r="AF248" s="1092">
        <f>_xlfn.SUMIFS(Аренда!AF$25:AF$47,Аренда!$F$25:$F$47,$F248,Аренда!$G$25:$G$47,"Арендная и концессионная плата, лизинговые платежи")</f>
        <v>0</v>
      </c>
      <c r="AG248" s="1092">
        <f>_xlfn.SUMIFS(Аренда!AG$25:AG$47,Аренда!$F$25:$F$47,$F248,Аренда!$G$25:$G$47,"Арендная и концессионная плата, лизинговые платежи")</f>
        <v>0</v>
      </c>
      <c r="AH248" s="1092">
        <f>AG248-AF248</f>
        <v>0</v>
      </c>
      <c r="AI248" s="1092">
        <f>_xlfn.SUMIFS(Аренда!AH$25:AH$47,Аренда!$F$25:$F$47,$F248,Аренда!$G$25:$G$47,"Арендная и концессионная плата, лизинговые платежи")</f>
        <v>0</v>
      </c>
      <c r="AJ248" s="1092">
        <f>_xlfn.SUMIFS(Аренда!AI$25:AI$47,Аренда!$F$25:$F$47,$F248,Аренда!$G$25:$G$47,"Арендная и концессионная плата, лизинговые платежи")</f>
        <v>0</v>
      </c>
      <c r="AK248" s="1092">
        <f>_xlfn.SUMIFS(Аренда!AJ$25:AJ$47,Аренда!$F$25:$F$47,$F248,Аренда!$G$25:$G$47,"Арендная и концессионная плата, лизинговые платежи")</f>
        <v>0</v>
      </c>
      <c r="AL248" s="1092">
        <f>_xlfn.SUMIFS(Аренда!AK$25:AK$47,Аренда!$F$25:$F$47,$F248,Аренда!$G$25:$G$47,"Арендная и концессионная плата, лизинговые платежи")</f>
        <v>0</v>
      </c>
      <c r="AM248" s="1092">
        <f>_xlfn.SUMIFS(Аренда!AL$25:AL$47,Аренда!$F$25:$F$47,$F248,Аренда!$G$25:$G$47,"Арендная и концессионная плата, лизинговые платежи")</f>
        <v>0</v>
      </c>
      <c r="AN248" s="1092">
        <f>_xlfn.SUMIFS(Аренда!AM$25:AM$47,Аренда!$F$25:$F$47,$F248,Аренда!$G$25:$G$47,"Арендная и концессионная плата, лизинговые платежи")</f>
        <v>0</v>
      </c>
      <c r="AO248" s="1092">
        <f>_xlfn.SUMIFS(Аренда!AN$25:AN$47,Аренда!$F$25:$F$47,$F248,Аренда!$G$25:$G$47,"Арендная и концессионная плата, лизинговые платежи")</f>
        <v>0</v>
      </c>
      <c r="AP248" s="1092">
        <f>_xlfn.SUMIFS(Аренда!AO$25:AO$47,Аренда!$F$25:$F$47,$F248,Аренда!$G$25:$G$47,"Арендная и концессионная плата, лизинговые платежи")</f>
        <v>0</v>
      </c>
      <c r="AQ248" s="1092">
        <f>_xlfn.SUMIFS(Аренда!AP$25:AP$47,Аренда!$F$25:$F$47,$F248,Аренда!$G$25:$G$47,"Арендная и концессионная плата, лизинговые платежи")</f>
        <v>0</v>
      </c>
      <c r="AR248" s="1092">
        <f>_xlfn.SUMIFS(Аренда!AQ$25:AQ$47,Аренда!$F$25:$F$47,$F248,Аренда!$G$25:$G$47,"Арендная и концессионная плата, лизинговые платежи")</f>
        <v>0</v>
      </c>
      <c r="AS248" s="1092">
        <f>_xlfn.SUMIFS(Аренда!AR$25:AR$47,Аренда!$F$25:$F$47,$F248,Аренда!$G$25:$G$47,"Арендная и концессионная плата, лизинговые платежи")</f>
        <v>0</v>
      </c>
      <c r="AT248" s="1092">
        <f>_xlfn.SUMIFS(Аренда!AS$25:AS$47,Аренда!$F$25:$F$47,$F248,Аренда!$G$25:$G$47,"Арендная и концессионная плата, лизинговые платежи")</f>
        <v>0</v>
      </c>
      <c r="AU248" s="1092">
        <f>_xlfn.SUMIFS(Аренда!AT$25:AT$47,Аренда!$F$25:$F$47,$F248,Аренда!$G$25:$G$47,"Арендная и концессионная плата, лизинговые платежи")</f>
        <v>0</v>
      </c>
      <c r="AV248" s="1092">
        <f>_xlfn.SUMIFS(Аренда!AU$25:AU$47,Аренда!$F$25:$F$47,$F248,Аренда!$G$25:$G$47,"Арендная и концессионная плата, лизинговые платежи")</f>
        <v>0</v>
      </c>
      <c r="AW248" s="1092">
        <f>_xlfn.SUMIFS(Аренда!AV$25:AV$47,Аренда!$F$25:$F$47,$F248,Аренда!$G$25:$G$47,"Арендная и концессионная плата, лизинговые платежи")</f>
        <v>0</v>
      </c>
      <c r="AX248" s="1092">
        <f>_xlfn.SUMIFS(Аренда!AW$25:AW$47,Аренда!$F$25:$F$47,$F248,Аренда!$G$25:$G$47,"Арендная и концессионная плата, лизинговые платежи")</f>
        <v>0</v>
      </c>
      <c r="AY248" s="1092">
        <f>_xlfn.SUMIFS(Аренда!AX$25:AX$47,Аренда!$F$25:$F$47,$F248,Аренда!$G$25:$G$47,"Арендная и концессионная плата, лизинговые платежи")</f>
        <v>0</v>
      </c>
      <c r="AZ248" s="1092">
        <f>_xlfn.SUMIFS(Аренда!AY$25:AY$47,Аренда!$F$25:$F$47,$F248,Аренда!$G$25:$G$47,"Арендная и концессионная плата, лизинговые платежи")</f>
        <v>0</v>
      </c>
      <c r="BA248" s="1092">
        <f>_xlfn.SUMIFS(Аренда!AZ$25:AZ$47,Аренда!$F$25:$F$47,$F248,Аренда!$G$25:$G$47,"Арендная и концессионная плата, лизинговые платежи")</f>
        <v>0</v>
      </c>
      <c r="BB248" s="1092">
        <f>_xlfn.SUMIFS(Аренда!BA$25:BA$47,Аренда!$F$25:$F$47,$F248,Аренда!$G$25:$G$47,"Арендная и концессионная плата, лизинговые платежи")</f>
        <v>0</v>
      </c>
      <c r="BC248" s="1092">
        <f>_xlfn.SUMIFS(Аренда!BB$25:BB$47,Аренда!$F$25:$F$47,$F248,Аренда!$G$25:$G$47,"Арендная и концессионная плата, лизинговые платежи")</f>
        <v>0</v>
      </c>
      <c r="BD248" s="1092">
        <f>IF(AI248=0,0,(AT248-AI248)/AI248*100)</f>
        <v>0</v>
      </c>
      <c r="BE248" s="1092">
        <f>IF(AT248=0,0,(AU248-AT248)/AT248*100)</f>
        <v>0</v>
      </c>
      <c r="BF248" s="1092">
        <f>IF(AU248=0,0,(AV248-AU248)/AU248*100)</f>
        <v>0</v>
      </c>
      <c r="BG248" s="1092">
        <f>IF(AV248=0,0,(AW248-AV248)/AV248*100)</f>
        <v>0</v>
      </c>
      <c r="BH248" s="1092">
        <f>IF(AW248=0,0,(AX248-AW248)/AW248*100)</f>
        <v>0</v>
      </c>
      <c r="BI248" s="1092">
        <f>IF(AX248=0,0,(AY248-AX248)/AX248*100)</f>
        <v>0</v>
      </c>
      <c r="BJ248" s="1092">
        <f>IF(AY248=0,0,(AZ248-AY248)/AY248*100)</f>
        <v>0</v>
      </c>
      <c r="BK248" s="1092">
        <f>IF(AZ248=0,0,(BA248-AZ248)/AZ248*100)</f>
        <v>0</v>
      </c>
      <c r="BL248" s="1092">
        <f>IF(BA248=0,0,(BB248-BA248)/BA248*100)</f>
        <v>0</v>
      </c>
      <c r="BM248" s="1092">
        <f>IF(BB248=0,0,(BC248-BB248)/BB248*100)</f>
        <v>0</v>
      </c>
      <c r="BN248" s="3618"/>
      <c r="BO248" s="3668" t="str">
        <f>IF(_xlfn.IFERROR(INDEX(Аренда!$K$26:$L$47,MATCH($F248&amp;"komm",Аренда!$K$26:$K$47,0),2),"")=0,"",_xlfn.IFERROR(INDEX(Аренда!$K$26:$L$47,MATCH($F248&amp;"komm",Аренда!$K$26:$K$47,0),2),""))</f>
        <v/>
      </c>
      <c r="BP248" s="3618"/>
      <c r="BQ248" s="1256"/>
      <c r="BR248" s="1256"/>
      <c r="BS248" s="1041" t="s">
        <v>1948</v>
      </c>
      <c r="BT248" s="1041"/>
      <c r="BU248" s="1041"/>
      <c r="BV248" s="956"/>
      <c r="BW248" s="956"/>
    </row>
    <row s="1624" customFormat="1" customHeight="1" ht="14.25" hidden="1">
      <c r="A249" s="1256"/>
      <c r="B249" s="404">
        <f>STATUS_GO="да"</f>
        <v>0</v>
      </c>
      <c r="C249" s="73"/>
      <c r="D249" s="73"/>
      <c r="E249" s="596">
        <v>15</v>
      </c>
      <c r="F249" s="50" cm="1" t="str">
        <f t="array" ref="F249:F249">OFFSET(E249,-1,1)</f>
        <v>1</v>
      </c>
      <c r="G249" s="73"/>
      <c r="H249" s="73"/>
      <c r="I249" s="73" t="s">
        <v>1949</v>
      </c>
      <c r="J249" s="73"/>
      <c r="K249" s="124" t="s">
        <v>1949</v>
      </c>
      <c r="L249" s="957"/>
      <c r="M249" s="73"/>
      <c r="N249" s="73"/>
      <c r="O249" s="73"/>
      <c r="P249" s="73"/>
      <c r="Q249" s="73"/>
      <c r="R249" s="73"/>
      <c r="S249" s="73"/>
      <c r="T249" s="438" cm="1" t="str">
        <f t="array" ref="T249:T249">T248</f>
        <v>true</v>
      </c>
      <c r="U249" s="73"/>
      <c r="V249" s="73"/>
      <c r="W249" s="73"/>
      <c r="X249" s="1541"/>
      <c r="Y249" s="1256"/>
      <c r="Z249" s="1494"/>
      <c r="AA249" s="1256"/>
      <c r="AB249" s="266" t="s">
        <v>1384</v>
      </c>
      <c r="AC249" s="738" t="s">
        <v>1950</v>
      </c>
      <c r="AD249" s="266" t="s">
        <v>789</v>
      </c>
      <c r="AE249" s="1219" cm="1" t="str">
        <f t="array" ref="AE249:AE249">AE250</f>
        <v>0</v>
      </c>
      <c r="AF249" s="1219" cm="1" t="str">
        <f t="array" ref="AF249:AF249">AF250</f>
        <v>0</v>
      </c>
      <c r="AG249" s="1219" cm="1" t="str">
        <f t="array" ref="AG249:AG249">AG250</f>
        <v>0</v>
      </c>
      <c r="AH249" s="1092">
        <f>AG249-AF249</f>
        <v>0</v>
      </c>
      <c r="AI249" s="1219" cm="1" t="str">
        <f t="array" ref="AI249:AI249">AI250</f>
        <v>0</v>
      </c>
      <c r="AJ249" s="3564" cm="1" t="str">
        <f t="array" ref="AJ249:AJ249">AJ250</f>
        <v>0</v>
      </c>
      <c r="AK249" s="1219" cm="1" t="str">
        <f t="array" ref="AK249:AK249">AK250</f>
        <v>0</v>
      </c>
      <c r="AL249" s="1219" cm="1" t="str">
        <f t="array" ref="AL249:AL249">AL250</f>
        <v>0</v>
      </c>
      <c r="AM249" s="1219" cm="1" t="str">
        <f t="array" ref="AM249:AM249">AM250</f>
        <v>0</v>
      </c>
      <c r="AN249" s="1219" cm="1" t="str">
        <f t="array" ref="AN249:AN249">AN250</f>
        <v>0</v>
      </c>
      <c r="AO249" s="1219" cm="1" t="str">
        <f t="array" ref="AO249:AO249">AO250</f>
        <v>0</v>
      </c>
      <c r="AP249" s="1219" cm="1" t="str">
        <f t="array" ref="AP249:AP249">AP250</f>
        <v>0</v>
      </c>
      <c r="AQ249" s="1219" cm="1" t="str">
        <f t="array" ref="AQ249:AQ249">AQ250</f>
        <v>0</v>
      </c>
      <c r="AR249" s="1219" cm="1" t="str">
        <f t="array" ref="AR249:AR249">AR250</f>
        <v>0</v>
      </c>
      <c r="AS249" s="1219" cm="1" t="str">
        <f t="array" ref="AS249:AS249">AS250</f>
        <v>0</v>
      </c>
      <c r="AT249" s="3564" cm="1" t="str">
        <f t="array" ref="AT249:AT249">AT250</f>
        <v>0</v>
      </c>
      <c r="AU249" s="1219" cm="1" t="str">
        <f t="array" ref="AU249:AU249">AU250</f>
        <v>0</v>
      </c>
      <c r="AV249" s="1219" cm="1" t="str">
        <f t="array" ref="AV249:AV249">AV250</f>
        <v>0</v>
      </c>
      <c r="AW249" s="1219" cm="1" t="str">
        <f t="array" ref="AW249:AW249">AW250</f>
        <v>0</v>
      </c>
      <c r="AX249" s="1219" cm="1" t="str">
        <f t="array" ref="AX249:AX249">AX250</f>
        <v>0</v>
      </c>
      <c r="AY249" s="1219" cm="1" t="str">
        <f t="array" ref="AY249:AY249">AY250</f>
        <v>0</v>
      </c>
      <c r="AZ249" s="1219" cm="1" t="str">
        <f t="array" ref="AZ249:AZ249">AZ250</f>
        <v>0</v>
      </c>
      <c r="BA249" s="1219" cm="1" t="str">
        <f t="array" ref="BA249:BA249">BA250</f>
        <v>0</v>
      </c>
      <c r="BB249" s="1219" cm="1" t="str">
        <f t="array" ref="BB249:BB249">BB250</f>
        <v>0</v>
      </c>
      <c r="BC249" s="1219" cm="1" t="str">
        <f t="array" ref="BC249:BC249">BC250</f>
        <v>0</v>
      </c>
      <c r="BD249" s="1092">
        <f>IF(AI249=0,0,(AT249-AI249)/AI249*100)</f>
        <v>0</v>
      </c>
      <c r="BE249" s="1092">
        <f>IF(AT249=0,0,(AU249-AT249)/AT249*100)</f>
        <v>0</v>
      </c>
      <c r="BF249" s="1092">
        <f>IF(AU249=0,0,(AV249-AU249)/AU249*100)</f>
        <v>0</v>
      </c>
      <c r="BG249" s="1092">
        <f>IF(AV249=0,0,(AW249-AV249)/AV249*100)</f>
        <v>0</v>
      </c>
      <c r="BH249" s="1092">
        <f>IF(AW249=0,0,(AX249-AW249)/AW249*100)</f>
        <v>0</v>
      </c>
      <c r="BI249" s="1092">
        <f>IF(AX249=0,0,(AY249-AX249)/AX249*100)</f>
        <v>0</v>
      </c>
      <c r="BJ249" s="1092">
        <f>IF(AY249=0,0,(AZ249-AY249)/AY249*100)</f>
        <v>0</v>
      </c>
      <c r="BK249" s="1092">
        <f>IF(AZ249=0,0,(BA249-AZ249)/AZ249*100)</f>
        <v>0</v>
      </c>
      <c r="BL249" s="1092">
        <f>IF(BA249=0,0,(BB249-BA249)/BA249*100)</f>
        <v>0</v>
      </c>
      <c r="BM249" s="1092">
        <f>IF(BB249=0,0,(BC249-BB249)/BB249*100)</f>
        <v>0</v>
      </c>
      <c r="BN249" s="1216"/>
      <c r="BO249" s="1216"/>
      <c r="BP249" s="1216"/>
      <c r="BQ249" s="1256"/>
      <c r="BR249" s="1256"/>
      <c r="BS249" s="1041" t="s">
        <v>1951</v>
      </c>
      <c r="BT249" s="1041"/>
      <c r="BU249" s="1041"/>
      <c r="BV249" s="956"/>
      <c r="BW249" s="956"/>
    </row>
    <row s="1624" customFormat="1" customHeight="1" ht="14.25" hidden="1">
      <c r="A250" s="1256"/>
      <c r="B250" s="404">
        <f>STATUS_GO="да"</f>
        <v>0</v>
      </c>
      <c r="C250" s="73"/>
      <c r="D250" s="73"/>
      <c r="E250" s="596">
        <v>15</v>
      </c>
      <c r="F250" s="50" cm="1" t="str">
        <f t="array" ref="F250:F250">OFFSET(E250,-1,1)</f>
        <v>1</v>
      </c>
      <c r="G250" s="73" t="s">
        <v>1326</v>
      </c>
      <c r="H250" s="73"/>
      <c r="I250" s="73" t="s">
        <v>1952</v>
      </c>
      <c r="J250" s="73"/>
      <c r="K250" s="124" t="s">
        <v>1952</v>
      </c>
      <c r="L250" s="957"/>
      <c r="M250" s="73"/>
      <c r="N250" s="73"/>
      <c r="O250" s="73"/>
      <c r="P250" s="73"/>
      <c r="Q250" s="73"/>
      <c r="R250" s="73"/>
      <c r="S250" s="73"/>
      <c r="T250" s="438" cm="1" t="str">
        <f t="array" ref="T250:T250">T249</f>
        <v>true</v>
      </c>
      <c r="U250" s="73"/>
      <c r="V250" s="73"/>
      <c r="W250" s="73"/>
      <c r="X250" s="1541"/>
      <c r="Y250" s="1256"/>
      <c r="Z250" s="1494"/>
      <c r="AA250" s="1256"/>
      <c r="AB250" s="266" t="s">
        <v>1953</v>
      </c>
      <c r="AC250" s="741" t="s">
        <v>1326</v>
      </c>
      <c r="AD250" s="266" t="s">
        <v>789</v>
      </c>
      <c r="AE250" s="1092">
        <f>_xlfn.SUMIFS('Сбытовые расходы ГО'!AE$25:AE$51,'Сбытовые расходы ГО'!$F$25:$F$51,$F250,'Сбытовые расходы ГО'!$G$25:$G$51,"l1")</f>
        <v>0</v>
      </c>
      <c r="AF250" s="1092">
        <f>_xlfn.SUMIFS('Сбытовые расходы ГО'!AF$25:AF$51,'Сбытовые расходы ГО'!$F$25:$F$51,$F250,'Сбытовые расходы ГО'!$G$25:$G$51,"l1")</f>
        <v>0</v>
      </c>
      <c r="AG250" s="1092">
        <f>_xlfn.SUMIFS('Сбытовые расходы ГО'!AG$25:AG$51,'Сбытовые расходы ГО'!$F$25:$F$51,$F250,'Сбытовые расходы ГО'!$G$25:$G$51,"l1")</f>
        <v>0</v>
      </c>
      <c r="AH250" s="1092">
        <f>AG250-AF250</f>
        <v>0</v>
      </c>
      <c r="AI250" s="1092">
        <f>_xlfn.SUMIFS('Сбытовые расходы ГО'!AH$25:AH$51,'Сбытовые расходы ГО'!$F$25:$F$51,$F250,'Сбытовые расходы ГО'!$G$25:$G$51,"l1")</f>
        <v>0</v>
      </c>
      <c r="AJ250" s="1092">
        <f>_xlfn.SUMIFS('Сбытовые расходы ГО'!AI$25:AI$51,'Сбытовые расходы ГО'!$F$25:$F$51,$F250,'Сбытовые расходы ГО'!$G$25:$G$51,"l1")</f>
        <v>0</v>
      </c>
      <c r="AK250" s="1219"/>
      <c r="AL250" s="1219"/>
      <c r="AM250" s="1219"/>
      <c r="AN250" s="1219"/>
      <c r="AO250" s="1219"/>
      <c r="AP250" s="1219"/>
      <c r="AQ250" s="1219"/>
      <c r="AR250" s="1219"/>
      <c r="AS250" s="1219"/>
      <c r="AT250" s="1092">
        <f>_xlfn.SUMIFS('Сбытовые расходы ГО'!AJ$25:AJ$51,'Сбытовые расходы ГО'!$F$25:$F$51,$F250,'Сбытовые расходы ГО'!$G$25:$G$51,"l1")</f>
        <v>0</v>
      </c>
      <c r="AU250" s="1219"/>
      <c r="AV250" s="1219"/>
      <c r="AW250" s="1219"/>
      <c r="AX250" s="1219"/>
      <c r="AY250" s="1219"/>
      <c r="AZ250" s="1219"/>
      <c r="BA250" s="1219"/>
      <c r="BB250" s="1219"/>
      <c r="BC250" s="1219"/>
      <c r="BD250" s="1092">
        <f>IF(AI250=0,0,(AT250-AI250)/AI250*100)</f>
        <v>0</v>
      </c>
      <c r="BE250" s="1092">
        <f>IF(AT250=0,0,(AU250-AT250)/AT250*100)</f>
        <v>0</v>
      </c>
      <c r="BF250" s="1092">
        <f>IF(AU250=0,0,(AV250-AU250)/AU250*100)</f>
        <v>0</v>
      </c>
      <c r="BG250" s="1092">
        <f>IF(AV250=0,0,(AW250-AV250)/AV250*100)</f>
        <v>0</v>
      </c>
      <c r="BH250" s="1092">
        <f>IF(AW250=0,0,(AX250-AW250)/AW250*100)</f>
        <v>0</v>
      </c>
      <c r="BI250" s="1092">
        <f>IF(AX250=0,0,(AY250-AX250)/AX250*100)</f>
        <v>0</v>
      </c>
      <c r="BJ250" s="1092">
        <f>IF(AY250=0,0,(AZ250-AY250)/AY250*100)</f>
        <v>0</v>
      </c>
      <c r="BK250" s="1092">
        <f>IF(AZ250=0,0,(BA250-AZ250)/AZ250*100)</f>
        <v>0</v>
      </c>
      <c r="BL250" s="1092">
        <f>IF(BA250=0,0,(BB250-BA250)/BA250*100)</f>
        <v>0</v>
      </c>
      <c r="BM250" s="1092">
        <f>IF(BB250=0,0,(BC250-BB250)/BB250*100)</f>
        <v>0</v>
      </c>
      <c r="BN250" s="1216"/>
      <c r="BO250" s="1223" t="str">
        <f>IF(_xlfn.IFERROR(INDEX('Сбытовые расходы ГО'!$K$26:$M$51,MATCH($F250&amp;"komm",'Сбытовые расходы ГО'!$K$26:$K$51,0),2),"")=0,"",_xlfn.IFERROR(INDEX('Сбытовые расходы ГО'!$K$26:$M$51,MATCH($F250&amp;"komm",'Сбытовые расходы ГО'!$K$26:$K$51,0),2),""))</f>
        <v/>
      </c>
      <c r="BP250" s="1216"/>
      <c r="BQ250" s="1256"/>
      <c r="BR250" s="1256"/>
      <c r="BS250" s="1041" t="s">
        <v>1954</v>
      </c>
      <c r="BT250" s="1041"/>
      <c r="BU250" s="1041"/>
      <c r="BV250" s="956"/>
      <c r="BW250" s="956"/>
    </row>
    <row s="1624" customFormat="1" customHeight="1" ht="14.25">
      <c r="A251" s="1256"/>
      <c r="B251" s="955"/>
      <c r="C251" s="73"/>
      <c r="D251" s="73"/>
      <c r="E251" s="596">
        <v>15</v>
      </c>
      <c r="F251" s="50" cm="1" t="str">
        <f t="array" ref="F251:F251">OFFSET(E251,-1,1)</f>
        <v>1</v>
      </c>
      <c r="G251" s="73" t="s">
        <v>1331</v>
      </c>
      <c r="H251" s="73"/>
      <c r="I251" s="73" t="s">
        <v>1955</v>
      </c>
      <c r="J251" s="73"/>
      <c r="K251" s="124" t="s">
        <v>1955</v>
      </c>
      <c r="L251" s="957"/>
      <c r="M251" s="73"/>
      <c r="N251" s="73"/>
      <c r="O251" s="73"/>
      <c r="P251" s="73"/>
      <c r="Q251" s="73"/>
      <c r="R251" s="73"/>
      <c r="S251" s="73"/>
      <c r="T251" s="438" cm="1" t="str">
        <f t="array" ref="T251:T251">T250</f>
        <v>true</v>
      </c>
      <c r="U251" s="73"/>
      <c r="V251" s="73"/>
      <c r="W251" s="73"/>
      <c r="X251" s="1541"/>
      <c r="Y251" s="1256"/>
      <c r="Z251" s="1494"/>
      <c r="AA251" s="1256"/>
      <c r="AB251" s="266" t="s">
        <v>1389</v>
      </c>
      <c r="AC251" s="738" t="s">
        <v>1331</v>
      </c>
      <c r="AD251" s="266" t="s">
        <v>789</v>
      </c>
      <c r="AE251" s="3564"/>
      <c r="AF251" s="3564"/>
      <c r="AG251" s="3564"/>
      <c r="AH251" s="1092">
        <f>AG251-AF251</f>
        <v>0</v>
      </c>
      <c r="AI251" s="3564"/>
      <c r="AJ251" s="3564">
        <f>_xlfn.SUMIFS(Экономия_корр!AE$25:AE$43,Экономия_корр!$F$25:$F$43,$F251,Экономия_корр!$AC$25:$AC$43,"Экономия расходов с учетом ИПЦ")</f>
        <v>0</v>
      </c>
      <c r="AK251" s="3564">
        <f>_xlfn.SUMIFS(Экономия_корр!AF$25:AF$43,Экономия_корр!$F$25:$F$43,$F251,Экономия_корр!$AC$25:$AC$43,"Экономия расходов с учетом ИПЦ")</f>
        <v>0</v>
      </c>
      <c r="AL251" s="3564">
        <f>_xlfn.SUMIFS(Экономия_корр!AG$25:AG$43,Экономия_корр!$F$25:$F$43,$F251,Экономия_корр!$AC$25:$AC$43,"Экономия расходов с учетом ИПЦ")</f>
        <v>0</v>
      </c>
      <c r="AM251" s="3564">
        <f>_xlfn.SUMIFS(Экономия_корр!AH$25:AH$43,Экономия_корр!$F$25:$F$43,$F251,Экономия_корр!$AC$25:$AC$43,"Экономия расходов с учетом ИПЦ")</f>
        <v>0</v>
      </c>
      <c r="AN251" s="3564">
        <f>_xlfn.SUMIFS(Экономия_корр!AI$25:AI$43,Экономия_корр!$F$25:$F$43,$F251,Экономия_корр!$AC$25:$AC$43,"Экономия расходов с учетом ИПЦ")</f>
        <v>0</v>
      </c>
      <c r="AO251" s="3564">
        <f>_xlfn.SUMIFS(Экономия_корр!AJ$25:AJ$43,Экономия_корр!$F$25:$F$43,$F251,Экономия_корр!$AC$25:$AC$43,"Экономия расходов с учетом ИПЦ")</f>
        <v>0</v>
      </c>
      <c r="AP251" s="3564">
        <f>_xlfn.SUMIFS(Экономия_корр!AK$25:AK$43,Экономия_корр!$F$25:$F$43,$F251,Экономия_корр!$AC$25:$AC$43,"Экономия расходов с учетом ИПЦ")</f>
        <v>0</v>
      </c>
      <c r="AQ251" s="3564">
        <f>_xlfn.SUMIFS(Экономия_корр!AL$25:AL$43,Экономия_корр!$F$25:$F$43,$F251,Экономия_корр!$AC$25:$AC$43,"Экономия расходов с учетом ИПЦ")</f>
        <v>0</v>
      </c>
      <c r="AR251" s="3564">
        <f>_xlfn.SUMIFS(Экономия_корр!AM$25:AM$43,Экономия_корр!$F$25:$F$43,$F251,Экономия_корр!$AC$25:$AC$43,"Экономия расходов с учетом ИПЦ")</f>
        <v>0</v>
      </c>
      <c r="AS251" s="3564">
        <f>_xlfn.SUMIFS(Экономия_корр!AN$25:AN$43,Экономия_корр!$F$25:$F$43,$F251,Экономия_корр!$AC$25:$AC$43,"Экономия расходов с учетом ИПЦ")</f>
        <v>0</v>
      </c>
      <c r="AT251" s="3564">
        <f>_xlfn.SUMIFS(Экономия_корр!AO$25:AO$43,Экономия_корр!$F$25:$F$43,$F251,Экономия_корр!$AC$25:$AC$43,"Экономия расходов с учетом ИПЦ")</f>
        <v>0</v>
      </c>
      <c r="AU251" s="3564">
        <f>_xlfn.SUMIFS(Экономия_корр!AP$25:AP$43,Экономия_корр!$F$25:$F$43,$F251,Экономия_корр!$AC$25:$AC$43,"Экономия расходов с учетом ИПЦ")</f>
        <v>0</v>
      </c>
      <c r="AV251" s="3564">
        <f>_xlfn.SUMIFS(Экономия_корр!AQ$25:AQ$43,Экономия_корр!$F$25:$F$43,$F251,Экономия_корр!$AC$25:$AC$43,"Экономия расходов с учетом ИПЦ")</f>
        <v>0</v>
      </c>
      <c r="AW251" s="3564">
        <f>_xlfn.SUMIFS(Экономия_корр!AR$25:AR$43,Экономия_корр!$F$25:$F$43,$F251,Экономия_корр!$AC$25:$AC$43,"Экономия расходов с учетом ИПЦ")</f>
        <v>0</v>
      </c>
      <c r="AX251" s="3564">
        <f>_xlfn.SUMIFS(Экономия_корр!AS$25:AS$43,Экономия_корр!$F$25:$F$43,$F251,Экономия_корр!$AC$25:$AC$43,"Экономия расходов с учетом ИПЦ")</f>
        <v>0</v>
      </c>
      <c r="AY251" s="3564">
        <f>_xlfn.SUMIFS(Экономия_корр!AT$25:AT$43,Экономия_корр!$F$25:$F$43,$F251,Экономия_корр!$AC$25:$AC$43,"Экономия расходов с учетом ИПЦ")</f>
        <v>0</v>
      </c>
      <c r="AZ251" s="3564">
        <f>_xlfn.SUMIFS(Экономия_корр!AU$25:AU$43,Экономия_корр!$F$25:$F$43,$F251,Экономия_корр!$AC$25:$AC$43,"Экономия расходов с учетом ИПЦ")</f>
        <v>0</v>
      </c>
      <c r="BA251" s="3564">
        <f>_xlfn.SUMIFS(Экономия_корр!AV$25:AV$43,Экономия_корр!$F$25:$F$43,$F251,Экономия_корр!$AC$25:$AC$43,"Экономия расходов с учетом ИПЦ")</f>
        <v>0</v>
      </c>
      <c r="BB251" s="3564">
        <f>_xlfn.SUMIFS(Экономия_корр!AW$25:AW$43,Экономия_корр!$F$25:$F$43,$F251,Экономия_корр!$AC$25:$AC$43,"Экономия расходов с учетом ИПЦ")</f>
        <v>0</v>
      </c>
      <c r="BC251" s="3564">
        <f>_xlfn.SUMIFS(Экономия_корр!AX$25:AX$43,Экономия_корр!$F$25:$F$43,$F251,Экономия_корр!$AC$25:$AC$43,"Экономия расходов с учетом ИПЦ")</f>
        <v>0</v>
      </c>
      <c r="BD251" s="1092">
        <f>IF(AI251=0,0,(AT251-AI251)/AI251*100)</f>
        <v>0</v>
      </c>
      <c r="BE251" s="1092">
        <f>IF(AT251=0,0,(AU251-AT251)/AT251*100)</f>
        <v>0</v>
      </c>
      <c r="BF251" s="1092">
        <f>IF(AU251=0,0,(AV251-AU251)/AU251*100)</f>
        <v>0</v>
      </c>
      <c r="BG251" s="1092">
        <f>IF(AV251=0,0,(AW251-AV251)/AV251*100)</f>
        <v>0</v>
      </c>
      <c r="BH251" s="1092">
        <f>IF(AW251=0,0,(AX251-AW251)/AW251*100)</f>
        <v>0</v>
      </c>
      <c r="BI251" s="1092">
        <f>IF(AX251=0,0,(AY251-AX251)/AX251*100)</f>
        <v>0</v>
      </c>
      <c r="BJ251" s="1092">
        <f>IF(AY251=0,0,(AZ251-AY251)/AY251*100)</f>
        <v>0</v>
      </c>
      <c r="BK251" s="1092">
        <f>IF(AZ251=0,0,(BA251-AZ251)/AZ251*100)</f>
        <v>0</v>
      </c>
      <c r="BL251" s="1092">
        <f>IF(BA251=0,0,(BB251-BA251)/BA251*100)</f>
        <v>0</v>
      </c>
      <c r="BM251" s="1092">
        <f>IF(BB251=0,0,(BC251-BB251)/BB251*100)</f>
        <v>0</v>
      </c>
      <c r="BN251" s="3618"/>
      <c r="BO251" s="3618"/>
      <c r="BP251" s="3618"/>
      <c r="BQ251" s="1256"/>
      <c r="BR251" s="1256"/>
      <c r="BS251" s="1041" t="s">
        <v>1956</v>
      </c>
      <c r="BT251" s="1041"/>
      <c r="BU251" s="1041"/>
      <c r="BV251" s="956"/>
      <c r="BW251" s="956"/>
    </row>
    <row s="1624" customFormat="1" customHeight="1" ht="14.25">
      <c r="A252" s="1256"/>
      <c r="B252" s="955"/>
      <c r="C252" s="73"/>
      <c r="D252" s="73"/>
      <c r="E252" s="596">
        <v>15</v>
      </c>
      <c r="F252" s="50" cm="1" t="str">
        <f t="array" ref="F252:F252">OFFSET(E252,-1,1)</f>
        <v>1</v>
      </c>
      <c r="G252" s="73" t="s">
        <v>1336</v>
      </c>
      <c r="H252" s="73"/>
      <c r="I252" s="73" t="s">
        <v>1957</v>
      </c>
      <c r="J252" s="73"/>
      <c r="K252" s="124" t="s">
        <v>1957</v>
      </c>
      <c r="L252" s="957"/>
      <c r="M252" s="73"/>
      <c r="N252" s="73"/>
      <c r="O252" s="73"/>
      <c r="P252" s="73"/>
      <c r="Q252" s="73"/>
      <c r="R252" s="73"/>
      <c r="S252" s="73"/>
      <c r="T252" s="438" cm="1" t="str">
        <f t="array" ref="T252:T252">T251</f>
        <v>true</v>
      </c>
      <c r="U252" s="73"/>
      <c r="V252" s="73"/>
      <c r="W252" s="73"/>
      <c r="X252" s="1541"/>
      <c r="Y252" s="1256"/>
      <c r="Z252" s="1494"/>
      <c r="AA252" s="1256"/>
      <c r="AB252" s="266" t="s">
        <v>1958</v>
      </c>
      <c r="AC252" s="738" t="s">
        <v>1336</v>
      </c>
      <c r="AD252" s="266" t="s">
        <v>789</v>
      </c>
      <c r="AE252" s="3564"/>
      <c r="AF252" s="3564"/>
      <c r="AG252" s="3564"/>
      <c r="AH252" s="1092">
        <f>AG252-AF252</f>
        <v>0</v>
      </c>
      <c r="AI252" s="3564"/>
      <c r="AJ252" s="3564"/>
      <c r="AK252" s="3564"/>
      <c r="AL252" s="3564"/>
      <c r="AM252" s="3564"/>
      <c r="AN252" s="3564"/>
      <c r="AO252" s="3564"/>
      <c r="AP252" s="3564"/>
      <c r="AQ252" s="3564"/>
      <c r="AR252" s="3564"/>
      <c r="AS252" s="3564"/>
      <c r="AT252" s="3564"/>
      <c r="AU252" s="3564"/>
      <c r="AV252" s="3564"/>
      <c r="AW252" s="3564"/>
      <c r="AX252" s="3564"/>
      <c r="AY252" s="3564"/>
      <c r="AZ252" s="3564"/>
      <c r="BA252" s="3564"/>
      <c r="BB252" s="3564"/>
      <c r="BC252" s="3564"/>
      <c r="BD252" s="1092">
        <f>IF(AI252=0,0,(AT252-AI252)/AI252*100)</f>
        <v>0</v>
      </c>
      <c r="BE252" s="1092">
        <f>IF(AT252=0,0,(AU252-AT252)/AT252*100)</f>
        <v>0</v>
      </c>
      <c r="BF252" s="1092">
        <f>IF(AU252=0,0,(AV252-AU252)/AU252*100)</f>
        <v>0</v>
      </c>
      <c r="BG252" s="1092">
        <f>IF(AV252=0,0,(AW252-AV252)/AV252*100)</f>
        <v>0</v>
      </c>
      <c r="BH252" s="1092">
        <f>IF(AW252=0,0,(AX252-AW252)/AW252*100)</f>
        <v>0</v>
      </c>
      <c r="BI252" s="1092">
        <f>IF(AX252=0,0,(AY252-AX252)/AX252*100)</f>
        <v>0</v>
      </c>
      <c r="BJ252" s="1092">
        <f>IF(AY252=0,0,(AZ252-AY252)/AY252*100)</f>
        <v>0</v>
      </c>
      <c r="BK252" s="1092">
        <f>IF(AZ252=0,0,(BA252-AZ252)/AZ252*100)</f>
        <v>0</v>
      </c>
      <c r="BL252" s="1092">
        <f>IF(BA252=0,0,(BB252-BA252)/BA252*100)</f>
        <v>0</v>
      </c>
      <c r="BM252" s="1092">
        <f>IF(BB252=0,0,(BC252-BB252)/BB252*100)</f>
        <v>0</v>
      </c>
      <c r="BN252" s="3618"/>
      <c r="BO252" s="3618"/>
      <c r="BP252" s="3618"/>
      <c r="BQ252" s="1256"/>
      <c r="BR252" s="1256"/>
      <c r="BS252" s="1041" t="s">
        <v>1686</v>
      </c>
      <c r="BT252" s="1041"/>
      <c r="BU252" s="1041"/>
      <c r="BV252" s="956"/>
      <c r="BW252" s="956"/>
    </row>
    <row s="1624" customFormat="1" customHeight="1" ht="14.25">
      <c r="A253" s="1256"/>
      <c r="B253" s="955"/>
      <c r="C253" s="73"/>
      <c r="D253" s="73"/>
      <c r="E253" s="596">
        <v>15</v>
      </c>
      <c r="F253" s="50" cm="1" t="str">
        <f t="array" ref="F253:F253">OFFSET(E253,-1,1)</f>
        <v>1</v>
      </c>
      <c r="G253" s="73" t="s">
        <v>1341</v>
      </c>
      <c r="H253" s="73"/>
      <c r="I253" s="73" t="s">
        <v>1959</v>
      </c>
      <c r="J253" s="73"/>
      <c r="K253" s="124" t="s">
        <v>1959</v>
      </c>
      <c r="L253" s="957"/>
      <c r="M253" s="73"/>
      <c r="N253" s="73"/>
      <c r="O253" s="73"/>
      <c r="P253" s="73"/>
      <c r="Q253" s="73"/>
      <c r="R253" s="73"/>
      <c r="S253" s="73"/>
      <c r="T253" s="438" cm="1" t="str">
        <f t="array" ref="T253:T253">T252</f>
        <v>true</v>
      </c>
      <c r="U253" s="73"/>
      <c r="V253" s="73"/>
      <c r="W253" s="73"/>
      <c r="X253" s="1541"/>
      <c r="Y253" s="1256"/>
      <c r="Z253" s="1494"/>
      <c r="AA253" s="1256"/>
      <c r="AB253" s="266" t="s">
        <v>1408</v>
      </c>
      <c r="AC253" s="738" t="s">
        <v>1341</v>
      </c>
      <c r="AD253" s="266" t="s">
        <v>789</v>
      </c>
      <c r="AE253" s="3564"/>
      <c r="AF253" s="3564"/>
      <c r="AG253" s="3564"/>
      <c r="AH253" s="1092">
        <f>AG253-AF253</f>
        <v>0</v>
      </c>
      <c r="AI253" s="3564"/>
      <c r="AJ253" s="3564"/>
      <c r="AK253" s="3564"/>
      <c r="AL253" s="3564"/>
      <c r="AM253" s="3564"/>
      <c r="AN253" s="3564"/>
      <c r="AO253" s="3564"/>
      <c r="AP253" s="3564"/>
      <c r="AQ253" s="3564"/>
      <c r="AR253" s="3564"/>
      <c r="AS253" s="3564"/>
      <c r="AT253" s="3564"/>
      <c r="AU253" s="3564"/>
      <c r="AV253" s="3564"/>
      <c r="AW253" s="3564"/>
      <c r="AX253" s="3564"/>
      <c r="AY253" s="3564"/>
      <c r="AZ253" s="3564"/>
      <c r="BA253" s="3564"/>
      <c r="BB253" s="3564"/>
      <c r="BC253" s="3564"/>
      <c r="BD253" s="1092">
        <f>IF(AI253=0,0,(AT253-AI253)/AI253*100)</f>
        <v>0</v>
      </c>
      <c r="BE253" s="1092">
        <f>IF(AT253=0,0,(AU253-AT253)/AT253*100)</f>
        <v>0</v>
      </c>
      <c r="BF253" s="1092">
        <f>IF(AU253=0,0,(AV253-AU253)/AU253*100)</f>
        <v>0</v>
      </c>
      <c r="BG253" s="1092">
        <f>IF(AV253=0,0,(AW253-AV253)/AV253*100)</f>
        <v>0</v>
      </c>
      <c r="BH253" s="1092">
        <f>IF(AW253=0,0,(AX253-AW253)/AW253*100)</f>
        <v>0</v>
      </c>
      <c r="BI253" s="1092">
        <f>IF(AX253=0,0,(AY253-AX253)/AX253*100)</f>
        <v>0</v>
      </c>
      <c r="BJ253" s="1092">
        <f>IF(AY253=0,0,(AZ253-AY253)/AY253*100)</f>
        <v>0</v>
      </c>
      <c r="BK253" s="1092">
        <f>IF(AZ253=0,0,(BA253-AZ253)/AZ253*100)</f>
        <v>0</v>
      </c>
      <c r="BL253" s="1092">
        <f>IF(BA253=0,0,(BB253-BA253)/BA253*100)</f>
        <v>0</v>
      </c>
      <c r="BM253" s="1092">
        <f>IF(BB253=0,0,(BC253-BB253)/BB253*100)</f>
        <v>0</v>
      </c>
      <c r="BN253" s="3618"/>
      <c r="BO253" s="3618"/>
      <c r="BP253" s="3618"/>
      <c r="BQ253" s="1256"/>
      <c r="BR253" s="1256"/>
      <c r="BS253" s="1041" t="s">
        <v>1960</v>
      </c>
      <c r="BT253" s="1041"/>
      <c r="BU253" s="1041"/>
      <c r="BV253" s="956"/>
      <c r="BW253" s="956"/>
    </row>
    <row s="1624" customFormat="1" customHeight="1" ht="14.25">
      <c r="A254" s="1256"/>
      <c r="B254" s="955"/>
      <c r="C254" s="73"/>
      <c r="D254" s="73"/>
      <c r="E254" s="596">
        <v>15</v>
      </c>
      <c r="F254" s="50" cm="1" t="str">
        <f t="array" ref="F254:F254">OFFSET(E254,-1,1)</f>
        <v>1</v>
      </c>
      <c r="G254" s="73" t="s">
        <v>1346</v>
      </c>
      <c r="H254" s="73"/>
      <c r="I254" s="73" t="s">
        <v>1961</v>
      </c>
      <c r="J254" s="73"/>
      <c r="K254" s="124" t="s">
        <v>1961</v>
      </c>
      <c r="L254" s="957"/>
      <c r="M254" s="73"/>
      <c r="N254" s="73"/>
      <c r="O254" s="73"/>
      <c r="P254" s="73"/>
      <c r="Q254" s="73"/>
      <c r="R254" s="73"/>
      <c r="S254" s="73"/>
      <c r="T254" s="438" cm="1" t="str">
        <f t="array" ref="T254:T254">T253</f>
        <v>true</v>
      </c>
      <c r="U254" s="73"/>
      <c r="V254" s="73"/>
      <c r="W254" s="73"/>
      <c r="X254" s="1541"/>
      <c r="Y254" s="1256"/>
      <c r="Z254" s="1494"/>
      <c r="AA254" s="1256"/>
      <c r="AB254" s="266" t="s">
        <v>1412</v>
      </c>
      <c r="AC254" s="738" t="s">
        <v>1346</v>
      </c>
      <c r="AD254" s="266" t="s">
        <v>789</v>
      </c>
      <c r="AE254" s="1094">
        <f>SUM(AE255,AE256)</f>
        <v>0</v>
      </c>
      <c r="AF254" s="1092">
        <f>SUM(AF255,AF256)</f>
        <v>0</v>
      </c>
      <c r="AG254" s="1092">
        <f>SUM(AG255,AG256)</f>
        <v>0</v>
      </c>
      <c r="AH254" s="1092">
        <f>AG254-AF254</f>
        <v>0</v>
      </c>
      <c r="AI254" s="1092">
        <f>SUM(AI255,AI256)</f>
        <v>0</v>
      </c>
      <c r="AJ254" s="1094">
        <f>SUM(AJ255,AJ256)</f>
        <v>0</v>
      </c>
      <c r="AK254" s="1092">
        <f>SUM(AK255,AK256)</f>
        <v>0</v>
      </c>
      <c r="AL254" s="1092">
        <f>SUM(AL255,AL256)</f>
        <v>0</v>
      </c>
      <c r="AM254" s="1092">
        <f>SUM(AM255,AM256)</f>
        <v>0</v>
      </c>
      <c r="AN254" s="1092">
        <f>SUM(AN255,AN256)</f>
        <v>0</v>
      </c>
      <c r="AO254" s="1092">
        <f>SUM(AO255,AO256)</f>
        <v>0</v>
      </c>
      <c r="AP254" s="1092">
        <f>SUM(AP255,AP256)</f>
        <v>0</v>
      </c>
      <c r="AQ254" s="1092">
        <f>SUM(AQ255,AQ256)</f>
        <v>0</v>
      </c>
      <c r="AR254" s="1092">
        <f>SUM(AR255,AR256)</f>
        <v>0</v>
      </c>
      <c r="AS254" s="1092">
        <f>SUM(AS255,AS256)</f>
        <v>0</v>
      </c>
      <c r="AT254" s="1094">
        <f>SUM(AT255,AT256)</f>
        <v>0</v>
      </c>
      <c r="AU254" s="1092">
        <f>SUM(AU255,AU256)</f>
        <v>0</v>
      </c>
      <c r="AV254" s="1092">
        <f>SUM(AV255,AV256)</f>
        <v>0</v>
      </c>
      <c r="AW254" s="1092">
        <f>SUM(AW255,AW256)</f>
        <v>0</v>
      </c>
      <c r="AX254" s="1092">
        <f>SUM(AX255,AX256)</f>
        <v>0</v>
      </c>
      <c r="AY254" s="1092">
        <f>SUM(AY255,AY256)</f>
        <v>0</v>
      </c>
      <c r="AZ254" s="1092">
        <f>SUM(AZ255,AZ256)</f>
        <v>0</v>
      </c>
      <c r="BA254" s="1092">
        <f>SUM(BA255,BA256)</f>
        <v>0</v>
      </c>
      <c r="BB254" s="1092">
        <f>SUM(BB255,BB256)</f>
        <v>0</v>
      </c>
      <c r="BC254" s="1092">
        <f>SUM(BC255,BC256)</f>
        <v>0</v>
      </c>
      <c r="BD254" s="1092">
        <f>IF(AI254=0,0,(AT254-AI254)/AI254*100)</f>
        <v>0</v>
      </c>
      <c r="BE254" s="1092">
        <f>IF(AT254=0,0,(AU254-AT254)/AT254*100)</f>
        <v>0</v>
      </c>
      <c r="BF254" s="1092">
        <f>IF(AU254=0,0,(AV254-AU254)/AU254*100)</f>
        <v>0</v>
      </c>
      <c r="BG254" s="1092">
        <f>IF(AV254=0,0,(AW254-AV254)/AV254*100)</f>
        <v>0</v>
      </c>
      <c r="BH254" s="1092">
        <f>IF(AW254=0,0,(AX254-AW254)/AW254*100)</f>
        <v>0</v>
      </c>
      <c r="BI254" s="1092">
        <f>IF(AX254=0,0,(AY254-AX254)/AX254*100)</f>
        <v>0</v>
      </c>
      <c r="BJ254" s="1092">
        <f>IF(AY254=0,0,(AZ254-AY254)/AY254*100)</f>
        <v>0</v>
      </c>
      <c r="BK254" s="1092">
        <f>IF(AZ254=0,0,(BA254-AZ254)/AZ254*100)</f>
        <v>0</v>
      </c>
      <c r="BL254" s="1092">
        <f>IF(BA254=0,0,(BB254-BA254)/BA254*100)</f>
        <v>0</v>
      </c>
      <c r="BM254" s="1092">
        <f>IF(BB254=0,0,(BC254-BB254)/BB254*100)</f>
        <v>0</v>
      </c>
      <c r="BN254" s="3618"/>
      <c r="BO254" s="3618"/>
      <c r="BP254" s="3618"/>
      <c r="BQ254" s="1256"/>
      <c r="BR254" s="1256"/>
      <c r="BS254" s="1041" t="s">
        <v>1962</v>
      </c>
      <c r="BT254" s="1041"/>
      <c r="BU254" s="1041"/>
      <c r="BV254" s="956"/>
      <c r="BW254" s="956"/>
    </row>
    <row s="1624" customFormat="1" customHeight="1" ht="14.25">
      <c r="A255" s="1256"/>
      <c r="B255" s="955"/>
      <c r="C255" s="73"/>
      <c r="D255" s="73"/>
      <c r="E255" s="596">
        <v>15</v>
      </c>
      <c r="F255" s="50" cm="1" t="str">
        <f t="array" ref="F255:F255">OFFSET(E255,-1,1)</f>
        <v>1</v>
      </c>
      <c r="G255" s="73"/>
      <c r="H255" s="73"/>
      <c r="I255" s="73" t="s">
        <v>1963</v>
      </c>
      <c r="J255" s="73"/>
      <c r="K255" s="124" t="s">
        <v>1963</v>
      </c>
      <c r="L255" s="957"/>
      <c r="M255" s="73"/>
      <c r="N255" s="73"/>
      <c r="O255" s="73"/>
      <c r="P255" s="73"/>
      <c r="Q255" s="73"/>
      <c r="R255" s="73"/>
      <c r="S255" s="73"/>
      <c r="T255" s="438" cm="1" t="str">
        <f t="array" ref="T255:T255">T254</f>
        <v>true</v>
      </c>
      <c r="U255" s="73"/>
      <c r="V255" s="73"/>
      <c r="W255" s="73"/>
      <c r="X255" s="1541"/>
      <c r="Y255" s="1256"/>
      <c r="Z255" s="1494"/>
      <c r="AA255" s="1256"/>
      <c r="AB255" s="266" t="s">
        <v>1964</v>
      </c>
      <c r="AC255" s="741" t="s">
        <v>1965</v>
      </c>
      <c r="AD255" s="266" t="s">
        <v>789</v>
      </c>
      <c r="AE255" s="3564"/>
      <c r="AF255" s="3564"/>
      <c r="AG255" s="3564"/>
      <c r="AH255" s="1092">
        <f>AG255-AF255</f>
        <v>0</v>
      </c>
      <c r="AI255" s="3564"/>
      <c r="AJ255" s="3564"/>
      <c r="AK255" s="3564"/>
      <c r="AL255" s="3564"/>
      <c r="AM255" s="3564"/>
      <c r="AN255" s="3564"/>
      <c r="AO255" s="3564"/>
      <c r="AP255" s="3564"/>
      <c r="AQ255" s="3564"/>
      <c r="AR255" s="3564"/>
      <c r="AS255" s="3564"/>
      <c r="AT255" s="3564"/>
      <c r="AU255" s="3564"/>
      <c r="AV255" s="3564"/>
      <c r="AW255" s="3564"/>
      <c r="AX255" s="3564"/>
      <c r="AY255" s="3564"/>
      <c r="AZ255" s="3564"/>
      <c r="BA255" s="3564"/>
      <c r="BB255" s="3564"/>
      <c r="BC255" s="3564"/>
      <c r="BD255" s="1092">
        <f>IF(AI255=0,0,(AT255-AI255)/AI255*100)</f>
        <v>0</v>
      </c>
      <c r="BE255" s="1092">
        <f>IF(AT255=0,0,(AU255-AT255)/AT255*100)</f>
        <v>0</v>
      </c>
      <c r="BF255" s="1092">
        <f>IF(AU255=0,0,(AV255-AU255)/AU255*100)</f>
        <v>0</v>
      </c>
      <c r="BG255" s="1092">
        <f>IF(AV255=0,0,(AW255-AV255)/AV255*100)</f>
        <v>0</v>
      </c>
      <c r="BH255" s="1092">
        <f>IF(AW255=0,0,(AX255-AW255)/AW255*100)</f>
        <v>0</v>
      </c>
      <c r="BI255" s="1092">
        <f>IF(AX255=0,0,(AY255-AX255)/AX255*100)</f>
        <v>0</v>
      </c>
      <c r="BJ255" s="1092">
        <f>IF(AY255=0,0,(AZ255-AY255)/AY255*100)</f>
        <v>0</v>
      </c>
      <c r="BK255" s="1092">
        <f>IF(AZ255=0,0,(BA255-AZ255)/AZ255*100)</f>
        <v>0</v>
      </c>
      <c r="BL255" s="1092">
        <f>IF(BA255=0,0,(BB255-BA255)/BA255*100)</f>
        <v>0</v>
      </c>
      <c r="BM255" s="1092">
        <f>IF(BB255=0,0,(BC255-BB255)/BB255*100)</f>
        <v>0</v>
      </c>
      <c r="BN255" s="3618"/>
      <c r="BO255" s="3618"/>
      <c r="BP255" s="3618"/>
      <c r="BQ255" s="1256"/>
      <c r="BR255" s="1256"/>
      <c r="BS255" s="1041" t="s">
        <v>1139</v>
      </c>
      <c r="BT255" s="1041"/>
      <c r="BU255" s="1041"/>
      <c r="BV255" s="956"/>
      <c r="BW255" s="956"/>
    </row>
    <row s="1624" customFormat="1" customHeight="1" ht="14.25">
      <c r="A256" s="1256"/>
      <c r="B256" s="955"/>
      <c r="C256" s="73"/>
      <c r="D256" s="73"/>
      <c r="E256" s="596">
        <v>15</v>
      </c>
      <c r="F256" s="50" cm="1" t="str">
        <f t="array" ref="F256:F256">OFFSET(E256,-1,1)</f>
        <v>1</v>
      </c>
      <c r="G256" s="73"/>
      <c r="H256" s="73"/>
      <c r="I256" s="73" t="s">
        <v>1966</v>
      </c>
      <c r="J256" s="73"/>
      <c r="K256" s="124" t="s">
        <v>1966</v>
      </c>
      <c r="L256" s="957" t="s">
        <v>856</v>
      </c>
      <c r="M256" s="73"/>
      <c r="N256" s="73"/>
      <c r="O256" s="73"/>
      <c r="P256" s="73"/>
      <c r="Q256" s="73"/>
      <c r="R256" s="73"/>
      <c r="S256" s="73"/>
      <c r="T256" s="438" cm="1" t="str">
        <f t="array" ref="T256:T256">T255</f>
        <v>true</v>
      </c>
      <c r="U256" s="73"/>
      <c r="V256" s="73"/>
      <c r="W256" s="73"/>
      <c r="X256" s="1541"/>
      <c r="Y256" s="1256"/>
      <c r="Z256" s="1494"/>
      <c r="AA256" s="1256"/>
      <c r="AB256" s="266" t="s">
        <v>1967</v>
      </c>
      <c r="AC256" s="741" t="s">
        <v>1968</v>
      </c>
      <c r="AD256" s="266" t="s">
        <v>789</v>
      </c>
      <c r="AE256" s="3564"/>
      <c r="AF256" s="3564"/>
      <c r="AG256" s="3564"/>
      <c r="AH256" s="1092">
        <f>AG256-AF256</f>
        <v>0</v>
      </c>
      <c r="AI256" s="3564"/>
      <c r="AJ256" s="3564"/>
      <c r="AK256" s="3564"/>
      <c r="AL256" s="3564"/>
      <c r="AM256" s="3564"/>
      <c r="AN256" s="3564"/>
      <c r="AO256" s="3564"/>
      <c r="AP256" s="3564"/>
      <c r="AQ256" s="3564"/>
      <c r="AR256" s="3564"/>
      <c r="AS256" s="3564"/>
      <c r="AT256" s="3564"/>
      <c r="AU256" s="3564"/>
      <c r="AV256" s="3564"/>
      <c r="AW256" s="3564"/>
      <c r="AX256" s="3564"/>
      <c r="AY256" s="3564"/>
      <c r="AZ256" s="3564"/>
      <c r="BA256" s="3564"/>
      <c r="BB256" s="3564"/>
      <c r="BC256" s="3564"/>
      <c r="BD256" s="1092">
        <f>IF(AI256=0,0,(AT256-AI256)/AI256*100)</f>
        <v>0</v>
      </c>
      <c r="BE256" s="1092">
        <f>IF(AT256=0,0,(AU256-AT256)/AT256*100)</f>
        <v>0</v>
      </c>
      <c r="BF256" s="1092">
        <f>IF(AU256=0,0,(AV256-AU256)/AU256*100)</f>
        <v>0</v>
      </c>
      <c r="BG256" s="1092">
        <f>IF(AV256=0,0,(AW256-AV256)/AV256*100)</f>
        <v>0</v>
      </c>
      <c r="BH256" s="1092">
        <f>IF(AW256=0,0,(AX256-AW256)/AW256*100)</f>
        <v>0</v>
      </c>
      <c r="BI256" s="1092">
        <f>IF(AX256=0,0,(AY256-AX256)/AX256*100)</f>
        <v>0</v>
      </c>
      <c r="BJ256" s="1092">
        <f>IF(AY256=0,0,(AZ256-AY256)/AY256*100)</f>
        <v>0</v>
      </c>
      <c r="BK256" s="1092">
        <f>IF(AZ256=0,0,(BA256-AZ256)/AZ256*100)</f>
        <v>0</v>
      </c>
      <c r="BL256" s="1092">
        <f>IF(BA256=0,0,(BB256-BA256)/BA256*100)</f>
        <v>0</v>
      </c>
      <c r="BM256" s="1092">
        <f>IF(BB256=0,0,(BC256-BB256)/BB256*100)</f>
        <v>0</v>
      </c>
      <c r="BN256" s="3618"/>
      <c r="BO256" s="3618"/>
      <c r="BP256" s="3618"/>
      <c r="BQ256" s="1256"/>
      <c r="BR256" s="1256"/>
      <c r="BS256" s="1041" t="s">
        <v>1969</v>
      </c>
      <c r="BT256" s="1041"/>
      <c r="BU256" s="1041"/>
      <c r="BV256" s="956"/>
      <c r="BW256" s="956"/>
    </row>
    <row s="1624" customFormat="1" customHeight="1" ht="21.75">
      <c r="A257" s="1256"/>
      <c r="B257" s="955"/>
      <c r="C257" s="73"/>
      <c r="D257" s="73"/>
      <c r="E257" s="596">
        <v>22.5</v>
      </c>
      <c r="F257" s="50" cm="1" t="str">
        <f t="array" ref="F257:F257">OFFSET(E257,-1,1)</f>
        <v>1</v>
      </c>
      <c r="G257" s="73" t="s">
        <v>1351</v>
      </c>
      <c r="H257" s="73"/>
      <c r="I257" s="73" t="s">
        <v>1970</v>
      </c>
      <c r="J257" s="73"/>
      <c r="K257" s="124" t="s">
        <v>1970</v>
      </c>
      <c r="L257" s="957"/>
      <c r="M257" s="73"/>
      <c r="N257" s="73"/>
      <c r="O257" s="73"/>
      <c r="P257" s="73"/>
      <c r="Q257" s="73"/>
      <c r="R257" s="73"/>
      <c r="S257" s="73"/>
      <c r="T257" s="438" cm="1" t="str">
        <f t="array" ref="T257:T257">T256</f>
        <v>true</v>
      </c>
      <c r="U257" s="73"/>
      <c r="V257" s="73"/>
      <c r="W257" s="73"/>
      <c r="X257" s="1541"/>
      <c r="Y257" s="1256"/>
      <c r="Z257" s="1494"/>
      <c r="AA257" s="1256"/>
      <c r="AB257" s="266" t="s">
        <v>1415</v>
      </c>
      <c r="AC257" s="738" t="s">
        <v>1971</v>
      </c>
      <c r="AD257" s="266" t="s">
        <v>789</v>
      </c>
      <c r="AE257" s="3564"/>
      <c r="AF257" s="3564"/>
      <c r="AG257" s="3564"/>
      <c r="AH257" s="1092">
        <f>AG257-AF257</f>
        <v>0</v>
      </c>
      <c r="AI257" s="3564"/>
      <c r="AJ257" s="3564"/>
      <c r="AK257" s="3564"/>
      <c r="AL257" s="3564"/>
      <c r="AM257" s="3564"/>
      <c r="AN257" s="3564"/>
      <c r="AO257" s="3564"/>
      <c r="AP257" s="3564"/>
      <c r="AQ257" s="3564"/>
      <c r="AR257" s="3564"/>
      <c r="AS257" s="3564"/>
      <c r="AT257" s="3564"/>
      <c r="AU257" s="3564"/>
      <c r="AV257" s="3564"/>
      <c r="AW257" s="3564"/>
      <c r="AX257" s="3564"/>
      <c r="AY257" s="3564"/>
      <c r="AZ257" s="3564"/>
      <c r="BA257" s="3564"/>
      <c r="BB257" s="3564"/>
      <c r="BC257" s="3564"/>
      <c r="BD257" s="1092">
        <f>IF(AI257=0,0,(AT257-AI257)/AI257*100)</f>
        <v>0</v>
      </c>
      <c r="BE257" s="1092">
        <f>IF(AT257=0,0,(AU257-AT257)/AT257*100)</f>
        <v>0</v>
      </c>
      <c r="BF257" s="1092">
        <f>IF(AU257=0,0,(AV257-AU257)/AU257*100)</f>
        <v>0</v>
      </c>
      <c r="BG257" s="1092">
        <f>IF(AV257=0,0,(AW257-AV257)/AV257*100)</f>
        <v>0</v>
      </c>
      <c r="BH257" s="1092">
        <f>IF(AW257=0,0,(AX257-AW257)/AW257*100)</f>
        <v>0</v>
      </c>
      <c r="BI257" s="1092">
        <f>IF(AX257=0,0,(AY257-AX257)/AX257*100)</f>
        <v>0</v>
      </c>
      <c r="BJ257" s="1092">
        <f>IF(AY257=0,0,(AZ257-AY257)/AY257*100)</f>
        <v>0</v>
      </c>
      <c r="BK257" s="1092">
        <f>IF(AZ257=0,0,(BA257-AZ257)/AZ257*100)</f>
        <v>0</v>
      </c>
      <c r="BL257" s="1092">
        <f>IF(BA257=0,0,(BB257-BA257)/BA257*100)</f>
        <v>0</v>
      </c>
      <c r="BM257" s="1092">
        <f>IF(BB257=0,0,(BC257-BB257)/BB257*100)</f>
        <v>0</v>
      </c>
      <c r="BN257" s="3618"/>
      <c r="BO257" s="3618"/>
      <c r="BP257" s="3618"/>
      <c r="BQ257" s="1256"/>
      <c r="BR257" s="1256"/>
      <c r="BS257" s="1041" t="s">
        <v>1972</v>
      </c>
      <c r="BT257" s="1041"/>
      <c r="BU257" s="1041"/>
      <c r="BV257" s="956"/>
      <c r="BW257" s="956"/>
    </row>
    <row s="3669" customFormat="1" customHeight="1" ht="20.25">
      <c r="A258" s="676"/>
      <c r="B258" s="407"/>
      <c r="C258" s="75"/>
      <c r="D258" s="75"/>
      <c r="E258" s="802">
        <v>21</v>
      </c>
      <c r="F258" s="50" cm="1" t="str">
        <f t="array" ref="F258:F258">OFFSET(E258,-1,1)</f>
        <v>1</v>
      </c>
      <c r="G258" s="73" t="s">
        <v>1973</v>
      </c>
      <c r="H258" s="73"/>
      <c r="I258" s="73" t="s">
        <v>323</v>
      </c>
      <c r="J258" s="75"/>
      <c r="K258" s="124" t="s">
        <v>323</v>
      </c>
      <c r="L258" s="962" t="s">
        <v>1208</v>
      </c>
      <c r="M258" s="75"/>
      <c r="N258" s="75"/>
      <c r="O258" s="75"/>
      <c r="P258" s="75"/>
      <c r="Q258" s="75"/>
      <c r="R258" s="75"/>
      <c r="S258" s="75"/>
      <c r="T258" s="438" cm="1" t="str">
        <f t="array" ref="T258:T258">T257</f>
        <v>true</v>
      </c>
      <c r="U258" s="75"/>
      <c r="V258" s="75"/>
      <c r="W258" s="75"/>
      <c r="X258" s="1541"/>
      <c r="Y258" s="676"/>
      <c r="Z258" s="1494"/>
      <c r="AA258" s="676"/>
      <c r="AB258" s="177" t="s">
        <v>319</v>
      </c>
      <c r="AC258" s="178" t="s">
        <v>1974</v>
      </c>
      <c r="AD258" s="177" t="s">
        <v>789</v>
      </c>
      <c r="AE258" s="754">
        <f>_xlfn.SUMIFS(ЭЭ!AE$25:AE$67,ЭЭ!$F$25:$F$67,$F258,ЭЭ!$AC$25:$AC$67,"Всего по тарифу")</f>
        <v>0</v>
      </c>
      <c r="AF258" s="754">
        <f>_xlfn.SUMIFS(ЭЭ!AF$25:AF$67,ЭЭ!$F$25:$F$67,$F258,ЭЭ!$AC$25:$AC$67,"Всего по тарифу")</f>
        <v>0</v>
      </c>
      <c r="AG258" s="754">
        <f>_xlfn.SUMIFS(ЭЭ!AG$25:AG$67,ЭЭ!$F$25:$F$67,$F258,ЭЭ!$AC$25:$AC$67,"Всего по тарифу")</f>
        <v>0</v>
      </c>
      <c r="AH258" s="754">
        <f>AG258-AF258</f>
        <v>0</v>
      </c>
      <c r="AI258" s="754">
        <f>_xlfn.SUMIFS(ЭЭ!AH$25:AH$67,ЭЭ!$F$25:$F$67,$F258,ЭЭ!$AC$25:$AC$67,"Всего по тарифу")</f>
        <v>0</v>
      </c>
      <c r="AJ258" s="754">
        <f>_xlfn.SUMIFS(ЭЭ!AI$25:AI$67,ЭЭ!$F$25:$F$67,$F258,ЭЭ!$AC$25:$AC$67,"Всего по тарифу")</f>
        <v>0</v>
      </c>
      <c r="AK258" s="754">
        <f>_xlfn.SUMIFS(ЭЭ!AJ$25:AJ$67,ЭЭ!$F$25:$F$67,$F258,ЭЭ!$AC$25:$AC$67,"Всего по тарифу")</f>
        <v>0</v>
      </c>
      <c r="AL258" s="754">
        <f>_xlfn.SUMIFS(ЭЭ!AK$25:AK$67,ЭЭ!$F$25:$F$67,$F258,ЭЭ!$AC$25:$AC$67,"Всего по тарифу")</f>
        <v>0</v>
      </c>
      <c r="AM258" s="754">
        <f>_xlfn.SUMIFS(ЭЭ!AL$25:AL$67,ЭЭ!$F$25:$F$67,$F258,ЭЭ!$AC$25:$AC$67,"Всего по тарифу")</f>
        <v>0</v>
      </c>
      <c r="AN258" s="754">
        <f>_xlfn.SUMIFS(ЭЭ!AM$25:AM$67,ЭЭ!$F$25:$F$67,$F258,ЭЭ!$AC$25:$AC$67,"Всего по тарифу")</f>
        <v>0</v>
      </c>
      <c r="AO258" s="754">
        <f>_xlfn.SUMIFS(ЭЭ!AN$25:AN$67,ЭЭ!$F$25:$F$67,$F258,ЭЭ!$AC$25:$AC$67,"Всего по тарифу")</f>
        <v>0</v>
      </c>
      <c r="AP258" s="754">
        <f>_xlfn.SUMIFS(ЭЭ!AO$25:AO$67,ЭЭ!$F$25:$F$67,$F258,ЭЭ!$AC$25:$AC$67,"Всего по тарифу")</f>
        <v>0</v>
      </c>
      <c r="AQ258" s="754">
        <f>_xlfn.SUMIFS(ЭЭ!AP$25:AP$67,ЭЭ!$F$25:$F$67,$F258,ЭЭ!$AC$25:$AC$67,"Всего по тарифу")</f>
        <v>0</v>
      </c>
      <c r="AR258" s="754">
        <f>_xlfn.SUMIFS(ЭЭ!AQ$25:AQ$67,ЭЭ!$F$25:$F$67,$F258,ЭЭ!$AC$25:$AC$67,"Всего по тарифу")</f>
        <v>0</v>
      </c>
      <c r="AS258" s="754">
        <f>_xlfn.SUMIFS(ЭЭ!AR$25:AR$67,ЭЭ!$F$25:$F$67,$F258,ЭЭ!$AC$25:$AC$67,"Всего по тарифу")</f>
        <v>0</v>
      </c>
      <c r="AT258" s="754">
        <f>_xlfn.SUMIFS(ЭЭ!AS$25:AS$67,ЭЭ!$F$25:$F$67,$F258,ЭЭ!$AC$25:$AC$67,"Всего по тарифу")</f>
        <v>0</v>
      </c>
      <c r="AU258" s="754">
        <f>_xlfn.SUMIFS(ЭЭ!AT$25:AT$67,ЭЭ!$F$25:$F$67,$F258,ЭЭ!$AC$25:$AC$67,"Всего по тарифу")</f>
        <v>0</v>
      </c>
      <c r="AV258" s="754">
        <f>_xlfn.SUMIFS(ЭЭ!AU$25:AU$67,ЭЭ!$F$25:$F$67,$F258,ЭЭ!$AC$25:$AC$67,"Всего по тарифу")</f>
        <v>0</v>
      </c>
      <c r="AW258" s="754">
        <f>_xlfn.SUMIFS(ЭЭ!AV$25:AV$67,ЭЭ!$F$25:$F$67,$F258,ЭЭ!$AC$25:$AC$67,"Всего по тарифу")</f>
        <v>0</v>
      </c>
      <c r="AX258" s="754">
        <f>_xlfn.SUMIFS(ЭЭ!AW$25:AW$67,ЭЭ!$F$25:$F$67,$F258,ЭЭ!$AC$25:$AC$67,"Всего по тарифу")</f>
        <v>0</v>
      </c>
      <c r="AY258" s="754">
        <f>_xlfn.SUMIFS(ЭЭ!AX$25:AX$67,ЭЭ!$F$25:$F$67,$F258,ЭЭ!$AC$25:$AC$67,"Всего по тарифу")</f>
        <v>0</v>
      </c>
      <c r="AZ258" s="754">
        <f>_xlfn.SUMIFS(ЭЭ!AY$25:AY$67,ЭЭ!$F$25:$F$67,$F258,ЭЭ!$AC$25:$AC$67,"Всего по тарифу")</f>
        <v>0</v>
      </c>
      <c r="BA258" s="754">
        <f>_xlfn.SUMIFS(ЭЭ!AZ$25:AZ$67,ЭЭ!$F$25:$F$67,$F258,ЭЭ!$AC$25:$AC$67,"Всего по тарифу")</f>
        <v>0</v>
      </c>
      <c r="BB258" s="754">
        <f>_xlfn.SUMIFS(ЭЭ!BA$25:BA$67,ЭЭ!$F$25:$F$67,$F258,ЭЭ!$AC$25:$AC$67,"Всего по тарифу")</f>
        <v>0</v>
      </c>
      <c r="BC258" s="754">
        <f>_xlfn.SUMIFS(ЭЭ!BB$25:BB$67,ЭЭ!$F$25:$F$67,$F258,ЭЭ!$AC$25:$AC$67,"Всего по тарифу")</f>
        <v>0</v>
      </c>
      <c r="BD258" s="754">
        <f>IF(AI258=0,0,(AT258-AI258)/AI258*100)</f>
        <v>0</v>
      </c>
      <c r="BE258" s="754">
        <f>IF(AT258=0,0,(AU258-AT258)/AT258*100)</f>
        <v>0</v>
      </c>
      <c r="BF258" s="754">
        <f>IF(AU258=0,0,(AV258-AU258)/AU258*100)</f>
        <v>0</v>
      </c>
      <c r="BG258" s="754">
        <f>IF(AV258=0,0,(AW258-AV258)/AV258*100)</f>
        <v>0</v>
      </c>
      <c r="BH258" s="754">
        <f>IF(AW258=0,0,(AX258-AW258)/AW258*100)</f>
        <v>0</v>
      </c>
      <c r="BI258" s="754">
        <f>IF(AX258=0,0,(AY258-AX258)/AX258*100)</f>
        <v>0</v>
      </c>
      <c r="BJ258" s="754">
        <f>IF(AY258=0,0,(AZ258-AY258)/AY258*100)</f>
        <v>0</v>
      </c>
      <c r="BK258" s="754">
        <f>IF(AZ258=0,0,(BA258-AZ258)/AZ258*100)</f>
        <v>0</v>
      </c>
      <c r="BL258" s="754">
        <f>IF(BA258=0,0,(BB258-BA258)/BA258*100)</f>
        <v>0</v>
      </c>
      <c r="BM258" s="754">
        <f>IF(BB258=0,0,(BC258-BB258)/BB258*100)</f>
        <v>0</v>
      </c>
      <c r="BN258" s="3618"/>
      <c r="BO258" s="3668" t="str">
        <f>IF(_xlfn.IFERROR(INDEX(ЭЭ!$K$26:$L$67,MATCH($F258&amp;"komm",ЭЭ!$K$26:$K$67,0),2),"")=0,"",_xlfn.IFERROR(INDEX(ЭЭ!$K$26:$L$67,MATCH($F258&amp;"komm",ЭЭ!$K$26:$K$67,0),2),""))</f>
        <v/>
      </c>
      <c r="BP258" s="3618"/>
      <c r="BQ258" s="676"/>
      <c r="BR258" s="676"/>
      <c r="BS258" s="1047" t="s">
        <v>1580</v>
      </c>
      <c r="BT258" s="1047"/>
      <c r="BU258" s="1047"/>
      <c r="BV258" s="683"/>
      <c r="BW258" s="683"/>
    </row>
    <row s="3670" customFormat="1" customHeight="1" ht="21.75" hidden="1">
      <c r="A259" s="676"/>
      <c r="B259" s="128">
        <f>method_reg="Метод индексации"</f>
        <v>0</v>
      </c>
      <c r="C259" s="75"/>
      <c r="D259" s="75"/>
      <c r="E259" s="802">
        <v>22.5</v>
      </c>
      <c r="F259" s="50" cm="1" t="str">
        <f t="array" ref="F259:F259">OFFSET(E259,-1,1)</f>
        <v>1</v>
      </c>
      <c r="G259" s="73" t="s">
        <v>1373</v>
      </c>
      <c r="H259" s="73"/>
      <c r="I259" s="73" t="s">
        <v>325</v>
      </c>
      <c r="J259" s="75"/>
      <c r="K259" s="124"/>
      <c r="L259" s="962" t="s">
        <v>324</v>
      </c>
      <c r="M259" s="75"/>
      <c r="N259" s="75"/>
      <c r="O259" s="75"/>
      <c r="P259" s="75"/>
      <c r="Q259" s="75"/>
      <c r="R259" s="75"/>
      <c r="S259" s="75"/>
      <c r="T259" s="438" cm="1" t="str">
        <f t="array" ref="T259:T259">T258</f>
        <v>true</v>
      </c>
      <c r="U259" s="75"/>
      <c r="V259" s="75"/>
      <c r="W259" s="75"/>
      <c r="X259" s="1541"/>
      <c r="Y259" s="676"/>
      <c r="Z259" s="1494"/>
      <c r="AA259" s="676"/>
      <c r="AB259" s="177" t="s">
        <v>530</v>
      </c>
      <c r="AC259" s="178" t="s">
        <v>1975</v>
      </c>
      <c r="AD259" s="177" t="s">
        <v>789</v>
      </c>
      <c r="AE259" s="754">
        <f>_xlfn.SUMIFS(Амортизация!AE$25:AE$125,Амортизация!$F$25:$F$125,$F259,Амортизация!$AC$25:$AC$125,"Сумма амортизационных отчислений")</f>
        <v>0</v>
      </c>
      <c r="AF259" s="754">
        <f>_xlfn.SUMIFS(Амортизация!AF$25:AF$125,Амортизация!$F$25:$F$125,$F259,Амортизация!$AC$25:$AC$125,"Сумма амортизационных отчислений")</f>
        <v>0</v>
      </c>
      <c r="AG259" s="754">
        <f>_xlfn.SUMIFS(Амортизация!AG$25:AG$125,Амортизация!$F$25:$F$125,$F259,Амортизация!$AC$25:$AC$125,"Сумма амортизационных отчислений")</f>
        <v>0</v>
      </c>
      <c r="AH259" s="754">
        <f>AG259-AF259</f>
        <v>0</v>
      </c>
      <c r="AI259" s="754">
        <f>_xlfn.SUMIFS(Амортизация!AH$25:AH$125,Амортизация!$F$25:$F$125,$F259,Амортизация!$AC$25:$AC$125,"Сумма амортизационных отчислений")</f>
        <v>0</v>
      </c>
      <c r="AJ259" s="754">
        <f>_xlfn.SUMIFS(Амортизация!AI$25:AI$125,Амортизация!$F$25:$F$125,$F259,Амортизация!$AC$25:$AC$125,"Сумма амортизационных отчислений")</f>
        <v>0</v>
      </c>
      <c r="AK259" s="754">
        <f>_xlfn.SUMIFS(Амортизация!AJ$25:AJ$125,Амортизация!$F$25:$F$125,$F259,Амортизация!$AC$25:$AC$125,"Сумма амортизационных отчислений")</f>
        <v>0</v>
      </c>
      <c r="AL259" s="754">
        <f>_xlfn.SUMIFS(Амортизация!AK$25:AK$125,Амортизация!$F$25:$F$125,$F259,Амортизация!$AC$25:$AC$125,"Сумма амортизационных отчислений")</f>
        <v>0</v>
      </c>
      <c r="AM259" s="754">
        <f>_xlfn.SUMIFS(Амортизация!AL$25:AL$125,Амортизация!$F$25:$F$125,$F259,Амортизация!$AC$25:$AC$125,"Сумма амортизационных отчислений")</f>
        <v>0</v>
      </c>
      <c r="AN259" s="754">
        <f>_xlfn.SUMIFS(Амортизация!AM$25:AM$125,Амортизация!$F$25:$F$125,$F259,Амортизация!$AC$25:$AC$125,"Сумма амортизационных отчислений")</f>
        <v>0</v>
      </c>
      <c r="AO259" s="754">
        <f>_xlfn.SUMIFS(Амортизация!AN$25:AN$125,Амортизация!$F$25:$F$125,$F259,Амортизация!$AC$25:$AC$125,"Сумма амортизационных отчислений")</f>
        <v>0</v>
      </c>
      <c r="AP259" s="754">
        <f>_xlfn.SUMIFS(Амортизация!AO$25:AO$125,Амортизация!$F$25:$F$125,$F259,Амортизация!$AC$25:$AC$125,"Сумма амортизационных отчислений")</f>
        <v>0</v>
      </c>
      <c r="AQ259" s="754">
        <f>_xlfn.SUMIFS(Амортизация!AP$25:AP$125,Амортизация!$F$25:$F$125,$F259,Амортизация!$AC$25:$AC$125,"Сумма амортизационных отчислений")</f>
        <v>0</v>
      </c>
      <c r="AR259" s="754">
        <f>_xlfn.SUMIFS(Амортизация!AQ$25:AQ$125,Амортизация!$F$25:$F$125,$F259,Амортизация!$AC$25:$AC$125,"Сумма амортизационных отчислений")</f>
        <v>0</v>
      </c>
      <c r="AS259" s="754">
        <f>_xlfn.SUMIFS(Амортизация!AR$25:AR$125,Амортизация!$F$25:$F$125,$F259,Амортизация!$AC$25:$AC$125,"Сумма амортизационных отчислений")</f>
        <v>0</v>
      </c>
      <c r="AT259" s="754">
        <f>_xlfn.SUMIFS(Амортизация!AS$25:AS$125,Амортизация!$F$25:$F$125,$F259,Амортизация!$AC$25:$AC$125,"Сумма амортизационных отчислений")</f>
        <v>0</v>
      </c>
      <c r="AU259" s="754">
        <f>_xlfn.SUMIFS(Амортизация!AT$25:AT$125,Амортизация!$F$25:$F$125,$F259,Амортизация!$AC$25:$AC$125,"Сумма амортизационных отчислений")</f>
        <v>0</v>
      </c>
      <c r="AV259" s="754">
        <f>_xlfn.SUMIFS(Амортизация!AU$25:AU$125,Амортизация!$F$25:$F$125,$F259,Амортизация!$AC$25:$AC$125,"Сумма амортизационных отчислений")</f>
        <v>0</v>
      </c>
      <c r="AW259" s="754">
        <f>_xlfn.SUMIFS(Амортизация!AV$25:AV$125,Амортизация!$F$25:$F$125,$F259,Амортизация!$AC$25:$AC$125,"Сумма амортизационных отчислений")</f>
        <v>0</v>
      </c>
      <c r="AX259" s="754">
        <f>_xlfn.SUMIFS(Амортизация!AW$25:AW$125,Амортизация!$F$25:$F$125,$F259,Амортизация!$AC$25:$AC$125,"Сумма амортизационных отчислений")</f>
        <v>0</v>
      </c>
      <c r="AY259" s="754">
        <f>_xlfn.SUMIFS(Амортизация!AX$25:AX$125,Амортизация!$F$25:$F$125,$F259,Амортизация!$AC$25:$AC$125,"Сумма амортизационных отчислений")</f>
        <v>0</v>
      </c>
      <c r="AZ259" s="754">
        <f>_xlfn.SUMIFS(Амортизация!AY$25:AY$125,Амортизация!$F$25:$F$125,$F259,Амортизация!$AC$25:$AC$125,"Сумма амортизационных отчислений")</f>
        <v>0</v>
      </c>
      <c r="BA259" s="754">
        <f>_xlfn.SUMIFS(Амортизация!AZ$25:AZ$125,Амортизация!$F$25:$F$125,$F259,Амортизация!$AC$25:$AC$125,"Сумма амортизационных отчислений")</f>
        <v>0</v>
      </c>
      <c r="BB259" s="754">
        <f>_xlfn.SUMIFS(Амортизация!BA$25:BA$125,Амортизация!$F$25:$F$125,$F259,Амортизация!$AC$25:$AC$125,"Сумма амортизационных отчислений")</f>
        <v>0</v>
      </c>
      <c r="BC259" s="754">
        <f>_xlfn.SUMIFS(Амортизация!BB$25:BB$125,Амортизация!$F$25:$F$125,$F259,Амортизация!$AC$25:$AC$125,"Сумма амортизационных отчислений")</f>
        <v>0</v>
      </c>
      <c r="BD259" s="754">
        <f>IF(AI259=0,0,(AT259-AI259)/AI259*100)</f>
        <v>0</v>
      </c>
      <c r="BE259" s="754">
        <f>IF(AT259=0,0,(AU259-AT259)/AT259*100)</f>
        <v>0</v>
      </c>
      <c r="BF259" s="754">
        <f>IF(AU259=0,0,(AV259-AU259)/AU259*100)</f>
        <v>0</v>
      </c>
      <c r="BG259" s="754">
        <f>IF(AV259=0,0,(AW259-AV259)/AV259*100)</f>
        <v>0</v>
      </c>
      <c r="BH259" s="754">
        <f>IF(AW259=0,0,(AX259-AW259)/AW259*100)</f>
        <v>0</v>
      </c>
      <c r="BI259" s="754">
        <f>IF(AX259=0,0,(AY259-AX259)/AX259*100)</f>
        <v>0</v>
      </c>
      <c r="BJ259" s="754">
        <f>IF(AY259=0,0,(AZ259-AY259)/AY259*100)</f>
        <v>0</v>
      </c>
      <c r="BK259" s="754">
        <f>IF(AZ259=0,0,(BA259-AZ259)/AZ259*100)</f>
        <v>0</v>
      </c>
      <c r="BL259" s="754">
        <f>IF(BA259=0,0,(BB259-BA259)/BA259*100)</f>
        <v>0</v>
      </c>
      <c r="BM259" s="754">
        <f>IF(BB259=0,0,(BC259-BB259)/BB259*100)</f>
        <v>0</v>
      </c>
      <c r="BN259" s="1216"/>
      <c r="BO259" s="1220" t="str">
        <f>IF(_xlfn.IFERROR(INDEX(Амортизация!$K$26:$L$125,MATCH($F259&amp;"komm",Амортизация!$K$26:$K$125,0),2),"")=0,"",_xlfn.IFERROR(INDEX(Амортизация!$K$26:$L$125,MATCH($F259&amp;"komm",Амортизация!$K$26:$K$125,0),2),""))</f>
        <v/>
      </c>
      <c r="BP259" s="1216"/>
      <c r="BQ259" s="676"/>
      <c r="BR259" s="676"/>
      <c r="BS259" s="1047" t="s">
        <v>1118</v>
      </c>
      <c r="BT259" s="1047"/>
      <c r="BU259" s="1047"/>
      <c r="BV259" s="683"/>
      <c r="BW259" s="683"/>
    </row>
    <row s="1624" customFormat="1" customHeight="1" ht="14.25" hidden="1">
      <c r="A260" s="1256"/>
      <c r="B260" s="404" cm="1" t="str">
        <f t="array" ref="B260:B260">B259</f>
        <v>false</v>
      </c>
      <c r="C260" s="73"/>
      <c r="D260" s="73"/>
      <c r="E260" s="596">
        <v>15</v>
      </c>
      <c r="F260" s="50" cm="1" t="str">
        <f t="array" ref="F260:F260">OFFSET(E260,-1,1)</f>
        <v>1</v>
      </c>
      <c r="G260" s="73"/>
      <c r="H260" s="73"/>
      <c r="I260" s="73" t="s">
        <v>508</v>
      </c>
      <c r="J260" s="73"/>
      <c r="K260" s="1256"/>
      <c r="L260" s="957" t="s">
        <v>522</v>
      </c>
      <c r="M260" s="73"/>
      <c r="N260" s="73"/>
      <c r="O260" s="73"/>
      <c r="P260" s="73"/>
      <c r="Q260" s="73"/>
      <c r="R260" s="73"/>
      <c r="S260" s="73"/>
      <c r="T260" s="438" cm="1" t="str">
        <f t="array" ref="T260:T260">T259</f>
        <v>true</v>
      </c>
      <c r="U260" s="73"/>
      <c r="V260" s="73"/>
      <c r="W260" s="73"/>
      <c r="X260" s="1541"/>
      <c r="Y260" s="1256"/>
      <c r="Z260" s="1494"/>
      <c r="AA260" s="1256"/>
      <c r="AB260" s="266" t="s">
        <v>646</v>
      </c>
      <c r="AC260" s="738" t="s">
        <v>1673</v>
      </c>
      <c r="AD260" s="266" t="s">
        <v>789</v>
      </c>
      <c r="AE260" s="1219">
        <f>_xlfn.SUMIFS('ИП + источники'!AF$27:AF$87,'ИП + источники'!$F$27:$F$87,$F260,'ИП + источники'!$AC$27:$AC$87,"Амортизационные отчисления")+_xlfn.SUMIFS('ИП + источники'!AF$27:AF$87,'ИП + источники'!$F$27:$F$87,$F260,'ИП + источники'!$AC$27:$AC$87,"погашение займов и кредитов из амортизации")</f>
        <v>0</v>
      </c>
      <c r="AF260" s="1219">
        <f>_xlfn.SUMIFS('ИП + источники'!AG$27:AG$87,'ИП + источники'!$F$27:$F$87,$F260,'ИП + источники'!$AC$27:$AC$87,"Амортизационные отчисления")+_xlfn.SUMIFS('ИП + источники'!AG$27:AG$87,'ИП + источники'!$F$27:$F$87,$F260,'ИП + источники'!$AC$27:$AC$87,"погашение займов и кредитов из амортизации")</f>
        <v>0</v>
      </c>
      <c r="AG260" s="1219">
        <f>_xlfn.SUMIFS('ИП + источники'!AH$27:AH$87,'ИП + источники'!$F$27:$F$87,$F260,'ИП + источники'!$AC$27:$AC$87,"Амортизационные отчисления")+_xlfn.SUMIFS('ИП + источники'!AH$27:AH$87,'ИП + источники'!$F$27:$F$87,$F260,'ИП + источники'!$AC$27:$AC$87,"погашение займов и кредитов из амортизации")</f>
        <v>0</v>
      </c>
      <c r="AH260" s="1092">
        <f>AG260-AF260</f>
        <v>0</v>
      </c>
      <c r="AI260" s="1219">
        <f>_xlfn.SUMIFS('ИП + источники'!AJ$27:AJ$87,'ИП + источники'!$F$27:$F$87,$F260,'ИП + источники'!$AC$27:$AC$87,"Амортизационные отчисления")+_xlfn.SUMIFS('ИП + источники'!AJ$27:AJ$87,'ИП + источники'!$F$27:$F$87,$F260,'ИП + источники'!$AC$27:$AC$87,"погашение займов и кредитов из амортизации")</f>
        <v>0</v>
      </c>
      <c r="AJ260" s="3564">
        <f>_xlfn.SUMIFS('ИП + источники'!AK$27:AK$87,'ИП + источники'!$F$27:$F$87,$F260,'ИП + источники'!$AC$27:$AC$87,"Амортизационные отчисления")+_xlfn.SUMIFS('ИП + источники'!AK$27:AK$87,'ИП + источники'!$F$27:$F$87,$F260,'ИП + источники'!$AC$27:$AC$87,"погашение займов и кредитов из амортизации")</f>
        <v>0</v>
      </c>
      <c r="AK260" s="1219">
        <f>_xlfn.SUMIFS('ИП + источники'!AL$27:AL$87,'ИП + источники'!$F$27:$F$87,$F260,'ИП + источники'!$AC$27:$AC$87,"Амортизационные отчисления")+_xlfn.SUMIFS('ИП + источники'!AL$27:AL$87,'ИП + источники'!$F$27:$F$87,$F260,'ИП + источники'!$AC$27:$AC$87,"погашение займов и кредитов из амортизации")</f>
        <v>0</v>
      </c>
      <c r="AL260" s="1219">
        <f>_xlfn.SUMIFS('ИП + источники'!AM$27:AM$87,'ИП + источники'!$F$27:$F$87,$F260,'ИП + источники'!$AC$27:$AC$87,"Амортизационные отчисления")+_xlfn.SUMIFS('ИП + источники'!AM$27:AM$87,'ИП + источники'!$F$27:$F$87,$F260,'ИП + источники'!$AC$27:$AC$87,"погашение займов и кредитов из амортизации")</f>
        <v>0</v>
      </c>
      <c r="AM260" s="1219">
        <f>_xlfn.SUMIFS('ИП + источники'!AN$27:AN$87,'ИП + источники'!$F$27:$F$87,$F260,'ИП + источники'!$AC$27:$AC$87,"Амортизационные отчисления")+_xlfn.SUMIFS('ИП + источники'!AN$27:AN$87,'ИП + источники'!$F$27:$F$87,$F260,'ИП + источники'!$AC$27:$AC$87,"погашение займов и кредитов из амортизации")</f>
        <v>0</v>
      </c>
      <c r="AN260" s="1219">
        <f>_xlfn.SUMIFS('ИП + источники'!AO$27:AO$87,'ИП + источники'!$F$27:$F$87,$F260,'ИП + источники'!$AC$27:$AC$87,"Амортизационные отчисления")+_xlfn.SUMIFS('ИП + источники'!AO$27:AO$87,'ИП + источники'!$F$27:$F$87,$F260,'ИП + источники'!$AC$27:$AC$87,"погашение займов и кредитов из амортизации")</f>
        <v>0</v>
      </c>
      <c r="AO260" s="1219">
        <f>_xlfn.SUMIFS('ИП + источники'!AP$27:AP$87,'ИП + источники'!$F$27:$F$87,$F260,'ИП + источники'!$AC$27:$AC$87,"Амортизационные отчисления")+_xlfn.SUMIFS('ИП + источники'!AP$27:AP$87,'ИП + источники'!$F$27:$F$87,$F260,'ИП + источники'!$AC$27:$AC$87,"погашение займов и кредитов из амортизации")</f>
        <v>0</v>
      </c>
      <c r="AP260" s="1219">
        <f>_xlfn.SUMIFS('ИП + источники'!AQ$27:AQ$87,'ИП + источники'!$F$27:$F$87,$F260,'ИП + источники'!$AC$27:$AC$87,"Амортизационные отчисления")+_xlfn.SUMIFS('ИП + источники'!AQ$27:AQ$87,'ИП + источники'!$F$27:$F$87,$F260,'ИП + источники'!$AC$27:$AC$87,"погашение займов и кредитов из амортизации")</f>
        <v>0</v>
      </c>
      <c r="AQ260" s="1219">
        <f>_xlfn.SUMIFS('ИП + источники'!AR$27:AR$87,'ИП + источники'!$F$27:$F$87,$F260,'ИП + источники'!$AC$27:$AC$87,"Амортизационные отчисления")+_xlfn.SUMIFS('ИП + источники'!AR$27:AR$87,'ИП + источники'!$F$27:$F$87,$F260,'ИП + источники'!$AC$27:$AC$87,"погашение займов и кредитов из амортизации")</f>
        <v>0</v>
      </c>
      <c r="AR260" s="1219">
        <f>_xlfn.SUMIFS('ИП + источники'!AS$27:AS$87,'ИП + источники'!$F$27:$F$87,$F260,'ИП + источники'!$AC$27:$AC$87,"Амортизационные отчисления")+_xlfn.SUMIFS('ИП + источники'!AS$27:AS$87,'ИП + источники'!$F$27:$F$87,$F260,'ИП + источники'!$AC$27:$AC$87,"погашение займов и кредитов из амортизации")</f>
        <v>0</v>
      </c>
      <c r="AS260" s="1219">
        <f>_xlfn.SUMIFS('ИП + источники'!AT$27:AT$87,'ИП + источники'!$F$27:$F$87,$F260,'ИП + источники'!$AC$27:$AC$87,"Амортизационные отчисления")+_xlfn.SUMIFS('ИП + источники'!AT$27:AT$87,'ИП + источники'!$F$27:$F$87,$F260,'ИП + источники'!$AC$27:$AC$87,"погашение займов и кредитов из амортизации")</f>
        <v>0</v>
      </c>
      <c r="AT260" s="3564">
        <f>_xlfn.SUMIFS('ИП + источники'!AU$27:AU$87,'ИП + источники'!$F$27:$F$87,$F260,'ИП + источники'!$AC$27:$AC$87,"Амортизационные отчисления")+_xlfn.SUMIFS('ИП + источники'!AU$27:AU$87,'ИП + источники'!$F$27:$F$87,$F260,'ИП + источники'!$AC$27:$AC$87,"погашение займов и кредитов из амортизации")</f>
        <v>0</v>
      </c>
      <c r="AU260" s="1219">
        <f>_xlfn.SUMIFS('ИП + источники'!AV$27:AV$87,'ИП + источники'!$F$27:$F$87,$F260,'ИП + источники'!$AC$27:$AC$87,"Амортизационные отчисления")+_xlfn.SUMIFS('ИП + источники'!AV$27:AV$87,'ИП + источники'!$F$27:$F$87,$F260,'ИП + источники'!$AC$27:$AC$87,"погашение займов и кредитов из амортизации")</f>
        <v>0</v>
      </c>
      <c r="AV260" s="1219">
        <f>_xlfn.SUMIFS('ИП + источники'!AW$27:AW$87,'ИП + источники'!$F$27:$F$87,$F260,'ИП + источники'!$AC$27:$AC$87,"Амортизационные отчисления")+_xlfn.SUMIFS('ИП + источники'!AW$27:AW$87,'ИП + источники'!$F$27:$F$87,$F260,'ИП + источники'!$AC$27:$AC$87,"погашение займов и кредитов из амортизации")</f>
        <v>0</v>
      </c>
      <c r="AW260" s="1219">
        <f>_xlfn.SUMIFS('ИП + источники'!AX$27:AX$87,'ИП + источники'!$F$27:$F$87,$F260,'ИП + источники'!$AC$27:$AC$87,"Амортизационные отчисления")+_xlfn.SUMIFS('ИП + источники'!AX$27:AX$87,'ИП + источники'!$F$27:$F$87,$F260,'ИП + источники'!$AC$27:$AC$87,"погашение займов и кредитов из амортизации")</f>
        <v>0</v>
      </c>
      <c r="AX260" s="1219">
        <f>_xlfn.SUMIFS('ИП + источники'!AY$27:AY$87,'ИП + источники'!$F$27:$F$87,$F260,'ИП + источники'!$AC$27:$AC$87,"Амортизационные отчисления")+_xlfn.SUMIFS('ИП + источники'!AY$27:AY$87,'ИП + источники'!$F$27:$F$87,$F260,'ИП + источники'!$AC$27:$AC$87,"погашение займов и кредитов из амортизации")</f>
        <v>0</v>
      </c>
      <c r="AY260" s="1219">
        <f>_xlfn.SUMIFS('ИП + источники'!AZ$27:AZ$87,'ИП + источники'!$F$27:$F$87,$F260,'ИП + источники'!$AC$27:$AC$87,"Амортизационные отчисления")+_xlfn.SUMIFS('ИП + источники'!AZ$27:AZ$87,'ИП + источники'!$F$27:$F$87,$F260,'ИП + источники'!$AC$27:$AC$87,"погашение займов и кредитов из амортизации")</f>
        <v>0</v>
      </c>
      <c r="AZ260" s="1219">
        <f>_xlfn.SUMIFS('ИП + источники'!BA$27:BA$87,'ИП + источники'!$F$27:$F$87,$F260,'ИП + источники'!$AC$27:$AC$87,"Амортизационные отчисления")+_xlfn.SUMIFS('ИП + источники'!BA$27:BA$87,'ИП + источники'!$F$27:$F$87,$F260,'ИП + источники'!$AC$27:$AC$87,"погашение займов и кредитов из амортизации")</f>
        <v>0</v>
      </c>
      <c r="BA260" s="1219">
        <f>_xlfn.SUMIFS('ИП + источники'!BB$27:BB$87,'ИП + источники'!$F$27:$F$87,$F260,'ИП + источники'!$AC$27:$AC$87,"Амортизационные отчисления")+_xlfn.SUMIFS('ИП + источники'!BB$27:BB$87,'ИП + источники'!$F$27:$F$87,$F260,'ИП + источники'!$AC$27:$AC$87,"погашение займов и кредитов из амортизации")</f>
        <v>0</v>
      </c>
      <c r="BB260" s="1219">
        <f>_xlfn.SUMIFS('ИП + источники'!BC$27:BC$87,'ИП + источники'!$F$27:$F$87,$F260,'ИП + источники'!$AC$27:$AC$87,"Амортизационные отчисления")+_xlfn.SUMIFS('ИП + источники'!BC$27:BC$87,'ИП + источники'!$F$27:$F$87,$F260,'ИП + источники'!$AC$27:$AC$87,"погашение займов и кредитов из амортизации")</f>
        <v>0</v>
      </c>
      <c r="BC260" s="1219">
        <f>_xlfn.SUMIFS('ИП + источники'!BD$27:BD$87,'ИП + источники'!$F$27:$F$87,$F260,'ИП + источники'!$AC$27:$AC$87,"Амортизационные отчисления")+_xlfn.SUMIFS('ИП + источники'!BD$27:BD$87,'ИП + источники'!$F$27:$F$87,$F260,'ИП + источники'!$AC$27:$AC$87,"погашение займов и кредитов из амортизации")</f>
        <v>0</v>
      </c>
      <c r="BD260" s="1092">
        <f>IF(AI260=0,0,(AT260-AI260)/AI260*100)</f>
        <v>0</v>
      </c>
      <c r="BE260" s="1092">
        <f>IF(AT260=0,0,(AU260-AT260)/AT260*100)</f>
        <v>0</v>
      </c>
      <c r="BF260" s="1092">
        <f>IF(AU260=0,0,(AV260-AU260)/AU260*100)</f>
        <v>0</v>
      </c>
      <c r="BG260" s="1092">
        <f>IF(AV260=0,0,(AW260-AV260)/AV260*100)</f>
        <v>0</v>
      </c>
      <c r="BH260" s="1092">
        <f>IF(AW260=0,0,(AX260-AW260)/AW260*100)</f>
        <v>0</v>
      </c>
      <c r="BI260" s="1092">
        <f>IF(AX260=0,0,(AY260-AX260)/AX260*100)</f>
        <v>0</v>
      </c>
      <c r="BJ260" s="1092">
        <f>IF(AY260=0,0,(AZ260-AY260)/AY260*100)</f>
        <v>0</v>
      </c>
      <c r="BK260" s="1092">
        <f>IF(AZ260=0,0,(BA260-AZ260)/AZ260*100)</f>
        <v>0</v>
      </c>
      <c r="BL260" s="1092">
        <f>IF(BA260=0,0,(BB260-BA260)/BA260*100)</f>
        <v>0</v>
      </c>
      <c r="BM260" s="1092">
        <f>IF(BB260=0,0,(BC260-BB260)/BB260*100)</f>
        <v>0</v>
      </c>
      <c r="BN260" s="1216"/>
      <c r="BO260" s="1216"/>
      <c r="BP260" s="1216"/>
      <c r="BQ260" s="1256"/>
      <c r="BR260" s="1256"/>
      <c r="BS260" s="1041" t="s">
        <v>1674</v>
      </c>
      <c r="BT260" s="1041"/>
      <c r="BU260" s="1041"/>
      <c r="BV260" s="956"/>
      <c r="BW260" s="956"/>
    </row>
    <row s="3671" customFormat="1" customHeight="1" ht="20.25" hidden="1">
      <c r="A261" s="676"/>
      <c r="B261" s="404" cm="1" t="str">
        <f t="array" ref="B261:B261">B260</f>
        <v>false</v>
      </c>
      <c r="C261" s="75"/>
      <c r="D261" s="75"/>
      <c r="E261" s="802">
        <v>21</v>
      </c>
      <c r="F261" s="50" cm="1" t="str">
        <f t="array" ref="F261:F261">OFFSET(E261,-1,1)</f>
        <v>1</v>
      </c>
      <c r="G261" s="73" t="s">
        <v>1377</v>
      </c>
      <c r="H261" s="73"/>
      <c r="I261" s="73" t="s">
        <v>324</v>
      </c>
      <c r="J261" s="75"/>
      <c r="K261" s="124"/>
      <c r="L261" s="962" t="s">
        <v>535</v>
      </c>
      <c r="M261" s="75"/>
      <c r="N261" s="75"/>
      <c r="O261" s="75"/>
      <c r="P261" s="75"/>
      <c r="Q261" s="75"/>
      <c r="R261" s="75"/>
      <c r="S261" s="75"/>
      <c r="T261" s="438" cm="1" t="str">
        <f t="array" ref="T261:T261">T260</f>
        <v>true</v>
      </c>
      <c r="U261" s="75"/>
      <c r="V261" s="75"/>
      <c r="W261" s="75"/>
      <c r="X261" s="1541"/>
      <c r="Y261" s="676"/>
      <c r="Z261" s="1494"/>
      <c r="AA261" s="676"/>
      <c r="AB261" s="177" t="s">
        <v>485</v>
      </c>
      <c r="AC261" s="178" t="s">
        <v>1377</v>
      </c>
      <c r="AD261" s="200" t="s">
        <v>789</v>
      </c>
      <c r="AE261" s="179">
        <f>AE262+AE263+AE264+AE265</f>
        <v>0</v>
      </c>
      <c r="AF261" s="179">
        <f>AF262+AF263+AF264+AF265</f>
        <v>0</v>
      </c>
      <c r="AG261" s="179">
        <f>AG262+AG263+AG264+AG265</f>
        <v>0</v>
      </c>
      <c r="AH261" s="179">
        <f>AG261-AF261</f>
        <v>0</v>
      </c>
      <c r="AI261" s="179">
        <f>AI262+AI263+AI264+AI265</f>
        <v>0</v>
      </c>
      <c r="AJ261" s="179">
        <f>AJ262+AJ263+AJ264+AJ265</f>
        <v>0</v>
      </c>
      <c r="AK261" s="179">
        <f>AK262+AK263+AK264+AK265</f>
        <v>0</v>
      </c>
      <c r="AL261" s="179">
        <f>AL262+AL263+AL264+AL265</f>
        <v>0</v>
      </c>
      <c r="AM261" s="179">
        <f>AM262+AM263+AM264+AM265</f>
        <v>0</v>
      </c>
      <c r="AN261" s="179">
        <f>AN262+AN263+AN264+AN265</f>
        <v>0</v>
      </c>
      <c r="AO261" s="179">
        <f>AO262+AO263+AO264+AO265</f>
        <v>0</v>
      </c>
      <c r="AP261" s="179">
        <f>AP262+AP263+AP264+AP265</f>
        <v>0</v>
      </c>
      <c r="AQ261" s="179">
        <f>AQ262+AQ263+AQ264+AQ265</f>
        <v>0</v>
      </c>
      <c r="AR261" s="179">
        <f>AR262+AR263+AR264+AR265</f>
        <v>0</v>
      </c>
      <c r="AS261" s="179">
        <f>AS262+AS263+AS264+AS265</f>
        <v>0</v>
      </c>
      <c r="AT261" s="179">
        <f>AT262+AT263+AT264+AT265</f>
        <v>0</v>
      </c>
      <c r="AU261" s="179">
        <f>AU262+AU263+AU264+AU265</f>
        <v>0</v>
      </c>
      <c r="AV261" s="179">
        <f>AV262+AV263+AV264+AV265</f>
        <v>0</v>
      </c>
      <c r="AW261" s="179">
        <f>AW262+AW263+AW264+AW265</f>
        <v>0</v>
      </c>
      <c r="AX261" s="179">
        <f>AX262+AX263+AX264+AX265</f>
        <v>0</v>
      </c>
      <c r="AY261" s="179">
        <f>AY262+AY263+AY264+AY265</f>
        <v>0</v>
      </c>
      <c r="AZ261" s="179">
        <f>AZ262+AZ263+AZ264+AZ265</f>
        <v>0</v>
      </c>
      <c r="BA261" s="179">
        <f>BA262+BA263+BA264+BA265</f>
        <v>0</v>
      </c>
      <c r="BB261" s="179">
        <f>BB262+BB263+BB264+BB265</f>
        <v>0</v>
      </c>
      <c r="BC261" s="179">
        <f>BC262+BC263+BC264+BC265</f>
        <v>0</v>
      </c>
      <c r="BD261" s="754">
        <f>IF(AI261=0,0,(AT261-AI261)/AI261*100)</f>
        <v>0</v>
      </c>
      <c r="BE261" s="754">
        <f>IF(AT261=0,0,(AU261-AT261)/AT261*100)</f>
        <v>0</v>
      </c>
      <c r="BF261" s="754">
        <f>IF(AU261=0,0,(AV261-AU261)/AU261*100)</f>
        <v>0</v>
      </c>
      <c r="BG261" s="754">
        <f>IF(AV261=0,0,(AW261-AV261)/AV261*100)</f>
        <v>0</v>
      </c>
      <c r="BH261" s="754">
        <f>IF(AW261=0,0,(AX261-AW261)/AW261*100)</f>
        <v>0</v>
      </c>
      <c r="BI261" s="754">
        <f>IF(AX261=0,0,(AY261-AX261)/AX261*100)</f>
        <v>0</v>
      </c>
      <c r="BJ261" s="754">
        <f>IF(AY261=0,0,(AZ261-AY261)/AY261*100)</f>
        <v>0</v>
      </c>
      <c r="BK261" s="754">
        <f>IF(AZ261=0,0,(BA261-AZ261)/AZ261*100)</f>
        <v>0</v>
      </c>
      <c r="BL261" s="754">
        <f>IF(BA261=0,0,(BB261-BA261)/BA261*100)</f>
        <v>0</v>
      </c>
      <c r="BM261" s="754">
        <f>IF(BB261=0,0,(BC261-BB261)/BB261*100)</f>
        <v>0</v>
      </c>
      <c r="BN261" s="1216"/>
      <c r="BO261" s="1216"/>
      <c r="BP261" s="1216"/>
      <c r="BQ261" s="676"/>
      <c r="BR261" s="676"/>
      <c r="BS261" s="1040" t="s">
        <v>1381</v>
      </c>
      <c r="BT261" s="1047"/>
      <c r="BU261" s="1047"/>
      <c r="BV261" s="683"/>
      <c r="BW261" s="683"/>
    </row>
    <row s="1624" customFormat="1" customHeight="1" ht="14.25" hidden="1">
      <c r="A262" s="1256"/>
      <c r="B262" s="404" cm="1" t="str">
        <f t="array" ref="B262:B262">B261</f>
        <v>false</v>
      </c>
      <c r="C262" s="73"/>
      <c r="D262" s="73"/>
      <c r="E262" s="596">
        <v>15</v>
      </c>
      <c r="F262" s="50" cm="1" t="str">
        <f t="array" ref="F262:F262">OFFSET(E262,-1,1)</f>
        <v>1</v>
      </c>
      <c r="G262" s="73"/>
      <c r="H262" s="73"/>
      <c r="I262" s="73" t="s">
        <v>522</v>
      </c>
      <c r="J262" s="73"/>
      <c r="K262" s="1256"/>
      <c r="L262" s="957"/>
      <c r="M262" s="73"/>
      <c r="N262" s="73"/>
      <c r="O262" s="73"/>
      <c r="P262" s="73"/>
      <c r="Q262" s="73"/>
      <c r="R262" s="73"/>
      <c r="S262" s="73"/>
      <c r="T262" s="438" cm="1" t="str">
        <f t="array" ref="T262:T262">T261</f>
        <v>true</v>
      </c>
      <c r="U262" s="73"/>
      <c r="V262" s="73"/>
      <c r="W262" s="73"/>
      <c r="X262" s="1541"/>
      <c r="Y262" s="1256"/>
      <c r="Z262" s="1494"/>
      <c r="AA262" s="1256"/>
      <c r="AB262" s="266" t="s">
        <v>653</v>
      </c>
      <c r="AC262" s="738" t="s">
        <v>1976</v>
      </c>
      <c r="AD262" s="266" t="s">
        <v>789</v>
      </c>
      <c r="AE262" s="1219">
        <f>_xlfn.SUMIFS('ИП + источники'!AF$27:AF$87,'ИП + источники'!$F$27:$F$87,$F262,'ИП + источники'!$AC$27:$AC$87,"погашение займов и кредитов из нормативной прибыли")</f>
        <v>0</v>
      </c>
      <c r="AF262" s="1219">
        <f>_xlfn.SUMIFS('ИП + источники'!AG$27:AG$87,'ИП + источники'!$F$27:$F$87,$F262,'ИП + источники'!$AC$27:$AC$87,"погашение займов и кредитов из нормативной прибыли")</f>
        <v>0</v>
      </c>
      <c r="AG262" s="1219">
        <f>_xlfn.SUMIFS('ИП + источники'!AH$27:AH$87,'ИП + источники'!$F$27:$F$87,$F262,'ИП + источники'!$AC$27:$AC$87,"погашение займов и кредитов из нормативной прибыли")</f>
        <v>0</v>
      </c>
      <c r="AH262" s="1092">
        <f>AG262-AF262</f>
        <v>0</v>
      </c>
      <c r="AI262" s="1219">
        <f>_xlfn.SUMIFS('ИП + источники'!AJ$27:AJ$87,'ИП + источники'!$F$27:$F$87,$F262,'ИП + источники'!$AC$27:$AC$87,"погашение займов и кредитов из нормативной прибыли")</f>
        <v>0</v>
      </c>
      <c r="AJ262" s="3564">
        <f>_xlfn.SUMIFS('ИП + источники'!AK$27:AK$87,'ИП + источники'!$F$27:$F$87,$F262,'ИП + источники'!$AC$27:$AC$87,"погашение займов и кредитов из нормативной прибыли")</f>
        <v>0</v>
      </c>
      <c r="AK262" s="1219">
        <f>_xlfn.SUMIFS('ИП + источники'!AL$27:AL$87,'ИП + источники'!$F$27:$F$87,$F262,'ИП + источники'!$AC$27:$AC$87,"погашение займов и кредитов из нормативной прибыли")</f>
        <v>0</v>
      </c>
      <c r="AL262" s="1219">
        <f>_xlfn.SUMIFS('ИП + источники'!AM$27:AM$87,'ИП + источники'!$F$27:$F$87,$F262,'ИП + источники'!$AC$27:$AC$87,"погашение займов и кредитов из нормативной прибыли")</f>
        <v>0</v>
      </c>
      <c r="AM262" s="1219">
        <f>_xlfn.SUMIFS('ИП + источники'!AN$27:AN$87,'ИП + источники'!$F$27:$F$87,$F262,'ИП + источники'!$AC$27:$AC$87,"погашение займов и кредитов из нормативной прибыли")</f>
        <v>0</v>
      </c>
      <c r="AN262" s="1219">
        <f>_xlfn.SUMIFS('ИП + источники'!AO$27:AO$87,'ИП + источники'!$F$27:$F$87,$F262,'ИП + источники'!$AC$27:$AC$87,"погашение займов и кредитов из нормативной прибыли")</f>
        <v>0</v>
      </c>
      <c r="AO262" s="1219">
        <f>_xlfn.SUMIFS('ИП + источники'!AP$27:AP$87,'ИП + источники'!$F$27:$F$87,$F262,'ИП + источники'!$AC$27:$AC$87,"погашение займов и кредитов из нормативной прибыли")</f>
        <v>0</v>
      </c>
      <c r="AP262" s="1219">
        <f>_xlfn.SUMIFS('ИП + источники'!AQ$27:AQ$87,'ИП + источники'!$F$27:$F$87,$F262,'ИП + источники'!$AC$27:$AC$87,"погашение займов и кредитов из нормативной прибыли")</f>
        <v>0</v>
      </c>
      <c r="AQ262" s="1219">
        <f>_xlfn.SUMIFS('ИП + источники'!AR$27:AR$87,'ИП + источники'!$F$27:$F$87,$F262,'ИП + источники'!$AC$27:$AC$87,"погашение займов и кредитов из нормативной прибыли")</f>
        <v>0</v>
      </c>
      <c r="AR262" s="1219">
        <f>_xlfn.SUMIFS('ИП + источники'!AS$27:AS$87,'ИП + источники'!$F$27:$F$87,$F262,'ИП + источники'!$AC$27:$AC$87,"погашение займов и кредитов из нормативной прибыли")</f>
        <v>0</v>
      </c>
      <c r="AS262" s="1219">
        <f>_xlfn.SUMIFS('ИП + источники'!AT$27:AT$87,'ИП + источники'!$F$27:$F$87,$F262,'ИП + источники'!$AC$27:$AC$87,"погашение займов и кредитов из нормативной прибыли")</f>
        <v>0</v>
      </c>
      <c r="AT262" s="3564">
        <f>_xlfn.SUMIFS('ИП + источники'!AU$27:AU$87,'ИП + источники'!$F$27:$F$87,$F262,'ИП + источники'!$AC$27:$AC$87,"погашение займов и кредитов из нормативной прибыли")</f>
        <v>0</v>
      </c>
      <c r="AU262" s="1219">
        <f>_xlfn.SUMIFS('ИП + источники'!AV$27:AV$87,'ИП + источники'!$F$27:$F$87,$F262,'ИП + источники'!$AC$27:$AC$87,"погашение займов и кредитов из нормативной прибыли")</f>
        <v>0</v>
      </c>
      <c r="AV262" s="1219">
        <f>_xlfn.SUMIFS('ИП + источники'!AW$27:AW$87,'ИП + источники'!$F$27:$F$87,$F262,'ИП + источники'!$AC$27:$AC$87,"погашение займов и кредитов из нормативной прибыли")</f>
        <v>0</v>
      </c>
      <c r="AW262" s="1219">
        <f>_xlfn.SUMIFS('ИП + источники'!AX$27:AX$87,'ИП + источники'!$F$27:$F$87,$F262,'ИП + источники'!$AC$27:$AC$87,"погашение займов и кредитов из нормативной прибыли")</f>
        <v>0</v>
      </c>
      <c r="AX262" s="1219">
        <f>_xlfn.SUMIFS('ИП + источники'!AY$27:AY$87,'ИП + источники'!$F$27:$F$87,$F262,'ИП + источники'!$AC$27:$AC$87,"погашение займов и кредитов из нормативной прибыли")</f>
        <v>0</v>
      </c>
      <c r="AY262" s="1219">
        <f>_xlfn.SUMIFS('ИП + источники'!AZ$27:AZ$87,'ИП + источники'!$F$27:$F$87,$F262,'ИП + источники'!$AC$27:$AC$87,"погашение займов и кредитов из нормативной прибыли")</f>
        <v>0</v>
      </c>
      <c r="AZ262" s="1219">
        <f>_xlfn.SUMIFS('ИП + источники'!BA$27:BA$87,'ИП + источники'!$F$27:$F$87,$F262,'ИП + источники'!$AC$27:$AC$87,"погашение займов и кредитов из нормативной прибыли")</f>
        <v>0</v>
      </c>
      <c r="BA262" s="1219">
        <f>_xlfn.SUMIFS('ИП + источники'!BB$27:BB$87,'ИП + источники'!$F$27:$F$87,$F262,'ИП + источники'!$AC$27:$AC$87,"погашение займов и кредитов из нормативной прибыли")</f>
        <v>0</v>
      </c>
      <c r="BB262" s="1219">
        <f>_xlfn.SUMIFS('ИП + источники'!BC$27:BC$87,'ИП + источники'!$F$27:$F$87,$F262,'ИП + источники'!$AC$27:$AC$87,"погашение займов и кредитов из нормативной прибыли")</f>
        <v>0</v>
      </c>
      <c r="BC262" s="1219">
        <f>_xlfn.SUMIFS('ИП + источники'!BD$27:BD$87,'ИП + источники'!$F$27:$F$87,$F262,'ИП + источники'!$AC$27:$AC$87,"погашение займов и кредитов из нормативной прибыли")</f>
        <v>0</v>
      </c>
      <c r="BD262" s="1092">
        <f>IF(AI262=0,0,(AT262-AI262)/AI262*100)</f>
        <v>0</v>
      </c>
      <c r="BE262" s="1092">
        <f>IF(AT262=0,0,(AU262-AT262)/AT262*100)</f>
        <v>0</v>
      </c>
      <c r="BF262" s="1092">
        <f>IF(AU262=0,0,(AV262-AU262)/AU262*100)</f>
        <v>0</v>
      </c>
      <c r="BG262" s="1092">
        <f>IF(AV262=0,0,(AW262-AV262)/AV262*100)</f>
        <v>0</v>
      </c>
      <c r="BH262" s="1092">
        <f>IF(AW262=0,0,(AX262-AW262)/AW262*100)</f>
        <v>0</v>
      </c>
      <c r="BI262" s="1092">
        <f>IF(AX262=0,0,(AY262-AX262)/AX262*100)</f>
        <v>0</v>
      </c>
      <c r="BJ262" s="1092">
        <f>IF(AY262=0,0,(AZ262-AY262)/AY262*100)</f>
        <v>0</v>
      </c>
      <c r="BK262" s="1092">
        <f>IF(AZ262=0,0,(BA262-AZ262)/AZ262*100)</f>
        <v>0</v>
      </c>
      <c r="BL262" s="1092">
        <f>IF(BA262=0,0,(BB262-BA262)/BA262*100)</f>
        <v>0</v>
      </c>
      <c r="BM262" s="1092">
        <f>IF(BB262=0,0,(BC262-BB262)/BB262*100)</f>
        <v>0</v>
      </c>
      <c r="BN262" s="1216"/>
      <c r="BO262" s="1220" t="str">
        <f>IF(_xlfn.IFERROR(INDEX('ИП + источники'!$K$28:$L$87,MATCH($F262&amp;"2komm",'ИП + источники'!$K$28:$K$87,0),2),"")=0,"",_xlfn.IFERROR(INDEX('ИП + источники'!$K$28:$L$87,MATCH($F262&amp;"2komm",'ИП + источники'!$K$28:$K$87,0),2),""))</f>
        <v/>
      </c>
      <c r="BP262" s="1216"/>
      <c r="BQ262" s="1256"/>
      <c r="BR262" s="1256"/>
      <c r="BS262" s="1041" t="s">
        <v>1977</v>
      </c>
      <c r="BT262" s="1041"/>
      <c r="BU262" s="1041"/>
      <c r="BV262" s="956"/>
      <c r="BW262" s="956"/>
    </row>
    <row s="1624" customFormat="1" customHeight="1" ht="14.25" hidden="1">
      <c r="A263" s="1256"/>
      <c r="B263" s="404" cm="1" t="str">
        <f t="array" ref="B263:B263">B262</f>
        <v>false</v>
      </c>
      <c r="C263" s="73"/>
      <c r="D263" s="73"/>
      <c r="E263" s="596">
        <v>15</v>
      </c>
      <c r="F263" s="50" cm="1" t="str">
        <f t="array" ref="F263:F263">OFFSET(E263,-1,1)</f>
        <v>1</v>
      </c>
      <c r="G263" s="73"/>
      <c r="H263" s="73"/>
      <c r="I263" s="73" t="s">
        <v>526</v>
      </c>
      <c r="J263" s="73"/>
      <c r="K263" s="1256"/>
      <c r="L263" s="957"/>
      <c r="M263" s="73"/>
      <c r="N263" s="73"/>
      <c r="O263" s="73"/>
      <c r="P263" s="73"/>
      <c r="Q263" s="73"/>
      <c r="R263" s="73"/>
      <c r="S263" s="73"/>
      <c r="T263" s="438" cm="1" t="str">
        <f t="array" ref="T263:T263">T262</f>
        <v>true</v>
      </c>
      <c r="U263" s="73"/>
      <c r="V263" s="73"/>
      <c r="W263" s="73"/>
      <c r="X263" s="1541"/>
      <c r="Y263" s="1256"/>
      <c r="Z263" s="1494"/>
      <c r="AA263" s="1256"/>
      <c r="AB263" s="266" t="s">
        <v>656</v>
      </c>
      <c r="AC263" s="738" t="s">
        <v>1978</v>
      </c>
      <c r="AD263" s="266" t="s">
        <v>789</v>
      </c>
      <c r="AE263" s="1219">
        <f>_xlfn.SUMIFS('ИП + источники'!AF$27:AF$87,'ИП + источники'!$F$27:$F$87,$F263,'ИП + источники'!$AC$27:$AC$87,"уплата процентов по кредитам из нормативной прибыли")</f>
        <v>0</v>
      </c>
      <c r="AF263" s="1219">
        <f>_xlfn.SUMIFS('ИП + источники'!AG$27:AG$87,'ИП + источники'!$F$27:$F$87,$F263,'ИП + источники'!$AC$27:$AC$87,"уплата процентов по кредитам из нормативной прибыли")</f>
        <v>0</v>
      </c>
      <c r="AG263" s="1219">
        <f>_xlfn.SUMIFS('ИП + источники'!AH$27:AH$87,'ИП + источники'!$F$27:$F$87,$F263,'ИП + источники'!$AC$27:$AC$87,"уплата процентов по кредитам из нормативной прибыли")</f>
        <v>0</v>
      </c>
      <c r="AH263" s="1092">
        <f>AG263-AF263</f>
        <v>0</v>
      </c>
      <c r="AI263" s="1219">
        <f>_xlfn.SUMIFS('ИП + источники'!AJ$27:AJ$87,'ИП + источники'!$F$27:$F$87,$F263,'ИП + источники'!$AC$27:$AC$87,"уплата процентов по кредитам из нормативной прибыли")</f>
        <v>0</v>
      </c>
      <c r="AJ263" s="3564">
        <f>_xlfn.SUMIFS('ИП + источники'!AK$27:AK$87,'ИП + источники'!$F$27:$F$87,$F263,'ИП + источники'!$AC$27:$AC$87,"уплата процентов по кредитам из нормативной прибыли")</f>
        <v>0</v>
      </c>
      <c r="AK263" s="1219">
        <f>_xlfn.SUMIFS('ИП + источники'!AL$27:AL$87,'ИП + источники'!$F$27:$F$87,$F263,'ИП + источники'!$AC$27:$AC$87,"уплата процентов по кредитам из нормативной прибыли")</f>
        <v>0</v>
      </c>
      <c r="AL263" s="1219">
        <f>_xlfn.SUMIFS('ИП + источники'!AM$27:AM$87,'ИП + источники'!$F$27:$F$87,$F263,'ИП + источники'!$AC$27:$AC$87,"уплата процентов по кредитам из нормативной прибыли")</f>
        <v>0</v>
      </c>
      <c r="AM263" s="1219">
        <f>_xlfn.SUMIFS('ИП + источники'!AN$27:AN$87,'ИП + источники'!$F$27:$F$87,$F263,'ИП + источники'!$AC$27:$AC$87,"уплата процентов по кредитам из нормативной прибыли")</f>
        <v>0</v>
      </c>
      <c r="AN263" s="1219">
        <f>_xlfn.SUMIFS('ИП + источники'!AO$27:AO$87,'ИП + источники'!$F$27:$F$87,$F263,'ИП + источники'!$AC$27:$AC$87,"уплата процентов по кредитам из нормативной прибыли")</f>
        <v>0</v>
      </c>
      <c r="AO263" s="1219">
        <f>_xlfn.SUMIFS('ИП + источники'!AP$27:AP$87,'ИП + источники'!$F$27:$F$87,$F263,'ИП + источники'!$AC$27:$AC$87,"уплата процентов по кредитам из нормативной прибыли")</f>
        <v>0</v>
      </c>
      <c r="AP263" s="1219">
        <f>_xlfn.SUMIFS('ИП + источники'!AQ$27:AQ$87,'ИП + источники'!$F$27:$F$87,$F263,'ИП + источники'!$AC$27:$AC$87,"уплата процентов по кредитам из нормативной прибыли")</f>
        <v>0</v>
      </c>
      <c r="AQ263" s="1219">
        <f>_xlfn.SUMIFS('ИП + источники'!AR$27:AR$87,'ИП + источники'!$F$27:$F$87,$F263,'ИП + источники'!$AC$27:$AC$87,"уплата процентов по кредитам из нормативной прибыли")</f>
        <v>0</v>
      </c>
      <c r="AR263" s="1219">
        <f>_xlfn.SUMIFS('ИП + источники'!AS$27:AS$87,'ИП + источники'!$F$27:$F$87,$F263,'ИП + источники'!$AC$27:$AC$87,"уплата процентов по кредитам из нормативной прибыли")</f>
        <v>0</v>
      </c>
      <c r="AS263" s="1219">
        <f>_xlfn.SUMIFS('ИП + источники'!AT$27:AT$87,'ИП + источники'!$F$27:$F$87,$F263,'ИП + источники'!$AC$27:$AC$87,"уплата процентов по кредитам из нормативной прибыли")</f>
        <v>0</v>
      </c>
      <c r="AT263" s="3564">
        <f>_xlfn.SUMIFS('ИП + источники'!AU$27:AU$87,'ИП + источники'!$F$27:$F$87,$F263,'ИП + источники'!$AC$27:$AC$87,"уплата процентов по кредитам из нормативной прибыли")</f>
        <v>0</v>
      </c>
      <c r="AU263" s="1219">
        <f>_xlfn.SUMIFS('ИП + источники'!AV$27:AV$87,'ИП + источники'!$F$27:$F$87,$F263,'ИП + источники'!$AC$27:$AC$87,"уплата процентов по кредитам из нормативной прибыли")</f>
        <v>0</v>
      </c>
      <c r="AV263" s="1219">
        <f>_xlfn.SUMIFS('ИП + источники'!AW$27:AW$87,'ИП + источники'!$F$27:$F$87,$F263,'ИП + источники'!$AC$27:$AC$87,"уплата процентов по кредитам из нормативной прибыли")</f>
        <v>0</v>
      </c>
      <c r="AW263" s="1219">
        <f>_xlfn.SUMIFS('ИП + источники'!AX$27:AX$87,'ИП + источники'!$F$27:$F$87,$F263,'ИП + источники'!$AC$27:$AC$87,"уплата процентов по кредитам из нормативной прибыли")</f>
        <v>0</v>
      </c>
      <c r="AX263" s="1219">
        <f>_xlfn.SUMIFS('ИП + источники'!AY$27:AY$87,'ИП + источники'!$F$27:$F$87,$F263,'ИП + источники'!$AC$27:$AC$87,"уплата процентов по кредитам из нормативной прибыли")</f>
        <v>0</v>
      </c>
      <c r="AY263" s="1219">
        <f>_xlfn.SUMIFS('ИП + источники'!AZ$27:AZ$87,'ИП + источники'!$F$27:$F$87,$F263,'ИП + источники'!$AC$27:$AC$87,"уплата процентов по кредитам из нормативной прибыли")</f>
        <v>0</v>
      </c>
      <c r="AZ263" s="1219">
        <f>_xlfn.SUMIFS('ИП + источники'!BA$27:BA$87,'ИП + источники'!$F$27:$F$87,$F263,'ИП + источники'!$AC$27:$AC$87,"уплата процентов по кредитам из нормативной прибыли")</f>
        <v>0</v>
      </c>
      <c r="BA263" s="1219">
        <f>_xlfn.SUMIFS('ИП + источники'!BB$27:BB$87,'ИП + источники'!$F$27:$F$87,$F263,'ИП + источники'!$AC$27:$AC$87,"уплата процентов по кредитам из нормативной прибыли")</f>
        <v>0</v>
      </c>
      <c r="BB263" s="1219">
        <f>_xlfn.SUMIFS('ИП + источники'!BC$27:BC$87,'ИП + источники'!$F$27:$F$87,$F263,'ИП + источники'!$AC$27:$AC$87,"уплата процентов по кредитам из нормативной прибыли")</f>
        <v>0</v>
      </c>
      <c r="BC263" s="1219">
        <f>_xlfn.SUMIFS('ИП + источники'!BD$27:BD$87,'ИП + источники'!$F$27:$F$87,$F263,'ИП + источники'!$AC$27:$AC$87,"уплата процентов по кредитам из нормативной прибыли")</f>
        <v>0</v>
      </c>
      <c r="BD263" s="1092">
        <f>IF(AI263=0,0,(AT263-AI263)/AI263*100)</f>
        <v>0</v>
      </c>
      <c r="BE263" s="1092">
        <f>IF(AT263=0,0,(AU263-AT263)/AT263*100)</f>
        <v>0</v>
      </c>
      <c r="BF263" s="1092">
        <f>IF(AU263=0,0,(AV263-AU263)/AU263*100)</f>
        <v>0</v>
      </c>
      <c r="BG263" s="1092">
        <f>IF(AV263=0,0,(AW263-AV263)/AV263*100)</f>
        <v>0</v>
      </c>
      <c r="BH263" s="1092">
        <f>IF(AW263=0,0,(AX263-AW263)/AW263*100)</f>
        <v>0</v>
      </c>
      <c r="BI263" s="1092">
        <f>IF(AX263=0,0,(AY263-AX263)/AX263*100)</f>
        <v>0</v>
      </c>
      <c r="BJ263" s="1092">
        <f>IF(AY263=0,0,(AZ263-AY263)/AY263*100)</f>
        <v>0</v>
      </c>
      <c r="BK263" s="1092">
        <f>IF(AZ263=0,0,(BA263-AZ263)/AZ263*100)</f>
        <v>0</v>
      </c>
      <c r="BL263" s="1092">
        <f>IF(BA263=0,0,(BB263-BA263)/BA263*100)</f>
        <v>0</v>
      </c>
      <c r="BM263" s="1092">
        <f>IF(BB263=0,0,(BC263-BB263)/BB263*100)</f>
        <v>0</v>
      </c>
      <c r="BN263" s="1216"/>
      <c r="BO263" s="1220" t="str">
        <f>IF(_xlfn.IFERROR(INDEX('ИП + источники'!$K$28:$L$87,MATCH($F263&amp;"3komm",'ИП + источники'!$K$28:$K$87,0),2),"")=0,"",_xlfn.IFERROR(INDEX('ИП + источники'!$K$28:$L$87,MATCH($F263&amp;"3komm",'ИП + источники'!$K$28:$K$87,0),2),""))</f>
        <v/>
      </c>
      <c r="BP263" s="1216"/>
      <c r="BQ263" s="1256"/>
      <c r="BR263" s="1256"/>
      <c r="BS263" s="1041" t="s">
        <v>1979</v>
      </c>
      <c r="BT263" s="1041"/>
      <c r="BU263" s="1041"/>
      <c r="BV263" s="956"/>
      <c r="BW263" s="956"/>
    </row>
    <row s="1624" customFormat="1" customHeight="1" ht="14.25" hidden="1">
      <c r="A264" s="1256"/>
      <c r="B264" s="404" cm="1" t="str">
        <f t="array" ref="B264:B264">B263</f>
        <v>false</v>
      </c>
      <c r="C264" s="73"/>
      <c r="D264" s="73"/>
      <c r="E264" s="596">
        <v>15</v>
      </c>
      <c r="F264" s="50" cm="1" t="str">
        <f t="array" ref="F264:F264">OFFSET(E264,-1,1)</f>
        <v>1</v>
      </c>
      <c r="G264" s="73"/>
      <c r="H264" s="73"/>
      <c r="I264" s="73" t="s">
        <v>743</v>
      </c>
      <c r="J264" s="73"/>
      <c r="K264" s="1256"/>
      <c r="L264" s="957" t="s">
        <v>542</v>
      </c>
      <c r="M264" s="73"/>
      <c r="N264" s="73"/>
      <c r="O264" s="73"/>
      <c r="P264" s="73"/>
      <c r="Q264" s="73"/>
      <c r="R264" s="73"/>
      <c r="S264" s="73"/>
      <c r="T264" s="438" cm="1" t="str">
        <f t="array" ref="T264:T264">T263</f>
        <v>true</v>
      </c>
      <c r="U264" s="73"/>
      <c r="V264" s="73"/>
      <c r="W264" s="73"/>
      <c r="X264" s="1541"/>
      <c r="Y264" s="1256"/>
      <c r="Z264" s="1494"/>
      <c r="AA264" s="1256"/>
      <c r="AB264" s="266" t="s">
        <v>899</v>
      </c>
      <c r="AC264" s="738" t="s">
        <v>1980</v>
      </c>
      <c r="AD264" s="266" t="s">
        <v>789</v>
      </c>
      <c r="AE264" s="1219">
        <f>_xlfn.SUMIFS('ИП + источники'!AF$27:AF$87,'ИП + источники'!$F$27:$F$87,$F264,'ИП + источники'!$AC$27:$AC$87,"Прибыль на капвложения")</f>
        <v>0</v>
      </c>
      <c r="AF264" s="1219">
        <f>_xlfn.SUMIFS('ИП + источники'!AG$27:AG$87,'ИП + источники'!$F$27:$F$87,$F264,'ИП + источники'!$AC$27:$AC$87,"Прибыль на капвложения")</f>
        <v>0</v>
      </c>
      <c r="AG264" s="1219">
        <f>_xlfn.SUMIFS('ИП + источники'!AH$27:AH$87,'ИП + источники'!$F$27:$F$87,$F264,'ИП + источники'!$AC$27:$AC$87,"Прибыль на капвложения")</f>
        <v>0</v>
      </c>
      <c r="AH264" s="1092">
        <f>AG264-AF264</f>
        <v>0</v>
      </c>
      <c r="AI264" s="1219">
        <f>_xlfn.SUMIFS('ИП + источники'!AJ$27:AJ$87,'ИП + источники'!$F$27:$F$87,$F264,'ИП + источники'!$AC$27:$AC$87,"Прибыль на капвложения")</f>
        <v>0</v>
      </c>
      <c r="AJ264" s="3564">
        <f>_xlfn.SUMIFS('ИП + источники'!AK$27:AK$87,'ИП + источники'!$F$27:$F$87,$F264,'ИП + источники'!$AC$27:$AC$87,"Прибыль на капвложения")</f>
        <v>0</v>
      </c>
      <c r="AK264" s="1219">
        <f>_xlfn.SUMIFS('ИП + источники'!AL$27:AL$87,'ИП + источники'!$F$27:$F$87,$F264,'ИП + источники'!$AC$27:$AC$87,"Прибыль на капвложения")</f>
        <v>0</v>
      </c>
      <c r="AL264" s="1219">
        <f>_xlfn.SUMIFS('ИП + источники'!AM$27:AM$87,'ИП + источники'!$F$27:$F$87,$F264,'ИП + источники'!$AC$27:$AC$87,"Прибыль на капвложения")</f>
        <v>0</v>
      </c>
      <c r="AM264" s="1219">
        <f>_xlfn.SUMIFS('ИП + источники'!AN$27:AN$87,'ИП + источники'!$F$27:$F$87,$F264,'ИП + источники'!$AC$27:$AC$87,"Прибыль на капвложения")</f>
        <v>0</v>
      </c>
      <c r="AN264" s="1219">
        <f>_xlfn.SUMIFS('ИП + источники'!AO$27:AO$87,'ИП + источники'!$F$27:$F$87,$F264,'ИП + источники'!$AC$27:$AC$87,"Прибыль на капвложения")</f>
        <v>0</v>
      </c>
      <c r="AO264" s="1219">
        <f>_xlfn.SUMIFS('ИП + источники'!AP$27:AP$87,'ИП + источники'!$F$27:$F$87,$F264,'ИП + источники'!$AC$27:$AC$87,"Прибыль на капвложения")</f>
        <v>0</v>
      </c>
      <c r="AP264" s="1219">
        <f>_xlfn.SUMIFS('ИП + источники'!AQ$27:AQ$87,'ИП + источники'!$F$27:$F$87,$F264,'ИП + источники'!$AC$27:$AC$87,"Прибыль на капвложения")</f>
        <v>0</v>
      </c>
      <c r="AQ264" s="1219">
        <f>_xlfn.SUMIFS('ИП + источники'!AR$27:AR$87,'ИП + источники'!$F$27:$F$87,$F264,'ИП + источники'!$AC$27:$AC$87,"Прибыль на капвложения")</f>
        <v>0</v>
      </c>
      <c r="AR264" s="1219">
        <f>_xlfn.SUMIFS('ИП + источники'!AS$27:AS$87,'ИП + источники'!$F$27:$F$87,$F264,'ИП + источники'!$AC$27:$AC$87,"Прибыль на капвложения")</f>
        <v>0</v>
      </c>
      <c r="AS264" s="1219">
        <f>_xlfn.SUMIFS('ИП + источники'!AT$27:AT$87,'ИП + источники'!$F$27:$F$87,$F264,'ИП + источники'!$AC$27:$AC$87,"Прибыль на капвложения")</f>
        <v>0</v>
      </c>
      <c r="AT264" s="3564">
        <f>_xlfn.SUMIFS('ИП + источники'!AU$27:AU$87,'ИП + источники'!$F$27:$F$87,$F264,'ИП + источники'!$AC$27:$AC$87,"Прибыль на капвложения")</f>
        <v>0</v>
      </c>
      <c r="AU264" s="1219">
        <f>_xlfn.SUMIFS('ИП + источники'!AV$27:AV$87,'ИП + источники'!$F$27:$F$87,$F264,'ИП + источники'!$AC$27:$AC$87,"Прибыль на капвложения")</f>
        <v>0</v>
      </c>
      <c r="AV264" s="1219">
        <f>_xlfn.SUMIFS('ИП + источники'!AW$27:AW$87,'ИП + источники'!$F$27:$F$87,$F264,'ИП + источники'!$AC$27:$AC$87,"Прибыль на капвложения")</f>
        <v>0</v>
      </c>
      <c r="AW264" s="1219">
        <f>_xlfn.SUMIFS('ИП + источники'!AX$27:AX$87,'ИП + источники'!$F$27:$F$87,$F264,'ИП + источники'!$AC$27:$AC$87,"Прибыль на капвложения")</f>
        <v>0</v>
      </c>
      <c r="AX264" s="1219">
        <f>_xlfn.SUMIFS('ИП + источники'!AY$27:AY$87,'ИП + источники'!$F$27:$F$87,$F264,'ИП + источники'!$AC$27:$AC$87,"Прибыль на капвложения")</f>
        <v>0</v>
      </c>
      <c r="AY264" s="1219">
        <f>_xlfn.SUMIFS('ИП + источники'!AZ$27:AZ$87,'ИП + источники'!$F$27:$F$87,$F264,'ИП + источники'!$AC$27:$AC$87,"Прибыль на капвложения")</f>
        <v>0</v>
      </c>
      <c r="AZ264" s="1219">
        <f>_xlfn.SUMIFS('ИП + источники'!BA$27:BA$87,'ИП + источники'!$F$27:$F$87,$F264,'ИП + источники'!$AC$27:$AC$87,"Прибыль на капвложения")</f>
        <v>0</v>
      </c>
      <c r="BA264" s="1219">
        <f>_xlfn.SUMIFS('ИП + источники'!BB$27:BB$87,'ИП + источники'!$F$27:$F$87,$F264,'ИП + источники'!$AC$27:$AC$87,"Прибыль на капвложения")</f>
        <v>0</v>
      </c>
      <c r="BB264" s="1219">
        <f>_xlfn.SUMIFS('ИП + источники'!BC$27:BC$87,'ИП + источники'!$F$27:$F$87,$F264,'ИП + источники'!$AC$27:$AC$87,"Прибыль на капвложения")</f>
        <v>0</v>
      </c>
      <c r="BC264" s="1219">
        <f>_xlfn.SUMIFS('ИП + источники'!BD$27:BD$87,'ИП + источники'!$F$27:$F$87,$F264,'ИП + источники'!$AC$27:$AC$87,"Прибыль на капвложения")</f>
        <v>0</v>
      </c>
      <c r="BD264" s="1092">
        <f>IF(AI264=0,0,(AT264-AI264)/AI264*100)</f>
        <v>0</v>
      </c>
      <c r="BE264" s="1092">
        <f>IF(AT264=0,0,(AU264-AT264)/AT264*100)</f>
        <v>0</v>
      </c>
      <c r="BF264" s="1092">
        <f>IF(AU264=0,0,(AV264-AU264)/AU264*100)</f>
        <v>0</v>
      </c>
      <c r="BG264" s="1092">
        <f>IF(AV264=0,0,(AW264-AV264)/AV264*100)</f>
        <v>0</v>
      </c>
      <c r="BH264" s="1092">
        <f>IF(AW264=0,0,(AX264-AW264)/AW264*100)</f>
        <v>0</v>
      </c>
      <c r="BI264" s="1092">
        <f>IF(AX264=0,0,(AY264-AX264)/AX264*100)</f>
        <v>0</v>
      </c>
      <c r="BJ264" s="1092">
        <f>IF(AY264=0,0,(AZ264-AY264)/AY264*100)</f>
        <v>0</v>
      </c>
      <c r="BK264" s="1092">
        <f>IF(AZ264=0,0,(BA264-AZ264)/AZ264*100)</f>
        <v>0</v>
      </c>
      <c r="BL264" s="1092">
        <f>IF(BA264=0,0,(BB264-BA264)/BA264*100)</f>
        <v>0</v>
      </c>
      <c r="BM264" s="1092">
        <f>IF(BB264=0,0,(BC264-BB264)/BB264*100)</f>
        <v>0</v>
      </c>
      <c r="BN264" s="1216"/>
      <c r="BO264" s="1220" t="str">
        <f>IF(_xlfn.IFERROR(INDEX('ИП + источники'!$K$28:$L$87,MATCH($F264&amp;"1komm",'ИП + источники'!$K$28:$K$87,0),2),"")=0,"",_xlfn.IFERROR(INDEX('ИП + источники'!$K$28:$L$87,MATCH($F264&amp;"1komm",'ИП + источники'!$K$28:$K$87,0),2),""))</f>
        <v/>
      </c>
      <c r="BP264" s="1216"/>
      <c r="BQ264" s="1256"/>
      <c r="BR264" s="1256"/>
      <c r="BS264" s="1041" t="s">
        <v>1681</v>
      </c>
      <c r="BT264" s="1041"/>
      <c r="BU264" s="1041"/>
      <c r="BV264" s="956"/>
      <c r="BW264" s="956"/>
    </row>
    <row s="1624" customFormat="1" customHeight="1" ht="21.75" hidden="1">
      <c r="A265" s="1256"/>
      <c r="B265" s="404" cm="1" t="str">
        <f t="array" ref="B265:B265">B264</f>
        <v>false</v>
      </c>
      <c r="C265" s="73"/>
      <c r="D265" s="73"/>
      <c r="E265" s="596">
        <v>22.5</v>
      </c>
      <c r="F265" s="50" cm="1" t="str">
        <f t="array" ref="F265:F265">OFFSET(E265,-1,1)</f>
        <v>1</v>
      </c>
      <c r="G265" s="73" t="s">
        <v>1981</v>
      </c>
      <c r="H265" s="73"/>
      <c r="I265" s="73" t="s">
        <v>901</v>
      </c>
      <c r="J265" s="73"/>
      <c r="K265" s="1256"/>
      <c r="L265" s="957" t="s">
        <v>546</v>
      </c>
      <c r="M265" s="73"/>
      <c r="N265" s="73"/>
      <c r="O265" s="73"/>
      <c r="P265" s="73"/>
      <c r="Q265" s="73"/>
      <c r="R265" s="73"/>
      <c r="S265" s="73"/>
      <c r="T265" s="438" cm="1" t="str">
        <f t="array" ref="T265:T265">T264</f>
        <v>true</v>
      </c>
      <c r="U265" s="73"/>
      <c r="V265" s="73"/>
      <c r="W265" s="73"/>
      <c r="X265" s="1541"/>
      <c r="Y265" s="1256"/>
      <c r="Z265" s="1494"/>
      <c r="AA265" s="1256"/>
      <c r="AB265" s="266" t="s">
        <v>902</v>
      </c>
      <c r="AC265" s="738" t="s">
        <v>1982</v>
      </c>
      <c r="AD265" s="266" t="s">
        <v>789</v>
      </c>
      <c r="AE265" s="1219"/>
      <c r="AF265" s="1219"/>
      <c r="AG265" s="1219"/>
      <c r="AH265" s="1092">
        <f>AG265-AF265</f>
        <v>0</v>
      </c>
      <c r="AI265" s="1219"/>
      <c r="AJ265" s="3564"/>
      <c r="AK265" s="1219"/>
      <c r="AL265" s="1219"/>
      <c r="AM265" s="1219"/>
      <c r="AN265" s="1219"/>
      <c r="AO265" s="1219"/>
      <c r="AP265" s="1219"/>
      <c r="AQ265" s="1219"/>
      <c r="AR265" s="1219"/>
      <c r="AS265" s="1219"/>
      <c r="AT265" s="3564"/>
      <c r="AU265" s="1219"/>
      <c r="AV265" s="1219"/>
      <c r="AW265" s="1219"/>
      <c r="AX265" s="1219"/>
      <c r="AY265" s="1219"/>
      <c r="AZ265" s="1219"/>
      <c r="BA265" s="1219"/>
      <c r="BB265" s="1219"/>
      <c r="BC265" s="1219"/>
      <c r="BD265" s="1092">
        <f>IF(AI265=0,0,(AT265-AI265)/AI265*100)</f>
        <v>0</v>
      </c>
      <c r="BE265" s="1092">
        <f>IF(AT265=0,0,(AU265-AT265)/AT265*100)</f>
        <v>0</v>
      </c>
      <c r="BF265" s="1092">
        <f>IF(AU265=0,0,(AV265-AU265)/AU265*100)</f>
        <v>0</v>
      </c>
      <c r="BG265" s="1092">
        <f>IF(AV265=0,0,(AW265-AV265)/AV265*100)</f>
        <v>0</v>
      </c>
      <c r="BH265" s="1092">
        <f>IF(AW265=0,0,(AX265-AW265)/AW265*100)</f>
        <v>0</v>
      </c>
      <c r="BI265" s="1092">
        <f>IF(AX265=0,0,(AY265-AX265)/AX265*100)</f>
        <v>0</v>
      </c>
      <c r="BJ265" s="1092">
        <f>IF(AY265=0,0,(AZ265-AY265)/AY265*100)</f>
        <v>0</v>
      </c>
      <c r="BK265" s="1092">
        <f>IF(AZ265=0,0,(BA265-AZ265)/AZ265*100)</f>
        <v>0</v>
      </c>
      <c r="BL265" s="1092">
        <f>IF(BA265=0,0,(BB265-BA265)/BA265*100)</f>
        <v>0</v>
      </c>
      <c r="BM265" s="1092">
        <f>IF(BB265=0,0,(BC265-BB265)/BB265*100)</f>
        <v>0</v>
      </c>
      <c r="BN265" s="1216"/>
      <c r="BO265" s="1216"/>
      <c r="BP265" s="1216"/>
      <c r="BQ265" s="1256"/>
      <c r="BR265" s="1256"/>
      <c r="BS265" s="1041" t="s">
        <v>1983</v>
      </c>
      <c r="BT265" s="1041"/>
      <c r="BU265" s="1041"/>
      <c r="BV265" s="956"/>
      <c r="BW265" s="956"/>
    </row>
    <row s="1624" customFormat="1" customHeight="1" ht="14.25" hidden="1">
      <c r="A266" s="1256"/>
      <c r="B266" s="404">
        <f>AND(method_reg="Метод индексации",STATUS_GO="да")</f>
        <v>0</v>
      </c>
      <c r="C266" s="73"/>
      <c r="D266" s="73"/>
      <c r="E266" s="596">
        <v>15</v>
      </c>
      <c r="F266" s="50" cm="1" t="str">
        <f t="array" ref="F266:F266">OFFSET(E266,-1,1)</f>
        <v>1</v>
      </c>
      <c r="G266" s="73" t="s">
        <v>1684</v>
      </c>
      <c r="H266" s="73"/>
      <c r="I266" s="73" t="s">
        <v>484</v>
      </c>
      <c r="J266" s="73"/>
      <c r="K266" s="1256"/>
      <c r="L266" s="957" t="s">
        <v>550</v>
      </c>
      <c r="M266" s="73"/>
      <c r="N266" s="73"/>
      <c r="O266" s="73"/>
      <c r="P266" s="73"/>
      <c r="Q266" s="73"/>
      <c r="R266" s="73"/>
      <c r="S266" s="73"/>
      <c r="T266" s="438" cm="1" t="str">
        <f t="array" ref="T266:T266">T265</f>
        <v>true</v>
      </c>
      <c r="U266" s="73"/>
      <c r="V266" s="73"/>
      <c r="W266" s="73"/>
      <c r="X266" s="1541"/>
      <c r="Y266" s="1256"/>
      <c r="Z266" s="1494"/>
      <c r="AA266" s="1256"/>
      <c r="AB266" s="266" t="s">
        <v>489</v>
      </c>
      <c r="AC266" s="424" t="s">
        <v>1684</v>
      </c>
      <c r="AD266" s="266" t="s">
        <v>789</v>
      </c>
      <c r="AE266" s="1219"/>
      <c r="AF266" s="1219"/>
      <c r="AG266" s="1219"/>
      <c r="AH266" s="1092">
        <f>AG266-AF266</f>
        <v>0</v>
      </c>
      <c r="AI266" s="1219"/>
      <c r="AJ266" s="3564"/>
      <c r="AK266" s="1219"/>
      <c r="AL266" s="1219"/>
      <c r="AM266" s="1219"/>
      <c r="AN266" s="1219"/>
      <c r="AO266" s="1219"/>
      <c r="AP266" s="1219"/>
      <c r="AQ266" s="1219"/>
      <c r="AR266" s="1219"/>
      <c r="AS266" s="1219"/>
      <c r="AT266" s="3564"/>
      <c r="AU266" s="1219"/>
      <c r="AV266" s="1219"/>
      <c r="AW266" s="1219"/>
      <c r="AX266" s="1219"/>
      <c r="AY266" s="1219"/>
      <c r="AZ266" s="1219"/>
      <c r="BA266" s="1219"/>
      <c r="BB266" s="1219"/>
      <c r="BC266" s="1219"/>
      <c r="BD266" s="1092">
        <f>IF(AI266=0,0,(AT266-AI266)/AI266*100)</f>
        <v>0</v>
      </c>
      <c r="BE266" s="1092">
        <f>IF(AT266=0,0,(AU266-AT266)/AT266*100)</f>
        <v>0</v>
      </c>
      <c r="BF266" s="1092">
        <f>IF(AU266=0,0,(AV266-AU266)/AU266*100)</f>
        <v>0</v>
      </c>
      <c r="BG266" s="1092">
        <f>IF(AV266=0,0,(AW266-AV266)/AV266*100)</f>
        <v>0</v>
      </c>
      <c r="BH266" s="1092">
        <f>IF(AW266=0,0,(AX266-AW266)/AW266*100)</f>
        <v>0</v>
      </c>
      <c r="BI266" s="1092">
        <f>IF(AX266=0,0,(AY266-AX266)/AX266*100)</f>
        <v>0</v>
      </c>
      <c r="BJ266" s="1092">
        <f>IF(AY266=0,0,(AZ266-AY266)/AY266*100)</f>
        <v>0</v>
      </c>
      <c r="BK266" s="1092">
        <f>IF(AZ266=0,0,(BA266-AZ266)/AZ266*100)</f>
        <v>0</v>
      </c>
      <c r="BL266" s="1092">
        <f>IF(BA266=0,0,(BB266-BA266)/BA266*100)</f>
        <v>0</v>
      </c>
      <c r="BM266" s="1092">
        <f>IF(BB266=0,0,(BC266-BB266)/BB266*100)</f>
        <v>0</v>
      </c>
      <c r="BN266" s="1216"/>
      <c r="BO266" s="1216"/>
      <c r="BP266" s="1216"/>
      <c r="BQ266" s="1256"/>
      <c r="BR266" s="1256"/>
      <c r="BS266" s="1041" t="s">
        <v>1685</v>
      </c>
      <c r="BT266" s="1041"/>
      <c r="BU266" s="1041"/>
      <c r="BV266" s="956"/>
      <c r="BW266" s="956"/>
    </row>
    <row s="1624" customFormat="1" customHeight="1" ht="14.25" hidden="1">
      <c r="A267" s="1256"/>
      <c r="B267" s="836">
        <f>method_reg="Метод обеспечения доходности инвестированного капитала"</f>
        <v>0</v>
      </c>
      <c r="C267" s="73"/>
      <c r="D267" s="73"/>
      <c r="E267" s="596">
        <v>15</v>
      </c>
      <c r="F267" s="50" cm="1" t="str">
        <f t="array" ref="F267:F267">OFFSET(E267,-1,1)</f>
        <v>1</v>
      </c>
      <c r="G267" s="73"/>
      <c r="H267" s="73"/>
      <c r="I267" s="73"/>
      <c r="J267" s="73"/>
      <c r="K267" s="73" t="s">
        <v>325</v>
      </c>
      <c r="L267" s="957"/>
      <c r="M267" s="73"/>
      <c r="N267" s="73"/>
      <c r="O267" s="73"/>
      <c r="P267" s="73"/>
      <c r="Q267" s="73"/>
      <c r="R267" s="73"/>
      <c r="S267" s="73"/>
      <c r="T267" s="836" cm="1" t="str">
        <f t="array" ref="T267:T267">T266</f>
        <v>true</v>
      </c>
      <c r="U267" s="73"/>
      <c r="V267" s="73"/>
      <c r="W267" s="73"/>
      <c r="X267" s="1541"/>
      <c r="Y267" s="1256"/>
      <c r="Z267" s="1494"/>
      <c r="AA267" s="1256"/>
      <c r="AB267" s="770" t="s">
        <v>530</v>
      </c>
      <c r="AC267" s="769" t="s">
        <v>1984</v>
      </c>
      <c r="AD267" s="770" t="s">
        <v>789</v>
      </c>
      <c r="AE267" s="1224"/>
      <c r="AF267" s="1224"/>
      <c r="AG267" s="1224"/>
      <c r="AH267" s="737">
        <f>AG267-AF267</f>
        <v>0</v>
      </c>
      <c r="AI267" s="1224"/>
      <c r="AJ267" s="3597"/>
      <c r="AK267" s="1224"/>
      <c r="AL267" s="1224"/>
      <c r="AM267" s="1224"/>
      <c r="AN267" s="1224"/>
      <c r="AO267" s="1224"/>
      <c r="AP267" s="1224"/>
      <c r="AQ267" s="1224"/>
      <c r="AR267" s="1224"/>
      <c r="AS267" s="1224"/>
      <c r="AT267" s="3597"/>
      <c r="AU267" s="1224"/>
      <c r="AV267" s="1224"/>
      <c r="AW267" s="1224"/>
      <c r="AX267" s="1224"/>
      <c r="AY267" s="1224"/>
      <c r="AZ267" s="1224"/>
      <c r="BA267" s="1224"/>
      <c r="BB267" s="1224"/>
      <c r="BC267" s="1224"/>
      <c r="BD267" s="737">
        <f>IF(AI267=0,0,(AT267-AI267)/AI267*100)</f>
        <v>0</v>
      </c>
      <c r="BE267" s="737">
        <f>IF(AT267=0,0,(AU267-AT267)/AT267*100)</f>
        <v>0</v>
      </c>
      <c r="BF267" s="737">
        <f>IF(AU267=0,0,(AV267-AU267)/AU267*100)</f>
        <v>0</v>
      </c>
      <c r="BG267" s="737">
        <f>IF(AV267=0,0,(AW267-AV267)/AV267*100)</f>
        <v>0</v>
      </c>
      <c r="BH267" s="737">
        <f>IF(AW267=0,0,(AX267-AW267)/AW267*100)</f>
        <v>0</v>
      </c>
      <c r="BI267" s="737">
        <f>IF(AX267=0,0,(AY267-AX267)/AX267*100)</f>
        <v>0</v>
      </c>
      <c r="BJ267" s="737">
        <f>IF(AY267=0,0,(AZ267-AY267)/AY267*100)</f>
        <v>0</v>
      </c>
      <c r="BK267" s="737">
        <f>IF(AZ267=0,0,(BA267-AZ267)/AZ267*100)</f>
        <v>0</v>
      </c>
      <c r="BL267" s="737">
        <f>IF(BA267=0,0,(BB267-BA267)/BA267*100)</f>
        <v>0</v>
      </c>
      <c r="BM267" s="737">
        <f>IF(BB267=0,0,(BC267-BB267)/BB267*100)</f>
        <v>0</v>
      </c>
      <c r="BN267" s="1225"/>
      <c r="BO267" s="1225"/>
      <c r="BP267" s="1225"/>
      <c r="BQ267" s="1256"/>
      <c r="BR267" s="1256"/>
      <c r="BS267" s="1041" t="s">
        <v>1985</v>
      </c>
      <c r="BT267" s="1041"/>
      <c r="BU267" s="1041"/>
      <c r="BV267" s="956"/>
      <c r="BW267" s="956"/>
    </row>
    <row s="1624" customFormat="1" customHeight="1" ht="14.25" hidden="1">
      <c r="A268" s="1256"/>
      <c r="B268" s="836" cm="1" t="str">
        <f t="array" ref="B268:B268">B267</f>
        <v>false</v>
      </c>
      <c r="C268" s="73"/>
      <c r="D268" s="73"/>
      <c r="E268" s="596">
        <v>15</v>
      </c>
      <c r="F268" s="50" cm="1" t="str">
        <f t="array" ref="F268:F268">OFFSET(E268,-1,1)</f>
        <v>1</v>
      </c>
      <c r="G268" s="73"/>
      <c r="H268" s="73"/>
      <c r="I268" s="73"/>
      <c r="J268" s="73"/>
      <c r="K268" s="73" t="s">
        <v>508</v>
      </c>
      <c r="L268" s="957"/>
      <c r="M268" s="73"/>
      <c r="N268" s="73"/>
      <c r="O268" s="73"/>
      <c r="P268" s="73"/>
      <c r="Q268" s="73"/>
      <c r="R268" s="73"/>
      <c r="S268" s="73"/>
      <c r="T268" s="836" cm="1" t="str">
        <f t="array" ref="T268:T268">T267</f>
        <v>true</v>
      </c>
      <c r="U268" s="73"/>
      <c r="V268" s="73"/>
      <c r="W268" s="73"/>
      <c r="X268" s="1541"/>
      <c r="Y268" s="1256"/>
      <c r="Z268" s="1494"/>
      <c r="AA268" s="1256"/>
      <c r="AB268" s="773" t="s">
        <v>646</v>
      </c>
      <c r="AC268" s="772" t="s">
        <v>1986</v>
      </c>
      <c r="AD268" s="773" t="s">
        <v>789</v>
      </c>
      <c r="AE268" s="1226"/>
      <c r="AF268" s="1226"/>
      <c r="AG268" s="1226"/>
      <c r="AH268" s="739"/>
      <c r="AI268" s="1226"/>
      <c r="AJ268" s="3602"/>
      <c r="AK268" s="1226"/>
      <c r="AL268" s="1226"/>
      <c r="AM268" s="1226"/>
      <c r="AN268" s="1226"/>
      <c r="AO268" s="1226"/>
      <c r="AP268" s="1226"/>
      <c r="AQ268" s="1226"/>
      <c r="AR268" s="1226"/>
      <c r="AS268" s="1226"/>
      <c r="AT268" s="3602"/>
      <c r="AU268" s="1226"/>
      <c r="AV268" s="1226"/>
      <c r="AW268" s="1226"/>
      <c r="AX268" s="1226"/>
      <c r="AY268" s="1226"/>
      <c r="AZ268" s="1226"/>
      <c r="BA268" s="1226"/>
      <c r="BB268" s="1226"/>
      <c r="BC268" s="1226"/>
      <c r="BD268" s="739"/>
      <c r="BE268" s="739"/>
      <c r="BF268" s="739"/>
      <c r="BG268" s="739"/>
      <c r="BH268" s="739"/>
      <c r="BI268" s="739"/>
      <c r="BJ268" s="739"/>
      <c r="BK268" s="739"/>
      <c r="BL268" s="739"/>
      <c r="BM268" s="739"/>
      <c r="BN268" s="1227"/>
      <c r="BO268" s="1227"/>
      <c r="BP268" s="1227"/>
      <c r="BQ268" s="1256"/>
      <c r="BR268" s="1256"/>
      <c r="BS268" s="1041" t="s">
        <v>1987</v>
      </c>
      <c r="BT268" s="1041"/>
      <c r="BU268" s="1041"/>
      <c r="BV268" s="956"/>
      <c r="BW268" s="956"/>
    </row>
    <row s="1624" customFormat="1" customHeight="1" ht="14.25" hidden="1">
      <c r="A269" s="1256"/>
      <c r="B269" s="836" cm="1" t="str">
        <f t="array" ref="B269:B269">B268</f>
        <v>false</v>
      </c>
      <c r="C269" s="73"/>
      <c r="D269" s="73"/>
      <c r="E269" s="596">
        <v>15</v>
      </c>
      <c r="F269" s="50" cm="1" t="str">
        <f t="array" ref="F269:F269">OFFSET(E269,-1,1)</f>
        <v>1</v>
      </c>
      <c r="G269" s="73"/>
      <c r="H269" s="73"/>
      <c r="I269" s="73"/>
      <c r="J269" s="73"/>
      <c r="K269" s="73" t="s">
        <v>512</v>
      </c>
      <c r="L269" s="957"/>
      <c r="M269" s="73"/>
      <c r="N269" s="73"/>
      <c r="O269" s="73"/>
      <c r="P269" s="73"/>
      <c r="Q269" s="73"/>
      <c r="R269" s="73"/>
      <c r="S269" s="73"/>
      <c r="T269" s="836" cm="1" t="str">
        <f t="array" ref="T269:T269">T268</f>
        <v>true</v>
      </c>
      <c r="U269" s="73"/>
      <c r="V269" s="73"/>
      <c r="W269" s="73"/>
      <c r="X269" s="1541"/>
      <c r="Y269" s="1256"/>
      <c r="Z269" s="1494"/>
      <c r="AA269" s="1256"/>
      <c r="AB269" s="773" t="s">
        <v>649</v>
      </c>
      <c r="AC269" s="772" t="s">
        <v>1988</v>
      </c>
      <c r="AD269" s="773" t="s">
        <v>1989</v>
      </c>
      <c r="AE269" s="1226"/>
      <c r="AF269" s="1226"/>
      <c r="AG269" s="1226"/>
      <c r="AH269" s="739"/>
      <c r="AI269" s="1226"/>
      <c r="AJ269" s="3602"/>
      <c r="AK269" s="1226"/>
      <c r="AL269" s="1226"/>
      <c r="AM269" s="1226"/>
      <c r="AN269" s="1226"/>
      <c r="AO269" s="1226"/>
      <c r="AP269" s="1226"/>
      <c r="AQ269" s="1226"/>
      <c r="AR269" s="1226"/>
      <c r="AS269" s="1226"/>
      <c r="AT269" s="3602"/>
      <c r="AU269" s="1226"/>
      <c r="AV269" s="1226"/>
      <c r="AW269" s="1226"/>
      <c r="AX269" s="1226"/>
      <c r="AY269" s="1226"/>
      <c r="AZ269" s="1226"/>
      <c r="BA269" s="1226"/>
      <c r="BB269" s="1226"/>
      <c r="BC269" s="1226"/>
      <c r="BD269" s="739"/>
      <c r="BE269" s="739"/>
      <c r="BF269" s="739"/>
      <c r="BG269" s="739"/>
      <c r="BH269" s="739"/>
      <c r="BI269" s="739"/>
      <c r="BJ269" s="739"/>
      <c r="BK269" s="739"/>
      <c r="BL269" s="739"/>
      <c r="BM269" s="739"/>
      <c r="BN269" s="1227"/>
      <c r="BO269" s="1227"/>
      <c r="BP269" s="1227"/>
      <c r="BQ269" s="1256"/>
      <c r="BR269" s="1256"/>
      <c r="BS269" s="1041" t="s">
        <v>1990</v>
      </c>
      <c r="BT269" s="1041"/>
      <c r="BU269" s="1041"/>
      <c r="BV269" s="956"/>
      <c r="BW269" s="956"/>
    </row>
    <row s="1624" customFormat="1" customHeight="1" ht="14.25" hidden="1">
      <c r="A270" s="1256"/>
      <c r="B270" s="836" cm="1" t="str">
        <f t="array" ref="B270:B270">B269</f>
        <v>false</v>
      </c>
      <c r="C270" s="73"/>
      <c r="D270" s="73"/>
      <c r="E270" s="596">
        <v>15</v>
      </c>
      <c r="F270" s="50" cm="1" t="str">
        <f t="array" ref="F270:F270">OFFSET(E270,-1,1)</f>
        <v>1</v>
      </c>
      <c r="G270" s="73"/>
      <c r="H270" s="73"/>
      <c r="I270" s="73"/>
      <c r="J270" s="73"/>
      <c r="K270" s="73" t="s">
        <v>324</v>
      </c>
      <c r="L270" s="957"/>
      <c r="M270" s="73"/>
      <c r="N270" s="73"/>
      <c r="O270" s="73"/>
      <c r="P270" s="73"/>
      <c r="Q270" s="73"/>
      <c r="R270" s="73"/>
      <c r="S270" s="73"/>
      <c r="T270" s="836" cm="1" t="str">
        <f t="array" ref="T270:T270">T269</f>
        <v>true</v>
      </c>
      <c r="U270" s="73"/>
      <c r="V270" s="73"/>
      <c r="W270" s="73"/>
      <c r="X270" s="1541"/>
      <c r="Y270" s="1256"/>
      <c r="Z270" s="1494"/>
      <c r="AA270" s="1256"/>
      <c r="AB270" s="770" t="s">
        <v>485</v>
      </c>
      <c r="AC270" s="769" t="s">
        <v>1991</v>
      </c>
      <c r="AD270" s="770" t="s">
        <v>789</v>
      </c>
      <c r="AE270" s="1224"/>
      <c r="AF270" s="1224"/>
      <c r="AG270" s="1224"/>
      <c r="AH270" s="737">
        <f>AG270-AF270</f>
        <v>0</v>
      </c>
      <c r="AI270" s="1224"/>
      <c r="AJ270" s="3597"/>
      <c r="AK270" s="1224"/>
      <c r="AL270" s="1224"/>
      <c r="AM270" s="1224"/>
      <c r="AN270" s="1224"/>
      <c r="AO270" s="1224"/>
      <c r="AP270" s="1224"/>
      <c r="AQ270" s="1224"/>
      <c r="AR270" s="1224"/>
      <c r="AS270" s="1224"/>
      <c r="AT270" s="3597"/>
      <c r="AU270" s="1224"/>
      <c r="AV270" s="1224"/>
      <c r="AW270" s="1224"/>
      <c r="AX270" s="1224"/>
      <c r="AY270" s="1224"/>
      <c r="AZ270" s="1224"/>
      <c r="BA270" s="1224"/>
      <c r="BB270" s="1224"/>
      <c r="BC270" s="1224"/>
      <c r="BD270" s="737">
        <f>IF(AI270=0,0,(AT270-AI270)/AI270*100)</f>
        <v>0</v>
      </c>
      <c r="BE270" s="737">
        <f>IF(AT270=0,0,(AU270-AT270)/AT270*100)</f>
        <v>0</v>
      </c>
      <c r="BF270" s="737">
        <f>IF(AU270=0,0,(AV270-AU270)/AU270*100)</f>
        <v>0</v>
      </c>
      <c r="BG270" s="737">
        <f>IF(AV270=0,0,(AW270-AV270)/AV270*100)</f>
        <v>0</v>
      </c>
      <c r="BH270" s="737">
        <f>IF(AW270=0,0,(AX270-AW270)/AW270*100)</f>
        <v>0</v>
      </c>
      <c r="BI270" s="737">
        <f>IF(AX270=0,0,(AY270-AX270)/AX270*100)</f>
        <v>0</v>
      </c>
      <c r="BJ270" s="737">
        <f>IF(AY270=0,0,(AZ270-AY270)/AY270*100)</f>
        <v>0</v>
      </c>
      <c r="BK270" s="737">
        <f>IF(AZ270=0,0,(BA270-AZ270)/AZ270*100)</f>
        <v>0</v>
      </c>
      <c r="BL270" s="737">
        <f>IF(BA270=0,0,(BB270-BA270)/BA270*100)</f>
        <v>0</v>
      </c>
      <c r="BM270" s="737">
        <f>IF(BB270=0,0,(BC270-BB270)/BB270*100)</f>
        <v>0</v>
      </c>
      <c r="BN270" s="1225"/>
      <c r="BO270" s="1225"/>
      <c r="BP270" s="1225"/>
      <c r="BQ270" s="1256"/>
      <c r="BR270" s="1256"/>
      <c r="BS270" s="1041" t="s">
        <v>1992</v>
      </c>
      <c r="BT270" s="1041"/>
      <c r="BU270" s="1041"/>
      <c r="BV270" s="956"/>
      <c r="BW270" s="956"/>
    </row>
    <row s="1624" customFormat="1" customHeight="1" ht="14.25" hidden="1">
      <c r="A271" s="1256"/>
      <c r="B271" s="836" cm="1" t="str">
        <f t="array" ref="B271:B271">B270</f>
        <v>false</v>
      </c>
      <c r="C271" s="73"/>
      <c r="D271" s="73"/>
      <c r="E271" s="596">
        <v>15</v>
      </c>
      <c r="F271" s="50" cm="1" t="str">
        <f t="array" ref="F271:F271">OFFSET(E271,-1,1)</f>
        <v>1</v>
      </c>
      <c r="G271" s="73"/>
      <c r="H271" s="73"/>
      <c r="I271" s="73"/>
      <c r="J271" s="73"/>
      <c r="K271" s="73" t="s">
        <v>522</v>
      </c>
      <c r="L271" s="957"/>
      <c r="M271" s="73"/>
      <c r="N271" s="73"/>
      <c r="O271" s="73"/>
      <c r="P271" s="73"/>
      <c r="Q271" s="73"/>
      <c r="R271" s="73"/>
      <c r="S271" s="73"/>
      <c r="T271" s="836" cm="1" t="str">
        <f t="array" ref="T271:T271">T270</f>
        <v>true</v>
      </c>
      <c r="U271" s="73"/>
      <c r="V271" s="73"/>
      <c r="W271" s="73"/>
      <c r="X271" s="1541"/>
      <c r="Y271" s="1256"/>
      <c r="Z271" s="1494"/>
      <c r="AA271" s="1256"/>
      <c r="AB271" s="773" t="s">
        <v>653</v>
      </c>
      <c r="AC271" s="772" t="s">
        <v>1993</v>
      </c>
      <c r="AD271" s="773" t="s">
        <v>789</v>
      </c>
      <c r="AE271" s="1226"/>
      <c r="AF271" s="1226"/>
      <c r="AG271" s="1226"/>
      <c r="AH271" s="739"/>
      <c r="AI271" s="1226"/>
      <c r="AJ271" s="3602"/>
      <c r="AK271" s="1226"/>
      <c r="AL271" s="1226"/>
      <c r="AM271" s="1226"/>
      <c r="AN271" s="1226"/>
      <c r="AO271" s="1226"/>
      <c r="AP271" s="1226"/>
      <c r="AQ271" s="1226"/>
      <c r="AR271" s="1226"/>
      <c r="AS271" s="1226"/>
      <c r="AT271" s="3602"/>
      <c r="AU271" s="1226"/>
      <c r="AV271" s="1226"/>
      <c r="AW271" s="1226"/>
      <c r="AX271" s="1226"/>
      <c r="AY271" s="1226"/>
      <c r="AZ271" s="1226"/>
      <c r="BA271" s="1226"/>
      <c r="BB271" s="1226"/>
      <c r="BC271" s="1226"/>
      <c r="BD271" s="739"/>
      <c r="BE271" s="739"/>
      <c r="BF271" s="739"/>
      <c r="BG271" s="739"/>
      <c r="BH271" s="739"/>
      <c r="BI271" s="739"/>
      <c r="BJ271" s="739"/>
      <c r="BK271" s="739"/>
      <c r="BL271" s="739"/>
      <c r="BM271" s="739"/>
      <c r="BN271" s="1227"/>
      <c r="BO271" s="1227"/>
      <c r="BP271" s="1227"/>
      <c r="BQ271" s="1256"/>
      <c r="BR271" s="1256"/>
      <c r="BS271" s="1041" t="s">
        <v>1994</v>
      </c>
      <c r="BT271" s="1041"/>
      <c r="BU271" s="1041"/>
      <c r="BV271" s="956"/>
      <c r="BW271" s="956"/>
    </row>
    <row s="1624" customFormat="1" customHeight="1" ht="14.25" hidden="1">
      <c r="A272" s="1256"/>
      <c r="B272" s="836" cm="1" t="str">
        <f t="array" ref="B272:B272">B271</f>
        <v>false</v>
      </c>
      <c r="C272" s="73"/>
      <c r="D272" s="73"/>
      <c r="E272" s="596">
        <v>15</v>
      </c>
      <c r="F272" s="50" cm="1" t="str">
        <f t="array" ref="F272:F272">OFFSET(E272,-1,1)</f>
        <v>1</v>
      </c>
      <c r="G272" s="73"/>
      <c r="H272" s="73"/>
      <c r="I272" s="73"/>
      <c r="J272" s="73"/>
      <c r="K272" s="73" t="s">
        <v>526</v>
      </c>
      <c r="L272" s="957"/>
      <c r="M272" s="73"/>
      <c r="N272" s="73"/>
      <c r="O272" s="73"/>
      <c r="P272" s="73"/>
      <c r="Q272" s="73"/>
      <c r="R272" s="73"/>
      <c r="S272" s="73"/>
      <c r="T272" s="836" cm="1" t="str">
        <f t="array" ref="T272:T272">T271</f>
        <v>true</v>
      </c>
      <c r="U272" s="73"/>
      <c r="V272" s="73"/>
      <c r="W272" s="73"/>
      <c r="X272" s="1541"/>
      <c r="Y272" s="1256"/>
      <c r="Z272" s="1494"/>
      <c r="AA272" s="1256"/>
      <c r="AB272" s="773" t="s">
        <v>656</v>
      </c>
      <c r="AC272" s="772" t="s">
        <v>1995</v>
      </c>
      <c r="AD272" s="773" t="s">
        <v>430</v>
      </c>
      <c r="AE272" s="1226"/>
      <c r="AF272" s="1226"/>
      <c r="AG272" s="1226"/>
      <c r="AH272" s="739"/>
      <c r="AI272" s="1226"/>
      <c r="AJ272" s="3602"/>
      <c r="AK272" s="1226"/>
      <c r="AL272" s="1226"/>
      <c r="AM272" s="1226"/>
      <c r="AN272" s="1226"/>
      <c r="AO272" s="1226"/>
      <c r="AP272" s="1226"/>
      <c r="AQ272" s="1226"/>
      <c r="AR272" s="1226"/>
      <c r="AS272" s="1226"/>
      <c r="AT272" s="3602"/>
      <c r="AU272" s="1226"/>
      <c r="AV272" s="1226"/>
      <c r="AW272" s="1226"/>
      <c r="AX272" s="1226"/>
      <c r="AY272" s="1226"/>
      <c r="AZ272" s="1226"/>
      <c r="BA272" s="1226"/>
      <c r="BB272" s="1226"/>
      <c r="BC272" s="1226"/>
      <c r="BD272" s="739"/>
      <c r="BE272" s="739"/>
      <c r="BF272" s="739"/>
      <c r="BG272" s="739"/>
      <c r="BH272" s="739"/>
      <c r="BI272" s="739"/>
      <c r="BJ272" s="739"/>
      <c r="BK272" s="739"/>
      <c r="BL272" s="739"/>
      <c r="BM272" s="739"/>
      <c r="BN272" s="1227"/>
      <c r="BO272" s="1227"/>
      <c r="BP272" s="1227"/>
      <c r="BQ272" s="1256"/>
      <c r="BR272" s="1256"/>
      <c r="BS272" s="1041" t="s">
        <v>1996</v>
      </c>
      <c r="BT272" s="1041"/>
      <c r="BU272" s="1041"/>
      <c r="BV272" s="956"/>
      <c r="BW272" s="956"/>
    </row>
    <row s="1624" customFormat="1" customHeight="1" ht="14.25" hidden="1">
      <c r="A273" s="1256"/>
      <c r="B273" s="836" cm="1" t="str">
        <f t="array" ref="B273:B273">B272</f>
        <v>false</v>
      </c>
      <c r="C273" s="73"/>
      <c r="D273" s="73"/>
      <c r="E273" s="596">
        <v>15</v>
      </c>
      <c r="F273" s="50" cm="1" t="str">
        <f t="array" ref="F273:F273">OFFSET(E273,-1,1)</f>
        <v>1</v>
      </c>
      <c r="G273" s="73"/>
      <c r="H273" s="73"/>
      <c r="I273" s="73"/>
      <c r="J273" s="73"/>
      <c r="K273" s="73" t="s">
        <v>743</v>
      </c>
      <c r="L273" s="957"/>
      <c r="M273" s="73"/>
      <c r="N273" s="73"/>
      <c r="O273" s="73"/>
      <c r="P273" s="73"/>
      <c r="Q273" s="73"/>
      <c r="R273" s="73"/>
      <c r="S273" s="73"/>
      <c r="T273" s="836" cm="1" t="str">
        <f t="array" ref="T273:T273">T272</f>
        <v>true</v>
      </c>
      <c r="U273" s="73"/>
      <c r="V273" s="73"/>
      <c r="W273" s="73"/>
      <c r="X273" s="1541"/>
      <c r="Y273" s="1256"/>
      <c r="Z273" s="1494"/>
      <c r="AA273" s="1256"/>
      <c r="AB273" s="773" t="s">
        <v>899</v>
      </c>
      <c r="AC273" s="772" t="s">
        <v>1997</v>
      </c>
      <c r="AD273" s="773" t="s">
        <v>789</v>
      </c>
      <c r="AE273" s="1226"/>
      <c r="AF273" s="1226"/>
      <c r="AG273" s="1226"/>
      <c r="AH273" s="739"/>
      <c r="AI273" s="1226"/>
      <c r="AJ273" s="3602"/>
      <c r="AK273" s="1226"/>
      <c r="AL273" s="1226"/>
      <c r="AM273" s="1226"/>
      <c r="AN273" s="1226"/>
      <c r="AO273" s="1226"/>
      <c r="AP273" s="1226"/>
      <c r="AQ273" s="1226"/>
      <c r="AR273" s="1226"/>
      <c r="AS273" s="1226"/>
      <c r="AT273" s="3602"/>
      <c r="AU273" s="1226"/>
      <c r="AV273" s="1226"/>
      <c r="AW273" s="1226"/>
      <c r="AX273" s="1226"/>
      <c r="AY273" s="1226"/>
      <c r="AZ273" s="1226"/>
      <c r="BA273" s="1226"/>
      <c r="BB273" s="1226"/>
      <c r="BC273" s="1226"/>
      <c r="BD273" s="739"/>
      <c r="BE273" s="739"/>
      <c r="BF273" s="739"/>
      <c r="BG273" s="739"/>
      <c r="BH273" s="739"/>
      <c r="BI273" s="739"/>
      <c r="BJ273" s="739"/>
      <c r="BK273" s="739"/>
      <c r="BL273" s="739"/>
      <c r="BM273" s="739"/>
      <c r="BN273" s="1227"/>
      <c r="BO273" s="1227"/>
      <c r="BP273" s="1227"/>
      <c r="BQ273" s="1256"/>
      <c r="BR273" s="1256"/>
      <c r="BS273" s="1041" t="s">
        <v>1998</v>
      </c>
      <c r="BT273" s="1041"/>
      <c r="BU273" s="1041"/>
      <c r="BV273" s="956"/>
      <c r="BW273" s="956"/>
    </row>
    <row s="1624" customFormat="1" customHeight="1" ht="14.25" hidden="1">
      <c r="A274" s="1256"/>
      <c r="B274" s="836" cm="1" t="str">
        <f t="array" ref="B274:B274">B273</f>
        <v>false</v>
      </c>
      <c r="C274" s="73"/>
      <c r="D274" s="73"/>
      <c r="E274" s="596">
        <v>15</v>
      </c>
      <c r="F274" s="50" cm="1" t="str">
        <f t="array" ref="F274:F274">OFFSET(E274,-1,1)</f>
        <v>1</v>
      </c>
      <c r="G274" s="73"/>
      <c r="H274" s="73"/>
      <c r="I274" s="73"/>
      <c r="J274" s="73"/>
      <c r="K274" s="73" t="s">
        <v>901</v>
      </c>
      <c r="L274" s="957"/>
      <c r="M274" s="73"/>
      <c r="N274" s="73"/>
      <c r="O274" s="73"/>
      <c r="P274" s="73"/>
      <c r="Q274" s="73"/>
      <c r="R274" s="73"/>
      <c r="S274" s="73"/>
      <c r="T274" s="836" cm="1" t="str">
        <f t="array" ref="T274:T274">T273</f>
        <v>true</v>
      </c>
      <c r="U274" s="73"/>
      <c r="V274" s="73"/>
      <c r="W274" s="73"/>
      <c r="X274" s="1541"/>
      <c r="Y274" s="1256"/>
      <c r="Z274" s="1494"/>
      <c r="AA274" s="1256"/>
      <c r="AB274" s="773" t="s">
        <v>902</v>
      </c>
      <c r="AC274" s="772" t="s">
        <v>1999</v>
      </c>
      <c r="AD274" s="773" t="s">
        <v>789</v>
      </c>
      <c r="AE274" s="1226"/>
      <c r="AF274" s="1226"/>
      <c r="AG274" s="1226"/>
      <c r="AH274" s="739"/>
      <c r="AI274" s="1226"/>
      <c r="AJ274" s="3602"/>
      <c r="AK274" s="1226"/>
      <c r="AL274" s="1226"/>
      <c r="AM274" s="1226"/>
      <c r="AN274" s="1226"/>
      <c r="AO274" s="1226"/>
      <c r="AP274" s="1226"/>
      <c r="AQ274" s="1226"/>
      <c r="AR274" s="1226"/>
      <c r="AS274" s="1226"/>
      <c r="AT274" s="3602"/>
      <c r="AU274" s="1226"/>
      <c r="AV274" s="1226"/>
      <c r="AW274" s="1226"/>
      <c r="AX274" s="1226"/>
      <c r="AY274" s="1226"/>
      <c r="AZ274" s="1226"/>
      <c r="BA274" s="1226"/>
      <c r="BB274" s="1226"/>
      <c r="BC274" s="1226"/>
      <c r="BD274" s="739"/>
      <c r="BE274" s="739"/>
      <c r="BF274" s="739"/>
      <c r="BG274" s="739"/>
      <c r="BH274" s="739"/>
      <c r="BI274" s="739"/>
      <c r="BJ274" s="739"/>
      <c r="BK274" s="739"/>
      <c r="BL274" s="739"/>
      <c r="BM274" s="739"/>
      <c r="BN274" s="1227"/>
      <c r="BO274" s="1227"/>
      <c r="BP274" s="1227"/>
      <c r="BQ274" s="1256"/>
      <c r="BR274" s="1256"/>
      <c r="BS274" s="1041" t="s">
        <v>2000</v>
      </c>
      <c r="BT274" s="1041"/>
      <c r="BU274" s="1041"/>
      <c r="BV274" s="956"/>
      <c r="BW274" s="956"/>
    </row>
    <row s="1624" customFormat="1" customHeight="1" ht="14.25" hidden="1">
      <c r="A275" s="1256"/>
      <c r="B275" s="836" cm="1" t="str">
        <f t="array" ref="B275:B275">B274</f>
        <v>false</v>
      </c>
      <c r="C275" s="73"/>
      <c r="D275" s="73"/>
      <c r="E275" s="596">
        <v>15</v>
      </c>
      <c r="F275" s="50" cm="1" t="str">
        <f t="array" ref="F275:F275">OFFSET(E275,-1,1)</f>
        <v>1</v>
      </c>
      <c r="G275" s="73"/>
      <c r="H275" s="73"/>
      <c r="I275" s="73"/>
      <c r="J275" s="73"/>
      <c r="K275" s="73" t="s">
        <v>2001</v>
      </c>
      <c r="L275" s="957"/>
      <c r="M275" s="73"/>
      <c r="N275" s="73"/>
      <c r="O275" s="73"/>
      <c r="P275" s="73"/>
      <c r="Q275" s="73"/>
      <c r="R275" s="73"/>
      <c r="S275" s="73"/>
      <c r="T275" s="836" cm="1" t="str">
        <f t="array" ref="T275:T275">T274</f>
        <v>true</v>
      </c>
      <c r="U275" s="73"/>
      <c r="V275" s="73"/>
      <c r="W275" s="73"/>
      <c r="X275" s="1541"/>
      <c r="Y275" s="1256"/>
      <c r="Z275" s="1494"/>
      <c r="AA275" s="1256"/>
      <c r="AB275" s="773" t="s">
        <v>2002</v>
      </c>
      <c r="AC275" s="774" t="s">
        <v>2003</v>
      </c>
      <c r="AD275" s="773" t="s">
        <v>430</v>
      </c>
      <c r="AE275" s="1226"/>
      <c r="AF275" s="1226"/>
      <c r="AG275" s="1226"/>
      <c r="AH275" s="739"/>
      <c r="AI275" s="1226"/>
      <c r="AJ275" s="3602"/>
      <c r="AK275" s="1226"/>
      <c r="AL275" s="1226"/>
      <c r="AM275" s="1226"/>
      <c r="AN275" s="1226"/>
      <c r="AO275" s="1226"/>
      <c r="AP275" s="1226"/>
      <c r="AQ275" s="1226"/>
      <c r="AR275" s="1226"/>
      <c r="AS275" s="1226"/>
      <c r="AT275" s="3602"/>
      <c r="AU275" s="1226"/>
      <c r="AV275" s="1226"/>
      <c r="AW275" s="1226"/>
      <c r="AX275" s="1226"/>
      <c r="AY275" s="1226"/>
      <c r="AZ275" s="1226"/>
      <c r="BA275" s="1226"/>
      <c r="BB275" s="1226"/>
      <c r="BC275" s="1226"/>
      <c r="BD275" s="739"/>
      <c r="BE275" s="739"/>
      <c r="BF275" s="739"/>
      <c r="BG275" s="739"/>
      <c r="BH275" s="739"/>
      <c r="BI275" s="739"/>
      <c r="BJ275" s="739"/>
      <c r="BK275" s="739"/>
      <c r="BL275" s="739"/>
      <c r="BM275" s="739"/>
      <c r="BN275" s="1227"/>
      <c r="BO275" s="1227"/>
      <c r="BP275" s="1227"/>
      <c r="BQ275" s="1256"/>
      <c r="BR275" s="1256"/>
      <c r="BS275" s="1041" t="s">
        <v>2004</v>
      </c>
      <c r="BT275" s="1041"/>
      <c r="BU275" s="1041"/>
      <c r="BV275" s="956"/>
      <c r="BW275" s="956"/>
    </row>
    <row s="1624" customFormat="1" customHeight="1" ht="14.25" hidden="1">
      <c r="A276" s="1256"/>
      <c r="B276" s="836" cm="1" t="str">
        <f t="array" ref="B276:B276">B275</f>
        <v>false</v>
      </c>
      <c r="C276" s="73"/>
      <c r="D276" s="73"/>
      <c r="E276" s="596">
        <v>15</v>
      </c>
      <c r="F276" s="50" cm="1" t="str">
        <f t="array" ref="F276:F276">OFFSET(E276,-1,1)</f>
        <v>1</v>
      </c>
      <c r="G276" s="73"/>
      <c r="H276" s="73"/>
      <c r="I276" s="73"/>
      <c r="J276" s="73"/>
      <c r="K276" s="73" t="s">
        <v>904</v>
      </c>
      <c r="L276" s="957"/>
      <c r="M276" s="73"/>
      <c r="N276" s="73"/>
      <c r="O276" s="73"/>
      <c r="P276" s="73"/>
      <c r="Q276" s="73"/>
      <c r="R276" s="73"/>
      <c r="S276" s="73"/>
      <c r="T276" s="836" cm="1" t="str">
        <f t="array" ref="T276:T276">T275</f>
        <v>true</v>
      </c>
      <c r="U276" s="73"/>
      <c r="V276" s="73"/>
      <c r="W276" s="73"/>
      <c r="X276" s="1541"/>
      <c r="Y276" s="1256"/>
      <c r="Z276" s="1494"/>
      <c r="AA276" s="1256"/>
      <c r="AB276" s="773" t="s">
        <v>905</v>
      </c>
      <c r="AC276" s="772" t="s">
        <v>2005</v>
      </c>
      <c r="AD276" s="773" t="s">
        <v>430</v>
      </c>
      <c r="AE276" s="1226"/>
      <c r="AF276" s="1226"/>
      <c r="AG276" s="1226"/>
      <c r="AH276" s="739"/>
      <c r="AI276" s="1226"/>
      <c r="AJ276" s="3602"/>
      <c r="AK276" s="1226"/>
      <c r="AL276" s="1226"/>
      <c r="AM276" s="1226"/>
      <c r="AN276" s="1226"/>
      <c r="AO276" s="1226"/>
      <c r="AP276" s="1226"/>
      <c r="AQ276" s="1226"/>
      <c r="AR276" s="1226"/>
      <c r="AS276" s="1226"/>
      <c r="AT276" s="3602"/>
      <c r="AU276" s="1226"/>
      <c r="AV276" s="1226"/>
      <c r="AW276" s="1226"/>
      <c r="AX276" s="1226"/>
      <c r="AY276" s="1226"/>
      <c r="AZ276" s="1226"/>
      <c r="BA276" s="1226"/>
      <c r="BB276" s="1226"/>
      <c r="BC276" s="1226"/>
      <c r="BD276" s="739"/>
      <c r="BE276" s="739"/>
      <c r="BF276" s="739"/>
      <c r="BG276" s="739"/>
      <c r="BH276" s="739"/>
      <c r="BI276" s="739"/>
      <c r="BJ276" s="739"/>
      <c r="BK276" s="739"/>
      <c r="BL276" s="739"/>
      <c r="BM276" s="739"/>
      <c r="BN276" s="1227"/>
      <c r="BO276" s="1227"/>
      <c r="BP276" s="1227"/>
      <c r="BQ276" s="1256"/>
      <c r="BR276" s="1256"/>
      <c r="BS276" s="1041" t="s">
        <v>2006</v>
      </c>
      <c r="BT276" s="1041"/>
      <c r="BU276" s="1041"/>
      <c r="BV276" s="956"/>
      <c r="BW276" s="956"/>
    </row>
    <row s="1624" customFormat="1" customHeight="1" ht="14.25" hidden="1">
      <c r="A277" s="1256"/>
      <c r="B277" s="836" cm="1" t="str">
        <f t="array" ref="B277:B277">B276</f>
        <v>false</v>
      </c>
      <c r="C277" s="73"/>
      <c r="D277" s="73"/>
      <c r="E277" s="596">
        <v>15</v>
      </c>
      <c r="F277" s="50" cm="1" t="str">
        <f t="array" ref="F277:F277">OFFSET(E277,-1,1)</f>
        <v>1</v>
      </c>
      <c r="G277" s="73"/>
      <c r="H277" s="73"/>
      <c r="I277" s="73"/>
      <c r="J277" s="73"/>
      <c r="K277" s="73" t="s">
        <v>2007</v>
      </c>
      <c r="L277" s="957"/>
      <c r="M277" s="73"/>
      <c r="N277" s="73"/>
      <c r="O277" s="73"/>
      <c r="P277" s="73"/>
      <c r="Q277" s="73"/>
      <c r="R277" s="73"/>
      <c r="S277" s="73"/>
      <c r="T277" s="836" cm="1" t="str">
        <f t="array" ref="T277:T277">T276</f>
        <v>true</v>
      </c>
      <c r="U277" s="73"/>
      <c r="V277" s="73"/>
      <c r="W277" s="73"/>
      <c r="X277" s="1541"/>
      <c r="Y277" s="1256"/>
      <c r="Z277" s="1494"/>
      <c r="AA277" s="1256"/>
      <c r="AB277" s="773" t="s">
        <v>2008</v>
      </c>
      <c r="AC277" s="774" t="s">
        <v>2009</v>
      </c>
      <c r="AD277" s="773" t="s">
        <v>430</v>
      </c>
      <c r="AE277" s="1226"/>
      <c r="AF277" s="1226"/>
      <c r="AG277" s="1226"/>
      <c r="AH277" s="739"/>
      <c r="AI277" s="1226"/>
      <c r="AJ277" s="3602"/>
      <c r="AK277" s="1226"/>
      <c r="AL277" s="1226"/>
      <c r="AM277" s="1226"/>
      <c r="AN277" s="1226"/>
      <c r="AO277" s="1226"/>
      <c r="AP277" s="1226"/>
      <c r="AQ277" s="1226"/>
      <c r="AR277" s="1226"/>
      <c r="AS277" s="1226"/>
      <c r="AT277" s="3602"/>
      <c r="AU277" s="1226"/>
      <c r="AV277" s="1226"/>
      <c r="AW277" s="1226"/>
      <c r="AX277" s="1226"/>
      <c r="AY277" s="1226"/>
      <c r="AZ277" s="1226"/>
      <c r="BA277" s="1226"/>
      <c r="BB277" s="1226"/>
      <c r="BC277" s="1226"/>
      <c r="BD277" s="739"/>
      <c r="BE277" s="739"/>
      <c r="BF277" s="739"/>
      <c r="BG277" s="739"/>
      <c r="BH277" s="739"/>
      <c r="BI277" s="739"/>
      <c r="BJ277" s="739"/>
      <c r="BK277" s="739"/>
      <c r="BL277" s="739"/>
      <c r="BM277" s="739"/>
      <c r="BN277" s="1227"/>
      <c r="BO277" s="1227"/>
      <c r="BP277" s="1227"/>
      <c r="BQ277" s="1256"/>
      <c r="BR277" s="1256"/>
      <c r="BS277" s="1041" t="s">
        <v>2010</v>
      </c>
      <c r="BT277" s="1041"/>
      <c r="BU277" s="1041"/>
      <c r="BV277" s="956"/>
      <c r="BW277" s="956"/>
    </row>
    <row s="1624" customFormat="1" customHeight="1" ht="14.25" hidden="1">
      <c r="A278" s="1256"/>
      <c r="B278" s="836" cm="1" t="str">
        <f t="array" ref="B278:B278">B277</f>
        <v>false</v>
      </c>
      <c r="C278" s="73"/>
      <c r="D278" s="73"/>
      <c r="E278" s="596">
        <v>15</v>
      </c>
      <c r="F278" s="50" cm="1" t="str">
        <f t="array" ref="F278:F278">OFFSET(E278,-1,1)</f>
        <v>1</v>
      </c>
      <c r="G278" s="73"/>
      <c r="H278" s="73"/>
      <c r="I278" s="73"/>
      <c r="J278" s="73"/>
      <c r="K278" s="73" t="s">
        <v>2011</v>
      </c>
      <c r="L278" s="957"/>
      <c r="M278" s="73"/>
      <c r="N278" s="73"/>
      <c r="O278" s="73"/>
      <c r="P278" s="73"/>
      <c r="Q278" s="73"/>
      <c r="R278" s="73"/>
      <c r="S278" s="73"/>
      <c r="T278" s="836" cm="1" t="str">
        <f t="array" ref="T278:T278">T277</f>
        <v>true</v>
      </c>
      <c r="U278" s="73"/>
      <c r="V278" s="73"/>
      <c r="W278" s="73"/>
      <c r="X278" s="1541"/>
      <c r="Y278" s="1256"/>
      <c r="Z278" s="1494"/>
      <c r="AA278" s="1256"/>
      <c r="AB278" s="773" t="s">
        <v>2012</v>
      </c>
      <c r="AC278" s="774" t="s">
        <v>2013</v>
      </c>
      <c r="AD278" s="773" t="s">
        <v>430</v>
      </c>
      <c r="AE278" s="1226"/>
      <c r="AF278" s="1226"/>
      <c r="AG278" s="1226"/>
      <c r="AH278" s="739"/>
      <c r="AI278" s="1226"/>
      <c r="AJ278" s="3602"/>
      <c r="AK278" s="1226"/>
      <c r="AL278" s="1226"/>
      <c r="AM278" s="1226"/>
      <c r="AN278" s="1226"/>
      <c r="AO278" s="1226"/>
      <c r="AP278" s="1226"/>
      <c r="AQ278" s="1226"/>
      <c r="AR278" s="1226"/>
      <c r="AS278" s="1226"/>
      <c r="AT278" s="3602"/>
      <c r="AU278" s="1226"/>
      <c r="AV278" s="1226"/>
      <c r="AW278" s="1226"/>
      <c r="AX278" s="1226"/>
      <c r="AY278" s="1226"/>
      <c r="AZ278" s="1226"/>
      <c r="BA278" s="1226"/>
      <c r="BB278" s="1226"/>
      <c r="BC278" s="1226"/>
      <c r="BD278" s="739"/>
      <c r="BE278" s="739"/>
      <c r="BF278" s="739"/>
      <c r="BG278" s="739"/>
      <c r="BH278" s="739"/>
      <c r="BI278" s="739"/>
      <c r="BJ278" s="739"/>
      <c r="BK278" s="739"/>
      <c r="BL278" s="739"/>
      <c r="BM278" s="739"/>
      <c r="BN278" s="1227"/>
      <c r="BO278" s="1227"/>
      <c r="BP278" s="1227"/>
      <c r="BQ278" s="1256"/>
      <c r="BR278" s="1256"/>
      <c r="BS278" s="1041" t="s">
        <v>2014</v>
      </c>
      <c r="BT278" s="1041"/>
      <c r="BU278" s="1041"/>
      <c r="BV278" s="956"/>
      <c r="BW278" s="956"/>
    </row>
    <row s="3672" customFormat="1" customHeight="1" ht="20.25">
      <c r="A279" s="676"/>
      <c r="B279" s="407"/>
      <c r="C279" s="75"/>
      <c r="D279" s="75" t="str">
        <f>IF(B278,"6","7")</f>
        <v>7</v>
      </c>
      <c r="E279" s="802">
        <v>21</v>
      </c>
      <c r="F279" s="50" cm="1" t="str">
        <f t="array" ref="F279:F279">OFFSET(E279,-1,1)</f>
        <v>1</v>
      </c>
      <c r="G279" s="73" t="s">
        <v>2015</v>
      </c>
      <c r="H279" s="73"/>
      <c r="I279" s="350" t="s">
        <v>2016</v>
      </c>
      <c r="J279" s="75"/>
      <c r="K279" s="346" t="s">
        <v>2016</v>
      </c>
      <c r="L279" s="962"/>
      <c r="M279" s="75"/>
      <c r="N279" s="75"/>
      <c r="O279" s="75"/>
      <c r="P279" s="75"/>
      <c r="Q279" s="75"/>
      <c r="R279" s="75"/>
      <c r="S279" s="75"/>
      <c r="T279" s="438" cm="1" t="str">
        <f t="array" ref="T279:T279">T278</f>
        <v>true</v>
      </c>
      <c r="U279" s="75"/>
      <c r="V279" s="75"/>
      <c r="W279" s="75"/>
      <c r="X279" s="1541"/>
      <c r="Y279" s="676"/>
      <c r="Z279" s="1494"/>
      <c r="AA279" s="676"/>
      <c r="AB279" s="177" cm="1" t="str">
        <f t="array" ref="AB279:AB279">D279</f>
        <v>7</v>
      </c>
      <c r="AC279" s="185" t="s">
        <v>1462</v>
      </c>
      <c r="AD279" s="177" t="s">
        <v>789</v>
      </c>
      <c r="AE279" s="3608"/>
      <c r="AF279" s="3608"/>
      <c r="AG279" s="3608"/>
      <c r="AH279" s="754">
        <f>AG279-AF279</f>
        <v>0</v>
      </c>
      <c r="AI279" s="3608"/>
      <c r="AJ279" s="3564">
        <f>_xlfn.SUMIFS('Корректировка НВВ'!$AF$25:$AF$129,'Корректировка НВВ'!$F$25:$F$129,$F279,'Корректировка НВВ'!$I$25:$I$129,$G279)</f>
        <v>0</v>
      </c>
      <c r="AK279" s="3608"/>
      <c r="AL279" s="3608"/>
      <c r="AM279" s="3608"/>
      <c r="AN279" s="3608"/>
      <c r="AO279" s="3608"/>
      <c r="AP279" s="3608"/>
      <c r="AQ279" s="3608"/>
      <c r="AR279" s="3608"/>
      <c r="AS279" s="3608"/>
      <c r="AT279" s="3564">
        <f>_xlfn.SUMIFS('Корректировка НВВ'!$AG$25:$AG$129,'Корректировка НВВ'!$F$25:$F$129,$F279,'Корректировка НВВ'!$I$25:$I$129,$G279)</f>
        <v>0</v>
      </c>
      <c r="AU279" s="3608"/>
      <c r="AV279" s="3608"/>
      <c r="AW279" s="3608"/>
      <c r="AX279" s="3608"/>
      <c r="AY279" s="3608"/>
      <c r="AZ279" s="3608"/>
      <c r="BA279" s="3608"/>
      <c r="BB279" s="3608"/>
      <c r="BC279" s="3608"/>
      <c r="BD279" s="754">
        <f>IF(AI279=0,0,(AT279-AI279)/AI279*100)</f>
        <v>0</v>
      </c>
      <c r="BE279" s="754">
        <f>IF(AT279=0,0,(AU279-AT279)/AT279*100)</f>
        <v>0</v>
      </c>
      <c r="BF279" s="754">
        <f>IF(AU279=0,0,(AV279-AU279)/AU279*100)</f>
        <v>0</v>
      </c>
      <c r="BG279" s="754">
        <f>IF(AV279=0,0,(AW279-AV279)/AV279*100)</f>
        <v>0</v>
      </c>
      <c r="BH279" s="754">
        <f>IF(AW279=0,0,(AX279-AW279)/AW279*100)</f>
        <v>0</v>
      </c>
      <c r="BI279" s="754">
        <f>IF(AX279=0,0,(AY279-AX279)/AX279*100)</f>
        <v>0</v>
      </c>
      <c r="BJ279" s="754">
        <f>IF(AY279=0,0,(AZ279-AY279)/AY279*100)</f>
        <v>0</v>
      </c>
      <c r="BK279" s="754">
        <f>IF(AZ279=0,0,(BA279-AZ279)/AZ279*100)</f>
        <v>0</v>
      </c>
      <c r="BL279" s="754">
        <f>IF(BA279=0,0,(BB279-BA279)/BA279*100)</f>
        <v>0</v>
      </c>
      <c r="BM279" s="754">
        <f>IF(BB279=0,0,(BC279-BB279)/BB279*100)</f>
        <v>0</v>
      </c>
      <c r="BN279" s="3619"/>
      <c r="BO279" s="3620" t="str">
        <f>IF(_xlfn.IFERROR(INDEX('Корректировка НВВ'!$K$26:$L$129,MATCH($F279&amp;"11komm",'Корректировка НВВ'!$K$26:$K$129,0),2),"")=0,"",_xlfn.IFERROR(INDEX('Корректировка НВВ'!$K$26:$L$129,MATCH($F279&amp;"11komm",'Корректировка НВВ'!$K$26:$K$129,0),2),""))</f>
        <v/>
      </c>
      <c r="BP279" s="3619"/>
      <c r="BQ279" s="676"/>
      <c r="BR279" s="676"/>
      <c r="BS279" s="1047" t="s">
        <v>2017</v>
      </c>
      <c r="BT279" s="1047"/>
      <c r="BU279" s="1047"/>
      <c r="BV279" s="683"/>
      <c r="BW279" s="683"/>
    </row>
    <row s="1624" customFormat="1" customHeight="1" ht="14.25">
      <c r="A280" s="1256"/>
      <c r="B280" s="955"/>
      <c r="C280" s="73"/>
      <c r="D280" s="73" cm="1" t="str">
        <f t="array" ref="D280:D280">D279</f>
        <v>7</v>
      </c>
      <c r="E280" s="596">
        <v>15</v>
      </c>
      <c r="F280" s="50" cm="1" t="str">
        <f t="array" ref="F280:F280">OFFSET(E280,-1,1)</f>
        <v>1</v>
      </c>
      <c r="G280" s="73"/>
      <c r="H280" s="73"/>
      <c r="I280" s="73"/>
      <c r="J280" s="73"/>
      <c r="K280" s="1256"/>
      <c r="L280" s="957"/>
      <c r="M280" s="73"/>
      <c r="N280" s="73"/>
      <c r="O280" s="73"/>
      <c r="P280" s="73"/>
      <c r="Q280" s="73"/>
      <c r="R280" s="73"/>
      <c r="S280" s="73"/>
      <c r="T280" s="438" cm="1" t="str">
        <f t="array" ref="T280:T280">T279</f>
        <v>true</v>
      </c>
      <c r="U280" s="73"/>
      <c r="V280" s="73"/>
      <c r="W280" s="73"/>
      <c r="X280" s="1541"/>
      <c r="Y280" s="1256"/>
      <c r="Z280" s="1494"/>
      <c r="AA280" s="1256"/>
      <c r="AB280" s="266"/>
      <c r="AC280" s="424" t="s">
        <v>2018</v>
      </c>
      <c r="AD280" s="266"/>
      <c r="AE280" s="1093"/>
      <c r="AF280" s="1093"/>
      <c r="AG280" s="1093"/>
      <c r="AH280" s="1093"/>
      <c r="AI280" s="1093"/>
      <c r="AJ280" s="1093"/>
      <c r="AK280" s="1093"/>
      <c r="AL280" s="1093"/>
      <c r="AM280" s="1093"/>
      <c r="AN280" s="1093"/>
      <c r="AO280" s="1093"/>
      <c r="AP280" s="1093"/>
      <c r="AQ280" s="1093"/>
      <c r="AR280" s="1093"/>
      <c r="AS280" s="1093"/>
      <c r="AT280" s="1093"/>
      <c r="AU280" s="1093"/>
      <c r="AV280" s="1093"/>
      <c r="AW280" s="1093"/>
      <c r="AX280" s="1093"/>
      <c r="AY280" s="1093"/>
      <c r="AZ280" s="1093"/>
      <c r="BA280" s="1093"/>
      <c r="BB280" s="1093"/>
      <c r="BC280" s="1093"/>
      <c r="BD280" s="1093"/>
      <c r="BE280" s="1093"/>
      <c r="BF280" s="1093"/>
      <c r="BG280" s="1093"/>
      <c r="BH280" s="1093"/>
      <c r="BI280" s="1093"/>
      <c r="BJ280" s="1093"/>
      <c r="BK280" s="1093"/>
      <c r="BL280" s="1093"/>
      <c r="BM280" s="1093"/>
      <c r="BN280" s="1095"/>
      <c r="BO280" s="1095"/>
      <c r="BP280" s="1095"/>
      <c r="BQ280" s="1256"/>
      <c r="BR280" s="1256"/>
      <c r="BS280" s="1041"/>
      <c r="BT280" s="1041"/>
      <c r="BU280" s="1041"/>
      <c r="BV280" s="956"/>
      <c r="BW280" s="956"/>
    </row>
    <row s="1624" customFormat="1" customHeight="1" ht="21.75">
      <c r="A281" s="1256"/>
      <c r="B281" s="955"/>
      <c r="C281" s="73"/>
      <c r="D281" s="73" cm="1" t="str">
        <f t="array" ref="D281:D281">D280</f>
        <v>7</v>
      </c>
      <c r="E281" s="596">
        <v>22.5</v>
      </c>
      <c r="F281" s="50" cm="1" t="str">
        <f t="array" ref="F281:F281">OFFSET(E281,-1,1)</f>
        <v>1</v>
      </c>
      <c r="G281" s="73" t="s">
        <v>364</v>
      </c>
      <c r="H281" s="73"/>
      <c r="I281" s="73" t="s">
        <v>488</v>
      </c>
      <c r="J281" s="73"/>
      <c r="K281" s="124" t="s">
        <v>488</v>
      </c>
      <c r="L281" s="957"/>
      <c r="M281" s="73"/>
      <c r="N281" s="73"/>
      <c r="O281" s="73"/>
      <c r="P281" s="73"/>
      <c r="Q281" s="73"/>
      <c r="R281" s="73"/>
      <c r="S281" s="73"/>
      <c r="T281" s="438" cm="1" t="str">
        <f t="array" ref="T281:T281">T280</f>
        <v>true</v>
      </c>
      <c r="U281" s="73"/>
      <c r="V281" s="73"/>
      <c r="W281" s="73"/>
      <c r="X281" s="1541"/>
      <c r="Y281" s="1256"/>
      <c r="Z281" s="1494"/>
      <c r="AA281" s="1256"/>
      <c r="AB281" s="266" t="str">
        <f>D281&amp;".1"</f>
        <v>7.1</v>
      </c>
      <c r="AC281" s="738" t="s">
        <v>2019</v>
      </c>
      <c r="AD281" s="266" t="s">
        <v>789</v>
      </c>
      <c r="AE281" s="3564"/>
      <c r="AF281" s="3564"/>
      <c r="AG281" s="3564"/>
      <c r="AH281" s="1092">
        <f>AG281-AF281</f>
        <v>0</v>
      </c>
      <c r="AI281" s="3564"/>
      <c r="AJ281" s="3564">
        <f>_xlfn.SUMIFS('Корректировка НВВ'!$AF$25:$AF$129,'Корректировка НВВ'!$F$25:$F$129,$F281,'Корректировка НВВ'!$I$25:$I$129,$G281)</f>
        <v>0</v>
      </c>
      <c r="AK281" s="3564"/>
      <c r="AL281" s="3564"/>
      <c r="AM281" s="3564"/>
      <c r="AN281" s="3564"/>
      <c r="AO281" s="3564"/>
      <c r="AP281" s="3564"/>
      <c r="AQ281" s="3564"/>
      <c r="AR281" s="3564"/>
      <c r="AS281" s="3564"/>
      <c r="AT281" s="3564">
        <f>_xlfn.SUMIFS('Корректировка НВВ'!$AG$25:$AG$129,'Корректировка НВВ'!$F$25:$F$129,$F281,'Корректировка НВВ'!$I$25:$I$129,$G281)</f>
        <v>0</v>
      </c>
      <c r="AU281" s="3564"/>
      <c r="AV281" s="3564"/>
      <c r="AW281" s="3564"/>
      <c r="AX281" s="3564"/>
      <c r="AY281" s="3564"/>
      <c r="AZ281" s="3564"/>
      <c r="BA281" s="3564"/>
      <c r="BB281" s="3564"/>
      <c r="BC281" s="3564"/>
      <c r="BD281" s="1093"/>
      <c r="BE281" s="1093"/>
      <c r="BF281" s="1093"/>
      <c r="BG281" s="1093"/>
      <c r="BH281" s="1093"/>
      <c r="BI281" s="1093"/>
      <c r="BJ281" s="1093"/>
      <c r="BK281" s="1093"/>
      <c r="BL281" s="1093"/>
      <c r="BM281" s="1093"/>
      <c r="BN281" s="3618"/>
      <c r="BO281" s="3620" t="str">
        <f>IF(_xlfn.IFERROR(INDEX('Корректировка НВВ'!$K$26:$L$129,MATCH($F281&amp;"1komm",'Корректировка НВВ'!$K$26:$K$129,0),2),"")=0,"",_xlfn.IFERROR(INDEX('Корректировка НВВ'!$K$26:$L$129,MATCH($F281&amp;"1komm",'Корректировка НВВ'!$K$26:$K$129,0),2),""))</f>
        <v/>
      </c>
      <c r="BP281" s="3618"/>
      <c r="BQ281" s="1256"/>
      <c r="BR281" s="1256"/>
      <c r="BS281" s="1041" t="s">
        <v>2020</v>
      </c>
      <c r="BT281" s="1041"/>
      <c r="BU281" s="1041"/>
      <c r="BV281" s="956"/>
      <c r="BW281" s="956"/>
    </row>
    <row s="1624" customFormat="1" customHeight="1" ht="98.25">
      <c r="A282" s="1256"/>
      <c r="B282" s="955"/>
      <c r="C282" s="73"/>
      <c r="D282" s="73" cm="1" t="str">
        <f t="array" ref="D282:D282">D281</f>
        <v>7</v>
      </c>
      <c r="E282" s="596">
        <v>101.25</v>
      </c>
      <c r="F282" s="50" cm="1" t="str">
        <f t="array" ref="F282:F282">OFFSET(E282,-1,1)</f>
        <v>1</v>
      </c>
      <c r="G282" s="73" t="s">
        <v>2021</v>
      </c>
      <c r="H282" s="73"/>
      <c r="I282" s="73" t="s">
        <v>535</v>
      </c>
      <c r="J282" s="73"/>
      <c r="K282" s="124" t="s">
        <v>535</v>
      </c>
      <c r="L282" s="957"/>
      <c r="M282" s="73"/>
      <c r="N282" s="73"/>
      <c r="O282" s="73"/>
      <c r="P282" s="73"/>
      <c r="Q282" s="73"/>
      <c r="R282" s="73"/>
      <c r="S282" s="73"/>
      <c r="T282" s="438" cm="1" t="str">
        <f t="array" ref="T282:T282">T281</f>
        <v>true</v>
      </c>
      <c r="U282" s="73"/>
      <c r="V282" s="73"/>
      <c r="W282" s="73"/>
      <c r="X282" s="1541"/>
      <c r="Y282" s="1256"/>
      <c r="Z282" s="1494"/>
      <c r="AA282" s="1256"/>
      <c r="AB282" s="266" t="str">
        <f>D282&amp;".2"</f>
        <v>7.2</v>
      </c>
      <c r="AC282" s="738" t="s">
        <v>2022</v>
      </c>
      <c r="AD282" s="266" t="s">
        <v>789</v>
      </c>
      <c r="AE282" s="3564"/>
      <c r="AF282" s="3564"/>
      <c r="AG282" s="3564"/>
      <c r="AH282" s="1092">
        <f>AG282-AF282</f>
        <v>0</v>
      </c>
      <c r="AI282" s="3564"/>
      <c r="AJ282" s="3564">
        <f>_xlfn.SUMIFS('Корректировка НВВ'!$AF$25:$AF$129,'Корректировка НВВ'!$F$25:$F$129,$F282,'Корректировка НВВ'!$I$25:$I$129,$G282)</f>
        <v>0</v>
      </c>
      <c r="AK282" s="3564"/>
      <c r="AL282" s="3564"/>
      <c r="AM282" s="3564"/>
      <c r="AN282" s="3564"/>
      <c r="AO282" s="3564"/>
      <c r="AP282" s="3564"/>
      <c r="AQ282" s="3564"/>
      <c r="AR282" s="3564"/>
      <c r="AS282" s="3564"/>
      <c r="AT282" s="3564">
        <f>_xlfn.SUMIFS('Корректировка НВВ'!$AG$25:$AG$129,'Корректировка НВВ'!$F$25:$F$129,$F282,'Корректировка НВВ'!$I$25:$I$129,$G282)</f>
        <v>0</v>
      </c>
      <c r="AU282" s="3564"/>
      <c r="AV282" s="3564"/>
      <c r="AW282" s="3564"/>
      <c r="AX282" s="3564"/>
      <c r="AY282" s="3564"/>
      <c r="AZ282" s="3564"/>
      <c r="BA282" s="3564"/>
      <c r="BB282" s="3564"/>
      <c r="BC282" s="3564"/>
      <c r="BD282" s="1093"/>
      <c r="BE282" s="1093"/>
      <c r="BF282" s="1093"/>
      <c r="BG282" s="1093"/>
      <c r="BH282" s="1093"/>
      <c r="BI282" s="1093"/>
      <c r="BJ282" s="1093"/>
      <c r="BK282" s="1093"/>
      <c r="BL282" s="1093"/>
      <c r="BM282" s="1093"/>
      <c r="BN282" s="3618"/>
      <c r="BO282" s="3620" t="str">
        <f>IF(_xlfn.IFERROR(INDEX('Корректировка НВВ'!$K$26:$L$129,MATCH($F282&amp;"2komm",'Корректировка НВВ'!$K$26:$K$129,0),2),"")=0,"",_xlfn.IFERROR(INDEX('Корректировка НВВ'!$K$26:$L$129,MATCH($F282&amp;"2komm",'Корректировка НВВ'!$K$26:$K$129,0),2),""))</f>
        <v/>
      </c>
      <c r="BP282" s="3618"/>
      <c r="BQ282" s="1256"/>
      <c r="BR282" s="1256"/>
      <c r="BS282" s="1041" t="s">
        <v>2023</v>
      </c>
      <c r="BT282" s="1041"/>
      <c r="BU282" s="1041"/>
      <c r="BV282" s="956"/>
      <c r="BW282" s="956"/>
    </row>
    <row s="1624" customFormat="1" customHeight="1" ht="43.5">
      <c r="A283" s="1256"/>
      <c r="B283" s="955"/>
      <c r="C283" s="73"/>
      <c r="D283" s="73" cm="1" t="str">
        <f t="array" ref="D283:D283">D282</f>
        <v>7</v>
      </c>
      <c r="E283" s="596">
        <v>45</v>
      </c>
      <c r="F283" s="50" cm="1" t="str">
        <f t="array" ref="F283:F283">OFFSET(E283,-1,1)</f>
        <v>1</v>
      </c>
      <c r="G283" s="73"/>
      <c r="H283" s="73"/>
      <c r="I283" s="73" t="s">
        <v>550</v>
      </c>
      <c r="J283" s="73"/>
      <c r="K283" s="124" t="s">
        <v>550</v>
      </c>
      <c r="L283" s="957"/>
      <c r="M283" s="73"/>
      <c r="N283" s="73"/>
      <c r="O283" s="73"/>
      <c r="P283" s="73"/>
      <c r="Q283" s="73"/>
      <c r="R283" s="73"/>
      <c r="S283" s="73"/>
      <c r="T283" s="438" cm="1" t="str">
        <f t="array" ref="T283:T283">T282</f>
        <v>true</v>
      </c>
      <c r="U283" s="73"/>
      <c r="V283" s="73"/>
      <c r="W283" s="73"/>
      <c r="X283" s="1541"/>
      <c r="Y283" s="1256"/>
      <c r="Z283" s="1494"/>
      <c r="AA283" s="1256"/>
      <c r="AB283" s="266" t="str">
        <f>D283&amp;".3"</f>
        <v>7.3</v>
      </c>
      <c r="AC283" s="738" t="s">
        <v>2024</v>
      </c>
      <c r="AD283" s="266" t="s">
        <v>789</v>
      </c>
      <c r="AE283" s="3564"/>
      <c r="AF283" s="3564"/>
      <c r="AG283" s="3564"/>
      <c r="AH283" s="1092">
        <f>AG283-AF283</f>
        <v>0</v>
      </c>
      <c r="AI283" s="3564"/>
      <c r="AJ283" s="3564">
        <f>_xlfn.SUMIFS('Корректировка НВВ'!$AF$25:$AF$129,'Корректировка НВВ'!$F$25:$F$129,$F283,'Корректировка НВВ'!$I$25:$I$129,"L1")+_xlfn.SUMIFS('Корректировка НВВ'!$AF$25:$AF$129,'Корректировка НВВ'!$F$25:$F$129,$F283,'Корректировка НВВ'!$I$25:$I$129,"L2")</f>
        <v>0</v>
      </c>
      <c r="AK283" s="3564"/>
      <c r="AL283" s="3564"/>
      <c r="AM283" s="3564"/>
      <c r="AN283" s="3564"/>
      <c r="AO283" s="3564"/>
      <c r="AP283" s="3564"/>
      <c r="AQ283" s="3564"/>
      <c r="AR283" s="3564"/>
      <c r="AS283" s="3564"/>
      <c r="AT283" s="3564">
        <f>_xlfn.SUMIFS('Корректировка НВВ'!$AG$25:$AG$129,'Корректировка НВВ'!$F$25:$F$129,$F283,'Корректировка НВВ'!$I$25:$I$129,"L1")+_xlfn.SUMIFS('Корректировка НВВ'!$AF$25:$AF$129,'Корректировка НВВ'!$F$25:$F$129,$F283,'Корректировка НВВ'!$I$25:$I$129,"L2")</f>
        <v>0</v>
      </c>
      <c r="AU283" s="3564"/>
      <c r="AV283" s="3564"/>
      <c r="AW283" s="3564"/>
      <c r="AX283" s="3564"/>
      <c r="AY283" s="3564"/>
      <c r="AZ283" s="3564"/>
      <c r="BA283" s="3564"/>
      <c r="BB283" s="3564"/>
      <c r="BC283" s="3564"/>
      <c r="BD283" s="1093"/>
      <c r="BE283" s="1093"/>
      <c r="BF283" s="1093"/>
      <c r="BG283" s="1093"/>
      <c r="BH283" s="1093"/>
      <c r="BI283" s="1093"/>
      <c r="BJ283" s="1093"/>
      <c r="BK283" s="1093"/>
      <c r="BL283" s="1093"/>
      <c r="BM283" s="1093"/>
      <c r="BN283" s="3618"/>
      <c r="BO283" s="3620"/>
      <c r="BP283" s="3618"/>
      <c r="BQ283" s="1256"/>
      <c r="BR283" s="1256"/>
      <c r="BS283" s="1041" t="s">
        <v>2025</v>
      </c>
      <c r="BT283" s="1041"/>
      <c r="BU283" s="1041"/>
      <c r="BV283" s="956"/>
      <c r="BW283" s="956"/>
    </row>
    <row s="1624" customFormat="1" customHeight="1" ht="87.75">
      <c r="A284" s="1256"/>
      <c r="B284" s="417">
        <f>S171="Водоотведение"</f>
        <v>1</v>
      </c>
      <c r="C284" s="73"/>
      <c r="D284" s="73" cm="1" t="str">
        <f t="array" ref="D284:D284">D283</f>
        <v>7</v>
      </c>
      <c r="E284" s="596">
        <v>90</v>
      </c>
      <c r="F284" s="50" cm="1" t="str">
        <f t="array" ref="F284:F284">OFFSET(E284,-1,1)</f>
        <v>1</v>
      </c>
      <c r="G284" s="73" t="s">
        <v>2026</v>
      </c>
      <c r="H284" s="824"/>
      <c r="I284" s="73" t="s">
        <v>719</v>
      </c>
      <c r="J284" s="73"/>
      <c r="K284" s="124" t="s">
        <v>719</v>
      </c>
      <c r="L284" s="957" t="s">
        <v>716</v>
      </c>
      <c r="M284" s="73"/>
      <c r="N284" s="73"/>
      <c r="O284" s="73"/>
      <c r="P284" s="73"/>
      <c r="Q284" s="73"/>
      <c r="R284" s="73"/>
      <c r="S284" s="73"/>
      <c r="T284" s="438" cm="1" t="str">
        <f t="array" ref="T284:T284">T283</f>
        <v>true</v>
      </c>
      <c r="U284" s="73"/>
      <c r="V284" s="73"/>
      <c r="W284" s="73"/>
      <c r="X284" s="1541"/>
      <c r="Y284" s="1256"/>
      <c r="Z284" s="1494"/>
      <c r="AA284" s="1256"/>
      <c r="AB284" s="266" t="str">
        <f>D284&amp;".4"</f>
        <v>7.4</v>
      </c>
      <c r="AC284" s="738" t="s">
        <v>1687</v>
      </c>
      <c r="AD284" s="742" t="s">
        <v>789</v>
      </c>
      <c r="AE284" s="3564"/>
      <c r="AF284" s="3564"/>
      <c r="AG284" s="3564"/>
      <c r="AH284" s="1092">
        <f>AG284-AF284</f>
        <v>0</v>
      </c>
      <c r="AI284" s="3564"/>
      <c r="AJ284" s="3564">
        <f>_xlfn.SUMIFS('Корректировка НВВ'!$AF$25:$AF$129,'Корректировка НВВ'!$F$25:$F$129,$F284,'Корректировка НВВ'!$I$25:$I$129,$G284)</f>
        <v>0</v>
      </c>
      <c r="AK284" s="3564"/>
      <c r="AL284" s="3564"/>
      <c r="AM284" s="3564"/>
      <c r="AN284" s="3564"/>
      <c r="AO284" s="3564"/>
      <c r="AP284" s="3564"/>
      <c r="AQ284" s="3564"/>
      <c r="AR284" s="3564"/>
      <c r="AS284" s="3564"/>
      <c r="AT284" s="3564">
        <f>_xlfn.SUMIFS('Корректировка НВВ'!$AG$25:$AG$129,'Корректировка НВВ'!$F$25:$F$129,$F284,'Корректировка НВВ'!$I$25:$I$129,$G284)</f>
        <v>0</v>
      </c>
      <c r="AU284" s="3564"/>
      <c r="AV284" s="3564"/>
      <c r="AW284" s="3564"/>
      <c r="AX284" s="3564"/>
      <c r="AY284" s="3564"/>
      <c r="AZ284" s="3564"/>
      <c r="BA284" s="3564"/>
      <c r="BB284" s="3564"/>
      <c r="BC284" s="3564"/>
      <c r="BD284" s="1093"/>
      <c r="BE284" s="1093"/>
      <c r="BF284" s="1093"/>
      <c r="BG284" s="1093"/>
      <c r="BH284" s="1093"/>
      <c r="BI284" s="1093"/>
      <c r="BJ284" s="1093"/>
      <c r="BK284" s="1093"/>
      <c r="BL284" s="1093"/>
      <c r="BM284" s="1093"/>
      <c r="BN284" s="3618"/>
      <c r="BO284" s="3620" t="str">
        <f>IF(_xlfn.IFERROR(INDEX('Корректировка НВВ'!$K$26:$L$129,MATCH($F284&amp;"3komm",'Корректировка НВВ'!$K$26:$K$129,0),2),"")=0,"",_xlfn.IFERROR(INDEX('Корректировка НВВ'!$K$26:$L$129,MATCH($F284&amp;"3komm",'Корректировка НВВ'!$K$26:$K$129,0),2),""))</f>
        <v/>
      </c>
      <c r="BP284" s="3618"/>
      <c r="BQ284" s="1256"/>
      <c r="BR284" s="1256"/>
      <c r="BS284" s="1041" t="s">
        <v>1238</v>
      </c>
      <c r="BT284" s="1041"/>
      <c r="BU284" s="1041"/>
      <c r="BV284" s="956"/>
      <c r="BW284" s="956"/>
    </row>
    <row s="1624" customFormat="1" customHeight="1" ht="54.75">
      <c r="A285" s="1256"/>
      <c r="B285" s="417" cm="1" t="str">
        <f t="array" ref="B285:B285">B284</f>
        <v>true</v>
      </c>
      <c r="C285" s="73"/>
      <c r="D285" s="73" cm="1" t="str">
        <f t="array" ref="D285:D285">D284</f>
        <v>7</v>
      </c>
      <c r="E285" s="596">
        <v>56.25</v>
      </c>
      <c r="F285" s="50" cm="1" t="str">
        <f t="array" ref="F285:F285">OFFSET(E285,-1,1)</f>
        <v>1</v>
      </c>
      <c r="G285" s="73" t="s">
        <v>2027</v>
      </c>
      <c r="H285" s="824"/>
      <c r="I285" s="73" t="s">
        <v>754</v>
      </c>
      <c r="J285" s="73"/>
      <c r="K285" s="124" t="s">
        <v>754</v>
      </c>
      <c r="L285" s="957" t="s">
        <v>719</v>
      </c>
      <c r="M285" s="73"/>
      <c r="N285" s="73"/>
      <c r="O285" s="73"/>
      <c r="P285" s="73"/>
      <c r="Q285" s="73"/>
      <c r="R285" s="73"/>
      <c r="S285" s="73"/>
      <c r="T285" s="438" cm="1" t="str">
        <f t="array" ref="T285:T285">T284</f>
        <v>true</v>
      </c>
      <c r="U285" s="73"/>
      <c r="V285" s="73"/>
      <c r="W285" s="73"/>
      <c r="X285" s="1541"/>
      <c r="Y285" s="1256"/>
      <c r="Z285" s="1494"/>
      <c r="AA285" s="1256"/>
      <c r="AB285" s="266" t="str">
        <f>D285&amp;".5"</f>
        <v>7.5</v>
      </c>
      <c r="AC285" s="738" t="s">
        <v>1689</v>
      </c>
      <c r="AD285" s="742" t="s">
        <v>789</v>
      </c>
      <c r="AE285" s="3564"/>
      <c r="AF285" s="3564"/>
      <c r="AG285" s="3564"/>
      <c r="AH285" s="1092">
        <f>AG285-AF285</f>
        <v>0</v>
      </c>
      <c r="AI285" s="3564"/>
      <c r="AJ285" s="3564">
        <f>_xlfn.SUMIFS('Корректировка НВВ'!$AF$25:$AF$129,'Корректировка НВВ'!$F$25:$F$129,$F285,'Корректировка НВВ'!$I$25:$I$129,$G285)</f>
        <v>0</v>
      </c>
      <c r="AK285" s="3564"/>
      <c r="AL285" s="3564"/>
      <c r="AM285" s="3564"/>
      <c r="AN285" s="3564"/>
      <c r="AO285" s="3564"/>
      <c r="AP285" s="3564"/>
      <c r="AQ285" s="3564"/>
      <c r="AR285" s="3564"/>
      <c r="AS285" s="3564"/>
      <c r="AT285" s="3564">
        <f>_xlfn.SUMIFS('Корректировка НВВ'!$AG$25:$AG$129,'Корректировка НВВ'!$F$25:$F$129,$F285,'Корректировка НВВ'!$I$25:$I$129,$G285)</f>
        <v>0</v>
      </c>
      <c r="AU285" s="3564"/>
      <c r="AV285" s="3564"/>
      <c r="AW285" s="3564"/>
      <c r="AX285" s="3564"/>
      <c r="AY285" s="3564"/>
      <c r="AZ285" s="3564"/>
      <c r="BA285" s="3564"/>
      <c r="BB285" s="3564"/>
      <c r="BC285" s="3564"/>
      <c r="BD285" s="1093"/>
      <c r="BE285" s="1093"/>
      <c r="BF285" s="1093"/>
      <c r="BG285" s="1093"/>
      <c r="BH285" s="1093"/>
      <c r="BI285" s="1093"/>
      <c r="BJ285" s="1093"/>
      <c r="BK285" s="1093"/>
      <c r="BL285" s="1093"/>
      <c r="BM285" s="1093"/>
      <c r="BN285" s="3618"/>
      <c r="BO285" s="3620" t="str">
        <f>IF(_xlfn.IFERROR(INDEX('Корректировка НВВ'!$K$26:$L$129,MATCH($F285&amp;"4komm",'Корректировка НВВ'!$K$26:$K$129,0),2),"")=0,"",_xlfn.IFERROR(INDEX('Корректировка НВВ'!$K$26:$L$129,MATCH($F285&amp;"4komm",'Корректировка НВВ'!$K$26:$K$129,0),2),""))</f>
        <v/>
      </c>
      <c r="BP285" s="3618"/>
      <c r="BQ285" s="1256"/>
      <c r="BR285" s="1256"/>
      <c r="BS285" s="1041" t="s">
        <v>1242</v>
      </c>
      <c r="BT285" s="1041"/>
      <c r="BU285" s="1041"/>
      <c r="BV285" s="956"/>
      <c r="BW285" s="956"/>
    </row>
    <row s="1624" customFormat="1" customHeight="1" ht="14.25">
      <c r="A286" s="1256"/>
      <c r="B286" s="399"/>
      <c r="C286" s="73"/>
      <c r="D286" s="73" cm="1" t="str">
        <f t="array" ref="D286:D286">D285</f>
        <v>7</v>
      </c>
      <c r="E286" s="596">
        <v>15</v>
      </c>
      <c r="F286" s="50" cm="1" t="str">
        <f t="array" ref="F286:F286">OFFSET(E286,-1,1)</f>
        <v>1</v>
      </c>
      <c r="G286" s="73" t="s">
        <v>2028</v>
      </c>
      <c r="H286" s="73"/>
      <c r="I286" s="73" t="s">
        <v>755</v>
      </c>
      <c r="J286" s="73"/>
      <c r="K286" s="124" t="s">
        <v>755</v>
      </c>
      <c r="L286" s="957" t="s">
        <v>754</v>
      </c>
      <c r="M286" s="73"/>
      <c r="N286" s="73"/>
      <c r="O286" s="73"/>
      <c r="P286" s="73"/>
      <c r="Q286" s="73"/>
      <c r="R286" s="73"/>
      <c r="S286" s="73"/>
      <c r="T286" s="438" cm="1" t="str">
        <f t="array" ref="T286:T286">T285</f>
        <v>true</v>
      </c>
      <c r="U286" s="73"/>
      <c r="V286" s="73"/>
      <c r="W286" s="73"/>
      <c r="X286" s="1541"/>
      <c r="Y286" s="1256"/>
      <c r="Z286" s="1494"/>
      <c r="AA286" s="1256"/>
      <c r="AB286" s="266" t="str">
        <f>IF(B285,D286&amp;".6",D286&amp;".4")</f>
        <v>7.6</v>
      </c>
      <c r="AC286" s="738" t="s">
        <v>1455</v>
      </c>
      <c r="AD286" s="266" t="s">
        <v>789</v>
      </c>
      <c r="AE286" s="3564"/>
      <c r="AF286" s="3564"/>
      <c r="AG286" s="3564"/>
      <c r="AH286" s="1092">
        <f>AG286-AF286</f>
        <v>0</v>
      </c>
      <c r="AI286" s="3564"/>
      <c r="AJ286" s="3564">
        <f>_xlfn.SUMIFS('Корректировка НВВ'!$AF$25:$AF$129,'Корректировка НВВ'!$F$25:$F$129,$F286,'Корректировка НВВ'!$I$25:$I$129,$G286)</f>
        <v>0</v>
      </c>
      <c r="AK286" s="3564"/>
      <c r="AL286" s="3564"/>
      <c r="AM286" s="3564"/>
      <c r="AN286" s="3564"/>
      <c r="AO286" s="3564"/>
      <c r="AP286" s="3564"/>
      <c r="AQ286" s="3564"/>
      <c r="AR286" s="3564"/>
      <c r="AS286" s="3564"/>
      <c r="AT286" s="3564">
        <f>_xlfn.SUMIFS('Корректировка НВВ'!$AG$25:$AG$129,'Корректировка НВВ'!$F$25:$F$129,$F286,'Корректировка НВВ'!$I$25:$I$129,$G286)</f>
        <v>0</v>
      </c>
      <c r="AU286" s="3564"/>
      <c r="AV286" s="3564"/>
      <c r="AW286" s="3564"/>
      <c r="AX286" s="3564"/>
      <c r="AY286" s="3564"/>
      <c r="AZ286" s="3564"/>
      <c r="BA286" s="3564"/>
      <c r="BB286" s="3564"/>
      <c r="BC286" s="3564"/>
      <c r="BD286" s="1093"/>
      <c r="BE286" s="1093"/>
      <c r="BF286" s="1093"/>
      <c r="BG286" s="1093"/>
      <c r="BH286" s="1093"/>
      <c r="BI286" s="1093"/>
      <c r="BJ286" s="1093"/>
      <c r="BK286" s="1093"/>
      <c r="BL286" s="1093"/>
      <c r="BM286" s="1093"/>
      <c r="BN286" s="3618"/>
      <c r="BO286" s="3620" t="str">
        <f>IF(_xlfn.IFERROR(INDEX('Корректировка НВВ'!$K$26:$L$129,MATCH($F286&amp;"5komm",'Корректировка НВВ'!$K$26:$K$129,0),2),"")=0,"",_xlfn.IFERROR(INDEX('Корректировка НВВ'!$K$26:$L$129,MATCH($F286&amp;"5komm",'Корректировка НВВ'!$K$26:$K$129,0),2),""))</f>
        <v/>
      </c>
      <c r="BP286" s="3618"/>
      <c r="BQ286" s="1256"/>
      <c r="BR286" s="1256"/>
      <c r="BS286" s="1041" t="s">
        <v>2029</v>
      </c>
      <c r="BT286" s="1041"/>
      <c r="BU286" s="1041"/>
      <c r="BV286" s="956"/>
      <c r="BW286" s="956"/>
    </row>
    <row s="1624" customFormat="1" customHeight="1" ht="14.25">
      <c r="A287" s="1256"/>
      <c r="B287" s="955"/>
      <c r="C287" s="73"/>
      <c r="D287" s="73" cm="1" t="str">
        <f t="array" ref="D287:D287">D286</f>
        <v>7</v>
      </c>
      <c r="E287" s="596">
        <v>15</v>
      </c>
      <c r="F287" s="50" cm="1" t="str">
        <f t="array" ref="F287:F287">OFFSET(E287,-1,1)</f>
        <v>1</v>
      </c>
      <c r="G287" s="73" t="s">
        <v>2030</v>
      </c>
      <c r="H287" s="73"/>
      <c r="I287" s="73" t="s">
        <v>1699</v>
      </c>
      <c r="J287" s="73"/>
      <c r="K287" s="124" t="s">
        <v>1699</v>
      </c>
      <c r="L287" s="957" t="s">
        <v>755</v>
      </c>
      <c r="M287" s="73"/>
      <c r="N287" s="73"/>
      <c r="O287" s="73"/>
      <c r="P287" s="73"/>
      <c r="Q287" s="73"/>
      <c r="R287" s="73"/>
      <c r="S287" s="73"/>
      <c r="T287" s="438" cm="1" t="str">
        <f t="array" ref="T287:T287">T286</f>
        <v>true</v>
      </c>
      <c r="U287" s="73"/>
      <c r="V287" s="73"/>
      <c r="W287" s="73"/>
      <c r="X287" s="1541"/>
      <c r="Y287" s="1256"/>
      <c r="Z287" s="1494"/>
      <c r="AA287" s="1256"/>
      <c r="AB287" s="266" t="str">
        <f>IF(B285,D286&amp;".7",D286&amp;".5")</f>
        <v>7.7</v>
      </c>
      <c r="AC287" s="738" t="s">
        <v>1417</v>
      </c>
      <c r="AD287" s="266" t="s">
        <v>789</v>
      </c>
      <c r="AE287" s="3564">
        <f>AE288+AE289</f>
        <v>0</v>
      </c>
      <c r="AF287" s="3564">
        <f>AF288+AF289</f>
        <v>0</v>
      </c>
      <c r="AG287" s="3564">
        <f>AG288+AG289</f>
        <v>0</v>
      </c>
      <c r="AH287" s="1092">
        <f>AG287-AF287</f>
        <v>0</v>
      </c>
      <c r="AI287" s="3564">
        <f>AI288+AI289</f>
        <v>0</v>
      </c>
      <c r="AJ287" s="3564">
        <f>_xlfn.SUMIFS('Корректировка НВВ'!$AF$25:$AF$129,'Корректировка НВВ'!$F$25:$F$129,$F287,'Корректировка НВВ'!$I$25:$I$129,$G287)</f>
        <v>0</v>
      </c>
      <c r="AK287" s="3564">
        <f>AK288+AK289</f>
        <v>0</v>
      </c>
      <c r="AL287" s="3564">
        <f>AL288+AL289</f>
        <v>0</v>
      </c>
      <c r="AM287" s="3564">
        <f>AM288+AM289</f>
        <v>0</v>
      </c>
      <c r="AN287" s="3564">
        <f>AN288+AN289</f>
        <v>0</v>
      </c>
      <c r="AO287" s="3564">
        <f>AO288+AO289</f>
        <v>0</v>
      </c>
      <c r="AP287" s="3564">
        <f>AP288+AP289</f>
        <v>0</v>
      </c>
      <c r="AQ287" s="3564">
        <f>AQ288+AQ289</f>
        <v>0</v>
      </c>
      <c r="AR287" s="3564">
        <f>AR288+AR289</f>
        <v>0</v>
      </c>
      <c r="AS287" s="3564">
        <f>AS288+AS289</f>
        <v>0</v>
      </c>
      <c r="AT287" s="3564">
        <f>_xlfn.SUMIFS('Корректировка НВВ'!$AG$25:$AG$129,'Корректировка НВВ'!$F$25:$F$129,$F287,'Корректировка НВВ'!$I$25:$I$129,$G287)</f>
        <v>0</v>
      </c>
      <c r="AU287" s="3564">
        <f>AU288+AU289</f>
        <v>0</v>
      </c>
      <c r="AV287" s="3564">
        <f>AV288+AV289</f>
        <v>0</v>
      </c>
      <c r="AW287" s="3564">
        <f>AW288+AW289</f>
        <v>0</v>
      </c>
      <c r="AX287" s="3564">
        <f>AX288+AX289</f>
        <v>0</v>
      </c>
      <c r="AY287" s="3564">
        <f>AY288+AY289</f>
        <v>0</v>
      </c>
      <c r="AZ287" s="3564">
        <f>AZ288+AZ289</f>
        <v>0</v>
      </c>
      <c r="BA287" s="3564">
        <f>BA288+BA289</f>
        <v>0</v>
      </c>
      <c r="BB287" s="3564">
        <f>BB288+BB289</f>
        <v>0</v>
      </c>
      <c r="BC287" s="3564">
        <f>BC288+BC289</f>
        <v>0</v>
      </c>
      <c r="BD287" s="1092">
        <f>IF(AI287=0,0,(AT287-AI287)/AI287*100)</f>
        <v>0</v>
      </c>
      <c r="BE287" s="1092">
        <f>IF(AT287=0,0,(AU287-AT287)/AT287*100)</f>
        <v>0</v>
      </c>
      <c r="BF287" s="1092">
        <f>IF(AU287=0,0,(AV287-AU287)/AU287*100)</f>
        <v>0</v>
      </c>
      <c r="BG287" s="1092">
        <f>IF(AV287=0,0,(AW287-AV287)/AV287*100)</f>
        <v>0</v>
      </c>
      <c r="BH287" s="1092">
        <f>IF(AW287=0,0,(AX287-AW287)/AW287*100)</f>
        <v>0</v>
      </c>
      <c r="BI287" s="1092">
        <f>IF(AX287=0,0,(AY287-AX287)/AX287*100)</f>
        <v>0</v>
      </c>
      <c r="BJ287" s="1092">
        <f>IF(AY287=0,0,(AZ287-AY287)/AY287*100)</f>
        <v>0</v>
      </c>
      <c r="BK287" s="1092">
        <f>IF(AZ287=0,0,(BA287-AZ287)/AZ287*100)</f>
        <v>0</v>
      </c>
      <c r="BL287" s="1092">
        <f>IF(BA287=0,0,(BB287-BA287)/BA287*100)</f>
        <v>0</v>
      </c>
      <c r="BM287" s="1092">
        <f>IF(BB287=0,0,(BC287-BB287)/BB287*100)</f>
        <v>0</v>
      </c>
      <c r="BN287" s="3618"/>
      <c r="BO287" s="3620" t="str">
        <f>IF(_xlfn.IFERROR(INDEX('Корректировка НВВ'!$K$26:$L$129,MATCH($F287&amp;"6komm",'Корректировка НВВ'!$K$26:$K$129,0),2),"")=0,"",_xlfn.IFERROR(INDEX('Корректировка НВВ'!$K$26:$L$129,MATCH($F287&amp;"6komm",'Корректировка НВВ'!$K$26:$K$129,0),2),""))</f>
        <v/>
      </c>
      <c r="BP287" s="3618"/>
      <c r="BQ287" s="1256"/>
      <c r="BR287" s="1256"/>
      <c r="BS287" s="1041" t="s">
        <v>1419</v>
      </c>
      <c r="BT287" s="1041"/>
      <c r="BU287" s="1041"/>
      <c r="BV287" s="956"/>
      <c r="BW287" s="956"/>
    </row>
    <row s="1624" customFormat="1" customHeight="1" ht="21.75">
      <c r="A288" s="1256"/>
      <c r="B288" s="955"/>
      <c r="C288" s="73"/>
      <c r="D288" s="73" cm="1" t="str">
        <f t="array" ref="D288:D288">D287</f>
        <v>7</v>
      </c>
      <c r="E288" s="596">
        <v>22.5</v>
      </c>
      <c r="F288" s="50" cm="1" t="str">
        <f t="array" ref="F288:F288">OFFSET(E288,-1,1)</f>
        <v>1</v>
      </c>
      <c r="G288" s="73" t="s">
        <v>2031</v>
      </c>
      <c r="H288" s="73"/>
      <c r="I288" s="73" t="s">
        <v>2032</v>
      </c>
      <c r="J288" s="73"/>
      <c r="K288" s="124" t="s">
        <v>2032</v>
      </c>
      <c r="L288" s="957" t="s">
        <v>1694</v>
      </c>
      <c r="M288" s="73"/>
      <c r="N288" s="73"/>
      <c r="O288" s="73"/>
      <c r="P288" s="73"/>
      <c r="Q288" s="73"/>
      <c r="R288" s="73"/>
      <c r="S288" s="73"/>
      <c r="T288" s="438" cm="1" t="str">
        <f t="array" ref="T288:T288">T287</f>
        <v>true</v>
      </c>
      <c r="U288" s="73"/>
      <c r="V288" s="73"/>
      <c r="W288" s="73"/>
      <c r="X288" s="1541"/>
      <c r="Y288" s="1256"/>
      <c r="Z288" s="1494"/>
      <c r="AA288" s="1256"/>
      <c r="AB288" s="266" t="str">
        <f>AB287&amp;".1"</f>
        <v>7.7.1</v>
      </c>
      <c r="AC288" s="757" t="s">
        <v>1420</v>
      </c>
      <c r="AD288" s="266" t="s">
        <v>789</v>
      </c>
      <c r="AE288" s="3564"/>
      <c r="AF288" s="3564"/>
      <c r="AG288" s="3564"/>
      <c r="AH288" s="1092">
        <f>AG288-AF288</f>
        <v>0</v>
      </c>
      <c r="AI288" s="3564"/>
      <c r="AJ288" s="3564">
        <f>_xlfn.SUMIFS('Корректировка НВВ'!$AF$25:$AF$129,'Корректировка НВВ'!$F$25:$F$129,$F288,'Корректировка НВВ'!$I$25:$I$129,$G288)</f>
        <v>0</v>
      </c>
      <c r="AK288" s="3564"/>
      <c r="AL288" s="3564"/>
      <c r="AM288" s="3564"/>
      <c r="AN288" s="3564"/>
      <c r="AO288" s="3564"/>
      <c r="AP288" s="3564"/>
      <c r="AQ288" s="3564"/>
      <c r="AR288" s="3564"/>
      <c r="AS288" s="3564"/>
      <c r="AT288" s="3564">
        <f>_xlfn.SUMIFS('Корректировка НВВ'!$AG$25:$AG$129,'Корректировка НВВ'!$F$25:$F$129,$F288,'Корректировка НВВ'!$I$25:$I$129,$G288)</f>
        <v>0</v>
      </c>
      <c r="AU288" s="3564"/>
      <c r="AV288" s="3564"/>
      <c r="AW288" s="3564"/>
      <c r="AX288" s="3564"/>
      <c r="AY288" s="3564"/>
      <c r="AZ288" s="3564"/>
      <c r="BA288" s="3564"/>
      <c r="BB288" s="3564"/>
      <c r="BC288" s="3564"/>
      <c r="BD288" s="1093"/>
      <c r="BE288" s="1093"/>
      <c r="BF288" s="1093"/>
      <c r="BG288" s="1093"/>
      <c r="BH288" s="1093"/>
      <c r="BI288" s="1093"/>
      <c r="BJ288" s="1093"/>
      <c r="BK288" s="1093"/>
      <c r="BL288" s="1093"/>
      <c r="BM288" s="1093"/>
      <c r="BN288" s="3618"/>
      <c r="BO288" s="3620" t="str">
        <f>IF(_xlfn.IFERROR(INDEX('Корректировка НВВ'!$K$26:$L$129,MATCH($F288&amp;"7komm",'Корректировка НВВ'!$K$26:$K$129,0),2),"")=0,"",_xlfn.IFERROR(INDEX('Корректировка НВВ'!$K$26:$L$129,MATCH($F288&amp;"7komm",'Корректировка НВВ'!$K$26:$K$129,0),2),""))</f>
        <v/>
      </c>
      <c r="BP288" s="3618"/>
      <c r="BQ288" s="1256"/>
      <c r="BR288" s="1256"/>
      <c r="BS288" s="1041" t="s">
        <v>1421</v>
      </c>
      <c r="BT288" s="1041"/>
      <c r="BU288" s="1041"/>
      <c r="BV288" s="956"/>
      <c r="BW288" s="956"/>
    </row>
    <row s="1624" customFormat="1" customHeight="1" ht="21.75">
      <c r="A289" s="1256"/>
      <c r="B289" s="955"/>
      <c r="C289" s="73"/>
      <c r="D289" s="73" cm="1" t="str">
        <f t="array" ref="D289:D289">D288</f>
        <v>7</v>
      </c>
      <c r="E289" s="596">
        <v>22.5</v>
      </c>
      <c r="F289" s="50" cm="1" t="str">
        <f t="array" ref="F289:F289">OFFSET(E289,-1,1)</f>
        <v>1</v>
      </c>
      <c r="G289" s="73" t="s">
        <v>2033</v>
      </c>
      <c r="H289" s="73"/>
      <c r="I289" s="73" t="s">
        <v>2034</v>
      </c>
      <c r="J289" s="73"/>
      <c r="K289" s="124" t="s">
        <v>2034</v>
      </c>
      <c r="L289" s="957" t="s">
        <v>1696</v>
      </c>
      <c r="M289" s="73"/>
      <c r="N289" s="73"/>
      <c r="O289" s="73"/>
      <c r="P289" s="73"/>
      <c r="Q289" s="73"/>
      <c r="R289" s="73"/>
      <c r="S289" s="73"/>
      <c r="T289" s="438" cm="1" t="str">
        <f t="array" ref="T289:T289">T288</f>
        <v>true</v>
      </c>
      <c r="U289" s="73"/>
      <c r="V289" s="73"/>
      <c r="W289" s="73"/>
      <c r="X289" s="1541"/>
      <c r="Y289" s="1256"/>
      <c r="Z289" s="1494"/>
      <c r="AA289" s="1256"/>
      <c r="AB289" s="266" t="str">
        <f>AB287&amp;".2"</f>
        <v>7.7.2</v>
      </c>
      <c r="AC289" s="757" t="s">
        <v>1422</v>
      </c>
      <c r="AD289" s="266" t="s">
        <v>789</v>
      </c>
      <c r="AE289" s="3564"/>
      <c r="AF289" s="3564"/>
      <c r="AG289" s="3564"/>
      <c r="AH289" s="1092">
        <f>AG289-AF289</f>
        <v>0</v>
      </c>
      <c r="AI289" s="3564"/>
      <c r="AJ289" s="3564">
        <f>_xlfn.SUMIFS('Корректировка НВВ'!$AF$25:$AF$129,'Корректировка НВВ'!$F$25:$F$129,$F289,'Корректировка НВВ'!$I$25:$I$129,$G289)</f>
        <v>0</v>
      </c>
      <c r="AK289" s="3564"/>
      <c r="AL289" s="3564"/>
      <c r="AM289" s="3564"/>
      <c r="AN289" s="3564"/>
      <c r="AO289" s="3564"/>
      <c r="AP289" s="3564"/>
      <c r="AQ289" s="3564"/>
      <c r="AR289" s="3564"/>
      <c r="AS289" s="3564"/>
      <c r="AT289" s="3564">
        <f>_xlfn.SUMIFS('Корректировка НВВ'!$AG$25:$AG$129,'Корректировка НВВ'!$F$25:$F$129,$F289,'Корректировка НВВ'!$I$25:$I$129,$G289)</f>
        <v>0</v>
      </c>
      <c r="AU289" s="3564"/>
      <c r="AV289" s="3564"/>
      <c r="AW289" s="3564"/>
      <c r="AX289" s="3564"/>
      <c r="AY289" s="3564"/>
      <c r="AZ289" s="3564"/>
      <c r="BA289" s="3564"/>
      <c r="BB289" s="3564"/>
      <c r="BC289" s="3564"/>
      <c r="BD289" s="1093"/>
      <c r="BE289" s="1093"/>
      <c r="BF289" s="1093"/>
      <c r="BG289" s="1093"/>
      <c r="BH289" s="1093"/>
      <c r="BI289" s="1093"/>
      <c r="BJ289" s="1093"/>
      <c r="BK289" s="1093"/>
      <c r="BL289" s="1093"/>
      <c r="BM289" s="1093"/>
      <c r="BN289" s="3618"/>
      <c r="BO289" s="3620" t="str">
        <f>IF(_xlfn.IFERROR(INDEX('Корректировка НВВ'!$K$26:$L$129,MATCH($F289&amp;"8komm",'Корректировка НВВ'!$K$26:$K$129,0),2),"")=0,"",_xlfn.IFERROR(INDEX('Корректировка НВВ'!$K$26:$L$129,MATCH($F289&amp;"8komm",'Корректировка НВВ'!$K$26:$K$129,0),2),""))</f>
        <v/>
      </c>
      <c r="BP289" s="3618"/>
      <c r="BQ289" s="1256"/>
      <c r="BR289" s="1256"/>
      <c r="BS289" s="1041" t="s">
        <v>1423</v>
      </c>
      <c r="BT289" s="1041"/>
      <c r="BU289" s="1041"/>
      <c r="BV289" s="956"/>
      <c r="BW289" s="956"/>
    </row>
    <row s="1624" customFormat="1" customHeight="1" ht="14.25">
      <c r="A290" s="1256"/>
      <c r="B290" s="955"/>
      <c r="C290" s="73"/>
      <c r="D290" s="73" cm="1" t="str">
        <f t="array" ref="D290:D290">D289</f>
        <v>7</v>
      </c>
      <c r="E290" s="596">
        <v>15</v>
      </c>
      <c r="F290" s="50" cm="1" t="str">
        <f t="array" ref="F290:F290">OFFSET(E290,-1,1)</f>
        <v>1</v>
      </c>
      <c r="G290" s="73" t="s">
        <v>308</v>
      </c>
      <c r="H290" s="73"/>
      <c r="I290" s="73" t="s">
        <v>1700</v>
      </c>
      <c r="J290" s="73"/>
      <c r="K290" s="124" t="s">
        <v>1700</v>
      </c>
      <c r="L290" s="957" t="s">
        <v>1699</v>
      </c>
      <c r="M290" s="73"/>
      <c r="N290" s="73"/>
      <c r="O290" s="73"/>
      <c r="P290" s="73"/>
      <c r="Q290" s="73"/>
      <c r="R290" s="73"/>
      <c r="S290" s="73"/>
      <c r="T290" s="438" cm="1" t="str">
        <f t="array" ref="T290:T290">T289</f>
        <v>true</v>
      </c>
      <c r="U290" s="73"/>
      <c r="V290" s="73"/>
      <c r="W290" s="73"/>
      <c r="X290" s="1541"/>
      <c r="Y290" s="1256"/>
      <c r="Z290" s="1494"/>
      <c r="AA290" s="1256"/>
      <c r="AB290" s="266" t="str">
        <f>IF(B285,D286&amp;".8",D286&amp;".6")</f>
        <v>7.8</v>
      </c>
      <c r="AC290" s="758" t="s">
        <v>1424</v>
      </c>
      <c r="AD290" s="266" t="s">
        <v>789</v>
      </c>
      <c r="AE290" s="3564"/>
      <c r="AF290" s="3564"/>
      <c r="AG290" s="3564"/>
      <c r="AH290" s="1092">
        <f>AG290-AF290</f>
        <v>0</v>
      </c>
      <c r="AI290" s="3564"/>
      <c r="AJ290" s="3564">
        <f>_xlfn.SUMIFS('Корректировка НВВ'!$AF$25:$AF$129,'Корректировка НВВ'!$F$25:$F$129,$F290,'Корректировка НВВ'!$I$25:$I$129,$G290)</f>
        <v>0</v>
      </c>
      <c r="AK290" s="3564"/>
      <c r="AL290" s="3564"/>
      <c r="AM290" s="3564"/>
      <c r="AN290" s="3564"/>
      <c r="AO290" s="3564"/>
      <c r="AP290" s="3564"/>
      <c r="AQ290" s="3564"/>
      <c r="AR290" s="3564"/>
      <c r="AS290" s="3564"/>
      <c r="AT290" s="3564">
        <f>_xlfn.SUMIFS('Корректировка НВВ'!$AG$25:$AG$129,'Корректировка НВВ'!$F$25:$F$129,$F290,'Корректировка НВВ'!$I$25:$I$129,$G290)</f>
        <v>0</v>
      </c>
      <c r="AU290" s="3564"/>
      <c r="AV290" s="3564"/>
      <c r="AW290" s="3564"/>
      <c r="AX290" s="3564"/>
      <c r="AY290" s="3564"/>
      <c r="AZ290" s="3564"/>
      <c r="BA290" s="3564"/>
      <c r="BB290" s="3564"/>
      <c r="BC290" s="3564"/>
      <c r="BD290" s="1093"/>
      <c r="BE290" s="1093"/>
      <c r="BF290" s="1093"/>
      <c r="BG290" s="1093"/>
      <c r="BH290" s="1093"/>
      <c r="BI290" s="1093"/>
      <c r="BJ290" s="1093"/>
      <c r="BK290" s="1093"/>
      <c r="BL290" s="1093"/>
      <c r="BM290" s="1093"/>
      <c r="BN290" s="3618"/>
      <c r="BO290" s="3620" t="str">
        <f>IF(_xlfn.IFERROR(INDEX('Корректировка НВВ'!$K$26:$L$129,MATCH($F290&amp;"9komm",'Корректировка НВВ'!$K$26:$K$129,0),2),"")=0,"",_xlfn.IFERROR(INDEX('Корректировка НВВ'!$K$26:$L$129,MATCH($F290&amp;"9komm",'Корректировка НВВ'!$K$26:$K$129,0),2),""))</f>
        <v/>
      </c>
      <c r="BP290" s="3618"/>
      <c r="BQ290" s="1256"/>
      <c r="BR290" s="1256"/>
      <c r="BS290" s="1041" t="s">
        <v>2035</v>
      </c>
      <c r="BT290" s="1041"/>
      <c r="BU290" s="1041"/>
      <c r="BV290" s="956"/>
      <c r="BW290" s="956"/>
    </row>
    <row s="1624" customFormat="1" customHeight="1" ht="14.25">
      <c r="A291" s="1256"/>
      <c r="B291" s="955"/>
      <c r="C291" s="73"/>
      <c r="D291" s="73" cm="1" t="str">
        <f t="array" ref="D291:D291">D290</f>
        <v>7</v>
      </c>
      <c r="E291" s="596">
        <v>15</v>
      </c>
      <c r="F291" s="50" cm="1" t="str">
        <f t="array" ref="F291:F291">OFFSET(E291,-1,1)</f>
        <v>1</v>
      </c>
      <c r="G291" s="73" t="s">
        <v>2036</v>
      </c>
      <c r="H291" s="73"/>
      <c r="I291" s="73" t="s">
        <v>1702</v>
      </c>
      <c r="J291" s="73"/>
      <c r="K291" s="124" t="s">
        <v>1702</v>
      </c>
      <c r="L291" s="957" t="s">
        <v>1700</v>
      </c>
      <c r="M291" s="73"/>
      <c r="N291" s="73"/>
      <c r="O291" s="73"/>
      <c r="P291" s="73"/>
      <c r="Q291" s="73"/>
      <c r="R291" s="73"/>
      <c r="S291" s="73"/>
      <c r="T291" s="438" cm="1" t="str">
        <f t="array" ref="T291:T291">T290</f>
        <v>true</v>
      </c>
      <c r="U291" s="73"/>
      <c r="V291" s="73"/>
      <c r="W291" s="73"/>
      <c r="X291" s="1541"/>
      <c r="Y291" s="1256"/>
      <c r="Z291" s="1494"/>
      <c r="AA291" s="1256"/>
      <c r="AB291" s="266" t="str">
        <f>IF(B285,D286&amp;".9",D286&amp;".7")</f>
        <v>7.9</v>
      </c>
      <c r="AC291" s="758" t="s">
        <v>1426</v>
      </c>
      <c r="AD291" s="266" t="s">
        <v>789</v>
      </c>
      <c r="AE291" s="3564"/>
      <c r="AF291" s="3564"/>
      <c r="AG291" s="3564"/>
      <c r="AH291" s="1092">
        <f>AG291-AF291</f>
        <v>0</v>
      </c>
      <c r="AI291" s="3564"/>
      <c r="AJ291" s="3564">
        <f>_xlfn.SUMIFS('Корректировка НВВ'!$AF$25:$AF$129,'Корректировка НВВ'!$F$25:$F$129,$F291,'Корректировка НВВ'!$I$25:$I$129,$G291)</f>
        <v>0</v>
      </c>
      <c r="AK291" s="3564"/>
      <c r="AL291" s="3564"/>
      <c r="AM291" s="3564"/>
      <c r="AN291" s="3564"/>
      <c r="AO291" s="3564"/>
      <c r="AP291" s="3564"/>
      <c r="AQ291" s="3564"/>
      <c r="AR291" s="3564"/>
      <c r="AS291" s="3564"/>
      <c r="AT291" s="3564">
        <f>_xlfn.SUMIFS('Корректировка НВВ'!$AG$25:$AG$129,'Корректировка НВВ'!$F$25:$F$129,$F291,'Корректировка НВВ'!$I$25:$I$129,$G291)</f>
        <v>0</v>
      </c>
      <c r="AU291" s="3564"/>
      <c r="AV291" s="3564"/>
      <c r="AW291" s="3564"/>
      <c r="AX291" s="3564"/>
      <c r="AY291" s="3564"/>
      <c r="AZ291" s="3564"/>
      <c r="BA291" s="3564"/>
      <c r="BB291" s="3564"/>
      <c r="BC291" s="3564"/>
      <c r="BD291" s="1093"/>
      <c r="BE291" s="1093"/>
      <c r="BF291" s="1093"/>
      <c r="BG291" s="1093"/>
      <c r="BH291" s="1093"/>
      <c r="BI291" s="1093"/>
      <c r="BJ291" s="1093"/>
      <c r="BK291" s="1093"/>
      <c r="BL291" s="1093"/>
      <c r="BM291" s="1093"/>
      <c r="BN291" s="3618"/>
      <c r="BO291" s="3620" t="str">
        <f>IF(_xlfn.IFERROR(INDEX('Корректировка НВВ'!$K$26:$L$129,MATCH($F291&amp;"10komm",'Корректировка НВВ'!$K$26:$K$129,0),2),"")=0,"",_xlfn.IFERROR(INDEX('Корректировка НВВ'!$K$26:$L$129,MATCH($F291&amp;"10komm",'Корректировка НВВ'!$K$26:$K$129,0),2),""))</f>
        <v/>
      </c>
      <c r="BP291" s="3618"/>
      <c r="BQ291" s="1256"/>
      <c r="BR291" s="1256"/>
      <c r="BS291" s="1041" t="s">
        <v>1427</v>
      </c>
      <c r="BT291" s="1041"/>
      <c r="BU291" s="1041"/>
      <c r="BV291" s="956"/>
      <c r="BW291" s="956"/>
    </row>
    <row s="3673" customFormat="1" customHeight="1" ht="20.25">
      <c r="A292" s="676"/>
      <c r="B292" s="407"/>
      <c r="C292" s="75"/>
      <c r="D292" s="75">
        <f>D291+1</f>
        <v>8</v>
      </c>
      <c r="E292" s="802">
        <v>21</v>
      </c>
      <c r="F292" s="50" cm="1" t="str">
        <f t="array" ref="F292:F292">OFFSET(E292,-1,1)</f>
        <v>1</v>
      </c>
      <c r="G292" s="75"/>
      <c r="H292" s="75"/>
      <c r="I292" s="75" t="s">
        <v>558</v>
      </c>
      <c r="J292" s="75"/>
      <c r="K292" s="128" t="s">
        <v>558</v>
      </c>
      <c r="L292" s="962"/>
      <c r="M292" s="75"/>
      <c r="N292" s="75"/>
      <c r="O292" s="75"/>
      <c r="P292" s="75"/>
      <c r="Q292" s="75"/>
      <c r="R292" s="75"/>
      <c r="S292" s="75"/>
      <c r="T292" s="438" cm="1" t="str">
        <f t="array" ref="T292:T292">T291</f>
        <v>true</v>
      </c>
      <c r="U292" s="75"/>
      <c r="V292" s="75"/>
      <c r="W292" s="75"/>
      <c r="X292" s="1541"/>
      <c r="Y292" s="676"/>
      <c r="Z292" s="1494"/>
      <c r="AA292" s="676"/>
      <c r="AB292" s="177" cm="1" t="str">
        <f t="array" ref="AB292:AB292">D292</f>
        <v>8</v>
      </c>
      <c r="AC292" s="178" t="s">
        <v>2037</v>
      </c>
      <c r="AD292" s="177" t="s">
        <v>789</v>
      </c>
      <c r="AE292" s="3608"/>
      <c r="AF292" s="3608"/>
      <c r="AG292" s="3608"/>
      <c r="AH292" s="754">
        <f>AG292-AF292</f>
        <v>0</v>
      </c>
      <c r="AI292" s="3608"/>
      <c r="AJ292" s="3608"/>
      <c r="AK292" s="3608"/>
      <c r="AL292" s="3608"/>
      <c r="AM292" s="3608"/>
      <c r="AN292" s="3608"/>
      <c r="AO292" s="3608"/>
      <c r="AP292" s="3608"/>
      <c r="AQ292" s="3608"/>
      <c r="AR292" s="3608"/>
      <c r="AS292" s="3608"/>
      <c r="AT292" s="3608"/>
      <c r="AU292" s="3608"/>
      <c r="AV292" s="3608"/>
      <c r="AW292" s="3608"/>
      <c r="AX292" s="3608"/>
      <c r="AY292" s="3608"/>
      <c r="AZ292" s="3608"/>
      <c r="BA292" s="3608"/>
      <c r="BB292" s="3608"/>
      <c r="BC292" s="3608"/>
      <c r="BD292" s="182"/>
      <c r="BE292" s="182"/>
      <c r="BF292" s="182"/>
      <c r="BG292" s="182"/>
      <c r="BH292" s="182"/>
      <c r="BI292" s="182"/>
      <c r="BJ292" s="182"/>
      <c r="BK292" s="182"/>
      <c r="BL292" s="182"/>
      <c r="BM292" s="182"/>
      <c r="BN292" s="3619"/>
      <c r="BO292" s="3619"/>
      <c r="BP292" s="3619"/>
      <c r="BQ292" s="676"/>
      <c r="BR292" s="676"/>
      <c r="BS292" s="1047" t="s">
        <v>2038</v>
      </c>
      <c r="BT292" s="1047"/>
      <c r="BU292" s="1047"/>
      <c r="BV292" s="683"/>
      <c r="BW292" s="683"/>
    </row>
    <row s="1624" customFormat="1" customHeight="1" ht="14.25">
      <c r="A293" s="1256"/>
      <c r="B293" s="955"/>
      <c r="C293" s="73"/>
      <c r="D293" s="75" cm="1" t="str">
        <f t="array" ref="D293:D293">D292</f>
        <v>8</v>
      </c>
      <c r="E293" s="596">
        <v>15</v>
      </c>
      <c r="F293" s="50" cm="1" t="str">
        <f t="array" ref="F293:F293">OFFSET(E293,-1,1)</f>
        <v>1</v>
      </c>
      <c r="G293" s="73"/>
      <c r="H293" s="73"/>
      <c r="I293" s="73" t="s">
        <v>562</v>
      </c>
      <c r="J293" s="73"/>
      <c r="K293" s="124" t="s">
        <v>562</v>
      </c>
      <c r="L293" s="957"/>
      <c r="M293" s="73"/>
      <c r="N293" s="73"/>
      <c r="O293" s="73"/>
      <c r="P293" s="73"/>
      <c r="Q293" s="73"/>
      <c r="R293" s="73"/>
      <c r="S293" s="73"/>
      <c r="T293" s="438" cm="1" t="str">
        <f t="array" ref="T293:T293">T292</f>
        <v>true</v>
      </c>
      <c r="U293" s="73"/>
      <c r="V293" s="73"/>
      <c r="W293" s="73"/>
      <c r="X293" s="1541"/>
      <c r="Y293" s="1256"/>
      <c r="Z293" s="1494"/>
      <c r="AA293" s="1256"/>
      <c r="AB293" s="266" t="str">
        <f>D293&amp;".1"</f>
        <v>8.1</v>
      </c>
      <c r="AC293" s="738" t="s">
        <v>2039</v>
      </c>
      <c r="AD293" s="266" t="s">
        <v>430</v>
      </c>
      <c r="AE293" s="1092">
        <f>IF(AE294=0,0,AE292/(AE294+AE279)*100)</f>
        <v>0</v>
      </c>
      <c r="AF293" s="1092">
        <f>IF(AF294=0,0,AF292/(AF294+AF279)*100)</f>
        <v>0</v>
      </c>
      <c r="AG293" s="1092">
        <f>IF(AG294=0,0,AG292/(AG294+AG279)*100)</f>
        <v>0</v>
      </c>
      <c r="AH293" s="1092">
        <f>AG293-AF293</f>
        <v>0</v>
      </c>
      <c r="AI293" s="1092">
        <f>IF(AI294=0,0,AI292/(AI294+AI279)*100)</f>
        <v>0</v>
      </c>
      <c r="AJ293" s="1092">
        <f>IF(AJ294=0,0,AJ292/(AJ294+AJ279)*100)</f>
        <v>0</v>
      </c>
      <c r="AK293" s="1092">
        <f>IF(AK294=0,0,AK292/(AK294+AK279)*100)</f>
        <v>0</v>
      </c>
      <c r="AL293" s="1092">
        <f>IF(AL294=0,0,AL292/(AL294+AL279)*100)</f>
        <v>0</v>
      </c>
      <c r="AM293" s="1092">
        <f>IF(AM294=0,0,AM292/(AM294+AM279)*100)</f>
        <v>0</v>
      </c>
      <c r="AN293" s="1092">
        <f>IF(AN294=0,0,AN292/(AN294+AN279)*100)</f>
        <v>0</v>
      </c>
      <c r="AO293" s="1092">
        <f>IF(AO294=0,0,AO292/(AO294+AO279)*100)</f>
        <v>0</v>
      </c>
      <c r="AP293" s="1092">
        <f>IF(AP294=0,0,AP292/(AP294+AP279)*100)</f>
        <v>0</v>
      </c>
      <c r="AQ293" s="1092">
        <f>IF(AQ294=0,0,AQ292/(AQ294+AQ279)*100)</f>
        <v>0</v>
      </c>
      <c r="AR293" s="1092">
        <f>IF(AR294=0,0,AR292/(AR294+AR279)*100)</f>
        <v>0</v>
      </c>
      <c r="AS293" s="1092">
        <f>IF(AS294=0,0,AS292/(AS294+AS279)*100)</f>
        <v>0</v>
      </c>
      <c r="AT293" s="1092">
        <f>IF(AT294=0,0,AT292/(AT294+AT279)*100)</f>
        <v>0</v>
      </c>
      <c r="AU293" s="1092">
        <f>IF(AU294=0,0,AU292/(AU294+AU279)*100)</f>
        <v>0</v>
      </c>
      <c r="AV293" s="1092">
        <f>IF(AV294=0,0,AV292/(AV294+AV279)*100)</f>
        <v>0</v>
      </c>
      <c r="AW293" s="1092">
        <f>IF(AW294=0,0,AW292/(AW294+AW279)*100)</f>
        <v>0</v>
      </c>
      <c r="AX293" s="1092">
        <f>IF(AX294=0,0,AX292/(AX294+AX279)*100)</f>
        <v>0</v>
      </c>
      <c r="AY293" s="1092">
        <f>IF(AY294=0,0,AY292/(AY294+AY279)*100)</f>
        <v>0</v>
      </c>
      <c r="AZ293" s="1092">
        <f>IF(AZ294=0,0,AZ292/(AZ294+AZ279)*100)</f>
        <v>0</v>
      </c>
      <c r="BA293" s="1092">
        <f>IF(BA294=0,0,BA292/(BA294+BA279)*100)</f>
        <v>0</v>
      </c>
      <c r="BB293" s="1092">
        <f>IF(BB294=0,0,BB292/(BB294+BB279)*100)</f>
        <v>0</v>
      </c>
      <c r="BC293" s="1092">
        <f>IF(BC294=0,0,BC292/(BC294+BC279)*100)</f>
        <v>0</v>
      </c>
      <c r="BD293" s="1093"/>
      <c r="BE293" s="1093"/>
      <c r="BF293" s="1093"/>
      <c r="BG293" s="1093"/>
      <c r="BH293" s="1093"/>
      <c r="BI293" s="1093"/>
      <c r="BJ293" s="1093"/>
      <c r="BK293" s="1093"/>
      <c r="BL293" s="1093"/>
      <c r="BM293" s="1093"/>
      <c r="BN293" s="3618"/>
      <c r="BO293" s="3618"/>
      <c r="BP293" s="3618"/>
      <c r="BQ293" s="1256"/>
      <c r="BR293" s="1256"/>
      <c r="BS293" s="1041" t="s">
        <v>2040</v>
      </c>
      <c r="BT293" s="1041"/>
      <c r="BU293" s="1041"/>
      <c r="BV293" s="956"/>
      <c r="BW293" s="956"/>
    </row>
    <row s="3674" customFormat="1" customHeight="1" ht="20.25">
      <c r="A294" s="676"/>
      <c r="B294" s="407"/>
      <c r="C294" s="75"/>
      <c r="D294" s="75">
        <f>D293+1</f>
        <v>9</v>
      </c>
      <c r="E294" s="802">
        <v>21</v>
      </c>
      <c r="F294" s="50" cm="1" t="str">
        <f t="array" ref="F294:F294">OFFSET(E294,-1,1)</f>
        <v>1</v>
      </c>
      <c r="G294" s="75"/>
      <c r="H294" s="73"/>
      <c r="I294" s="73" t="s">
        <v>716</v>
      </c>
      <c r="J294" s="75"/>
      <c r="K294" s="124" t="s">
        <v>716</v>
      </c>
      <c r="L294" s="962" t="s">
        <v>1702</v>
      </c>
      <c r="M294" s="75"/>
      <c r="N294" s="75"/>
      <c r="O294" s="75"/>
      <c r="P294" s="75"/>
      <c r="Q294" s="75"/>
      <c r="R294" s="75"/>
      <c r="S294" s="75"/>
      <c r="T294" s="438" cm="1" t="str">
        <f t="array" ref="T294:T294">T293</f>
        <v>true</v>
      </c>
      <c r="U294" s="75"/>
      <c r="V294" s="75"/>
      <c r="W294" s="75"/>
      <c r="X294" s="1541"/>
      <c r="Y294" s="676"/>
      <c r="Z294" s="1494"/>
      <c r="AA294" s="676"/>
      <c r="AB294" s="177" cm="1" t="str">
        <f t="array" ref="AB294:AB294">D294</f>
        <v>9</v>
      </c>
      <c r="AC294" s="178" t="s">
        <v>1704</v>
      </c>
      <c r="AD294" s="200" t="s">
        <v>789</v>
      </c>
      <c r="AE294" s="179">
        <f>AE172+AE222+AE258+AE259+AE261+AE266+AE267+AE270</f>
        <v>0</v>
      </c>
      <c r="AF294" s="179">
        <f>AF172+AF222+AF258+AF259+AF261+AF266+AF267+AF270</f>
        <v>0</v>
      </c>
      <c r="AG294" s="179">
        <f>AG172+AG222+AG258+AG259+AG261+AG266+AG267+AG270</f>
        <v>0</v>
      </c>
      <c r="AH294" s="754">
        <f>AG294-AF294</f>
        <v>0</v>
      </c>
      <c r="AI294" s="179">
        <f>AI172+AI222+AI258+AI259+AI261+AI266+AI267+AI270</f>
        <v>0</v>
      </c>
      <c r="AJ294" s="179">
        <f>AJ172+AJ222+AJ258+AJ259+AJ261+AJ266+AJ267+AJ270</f>
        <v>0</v>
      </c>
      <c r="AK294" s="179">
        <f>AK172+AK222+AK258+AK259+AK261+AK266+AK267+AK270</f>
        <v>0</v>
      </c>
      <c r="AL294" s="179">
        <f>AL172+AL222+AL258+AL259+AL261+AL266+AL267+AL270</f>
        <v>0</v>
      </c>
      <c r="AM294" s="179">
        <f>AM172+AM222+AM258+AM259+AM261+AM266+AM267+AM270</f>
        <v>0</v>
      </c>
      <c r="AN294" s="179">
        <f>AN172+AN222+AN258+AN259+AN261+AN266+AN267+AN270</f>
        <v>0</v>
      </c>
      <c r="AO294" s="179">
        <f>AO172+AO222+AO258+AO259+AO261+AO266+AO267+AO270</f>
        <v>0</v>
      </c>
      <c r="AP294" s="179">
        <f>AP172+AP222+AP258+AP259+AP261+AP266+AP267+AP270</f>
        <v>0</v>
      </c>
      <c r="AQ294" s="179">
        <f>AQ172+AQ222+AQ258+AQ259+AQ261+AQ266+AQ267+AQ270</f>
        <v>0</v>
      </c>
      <c r="AR294" s="179">
        <f>AR172+AR222+AR258+AR259+AR261+AR266+AR267+AR270</f>
        <v>0</v>
      </c>
      <c r="AS294" s="179">
        <f>AS172+AS222+AS258+AS259+AS261+AS266+AS267+AS270</f>
        <v>0</v>
      </c>
      <c r="AT294" s="179">
        <f>AT172+AT222+AT258+AT259+AT261+AT266+AT267+AT270</f>
        <v>0</v>
      </c>
      <c r="AU294" s="179">
        <f>AU172+AU222+AU258+AU259+AU261+AU266+AU267+AU270</f>
        <v>0</v>
      </c>
      <c r="AV294" s="179">
        <f>AV172+AV222+AV258+AV259+AV261+AV266+AV267+AV270</f>
        <v>0</v>
      </c>
      <c r="AW294" s="179">
        <f>AW172+AW222+AW258+AW259+AW261+AW266+AW267+AW270</f>
        <v>0</v>
      </c>
      <c r="AX294" s="179">
        <f>AX172+AX222+AX258+AX259+AX261+AX266+AX267+AX270</f>
        <v>0</v>
      </c>
      <c r="AY294" s="179">
        <f>AY172+AY222+AY258+AY259+AY261+AY266+AY267+AY270</f>
        <v>0</v>
      </c>
      <c r="AZ294" s="179">
        <f>AZ172+AZ222+AZ258+AZ259+AZ261+AZ266+AZ267+AZ270</f>
        <v>0</v>
      </c>
      <c r="BA294" s="179">
        <f>BA172+BA222+BA258+BA259+BA261+BA266+BA267+BA270</f>
        <v>0</v>
      </c>
      <c r="BB294" s="179">
        <f>BB172+BB222+BB258+BB259+BB261+BB266+BB267+BB270</f>
        <v>0</v>
      </c>
      <c r="BC294" s="179">
        <f>BC172+BC222+BC258+BC259+BC261+BC266+BC267+BC270</f>
        <v>0</v>
      </c>
      <c r="BD294" s="754">
        <f>IF(AI294=0,0,(AT294-AI294)/AI294*100)</f>
        <v>0</v>
      </c>
      <c r="BE294" s="754">
        <f>IF(AT294=0,0,(AU294-AT294)/AT294*100)</f>
        <v>0</v>
      </c>
      <c r="BF294" s="754">
        <f>IF(AU294=0,0,(AV294-AU294)/AU294*100)</f>
        <v>0</v>
      </c>
      <c r="BG294" s="754">
        <f>IF(AV294=0,0,(AW294-AV294)/AV294*100)</f>
        <v>0</v>
      </c>
      <c r="BH294" s="754">
        <f>IF(AW294=0,0,(AX294-AW294)/AW294*100)</f>
        <v>0</v>
      </c>
      <c r="BI294" s="754">
        <f>IF(AX294=0,0,(AY294-AX294)/AX294*100)</f>
        <v>0</v>
      </c>
      <c r="BJ294" s="754">
        <f>IF(AY294=0,0,(AZ294-AY294)/AY294*100)</f>
        <v>0</v>
      </c>
      <c r="BK294" s="754">
        <f>IF(AZ294=0,0,(BA294-AZ294)/AZ294*100)</f>
        <v>0</v>
      </c>
      <c r="BL294" s="754">
        <f>IF(BA294=0,0,(BB294-BA294)/BA294*100)</f>
        <v>0</v>
      </c>
      <c r="BM294" s="754">
        <f>IF(BB294=0,0,(BC294-BB294)/BB294*100)</f>
        <v>0</v>
      </c>
      <c r="BN294" s="3618"/>
      <c r="BO294" s="3618"/>
      <c r="BP294" s="3618"/>
      <c r="BQ294" s="676"/>
      <c r="BR294" s="676"/>
      <c r="BS294" s="1047" t="s">
        <v>1705</v>
      </c>
      <c r="BT294" s="1047"/>
      <c r="BU294" s="1047"/>
      <c r="BV294" s="683"/>
      <c r="BW294" s="683"/>
    </row>
    <row s="3675" customFormat="1" customHeight="1" ht="20.25">
      <c r="A295" s="676"/>
      <c r="B295" s="407"/>
      <c r="C295" s="75"/>
      <c r="D295" s="75">
        <f>D294+1</f>
        <v>10</v>
      </c>
      <c r="E295" s="802">
        <v>21</v>
      </c>
      <c r="F295" s="50" cm="1" t="str">
        <f t="array" ref="F295:F295">OFFSET(E295,-1,1)</f>
        <v>1</v>
      </c>
      <c r="G295" s="75"/>
      <c r="H295" s="73"/>
      <c r="I295" s="73" t="s">
        <v>1714</v>
      </c>
      <c r="J295" s="75"/>
      <c r="K295" s="124" t="s">
        <v>1714</v>
      </c>
      <c r="L295" s="962"/>
      <c r="M295" s="75"/>
      <c r="N295" s="75"/>
      <c r="O295" s="75"/>
      <c r="P295" s="75"/>
      <c r="Q295" s="75"/>
      <c r="R295" s="75"/>
      <c r="S295" s="75"/>
      <c r="T295" s="438" cm="1" t="str">
        <f t="array" ref="T295:T295">T294</f>
        <v>true</v>
      </c>
      <c r="U295" s="75"/>
      <c r="V295" s="75"/>
      <c r="W295" s="75"/>
      <c r="X295" s="1541"/>
      <c r="Y295" s="676"/>
      <c r="Z295" s="1494"/>
      <c r="AA295" s="676"/>
      <c r="AB295" s="177" cm="1" t="str">
        <f t="array" ref="AB295:AB295">D295</f>
        <v>10</v>
      </c>
      <c r="AC295" s="178" t="s">
        <v>2041</v>
      </c>
      <c r="AD295" s="177" t="s">
        <v>789</v>
      </c>
      <c r="AE295" s="179">
        <f>AE294+AE279+AE292</f>
        <v>0</v>
      </c>
      <c r="AF295" s="179">
        <f>AF294+AF279+AF292</f>
        <v>0</v>
      </c>
      <c r="AG295" s="179">
        <f>AG294+AG279+AG292</f>
        <v>0</v>
      </c>
      <c r="AH295" s="179">
        <f>AH294+AH279+AH292</f>
        <v>0</v>
      </c>
      <c r="AI295" s="179">
        <f>AI294+AI279+AI292</f>
        <v>0</v>
      </c>
      <c r="AJ295" s="179">
        <f>AJ294+AJ279+AJ292</f>
        <v>0</v>
      </c>
      <c r="AK295" s="179">
        <f>AK294+AK279+AK292</f>
        <v>0</v>
      </c>
      <c r="AL295" s="179">
        <f>AL294+AL279+AL292</f>
        <v>0</v>
      </c>
      <c r="AM295" s="179">
        <f>AM294+AM279+AM292</f>
        <v>0</v>
      </c>
      <c r="AN295" s="179">
        <f>AN294+AN279+AN292</f>
        <v>0</v>
      </c>
      <c r="AO295" s="179">
        <f>AO294+AO279+AO292</f>
        <v>0</v>
      </c>
      <c r="AP295" s="179">
        <f>AP294+AP279+AP292</f>
        <v>0</v>
      </c>
      <c r="AQ295" s="179">
        <f>AQ294+AQ279+AQ292</f>
        <v>0</v>
      </c>
      <c r="AR295" s="179">
        <f>AR294+AR279+AR292</f>
        <v>0</v>
      </c>
      <c r="AS295" s="179">
        <f>AS294+AS279+AS292</f>
        <v>0</v>
      </c>
      <c r="AT295" s="179">
        <f>AT294+AT279+AT292</f>
        <v>0</v>
      </c>
      <c r="AU295" s="179">
        <f>AU294+AU279+AU292</f>
        <v>0</v>
      </c>
      <c r="AV295" s="179">
        <f>AV294+AV279+AV292</f>
        <v>0</v>
      </c>
      <c r="AW295" s="179">
        <f>AW294+AW279+AW292</f>
        <v>0</v>
      </c>
      <c r="AX295" s="179">
        <f>AX294+AX279+AX292</f>
        <v>0</v>
      </c>
      <c r="AY295" s="179">
        <f>AY294+AY279+AY292</f>
        <v>0</v>
      </c>
      <c r="AZ295" s="179">
        <f>AZ294+AZ279+AZ292</f>
        <v>0</v>
      </c>
      <c r="BA295" s="179">
        <f>BA294+BA279+BA292</f>
        <v>0</v>
      </c>
      <c r="BB295" s="179">
        <f>BB294+BB279+BB292</f>
        <v>0</v>
      </c>
      <c r="BC295" s="179">
        <f>BC294+BC279+BC292</f>
        <v>0</v>
      </c>
      <c r="BD295" s="754">
        <f>IF(AI295=0,0,(AT295-AI295)/AI295*100)</f>
        <v>0</v>
      </c>
      <c r="BE295" s="754">
        <f>IF(AT295=0,0,(AU295-AT295)/AT295*100)</f>
        <v>0</v>
      </c>
      <c r="BF295" s="754">
        <f>IF(AU295=0,0,(AV295-AU295)/AU295*100)</f>
        <v>0</v>
      </c>
      <c r="BG295" s="754">
        <f>IF(AV295=0,0,(AW295-AV295)/AV295*100)</f>
        <v>0</v>
      </c>
      <c r="BH295" s="754">
        <f>IF(AW295=0,0,(AX295-AW295)/AW295*100)</f>
        <v>0</v>
      </c>
      <c r="BI295" s="754">
        <f>IF(AX295=0,0,(AY295-AX295)/AX295*100)</f>
        <v>0</v>
      </c>
      <c r="BJ295" s="754">
        <f>IF(AY295=0,0,(AZ295-AY295)/AY295*100)</f>
        <v>0</v>
      </c>
      <c r="BK295" s="754">
        <f>IF(AZ295=0,0,(BA295-AZ295)/AZ295*100)</f>
        <v>0</v>
      </c>
      <c r="BL295" s="754">
        <f>IF(BA295=0,0,(BB295-BA295)/BA295*100)</f>
        <v>0</v>
      </c>
      <c r="BM295" s="754">
        <f>IF(BB295=0,0,(BC295-BB295)/BB295*100)</f>
        <v>0</v>
      </c>
      <c r="BN295" s="3618"/>
      <c r="BO295" s="3618"/>
      <c r="BP295" s="3618"/>
      <c r="BQ295" s="676"/>
      <c r="BR295" s="676"/>
      <c r="BS295" s="1047" t="s">
        <v>2042</v>
      </c>
      <c r="BT295" s="1047"/>
      <c r="BU295" s="1047"/>
      <c r="BV295" s="683"/>
      <c r="BW295" s="683"/>
    </row>
    <row s="1624" customFormat="1" customHeight="1" ht="14.25" hidden="1">
      <c r="A296" s="1256"/>
      <c r="B296" s="417">
        <f>A171="двухставочный"</f>
        <v>0</v>
      </c>
      <c r="C296" s="73"/>
      <c r="D296" s="73" cm="1" t="str">
        <f t="array" ref="D296:D296">D295</f>
        <v>10</v>
      </c>
      <c r="E296" s="596">
        <v>15</v>
      </c>
      <c r="F296" s="50" cm="1" t="str">
        <f t="array" ref="F296:F296">OFFSET(E296,-1,1)</f>
        <v>1</v>
      </c>
      <c r="G296" s="73"/>
      <c r="H296" s="824"/>
      <c r="I296" s="824" t="s">
        <v>1718</v>
      </c>
      <c r="J296" s="73"/>
      <c r="K296" s="345" t="s">
        <v>1718</v>
      </c>
      <c r="L296" s="957" t="s">
        <v>1706</v>
      </c>
      <c r="M296" s="73"/>
      <c r="N296" s="73"/>
      <c r="O296" s="73"/>
      <c r="P296" s="73"/>
      <c r="Q296" s="73"/>
      <c r="R296" s="73"/>
      <c r="S296" s="73"/>
      <c r="T296" s="438" cm="1" t="str">
        <f t="array" ref="T296:T296">T295</f>
        <v>true</v>
      </c>
      <c r="U296" s="73"/>
      <c r="V296" s="73"/>
      <c r="W296" s="73"/>
      <c r="X296" s="1541"/>
      <c r="Y296" s="1256"/>
      <c r="Z296" s="1494"/>
      <c r="AA296" s="1256"/>
      <c r="AB296" s="266" t="str">
        <f>D296&amp;".1"</f>
        <v>10.1</v>
      </c>
      <c r="AC296" s="1090" t="s">
        <v>1708</v>
      </c>
      <c r="AD296" s="266" t="s">
        <v>789</v>
      </c>
      <c r="AE296" s="1219"/>
      <c r="AF296" s="1219"/>
      <c r="AG296" s="1219"/>
      <c r="AH296" s="1092">
        <f>AG296-AF296</f>
        <v>0</v>
      </c>
      <c r="AI296" s="1219"/>
      <c r="AJ296" s="3564"/>
      <c r="AK296" s="1219"/>
      <c r="AL296" s="1219"/>
      <c r="AM296" s="1219"/>
      <c r="AN296" s="1219"/>
      <c r="AO296" s="1219"/>
      <c r="AP296" s="1219"/>
      <c r="AQ296" s="1219"/>
      <c r="AR296" s="1219"/>
      <c r="AS296" s="1219"/>
      <c r="AT296" s="3564"/>
      <c r="AU296" s="1219"/>
      <c r="AV296" s="1219"/>
      <c r="AW296" s="1219"/>
      <c r="AX296" s="1219"/>
      <c r="AY296" s="1219"/>
      <c r="AZ296" s="1219"/>
      <c r="BA296" s="1219"/>
      <c r="BB296" s="1219"/>
      <c r="BC296" s="1219"/>
      <c r="BD296" s="1093"/>
      <c r="BE296" s="1093"/>
      <c r="BF296" s="1093"/>
      <c r="BG296" s="1093"/>
      <c r="BH296" s="1093"/>
      <c r="BI296" s="1093"/>
      <c r="BJ296" s="1093"/>
      <c r="BK296" s="1093"/>
      <c r="BL296" s="1093"/>
      <c r="BM296" s="1093"/>
      <c r="BN296" s="1216"/>
      <c r="BO296" s="1216"/>
      <c r="BP296" s="1216"/>
      <c r="BQ296" s="1256"/>
      <c r="BR296" s="1256"/>
      <c r="BS296" s="1039" t="s">
        <v>1709</v>
      </c>
      <c r="BT296" s="1041"/>
      <c r="BU296" s="1041"/>
      <c r="BV296" s="956"/>
      <c r="BW296" s="956"/>
    </row>
    <row s="1624" customFormat="1" customHeight="1" ht="14.25" hidden="1">
      <c r="A297" s="1256"/>
      <c r="B297" s="417">
        <f>A171="двухставочный"</f>
        <v>0</v>
      </c>
      <c r="C297" s="73"/>
      <c r="D297" s="73" cm="1" t="str">
        <f t="array" ref="D297:D297">D296</f>
        <v>10</v>
      </c>
      <c r="E297" s="596">
        <v>15</v>
      </c>
      <c r="F297" s="50" cm="1" t="str">
        <f t="array" ref="F297:F297">OFFSET(E297,-1,1)</f>
        <v>1</v>
      </c>
      <c r="G297" s="73"/>
      <c r="H297" s="824"/>
      <c r="I297" s="824" t="s">
        <v>1722</v>
      </c>
      <c r="J297" s="73"/>
      <c r="K297" s="345" t="s">
        <v>1722</v>
      </c>
      <c r="L297" s="957" t="s">
        <v>1710</v>
      </c>
      <c r="M297" s="73"/>
      <c r="N297" s="73"/>
      <c r="O297" s="73"/>
      <c r="P297" s="73"/>
      <c r="Q297" s="73"/>
      <c r="R297" s="73"/>
      <c r="S297" s="73"/>
      <c r="T297" s="438" cm="1" t="str">
        <f t="array" ref="T297:T297">T296</f>
        <v>true</v>
      </c>
      <c r="U297" s="73"/>
      <c r="V297" s="73"/>
      <c r="W297" s="73"/>
      <c r="X297" s="1541"/>
      <c r="Y297" s="1256"/>
      <c r="Z297" s="1494"/>
      <c r="AA297" s="1256"/>
      <c r="AB297" s="266" t="str">
        <f>D297&amp;".2"</f>
        <v>10.2</v>
      </c>
      <c r="AC297" s="1090" t="s">
        <v>1712</v>
      </c>
      <c r="AD297" s="266" t="s">
        <v>789</v>
      </c>
      <c r="AE297" s="1219"/>
      <c r="AF297" s="1219"/>
      <c r="AG297" s="1219"/>
      <c r="AH297" s="1092">
        <f>AG297-AF297</f>
        <v>0</v>
      </c>
      <c r="AI297" s="1219"/>
      <c r="AJ297" s="3564"/>
      <c r="AK297" s="1219"/>
      <c r="AL297" s="1219"/>
      <c r="AM297" s="1219"/>
      <c r="AN297" s="1219"/>
      <c r="AO297" s="1219"/>
      <c r="AP297" s="1219"/>
      <c r="AQ297" s="1219"/>
      <c r="AR297" s="1219"/>
      <c r="AS297" s="1219"/>
      <c r="AT297" s="3564"/>
      <c r="AU297" s="1219"/>
      <c r="AV297" s="1219"/>
      <c r="AW297" s="1219"/>
      <c r="AX297" s="1219"/>
      <c r="AY297" s="1219"/>
      <c r="AZ297" s="1219"/>
      <c r="BA297" s="1219"/>
      <c r="BB297" s="1219"/>
      <c r="BC297" s="1219"/>
      <c r="BD297" s="1093"/>
      <c r="BE297" s="1093"/>
      <c r="BF297" s="1093"/>
      <c r="BG297" s="1093"/>
      <c r="BH297" s="1093"/>
      <c r="BI297" s="1093"/>
      <c r="BJ297" s="1093"/>
      <c r="BK297" s="1093"/>
      <c r="BL297" s="1093"/>
      <c r="BM297" s="1093"/>
      <c r="BN297" s="1216"/>
      <c r="BO297" s="1216"/>
      <c r="BP297" s="1216"/>
      <c r="BQ297" s="1256"/>
      <c r="BR297" s="1256"/>
      <c r="BS297" s="1039" t="s">
        <v>1713</v>
      </c>
      <c r="BT297" s="1041"/>
      <c r="BU297" s="1041"/>
      <c r="BV297" s="956"/>
      <c r="BW297" s="956"/>
    </row>
    <row s="3676" customFormat="1" customHeight="1" ht="20.25">
      <c r="A298" s="676"/>
      <c r="B298" s="407"/>
      <c r="C298" s="75"/>
      <c r="D298" s="75">
        <f>D297+1</f>
        <v>11</v>
      </c>
      <c r="E298" s="802">
        <v>21</v>
      </c>
      <c r="F298" s="50" cm="1" t="str">
        <f t="array" ref="F298:F298">OFFSET(E298,-1,1)</f>
        <v>1</v>
      </c>
      <c r="G298" s="73" t="s">
        <v>1485</v>
      </c>
      <c r="H298" s="73"/>
      <c r="I298" s="73" t="s">
        <v>1742</v>
      </c>
      <c r="J298" s="75"/>
      <c r="K298" s="124" t="s">
        <v>1742</v>
      </c>
      <c r="L298" s="962" t="s">
        <v>1714</v>
      </c>
      <c r="M298" s="75"/>
      <c r="N298" s="75"/>
      <c r="O298" s="75"/>
      <c r="P298" s="75"/>
      <c r="Q298" s="75"/>
      <c r="R298" s="75"/>
      <c r="S298" s="75"/>
      <c r="T298" s="438" cm="1" t="str">
        <f t="array" ref="T298:T298">T297</f>
        <v>true</v>
      </c>
      <c r="U298" s="75"/>
      <c r="V298" s="75"/>
      <c r="W298" s="75"/>
      <c r="X298" s="1541"/>
      <c r="Y298" s="676"/>
      <c r="Z298" s="1494"/>
      <c r="AA298" s="676"/>
      <c r="AB298" s="177" cm="1" t="str">
        <f t="array" ref="AB298:AB298">D298</f>
        <v>11</v>
      </c>
      <c r="AC298" s="178" t="s">
        <v>1716</v>
      </c>
      <c r="AD298" s="177" t="s">
        <v>506</v>
      </c>
      <c r="AE298" s="761">
        <f>_xlfn.SUMIFS(Баланс!AE$26:AE$209,Баланс!$F$26:$F$209,$F298,Баланс!$G$26:$G$209,"ПО")</f>
        <v>36.8</v>
      </c>
      <c r="AF298" s="761">
        <f>_xlfn.SUMIFS(Баланс!AF$26:AF$209,Баланс!$F$26:$F$209,$F298,Баланс!$G$26:$G$209,"ПО")</f>
        <v>36.31109</v>
      </c>
      <c r="AG298" s="761">
        <f>_xlfn.SUMIFS(Баланс!AG$26:AG$209,Баланс!$F$26:$F$209,$F298,Баланс!$G$26:$G$209,"ПО")</f>
        <v>36.31109</v>
      </c>
      <c r="AH298" s="761">
        <f>AG298-AF298</f>
        <v>0</v>
      </c>
      <c r="AI298" s="761">
        <f>_xlfn.SUMIFS(Баланс!AH$26:AH$209,Баланс!$F$26:$F$209,$F298,Баланс!$G$26:$G$209,"ПО")</f>
        <v>37.30283</v>
      </c>
      <c r="AJ298" s="761">
        <f>_xlfn.SUMIFS(Баланс!AI$26:AI$209,Баланс!$F$26:$F$209,$F298,Баланс!$G$26:$G$209,"ПО")</f>
        <v>36.311</v>
      </c>
      <c r="AK298" s="761">
        <f>_xlfn.SUMIFS(Баланс!AJ$26:AJ$209,Баланс!$F$26:$F$209,$F298,Баланс!$G$26:$G$209,"ПО")</f>
        <v>0</v>
      </c>
      <c r="AL298" s="761">
        <f>_xlfn.SUMIFS(Баланс!AK$26:AK$209,Баланс!$F$26:$F$209,$F298,Баланс!$G$26:$G$209,"ПО")</f>
        <v>0</v>
      </c>
      <c r="AM298" s="761">
        <f>_xlfn.SUMIFS(Баланс!AL$26:AL$209,Баланс!$F$26:$F$209,$F298,Баланс!$G$26:$G$209,"ПО")</f>
        <v>0</v>
      </c>
      <c r="AN298" s="761">
        <f>_xlfn.SUMIFS(Баланс!AM$26:AM$209,Баланс!$F$26:$F$209,$F298,Баланс!$G$26:$G$209,"ПО")</f>
        <v>0</v>
      </c>
      <c r="AO298" s="761">
        <f>_xlfn.SUMIFS(Баланс!AN$26:AN$209,Баланс!$F$26:$F$209,$F298,Баланс!$G$26:$G$209,"ПО")</f>
        <v>0</v>
      </c>
      <c r="AP298" s="761">
        <f>_xlfn.SUMIFS(Баланс!AO$26:AO$209,Баланс!$F$26:$F$209,$F298,Баланс!$G$26:$G$209,"ПО")</f>
        <v>0</v>
      </c>
      <c r="AQ298" s="761">
        <f>_xlfn.SUMIFS(Баланс!AP$26:AP$209,Баланс!$F$26:$F$209,$F298,Баланс!$G$26:$G$209,"ПО")</f>
        <v>0</v>
      </c>
      <c r="AR298" s="761">
        <f>_xlfn.SUMIFS(Баланс!AQ$26:AQ$209,Баланс!$F$26:$F$209,$F298,Баланс!$G$26:$G$209,"ПО")</f>
        <v>0</v>
      </c>
      <c r="AS298" s="761">
        <f>_xlfn.SUMIFS(Баланс!AR$26:AR$209,Баланс!$F$26:$F$209,$F298,Баланс!$G$26:$G$209,"ПО")</f>
        <v>0</v>
      </c>
      <c r="AT298" s="761">
        <f>_xlfn.SUMIFS(Баланс!AS$26:AS$209,Баланс!$F$26:$F$209,$F298,Баланс!$G$26:$G$209,"ПО")</f>
        <v>35.62504</v>
      </c>
      <c r="AU298" s="761">
        <f>_xlfn.SUMIFS(Баланс!AT$26:AT$209,Баланс!$F$26:$F$209,$F298,Баланс!$G$26:$G$209,"ПО")</f>
        <v>0</v>
      </c>
      <c r="AV298" s="761">
        <f>_xlfn.SUMIFS(Баланс!AU$26:AU$209,Баланс!$F$26:$F$209,$F298,Баланс!$G$26:$G$209,"ПО")</f>
        <v>0</v>
      </c>
      <c r="AW298" s="761">
        <f>_xlfn.SUMIFS(Баланс!AV$26:AV$209,Баланс!$F$26:$F$209,$F298,Баланс!$G$26:$G$209,"ПО")</f>
        <v>0</v>
      </c>
      <c r="AX298" s="761">
        <f>_xlfn.SUMIFS(Баланс!AW$26:AW$209,Баланс!$F$26:$F$209,$F298,Баланс!$G$26:$G$209,"ПО")</f>
        <v>0</v>
      </c>
      <c r="AY298" s="761">
        <f>_xlfn.SUMIFS(Баланс!AX$26:AX$209,Баланс!$F$26:$F$209,$F298,Баланс!$G$26:$G$209,"ПО")</f>
        <v>0</v>
      </c>
      <c r="AZ298" s="761">
        <f>_xlfn.SUMIFS(Баланс!AY$26:AY$209,Баланс!$F$26:$F$209,$F298,Баланс!$G$26:$G$209,"ПО")</f>
        <v>0</v>
      </c>
      <c r="BA298" s="761">
        <f>_xlfn.SUMIFS(Баланс!AZ$26:AZ$209,Баланс!$F$26:$F$209,$F298,Баланс!$G$26:$G$209,"ПО")</f>
        <v>0</v>
      </c>
      <c r="BB298" s="761">
        <f>_xlfn.SUMIFS(Баланс!BA$26:BA$209,Баланс!$F$26:$F$209,$F298,Баланс!$G$26:$G$209,"ПО")</f>
        <v>0</v>
      </c>
      <c r="BC298" s="761">
        <f>_xlfn.SUMIFS(Баланс!BB$26:BB$209,Баланс!$F$26:$F$209,$F298,Баланс!$G$26:$G$209,"ПО")</f>
        <v>0</v>
      </c>
      <c r="BD298" s="182"/>
      <c r="BE298" s="182"/>
      <c r="BF298" s="182"/>
      <c r="BG298" s="182"/>
      <c r="BH298" s="182"/>
      <c r="BI298" s="182"/>
      <c r="BJ298" s="182"/>
      <c r="BK298" s="182"/>
      <c r="BL298" s="182"/>
      <c r="BM298" s="182"/>
      <c r="BN298" s="3618"/>
      <c r="BO298" s="3618"/>
      <c r="BP298" s="3618"/>
      <c r="BQ298" s="676"/>
      <c r="BR298" s="676"/>
      <c r="BS298" s="1040" t="s">
        <v>1717</v>
      </c>
      <c r="BT298" s="1047"/>
      <c r="BU298" s="1047"/>
      <c r="BV298" s="683"/>
      <c r="BW298" s="683"/>
    </row>
    <row s="1624" customFormat="1" customHeight="1" ht="14.25">
      <c r="A299" s="1256"/>
      <c r="B299" s="955"/>
      <c r="C299" s="73"/>
      <c r="D299" s="73" cm="1" t="str">
        <f t="array" ref="D299:D299">D298</f>
        <v>11</v>
      </c>
      <c r="E299" s="596">
        <v>15</v>
      </c>
      <c r="F299" s="50" cm="1" t="str">
        <f t="array" ref="F299:F299">OFFSET(E299,-1,1)</f>
        <v>1</v>
      </c>
      <c r="G299" s="73" t="s">
        <v>1512</v>
      </c>
      <c r="H299" s="73"/>
      <c r="I299" s="73" t="s">
        <v>2043</v>
      </c>
      <c r="J299" s="73"/>
      <c r="K299" s="124" t="s">
        <v>2043</v>
      </c>
      <c r="L299" s="957" t="s">
        <v>1718</v>
      </c>
      <c r="M299" s="73"/>
      <c r="N299" s="73"/>
      <c r="O299" s="73"/>
      <c r="P299" s="73"/>
      <c r="Q299" s="73"/>
      <c r="R299" s="73"/>
      <c r="S299" s="73"/>
      <c r="T299" s="438" cm="1" t="str">
        <f t="array" ref="T299:T299">T298</f>
        <v>true</v>
      </c>
      <c r="U299" s="73"/>
      <c r="V299" s="73"/>
      <c r="W299" s="73"/>
      <c r="X299" s="1541"/>
      <c r="Y299" s="1256"/>
      <c r="Z299" s="1494"/>
      <c r="AA299" s="1256"/>
      <c r="AB299" s="266" t="str">
        <f>D299&amp;".1"</f>
        <v>11.1</v>
      </c>
      <c r="AC299" s="1089" t="s">
        <v>1720</v>
      </c>
      <c r="AD299" s="266" t="s">
        <v>506</v>
      </c>
      <c r="AE299" s="3551">
        <f>AE298/2</f>
        <v>18.4</v>
      </c>
      <c r="AF299" s="3551">
        <f>AF298/2</f>
        <v>18.155545</v>
      </c>
      <c r="AG299" s="3551">
        <f>AG298/2</f>
        <v>18.155545</v>
      </c>
      <c r="AH299" s="1091">
        <f>AG299-AF299</f>
        <v>0</v>
      </c>
      <c r="AI299" s="3551">
        <f>AI298/2</f>
        <v>18.651415</v>
      </c>
      <c r="AJ299" s="3551">
        <f>IF(god=2026,AJ298/12*9,AJ298/2)</f>
        <v>27.23325</v>
      </c>
      <c r="AK299" s="3551">
        <f>IF(god=2025,AK298/12*9,AK298/2)</f>
        <v>0</v>
      </c>
      <c r="AL299" s="3551">
        <f>AL298/2</f>
        <v>0</v>
      </c>
      <c r="AM299" s="3551">
        <f>AM298/2</f>
        <v>0</v>
      </c>
      <c r="AN299" s="3551">
        <f>AN298/2</f>
        <v>0</v>
      </c>
      <c r="AO299" s="3551">
        <f>AO298/2</f>
        <v>0</v>
      </c>
      <c r="AP299" s="3551">
        <f>AP298/2</f>
        <v>0</v>
      </c>
      <c r="AQ299" s="3551">
        <f>AQ298/2</f>
        <v>0</v>
      </c>
      <c r="AR299" s="3551">
        <f>AR298/2</f>
        <v>0</v>
      </c>
      <c r="AS299" s="3551">
        <f>AS298/2</f>
        <v>0</v>
      </c>
      <c r="AT299" s="3611">
        <f>IF(god=2026,AT298/12*9,AT298/2)</f>
        <v>26.71878</v>
      </c>
      <c r="AU299" s="3611">
        <f>IF(god=2025,AU298/12*9,AU298/2)</f>
        <v>0</v>
      </c>
      <c r="AV299" s="3551">
        <f>AV298/2</f>
        <v>0</v>
      </c>
      <c r="AW299" s="3551">
        <f>AW298/2</f>
        <v>0</v>
      </c>
      <c r="AX299" s="3551">
        <f>AX298/2</f>
        <v>0</v>
      </c>
      <c r="AY299" s="3551">
        <f>AY298/2</f>
        <v>0</v>
      </c>
      <c r="AZ299" s="3551">
        <f>AZ298/2</f>
        <v>0</v>
      </c>
      <c r="BA299" s="3551">
        <f>BA298/2</f>
        <v>0</v>
      </c>
      <c r="BB299" s="3551">
        <f>BB298/2</f>
        <v>0</v>
      </c>
      <c r="BC299" s="3551">
        <f>BC298/2</f>
        <v>0</v>
      </c>
      <c r="BD299" s="1093"/>
      <c r="BE299" s="1093"/>
      <c r="BF299" s="1093"/>
      <c r="BG299" s="1093"/>
      <c r="BH299" s="1093"/>
      <c r="BI299" s="1093"/>
      <c r="BJ299" s="1093"/>
      <c r="BK299" s="1093"/>
      <c r="BL299" s="1093"/>
      <c r="BM299" s="1093"/>
      <c r="BN299" s="3618"/>
      <c r="BO299" s="3618"/>
      <c r="BP299" s="3618"/>
      <c r="BQ299" s="1256"/>
      <c r="BR299" s="1256"/>
      <c r="BS299" s="1039" t="s">
        <v>1721</v>
      </c>
      <c r="BT299" s="1041"/>
      <c r="BU299" s="1041"/>
      <c r="BV299" s="956"/>
      <c r="BW299" s="956"/>
    </row>
    <row s="1624" customFormat="1" customHeight="1" ht="14.25">
      <c r="A300" s="1256"/>
      <c r="B300" s="955"/>
      <c r="C300" s="73"/>
      <c r="D300" s="73" cm="1" t="str">
        <f t="array" ref="D300:D300">D299</f>
        <v>11</v>
      </c>
      <c r="E300" s="596">
        <v>15</v>
      </c>
      <c r="F300" s="50" cm="1" t="str">
        <f t="array" ref="F300:F300">OFFSET(E300,-1,1)</f>
        <v>1</v>
      </c>
      <c r="G300" s="73" t="s">
        <v>1473</v>
      </c>
      <c r="H300" s="73"/>
      <c r="I300" s="73" t="s">
        <v>2044</v>
      </c>
      <c r="J300" s="73"/>
      <c r="K300" s="124" t="s">
        <v>2044</v>
      </c>
      <c r="L300" s="957" t="s">
        <v>1722</v>
      </c>
      <c r="M300" s="73"/>
      <c r="N300" s="73"/>
      <c r="O300" s="73"/>
      <c r="P300" s="73"/>
      <c r="Q300" s="73"/>
      <c r="R300" s="73"/>
      <c r="S300" s="73"/>
      <c r="T300" s="438" cm="1" t="str">
        <f t="array" ref="T300:T300">T299</f>
        <v>true</v>
      </c>
      <c r="U300" s="73"/>
      <c r="V300" s="73"/>
      <c r="W300" s="73"/>
      <c r="X300" s="1541"/>
      <c r="Y300" s="1256"/>
      <c r="Z300" s="1494"/>
      <c r="AA300" s="1256"/>
      <c r="AB300" s="266" t="str">
        <f>D300&amp;".2"</f>
        <v>11.2</v>
      </c>
      <c r="AC300" s="1089" t="s">
        <v>1724</v>
      </c>
      <c r="AD300" s="266" t="s">
        <v>1476</v>
      </c>
      <c r="AE300" s="3564"/>
      <c r="AF300" s="3564"/>
      <c r="AG300" s="3564"/>
      <c r="AH300" s="1092">
        <f>AG300-AF300</f>
        <v>0</v>
      </c>
      <c r="AI300" s="3564"/>
      <c r="AJ300" s="3564"/>
      <c r="AK300" s="3564"/>
      <c r="AL300" s="3564"/>
      <c r="AM300" s="3564"/>
      <c r="AN300" s="3564"/>
      <c r="AO300" s="3564"/>
      <c r="AP300" s="3564"/>
      <c r="AQ300" s="3564"/>
      <c r="AR300" s="3564"/>
      <c r="AS300" s="3564"/>
      <c r="AT300" s="3564"/>
      <c r="AU300" s="3564" cm="1" t="str">
        <f t="array" ref="AU300:AU300">AT302</f>
        <v>0</v>
      </c>
      <c r="AV300" s="3564" cm="1" t="str">
        <f t="array" ref="AV300:AV300">AU302</f>
        <v>0</v>
      </c>
      <c r="AW300" s="3564" cm="1" t="str">
        <f t="array" ref="AW300:AW300">AV302</f>
        <v>0</v>
      </c>
      <c r="AX300" s="3564" cm="1" t="str">
        <f t="array" ref="AX300:AX300">AW302</f>
        <v>0</v>
      </c>
      <c r="AY300" s="3564" cm="1" t="str">
        <f t="array" ref="AY300:AY300">AX302</f>
        <v>0</v>
      </c>
      <c r="AZ300" s="3564" cm="1" t="str">
        <f t="array" ref="AZ300:AZ300">AY302</f>
        <v>0</v>
      </c>
      <c r="BA300" s="3564" cm="1" t="str">
        <f t="array" ref="BA300:BA300">AZ302</f>
        <v>0</v>
      </c>
      <c r="BB300" s="3564" cm="1" t="str">
        <f t="array" ref="BB300:BB300">BA302</f>
        <v>0</v>
      </c>
      <c r="BC300" s="3564" cm="1" t="str">
        <f t="array" ref="BC300:BC300">BB302</f>
        <v>0</v>
      </c>
      <c r="BD300" s="1093"/>
      <c r="BE300" s="1093"/>
      <c r="BF300" s="1093"/>
      <c r="BG300" s="1093"/>
      <c r="BH300" s="1093"/>
      <c r="BI300" s="1093"/>
      <c r="BJ300" s="1093"/>
      <c r="BK300" s="1093"/>
      <c r="BL300" s="1093"/>
      <c r="BM300" s="1093"/>
      <c r="BN300" s="3618"/>
      <c r="BO300" s="3618"/>
      <c r="BP300" s="3618"/>
      <c r="BQ300" s="1256"/>
      <c r="BR300" s="1256"/>
      <c r="BS300" s="1039" t="s">
        <v>1725</v>
      </c>
      <c r="BT300" s="1041"/>
      <c r="BU300" s="1041"/>
      <c r="BV300" s="956"/>
      <c r="BW300" s="956"/>
    </row>
    <row s="1624" customFormat="1" customHeight="1" ht="14.25">
      <c r="A301" s="1256"/>
      <c r="B301" s="955"/>
      <c r="C301" s="73"/>
      <c r="D301" s="73" cm="1" t="str">
        <f t="array" ref="D301:D301">D300</f>
        <v>11</v>
      </c>
      <c r="E301" s="596">
        <v>15</v>
      </c>
      <c r="F301" s="50" cm="1" t="str">
        <f t="array" ref="F301:F301">OFFSET(E301,-1,1)</f>
        <v>1</v>
      </c>
      <c r="G301" s="73" t="s">
        <v>1525</v>
      </c>
      <c r="H301" s="73"/>
      <c r="I301" s="73" t="s">
        <v>2045</v>
      </c>
      <c r="J301" s="73"/>
      <c r="K301" s="124" t="s">
        <v>2045</v>
      </c>
      <c r="L301" s="957" t="s">
        <v>1726</v>
      </c>
      <c r="M301" s="73"/>
      <c r="N301" s="73"/>
      <c r="O301" s="73"/>
      <c r="P301" s="73"/>
      <c r="Q301" s="73"/>
      <c r="R301" s="73"/>
      <c r="S301" s="73"/>
      <c r="T301" s="438" cm="1" t="str">
        <f t="array" ref="T301:T301">T300</f>
        <v>true</v>
      </c>
      <c r="U301" s="73"/>
      <c r="V301" s="73"/>
      <c r="W301" s="73"/>
      <c r="X301" s="1541"/>
      <c r="Y301" s="1256"/>
      <c r="Z301" s="1494"/>
      <c r="AA301" s="1256"/>
      <c r="AB301" s="266" t="str">
        <f>D301&amp;".3"</f>
        <v>11.3</v>
      </c>
      <c r="AC301" s="1089" t="s">
        <v>2046</v>
      </c>
      <c r="AD301" s="266" t="s">
        <v>506</v>
      </c>
      <c r="AE301" s="1091">
        <f>AE298-AE299</f>
        <v>18.4</v>
      </c>
      <c r="AF301" s="1091">
        <f>AF298-AF299</f>
        <v>18.155545</v>
      </c>
      <c r="AG301" s="1091">
        <f>AG298-AG299</f>
        <v>18.155545</v>
      </c>
      <c r="AH301" s="1091">
        <f>AG301-AF301</f>
        <v>0</v>
      </c>
      <c r="AI301" s="1091">
        <f>AI298-AI299</f>
        <v>18.651415</v>
      </c>
      <c r="AJ301" s="1091">
        <f>AJ298-AJ299</f>
        <v>9.07775</v>
      </c>
      <c r="AK301" s="1091">
        <f>AK298-AK299</f>
        <v>0</v>
      </c>
      <c r="AL301" s="1091">
        <f>AL298-AL299</f>
        <v>0</v>
      </c>
      <c r="AM301" s="1091">
        <f>AM298-AM299</f>
        <v>0</v>
      </c>
      <c r="AN301" s="1091">
        <f>AN298-AN299</f>
        <v>0</v>
      </c>
      <c r="AO301" s="1091">
        <f>AO298-AO299</f>
        <v>0</v>
      </c>
      <c r="AP301" s="1091">
        <f>AP298-AP299</f>
        <v>0</v>
      </c>
      <c r="AQ301" s="1091">
        <f>AQ298-AQ299</f>
        <v>0</v>
      </c>
      <c r="AR301" s="1091">
        <f>AR298-AR299</f>
        <v>0</v>
      </c>
      <c r="AS301" s="1091">
        <f>AS298-AS299</f>
        <v>0</v>
      </c>
      <c r="AT301" s="1091">
        <f>AT298-AT299</f>
        <v>8.90626</v>
      </c>
      <c r="AU301" s="1091">
        <f>AU298-AU299</f>
        <v>0</v>
      </c>
      <c r="AV301" s="1091">
        <f>AV298-AV299</f>
        <v>0</v>
      </c>
      <c r="AW301" s="1091">
        <f>AW298-AW299</f>
        <v>0</v>
      </c>
      <c r="AX301" s="1091">
        <f>AX298-AX299</f>
        <v>0</v>
      </c>
      <c r="AY301" s="1091">
        <f>AY298-AY299</f>
        <v>0</v>
      </c>
      <c r="AZ301" s="1091">
        <f>AZ298-AZ299</f>
        <v>0</v>
      </c>
      <c r="BA301" s="1091">
        <f>BA298-BA299</f>
        <v>0</v>
      </c>
      <c r="BB301" s="1091">
        <f>BB298-BB299</f>
        <v>0</v>
      </c>
      <c r="BC301" s="1091">
        <f>BC298-BC299</f>
        <v>0</v>
      </c>
      <c r="BD301" s="1093"/>
      <c r="BE301" s="1093"/>
      <c r="BF301" s="1093"/>
      <c r="BG301" s="1093"/>
      <c r="BH301" s="1093"/>
      <c r="BI301" s="1093"/>
      <c r="BJ301" s="1093"/>
      <c r="BK301" s="1093"/>
      <c r="BL301" s="1093"/>
      <c r="BM301" s="1093"/>
      <c r="BN301" s="3618"/>
      <c r="BO301" s="3618"/>
      <c r="BP301" s="3618"/>
      <c r="BQ301" s="1256"/>
      <c r="BR301" s="1256"/>
      <c r="BS301" s="1039" t="s">
        <v>1729</v>
      </c>
      <c r="BT301" s="1041"/>
      <c r="BU301" s="1041"/>
      <c r="BV301" s="956"/>
      <c r="BW301" s="956"/>
    </row>
    <row s="1624" customFormat="1" customHeight="1" ht="14.25">
      <c r="A302" s="1256"/>
      <c r="B302" s="955"/>
      <c r="C302" s="73"/>
      <c r="D302" s="73" cm="1" t="str">
        <f t="array" ref="D302:D302">D301</f>
        <v>11</v>
      </c>
      <c r="E302" s="596">
        <v>15</v>
      </c>
      <c r="F302" s="50" cm="1" t="str">
        <f t="array" ref="F302:F302">OFFSET(E302,-1,1)</f>
        <v>1</v>
      </c>
      <c r="G302" s="73" t="s">
        <v>1478</v>
      </c>
      <c r="H302" s="73"/>
      <c r="I302" s="73" t="s">
        <v>2047</v>
      </c>
      <c r="J302" s="73"/>
      <c r="K302" s="124" t="s">
        <v>2047</v>
      </c>
      <c r="L302" s="957" t="s">
        <v>1730</v>
      </c>
      <c r="M302" s="73"/>
      <c r="N302" s="73"/>
      <c r="O302" s="73"/>
      <c r="P302" s="73"/>
      <c r="Q302" s="73"/>
      <c r="R302" s="73"/>
      <c r="S302" s="73"/>
      <c r="T302" s="438" cm="1" t="str">
        <f t="array" ref="T302:T302">T301</f>
        <v>true</v>
      </c>
      <c r="U302" s="73"/>
      <c r="V302" s="73"/>
      <c r="W302" s="73"/>
      <c r="X302" s="1541"/>
      <c r="Y302" s="1256"/>
      <c r="Z302" s="1494"/>
      <c r="AA302" s="1256"/>
      <c r="AB302" s="266" t="str">
        <f>D302&amp;".4"</f>
        <v>11.4</v>
      </c>
      <c r="AC302" s="1089" t="s">
        <v>1732</v>
      </c>
      <c r="AD302" s="266" t="s">
        <v>1476</v>
      </c>
      <c r="AE302" s="3564">
        <f>IF(AE301=0,0,(AE295-AE299*AE300)/AE301)</f>
        <v>0</v>
      </c>
      <c r="AF302" s="3564">
        <f>IF(AF301=0,0,(AF295-AF299*AF300)/AF301)</f>
        <v>0</v>
      </c>
      <c r="AG302" s="3564">
        <f>IF(AG301=0,0,(AG295-AG299*AG300)/AG301)</f>
        <v>0</v>
      </c>
      <c r="AH302" s="1092">
        <f>AG302-AF302</f>
        <v>0</v>
      </c>
      <c r="AI302" s="3564">
        <f>IF(AI301=0,0,(AI295-AI299*AI300)/AI301)</f>
        <v>0</v>
      </c>
      <c r="AJ302" s="3564">
        <f>IF(AJ301=0,0,(AJ295-AJ299*AJ300)/AJ301)</f>
        <v>0</v>
      </c>
      <c r="AK302" s="3564">
        <f>IF(AK301=0,0,(AK295-AK299*AK300)/AK301)</f>
        <v>0</v>
      </c>
      <c r="AL302" s="3564">
        <f>IF(AL301=0,0,(AL295-AL299*AL300)/AL301)</f>
        <v>0</v>
      </c>
      <c r="AM302" s="3564">
        <f>IF(AM301=0,0,(AM295-AM299*AM300)/AM301)</f>
        <v>0</v>
      </c>
      <c r="AN302" s="3564">
        <f>IF(AN301=0,0,(AN295-AN299*AN300)/AN301)</f>
        <v>0</v>
      </c>
      <c r="AO302" s="3564">
        <f>IF(AO301=0,0,(AO295-AO299*AO300)/AO301)</f>
        <v>0</v>
      </c>
      <c r="AP302" s="3564">
        <f>IF(AP301=0,0,(AP295-AP299*AP300)/AP301)</f>
        <v>0</v>
      </c>
      <c r="AQ302" s="3564">
        <f>IF(AQ301=0,0,(AQ295-AQ299*AQ300)/AQ301)</f>
        <v>0</v>
      </c>
      <c r="AR302" s="3564">
        <f>IF(AR301=0,0,(AR295-AR299*AR300)/AR301)</f>
        <v>0</v>
      </c>
      <c r="AS302" s="3564">
        <f>IF(AS301=0,0,(AS295-AS299*AS300)/AS301)</f>
        <v>0</v>
      </c>
      <c r="AT302" s="3564">
        <f>IF(AT301=0,0,(AT295-AT299*AT300)/AT301)</f>
        <v>0</v>
      </c>
      <c r="AU302" s="3564">
        <f>IF(AU301=0,0,(AU295-AU299*AU300)/AU301)</f>
        <v>0</v>
      </c>
      <c r="AV302" s="3564">
        <f>IF(AV301=0,0,(AV295-AV299*AV300)/AV301)</f>
        <v>0</v>
      </c>
      <c r="AW302" s="3564">
        <f>IF(AW301=0,0,(AW295-AW299*AW300)/AW301)</f>
        <v>0</v>
      </c>
      <c r="AX302" s="3564">
        <f>IF(AX301=0,0,(AX295-AX299*AX300)/AX301)</f>
        <v>0</v>
      </c>
      <c r="AY302" s="3564">
        <f>IF(AY301=0,0,(AY295-AY299*AY300)/AY301)</f>
        <v>0</v>
      </c>
      <c r="AZ302" s="3564">
        <f>IF(AZ301=0,0,(AZ295-AZ299*AZ300)/AZ301)</f>
        <v>0</v>
      </c>
      <c r="BA302" s="3564">
        <f>IF(BA301=0,0,(BA295-BA299*BA300)/BA301)</f>
        <v>0</v>
      </c>
      <c r="BB302" s="3564">
        <f>IF(BB301=0,0,(BB295-BB299*BB300)/BB301)</f>
        <v>0</v>
      </c>
      <c r="BC302" s="3564">
        <f>IF(BC301=0,0,(BC295-BC299*BC300)/BC301)</f>
        <v>0</v>
      </c>
      <c r="BD302" s="1093"/>
      <c r="BE302" s="1093"/>
      <c r="BF302" s="1093"/>
      <c r="BG302" s="1093"/>
      <c r="BH302" s="1093"/>
      <c r="BI302" s="1093"/>
      <c r="BJ302" s="1093"/>
      <c r="BK302" s="1093"/>
      <c r="BL302" s="1093"/>
      <c r="BM302" s="1093"/>
      <c r="BN302" s="3618"/>
      <c r="BO302" s="3618"/>
      <c r="BP302" s="3618"/>
      <c r="BQ302" s="1256"/>
      <c r="BR302" s="1256"/>
      <c r="BS302" s="1039" t="s">
        <v>1733</v>
      </c>
      <c r="BT302" s="1041"/>
      <c r="BU302" s="1041"/>
      <c r="BV302" s="956"/>
      <c r="BW302" s="956"/>
    </row>
    <row s="1624" customFormat="1" customHeight="1" ht="14.25">
      <c r="A303" s="1256"/>
      <c r="B303" s="955"/>
      <c r="C303" s="73"/>
      <c r="D303" s="73" cm="1" t="str">
        <f t="array" ref="D303:D303">D302</f>
        <v>11</v>
      </c>
      <c r="E303" s="596">
        <v>15</v>
      </c>
      <c r="F303" s="50" cm="1" t="str">
        <f t="array" ref="F303:F303">OFFSET(E303,-1,1)</f>
        <v>1</v>
      </c>
      <c r="G303" s="73"/>
      <c r="H303" s="73"/>
      <c r="I303" s="73" t="s">
        <v>2048</v>
      </c>
      <c r="J303" s="73"/>
      <c r="K303" s="124" t="s">
        <v>2048</v>
      </c>
      <c r="L303" s="957" t="s">
        <v>1734</v>
      </c>
      <c r="M303" s="73"/>
      <c r="N303" s="73"/>
      <c r="O303" s="73"/>
      <c r="P303" s="73"/>
      <c r="Q303" s="73"/>
      <c r="R303" s="73"/>
      <c r="S303" s="73"/>
      <c r="T303" s="438" cm="1" t="str">
        <f t="array" ref="T303:T303">T302</f>
        <v>true</v>
      </c>
      <c r="U303" s="73"/>
      <c r="V303" s="73"/>
      <c r="W303" s="73"/>
      <c r="X303" s="1541"/>
      <c r="Y303" s="1256"/>
      <c r="Z303" s="1494"/>
      <c r="AA303" s="1256"/>
      <c r="AB303" s="266" t="str">
        <f>D303&amp;".5"</f>
        <v>11.5</v>
      </c>
      <c r="AC303" s="1089" t="s">
        <v>1736</v>
      </c>
      <c r="AD303" s="266" t="s">
        <v>430</v>
      </c>
      <c r="AE303" s="1092">
        <f>IF(AE300=0,0,AE302/AE300*100)</f>
        <v>0</v>
      </c>
      <c r="AF303" s="1092">
        <f>IF(AF300=0,0,AF302/AF300*100)</f>
        <v>0</v>
      </c>
      <c r="AG303" s="1092">
        <f>IF(AG300=0,0,AG302/AG300*100)</f>
        <v>0</v>
      </c>
      <c r="AH303" s="1093"/>
      <c r="AI303" s="1092">
        <f>IF(AI300=0,0,AI302/AI300*100)</f>
        <v>0</v>
      </c>
      <c r="AJ303" s="1092">
        <f>IF(AJ300=0,0,AJ302/AJ300*100)</f>
        <v>0</v>
      </c>
      <c r="AK303" s="1092">
        <f>IF(AK300=0,0,AK302/AK300*100)</f>
        <v>0</v>
      </c>
      <c r="AL303" s="1092">
        <f>IF(AL300=0,0,AL302/AL300*100)</f>
        <v>0</v>
      </c>
      <c r="AM303" s="1092">
        <f>IF(AM300=0,0,AM302/AM300*100)</f>
        <v>0</v>
      </c>
      <c r="AN303" s="1092">
        <f>IF(AN300=0,0,AN302/AN300*100)</f>
        <v>0</v>
      </c>
      <c r="AO303" s="1092">
        <f>IF(AO300=0,0,AO302/AO300*100)</f>
        <v>0</v>
      </c>
      <c r="AP303" s="1092">
        <f>IF(AP300=0,0,AP302/AP300*100)</f>
        <v>0</v>
      </c>
      <c r="AQ303" s="1092">
        <f>IF(AQ300=0,0,AQ302/AQ300*100)</f>
        <v>0</v>
      </c>
      <c r="AR303" s="1092">
        <f>IF(AR300=0,0,AR302/AR300*100)</f>
        <v>0</v>
      </c>
      <c r="AS303" s="1092">
        <f>IF(AS300=0,0,AS302/AS300*100)</f>
        <v>0</v>
      </c>
      <c r="AT303" s="1092">
        <f>IF(AT300=0,0,AT302/AT300*100)</f>
        <v>0</v>
      </c>
      <c r="AU303" s="1092">
        <f>IF(AU300=0,0,AU302/AU300*100)</f>
        <v>0</v>
      </c>
      <c r="AV303" s="1092">
        <f>IF(AV300=0,0,AV302/AV300*100)</f>
        <v>0</v>
      </c>
      <c r="AW303" s="1092">
        <f>IF(AW300=0,0,AW302/AW300*100)</f>
        <v>0</v>
      </c>
      <c r="AX303" s="1092">
        <f>IF(AX300=0,0,AX302/AX300*100)</f>
        <v>0</v>
      </c>
      <c r="AY303" s="1092">
        <f>IF(AY300=0,0,AY302/AY300*100)</f>
        <v>0</v>
      </c>
      <c r="AZ303" s="1092">
        <f>IF(AZ300=0,0,AZ302/AZ300*100)</f>
        <v>0</v>
      </c>
      <c r="BA303" s="1092">
        <f>IF(BA300=0,0,BA302/BA300*100)</f>
        <v>0</v>
      </c>
      <c r="BB303" s="1092">
        <f>IF(BB300=0,0,BB302/BB300*100)</f>
        <v>0</v>
      </c>
      <c r="BC303" s="1092">
        <f>IF(BC300=0,0,BC302/BC300*100)</f>
        <v>0</v>
      </c>
      <c r="BD303" s="1093"/>
      <c r="BE303" s="1093"/>
      <c r="BF303" s="1093"/>
      <c r="BG303" s="1093"/>
      <c r="BH303" s="1093"/>
      <c r="BI303" s="1093"/>
      <c r="BJ303" s="1093"/>
      <c r="BK303" s="1093"/>
      <c r="BL303" s="1093"/>
      <c r="BM303" s="1093"/>
      <c r="BN303" s="3618"/>
      <c r="BO303" s="3618"/>
      <c r="BP303" s="3618"/>
      <c r="BQ303" s="1256"/>
      <c r="BR303" s="1256"/>
      <c r="BS303" s="1039" t="s">
        <v>1737</v>
      </c>
      <c r="BT303" s="1041"/>
      <c r="BU303" s="1041"/>
      <c r="BV303" s="956"/>
      <c r="BW303" s="956"/>
    </row>
    <row s="1624" customFormat="1" customHeight="1" ht="14.25">
      <c r="A304" s="1256"/>
      <c r="B304" s="955"/>
      <c r="C304" s="73"/>
      <c r="D304" s="73" cm="1" t="str">
        <f t="array" ref="D304:D304">D303</f>
        <v>11</v>
      </c>
      <c r="E304" s="596">
        <v>15</v>
      </c>
      <c r="F304" s="50" cm="1" t="str">
        <f t="array" ref="F304:F304">OFFSET(E304,-1,1)</f>
        <v>1</v>
      </c>
      <c r="G304" s="73"/>
      <c r="H304" s="73"/>
      <c r="I304" s="73" t="s">
        <v>2049</v>
      </c>
      <c r="J304" s="73"/>
      <c r="K304" s="124" t="s">
        <v>2049</v>
      </c>
      <c r="L304" s="957" t="s">
        <v>1738</v>
      </c>
      <c r="M304" s="73"/>
      <c r="N304" s="73"/>
      <c r="O304" s="73"/>
      <c r="P304" s="73"/>
      <c r="Q304" s="73"/>
      <c r="R304" s="73"/>
      <c r="S304" s="73"/>
      <c r="T304" s="438" cm="1" t="str">
        <f t="array" ref="T304:T304">T303</f>
        <v>true</v>
      </c>
      <c r="U304" s="73"/>
      <c r="V304" s="73"/>
      <c r="W304" s="73"/>
      <c r="X304" s="1541"/>
      <c r="Y304" s="1256"/>
      <c r="Z304" s="1494"/>
      <c r="AA304" s="1256"/>
      <c r="AB304" s="266" t="str">
        <f>D304&amp;".6"</f>
        <v>11.6</v>
      </c>
      <c r="AC304" s="1089" t="s">
        <v>1740</v>
      </c>
      <c r="AD304" s="266" t="s">
        <v>1476</v>
      </c>
      <c r="AE304" s="3564">
        <f>IF(AE298=0,0,AE295/AE298)</f>
        <v>0</v>
      </c>
      <c r="AF304" s="3564">
        <f>IF(AF298=0,0,AF295/AF298)</f>
        <v>0</v>
      </c>
      <c r="AG304" s="3564">
        <f>IF(AG298=0,0,AG295/AG298)</f>
        <v>0</v>
      </c>
      <c r="AH304" s="1092">
        <f>AG304-AF304</f>
        <v>0</v>
      </c>
      <c r="AI304" s="3564">
        <f>IF(AI298=0,0,AI295/AI298)</f>
        <v>0</v>
      </c>
      <c r="AJ304" s="3564">
        <f>IF(AJ298=0,0,AJ295/AJ298)</f>
        <v>0</v>
      </c>
      <c r="AK304" s="3564">
        <f>IF(AK298=0,0,AK295/AK298)</f>
        <v>0</v>
      </c>
      <c r="AL304" s="3564">
        <f>IF(AL298=0,0,AL295/AL298)</f>
        <v>0</v>
      </c>
      <c r="AM304" s="3564">
        <f>IF(AM298=0,0,AM295/AM298)</f>
        <v>0</v>
      </c>
      <c r="AN304" s="3564">
        <f>IF(AN298=0,0,AN295/AN298)</f>
        <v>0</v>
      </c>
      <c r="AO304" s="3564">
        <f>IF(AO298=0,0,AO295/AO298)</f>
        <v>0</v>
      </c>
      <c r="AP304" s="3564">
        <f>IF(AP298=0,0,AP295/AP298)</f>
        <v>0</v>
      </c>
      <c r="AQ304" s="3564">
        <f>IF(AQ298=0,0,AQ295/AQ298)</f>
        <v>0</v>
      </c>
      <c r="AR304" s="3564">
        <f>IF(AR298=0,0,AR295/AR298)</f>
        <v>0</v>
      </c>
      <c r="AS304" s="3564">
        <f>IF(AS298=0,0,AS295/AS298)</f>
        <v>0</v>
      </c>
      <c r="AT304" s="3564">
        <f>IF(AT298=0,0,AT295/AT298)</f>
        <v>0</v>
      </c>
      <c r="AU304" s="3564">
        <f>IF(AU298=0,0,AU295/AU298)</f>
        <v>0</v>
      </c>
      <c r="AV304" s="3564">
        <f>IF(AV298=0,0,AV295/AV298)</f>
        <v>0</v>
      </c>
      <c r="AW304" s="3564">
        <f>IF(AW298=0,0,AW295/AW298)</f>
        <v>0</v>
      </c>
      <c r="AX304" s="3564">
        <f>IF(AX298=0,0,AX295/AX298)</f>
        <v>0</v>
      </c>
      <c r="AY304" s="3564">
        <f>IF(AY298=0,0,AY295/AY298)</f>
        <v>0</v>
      </c>
      <c r="AZ304" s="3564">
        <f>IF(AZ298=0,0,AZ295/AZ298)</f>
        <v>0</v>
      </c>
      <c r="BA304" s="3564">
        <f>IF(BA298=0,0,BA295/BA298)</f>
        <v>0</v>
      </c>
      <c r="BB304" s="3564">
        <f>IF(BB298=0,0,BB295/BB298)</f>
        <v>0</v>
      </c>
      <c r="BC304" s="3564">
        <f>IF(BC298=0,0,BC295/BC298)</f>
        <v>0</v>
      </c>
      <c r="BD304" s="1093"/>
      <c r="BE304" s="1093"/>
      <c r="BF304" s="1093"/>
      <c r="BG304" s="1093"/>
      <c r="BH304" s="1093"/>
      <c r="BI304" s="1093"/>
      <c r="BJ304" s="1093"/>
      <c r="BK304" s="1093"/>
      <c r="BL304" s="1093"/>
      <c r="BM304" s="1093"/>
      <c r="BN304" s="3618"/>
      <c r="BO304" s="3618"/>
      <c r="BP304" s="3618"/>
      <c r="BQ304" s="1256"/>
      <c r="BR304" s="1256"/>
      <c r="BS304" s="1039" t="s">
        <v>1741</v>
      </c>
      <c r="BT304" s="1041"/>
      <c r="BU304" s="1041"/>
      <c r="BV304" s="956"/>
      <c r="BW304" s="956"/>
    </row>
    <row s="3677" customFormat="1" customHeight="1" ht="20.25">
      <c r="A305" s="676"/>
      <c r="B305" s="407"/>
      <c r="C305" s="75"/>
      <c r="D305" s="75">
        <f>D304+1</f>
        <v>12</v>
      </c>
      <c r="E305" s="802">
        <v>21</v>
      </c>
      <c r="F305" s="50" cm="1" t="str">
        <f t="array" ref="F305:F305">OFFSET(E305,-1,1)</f>
        <v>1</v>
      </c>
      <c r="G305" s="75"/>
      <c r="H305" s="73"/>
      <c r="I305" s="73" t="s">
        <v>1746</v>
      </c>
      <c r="J305" s="75"/>
      <c r="K305" s="124" t="s">
        <v>1746</v>
      </c>
      <c r="L305" s="962" t="s">
        <v>1742</v>
      </c>
      <c r="M305" s="75"/>
      <c r="N305" s="75"/>
      <c r="O305" s="75"/>
      <c r="P305" s="75"/>
      <c r="Q305" s="75"/>
      <c r="R305" s="75"/>
      <c r="S305" s="75"/>
      <c r="T305" s="438" cm="1" t="str">
        <f t="array" ref="T305:T305">T304</f>
        <v>true</v>
      </c>
      <c r="U305" s="75"/>
      <c r="V305" s="75"/>
      <c r="W305" s="75"/>
      <c r="X305" s="1541"/>
      <c r="Y305" s="676"/>
      <c r="Z305" s="1494"/>
      <c r="AA305" s="676"/>
      <c r="AB305" s="177" cm="1" t="str">
        <f t="array" ref="AB305:AB305">D305</f>
        <v>12</v>
      </c>
      <c r="AC305" s="178" t="s">
        <v>1744</v>
      </c>
      <c r="AD305" s="177" t="s">
        <v>789</v>
      </c>
      <c r="AE305" s="3614">
        <f>IF(AE298=0,0,AE295/AE298*AE306)</f>
        <v>0</v>
      </c>
      <c r="AF305" s="3614">
        <f>IF(AF298=0,0,AF295/AF298*AF306)</f>
        <v>0</v>
      </c>
      <c r="AG305" s="3614">
        <f>IF(AG298=0,0,AG295/AG298*AG306)</f>
        <v>0</v>
      </c>
      <c r="AH305" s="179">
        <f>AH307*AH308+AH309*AH310</f>
        <v>0</v>
      </c>
      <c r="AI305" s="3614">
        <f>IF(AI298=0,0,AI295/AI298*AI306)</f>
        <v>0</v>
      </c>
      <c r="AJ305" s="3614">
        <f>IF(AJ298=0,0,AJ295/AJ298*AJ306)</f>
        <v>0</v>
      </c>
      <c r="AK305" s="3614">
        <f>IF(AK298=0,0,AK295/AK298*AK306)</f>
        <v>0</v>
      </c>
      <c r="AL305" s="3614">
        <f>IF(AL298=0,0,AL295/AL298*AL306)</f>
        <v>0</v>
      </c>
      <c r="AM305" s="3614">
        <f>IF(AM298=0,0,AM295/AM298*AM306)</f>
        <v>0</v>
      </c>
      <c r="AN305" s="3614">
        <f>IF(AN298=0,0,AN295/AN298*AN306)</f>
        <v>0</v>
      </c>
      <c r="AO305" s="3614">
        <f>IF(AO298=0,0,AO295/AO298*AO306)</f>
        <v>0</v>
      </c>
      <c r="AP305" s="3614">
        <f>IF(AP298=0,0,AP295/AP298*AP306)</f>
        <v>0</v>
      </c>
      <c r="AQ305" s="3614">
        <f>IF(AQ298=0,0,AQ295/AQ298*AQ306)</f>
        <v>0</v>
      </c>
      <c r="AR305" s="3614">
        <f>IF(AR298=0,0,AR295/AR298*AR306)</f>
        <v>0</v>
      </c>
      <c r="AS305" s="3614">
        <f>IF(AS298=0,0,AS295/AS298*AS306)</f>
        <v>0</v>
      </c>
      <c r="AT305" s="3614">
        <f>IF(AT298=0,0,AT295/AT298*AT306)</f>
        <v>0</v>
      </c>
      <c r="AU305" s="3614">
        <f>IF(AU298=0,0,AU295/AU298*AU306)</f>
        <v>0</v>
      </c>
      <c r="AV305" s="3614">
        <f>IF(AV298=0,0,AV295/AV298*AV306)</f>
        <v>0</v>
      </c>
      <c r="AW305" s="3614">
        <f>IF(AW298=0,0,AW295/AW298*AW306)</f>
        <v>0</v>
      </c>
      <c r="AX305" s="3614">
        <f>IF(AX298=0,0,AX295/AX298*AX306)</f>
        <v>0</v>
      </c>
      <c r="AY305" s="3614">
        <f>IF(AY298=0,0,AY295/AY298*AY306)</f>
        <v>0</v>
      </c>
      <c r="AZ305" s="3614">
        <f>IF(AZ298=0,0,AZ295/AZ298*AZ306)</f>
        <v>0</v>
      </c>
      <c r="BA305" s="3614">
        <f>IF(BA298=0,0,BA295/BA298*BA306)</f>
        <v>0</v>
      </c>
      <c r="BB305" s="3614">
        <f>IF(BB298=0,0,BB295/BB298*BB306)</f>
        <v>0</v>
      </c>
      <c r="BC305" s="3614">
        <f>IF(BC298=0,0,BC295/BC298*BC306)</f>
        <v>0</v>
      </c>
      <c r="BD305" s="754">
        <f>IF(AI305=0,0,(AT305-AI305)/AI305*100)</f>
        <v>0</v>
      </c>
      <c r="BE305" s="754">
        <f>IF(AT305=0,0,(AU305-AT305)/AT305*100)</f>
        <v>0</v>
      </c>
      <c r="BF305" s="754">
        <f>IF(AU305=0,0,(AV305-AU305)/AU305*100)</f>
        <v>0</v>
      </c>
      <c r="BG305" s="754">
        <f>IF(AV305=0,0,(AW305-AV305)/AV305*100)</f>
        <v>0</v>
      </c>
      <c r="BH305" s="754">
        <f>IF(AW305=0,0,(AX305-AW305)/AW305*100)</f>
        <v>0</v>
      </c>
      <c r="BI305" s="754">
        <f>IF(AX305=0,0,(AY305-AX305)/AX305*100)</f>
        <v>0</v>
      </c>
      <c r="BJ305" s="754">
        <f>IF(AY305=0,0,(AZ305-AY305)/AY305*100)</f>
        <v>0</v>
      </c>
      <c r="BK305" s="754">
        <f>IF(AZ305=0,0,(BA305-AZ305)/AZ305*100)</f>
        <v>0</v>
      </c>
      <c r="BL305" s="754">
        <f>IF(BA305=0,0,(BB305-BA305)/BA305*100)</f>
        <v>0</v>
      </c>
      <c r="BM305" s="754">
        <f>IF(BB305=0,0,(BC305-BB305)/BB305*100)</f>
        <v>0</v>
      </c>
      <c r="BN305" s="3618"/>
      <c r="BO305" s="3618"/>
      <c r="BP305" s="3618"/>
      <c r="BQ305" s="676"/>
      <c r="BR305" s="676"/>
      <c r="BS305" s="1040" t="s">
        <v>1745</v>
      </c>
      <c r="BT305" s="1047"/>
      <c r="BU305" s="1047"/>
      <c r="BV305" s="683"/>
      <c r="BW305" s="683"/>
    </row>
    <row s="3678" customFormat="1" customHeight="1" ht="20.25">
      <c r="A306" s="676"/>
      <c r="B306" s="407"/>
      <c r="C306" s="75"/>
      <c r="D306" s="75">
        <f>D305+1</f>
        <v>13</v>
      </c>
      <c r="E306" s="802">
        <v>21</v>
      </c>
      <c r="F306" s="50" cm="1" t="str">
        <f t="array" ref="F306:F306">OFFSET(E306,-1,1)</f>
        <v>1</v>
      </c>
      <c r="G306" s="73" t="s">
        <v>1498</v>
      </c>
      <c r="H306" s="73"/>
      <c r="I306" s="73" t="s">
        <v>2050</v>
      </c>
      <c r="J306" s="75"/>
      <c r="K306" s="124" t="s">
        <v>2050</v>
      </c>
      <c r="L306" s="962" t="s">
        <v>1746</v>
      </c>
      <c r="M306" s="75"/>
      <c r="N306" s="75"/>
      <c r="O306" s="75"/>
      <c r="P306" s="75"/>
      <c r="Q306" s="75"/>
      <c r="R306" s="75"/>
      <c r="S306" s="75"/>
      <c r="T306" s="438" cm="1" t="str">
        <f t="array" ref="T306:T306">T305</f>
        <v>true</v>
      </c>
      <c r="U306" s="75"/>
      <c r="V306" s="75"/>
      <c r="W306" s="75"/>
      <c r="X306" s="1541"/>
      <c r="Y306" s="676"/>
      <c r="Z306" s="1494"/>
      <c r="AA306" s="676"/>
      <c r="AB306" s="177" cm="1" t="str">
        <f t="array" ref="AB306:AB306">D306</f>
        <v>13</v>
      </c>
      <c r="AC306" s="178" t="s">
        <v>1748</v>
      </c>
      <c r="AD306" s="177" t="s">
        <v>506</v>
      </c>
      <c r="AE306" s="761">
        <f>_xlfn.SUMIFS(Баланс!AE$26:AE$209,Баланс!$F$26:$F$209,$F306,Баланс!$G$26:$G$209,"население")</f>
        <v>0</v>
      </c>
      <c r="AF306" s="761">
        <f>_xlfn.SUMIFS(Баланс!AF$26:AF$209,Баланс!$F$26:$F$209,$F306,Баланс!$G$26:$G$209,"население")</f>
        <v>0</v>
      </c>
      <c r="AG306" s="761">
        <f>_xlfn.SUMIFS(Баланс!AG$26:AG$209,Баланс!$F$26:$F$209,$F306,Баланс!$G$26:$G$209,"население")</f>
        <v>0</v>
      </c>
      <c r="AH306" s="761">
        <f>AG306-AF306</f>
        <v>0</v>
      </c>
      <c r="AI306" s="761">
        <f>_xlfn.SUMIFS(Баланс!AH$26:AH$209,Баланс!$F$26:$F$209,$F306,Баланс!$G$26:$G$209,"население")</f>
        <v>0</v>
      </c>
      <c r="AJ306" s="761">
        <f>_xlfn.SUMIFS(Баланс!AI$26:AI$209,Баланс!$F$26:$F$209,$F306,Баланс!$G$26:$G$209,"население")</f>
        <v>0</v>
      </c>
      <c r="AK306" s="761">
        <f>_xlfn.SUMIFS(Баланс!AJ$26:AJ$209,Баланс!$F$26:$F$209,$F306,Баланс!$G$26:$G$209,"население")</f>
        <v>0</v>
      </c>
      <c r="AL306" s="761">
        <f>_xlfn.SUMIFS(Баланс!AK$26:AK$209,Баланс!$F$26:$F$209,$F306,Баланс!$G$26:$G$209,"население")</f>
        <v>0</v>
      </c>
      <c r="AM306" s="761">
        <f>_xlfn.SUMIFS(Баланс!AL$26:AL$209,Баланс!$F$26:$F$209,$F306,Баланс!$G$26:$G$209,"население")</f>
        <v>0</v>
      </c>
      <c r="AN306" s="761">
        <f>_xlfn.SUMIFS(Баланс!AM$26:AM$209,Баланс!$F$26:$F$209,$F306,Баланс!$G$26:$G$209,"население")</f>
        <v>0</v>
      </c>
      <c r="AO306" s="761">
        <f>_xlfn.SUMIFS(Баланс!AN$26:AN$209,Баланс!$F$26:$F$209,$F306,Баланс!$G$26:$G$209,"население")</f>
        <v>0</v>
      </c>
      <c r="AP306" s="761">
        <f>_xlfn.SUMIFS(Баланс!AO$26:AO$209,Баланс!$F$26:$F$209,$F306,Баланс!$G$26:$G$209,"население")</f>
        <v>0</v>
      </c>
      <c r="AQ306" s="761">
        <f>_xlfn.SUMIFS(Баланс!AP$26:AP$209,Баланс!$F$26:$F$209,$F306,Баланс!$G$26:$G$209,"население")</f>
        <v>0</v>
      </c>
      <c r="AR306" s="761">
        <f>_xlfn.SUMIFS(Баланс!AQ$26:AQ$209,Баланс!$F$26:$F$209,$F306,Баланс!$G$26:$G$209,"население")</f>
        <v>0</v>
      </c>
      <c r="AS306" s="761">
        <f>_xlfn.SUMIFS(Баланс!AR$26:AR$209,Баланс!$F$26:$F$209,$F306,Баланс!$G$26:$G$209,"население")</f>
        <v>0</v>
      </c>
      <c r="AT306" s="761">
        <f>_xlfn.SUMIFS(Баланс!AS$26:AS$209,Баланс!$F$26:$F$209,$F306,Баланс!$G$26:$G$209,"население")</f>
        <v>0</v>
      </c>
      <c r="AU306" s="761">
        <f>_xlfn.SUMIFS(Баланс!AT$26:AT$209,Баланс!$F$26:$F$209,$F306,Баланс!$G$26:$G$209,"население")</f>
        <v>0</v>
      </c>
      <c r="AV306" s="761">
        <f>_xlfn.SUMIFS(Баланс!AU$26:AU$209,Баланс!$F$26:$F$209,$F306,Баланс!$G$26:$G$209,"население")</f>
        <v>0</v>
      </c>
      <c r="AW306" s="761">
        <f>_xlfn.SUMIFS(Баланс!AV$26:AV$209,Баланс!$F$26:$F$209,$F306,Баланс!$G$26:$G$209,"население")</f>
        <v>0</v>
      </c>
      <c r="AX306" s="761">
        <f>_xlfn.SUMIFS(Баланс!AW$26:AW$209,Баланс!$F$26:$F$209,$F306,Баланс!$G$26:$G$209,"население")</f>
        <v>0</v>
      </c>
      <c r="AY306" s="761">
        <f>_xlfn.SUMIFS(Баланс!AX$26:AX$209,Баланс!$F$26:$F$209,$F306,Баланс!$G$26:$G$209,"население")</f>
        <v>0</v>
      </c>
      <c r="AZ306" s="761">
        <f>_xlfn.SUMIFS(Баланс!AY$26:AY$209,Баланс!$F$26:$F$209,$F306,Баланс!$G$26:$G$209,"население")</f>
        <v>0</v>
      </c>
      <c r="BA306" s="761">
        <f>_xlfn.SUMIFS(Баланс!AZ$26:AZ$209,Баланс!$F$26:$F$209,$F306,Баланс!$G$26:$G$209,"население")</f>
        <v>0</v>
      </c>
      <c r="BB306" s="761">
        <f>_xlfn.SUMIFS(Баланс!BA$26:BA$209,Баланс!$F$26:$F$209,$F306,Баланс!$G$26:$G$209,"население")</f>
        <v>0</v>
      </c>
      <c r="BC306" s="761">
        <f>_xlfn.SUMIFS(Баланс!BB$26:BB$209,Баланс!$F$26:$F$209,$F306,Баланс!$G$26:$G$209,"население")</f>
        <v>0</v>
      </c>
      <c r="BD306" s="182"/>
      <c r="BE306" s="182"/>
      <c r="BF306" s="182"/>
      <c r="BG306" s="182"/>
      <c r="BH306" s="182"/>
      <c r="BI306" s="182"/>
      <c r="BJ306" s="182"/>
      <c r="BK306" s="182"/>
      <c r="BL306" s="182"/>
      <c r="BM306" s="182"/>
      <c r="BN306" s="3618"/>
      <c r="BO306" s="3618"/>
      <c r="BP306" s="3618"/>
      <c r="BQ306" s="676"/>
      <c r="BR306" s="676"/>
      <c r="BS306" s="1040" t="s">
        <v>1749</v>
      </c>
      <c r="BT306" s="1047"/>
      <c r="BU306" s="1047"/>
      <c r="BV306" s="683"/>
      <c r="BW306" s="683"/>
    </row>
    <row s="1624" customFormat="1" customHeight="1" ht="14.25">
      <c r="A307" s="1256"/>
      <c r="B307" s="955"/>
      <c r="C307" s="73"/>
      <c r="D307" s="73" cm="1" t="str">
        <f t="array" ref="D307:D307">D306</f>
        <v>13</v>
      </c>
      <c r="E307" s="596">
        <v>15</v>
      </c>
      <c r="F307" s="50" cm="1" t="str">
        <f t="array" ref="F307:F307">OFFSET(E307,-1,1)</f>
        <v>1</v>
      </c>
      <c r="G307" s="73" t="s">
        <v>1532</v>
      </c>
      <c r="H307" s="73"/>
      <c r="I307" s="73" t="s">
        <v>2051</v>
      </c>
      <c r="J307" s="73"/>
      <c r="K307" s="124" t="s">
        <v>2051</v>
      </c>
      <c r="L307" s="957" t="s">
        <v>1750</v>
      </c>
      <c r="M307" s="73"/>
      <c r="N307" s="73"/>
      <c r="O307" s="73"/>
      <c r="P307" s="73"/>
      <c r="Q307" s="73"/>
      <c r="R307" s="73"/>
      <c r="S307" s="73"/>
      <c r="T307" s="438" cm="1" t="str">
        <f t="array" ref="T307:T307">T306</f>
        <v>true</v>
      </c>
      <c r="U307" s="73"/>
      <c r="V307" s="73"/>
      <c r="W307" s="73"/>
      <c r="X307" s="1541"/>
      <c r="Y307" s="1256"/>
      <c r="Z307" s="1494"/>
      <c r="AA307" s="1256"/>
      <c r="AB307" s="266" t="str">
        <f>D307&amp;".1"</f>
        <v>13.1</v>
      </c>
      <c r="AC307" s="1089" t="s">
        <v>1752</v>
      </c>
      <c r="AD307" s="266" t="s">
        <v>506</v>
      </c>
      <c r="AE307" s="3551">
        <f>AE306/2</f>
        <v>0</v>
      </c>
      <c r="AF307" s="3551">
        <f>AF306/2</f>
        <v>0</v>
      </c>
      <c r="AG307" s="3551">
        <f>AG306/2</f>
        <v>0</v>
      </c>
      <c r="AH307" s="1091">
        <f>AG307-AF307</f>
        <v>0</v>
      </c>
      <c r="AI307" s="3551">
        <f>AI306/2</f>
        <v>0</v>
      </c>
      <c r="AJ307" s="3551">
        <f>IF(god=2026,AJ306/12*9,AJ306/2)</f>
        <v>0</v>
      </c>
      <c r="AK307" s="3551">
        <f>IF(god=2025,AK306/12*9,AK306/2)</f>
        <v>0</v>
      </c>
      <c r="AL307" s="3551">
        <f>AL306/2</f>
        <v>0</v>
      </c>
      <c r="AM307" s="3551">
        <f>AM306/2</f>
        <v>0</v>
      </c>
      <c r="AN307" s="3551">
        <f>AN306/2</f>
        <v>0</v>
      </c>
      <c r="AO307" s="3551">
        <f>AO306/2</f>
        <v>0</v>
      </c>
      <c r="AP307" s="3551">
        <f>AP306/2</f>
        <v>0</v>
      </c>
      <c r="AQ307" s="3551">
        <f>AQ306/2</f>
        <v>0</v>
      </c>
      <c r="AR307" s="3551">
        <f>AR306/2</f>
        <v>0</v>
      </c>
      <c r="AS307" s="3551">
        <f>AS306/2</f>
        <v>0</v>
      </c>
      <c r="AT307" s="3611">
        <f>IF(god=2026,AT306/12*9,AT306/2)</f>
        <v>0</v>
      </c>
      <c r="AU307" s="3611">
        <f>IF(god=2025,AU306/12*9,AU306/2)</f>
        <v>0</v>
      </c>
      <c r="AV307" s="3551">
        <f>AV306/2</f>
        <v>0</v>
      </c>
      <c r="AW307" s="3551">
        <f>AW306/2</f>
        <v>0</v>
      </c>
      <c r="AX307" s="3551">
        <f>AX306/2</f>
        <v>0</v>
      </c>
      <c r="AY307" s="3551">
        <f>AY306/2</f>
        <v>0</v>
      </c>
      <c r="AZ307" s="3551">
        <f>AZ306/2</f>
        <v>0</v>
      </c>
      <c r="BA307" s="3551">
        <f>BA306/2</f>
        <v>0</v>
      </c>
      <c r="BB307" s="3551">
        <f>BB306/2</f>
        <v>0</v>
      </c>
      <c r="BC307" s="3551">
        <f>BC306/2</f>
        <v>0</v>
      </c>
      <c r="BD307" s="1093"/>
      <c r="BE307" s="1093"/>
      <c r="BF307" s="1093"/>
      <c r="BG307" s="1093"/>
      <c r="BH307" s="1093"/>
      <c r="BI307" s="1093"/>
      <c r="BJ307" s="1093"/>
      <c r="BK307" s="1093"/>
      <c r="BL307" s="1093"/>
      <c r="BM307" s="1093"/>
      <c r="BN307" s="3618"/>
      <c r="BO307" s="3618"/>
      <c r="BP307" s="3618"/>
      <c r="BQ307" s="1256"/>
      <c r="BR307" s="1256"/>
      <c r="BS307" s="1039" t="s">
        <v>1753</v>
      </c>
      <c r="BT307" s="1041"/>
      <c r="BU307" s="1041"/>
      <c r="BV307" s="956"/>
      <c r="BW307" s="956"/>
    </row>
    <row s="1624" customFormat="1" customHeight="1" ht="14.25">
      <c r="A308" s="1256"/>
      <c r="B308" s="955"/>
      <c r="C308" s="73"/>
      <c r="D308" s="73" cm="1" t="str">
        <f t="array" ref="D308:D308">D307</f>
        <v>13</v>
      </c>
      <c r="E308" s="596">
        <v>15</v>
      </c>
      <c r="F308" s="50" cm="1" t="str">
        <f t="array" ref="F308:F308">OFFSET(E308,-1,1)</f>
        <v>1</v>
      </c>
      <c r="G308" s="73" t="s">
        <v>1488</v>
      </c>
      <c r="H308" s="73"/>
      <c r="I308" s="73" t="s">
        <v>2052</v>
      </c>
      <c r="J308" s="73"/>
      <c r="K308" s="124" t="s">
        <v>2052</v>
      </c>
      <c r="L308" s="957" t="s">
        <v>1754</v>
      </c>
      <c r="M308" s="73"/>
      <c r="N308" s="73"/>
      <c r="O308" s="73"/>
      <c r="P308" s="73"/>
      <c r="Q308" s="73"/>
      <c r="R308" s="73"/>
      <c r="S308" s="73"/>
      <c r="T308" s="438" cm="1" t="str">
        <f t="array" ref="T308:T308">T307</f>
        <v>true</v>
      </c>
      <c r="U308" s="73"/>
      <c r="V308" s="73"/>
      <c r="W308" s="73"/>
      <c r="X308" s="1541"/>
      <c r="Y308" s="1256"/>
      <c r="Z308" s="1494"/>
      <c r="AA308" s="1256"/>
      <c r="AB308" s="266" t="str">
        <f>D308&amp;".2"</f>
        <v>13.2</v>
      </c>
      <c r="AC308" s="1089" t="s">
        <v>1756</v>
      </c>
      <c r="AD308" s="266" t="s">
        <v>1476</v>
      </c>
      <c r="AE308" s="3564">
        <f>IF(AE306=0,0,AE300*(1+Сценарии!AE$26))</f>
        <v>0</v>
      </c>
      <c r="AF308" s="3616">
        <f>IF(AF306=0,0,AF300*(1+Сценарии!AF$26))</f>
        <v>0</v>
      </c>
      <c r="AG308" s="3616">
        <f>IF(AG306=0,0,AG300*(1+Сценарии!AG$26))</f>
        <v>0</v>
      </c>
      <c r="AH308" s="1092">
        <f>AG308-AF308</f>
        <v>0</v>
      </c>
      <c r="AI308" s="3564">
        <f>IF(AI306=0,0,AI300*(1+Сценарии!AI$26))</f>
        <v>0</v>
      </c>
      <c r="AJ308" s="3616">
        <f>IF(AJ306=0,0,AJ300*(1+Сценарии!AJ$26))</f>
        <v>0</v>
      </c>
      <c r="AK308" s="3616">
        <f>IF(AK306=0,0,AK300*(1+Сценарии!AO$26))</f>
        <v>0</v>
      </c>
      <c r="AL308" s="3616">
        <f>IF(AL306=0,0,AL300*(1+Сценарии!AP$26))</f>
        <v>0</v>
      </c>
      <c r="AM308" s="3616">
        <f>IF(AM306=0,0,AM300*(1+Сценарии!AQ$26))</f>
        <v>0</v>
      </c>
      <c r="AN308" s="3616">
        <f>IF(AN306=0,0,AN300*(1+Сценарии!AR$26))</f>
        <v>0</v>
      </c>
      <c r="AO308" s="3616">
        <f>IF(AO306=0,0,AO300*(1+Сценарии!AS$26))</f>
        <v>0</v>
      </c>
      <c r="AP308" s="3616">
        <f>IF(AP306=0,0,AP300*(1+Сценарии!AT$26))</f>
        <v>0</v>
      </c>
      <c r="AQ308" s="3616">
        <f>IF(AQ306=0,0,AQ300*(1+Сценарии!AU$26))</f>
        <v>0</v>
      </c>
      <c r="AR308" s="3616">
        <f>IF(AR306=0,0,AR300*(1+Сценарии!AV$26))</f>
        <v>0</v>
      </c>
      <c r="AS308" s="3616">
        <f>IF(AS306=0,0,AS300*(1+Сценарии!AW$26))</f>
        <v>0</v>
      </c>
      <c r="AT308" s="3564">
        <f>IF(AT306=0,0,AT300*(1+Сценарии!AK$26))</f>
        <v>0</v>
      </c>
      <c r="AU308" s="3564">
        <f>IF(AU306=0,0,AU300*(1+Сценарии!AX$26))</f>
        <v>0</v>
      </c>
      <c r="AV308" s="3616">
        <f>IF(AV306=0,0,AV300*(1+Сценарии!AY$26))</f>
        <v>0</v>
      </c>
      <c r="AW308" s="3616">
        <f>IF(AW306=0,0,AW300*(1+Сценарии!AZ$26))</f>
        <v>0</v>
      </c>
      <c r="AX308" s="3616">
        <f>IF(AX306=0,0,AX300*(1+Сценарии!BA$26))</f>
        <v>0</v>
      </c>
      <c r="AY308" s="3616">
        <f>IF(AY306=0,0,AY300*(1+Сценарии!BB$26))</f>
        <v>0</v>
      </c>
      <c r="AZ308" s="3616">
        <f>IF(AZ306=0,0,AZ300*(1+Сценарии!BC$26))</f>
        <v>0</v>
      </c>
      <c r="BA308" s="3616">
        <f>IF(BA306=0,0,BA300*(1+Сценарии!BD$26))</f>
        <v>0</v>
      </c>
      <c r="BB308" s="3616">
        <f>IF(BB306=0,0,BB300*(1+Сценарии!BE$26))</f>
        <v>0</v>
      </c>
      <c r="BC308" s="3616">
        <f>IF(BC306=0,0,BC300*(1+Сценарии!BF$26))</f>
        <v>0</v>
      </c>
      <c r="BD308" s="1093"/>
      <c r="BE308" s="1093"/>
      <c r="BF308" s="1093"/>
      <c r="BG308" s="1093"/>
      <c r="BH308" s="1093"/>
      <c r="BI308" s="1093"/>
      <c r="BJ308" s="1093"/>
      <c r="BK308" s="1093"/>
      <c r="BL308" s="1093"/>
      <c r="BM308" s="1093"/>
      <c r="BN308" s="3618"/>
      <c r="BO308" s="3618"/>
      <c r="BP308" s="3618"/>
      <c r="BQ308" s="1256"/>
      <c r="BR308" s="1256"/>
      <c r="BS308" s="1039" t="s">
        <v>1757</v>
      </c>
      <c r="BT308" s="1041"/>
      <c r="BU308" s="1041"/>
      <c r="BV308" s="956"/>
      <c r="BW308" s="956"/>
    </row>
    <row s="1624" customFormat="1" customHeight="1" ht="14.25">
      <c r="A309" s="1256"/>
      <c r="B309" s="955"/>
      <c r="C309" s="73"/>
      <c r="D309" s="73" cm="1" t="str">
        <f t="array" ref="D309:D309">D308</f>
        <v>13</v>
      </c>
      <c r="E309" s="596">
        <v>15</v>
      </c>
      <c r="F309" s="50" cm="1" t="str">
        <f t="array" ref="F309:F309">OFFSET(E309,-1,1)</f>
        <v>1</v>
      </c>
      <c r="G309" s="73" t="s">
        <v>1539</v>
      </c>
      <c r="H309" s="73"/>
      <c r="I309" s="73" t="s">
        <v>2053</v>
      </c>
      <c r="J309" s="73"/>
      <c r="K309" s="73" t="s">
        <v>2053</v>
      </c>
      <c r="L309" s="957" t="s">
        <v>1758</v>
      </c>
      <c r="M309" s="73"/>
      <c r="N309" s="73"/>
      <c r="O309" s="73"/>
      <c r="P309" s="73"/>
      <c r="Q309" s="73"/>
      <c r="R309" s="73"/>
      <c r="S309" s="73"/>
      <c r="T309" s="438" cm="1" t="str">
        <f t="array" ref="T309:T309">T308</f>
        <v>true</v>
      </c>
      <c r="U309" s="73"/>
      <c r="V309" s="73"/>
      <c r="W309" s="73"/>
      <c r="X309" s="1541"/>
      <c r="Y309" s="1256"/>
      <c r="Z309" s="1494"/>
      <c r="AA309" s="1256"/>
      <c r="AB309" s="266" t="str">
        <f>D309&amp;".3"</f>
        <v>13.3</v>
      </c>
      <c r="AC309" s="1089" t="s">
        <v>1728</v>
      </c>
      <c r="AD309" s="266" t="s">
        <v>506</v>
      </c>
      <c r="AE309" s="1091">
        <f>AE306-AE307</f>
        <v>0</v>
      </c>
      <c r="AF309" s="1091">
        <f>AF306-AF307</f>
        <v>0</v>
      </c>
      <c r="AG309" s="1091">
        <f>AG306-AG307</f>
        <v>0</v>
      </c>
      <c r="AH309" s="1091">
        <f>AG309-AF309</f>
        <v>0</v>
      </c>
      <c r="AI309" s="1091">
        <f>AI306-AI307</f>
        <v>0</v>
      </c>
      <c r="AJ309" s="1091">
        <f>AJ306-AJ307</f>
        <v>0</v>
      </c>
      <c r="AK309" s="1091">
        <f>AK306-AK307</f>
        <v>0</v>
      </c>
      <c r="AL309" s="1091">
        <f>AL306-AL307</f>
        <v>0</v>
      </c>
      <c r="AM309" s="1091">
        <f>AM306-AM307</f>
        <v>0</v>
      </c>
      <c r="AN309" s="1091">
        <f>AN306-AN307</f>
        <v>0</v>
      </c>
      <c r="AO309" s="1091">
        <f>AO306-AO307</f>
        <v>0</v>
      </c>
      <c r="AP309" s="1091">
        <f>AP306-AP307</f>
        <v>0</v>
      </c>
      <c r="AQ309" s="1091">
        <f>AQ306-AQ307</f>
        <v>0</v>
      </c>
      <c r="AR309" s="1091">
        <f>AR306-AR307</f>
        <v>0</v>
      </c>
      <c r="AS309" s="1091">
        <f>AS306-AS307</f>
        <v>0</v>
      </c>
      <c r="AT309" s="1091">
        <f>AT306-AT307</f>
        <v>0</v>
      </c>
      <c r="AU309" s="1091">
        <f>AU306-AU307</f>
        <v>0</v>
      </c>
      <c r="AV309" s="1091">
        <f>AV306-AV307</f>
        <v>0</v>
      </c>
      <c r="AW309" s="1091">
        <f>AW306-AW307</f>
        <v>0</v>
      </c>
      <c r="AX309" s="1091">
        <f>AX306-AX307</f>
        <v>0</v>
      </c>
      <c r="AY309" s="1091">
        <f>AY306-AY307</f>
        <v>0</v>
      </c>
      <c r="AZ309" s="1091">
        <f>AZ306-AZ307</f>
        <v>0</v>
      </c>
      <c r="BA309" s="1091">
        <f>BA306-BA307</f>
        <v>0</v>
      </c>
      <c r="BB309" s="1091">
        <f>BB306-BB307</f>
        <v>0</v>
      </c>
      <c r="BC309" s="1091">
        <f>BC306-BC307</f>
        <v>0</v>
      </c>
      <c r="BD309" s="1093"/>
      <c r="BE309" s="1093"/>
      <c r="BF309" s="1093"/>
      <c r="BG309" s="1093"/>
      <c r="BH309" s="1093"/>
      <c r="BI309" s="1093"/>
      <c r="BJ309" s="1093"/>
      <c r="BK309" s="1093"/>
      <c r="BL309" s="1093"/>
      <c r="BM309" s="1093"/>
      <c r="BN309" s="3618"/>
      <c r="BO309" s="3618"/>
      <c r="BP309" s="3618"/>
      <c r="BQ309" s="1256"/>
      <c r="BR309" s="1256"/>
      <c r="BS309" s="1039" t="s">
        <v>1760</v>
      </c>
      <c r="BT309" s="1041"/>
      <c r="BU309" s="1041"/>
      <c r="BV309" s="956"/>
      <c r="BW309" s="956"/>
    </row>
    <row s="1624" customFormat="1" customHeight="1" ht="14.25">
      <c r="A310" s="1256"/>
      <c r="B310" s="955"/>
      <c r="C310" s="73"/>
      <c r="D310" s="73" cm="1" t="str">
        <f t="array" ref="D310:D310">D309</f>
        <v>13</v>
      </c>
      <c r="E310" s="596">
        <v>15</v>
      </c>
      <c r="F310" s="50" cm="1" t="str">
        <f t="array" ref="F310:F310">OFFSET(E310,-1,1)</f>
        <v>1</v>
      </c>
      <c r="G310" s="73" t="s">
        <v>1492</v>
      </c>
      <c r="H310" s="73"/>
      <c r="I310" s="73" t="s">
        <v>2054</v>
      </c>
      <c r="J310" s="73"/>
      <c r="K310" s="73" t="s">
        <v>2054</v>
      </c>
      <c r="L310" s="957" t="s">
        <v>1761</v>
      </c>
      <c r="M310" s="73"/>
      <c r="N310" s="73"/>
      <c r="O310" s="73"/>
      <c r="P310" s="73"/>
      <c r="Q310" s="73"/>
      <c r="R310" s="73"/>
      <c r="S310" s="73"/>
      <c r="T310" s="438" cm="1" t="str">
        <f t="array" ref="T310:T310">T309</f>
        <v>true</v>
      </c>
      <c r="U310" s="73"/>
      <c r="V310" s="73"/>
      <c r="W310" s="73"/>
      <c r="X310" s="1541"/>
      <c r="Y310" s="1256"/>
      <c r="Z310" s="1494"/>
      <c r="AA310" s="1256"/>
      <c r="AB310" s="266" t="str">
        <f>D310&amp;".4"</f>
        <v>13.4</v>
      </c>
      <c r="AC310" s="1089" t="s">
        <v>1732</v>
      </c>
      <c r="AD310" s="266" t="s">
        <v>1476</v>
      </c>
      <c r="AE310" s="3564">
        <f>IF(AE306=0,0,AE302*(1+Сценарии!AE$26))</f>
        <v>0</v>
      </c>
      <c r="AF310" s="3616">
        <f>IF(AF306=0,0,AF302*(1+Сценарии!AF$26))</f>
        <v>0</v>
      </c>
      <c r="AG310" s="3616">
        <f>IF(AG306=0,0,AG302*(1+Сценарии!AG$26))</f>
        <v>0</v>
      </c>
      <c r="AH310" s="1092">
        <f>AG310-AF310</f>
        <v>0</v>
      </c>
      <c r="AI310" s="3564">
        <f>IF(AI306=0,0,AI302*(1+Сценарии!AI$26))</f>
        <v>0</v>
      </c>
      <c r="AJ310" s="3616">
        <f>IF(AJ306=0,0,AJ302*(1+Сценарии!AJ$26))</f>
        <v>0</v>
      </c>
      <c r="AK310" s="3564">
        <f>IF(AK306=0,0,AK302*(1+Сценарии!AO$26))</f>
        <v>0</v>
      </c>
      <c r="AL310" s="3616">
        <f>IF(AL306=0,0,AL302*(1+Сценарии!AP$26))</f>
        <v>0</v>
      </c>
      <c r="AM310" s="3616">
        <f>IF(AM306=0,0,AM302*(1+Сценарии!AQ$26))</f>
        <v>0</v>
      </c>
      <c r="AN310" s="3616">
        <f>IF(AN306=0,0,AN302*(1+Сценарии!AR$26))</f>
        <v>0</v>
      </c>
      <c r="AO310" s="3616">
        <f>IF(AO306=0,0,AO302*(1+Сценарии!AS$26))</f>
        <v>0</v>
      </c>
      <c r="AP310" s="3616">
        <f>IF(AP306=0,0,AP302*(1+Сценарии!AT$26))</f>
        <v>0</v>
      </c>
      <c r="AQ310" s="3616">
        <f>IF(AQ306=0,0,AQ302*(1+Сценарии!AU$26))</f>
        <v>0</v>
      </c>
      <c r="AR310" s="3616">
        <f>IF(AR306=0,0,AR302*(1+Сценарии!AV$26))</f>
        <v>0</v>
      </c>
      <c r="AS310" s="3616">
        <f>IF(AS306=0,0,AS302*(1+Сценарии!AW$26))</f>
        <v>0</v>
      </c>
      <c r="AT310" s="3564">
        <f>IF(AT306=0,0,AT302*(1+Сценарии!AK$26))</f>
        <v>0</v>
      </c>
      <c r="AU310" s="3564">
        <f>IF(AU306=0,0,AU302*(1+Сценарии!AX$26))</f>
        <v>0</v>
      </c>
      <c r="AV310" s="3616">
        <f>IF(AV306=0,0,AV302*(1+Сценарии!AY$26))</f>
        <v>0</v>
      </c>
      <c r="AW310" s="3616">
        <f>IF(AW306=0,0,AW302*(1+Сценарии!AZ$26))</f>
        <v>0</v>
      </c>
      <c r="AX310" s="3616">
        <f>IF(AX306=0,0,AX302*(1+Сценарии!BA$26))</f>
        <v>0</v>
      </c>
      <c r="AY310" s="3616">
        <f>IF(AY306=0,0,AY302*(1+Сценарии!BB$26))</f>
        <v>0</v>
      </c>
      <c r="AZ310" s="3616">
        <f>IF(AZ306=0,0,AZ302*(1+Сценарии!BC$26))</f>
        <v>0</v>
      </c>
      <c r="BA310" s="3616">
        <f>IF(BA306=0,0,BA302*(1+Сценарии!BD$26))</f>
        <v>0</v>
      </c>
      <c r="BB310" s="3616">
        <f>IF(BB306=0,0,BB302*(1+Сценарии!BE$26))</f>
        <v>0</v>
      </c>
      <c r="BC310" s="3616">
        <f>IF(BC306=0,0,BC302*(1+Сценарии!BF$26))</f>
        <v>0</v>
      </c>
      <c r="BD310" s="1093"/>
      <c r="BE310" s="1093"/>
      <c r="BF310" s="1093"/>
      <c r="BG310" s="1093"/>
      <c r="BH310" s="1093"/>
      <c r="BI310" s="1093"/>
      <c r="BJ310" s="1093"/>
      <c r="BK310" s="1093"/>
      <c r="BL310" s="1093"/>
      <c r="BM310" s="1093"/>
      <c r="BN310" s="3618"/>
      <c r="BO310" s="3618"/>
      <c r="BP310" s="3618"/>
      <c r="BQ310" s="1256"/>
      <c r="BR310" s="1256"/>
      <c r="BS310" s="1039" t="s">
        <v>1764</v>
      </c>
      <c r="BT310" s="1041"/>
      <c r="BU310" s="1041"/>
      <c r="BV310" s="956"/>
      <c r="BW310" s="956"/>
    </row>
    <row s="1624" customFormat="1" customHeight="1" ht="14.25">
      <c r="A311" s="1256"/>
      <c r="B311" s="955"/>
      <c r="C311" s="73"/>
      <c r="D311" s="73">
        <f>D310+1</f>
        <v>14</v>
      </c>
      <c r="E311" s="596">
        <v>15</v>
      </c>
      <c r="F311" s="50" cm="1" t="str">
        <f t="array" ref="F311:F311">OFFSET(E311,-1,1)</f>
        <v>1</v>
      </c>
      <c r="G311" s="73"/>
      <c r="H311" s="73"/>
      <c r="I311" s="73"/>
      <c r="J311" s="73"/>
      <c r="K311" s="73"/>
      <c r="L311" s="957"/>
      <c r="M311" s="73"/>
      <c r="N311" s="73"/>
      <c r="O311" s="73"/>
      <c r="P311" s="73"/>
      <c r="Q311" s="73"/>
      <c r="R311" s="73"/>
      <c r="S311" s="73"/>
      <c r="T311" s="438" cm="1" t="str">
        <f t="array" ref="T311:T311">T310</f>
        <v>true</v>
      </c>
      <c r="U311" s="73"/>
      <c r="V311" s="73"/>
      <c r="W311" s="73"/>
      <c r="X311" s="1541"/>
      <c r="Y311" s="1256"/>
      <c r="Z311" s="1494"/>
      <c r="AA311" s="1256"/>
      <c r="AB311" s="177" cm="1" t="str">
        <f t="array" ref="AB311:AB311">D311</f>
        <v>14</v>
      </c>
      <c r="AC311" s="178" t="s">
        <v>1766</v>
      </c>
      <c r="AD311" s="177" t="s">
        <v>789</v>
      </c>
      <c r="AE311" s="3564"/>
      <c r="AF311" s="3564"/>
      <c r="AG311" s="3564"/>
      <c r="AH311" s="1092">
        <f>AG311-AF311</f>
        <v>0</v>
      </c>
      <c r="AI311" s="3564"/>
      <c r="AJ311" s="3564"/>
      <c r="AK311" s="3564"/>
      <c r="AL311" s="3564"/>
      <c r="AM311" s="3564"/>
      <c r="AN311" s="3564"/>
      <c r="AO311" s="3564"/>
      <c r="AP311" s="3564"/>
      <c r="AQ311" s="3564"/>
      <c r="AR311" s="3564"/>
      <c r="AS311" s="3564"/>
      <c r="AT311" s="3564"/>
      <c r="AU311" s="3564"/>
      <c r="AV311" s="3564"/>
      <c r="AW311" s="3564"/>
      <c r="AX311" s="3564"/>
      <c r="AY311" s="3564"/>
      <c r="AZ311" s="3564"/>
      <c r="BA311" s="3564"/>
      <c r="BB311" s="3564"/>
      <c r="BC311" s="3564"/>
      <c r="BD311" s="1093"/>
      <c r="BE311" s="1093"/>
      <c r="BF311" s="1093"/>
      <c r="BG311" s="1093"/>
      <c r="BH311" s="1093"/>
      <c r="BI311" s="1093"/>
      <c r="BJ311" s="1093"/>
      <c r="BK311" s="1093"/>
      <c r="BL311" s="1093"/>
      <c r="BM311" s="1093"/>
      <c r="BN311" s="3618"/>
      <c r="BO311" s="3618"/>
      <c r="BP311" s="3618"/>
      <c r="BQ311" s="1256"/>
      <c r="BR311" s="1256"/>
      <c r="BS311" s="1039" t="s">
        <v>1767</v>
      </c>
      <c r="BT311" s="1041"/>
      <c r="BU311" s="1041"/>
      <c r="BV311" s="956"/>
      <c r="BW311" s="956"/>
    </row>
    <row s="1211" customFormat="1" customHeight="1" ht="20.25">
      <c r="A312" s="1211"/>
      <c r="B312" s="729"/>
      <c r="C312" s="73"/>
      <c r="D312" s="73" cm="1" t="str">
        <f t="array" ref="D312:D312">D311</f>
        <v>14</v>
      </c>
      <c r="E312" s="596">
        <v>21</v>
      </c>
      <c r="F312" s="50" cm="1" t="str">
        <f t="array" ref="F312:F312">OFFSET(E312,-1,1)</f>
        <v>1</v>
      </c>
      <c r="G312" s="73"/>
      <c r="H312" s="73"/>
      <c r="I312" s="73"/>
      <c r="J312" s="73"/>
      <c r="K312" s="73"/>
      <c r="L312" s="957"/>
      <c r="M312" s="73"/>
      <c r="N312" s="73"/>
      <c r="O312" s="73"/>
      <c r="P312" s="73"/>
      <c r="Q312" s="73"/>
      <c r="R312" s="73"/>
      <c r="S312" s="73"/>
      <c r="T312" s="438" cm="1" t="str">
        <f t="array" ref="T312:T312">T311</f>
        <v>true</v>
      </c>
      <c r="U312" s="73"/>
      <c r="V312" s="73"/>
      <c r="W312" s="73"/>
      <c r="X312" s="1541"/>
      <c r="Y312" s="1211"/>
      <c r="Z312" s="1494"/>
      <c r="AA312" s="1211"/>
      <c r="AB312" s="266" t="str">
        <f>D312&amp;".1"</f>
        <v>14.1</v>
      </c>
      <c r="AC312" s="738" t="s">
        <v>1769</v>
      </c>
      <c r="AD312" s="266" t="s">
        <v>789</v>
      </c>
      <c r="AE312" s="3564"/>
      <c r="AF312" s="3564"/>
      <c r="AG312" s="3564"/>
      <c r="AH312" s="1092">
        <f>AG312-AF312</f>
        <v>0</v>
      </c>
      <c r="AI312" s="3564"/>
      <c r="AJ312" s="3564"/>
      <c r="AK312" s="3564"/>
      <c r="AL312" s="3564"/>
      <c r="AM312" s="3564"/>
      <c r="AN312" s="3564"/>
      <c r="AO312" s="3564"/>
      <c r="AP312" s="3564"/>
      <c r="AQ312" s="3564"/>
      <c r="AR312" s="3564"/>
      <c r="AS312" s="3564"/>
      <c r="AT312" s="3564"/>
      <c r="AU312" s="3564"/>
      <c r="AV312" s="3564"/>
      <c r="AW312" s="3564"/>
      <c r="AX312" s="3564"/>
      <c r="AY312" s="3564"/>
      <c r="AZ312" s="3564"/>
      <c r="BA312" s="3564"/>
      <c r="BB312" s="3564"/>
      <c r="BC312" s="3564"/>
      <c r="BD312" s="1093"/>
      <c r="BE312" s="1093"/>
      <c r="BF312" s="1093"/>
      <c r="BG312" s="1093"/>
      <c r="BH312" s="1093"/>
      <c r="BI312" s="1093"/>
      <c r="BJ312" s="1093"/>
      <c r="BK312" s="1093"/>
      <c r="BL312" s="1093"/>
      <c r="BM312" s="1093"/>
      <c r="BN312" s="3618"/>
      <c r="BO312" s="3618"/>
      <c r="BP312" s="3618"/>
      <c r="BQ312" s="1211"/>
      <c r="BR312" s="1211"/>
      <c r="BS312" s="1039" t="s">
        <v>1770</v>
      </c>
      <c r="BT312" s="1048"/>
      <c r="BU312" s="1048"/>
      <c r="BV312" s="1049"/>
      <c r="BW312" s="1049"/>
    </row>
    <row s="1211" customFormat="1" customHeight="1" ht="64.5">
      <c r="A313" s="1211"/>
      <c r="B313" s="729"/>
      <c r="C313" s="73"/>
      <c r="D313" s="73" cm="1" t="str">
        <f t="array" ref="D313:D313">D312</f>
        <v>14</v>
      </c>
      <c r="E313" s="596">
        <v>66.6</v>
      </c>
      <c r="F313" s="50" cm="1" t="str">
        <f t="array" ref="F313:F313">OFFSET(E313,-1,1)</f>
        <v>1</v>
      </c>
      <c r="G313" s="73"/>
      <c r="H313" s="73"/>
      <c r="I313" s="73"/>
      <c r="J313" s="73"/>
      <c r="K313" s="73"/>
      <c r="L313" s="957"/>
      <c r="M313" s="73"/>
      <c r="N313" s="73"/>
      <c r="O313" s="73"/>
      <c r="P313" s="73"/>
      <c r="Q313" s="73"/>
      <c r="R313" s="73"/>
      <c r="S313" s="73"/>
      <c r="T313" s="438" cm="1" t="str">
        <f t="array" ref="T313:T313">T312</f>
        <v>true</v>
      </c>
      <c r="U313" s="73"/>
      <c r="V313" s="73"/>
      <c r="W313" s="73"/>
      <c r="X313" s="1541"/>
      <c r="Y313" s="1211"/>
      <c r="Z313" s="1494"/>
      <c r="AA313" s="1211"/>
      <c r="AB313" s="266" t="str">
        <f>D313&amp;".2"</f>
        <v>14.2</v>
      </c>
      <c r="AC313" s="738" t="s">
        <v>1772</v>
      </c>
      <c r="AD313" s="266" t="s">
        <v>789</v>
      </c>
      <c r="AE313" s="3564"/>
      <c r="AF313" s="3564"/>
      <c r="AG313" s="3564"/>
      <c r="AH313" s="1092">
        <f>AG313-AF313</f>
        <v>0</v>
      </c>
      <c r="AI313" s="3564"/>
      <c r="AJ313" s="3564"/>
      <c r="AK313" s="3564"/>
      <c r="AL313" s="3564"/>
      <c r="AM313" s="3564"/>
      <c r="AN313" s="3564"/>
      <c r="AO313" s="3564"/>
      <c r="AP313" s="3564"/>
      <c r="AQ313" s="3564"/>
      <c r="AR313" s="3564"/>
      <c r="AS313" s="3564"/>
      <c r="AT313" s="3564"/>
      <c r="AU313" s="3564"/>
      <c r="AV313" s="3564"/>
      <c r="AW313" s="3564"/>
      <c r="AX313" s="3564"/>
      <c r="AY313" s="3564"/>
      <c r="AZ313" s="3564"/>
      <c r="BA313" s="3564"/>
      <c r="BB313" s="3564"/>
      <c r="BC313" s="3564"/>
      <c r="BD313" s="1093"/>
      <c r="BE313" s="1093"/>
      <c r="BF313" s="1093"/>
      <c r="BG313" s="1093"/>
      <c r="BH313" s="1093"/>
      <c r="BI313" s="1093"/>
      <c r="BJ313" s="1093"/>
      <c r="BK313" s="1093"/>
      <c r="BL313" s="1093"/>
      <c r="BM313" s="1093"/>
      <c r="BN313" s="3618"/>
      <c r="BO313" s="3618"/>
      <c r="BP313" s="3618"/>
      <c r="BQ313" s="1211"/>
      <c r="BR313" s="1211"/>
      <c r="BS313" s="1039" t="s">
        <v>1773</v>
      </c>
      <c r="BT313" s="1048"/>
      <c r="BU313" s="1048"/>
      <c r="BV313" s="1049"/>
      <c r="BW313" s="1049"/>
    </row>
    <row s="1211" customFormat="1" customHeight="1" ht="44.25">
      <c r="A314" s="1211"/>
      <c r="B314" s="729"/>
      <c r="C314" s="73"/>
      <c r="D314" s="73" cm="1" t="str">
        <f t="array" ref="D314:D314">D313</f>
        <v>14</v>
      </c>
      <c r="E314" s="596">
        <v>45.6</v>
      </c>
      <c r="F314" s="50" cm="1" t="str">
        <f t="array" ref="F314:F314">OFFSET(E314,-1,1)</f>
        <v>1</v>
      </c>
      <c r="G314" s="73"/>
      <c r="H314" s="73"/>
      <c r="I314" s="73"/>
      <c r="J314" s="73"/>
      <c r="K314" s="73"/>
      <c r="L314" s="957"/>
      <c r="M314" s="73"/>
      <c r="N314" s="73"/>
      <c r="O314" s="73"/>
      <c r="P314" s="73"/>
      <c r="Q314" s="73"/>
      <c r="R314" s="73"/>
      <c r="S314" s="73"/>
      <c r="T314" s="438" cm="1" t="str">
        <f t="array" ref="T314:T314">T313</f>
        <v>true</v>
      </c>
      <c r="U314" s="73"/>
      <c r="V314" s="73"/>
      <c r="W314" s="73"/>
      <c r="X314" s="1541"/>
      <c r="Y314" s="1211"/>
      <c r="Z314" s="1494"/>
      <c r="AA314" s="1211"/>
      <c r="AB314" s="266" t="str">
        <f>D314&amp;".3"</f>
        <v>14.3</v>
      </c>
      <c r="AC314" s="738" t="s">
        <v>2055</v>
      </c>
      <c r="AD314" s="266" t="s">
        <v>789</v>
      </c>
      <c r="AE314" s="1093"/>
      <c r="AF314" s="3564"/>
      <c r="AG314" s="3564"/>
      <c r="AH314" s="1092">
        <f>AG314-AF314</f>
        <v>0</v>
      </c>
      <c r="AI314" s="1093"/>
      <c r="AJ314" s="1093"/>
      <c r="AK314" s="1093"/>
      <c r="AL314" s="1093"/>
      <c r="AM314" s="1093"/>
      <c r="AN314" s="1093"/>
      <c r="AO314" s="1093"/>
      <c r="AP314" s="1093"/>
      <c r="AQ314" s="1093"/>
      <c r="AR314" s="1093"/>
      <c r="AS314" s="1093"/>
      <c r="AT314" s="1093"/>
      <c r="AU314" s="1093"/>
      <c r="AV314" s="1093"/>
      <c r="AW314" s="1093"/>
      <c r="AX314" s="1093"/>
      <c r="AY314" s="1093"/>
      <c r="AZ314" s="1093"/>
      <c r="BA314" s="1093"/>
      <c r="BB314" s="1093"/>
      <c r="BC314" s="1093"/>
      <c r="BD314" s="1093"/>
      <c r="BE314" s="1093"/>
      <c r="BF314" s="1093"/>
      <c r="BG314" s="1093"/>
      <c r="BH314" s="1093"/>
      <c r="BI314" s="1093"/>
      <c r="BJ314" s="1093"/>
      <c r="BK314" s="1093"/>
      <c r="BL314" s="1093"/>
      <c r="BM314" s="1093"/>
      <c r="BN314" s="3618"/>
      <c r="BO314" s="3618"/>
      <c r="BP314" s="3618"/>
      <c r="BQ314" s="1211"/>
      <c r="BR314" s="1211"/>
      <c r="BS314" s="1048" t="s">
        <v>2056</v>
      </c>
      <c r="BT314" s="1048"/>
      <c r="BU314" s="1048"/>
      <c r="BV314" s="1049"/>
      <c r="BW314" s="1049"/>
    </row>
    <row s="1624" customFormat="1" customHeight="1" ht="10.96875">
      <c r="B315" s="402"/>
      <c r="C315" s="0"/>
      <c r="D315" s="0"/>
      <c r="E315" s="647">
        <v>11.25</v>
      </c>
      <c r="F315" s="51"/>
      <c r="G315" s="0"/>
      <c r="H315" s="0"/>
      <c r="I315" s="0"/>
      <c r="J315" s="0"/>
      <c r="K315" s="0"/>
      <c r="L315" s="0"/>
      <c r="M315" s="0"/>
      <c r="N315" s="0"/>
      <c r="O315" s="0"/>
      <c r="P315" s="0"/>
      <c r="Q315" s="0"/>
      <c r="R315" s="0"/>
      <c r="S315" s="0"/>
      <c r="T315" s="0"/>
      <c r="U315" s="0" t="s">
        <v>176</v>
      </c>
      <c r="V315" s="804" t="s">
        <v>2057</v>
      </c>
      <c r="W315" s="0"/>
      <c r="X315" s="0"/>
      <c r="AB315" s="472"/>
      <c r="AC315" s="66"/>
      <c r="AD315" s="66"/>
      <c r="AE315" s="1086"/>
      <c r="AF315" s="1086"/>
      <c r="AG315" s="0"/>
      <c r="AH315" s="0"/>
      <c r="AI315" s="0"/>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7"/>
      <c r="BF315" s="47"/>
      <c r="BG315" s="47"/>
      <c r="BH315" s="47"/>
      <c r="BI315" s="47"/>
      <c r="BJ315" s="47"/>
      <c r="BK315" s="47"/>
      <c r="BL315" s="47"/>
      <c r="BM315" s="47"/>
      <c r="BN315" s="0"/>
      <c r="BO315" s="0"/>
      <c r="BP315" s="0"/>
      <c r="BS315" s="981"/>
      <c r="BT315" s="981"/>
      <c r="BU315" s="981"/>
      <c r="BV315" s="599"/>
      <c r="BW315" s="599"/>
    </row>
    <row customHeight="1" ht="14.625">
      <c r="C316" s="73"/>
      <c r="D316" s="73"/>
      <c r="E316" s="596">
        <v>15</v>
      </c>
      <c r="F316" s="73"/>
      <c r="G316" s="73"/>
      <c r="H316" s="73"/>
      <c r="I316" s="73"/>
      <c r="J316" s="73"/>
      <c r="K316" s="73"/>
      <c r="L316" s="957"/>
      <c r="M316" s="73"/>
      <c r="N316" s="73"/>
      <c r="O316" s="73"/>
      <c r="P316" s="73"/>
      <c r="Q316" s="73"/>
      <c r="R316" s="73"/>
      <c r="S316" s="73"/>
      <c r="T316" s="73"/>
      <c r="U316" s="73"/>
      <c r="V316" s="73"/>
      <c r="W316" s="73"/>
      <c r="X316" s="73"/>
      <c r="AB316" s="1522" t="s">
        <v>392</v>
      </c>
      <c r="AC316" s="1522"/>
      <c r="AD316" s="1522"/>
      <c r="AE316" s="1522"/>
      <c r="AF316" s="1522"/>
      <c r="AG316" s="1522"/>
      <c r="AH316" s="1522"/>
      <c r="AI316" s="1522"/>
      <c r="AJ316" s="1522"/>
      <c r="AK316" s="1522"/>
      <c r="AL316" s="1522"/>
      <c r="AM316" s="1522"/>
      <c r="AN316" s="1522"/>
      <c r="AO316" s="1522"/>
      <c r="AP316" s="1522"/>
      <c r="AQ316" s="1522"/>
      <c r="AR316" s="1522"/>
      <c r="AS316" s="1522"/>
      <c r="AT316" s="1522"/>
      <c r="AU316" s="1522"/>
      <c r="AV316" s="1522"/>
      <c r="AW316" s="1522"/>
      <c r="AX316" s="1522"/>
      <c r="AY316" s="1522"/>
      <c r="AZ316" s="1522"/>
      <c r="BA316" s="1522"/>
      <c r="BB316" s="1522"/>
      <c r="BC316" s="1522"/>
      <c r="BD316" s="1522"/>
      <c r="BE316" s="1522"/>
      <c r="BF316" s="1522"/>
      <c r="BG316" s="1522"/>
      <c r="BH316" s="1522"/>
      <c r="BI316" s="1522"/>
      <c r="BJ316" s="1522"/>
      <c r="BK316" s="1522"/>
      <c r="BL316" s="1522"/>
      <c r="BM316" s="1522"/>
      <c r="BN316" s="1522"/>
      <c r="BO316" s="1522"/>
      <c r="BP316" s="1522"/>
    </row>
    <row customHeight="1" ht="14.625">
      <c r="E317" s="679">
        <v>15</v>
      </c>
      <c r="AA317" s="139"/>
      <c r="AB317" s="1573"/>
      <c r="AC317" s="1574"/>
      <c r="AD317" s="1574"/>
      <c r="AE317" s="1574"/>
      <c r="AF317" s="1574"/>
      <c r="AG317" s="1574"/>
      <c r="AH317" s="1574"/>
      <c r="AI317" s="1574"/>
      <c r="AJ317" s="1574"/>
      <c r="AK317" s="1574"/>
      <c r="AL317" s="1574"/>
      <c r="AM317" s="1574"/>
      <c r="AN317" s="1574"/>
      <c r="AO317" s="1574"/>
      <c r="AP317" s="1574"/>
      <c r="AQ317" s="1574"/>
      <c r="AR317" s="1574"/>
      <c r="AS317" s="1574"/>
      <c r="AT317" s="1574"/>
      <c r="AU317" s="1574"/>
      <c r="AV317" s="1574"/>
      <c r="AW317" s="1574"/>
      <c r="AX317" s="1574"/>
      <c r="AY317" s="1574"/>
      <c r="AZ317" s="1574"/>
      <c r="BA317" s="1574"/>
      <c r="BB317" s="1574"/>
      <c r="BC317" s="1574"/>
      <c r="BD317" s="1574"/>
      <c r="BE317" s="1574"/>
      <c r="BF317" s="1574"/>
      <c r="BG317" s="1574"/>
      <c r="BH317" s="1574"/>
      <c r="BI317" s="1574"/>
      <c r="BJ317" s="1574"/>
      <c r="BK317" s="1574"/>
      <c r="BL317" s="1574"/>
      <c r="BM317" s="1574"/>
      <c r="BN317" s="1574"/>
      <c r="BO317" s="1574"/>
      <c r="BP317" s="1574"/>
    </row>
    <row customHeight="1" ht="14.625" hidden="1">
      <c r="A318" s="1256"/>
      <c r="B318" s="955"/>
      <c r="C318" s="1256"/>
      <c r="D318" s="1256"/>
      <c r="E318" s="679">
        <v>15</v>
      </c>
      <c r="F318" s="1256"/>
      <c r="G318" s="1256"/>
      <c r="H318" s="1256"/>
      <c r="I318" s="1256"/>
      <c r="J318" s="1256"/>
      <c r="K318" s="1256"/>
      <c r="L318" s="1256"/>
      <c r="M318" s="1256"/>
      <c r="N318" s="1256"/>
      <c r="O318" s="1256"/>
      <c r="P318" s="1256"/>
      <c r="Q318" s="1256"/>
      <c r="R318" s="1256"/>
      <c r="S318" s="1256"/>
      <c r="T318" s="438">
        <f>ROW(W318)&gt;ROW(W$318)</f>
        <v>0</v>
      </c>
      <c r="U318" s="1256"/>
      <c r="V318" s="1256"/>
      <c r="W318" s="124" t="s">
        <v>172</v>
      </c>
      <c r="X318" s="1256"/>
      <c r="Y318" s="1256"/>
      <c r="Z318" s="1256"/>
      <c r="AA318" s="392" t="s">
        <v>173</v>
      </c>
      <c r="AB318" s="1588" t="s">
        <v>228</v>
      </c>
      <c r="AC318" s="1574"/>
      <c r="AD318" s="1574"/>
      <c r="AE318" s="1574"/>
      <c r="AF318" s="1574"/>
      <c r="AG318" s="1574"/>
      <c r="AH318" s="1574"/>
      <c r="AI318" s="1574"/>
      <c r="AJ318" s="1574"/>
      <c r="AK318" s="1574"/>
      <c r="AL318" s="1574"/>
      <c r="AM318" s="1574"/>
      <c r="AN318" s="1574"/>
      <c r="AO318" s="1574"/>
      <c r="AP318" s="1574"/>
      <c r="AQ318" s="1574"/>
      <c r="AR318" s="1574"/>
      <c r="AS318" s="1574"/>
      <c r="AT318" s="1574"/>
      <c r="AU318" s="1574"/>
      <c r="AV318" s="1574"/>
      <c r="AW318" s="1574"/>
      <c r="AX318" s="1574"/>
      <c r="AY318" s="1574"/>
      <c r="AZ318" s="1574"/>
      <c r="BA318" s="1574"/>
      <c r="BB318" s="1574"/>
      <c r="BC318" s="1574"/>
      <c r="BD318" s="1574"/>
      <c r="BE318" s="1574"/>
      <c r="BF318" s="1574"/>
      <c r="BG318" s="1574"/>
      <c r="BH318" s="1574"/>
      <c r="BI318" s="1574"/>
      <c r="BJ318" s="1574"/>
      <c r="BK318" s="1574"/>
      <c r="BL318" s="1574"/>
      <c r="BM318" s="1574"/>
      <c r="BN318" s="1574"/>
      <c r="BO318" s="1574"/>
      <c r="BP318" s="1574"/>
      <c r="BQ318" s="1256"/>
      <c r="BR318" s="1256"/>
      <c r="BS318" s="1041"/>
      <c r="BT318" s="1041"/>
      <c r="BU318" s="1041"/>
      <c r="BV318" s="956"/>
      <c r="BW318" s="956"/>
    </row>
    <row customHeight="1" ht="14.625">
      <c r="E319" s="679">
        <v>15</v>
      </c>
      <c r="W319" s="805" t="s">
        <v>396</v>
      </c>
      <c r="AB319" s="658"/>
      <c r="AC319" s="487" t="s">
        <v>397</v>
      </c>
      <c r="AD319" s="276"/>
      <c r="AE319" s="276"/>
      <c r="AF319" s="276"/>
      <c r="AG319" s="276"/>
      <c r="AH319" s="276"/>
      <c r="AI319" s="276"/>
      <c r="AJ319" s="276"/>
      <c r="AK319" s="276"/>
      <c r="AL319" s="276"/>
      <c r="AM319" s="276"/>
      <c r="AN319" s="276"/>
      <c r="AO319" s="276"/>
      <c r="AP319" s="276"/>
      <c r="AQ319" s="276"/>
      <c r="AR319" s="276"/>
      <c r="AS319" s="276"/>
      <c r="AT319" s="276"/>
      <c r="AU319" s="276"/>
      <c r="AV319" s="276"/>
      <c r="AW319" s="276"/>
      <c r="AX319" s="276"/>
      <c r="AY319" s="276"/>
      <c r="AZ319" s="276"/>
      <c r="BA319" s="276"/>
      <c r="BB319" s="276"/>
      <c r="BC319" s="276"/>
      <c r="BD319" s="276"/>
      <c r="BE319" s="276"/>
      <c r="BF319" s="276"/>
      <c r="BG319" s="276"/>
      <c r="BH319" s="276"/>
      <c r="BI319" s="276"/>
      <c r="BJ319" s="276"/>
      <c r="BK319" s="276"/>
      <c r="BL319" s="276"/>
      <c r="BM319" s="276"/>
      <c r="BN319" s="276"/>
      <c r="BO319" s="276"/>
      <c r="BP319" s="241"/>
    </row>
    <row customHeight="1" ht="10.96875">
      <c r="E320" s="679">
        <v>11.25</v>
      </c>
      <c r="AJ320" s="1256"/>
      <c r="AK320" s="1256"/>
      <c r="AL320" s="1256"/>
      <c r="AM320" s="1256"/>
      <c r="AN320" s="1256"/>
      <c r="AO320" s="1256"/>
      <c r="AP320" s="1256"/>
      <c r="AQ320" s="1256"/>
      <c r="AR320" s="1256"/>
      <c r="AS320" s="1256"/>
      <c r="AT320" s="1256"/>
      <c r="AU320" s="1256"/>
      <c r="AV320" s="1256"/>
      <c r="AW320" s="1256"/>
      <c r="AX320" s="1256"/>
      <c r="AY320" s="1256"/>
      <c r="AZ320" s="1256"/>
      <c r="BA320" s="1256"/>
      <c r="BB320" s="1256"/>
      <c r="BC320" s="1256"/>
      <c r="BD320" s="1256"/>
      <c r="BE320" s="1256"/>
      <c r="BF320" s="1256"/>
      <c r="BG320" s="1256"/>
      <c r="BH320" s="1256"/>
      <c r="BI320" s="1256"/>
      <c r="BJ320" s="1256"/>
      <c r="BK320" s="1256"/>
      <c r="BL320" s="1256"/>
      <c r="BM320" s="1256"/>
      <c r="BQ320" s="398"/>
    </row>
  </sheetData>
  <sheetProtection formatColumns="0" formatRows="0" insertRows="0" deleteColumns="0" deleteRows="0" sort="0" autoFilter="0" insertColumns="1"/>
  <mergeCells count="14">
    <mergeCell ref="X27:X170"/>
    <mergeCell ref="Z27:Z170"/>
    <mergeCell ref="AB318:BP318"/>
    <mergeCell ref="AB317:BP317"/>
    <mergeCell ref="BP24:BP25"/>
    <mergeCell ref="BN24:BN25"/>
    <mergeCell ref="BO24:BO25"/>
    <mergeCell ref="AB316:BP316"/>
    <mergeCell ref="AB24:AB25"/>
    <mergeCell ref="AC24:AC25"/>
    <mergeCell ref="AD24:AD25"/>
    <mergeCell ref="BD25:BM25"/>
    <mergeCell ref="X171:X314"/>
    <mergeCell ref="Z171:Z314"/>
  </mergeCells>
  <dataValidations count="2">
    <dataValidation type="textLength" operator="lessThanOrEqual" allowBlank="1" showInputMessage="1" showErrorMessage="1" errorTitle="Ошибка" error="Допускается ввод не более 900 символов!" sqref="BN123:BP134 BN267 BO267 BP267 BN268 BO268 BP268 BN269 BO269 BP269 BN270 BO270 BP270 BN271 BO271 BP271 BN272 BO272 BP272 BN273 BO273 BP273 BN274 BO274 BP274 BN275 BO275 BP275 BN276 BO276 BP276 BN277 BO277 BP277 BN278 BO278 BP278">
      <formula1>900</formula1>
    </dataValidation>
    <dataValidation type="decimal" allowBlank="1" showErrorMessage="1" errorTitle="Ошибка" error="Допускается ввод только действительных чисел!" sqref="AE123:AG134 AI123:BC134 AE267 AF267 AG267 AI267 AJ267 AK267 AL267 AM267 AN267 AO267 AP267 AQ267 AR267 AS267 AT267 AU267 AV267 AW267 AX267 AY267 AZ267 BA267 BB267 BC267 AE268 AF268 AG268 AI268 AJ268 AK268 AL268 AM268 AN268 AO268 AP268 AQ268 AR268 AS268 AT268 AU268 AV268 AW268 AX268 AY268 AZ268 BA268 BB268 BC268 AE269 AF269 AG269 AI269 AJ269 AK269 AL269 AM269 AN269 AO269 AP269 AQ269 AR269 AS269 AT269 AU269 AV269 AW269 AX269 AY269 AZ269 BA269 BB269 BC269 AE270 AF270 AG270 AI270 AJ270 AK270 AL270 AM270 AN270 AO270 AP270 AQ270 AR270 AS270 AT270 AU270 AV270 AW270 AX270 AY270 AZ270 BA270 BB270 BC270 AE271 AF271 AG271 AI271 AJ271 AK271 AL271 AM271 AN271 AO271 AP271 AQ271 AR271 AS271 AT271 AU271 AV271 AW271 AX271 AY271 AZ271 BA271 BB271 BC271 AE272 AF272 AG272 AI272 AJ272 AK272 AL272 AM272 AN272 AO272 AP272 AQ272 AR272 AS272 AT272 AU272 AV272 AW272 AX272 AY272 AZ272 BA272 BB272 BC272 AE273 AF273 AG273 AI273 AJ273 AK273 AL273 AM273 AN273 AO273 AP273 AQ273 AR273 AS273 AT273 AU273 AV273 AW273 AX273 AY273 AZ273 BA273 BB273 BC273 AE274 AF274 AG274 AI274 AJ274 AK274 AL274 AM274 AN274 AO274 AP274 AQ274 AR274 AS274 AT274 AU274 AV274 AW274 AX274 AY274 AZ274 BA274 BB274 BC274 AE275 AF275 AG275 AI275 AJ275 AK275 AL275 AM275 AN275 AO275 AP275 AQ275 AR275 AS275 AT275 AU275 AV275 AW275 AX275 AY275 AZ275 BA275 BB275 BC275 AE276 AF276 AG276 AI276 AJ276 AK276 AL276 AM276 AN276 AO276 AP276 AQ276 AR276 AS276 AT276 AU276 AV276 AW276 AX276 AY276 AZ276 BA276 BB276 BC276 AE277 AF277 AG277 AI277 AJ277 AK277 AL277 AM277 AN277 AO277 AP277 AQ277 AR277 AS277 AT277 AU277 AV277 AW277 AX277 AY277 AZ277 BA277 BB277 BC277 AE278 AF278 AG278 AI278 AJ278 AK278 AL278 AM278 AN278 AO278 AP278 AQ278 AR278 AS278 AT278 AU278 AV278 AW278 AX278 AY278 AZ278 BA278 BB278 BC278">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A7CA88-E7E8-B608-A137-64730C03B408}" mc:Ignorable="x14ac xr xr2 xr3">
  <sheetPr>
    <tabColor theme="6" tint="0.4"/>
  </sheetPr>
  <dimension ref="A1:AE27"/>
  <sheetViews>
    <sheetView topLeftCell="AA21" showGridLines="0" workbookViewId="0">
      <selection activeCell="AA21" sqref="AA21"/>
    </sheetView>
  </sheetViews>
  <sheetFormatPr defaultColWidth="9.140625" customHeight="1" defaultRowHeight="11.25"/>
  <cols>
    <col min="1" max="1" style="1363" width="3.57421875" hidden="1" customWidth="1"/>
    <col min="2" max="2" style="1369" width="8.57421875" hidden="1" customWidth="1"/>
    <col min="3" max="4" style="1363" width="3.57421875" hidden="1" customWidth="1"/>
    <col min="5" max="5" style="1370" width="3.57421875" hidden="1" customWidth="1"/>
    <col min="6" max="26" style="1363" width="3.57421875" hidden="1" customWidth="1"/>
    <col min="27" max="27" style="1363" width="3.7109375" customWidth="1"/>
    <col min="28" max="28" style="1363" width="6.140625" customWidth="1"/>
    <col min="29" max="29" style="1363" width="20.7109375" customWidth="1"/>
    <col min="30" max="30" style="1363" width="92.57421875" customWidth="1"/>
    <col min="31" max="31" style="1363" width="9.140625"/>
  </cols>
  <sheetData>
    <row customHeight="1" ht="11.25" hidden="1">
      <c r="E1" s="88"/>
    </row>
    <row s="1369" customFormat="1" customHeight="1" ht="11.25" hidden="1">
      <c r="B2" s="418" t="s">
        <v>18</v>
      </c>
    </row>
    <row customHeight="1" ht="11.25" hidden="1">
      <c r="E3" s="88"/>
    </row>
    <row customHeight="1" ht="11.25" hidden="1">
      <c r="E4" s="88"/>
    </row>
    <row s="1370" customFormat="1" customHeight="1" ht="11.25" hidden="1">
      <c r="A5" s="88"/>
      <c r="B5" s="400"/>
      <c r="C5" s="88"/>
      <c r="D5" s="88"/>
      <c r="E5" s="592" t="s">
        <v>19</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c r="AA21" s="397"/>
    </row>
    <row customHeight="1" ht="20.25">
      <c r="AB22" s="223" t="s">
        <v>20</v>
      </c>
      <c r="AC22" s="203"/>
      <c r="AD22" s="203"/>
    </row>
    <row r="24" s="1513" customFormat="1" customHeight="1" ht="30">
      <c r="B24" s="401"/>
      <c r="E24" s="233"/>
      <c r="AB24" s="57" t="s">
        <v>21</v>
      </c>
      <c r="AC24" s="57" t="s">
        <v>22</v>
      </c>
      <c r="AD24" s="57" t="s">
        <v>23</v>
      </c>
    </row>
    <row customHeight="1" ht="33.75">
      <c r="AB25" s="57">
        <v>1</v>
      </c>
      <c r="AC25" s="224" t="s">
        <v>24</v>
      </c>
      <c r="AD25" s="224" t="s">
        <v>25</v>
      </c>
    </row>
    <row customHeight="1" ht="69">
      <c r="AB26" s="57">
        <v>2</v>
      </c>
      <c r="AC26" s="224" t="s">
        <v>26</v>
      </c>
      <c r="AD26" s="224" t="s">
        <v>27</v>
      </c>
    </row>
    <row customHeight="1" ht="11.25">
      <c r="AE27" s="88"/>
    </row>
  </sheetData>
  <sheetProtection formatColumns="0" formatRows="0" insertRows="0" deleteColumns="0" deleteRows="0" sort="0" autoFilter="0" insert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638888-4B68-DF8C-A253-5460FDFAB948}" mc:Ignorable="x14ac xr xr2 xr3">
  <sheetPr>
    <tabColor rgb="FF92D050"/>
    <outlinePr summaryRight="0" summaryBelow="0"/>
    <pageSetUpPr fitToPage="1"/>
  </sheetPr>
  <dimension ref="A1:BW320"/>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0.5"/>
  <cols>
    <col min="1" max="1" style="1256" width="3.57421875" hidden="1" customWidth="1"/>
    <col min="2" max="2" style="955" width="8.57421875" hidden="1" customWidth="1"/>
    <col min="3" max="4" style="1256" width="3.57421875" hidden="1" customWidth="1"/>
    <col min="5" max="5" style="956" width="3.57421875" hidden="1" customWidth="1"/>
    <col min="6" max="6" style="1256" width="3.57421875" hidden="1" customWidth="1"/>
    <col min="7" max="7" style="1256" width="12.28125" hidden="1" customWidth="1"/>
    <col min="8" max="11" style="1256" width="3.57421875" hidden="1" customWidth="1"/>
    <col min="12" max="12" style="1256" width="6.57421875" hidden="1" customWidth="1"/>
    <col min="13" max="16" style="1256" width="3.57421875" hidden="1" customWidth="1"/>
    <col min="17" max="17" style="1256" width="8.00390625" hidden="1" customWidth="1"/>
    <col min="18" max="18" style="1256" width="6.421875" hidden="1" customWidth="1"/>
    <col min="19" max="19" style="1256" width="11.140625" hidden="1" customWidth="1"/>
    <col min="20" max="20" style="1256" width="10.421875" hidden="1" customWidth="1"/>
    <col min="21" max="21" style="1256" width="5.8515625" hidden="1" customWidth="1"/>
    <col min="22" max="23" style="1256" width="6.140625" hidden="1" customWidth="1"/>
    <col min="24" max="25" style="1256" width="5.57421875" hidden="1" customWidth="1"/>
    <col min="26" max="26" style="1256" width="5.28125" hidden="1" customWidth="1"/>
    <col min="27" max="27" style="1256" width="3.00390625" customWidth="1"/>
    <col min="28" max="28" style="566" width="11.00390625" customWidth="1"/>
    <col min="29" max="29" style="958" width="75.00390625" customWidth="1"/>
    <col min="30" max="30" style="566" width="12.00390625" customWidth="1"/>
    <col min="31" max="33" style="1256" width="12.57421875" customWidth="1"/>
    <col min="34" max="34" style="1256" width="21.00390625" customWidth="1"/>
    <col min="35" max="36" style="1256" width="12.57421875" customWidth="1"/>
    <col min="37" max="45" style="1256" width="12.57421875" hidden="1" customWidth="1"/>
    <col min="46" max="46" style="1256" width="12.57421875" customWidth="1"/>
    <col min="47" max="55" style="1256" width="12.57421875" hidden="1" customWidth="1"/>
    <col min="56" max="56" style="1256" width="12.57421875" customWidth="1"/>
    <col min="57" max="65" style="1256" width="12.57421875" hidden="1" customWidth="1"/>
    <col min="66" max="67" style="1256" width="20.00390625" customWidth="1"/>
    <col min="68" max="68" style="1256" width="42.00390625" customWidth="1"/>
    <col min="69" max="69" style="1256" width="3.00390625" customWidth="1"/>
    <col min="70" max="70" style="1256" width="9.140625" hidden="1"/>
    <col min="71" max="73" style="1041" width="9.140625" hidden="1"/>
    <col min="74" max="75" style="956" width="9.140625" hidden="1"/>
  </cols>
  <sheetData>
    <row customHeight="1" ht="11.25" hidden="1">
      <c r="E1" s="124"/>
      <c r="F1" s="124" t="s">
        <v>309</v>
      </c>
      <c r="I1" s="124" t="s">
        <v>1775</v>
      </c>
      <c r="J1" s="124" t="s">
        <v>346</v>
      </c>
      <c r="K1" s="124" t="s">
        <v>1776</v>
      </c>
      <c r="L1" s="954" t="s">
        <v>1777</v>
      </c>
      <c r="M1" s="124" t="s">
        <v>1778</v>
      </c>
      <c r="T1" s="438" t="s">
        <v>92</v>
      </c>
      <c r="U1" s="438" t="s">
        <v>97</v>
      </c>
      <c r="V1" s="438" t="s">
        <v>93</v>
      </c>
      <c r="W1" s="438" t="s">
        <v>94</v>
      </c>
      <c r="X1" s="438" t="s">
        <v>95</v>
      </c>
      <c r="Y1" s="440" t="s">
        <v>311</v>
      </c>
      <c r="Z1" s="438" t="s">
        <v>99</v>
      </c>
      <c r="AA1" s="439" t="s">
        <v>96</v>
      </c>
      <c r="AB1" s="51"/>
      <c r="AC1" s="439" t="s">
        <v>98</v>
      </c>
      <c r="AJ1" s="1256"/>
      <c r="AK1" s="1256"/>
      <c r="AL1" s="1256"/>
      <c r="AM1" s="1256"/>
      <c r="AN1" s="1256"/>
      <c r="AO1" s="1256"/>
      <c r="AP1" s="1256"/>
      <c r="AQ1" s="1256"/>
      <c r="AR1" s="1256"/>
      <c r="AS1" s="1256"/>
      <c r="AT1" s="1256"/>
      <c r="AU1" s="1256"/>
      <c r="AV1" s="1256"/>
      <c r="AW1" s="1256"/>
      <c r="AX1" s="1256"/>
      <c r="AY1" s="1256"/>
      <c r="AZ1" s="1256"/>
      <c r="BA1" s="1256"/>
      <c r="BB1" s="1256"/>
      <c r="BC1" s="1256"/>
      <c r="BD1" s="1256"/>
      <c r="BE1" s="1256"/>
      <c r="BF1" s="1256"/>
      <c r="BG1" s="1256"/>
      <c r="BH1" s="1256"/>
      <c r="BI1" s="1256"/>
      <c r="BJ1" s="1256"/>
      <c r="BK1" s="1256"/>
      <c r="BL1" s="1256"/>
      <c r="BM1" s="1256"/>
      <c r="BS1" s="1041" t="s">
        <v>312</v>
      </c>
      <c r="BT1" s="1041" t="s">
        <v>313</v>
      </c>
      <c r="BU1" s="1041" t="s">
        <v>314</v>
      </c>
      <c r="BV1" s="679" t="s">
        <v>317</v>
      </c>
      <c r="BW1" s="679" t="s">
        <v>318</v>
      </c>
    </row>
    <row s="955" customFormat="1" customHeight="1" ht="11.25" hidden="1">
      <c r="B2" s="417" t="s">
        <v>18</v>
      </c>
      <c r="AC2" s="405"/>
      <c r="AJ2" s="418">
        <f>AJ6&lt;=last_year_vis</f>
        <v>1</v>
      </c>
      <c r="AK2" s="418">
        <f>AK6&lt;=last_year_vis</f>
        <v>0</v>
      </c>
      <c r="AL2" s="418">
        <f>AL6&lt;=last_year_vis</f>
        <v>0</v>
      </c>
      <c r="AM2" s="418">
        <f>AM6&lt;=last_year_vis</f>
        <v>0</v>
      </c>
      <c r="AN2" s="418">
        <f>AN6&lt;=last_year_vis</f>
        <v>0</v>
      </c>
      <c r="AO2" s="418">
        <f>AO6&lt;=last_year_vis</f>
        <v>0</v>
      </c>
      <c r="AP2" s="418">
        <f>AP6&lt;=last_year_vis</f>
        <v>0</v>
      </c>
      <c r="AQ2" s="418">
        <f>AQ6&lt;=last_year_vis</f>
        <v>0</v>
      </c>
      <c r="AR2" s="418">
        <f>AR6&lt;=last_year_vis</f>
        <v>0</v>
      </c>
      <c r="AS2" s="418">
        <f>AS6&lt;=last_year_vis</f>
        <v>0</v>
      </c>
      <c r="AT2" s="418">
        <f>AT6&lt;=last_year_vis</f>
        <v>1</v>
      </c>
      <c r="AU2" s="418">
        <f>AU6&lt;=last_year_vis</f>
        <v>0</v>
      </c>
      <c r="AV2" s="418">
        <f>AV6&lt;=last_year_vis</f>
        <v>0</v>
      </c>
      <c r="AW2" s="418">
        <f>AW6&lt;=last_year_vis</f>
        <v>0</v>
      </c>
      <c r="AX2" s="418">
        <f>AX6&lt;=last_year_vis</f>
        <v>0</v>
      </c>
      <c r="AY2" s="418">
        <f>AY6&lt;=last_year_vis</f>
        <v>0</v>
      </c>
      <c r="AZ2" s="418">
        <f>AZ6&lt;=last_year_vis</f>
        <v>0</v>
      </c>
      <c r="BA2" s="418">
        <f>BA6&lt;=last_year_vis</f>
        <v>0</v>
      </c>
      <c r="BB2" s="418">
        <f>BB6&lt;=last_year_vis</f>
        <v>0</v>
      </c>
      <c r="BC2" s="418">
        <f>BC6&lt;=last_year_vis</f>
        <v>0</v>
      </c>
      <c r="BD2" s="418">
        <f>BD6&lt;=last_year_vis</f>
        <v>1</v>
      </c>
      <c r="BE2" s="418">
        <f>BE6&lt;=last_year_vis</f>
        <v>0</v>
      </c>
      <c r="BF2" s="418">
        <f>BF6&lt;=last_year_vis</f>
        <v>0</v>
      </c>
      <c r="BG2" s="418">
        <f>BG6&lt;=last_year_vis</f>
        <v>0</v>
      </c>
      <c r="BH2" s="418">
        <f>BH6&lt;=last_year_vis</f>
        <v>0</v>
      </c>
      <c r="BI2" s="418">
        <f>BI6&lt;=last_year_vis</f>
        <v>0</v>
      </c>
      <c r="BJ2" s="418">
        <f>BJ6&lt;=last_year_vis</f>
        <v>0</v>
      </c>
      <c r="BK2" s="418">
        <f>BK6&lt;=last_year_vis</f>
        <v>0</v>
      </c>
      <c r="BL2" s="418">
        <f>BL6&lt;=last_year_vis</f>
        <v>0</v>
      </c>
      <c r="BM2" s="418">
        <f>BM6&lt;=last_year_vis</f>
        <v>0</v>
      </c>
      <c r="BS2" s="1042"/>
      <c r="BT2" s="1042"/>
      <c r="BU2" s="1042"/>
      <c r="BV2" s="597"/>
      <c r="BW2" s="597"/>
    </row>
    <row customHeight="1" ht="11.25" hidden="1">
      <c r="E3" s="124"/>
      <c r="R3" s="417" t="b">
        <v>0</v>
      </c>
      <c r="AJ3" s="1256"/>
      <c r="AK3" s="1256"/>
      <c r="AL3" s="1256"/>
      <c r="AM3" s="1256"/>
      <c r="AN3" s="1256"/>
      <c r="AO3" s="1256"/>
      <c r="AP3" s="1256"/>
      <c r="AQ3" s="1256"/>
      <c r="AR3" s="1256"/>
      <c r="AS3" s="1256"/>
      <c r="AT3" s="1256"/>
      <c r="AU3" s="1256"/>
      <c r="AV3" s="1256"/>
      <c r="AW3" s="1256"/>
      <c r="AX3" s="1256"/>
      <c r="AY3" s="1256"/>
      <c r="AZ3" s="1256"/>
      <c r="BA3" s="1256"/>
      <c r="BB3" s="1256"/>
      <c r="BC3" s="1256"/>
      <c r="BD3" s="1256"/>
      <c r="BE3" s="1256"/>
      <c r="BF3" s="1256"/>
      <c r="BG3" s="1256"/>
      <c r="BH3" s="1256"/>
      <c r="BI3" s="1256"/>
      <c r="BJ3" s="1256"/>
      <c r="BK3" s="1256"/>
      <c r="BL3" s="1256"/>
      <c r="BM3" s="1256"/>
    </row>
    <row customHeight="1" ht="11.25" hidden="1">
      <c r="E4" s="124"/>
      <c r="AJ4" s="1256"/>
      <c r="AK4" s="1256"/>
      <c r="AL4" s="1256"/>
      <c r="AM4" s="1256"/>
      <c r="AN4" s="1256"/>
      <c r="AO4" s="1256"/>
      <c r="AP4" s="1256"/>
      <c r="AQ4" s="1256"/>
      <c r="AR4" s="1256"/>
      <c r="AS4" s="1256"/>
      <c r="AT4" s="1256"/>
      <c r="AU4" s="1256"/>
      <c r="AV4" s="1256"/>
      <c r="AW4" s="1256"/>
      <c r="AX4" s="1256"/>
      <c r="AY4" s="1256"/>
      <c r="AZ4" s="1256"/>
      <c r="BA4" s="1256"/>
      <c r="BB4" s="1256"/>
      <c r="BC4" s="1256"/>
      <c r="BD4" s="1256"/>
      <c r="BE4" s="1256"/>
      <c r="BF4" s="1256"/>
      <c r="BG4" s="1256"/>
      <c r="BH4" s="1256"/>
      <c r="BI4" s="1256"/>
      <c r="BJ4" s="1256"/>
      <c r="BK4" s="1256"/>
      <c r="BL4" s="1256"/>
      <c r="BM4" s="1256"/>
    </row>
    <row s="956" customFormat="1" customHeight="1" ht="11.25" hidden="1">
      <c r="A5" s="124"/>
      <c r="B5" s="404"/>
      <c r="C5" s="124"/>
      <c r="D5" s="124"/>
      <c r="E5" s="679" t="s">
        <v>19</v>
      </c>
      <c r="AA5" s="679">
        <v>3</v>
      </c>
      <c r="AB5" s="684">
        <v>11</v>
      </c>
      <c r="AC5" s="680">
        <v>75</v>
      </c>
      <c r="AD5" s="684">
        <v>12</v>
      </c>
      <c r="AE5" s="679">
        <v>12.57</v>
      </c>
      <c r="AF5" s="679">
        <v>12.57</v>
      </c>
      <c r="AG5" s="679">
        <v>12.57</v>
      </c>
      <c r="AH5" s="679">
        <v>21</v>
      </c>
      <c r="AI5" s="679">
        <v>12.57</v>
      </c>
      <c r="AJ5" s="679">
        <v>12.57</v>
      </c>
      <c r="AK5" s="679">
        <v>12.57</v>
      </c>
      <c r="AL5" s="679">
        <v>12.57</v>
      </c>
      <c r="AM5" s="679">
        <v>12.57</v>
      </c>
      <c r="AN5" s="679">
        <v>12.57</v>
      </c>
      <c r="AO5" s="679">
        <v>12.57</v>
      </c>
      <c r="AP5" s="679">
        <v>12.57</v>
      </c>
      <c r="AQ5" s="679">
        <v>12.57</v>
      </c>
      <c r="AR5" s="679">
        <v>12.57</v>
      </c>
      <c r="AS5" s="679">
        <v>12.57</v>
      </c>
      <c r="AT5" s="679">
        <v>12.57</v>
      </c>
      <c r="AU5" s="679">
        <v>12.57</v>
      </c>
      <c r="AV5" s="679">
        <v>12.57</v>
      </c>
      <c r="AW5" s="679">
        <v>12.57</v>
      </c>
      <c r="AX5" s="679">
        <v>12.57</v>
      </c>
      <c r="AY5" s="679">
        <v>12.57</v>
      </c>
      <c r="AZ5" s="679">
        <v>12.57</v>
      </c>
      <c r="BA5" s="679">
        <v>12.57</v>
      </c>
      <c r="BB5" s="679">
        <v>12.57</v>
      </c>
      <c r="BC5" s="679">
        <v>12.57</v>
      </c>
      <c r="BD5" s="679">
        <v>12.57</v>
      </c>
      <c r="BE5" s="679">
        <v>12.57</v>
      </c>
      <c r="BF5" s="679">
        <v>12.57</v>
      </c>
      <c r="BG5" s="679">
        <v>12.57</v>
      </c>
      <c r="BH5" s="679">
        <v>12.57</v>
      </c>
      <c r="BI5" s="679">
        <v>12.57</v>
      </c>
      <c r="BJ5" s="679">
        <v>12.57</v>
      </c>
      <c r="BK5" s="679">
        <v>12.57</v>
      </c>
      <c r="BL5" s="679">
        <v>12.57</v>
      </c>
      <c r="BM5" s="679">
        <v>12.57</v>
      </c>
      <c r="BN5" s="679">
        <v>20</v>
      </c>
      <c r="BO5" s="679">
        <v>20</v>
      </c>
      <c r="BP5" s="679">
        <v>42</v>
      </c>
      <c r="BQ5" s="679">
        <v>3</v>
      </c>
      <c r="BS5" s="1041"/>
      <c r="BT5" s="1041"/>
      <c r="BU5" s="1041"/>
    </row>
    <row customHeight="1" ht="11.25" hidden="1">
      <c r="A6" s="124" t="s">
        <v>349</v>
      </c>
      <c r="AE6" s="124">
        <f>god-2</f>
        <v>2024</v>
      </c>
      <c r="AF6" s="124">
        <f>god-2</f>
        <v>2024</v>
      </c>
      <c r="AG6" s="124">
        <f>god-2</f>
        <v>2024</v>
      </c>
      <c r="AH6" s="124">
        <f>god-2</f>
        <v>2024</v>
      </c>
      <c r="AI6" s="64">
        <f>god-1</f>
        <v>2025</v>
      </c>
      <c r="AJ6" s="64" cm="1" t="str">
        <f t="array" ref="AJ6:AJ6">god</f>
        <v>2026</v>
      </c>
      <c r="AK6" s="64">
        <f>god+1</f>
        <v>2027</v>
      </c>
      <c r="AL6" s="64">
        <f>god+2</f>
        <v>2028</v>
      </c>
      <c r="AM6" s="64">
        <f>god+3</f>
        <v>2029</v>
      </c>
      <c r="AN6" s="64">
        <f>god+4</f>
        <v>2030</v>
      </c>
      <c r="AO6" s="64">
        <f>god+5</f>
        <v>2031</v>
      </c>
      <c r="AP6" s="64">
        <f>god+6</f>
        <v>2032</v>
      </c>
      <c r="AQ6" s="64">
        <f>god+7</f>
        <v>2033</v>
      </c>
      <c r="AR6" s="64">
        <f>god+8</f>
        <v>2034</v>
      </c>
      <c r="AS6" s="64">
        <f>god+9</f>
        <v>2035</v>
      </c>
      <c r="AT6" s="64" cm="1" t="str">
        <f t="array" ref="AT6:AT6">god</f>
        <v>2026</v>
      </c>
      <c r="AU6" s="64">
        <f>god+1</f>
        <v>2027</v>
      </c>
      <c r="AV6" s="64">
        <f>god+2</f>
        <v>2028</v>
      </c>
      <c r="AW6" s="64">
        <f>god+3</f>
        <v>2029</v>
      </c>
      <c r="AX6" s="64">
        <f>god+4</f>
        <v>2030</v>
      </c>
      <c r="AY6" s="64">
        <f>god+5</f>
        <v>2031</v>
      </c>
      <c r="AZ6" s="64">
        <f>god+6</f>
        <v>2032</v>
      </c>
      <c r="BA6" s="64">
        <f>god+7</f>
        <v>2033</v>
      </c>
      <c r="BB6" s="64">
        <f>god+8</f>
        <v>2034</v>
      </c>
      <c r="BC6" s="64">
        <f>god+9</f>
        <v>2035</v>
      </c>
      <c r="BD6" s="64" cm="1" t="str">
        <f t="array" ref="BD6:BD6">god</f>
        <v>2026</v>
      </c>
      <c r="BE6" s="64">
        <f>god+1</f>
        <v>2027</v>
      </c>
      <c r="BF6" s="64">
        <f>god+2</f>
        <v>2028</v>
      </c>
      <c r="BG6" s="64">
        <f>god+3</f>
        <v>2029</v>
      </c>
      <c r="BH6" s="64">
        <f>god+4</f>
        <v>2030</v>
      </c>
      <c r="BI6" s="64">
        <f>god+5</f>
        <v>2031</v>
      </c>
      <c r="BJ6" s="64">
        <f>god+6</f>
        <v>2032</v>
      </c>
      <c r="BK6" s="64">
        <f>god+7</f>
        <v>2033</v>
      </c>
      <c r="BL6" s="64">
        <f>god+8</f>
        <v>2034</v>
      </c>
      <c r="BM6" s="64">
        <f>god+9</f>
        <v>2035</v>
      </c>
    </row>
    <row customHeight="1" ht="11.25" hidden="1">
      <c r="A7" s="124" t="s">
        <v>350</v>
      </c>
      <c r="AE7" s="64" cm="1" t="str">
        <f t="array" ref="AE7:AE7">AE25</f>
        <v>Принято органом регулирования</v>
      </c>
      <c r="AF7" s="64" cm="1" t="str">
        <f t="array" ref="AF7:AF7">AF25</f>
        <v>Факт по данным организации</v>
      </c>
      <c r="AG7" s="64" cm="1" t="str">
        <f t="array" ref="AG7:AG7">AG25</f>
        <v>Факт, принятый органом регулирования</v>
      </c>
      <c r="AH7" s="64" cm="1" t="str">
        <f t="array" ref="AH7:AH7">AH25</f>
        <v>отклонение факта по данным организации к факту принятому органом регулирования</v>
      </c>
      <c r="AI7" s="64" cm="1" t="str">
        <f t="array" ref="AI7:AI7">AI25</f>
        <v>Принято органом регулирования</v>
      </c>
      <c r="AJ7" s="64" cm="1" t="str">
        <f t="array" ref="AJ7:AJ7">$AJ$25</f>
        <v>Предложение организации</v>
      </c>
      <c r="AK7" s="64" cm="1" t="str">
        <f t="array" ref="AK7:AK7">$AJ$25</f>
        <v>Предложение организации</v>
      </c>
      <c r="AL7" s="64" cm="1" t="str">
        <f t="array" ref="AL7:AL7">$AJ$25</f>
        <v>Предложение организации</v>
      </c>
      <c r="AM7" s="64" cm="1" t="str">
        <f t="array" ref="AM7:AM7">$AJ$25</f>
        <v>Предложение организации</v>
      </c>
      <c r="AN7" s="64" cm="1" t="str">
        <f t="array" ref="AN7:AN7">$AJ$25</f>
        <v>Предложение организации</v>
      </c>
      <c r="AO7" s="64" cm="1" t="str">
        <f t="array" ref="AO7:AO7">$AJ$25</f>
        <v>Предложение организации</v>
      </c>
      <c r="AP7" s="64" cm="1" t="str">
        <f t="array" ref="AP7:AP7">$AJ$25</f>
        <v>Предложение организации</v>
      </c>
      <c r="AQ7" s="64" cm="1" t="str">
        <f t="array" ref="AQ7:AQ7">$AJ$25</f>
        <v>Предложение организации</v>
      </c>
      <c r="AR7" s="64" cm="1" t="str">
        <f t="array" ref="AR7:AR7">$AJ$25</f>
        <v>Предложение организации</v>
      </c>
      <c r="AS7" s="64" cm="1" t="str">
        <f t="array" ref="AS7:AS7">$AJ$25</f>
        <v>Предложение организации</v>
      </c>
      <c r="AT7" s="64" cm="1" t="str">
        <f t="array" ref="AT7:AT7">$AT$25</f>
        <v>Принято органом регулирования</v>
      </c>
      <c r="AU7" s="64" cm="1" t="str">
        <f t="array" ref="AU7:AU7">$AT$25</f>
        <v>Принято органом регулирования</v>
      </c>
      <c r="AV7" s="64" cm="1" t="str">
        <f t="array" ref="AV7:AV7">$AT$25</f>
        <v>Принято органом регулирования</v>
      </c>
      <c r="AW7" s="64" cm="1" t="str">
        <f t="array" ref="AW7:AW7">$AT$25</f>
        <v>Принято органом регулирования</v>
      </c>
      <c r="AX7" s="64" cm="1" t="str">
        <f t="array" ref="AX7:AX7">$AT$25</f>
        <v>Принято органом регулирования</v>
      </c>
      <c r="AY7" s="64" cm="1" t="str">
        <f t="array" ref="AY7:AY7">$AT$25</f>
        <v>Принято органом регулирования</v>
      </c>
      <c r="AZ7" s="64" cm="1" t="str">
        <f t="array" ref="AZ7:AZ7">$AT$25</f>
        <v>Принято органом регулирования</v>
      </c>
      <c r="BA7" s="64" cm="1" t="str">
        <f t="array" ref="BA7:BA7">$AT$25</f>
        <v>Принято органом регулирования</v>
      </c>
      <c r="BB7" s="64" cm="1" t="str">
        <f t="array" ref="BB7:BB7">$AT$25</f>
        <v>Принято органом регулирования</v>
      </c>
      <c r="BC7" s="64" cm="1" t="str">
        <f t="array" ref="BC7:BC7">$AT$25</f>
        <v>Принято органом регулирования</v>
      </c>
      <c r="BD7" s="64"/>
      <c r="BE7" s="64"/>
      <c r="BF7" s="64"/>
      <c r="BG7" s="64"/>
      <c r="BH7" s="64"/>
      <c r="BI7" s="64"/>
      <c r="BJ7" s="64"/>
      <c r="BK7" s="64"/>
      <c r="BL7" s="64"/>
      <c r="BM7" s="64"/>
    </row>
    <row customHeight="1" ht="11.25" hidden="1">
      <c r="AE8" s="64" t="str">
        <f>AE6&amp;AE7</f>
        <v>2024Принято органом регулирования</v>
      </c>
      <c r="AF8" s="64" t="str">
        <f>AF6&amp;AF7</f>
        <v>2024Факт по данным организации</v>
      </c>
      <c r="AG8" s="64" t="str">
        <f>AG6&amp;AG7</f>
        <v>2024Факт, принятый органом регулирования</v>
      </c>
      <c r="AH8" s="64" t="str">
        <f>AH6&amp;AH7</f>
        <v>2024отклонение факта по данным организации к факту принятому органом регулирования</v>
      </c>
      <c r="AI8" s="64" t="str">
        <f>AI6&amp;AI7</f>
        <v>2025Принято органом регулирования</v>
      </c>
      <c r="AJ8" s="64" t="str">
        <f>AJ6&amp;AJ7</f>
        <v>2026Предложение организации</v>
      </c>
      <c r="AK8" s="64" t="str">
        <f>AK6&amp;AK7</f>
        <v>2027Предложение организации</v>
      </c>
      <c r="AL8" s="64" t="str">
        <f>AL6&amp;AL7</f>
        <v>2028Предложение организации</v>
      </c>
      <c r="AM8" s="64" t="str">
        <f>AM6&amp;AM7</f>
        <v>2029Предложение организации</v>
      </c>
      <c r="AN8" s="64" t="str">
        <f>AN6&amp;AN7</f>
        <v>2030Предложение организации</v>
      </c>
      <c r="AO8" s="64" t="str">
        <f>AO6&amp;AO7</f>
        <v>2031Предложение организации</v>
      </c>
      <c r="AP8" s="64" t="str">
        <f>AP6&amp;AP7</f>
        <v>2032Предложение организации</v>
      </c>
      <c r="AQ8" s="64" t="str">
        <f>AQ6&amp;AQ7</f>
        <v>2033Предложение организации</v>
      </c>
      <c r="AR8" s="64" t="str">
        <f>AR6&amp;AR7</f>
        <v>2034Предложение организации</v>
      </c>
      <c r="AS8" s="64" t="str">
        <f>AS6&amp;AS7</f>
        <v>2035Предложение организации</v>
      </c>
      <c r="AT8" s="64" t="str">
        <f>AT6&amp;AT7</f>
        <v>2026Принято органом регулирования</v>
      </c>
      <c r="AU8" s="64" t="str">
        <f>AU6&amp;AU7</f>
        <v>2027Принято органом регулирования</v>
      </c>
      <c r="AV8" s="64" t="str">
        <f>AV6&amp;AV7</f>
        <v>2028Принято органом регулирования</v>
      </c>
      <c r="AW8" s="64" t="str">
        <f>AW6&amp;AW7</f>
        <v>2029Принято органом регулирования</v>
      </c>
      <c r="AX8" s="64" t="str">
        <f>AX6&amp;AX7</f>
        <v>2030Принято органом регулирования</v>
      </c>
      <c r="AY8" s="64" t="str">
        <f>AY6&amp;AY7</f>
        <v>2031Принято органом регулирования</v>
      </c>
      <c r="AZ8" s="64" t="str">
        <f>AZ6&amp;AZ7</f>
        <v>2032Принято органом регулирования</v>
      </c>
      <c r="BA8" s="64" t="str">
        <f>BA6&amp;BA7</f>
        <v>2033Принято органом регулирования</v>
      </c>
      <c r="BB8" s="64" t="str">
        <f>BB6&amp;BB7</f>
        <v>2034Принято органом регулирования</v>
      </c>
      <c r="BC8" s="64" t="str">
        <f>BC6&amp;BC7</f>
        <v>2035Принято органом регулирования</v>
      </c>
      <c r="BD8" s="64"/>
      <c r="BE8" s="64"/>
      <c r="BF8" s="64"/>
      <c r="BG8" s="64"/>
      <c r="BH8" s="64"/>
      <c r="BI8" s="64"/>
      <c r="BJ8" s="64"/>
      <c r="BK8" s="64"/>
      <c r="BL8" s="64"/>
      <c r="BM8" s="64"/>
    </row>
    <row s="1041" customFormat="1" customHeight="1" ht="11.25" hidden="1">
      <c r="A9" s="974" t="s">
        <v>354</v>
      </c>
      <c r="B9" s="1037"/>
      <c r="C9" s="1037"/>
      <c r="D9" s="1037"/>
      <c r="E9" s="1037"/>
      <c r="F9" s="1037"/>
      <c r="G9" s="1037"/>
      <c r="H9" s="1037"/>
      <c r="I9" s="1037"/>
      <c r="J9" s="1037"/>
      <c r="K9" s="1037"/>
      <c r="L9" s="1037"/>
      <c r="M9" s="1037"/>
      <c r="N9" s="1037"/>
      <c r="O9" s="1037"/>
      <c r="P9" s="1037"/>
      <c r="Q9" s="1037"/>
      <c r="R9" s="1037"/>
      <c r="S9" s="1037"/>
      <c r="T9" s="1037"/>
      <c r="U9" s="1037"/>
      <c r="V9" s="1037"/>
      <c r="W9" s="1037"/>
      <c r="X9" s="1037"/>
      <c r="Y9" s="1037"/>
      <c r="Z9" s="1037"/>
      <c r="AA9" s="1037"/>
      <c r="AB9" s="1037"/>
      <c r="AC9" s="1037"/>
      <c r="AD9" s="1037"/>
      <c r="AE9" s="1038" cm="1" t="str">
        <f t="array" ref="AE9:AE9">AE6</f>
        <v>2024</v>
      </c>
      <c r="AF9" s="1038" cm="1" t="str">
        <f t="array" ref="AF9:AF9">AF6</f>
        <v>2024</v>
      </c>
      <c r="AG9" s="1038" cm="1" t="str">
        <f t="array" ref="AG9:AG9">AG6</f>
        <v>2024</v>
      </c>
      <c r="AH9" s="1038" cm="1" t="str">
        <f t="array" ref="AH9:AH9">AH6</f>
        <v>2024</v>
      </c>
      <c r="AI9" s="1038" cm="1" t="str">
        <f t="array" ref="AI9:AI9">AI6</f>
        <v>2025</v>
      </c>
      <c r="AJ9" s="1038" cm="1" t="str">
        <f t="array" ref="AJ9:AJ9">AJ6</f>
        <v>2026</v>
      </c>
      <c r="AK9" s="1038" cm="1" t="str">
        <f t="array" ref="AK9:AK9">AK6</f>
        <v>2027</v>
      </c>
      <c r="AL9" s="1038" cm="1" t="str">
        <f t="array" ref="AL9:AL9">AL6</f>
        <v>2028</v>
      </c>
      <c r="AM9" s="1038" cm="1" t="str">
        <f t="array" ref="AM9:AM9">AM6</f>
        <v>2029</v>
      </c>
      <c r="AN9" s="1038" cm="1" t="str">
        <f t="array" ref="AN9:AN9">AN6</f>
        <v>2030</v>
      </c>
      <c r="AO9" s="1038" cm="1" t="str">
        <f t="array" ref="AO9:AO9">AO6</f>
        <v>2031</v>
      </c>
      <c r="AP9" s="1038" cm="1" t="str">
        <f t="array" ref="AP9:AP9">AP6</f>
        <v>2032</v>
      </c>
      <c r="AQ9" s="1038" cm="1" t="str">
        <f t="array" ref="AQ9:AQ9">AQ6</f>
        <v>2033</v>
      </c>
      <c r="AR9" s="1038" cm="1" t="str">
        <f t="array" ref="AR9:AR9">AR6</f>
        <v>2034</v>
      </c>
      <c r="AS9" s="1038" cm="1" t="str">
        <f t="array" ref="AS9:AS9">AS6</f>
        <v>2035</v>
      </c>
      <c r="AT9" s="1038" cm="1" t="str">
        <f t="array" ref="AT9:AT9">AT6</f>
        <v>2026</v>
      </c>
      <c r="AU9" s="1038" cm="1" t="str">
        <f t="array" ref="AU9:AU9">AU6</f>
        <v>2027</v>
      </c>
      <c r="AV9" s="1038" cm="1" t="str">
        <f t="array" ref="AV9:AV9">AV6</f>
        <v>2028</v>
      </c>
      <c r="AW9" s="1038" cm="1" t="str">
        <f t="array" ref="AW9:AW9">AW6</f>
        <v>2029</v>
      </c>
      <c r="AX9" s="1038" cm="1" t="str">
        <f t="array" ref="AX9:AX9">AX6</f>
        <v>2030</v>
      </c>
      <c r="AY9" s="1038" cm="1" t="str">
        <f t="array" ref="AY9:AY9">AY6</f>
        <v>2031</v>
      </c>
      <c r="AZ9" s="1038" cm="1" t="str">
        <f t="array" ref="AZ9:AZ9">AZ6</f>
        <v>2032</v>
      </c>
      <c r="BA9" s="1038" cm="1" t="str">
        <f t="array" ref="BA9:BA9">BA6</f>
        <v>2033</v>
      </c>
      <c r="BB9" s="1038" cm="1" t="str">
        <f t="array" ref="BB9:BB9">BB6</f>
        <v>2034</v>
      </c>
      <c r="BC9" s="1038" cm="1" t="str">
        <f t="array" ref="BC9:BC9">BC6</f>
        <v>2035</v>
      </c>
      <c r="BD9" s="1038" cm="1" t="str">
        <f t="array" ref="BD9:BD9">BD6</f>
        <v>2026</v>
      </c>
      <c r="BE9" s="1038" cm="1" t="str">
        <f t="array" ref="BE9:BE9">BE6</f>
        <v>2027</v>
      </c>
      <c r="BF9" s="1038" cm="1" t="str">
        <f t="array" ref="BF9:BF9">BF6</f>
        <v>2028</v>
      </c>
      <c r="BG9" s="1038" cm="1" t="str">
        <f t="array" ref="BG9:BG9">BG6</f>
        <v>2029</v>
      </c>
      <c r="BH9" s="1038" cm="1" t="str">
        <f t="array" ref="BH9:BH9">BH6</f>
        <v>2030</v>
      </c>
      <c r="BI9" s="1038" cm="1" t="str">
        <f t="array" ref="BI9:BI9">BI6</f>
        <v>2031</v>
      </c>
      <c r="BJ9" s="1038" cm="1" t="str">
        <f t="array" ref="BJ9:BJ9">BJ6</f>
        <v>2032</v>
      </c>
      <c r="BK9" s="1038" cm="1" t="str">
        <f t="array" ref="BK9:BK9">BK6</f>
        <v>2033</v>
      </c>
      <c r="BL9" s="1038" cm="1" t="str">
        <f t="array" ref="BL9:BL9">BL6</f>
        <v>2034</v>
      </c>
      <c r="BM9" s="1038" cm="1" t="str">
        <f t="array" ref="BM9:BM9">BM6</f>
        <v>2035</v>
      </c>
      <c r="BV9" s="679"/>
      <c r="BW9" s="679"/>
    </row>
    <row s="1041" customFormat="1" customHeight="1" ht="11.25" hidden="1">
      <c r="A10" s="974" t="s">
        <v>355</v>
      </c>
      <c r="B10" s="1037"/>
      <c r="C10" s="1037"/>
      <c r="D10" s="1037"/>
      <c r="E10" s="1037"/>
      <c r="F10" s="1037"/>
      <c r="G10" s="1037"/>
      <c r="H10" s="1037"/>
      <c r="I10" s="1037"/>
      <c r="J10" s="1037"/>
      <c r="K10" s="1037"/>
      <c r="L10" s="1037"/>
      <c r="M10" s="1037"/>
      <c r="N10" s="1037"/>
      <c r="O10" s="1037"/>
      <c r="P10" s="1037"/>
      <c r="Q10" s="1037"/>
      <c r="R10" s="1037"/>
      <c r="S10" s="1037"/>
      <c r="T10" s="1037"/>
      <c r="U10" s="1037"/>
      <c r="V10" s="1037"/>
      <c r="W10" s="1037"/>
      <c r="X10" s="1037"/>
      <c r="Y10" s="1037"/>
      <c r="Z10" s="1037"/>
      <c r="AA10" s="1037"/>
      <c r="AB10" s="1037"/>
      <c r="AC10" s="1037"/>
      <c r="AD10" s="1037"/>
      <c r="AE10" s="1038" cm="1" t="str">
        <f t="array" ref="AE10:AE10">AE25</f>
        <v>Принято органом регулирования</v>
      </c>
      <c r="AF10" s="1038" cm="1" t="str">
        <f t="array" ref="AF10:AF10">AF25</f>
        <v>Факт по данным организации</v>
      </c>
      <c r="AG10" s="1038" cm="1" t="str">
        <f t="array" ref="AG10:AG10">AG25</f>
        <v>Факт, принятый органом регулирования</v>
      </c>
      <c r="AH10" s="1038" cm="1" t="str">
        <f t="array" ref="AH10:AH10">AH25</f>
        <v>отклонение факта по данным организации к факту принятому органом регулирования</v>
      </c>
      <c r="AI10" s="1038" cm="1" t="str">
        <f t="array" ref="AI10:AI10">AI25</f>
        <v>Принято органом регулирования</v>
      </c>
      <c r="AJ10" s="1038" cm="1" t="str">
        <f t="array" ref="AJ10:AJ10">AJ25</f>
        <v>Предложение организации</v>
      </c>
      <c r="AK10" s="1038" cm="1" t="str">
        <f t="array" ref="AK10:AK10">AK25</f>
        <v>Предложение организации</v>
      </c>
      <c r="AL10" s="1038" cm="1" t="str">
        <f t="array" ref="AL10:AL10">AL25</f>
        <v>Предложение организации</v>
      </c>
      <c r="AM10" s="1038" cm="1" t="str">
        <f t="array" ref="AM10:AM10">AM25</f>
        <v>Предложение организации</v>
      </c>
      <c r="AN10" s="1038" cm="1" t="str">
        <f t="array" ref="AN10:AN10">AN25</f>
        <v>Предложение организации</v>
      </c>
      <c r="AO10" s="1038" cm="1" t="str">
        <f t="array" ref="AO10:AO10">AO25</f>
        <v>Предложение организации</v>
      </c>
      <c r="AP10" s="1038" cm="1" t="str">
        <f t="array" ref="AP10:AP10">AP25</f>
        <v>Предложение организации</v>
      </c>
      <c r="AQ10" s="1038" cm="1" t="str">
        <f t="array" ref="AQ10:AQ10">AQ25</f>
        <v>Предложение организации</v>
      </c>
      <c r="AR10" s="1038" cm="1" t="str">
        <f t="array" ref="AR10:AR10">AR25</f>
        <v>Предложение организации</v>
      </c>
      <c r="AS10" s="1038" cm="1" t="str">
        <f t="array" ref="AS10:AS10">AS25</f>
        <v>Предложение организации</v>
      </c>
      <c r="AT10" s="1038" cm="1" t="str">
        <f t="array" ref="AT10:AT10">AT25</f>
        <v>Принято органом регулирования</v>
      </c>
      <c r="AU10" s="1038" cm="1" t="str">
        <f t="array" ref="AU10:AU10">AU25</f>
        <v>Принято органом регулирования</v>
      </c>
      <c r="AV10" s="1038" cm="1" t="str">
        <f t="array" ref="AV10:AV10">AV25</f>
        <v>Принято органом регулирования</v>
      </c>
      <c r="AW10" s="1038" cm="1" t="str">
        <f t="array" ref="AW10:AW10">AW25</f>
        <v>Принято органом регулирования</v>
      </c>
      <c r="AX10" s="1038" cm="1" t="str">
        <f t="array" ref="AX10:AX10">AX25</f>
        <v>Принято органом регулирования</v>
      </c>
      <c r="AY10" s="1038" cm="1" t="str">
        <f t="array" ref="AY10:AY10">AY25</f>
        <v>Принято органом регулирования</v>
      </c>
      <c r="AZ10" s="1038" cm="1" t="str">
        <f t="array" ref="AZ10:AZ10">AZ25</f>
        <v>Принято органом регулирования</v>
      </c>
      <c r="BA10" s="1038" cm="1" t="str">
        <f t="array" ref="BA10:BA10">BA25</f>
        <v>Принято органом регулирования</v>
      </c>
      <c r="BB10" s="1038" cm="1" t="str">
        <f t="array" ref="BB10:BB10">BB25</f>
        <v>Принято органом регулирования</v>
      </c>
      <c r="BC10" s="1038" cm="1" t="str">
        <f t="array" ref="BC10:BC10">BC25</f>
        <v>Принято органом регулирования</v>
      </c>
      <c r="BD10" s="1038"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38" cm="1" t="str">
        <f t="array" ref="BE10:BE10">BE25</f>
        <v>0</v>
      </c>
      <c r="BF10" s="1038" cm="1" t="str">
        <f t="array" ref="BF10:BF10">BF25</f>
        <v>0</v>
      </c>
      <c r="BG10" s="1038" cm="1" t="str">
        <f t="array" ref="BG10:BG10">BG25</f>
        <v>0</v>
      </c>
      <c r="BH10" s="1038" cm="1" t="str">
        <f t="array" ref="BH10:BH10">BH25</f>
        <v>0</v>
      </c>
      <c r="BI10" s="1038" cm="1" t="str">
        <f t="array" ref="BI10:BI10">BI25</f>
        <v>0</v>
      </c>
      <c r="BJ10" s="1038" cm="1" t="str">
        <f t="array" ref="BJ10:BJ10">BJ25</f>
        <v>0</v>
      </c>
      <c r="BK10" s="1038" cm="1" t="str">
        <f t="array" ref="BK10:BK10">BK25</f>
        <v>0</v>
      </c>
      <c r="BL10" s="1038" cm="1" t="str">
        <f t="array" ref="BL10:BL10">BL25</f>
        <v>0</v>
      </c>
      <c r="BM10" s="1038" cm="1" t="str">
        <f t="array" ref="BM10:BM10">BM25</f>
        <v>0</v>
      </c>
      <c r="BV10" s="679"/>
      <c r="BW10" s="679"/>
    </row>
    <row s="1041" customFormat="1" customHeight="1" ht="11.25" hidden="1">
      <c r="A11" s="974" t="s">
        <v>356</v>
      </c>
      <c r="B11" s="1037"/>
      <c r="C11" s="1037"/>
      <c r="D11" s="1037"/>
      <c r="E11" s="1037"/>
      <c r="F11" s="1037"/>
      <c r="G11" s="1037"/>
      <c r="H11" s="1037"/>
      <c r="I11" s="1037"/>
      <c r="J11" s="1037"/>
      <c r="K11" s="1037"/>
      <c r="L11" s="1037"/>
      <c r="M11" s="1037"/>
      <c r="N11" s="1037"/>
      <c r="O11" s="1037"/>
      <c r="P11" s="1037"/>
      <c r="Q11" s="1037"/>
      <c r="R11" s="1037"/>
      <c r="S11" s="1037"/>
      <c r="T11" s="1037"/>
      <c r="U11" s="1037"/>
      <c r="V11" s="1037"/>
      <c r="W11" s="1037"/>
      <c r="X11" s="1037"/>
      <c r="Y11" s="1037"/>
      <c r="Z11" s="1037"/>
      <c r="AA11" s="1037"/>
      <c r="AB11" s="1037"/>
      <c r="AC11" s="1037"/>
      <c r="AD11" s="1037"/>
      <c r="AE11" s="1038"/>
      <c r="AJ11" s="1041"/>
      <c r="AK11" s="1041"/>
      <c r="AL11" s="1041"/>
      <c r="AM11" s="1041"/>
      <c r="AN11" s="1041"/>
      <c r="AO11" s="1041"/>
      <c r="AP11" s="1041"/>
      <c r="AQ11" s="1041"/>
      <c r="AR11" s="1041"/>
      <c r="AS11" s="1041"/>
      <c r="AT11" s="1041"/>
      <c r="AU11" s="1041"/>
      <c r="AV11" s="1041"/>
      <c r="AW11" s="1041"/>
      <c r="AX11" s="1041"/>
      <c r="AY11" s="1041"/>
      <c r="AZ11" s="1041"/>
      <c r="BA11" s="1041"/>
      <c r="BB11" s="1041"/>
      <c r="BC11" s="1041"/>
      <c r="BD11" s="1041"/>
      <c r="BE11" s="1041"/>
      <c r="BF11" s="1041"/>
      <c r="BG11" s="1041"/>
      <c r="BH11" s="1041"/>
      <c r="BI11" s="1041"/>
      <c r="BJ11" s="1041"/>
      <c r="BK11" s="1041"/>
      <c r="BL11" s="1041"/>
      <c r="BM11" s="1041"/>
      <c r="BN11" s="1041" cm="1" t="str">
        <f t="array" ref="BN11:BN11">BN24</f>
        <v>Указание на подтверждающие документы / URL-ссылка на копии подтверждающих документов</v>
      </c>
      <c r="BO11" s="1041" cm="1" t="str">
        <f t="array" ref="BO11:BO11">BO24</f>
        <v>Ссылка на правовую норму (основание для принятия показателя в расчет тарифа)</v>
      </c>
      <c r="BP11" s="104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679"/>
      <c r="BW11" s="679"/>
    </row>
    <row s="1041" customFormat="1" customHeight="1" ht="11.25" hidden="1">
      <c r="A12" s="1039" t="s">
        <v>327</v>
      </c>
      <c r="B12" s="1037"/>
      <c r="C12" s="1037"/>
      <c r="D12" s="1037"/>
      <c r="E12" s="1037"/>
      <c r="F12" s="1037"/>
      <c r="G12" s="1037"/>
      <c r="H12" s="1037"/>
      <c r="I12" s="1037"/>
      <c r="J12" s="1037"/>
      <c r="K12" s="1037"/>
      <c r="L12" s="1037"/>
      <c r="M12" s="1037"/>
      <c r="N12" s="1037"/>
      <c r="O12" s="1037"/>
      <c r="P12" s="1037"/>
      <c r="Q12" s="1037"/>
      <c r="R12" s="1037"/>
      <c r="S12" s="1037"/>
      <c r="T12" s="1037"/>
      <c r="U12" s="1037"/>
      <c r="V12" s="1037"/>
      <c r="W12" s="1037"/>
      <c r="X12" s="1037"/>
      <c r="Y12" s="1037"/>
      <c r="Z12" s="1037"/>
      <c r="AA12" s="1037"/>
      <c r="AB12" s="1037"/>
      <c r="AC12" s="1039" t="s">
        <v>314</v>
      </c>
      <c r="AD12" s="1037"/>
      <c r="AE12" s="1038"/>
      <c r="AJ12" s="1041"/>
      <c r="AK12" s="1041"/>
      <c r="AL12" s="1041"/>
      <c r="AM12" s="1041"/>
      <c r="AN12" s="1041"/>
      <c r="AO12" s="1041"/>
      <c r="AP12" s="1041"/>
      <c r="AQ12" s="1041"/>
      <c r="AR12" s="1041"/>
      <c r="AS12" s="1041"/>
      <c r="AT12" s="1041"/>
      <c r="AU12" s="1041"/>
      <c r="AV12" s="1041"/>
      <c r="AW12" s="1041"/>
      <c r="AX12" s="1041"/>
      <c r="AY12" s="1041"/>
      <c r="AZ12" s="1041"/>
      <c r="BA12" s="1041"/>
      <c r="BB12" s="1041"/>
      <c r="BC12" s="1041"/>
      <c r="BD12" s="1041"/>
      <c r="BE12" s="1041"/>
      <c r="BF12" s="1041"/>
      <c r="BG12" s="1041"/>
      <c r="BH12" s="1041"/>
      <c r="BI12" s="1041"/>
      <c r="BJ12" s="1041"/>
      <c r="BK12" s="1041"/>
      <c r="BL12" s="1041"/>
      <c r="BM12" s="1041"/>
      <c r="BV12" s="679"/>
      <c r="BW12" s="679"/>
    </row>
    <row customHeight="1" ht="11.25" hidden="1">
      <c r="A13" s="124" t="s">
        <v>1562</v>
      </c>
      <c r="AJ13" s="1256"/>
      <c r="AK13" s="1256"/>
      <c r="AL13" s="1256"/>
      <c r="AM13" s="1256"/>
      <c r="AN13" s="1256"/>
      <c r="AO13" s="1256"/>
      <c r="AP13" s="1256"/>
      <c r="AQ13" s="1256"/>
      <c r="AR13" s="1256"/>
      <c r="AS13" s="1256"/>
      <c r="AT13" s="1256"/>
      <c r="AU13" s="1256"/>
      <c r="AV13" s="1256"/>
      <c r="AW13" s="1256"/>
      <c r="AX13" s="1256"/>
      <c r="AY13" s="1256"/>
      <c r="AZ13" s="1256"/>
      <c r="BA13" s="1256"/>
      <c r="BB13" s="1256"/>
      <c r="BC13" s="1256"/>
      <c r="BD13" s="1256"/>
      <c r="BE13" s="1256"/>
      <c r="BF13" s="1256"/>
      <c r="BG13" s="1256"/>
      <c r="BH13" s="1256"/>
      <c r="BI13" s="1256"/>
      <c r="BJ13" s="1256"/>
      <c r="BK13" s="1256"/>
      <c r="BL13" s="1256"/>
      <c r="BM13" s="1256"/>
      <c r="BN13" s="124" cm="1" t="str">
        <f t="array" ref="BN13:BN13">BN24</f>
        <v>Указание на подтверждающие документы / URL-ссылка на копии подтверждающих документов</v>
      </c>
      <c r="BO13" s="124" cm="1" t="str">
        <f t="array" ref="BO13:BO13">BO24</f>
        <v>Ссылка на правовую норму (основание для принятия показателя в расчет тарифа)</v>
      </c>
      <c r="BP13" s="124" cm="1" t="str">
        <f t="array" ref="BP13: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customHeight="1" ht="11.25" hidden="1">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row>
    <row customHeight="1" ht="11.25" hidden="1">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row>
    <row customHeight="1" ht="11.25" hidden="1">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row>
    <row customHeight="1" ht="11.25" hidden="1">
      <c r="AJ17" s="1256"/>
      <c r="AK17" s="1256"/>
      <c r="AL17" s="1256"/>
      <c r="AM17" s="1256"/>
      <c r="AN17" s="1256"/>
      <c r="AO17" s="1256"/>
      <c r="AP17" s="1256"/>
      <c r="AQ17" s="1256"/>
      <c r="AR17" s="1256"/>
      <c r="AS17" s="1256"/>
      <c r="AT17" s="1256"/>
      <c r="AU17" s="1256"/>
      <c r="AV17" s="1256"/>
      <c r="AW17" s="1256"/>
      <c r="AX17" s="1256"/>
      <c r="AY17" s="1256"/>
      <c r="AZ17" s="1256"/>
      <c r="BA17" s="1256"/>
      <c r="BB17" s="1256"/>
      <c r="BC17" s="1256"/>
      <c r="BD17" s="1256"/>
      <c r="BE17" s="1256"/>
      <c r="BF17" s="1256"/>
      <c r="BG17" s="1256"/>
      <c r="BH17" s="1256"/>
      <c r="BI17" s="1256"/>
      <c r="BJ17" s="1256"/>
      <c r="BK17" s="1256"/>
      <c r="BL17" s="1256"/>
      <c r="BM17" s="1256"/>
    </row>
    <row customHeight="1" ht="11.25" hidden="1">
      <c r="A18" s="124" t="s">
        <v>357</v>
      </c>
      <c r="AC18" s="123" t="s">
        <v>358</v>
      </c>
      <c r="AJ18" s="1256"/>
      <c r="AK18" s="1256"/>
      <c r="AL18" s="1256"/>
      <c r="AM18" s="1256"/>
      <c r="AN18" s="1256"/>
      <c r="AO18" s="1256"/>
      <c r="AP18" s="1256"/>
      <c r="AQ18" s="1256"/>
      <c r="AR18" s="1256"/>
      <c r="AS18" s="1256"/>
      <c r="AT18" s="1256"/>
      <c r="AU18" s="1256"/>
      <c r="AV18" s="1256"/>
      <c r="AW18" s="1256"/>
      <c r="AX18" s="1256"/>
      <c r="AY18" s="1256"/>
      <c r="AZ18" s="1256"/>
      <c r="BA18" s="1256"/>
      <c r="BB18" s="1256"/>
      <c r="BC18" s="1256"/>
      <c r="BD18" s="1256"/>
      <c r="BE18" s="1256"/>
      <c r="BF18" s="1256"/>
      <c r="BG18" s="1256"/>
      <c r="BH18" s="1256"/>
      <c r="BI18" s="1256"/>
      <c r="BJ18" s="1256"/>
      <c r="BK18" s="1256"/>
      <c r="BL18" s="1256"/>
      <c r="BM18" s="1256"/>
    </row>
    <row customHeight="1" ht="11.25" hidden="1">
      <c r="AJ19" s="1256"/>
      <c r="AK19" s="1256"/>
      <c r="AL19" s="1256"/>
      <c r="AM19" s="1256"/>
      <c r="AN19" s="1256"/>
      <c r="AO19" s="1256"/>
      <c r="AP19" s="1256"/>
      <c r="AQ19" s="1256"/>
      <c r="AR19" s="1256"/>
      <c r="AS19" s="1256"/>
      <c r="AT19" s="1256"/>
      <c r="AU19" s="1256"/>
      <c r="AV19" s="1256"/>
      <c r="AW19" s="1256"/>
      <c r="AX19" s="1256"/>
      <c r="AY19" s="1256"/>
      <c r="AZ19" s="1256"/>
      <c r="BA19" s="1256"/>
      <c r="BB19" s="1256"/>
      <c r="BC19" s="1256"/>
      <c r="BD19" s="1256"/>
      <c r="BE19" s="1256"/>
      <c r="BF19" s="1256"/>
      <c r="BG19" s="1256"/>
      <c r="BH19" s="1256"/>
      <c r="BI19" s="1256"/>
      <c r="BJ19" s="1256"/>
      <c r="BK19" s="1256"/>
      <c r="BL19" s="1256"/>
      <c r="BM19" s="1256"/>
    </row>
    <row customHeight="1" ht="11.25" hidden="1">
      <c r="AJ20" s="1256"/>
      <c r="AK20" s="1256"/>
      <c r="AL20" s="1256"/>
      <c r="AM20" s="1256"/>
      <c r="AN20" s="1256"/>
      <c r="AO20" s="1256"/>
      <c r="AP20" s="1256"/>
      <c r="AQ20" s="1256"/>
      <c r="AR20" s="1256"/>
      <c r="AS20" s="1256"/>
      <c r="AT20" s="1256"/>
      <c r="AU20" s="1256"/>
      <c r="AV20" s="1256"/>
      <c r="AW20" s="1256"/>
      <c r="AX20" s="1256"/>
      <c r="AY20" s="1256"/>
      <c r="AZ20" s="1256"/>
      <c r="BA20" s="1256"/>
      <c r="BB20" s="1256"/>
      <c r="BC20" s="1256"/>
      <c r="BD20" s="1256"/>
      <c r="BE20" s="1256"/>
      <c r="BF20" s="1256"/>
      <c r="BG20" s="1256"/>
      <c r="BH20" s="1256"/>
      <c r="BI20" s="1256"/>
      <c r="BJ20" s="1256"/>
      <c r="BK20" s="1256"/>
      <c r="BL20" s="1256"/>
      <c r="BM20" s="1256"/>
    </row>
    <row customHeight="1" ht="14.625">
      <c r="E21" s="679">
        <v>15</v>
      </c>
      <c r="AA21" s="397"/>
      <c r="AB21" s="124"/>
      <c r="AC21" s="50" cm="1" t="str">
        <f t="array" ref="AC21:AC21">tpl_title</f>
        <v>Кемеровская область / 2026 / ОАО «СКЭК» (ИНН:4205153492, КПП:420501001) / ДПР: 2026-2026</v>
      </c>
      <c r="AD21" s="124"/>
      <c r="AJ21" s="1256"/>
      <c r="AK21" s="1256"/>
      <c r="AL21" s="1256"/>
      <c r="AM21" s="1256"/>
      <c r="AN21" s="1256"/>
      <c r="AO21" s="1256"/>
      <c r="AP21" s="1256"/>
      <c r="AQ21" s="1256"/>
      <c r="AR21" s="1256"/>
      <c r="AS21" s="1256"/>
      <c r="AT21" s="1256"/>
      <c r="AU21" s="1256"/>
      <c r="AV21" s="1256"/>
      <c r="AW21" s="1256"/>
      <c r="AX21" s="1256"/>
      <c r="AY21" s="1256"/>
      <c r="AZ21" s="1256"/>
      <c r="BA21" s="1256"/>
      <c r="BB21" s="1256"/>
      <c r="BC21" s="1256"/>
      <c r="BD21" s="1256"/>
      <c r="BE21" s="1256"/>
      <c r="BF21" s="1256"/>
      <c r="BG21" s="1256"/>
      <c r="BH21" s="1256"/>
      <c r="BI21" s="1256"/>
      <c r="BJ21" s="1256"/>
      <c r="BK21" s="1256"/>
      <c r="BL21" s="1256"/>
      <c r="BM21" s="1256"/>
    </row>
    <row s="1277" customFormat="1" customHeight="1" ht="19.5">
      <c r="B22" s="404"/>
      <c r="E22" s="596">
        <v>20</v>
      </c>
      <c r="AB22" s="286" t="s">
        <v>79</v>
      </c>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c r="BE22" s="217"/>
      <c r="BF22" s="217"/>
      <c r="BG22" s="217"/>
      <c r="BH22" s="217"/>
      <c r="BI22" s="217"/>
      <c r="BJ22" s="217"/>
      <c r="BK22" s="217"/>
      <c r="BL22" s="217"/>
      <c r="BM22" s="217"/>
      <c r="BN22" s="217"/>
      <c r="BO22" s="217"/>
      <c r="BP22" s="217"/>
      <c r="BS22" s="1043"/>
      <c r="BT22" s="1043"/>
      <c r="BU22" s="1043"/>
      <c r="BV22" s="596"/>
      <c r="BW22" s="596"/>
    </row>
    <row s="1277" customFormat="1" customHeight="1" ht="10.2375">
      <c r="B23" s="404"/>
      <c r="E23" s="596">
        <v>10.5</v>
      </c>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S23" s="1043"/>
      <c r="BT23" s="1043"/>
      <c r="BU23" s="1043"/>
      <c r="BV23" s="596"/>
      <c r="BW23" s="596"/>
    </row>
    <row s="958" customFormat="1" customHeight="1" ht="24.131250000000005">
      <c r="B24" s="405"/>
      <c r="E24" s="680">
        <v>24.75</v>
      </c>
      <c r="AB24" s="1525" t="s">
        <v>21</v>
      </c>
      <c r="AC24" s="1525" t="s">
        <v>358</v>
      </c>
      <c r="AD24" s="1525" t="s">
        <v>359</v>
      </c>
      <c r="AE24" s="57" t="str">
        <f>god-2&amp;" год"</f>
        <v>2024 год</v>
      </c>
      <c r="AF24" s="1098" t="str">
        <f>god-2&amp;" год"</f>
        <v>2024 год</v>
      </c>
      <c r="AG24" s="57" t="str">
        <f>god-2&amp;" год"</f>
        <v>2024 год</v>
      </c>
      <c r="AH24" s="57" t="str">
        <f>god-2&amp;" год"</f>
        <v>2024 год</v>
      </c>
      <c r="AI24" s="57" t="str">
        <f>god-1&amp;" год"</f>
        <v>2025 год</v>
      </c>
      <c r="AJ24" s="1096" t="str">
        <f>god&amp;" год"</f>
        <v>2026 год</v>
      </c>
      <c r="AK24" s="1096" t="str">
        <f>god+1&amp;" год"</f>
        <v>2027 год</v>
      </c>
      <c r="AL24" s="1096" t="str">
        <f>god+2&amp;" год"</f>
        <v>2028 год</v>
      </c>
      <c r="AM24" s="1096" t="str">
        <f>god+3&amp;" год"</f>
        <v>2029 год</v>
      </c>
      <c r="AN24" s="1096" t="str">
        <f>god+4&amp;" год"</f>
        <v>2030 год</v>
      </c>
      <c r="AO24" s="1096" t="str">
        <f>god+5&amp;" год"</f>
        <v>2031 год</v>
      </c>
      <c r="AP24" s="1096" t="str">
        <f>god+6&amp;" год"</f>
        <v>2032 год</v>
      </c>
      <c r="AQ24" s="1096" t="str">
        <f>god+7&amp;" год"</f>
        <v>2033 год</v>
      </c>
      <c r="AR24" s="1096" t="str">
        <f>god+8&amp;" год"</f>
        <v>2034 год</v>
      </c>
      <c r="AS24" s="1096" t="str">
        <f>god+9&amp;" год"</f>
        <v>2035 год</v>
      </c>
      <c r="AT24" s="58" t="str">
        <f>god&amp;" год"</f>
        <v>2026 год</v>
      </c>
      <c r="AU24" s="58" t="str">
        <f>god+1&amp;" год"</f>
        <v>2027 год</v>
      </c>
      <c r="AV24" s="58" t="str">
        <f>god+2&amp;" год"</f>
        <v>2028 год</v>
      </c>
      <c r="AW24" s="58" t="str">
        <f>god+3&amp;" год"</f>
        <v>2029 год</v>
      </c>
      <c r="AX24" s="58" t="str">
        <f>god+4&amp;" год"</f>
        <v>2030 год</v>
      </c>
      <c r="AY24" s="58" t="str">
        <f>god+5&amp;" год"</f>
        <v>2031 год</v>
      </c>
      <c r="AZ24" s="58" t="str">
        <f>god+6&amp;" год"</f>
        <v>2032 год</v>
      </c>
      <c r="BA24" s="58" t="str">
        <f>god+7&amp;" год"</f>
        <v>2033 год</v>
      </c>
      <c r="BB24" s="58" t="str">
        <f>god+8&amp;" год"</f>
        <v>2034 год</v>
      </c>
      <c r="BC24" s="58" t="str">
        <f>god+9&amp;" год"</f>
        <v>2035 год</v>
      </c>
      <c r="BD24" s="58" t="str">
        <f>god&amp;" год"</f>
        <v>2026 год</v>
      </c>
      <c r="BE24" s="58" t="str">
        <f>god+1&amp;" год"</f>
        <v>2027 год</v>
      </c>
      <c r="BF24" s="58" t="str">
        <f>god+2&amp;" год"</f>
        <v>2028 год</v>
      </c>
      <c r="BG24" s="58" t="str">
        <f>god+3&amp;" год"</f>
        <v>2029 год</v>
      </c>
      <c r="BH24" s="58" t="str">
        <f>god+4&amp;" год"</f>
        <v>2030 год</v>
      </c>
      <c r="BI24" s="58" t="str">
        <f>god+5&amp;" год"</f>
        <v>2031 год</v>
      </c>
      <c r="BJ24" s="58" t="str">
        <f>god+6&amp;" год"</f>
        <v>2032 год</v>
      </c>
      <c r="BK24" s="58" t="str">
        <f>god+7&amp;" год"</f>
        <v>2033 год</v>
      </c>
      <c r="BL24" s="58" t="str">
        <f>god+8&amp;" год"</f>
        <v>2034 год</v>
      </c>
      <c r="BM24" s="58" t="str">
        <f>god+9&amp;" год"</f>
        <v>2035 год</v>
      </c>
      <c r="BN24" s="1535" t="s">
        <v>1565</v>
      </c>
      <c r="BO24" s="1535" t="s">
        <v>500</v>
      </c>
      <c r="BP24" s="1535" t="s">
        <v>1566</v>
      </c>
      <c r="BS24" s="1044"/>
      <c r="BT24" s="1044"/>
      <c r="BU24" s="1044"/>
      <c r="BV24" s="680"/>
      <c r="BW24" s="680"/>
    </row>
    <row s="958" customFormat="1" customHeight="1" ht="48.993750000000006">
      <c r="B25" s="405"/>
      <c r="E25" s="680">
        <v>50.25</v>
      </c>
      <c r="AB25" s="1525"/>
      <c r="AC25" s="1525"/>
      <c r="AD25" s="1525"/>
      <c r="AE25" s="57" t="s">
        <v>351</v>
      </c>
      <c r="AF25" s="1098" t="s">
        <v>424</v>
      </c>
      <c r="AG25" s="57" t="s">
        <v>425</v>
      </c>
      <c r="AH25" s="57" t="s">
        <v>1567</v>
      </c>
      <c r="AI25" s="57" t="s">
        <v>351</v>
      </c>
      <c r="AJ25" s="1100" t="s">
        <v>352</v>
      </c>
      <c r="AK25" s="1100" t="s">
        <v>352</v>
      </c>
      <c r="AL25" s="1100" t="s">
        <v>352</v>
      </c>
      <c r="AM25" s="1100" t="s">
        <v>352</v>
      </c>
      <c r="AN25" s="1100" t="s">
        <v>352</v>
      </c>
      <c r="AO25" s="1100" t="s">
        <v>352</v>
      </c>
      <c r="AP25" s="1100" t="s">
        <v>352</v>
      </c>
      <c r="AQ25" s="1100" t="s">
        <v>352</v>
      </c>
      <c r="AR25" s="1100" t="s">
        <v>352</v>
      </c>
      <c r="AS25" s="1100" t="s">
        <v>352</v>
      </c>
      <c r="AT25" s="326" t="s">
        <v>351</v>
      </c>
      <c r="AU25" s="326" t="s">
        <v>351</v>
      </c>
      <c r="AV25" s="326" t="s">
        <v>351</v>
      </c>
      <c r="AW25" s="326" t="s">
        <v>351</v>
      </c>
      <c r="AX25" s="326" t="s">
        <v>351</v>
      </c>
      <c r="AY25" s="326" t="s">
        <v>351</v>
      </c>
      <c r="AZ25" s="326" t="s">
        <v>351</v>
      </c>
      <c r="BA25" s="326" t="s">
        <v>351</v>
      </c>
      <c r="BB25" s="326" t="s">
        <v>351</v>
      </c>
      <c r="BC25" s="326" t="s">
        <v>351</v>
      </c>
      <c r="BD25" s="1535" t="s">
        <v>1564</v>
      </c>
      <c r="BE25" s="1535"/>
      <c r="BF25" s="1535"/>
      <c r="BG25" s="1535"/>
      <c r="BH25" s="1535"/>
      <c r="BI25" s="1535"/>
      <c r="BJ25" s="1535"/>
      <c r="BK25" s="1535"/>
      <c r="BL25" s="1535"/>
      <c r="BM25" s="1535"/>
      <c r="BN25" s="1535"/>
      <c r="BO25" s="1535"/>
      <c r="BP25" s="1535"/>
      <c r="BS25" s="1044"/>
      <c r="BT25" s="1044"/>
      <c r="BU25" s="1044"/>
      <c r="BV25" s="680"/>
      <c r="BW25" s="680"/>
    </row>
    <row s="1624" customFormat="1" customHeight="1" ht="11.25">
      <c r="B26" s="402"/>
      <c r="E26" s="647" t="s">
        <v>362</v>
      </c>
      <c r="F26" s="138" t="s">
        <v>1779</v>
      </c>
      <c r="R26" s="0"/>
      <c r="S26" s="721" t="s">
        <v>363</v>
      </c>
      <c r="T26" s="0"/>
      <c r="AC26" s="66"/>
      <c r="AD26" s="66"/>
      <c r="AE26" s="66"/>
      <c r="AF26" s="66"/>
      <c r="AJ26" s="1624"/>
      <c r="AK26" s="1624"/>
      <c r="AL26" s="1624"/>
      <c r="AM26" s="1624"/>
      <c r="AN26" s="1624"/>
      <c r="AO26" s="1624"/>
      <c r="AP26" s="1624"/>
      <c r="AQ26" s="67"/>
      <c r="AR26" s="1624"/>
      <c r="AS26" s="1624"/>
      <c r="AT26" s="1624"/>
      <c r="AU26" s="1624"/>
      <c r="AV26" s="1624"/>
      <c r="AW26" s="1624"/>
      <c r="AX26" s="1624"/>
      <c r="AY26" s="1624"/>
      <c r="AZ26" s="1624"/>
      <c r="BA26" s="1624"/>
      <c r="BB26" s="1624"/>
      <c r="BC26" s="1624"/>
      <c r="BD26" s="1624"/>
      <c r="BE26" s="1624"/>
      <c r="BF26" s="1624"/>
      <c r="BG26" s="1624"/>
      <c r="BH26" s="1624"/>
      <c r="BI26" s="1624"/>
      <c r="BJ26" s="1624"/>
      <c r="BK26" s="1624"/>
      <c r="BL26" s="1624"/>
      <c r="BM26" s="1624"/>
      <c r="BS26" s="981"/>
      <c r="BT26" s="981"/>
      <c r="BU26" s="981"/>
      <c r="BV26" s="599"/>
      <c r="BW26" s="599"/>
    </row>
    <row s="1363" customFormat="1" customHeight="1" ht="14.625" hidden="1">
      <c r="A27" s="1363"/>
      <c r="B27" s="400"/>
      <c r="C27" s="1363"/>
      <c r="D27" s="1363"/>
      <c r="E27" s="593">
        <v>15</v>
      </c>
      <c r="F27" s="64" cm="1" t="str">
        <f t="array" ref="F27:F27">X27</f>
        <v>0</v>
      </c>
      <c r="G27" s="64" cm="1" t="str">
        <f t="array" ref="G27:G27">INDEX('Общие сведения'!$AK$179:$AK$208,MATCH($X27,'Общие сведения'!$Z$179:$Z$208,0))</f>
        <v>одноставочный</v>
      </c>
      <c r="H27" s="1363"/>
      <c r="I27" s="64"/>
      <c r="J27" s="1363"/>
      <c r="K27" s="1363"/>
      <c r="L27" s="959"/>
      <c r="M27" s="398"/>
      <c r="N27" s="1363"/>
      <c r="O27" s="1363"/>
      <c r="P27" s="1363"/>
      <c r="Q27" s="1363"/>
      <c r="R27" s="1363"/>
      <c r="S27" s="88" cm="1" t="str">
        <f t="array" ref="S27:S27">INDEX('Общие сведения'!$AE$179:$AE$208,MATCH($X27,'Общие сведения'!$Z$179:$Z$208,0))</f>
        <v>0</v>
      </c>
      <c r="T27" s="438">
        <f>X27&gt;0</f>
        <v>0</v>
      </c>
      <c r="U27" s="1363"/>
      <c r="V27" s="88" t="s">
        <v>267</v>
      </c>
      <c r="W27" s="1363"/>
      <c r="X27" s="1511">
        <v>0</v>
      </c>
      <c r="Y27" s="1363"/>
      <c r="Z27" s="1494"/>
      <c r="AA27" s="1363"/>
      <c r="AB27" s="347" cm="1" t="str">
        <f t="array" ref="AB27:AB27">INDEX('Общие сведения'!$AG$179:$AG$208,MATCH($X27,'Общие сведения'!$Z$179:$Z$208,0))</f>
        <v>Тариф 0 () - тариф на транспортировку сточных вод</v>
      </c>
      <c r="AC27" s="218"/>
      <c r="AD27" s="218"/>
      <c r="AE27" s="218"/>
      <c r="AF27" s="218"/>
      <c r="AG27" s="218"/>
      <c r="AH27" s="218"/>
      <c r="AI27" s="218"/>
      <c r="AJ27" s="218"/>
      <c r="AK27" s="218"/>
      <c r="AL27" s="218"/>
      <c r="AM27" s="218"/>
      <c r="AN27" s="218"/>
      <c r="AO27" s="218"/>
      <c r="AP27" s="218"/>
      <c r="AQ27" s="218"/>
      <c r="AR27" s="218"/>
      <c r="AS27" s="218"/>
      <c r="AT27" s="218"/>
      <c r="AU27" s="218"/>
      <c r="AV27" s="218"/>
      <c r="AW27" s="218"/>
      <c r="AX27" s="218"/>
      <c r="AY27" s="218"/>
      <c r="AZ27" s="218"/>
      <c r="BA27" s="218"/>
      <c r="BB27" s="218"/>
      <c r="BC27" s="218"/>
      <c r="BD27" s="218"/>
      <c r="BE27" s="218"/>
      <c r="BF27" s="218"/>
      <c r="BG27" s="218"/>
      <c r="BH27" s="218"/>
      <c r="BI27" s="218"/>
      <c r="BJ27" s="218"/>
      <c r="BK27" s="218"/>
      <c r="BL27" s="218"/>
      <c r="BM27" s="218"/>
      <c r="BN27" s="218"/>
      <c r="BO27" s="218"/>
      <c r="BP27" s="218"/>
      <c r="BQ27" s="1363"/>
      <c r="BR27" s="1363"/>
      <c r="BS27" s="974"/>
      <c r="BT27" s="974"/>
      <c r="BU27" s="974"/>
      <c r="BV27" s="593"/>
      <c r="BW27" s="593"/>
    </row>
    <row s="127" customFormat="1" customHeight="1" ht="20.475" hidden="1">
      <c r="A28" s="127"/>
      <c r="B28" s="406"/>
      <c r="C28" s="127"/>
      <c r="D28" s="127"/>
      <c r="E28" s="681">
        <v>21</v>
      </c>
      <c r="F28" s="50" cm="1" t="str">
        <f t="array" ref="F28:F28">OFFSET(E28,-1,1)</f>
        <v>0</v>
      </c>
      <c r="G28" s="127"/>
      <c r="H28" s="343"/>
      <c r="I28" s="343" t="s">
        <v>321</v>
      </c>
      <c r="J28" s="127"/>
      <c r="K28" s="343" t="s">
        <v>321</v>
      </c>
      <c r="L28" s="960"/>
      <c r="M28" s="831"/>
      <c r="N28" s="127"/>
      <c r="O28" s="127"/>
      <c r="P28" s="127"/>
      <c r="Q28" s="127"/>
      <c r="R28" s="127" t="s">
        <v>2058</v>
      </c>
      <c r="S28" s="127"/>
      <c r="T28" s="438" cm="1" t="str">
        <f t="array" ref="T28:T28">T27</f>
        <v>false</v>
      </c>
      <c r="U28" s="127"/>
      <c r="V28" s="127"/>
      <c r="W28" s="127"/>
      <c r="X28" s="1511"/>
      <c r="Y28" s="127"/>
      <c r="Z28" s="1494"/>
      <c r="AA28" s="127"/>
      <c r="AB28" s="213" t="s">
        <v>281</v>
      </c>
      <c r="AC28" s="178" t="s">
        <v>1780</v>
      </c>
      <c r="AD28" s="200" t="s">
        <v>789</v>
      </c>
      <c r="AE28" s="737">
        <f>SUM(AE30,AE47,AE53,AE73,AE74,AE75)</f>
        <v>0</v>
      </c>
      <c r="AF28" s="737">
        <f>SUM(AF30,AF47,AF53,AF73,AF74,AF75)</f>
        <v>0</v>
      </c>
      <c r="AG28" s="737">
        <f>SUM(AG30,AG47,AG53,AG73,AG74,AG75)</f>
        <v>0</v>
      </c>
      <c r="AH28" s="737">
        <f>AG28-AF28</f>
        <v>0</v>
      </c>
      <c r="AI28" s="1224">
        <f>AE28*AI29</f>
        <v>0</v>
      </c>
      <c r="AJ28" s="3597">
        <f>AI28*AJ29</f>
        <v>0</v>
      </c>
      <c r="AK28" s="1224">
        <f>AJ28*AK29</f>
        <v>0</v>
      </c>
      <c r="AL28" s="1224">
        <f>AK28*AL29</f>
        <v>0</v>
      </c>
      <c r="AM28" s="1224">
        <f>AL28*AM29</f>
        <v>0</v>
      </c>
      <c r="AN28" s="1224">
        <f>AM28*AN29</f>
        <v>0</v>
      </c>
      <c r="AO28" s="1224">
        <f>AN28*AO29</f>
        <v>0</v>
      </c>
      <c r="AP28" s="1224">
        <f>AO28*AP29</f>
        <v>0</v>
      </c>
      <c r="AQ28" s="1224">
        <f>AP28*AQ29</f>
        <v>0</v>
      </c>
      <c r="AR28" s="1224">
        <f>AQ28*AR29</f>
        <v>0</v>
      </c>
      <c r="AS28" s="1224">
        <f>AR28*AS29</f>
        <v>0</v>
      </c>
      <c r="AT28" s="3597">
        <f>AI28*AT29</f>
        <v>0</v>
      </c>
      <c r="AU28" s="1224">
        <f>AT28*AU29</f>
        <v>0</v>
      </c>
      <c r="AV28" s="1224">
        <f>AU28*AV29</f>
        <v>0</v>
      </c>
      <c r="AW28" s="1224">
        <f>AV28*AW29</f>
        <v>0</v>
      </c>
      <c r="AX28" s="1224">
        <f>AW28*AX29</f>
        <v>0</v>
      </c>
      <c r="AY28" s="1224">
        <f>AX28*AY29</f>
        <v>0</v>
      </c>
      <c r="AZ28" s="1224">
        <f>AY28*AZ29</f>
        <v>0</v>
      </c>
      <c r="BA28" s="1224">
        <f>AZ28*BA29</f>
        <v>0</v>
      </c>
      <c r="BB28" s="1224">
        <f>BA28*BB29</f>
        <v>0</v>
      </c>
      <c r="BC28" s="1224">
        <f>BB28*BC29</f>
        <v>0</v>
      </c>
      <c r="BD28" s="737">
        <f>IF(AI28=0,0,(AT28-AI28)/AI28*100)</f>
        <v>0</v>
      </c>
      <c r="BE28" s="737">
        <f>IF(AT28=0,0,(AU28-AT28)/AT28*100)</f>
        <v>0</v>
      </c>
      <c r="BF28" s="737">
        <f>IF(AU28=0,0,(AV28-AU28)/AU28*100)</f>
        <v>0</v>
      </c>
      <c r="BG28" s="737">
        <f>IF(AV28=0,0,(AW28-AV28)/AV28*100)</f>
        <v>0</v>
      </c>
      <c r="BH28" s="737">
        <f>IF(AW28=0,0,(AX28-AW28)/AW28*100)</f>
        <v>0</v>
      </c>
      <c r="BI28" s="737">
        <f>IF(AX28=0,0,(AY28-AX28)/AX28*100)</f>
        <v>0</v>
      </c>
      <c r="BJ28" s="737">
        <f>IF(AY28=0,0,(AZ28-AY28)/AY28*100)</f>
        <v>0</v>
      </c>
      <c r="BK28" s="737">
        <f>IF(AZ28=0,0,(BA28-AZ28)/AZ28*100)</f>
        <v>0</v>
      </c>
      <c r="BL28" s="737">
        <f>IF(BA28=0,0,(BB28-BA28)/BA28*100)</f>
        <v>0</v>
      </c>
      <c r="BM28" s="737">
        <f>IF(BB28=0,0,(BC28-BB28)/BB28*100)</f>
        <v>0</v>
      </c>
      <c r="BN28" s="1229"/>
      <c r="BO28" s="1229"/>
      <c r="BP28" s="1229"/>
      <c r="BQ28" s="126"/>
      <c r="BR28" s="127"/>
      <c r="BS28" s="1045" t="s">
        <v>497</v>
      </c>
      <c r="BT28" s="1045"/>
      <c r="BU28" s="1045"/>
      <c r="BV28" s="681"/>
      <c r="BW28" s="681"/>
    </row>
    <row customHeight="1" ht="14.625" hidden="1">
      <c r="A29" s="1256"/>
      <c r="B29" s="955"/>
      <c r="C29" s="1256"/>
      <c r="D29" s="1256"/>
      <c r="E29" s="679">
        <v>15</v>
      </c>
      <c r="F29" s="50" cm="1" t="str">
        <f t="array" ref="F29:F29">OFFSET(E29,-1,1)</f>
        <v>0</v>
      </c>
      <c r="G29" s="1256"/>
      <c r="H29" s="344"/>
      <c r="I29" s="344" t="s">
        <v>434</v>
      </c>
      <c r="J29" s="1256"/>
      <c r="K29" s="344" t="s">
        <v>434</v>
      </c>
      <c r="L29" s="957"/>
      <c r="M29" s="73"/>
      <c r="N29" s="1256"/>
      <c r="O29" s="1256"/>
      <c r="P29" s="1256"/>
      <c r="Q29" s="1256"/>
      <c r="R29" s="127" t="s">
        <v>2058</v>
      </c>
      <c r="S29" s="1256"/>
      <c r="T29" s="438" cm="1" t="str">
        <f t="array" ref="T29:T29">T28</f>
        <v>false</v>
      </c>
      <c r="U29" s="1256"/>
      <c r="V29" s="1256"/>
      <c r="W29" s="1256"/>
      <c r="X29" s="1511"/>
      <c r="Y29" s="1256"/>
      <c r="Z29" s="1494"/>
      <c r="AA29" s="1256"/>
      <c r="AB29" s="265" t="s">
        <v>844</v>
      </c>
      <c r="AC29" s="738" t="s">
        <v>1781</v>
      </c>
      <c r="AD29" s="266"/>
      <c r="AE29" s="1230"/>
      <c r="AF29" s="1230"/>
      <c r="AG29" s="1230"/>
      <c r="AH29" s="918">
        <f>AG29-AF29</f>
        <v>0</v>
      </c>
      <c r="AI29" s="1230">
        <f>_xlfn.SUMIFS(INDEX(Сценарии!$AE$25:$BF$82,,MATCH(AI$8,Сценарии!$AE$8:$BF$8,0)),Сценарии!$F$25:$F$82,$F29,Сценарии!$G$25:$G$82,"ИОР")</f>
        <v>1</v>
      </c>
      <c r="AJ29" s="3685">
        <f>_xlfn.SUMIFS(INDEX(Сценарии!$AE$25:$BF$82,,MATCH(AJ$8,Сценарии!$AE$8:$BF$8,0)),Сценарии!$F$25:$F$82,$F29,Сценарии!$G$25:$G$82,"ИОР")</f>
        <v>1</v>
      </c>
      <c r="AK29" s="1230">
        <f>_xlfn.SUMIFS(INDEX(Сценарии!$AE$25:$BF$82,,MATCH(AK$8,Сценарии!$AE$8:$BF$8,0)),Сценарии!$F$25:$F$82,$F29,Сценарии!$G$25:$G$82,"ИОР")</f>
        <v>1</v>
      </c>
      <c r="AL29" s="1230">
        <f>_xlfn.SUMIFS(INDEX(Сценарии!$AE$25:$BF$82,,MATCH(AL$8,Сценарии!$AE$8:$BF$8,0)),Сценарии!$F$25:$F$82,$F29,Сценарии!$G$25:$G$82,"ИОР")</f>
        <v>1</v>
      </c>
      <c r="AM29" s="1230">
        <f>_xlfn.SUMIFS(INDEX(Сценарии!$AE$25:$BF$82,,MATCH(AM$8,Сценарии!$AE$8:$BF$8,0)),Сценарии!$F$25:$F$82,$F29,Сценарии!$G$25:$G$82,"ИОР")</f>
        <v>1</v>
      </c>
      <c r="AN29" s="1230">
        <f>_xlfn.SUMIFS(INDEX(Сценарии!$AE$25:$BF$82,,MATCH(AN$8,Сценарии!$AE$8:$BF$8,0)),Сценарии!$F$25:$F$82,$F29,Сценарии!$G$25:$G$82,"ИОР")</f>
        <v>1</v>
      </c>
      <c r="AO29" s="1230">
        <f>_xlfn.SUMIFS(INDEX(Сценарии!$AE$25:$BF$82,,MATCH(AO$8,Сценарии!$AE$8:$BF$8,0)),Сценарии!$F$25:$F$82,$F29,Сценарии!$G$25:$G$82,"ИОР")</f>
        <v>1</v>
      </c>
      <c r="AP29" s="1230">
        <f>_xlfn.SUMIFS(INDEX(Сценарии!$AE$25:$BF$82,,MATCH(AP$8,Сценарии!$AE$8:$BF$8,0)),Сценарии!$F$25:$F$82,$F29,Сценарии!$G$25:$G$82,"ИОР")</f>
        <v>1</v>
      </c>
      <c r="AQ29" s="1230">
        <f>_xlfn.SUMIFS(INDEX(Сценарии!$AE$25:$BF$82,,MATCH(AQ$8,Сценарии!$AE$8:$BF$8,0)),Сценарии!$F$25:$F$82,$F29,Сценарии!$G$25:$G$82,"ИОР")</f>
        <v>1</v>
      </c>
      <c r="AR29" s="1230">
        <f>_xlfn.SUMIFS(INDEX(Сценарии!$AE$25:$BF$82,,MATCH(AR$8,Сценарии!$AE$8:$BF$8,0)),Сценарии!$F$25:$F$82,$F29,Сценарии!$G$25:$G$82,"ИОР")</f>
        <v>1</v>
      </c>
      <c r="AS29" s="1230">
        <f>_xlfn.SUMIFS(INDEX(Сценарии!$AE$25:$BF$82,,MATCH(AS$8,Сценарии!$AE$8:$BF$8,0)),Сценарии!$F$25:$F$82,$F29,Сценарии!$G$25:$G$82,"ИОР")</f>
        <v>1</v>
      </c>
      <c r="AT29" s="3685">
        <f>_xlfn.SUMIFS(INDEX(Сценарии!$AE$25:$BF$82,,MATCH(AT$8,Сценарии!$AE$8:$BF$8,0)),Сценарии!$F$25:$F$82,$F29,Сценарии!$G$25:$G$82,"ИОР")</f>
        <v>1</v>
      </c>
      <c r="AU29" s="1230">
        <f>_xlfn.SUMIFS(INDEX(Сценарии!$AE$25:$BF$82,,MATCH(AU$8,Сценарии!$AE$8:$BF$8,0)),Сценарии!$F$25:$F$82,$F29,Сценарии!$G$25:$G$82,"ИОР")</f>
        <v>1</v>
      </c>
      <c r="AV29" s="1230">
        <f>_xlfn.SUMIFS(INDEX(Сценарии!$AE$25:$BF$82,,MATCH(AV$8,Сценарии!$AE$8:$BF$8,0)),Сценарии!$F$25:$F$82,$F29,Сценарии!$G$25:$G$82,"ИОР")</f>
        <v>1</v>
      </c>
      <c r="AW29" s="1230">
        <f>_xlfn.SUMIFS(INDEX(Сценарии!$AE$25:$BF$82,,MATCH(AW$8,Сценарии!$AE$8:$BF$8,0)),Сценарии!$F$25:$F$82,$F29,Сценарии!$G$25:$G$82,"ИОР")</f>
        <v>1</v>
      </c>
      <c r="AX29" s="1230">
        <f>_xlfn.SUMIFS(INDEX(Сценарии!$AE$25:$BF$82,,MATCH(AX$8,Сценарии!$AE$8:$BF$8,0)),Сценарии!$F$25:$F$82,$F29,Сценарии!$G$25:$G$82,"ИОР")</f>
        <v>1</v>
      </c>
      <c r="AY29" s="1230">
        <f>_xlfn.SUMIFS(INDEX(Сценарии!$AE$25:$BF$82,,MATCH(AY$8,Сценарии!$AE$8:$BF$8,0)),Сценарии!$F$25:$F$82,$F29,Сценарии!$G$25:$G$82,"ИОР")</f>
        <v>1</v>
      </c>
      <c r="AZ29" s="1230">
        <f>_xlfn.SUMIFS(INDEX(Сценарии!$AE$25:$BF$82,,MATCH(AZ$8,Сценарии!$AE$8:$BF$8,0)),Сценарии!$F$25:$F$82,$F29,Сценарии!$G$25:$G$82,"ИОР")</f>
        <v>1</v>
      </c>
      <c r="BA29" s="1230">
        <f>_xlfn.SUMIFS(INDEX(Сценарии!$AE$25:$BF$82,,MATCH(BA$8,Сценарии!$AE$8:$BF$8,0)),Сценарии!$F$25:$F$82,$F29,Сценарии!$G$25:$G$82,"ИОР")</f>
        <v>1</v>
      </c>
      <c r="BB29" s="1230">
        <f>_xlfn.SUMIFS(INDEX(Сценарии!$AE$25:$BF$82,,MATCH(BB$8,Сценарии!$AE$8:$BF$8,0)),Сценарии!$F$25:$F$82,$F29,Сценарии!$G$25:$G$82,"ИОР")</f>
        <v>1</v>
      </c>
      <c r="BC29" s="1230">
        <f>_xlfn.SUMIFS(INDEX(Сценарии!$AE$25:$BF$82,,MATCH(BC$8,Сценарии!$AE$8:$BF$8,0)),Сценарии!$F$25:$F$82,$F29,Сценарии!$G$25:$G$82,"ИОР")</f>
        <v>1</v>
      </c>
      <c r="BD29" s="919"/>
      <c r="BE29" s="919"/>
      <c r="BF29" s="919"/>
      <c r="BG29" s="919"/>
      <c r="BH29" s="919"/>
      <c r="BI29" s="919"/>
      <c r="BJ29" s="919"/>
      <c r="BK29" s="919"/>
      <c r="BL29" s="919"/>
      <c r="BM29" s="919"/>
      <c r="BN29" s="1229"/>
      <c r="BO29" s="1229"/>
      <c r="BP29" s="1229"/>
      <c r="BQ29" s="1256"/>
      <c r="BR29" s="1256"/>
      <c r="BS29" s="1041" t="s">
        <v>1782</v>
      </c>
      <c r="BT29" s="1041"/>
      <c r="BU29" s="1041"/>
      <c r="BV29" s="956"/>
      <c r="BW29" s="956"/>
    </row>
    <row s="126" customFormat="1" customHeight="1" ht="20.475" hidden="1">
      <c r="A30" s="126"/>
      <c r="B30" s="406"/>
      <c r="C30" s="126"/>
      <c r="D30" s="126"/>
      <c r="E30" s="682">
        <v>21</v>
      </c>
      <c r="F30" s="50" cm="1" t="str">
        <f t="array" ref="F30:F30">OFFSET(E30,-1,1)</f>
        <v>0</v>
      </c>
      <c r="G30" s="126"/>
      <c r="H30" s="343"/>
      <c r="I30" s="343" t="s">
        <v>438</v>
      </c>
      <c r="J30" s="126"/>
      <c r="K30" s="343" t="s">
        <v>438</v>
      </c>
      <c r="L30" s="961" t="s">
        <v>321</v>
      </c>
      <c r="M30" s="834"/>
      <c r="N30" s="126"/>
      <c r="O30" s="126"/>
      <c r="P30" s="126"/>
      <c r="Q30" s="124" t="s">
        <v>2058</v>
      </c>
      <c r="R30" s="127" t="s">
        <v>2058</v>
      </c>
      <c r="S30" s="126"/>
      <c r="T30" s="438" cm="1" t="str">
        <f t="array" ref="T30:T30">T29</f>
        <v>false</v>
      </c>
      <c r="U30" s="126"/>
      <c r="V30" s="126"/>
      <c r="W30" s="126"/>
      <c r="X30" s="1511"/>
      <c r="Y30" s="126"/>
      <c r="Z30" s="1494"/>
      <c r="AA30" s="126"/>
      <c r="AB30" s="213" t="s">
        <v>847</v>
      </c>
      <c r="AC30" s="327" t="s">
        <v>1568</v>
      </c>
      <c r="AD30" s="200" t="s">
        <v>789</v>
      </c>
      <c r="AE30" s="737">
        <f>SUM(AE31,AE34,AE35,AE38,AE39)</f>
        <v>0</v>
      </c>
      <c r="AF30" s="737">
        <f>SUM(AF31,AF34,AF35,AF38,AF39)</f>
        <v>0</v>
      </c>
      <c r="AG30" s="737">
        <f>SUM(AG31,AG34,AG35,AG38,AG39)</f>
        <v>0</v>
      </c>
      <c r="AH30" s="737">
        <f>AG30-AF30</f>
        <v>0</v>
      </c>
      <c r="AI30" s="3687">
        <f>SUM(AI31,AI34,AI35,AI38,AI39)</f>
        <v>0</v>
      </c>
      <c r="AJ30" s="3685"/>
      <c r="AK30" s="740"/>
      <c r="AL30" s="740"/>
      <c r="AM30" s="740"/>
      <c r="AN30" s="740"/>
      <c r="AO30" s="740"/>
      <c r="AP30" s="740"/>
      <c r="AQ30" s="740"/>
      <c r="AR30" s="740"/>
      <c r="AS30" s="740"/>
      <c r="AT30" s="740"/>
      <c r="AU30" s="740"/>
      <c r="AV30" s="740"/>
      <c r="AW30" s="740"/>
      <c r="AX30" s="740"/>
      <c r="AY30" s="740"/>
      <c r="AZ30" s="740"/>
      <c r="BA30" s="740"/>
      <c r="BB30" s="740"/>
      <c r="BC30" s="740"/>
      <c r="BD30" s="740"/>
      <c r="BE30" s="740"/>
      <c r="BF30" s="740"/>
      <c r="BG30" s="740"/>
      <c r="BH30" s="740"/>
      <c r="BI30" s="740"/>
      <c r="BJ30" s="740"/>
      <c r="BK30" s="740"/>
      <c r="BL30" s="740"/>
      <c r="BM30" s="740"/>
      <c r="BN30" s="1225"/>
      <c r="BO30" s="1225"/>
      <c r="BP30" s="1225"/>
      <c r="BQ30" s="126"/>
      <c r="BR30" s="126"/>
      <c r="BS30" s="1039" t="s">
        <v>491</v>
      </c>
      <c r="BT30" s="1046"/>
      <c r="BU30" s="1046"/>
      <c r="BV30" s="682"/>
      <c r="BW30" s="682"/>
    </row>
    <row customHeight="1" ht="14.625" hidden="1">
      <c r="A31" s="1256"/>
      <c r="B31" s="955"/>
      <c r="C31" s="1256"/>
      <c r="D31" s="1256"/>
      <c r="E31" s="679">
        <v>15</v>
      </c>
      <c r="F31" s="50" cm="1" t="str">
        <f t="array" ref="F31:F31">OFFSET(E31,-1,1)</f>
        <v>0</v>
      </c>
      <c r="G31" s="1256"/>
      <c r="H31" s="344"/>
      <c r="I31" s="344" t="s">
        <v>1208</v>
      </c>
      <c r="J31" s="1256"/>
      <c r="K31" s="344" t="s">
        <v>1208</v>
      </c>
      <c r="L31" s="957" t="s">
        <v>434</v>
      </c>
      <c r="M31" s="73"/>
      <c r="N31" s="1256"/>
      <c r="O31" s="1256"/>
      <c r="P31" s="1256"/>
      <c r="Q31" s="124" t="s">
        <v>2058</v>
      </c>
      <c r="R31" s="127" t="s">
        <v>2058</v>
      </c>
      <c r="S31" s="1256"/>
      <c r="T31" s="438" cm="1" t="str">
        <f t="array" ref="T31:T31">T30</f>
        <v>false</v>
      </c>
      <c r="U31" s="1256"/>
      <c r="V31" s="1256"/>
      <c r="W31" s="1256"/>
      <c r="X31" s="1511"/>
      <c r="Y31" s="1256"/>
      <c r="Z31" s="1494"/>
      <c r="AA31" s="1256"/>
      <c r="AB31" s="265" t="s">
        <v>1209</v>
      </c>
      <c r="AC31" s="741" t="s">
        <v>1783</v>
      </c>
      <c r="AD31" s="742" t="s">
        <v>789</v>
      </c>
      <c r="AE31" s="920">
        <f>SUM(AE32,AE33)</f>
        <v>0</v>
      </c>
      <c r="AF31" s="920">
        <f>SUM(AF32,AF33)</f>
        <v>0</v>
      </c>
      <c r="AG31" s="920">
        <f>SUM(AG32,AG33)</f>
        <v>0</v>
      </c>
      <c r="AH31" s="920">
        <f>AG31-AF31</f>
        <v>0</v>
      </c>
      <c r="AI31" s="3690">
        <f>SUM(AI32,AI33)</f>
        <v>0</v>
      </c>
      <c r="AJ31" s="3685"/>
      <c r="AK31" s="919"/>
      <c r="AL31" s="919"/>
      <c r="AM31" s="919"/>
      <c r="AN31" s="919"/>
      <c r="AO31" s="919"/>
      <c r="AP31" s="919"/>
      <c r="AQ31" s="919"/>
      <c r="AR31" s="919"/>
      <c r="AS31" s="919"/>
      <c r="AT31" s="919"/>
      <c r="AU31" s="919"/>
      <c r="AV31" s="919"/>
      <c r="AW31" s="919"/>
      <c r="AX31" s="919"/>
      <c r="AY31" s="919"/>
      <c r="AZ31" s="919"/>
      <c r="BA31" s="919"/>
      <c r="BB31" s="919"/>
      <c r="BC31" s="919"/>
      <c r="BD31" s="919"/>
      <c r="BE31" s="919"/>
      <c r="BF31" s="919"/>
      <c r="BG31" s="919"/>
      <c r="BH31" s="919"/>
      <c r="BI31" s="919"/>
      <c r="BJ31" s="919"/>
      <c r="BK31" s="919"/>
      <c r="BL31" s="919"/>
      <c r="BM31" s="919"/>
      <c r="BN31" s="1229"/>
      <c r="BO31" s="1229"/>
      <c r="BP31" s="1229"/>
      <c r="BQ31" s="76"/>
      <c r="BR31" s="1256"/>
      <c r="BS31" s="1040" t="s">
        <v>1570</v>
      </c>
      <c r="BT31" s="1041"/>
      <c r="BU31" s="1041"/>
      <c r="BV31" s="956"/>
      <c r="BW31" s="956"/>
    </row>
    <row customHeight="1" ht="14.625" hidden="1">
      <c r="A32" s="1256"/>
      <c r="B32" s="955"/>
      <c r="C32" s="1256"/>
      <c r="D32" s="1256"/>
      <c r="E32" s="679">
        <v>15</v>
      </c>
      <c r="F32" s="50" cm="1" t="str">
        <f t="array" ref="F32:F32">OFFSET(E32,-1,1)</f>
        <v>0</v>
      </c>
      <c r="G32" s="1256"/>
      <c r="H32" s="344"/>
      <c r="I32" s="344" t="s">
        <v>1784</v>
      </c>
      <c r="J32" s="1256"/>
      <c r="K32" s="344" t="s">
        <v>1784</v>
      </c>
      <c r="L32" s="957" t="s">
        <v>951</v>
      </c>
      <c r="M32" s="73"/>
      <c r="N32" s="1256"/>
      <c r="O32" s="1256"/>
      <c r="P32" s="1256"/>
      <c r="Q32" s="124" t="s">
        <v>2058</v>
      </c>
      <c r="R32" s="127" t="s">
        <v>2058</v>
      </c>
      <c r="S32" s="1256"/>
      <c r="T32" s="438" cm="1" t="str">
        <f t="array" ref="T32:T32">T31</f>
        <v>false</v>
      </c>
      <c r="U32" s="1256"/>
      <c r="V32" s="1256"/>
      <c r="W32" s="1256"/>
      <c r="X32" s="1511"/>
      <c r="Y32" s="1256"/>
      <c r="Z32" s="1494"/>
      <c r="AA32" s="1256"/>
      <c r="AB32" s="265" t="s">
        <v>1785</v>
      </c>
      <c r="AC32" s="744" t="s">
        <v>1573</v>
      </c>
      <c r="AD32" s="742" t="s">
        <v>789</v>
      </c>
      <c r="AE32" s="1231"/>
      <c r="AF32" s="1231"/>
      <c r="AG32" s="1231"/>
      <c r="AH32" s="920">
        <f>AG32-AF32</f>
        <v>0</v>
      </c>
      <c r="AI32" s="3692"/>
      <c r="AJ32" s="3685"/>
      <c r="AK32" s="919"/>
      <c r="AL32" s="919"/>
      <c r="AM32" s="919"/>
      <c r="AN32" s="919"/>
      <c r="AO32" s="919"/>
      <c r="AP32" s="919"/>
      <c r="AQ32" s="919"/>
      <c r="AR32" s="919"/>
      <c r="AS32" s="919"/>
      <c r="AT32" s="919"/>
      <c r="AU32" s="919"/>
      <c r="AV32" s="919"/>
      <c r="AW32" s="919"/>
      <c r="AX32" s="919"/>
      <c r="AY32" s="919"/>
      <c r="AZ32" s="919"/>
      <c r="BA32" s="919"/>
      <c r="BB32" s="919"/>
      <c r="BC32" s="919"/>
      <c r="BD32" s="919"/>
      <c r="BE32" s="919"/>
      <c r="BF32" s="919"/>
      <c r="BG32" s="919"/>
      <c r="BH32" s="919"/>
      <c r="BI32" s="919"/>
      <c r="BJ32" s="919"/>
      <c r="BK32" s="919"/>
      <c r="BL32" s="919"/>
      <c r="BM32" s="919"/>
      <c r="BN32" s="1229"/>
      <c r="BO32" s="1229"/>
      <c r="BP32" s="1229"/>
      <c r="BQ32" s="1256"/>
      <c r="BR32" s="1256"/>
      <c r="BS32" s="1039" t="s">
        <v>1574</v>
      </c>
      <c r="BT32" s="1041"/>
      <c r="BU32" s="1041"/>
      <c r="BV32" s="956"/>
      <c r="BW32" s="956"/>
    </row>
    <row customHeight="1" ht="14.625" hidden="1">
      <c r="A33" s="1256"/>
      <c r="B33" s="955"/>
      <c r="C33" s="1256"/>
      <c r="D33" s="1256"/>
      <c r="E33" s="679">
        <v>15</v>
      </c>
      <c r="F33" s="50" cm="1" t="str">
        <f t="array" ref="F33:F33">OFFSET(E33,-1,1)</f>
        <v>0</v>
      </c>
      <c r="G33" s="1256"/>
      <c r="H33" s="344"/>
      <c r="I33" s="344" t="s">
        <v>1786</v>
      </c>
      <c r="J33" s="1256"/>
      <c r="K33" s="344" t="s">
        <v>1786</v>
      </c>
      <c r="L33" s="957" t="s">
        <v>1183</v>
      </c>
      <c r="M33" s="73"/>
      <c r="N33" s="1256"/>
      <c r="O33" s="1256"/>
      <c r="P33" s="1256"/>
      <c r="Q33" s="124" t="s">
        <v>2058</v>
      </c>
      <c r="R33" s="127" t="s">
        <v>2058</v>
      </c>
      <c r="S33" s="1256"/>
      <c r="T33" s="438" cm="1" t="str">
        <f t="array" ref="T33:T33">T32</f>
        <v>false</v>
      </c>
      <c r="U33" s="1256"/>
      <c r="V33" s="1256"/>
      <c r="W33" s="1256"/>
      <c r="X33" s="1511"/>
      <c r="Y33" s="1256"/>
      <c r="Z33" s="1494"/>
      <c r="AA33" s="1256"/>
      <c r="AB33" s="265" t="s">
        <v>1787</v>
      </c>
      <c r="AC33" s="744" t="s">
        <v>1575</v>
      </c>
      <c r="AD33" s="742" t="s">
        <v>789</v>
      </c>
      <c r="AE33" s="1231"/>
      <c r="AF33" s="1231"/>
      <c r="AG33" s="1231"/>
      <c r="AH33" s="920">
        <f>AG33-AF33</f>
        <v>0</v>
      </c>
      <c r="AI33" s="3692"/>
      <c r="AJ33" s="3685"/>
      <c r="AK33" s="919"/>
      <c r="AL33" s="919"/>
      <c r="AM33" s="919"/>
      <c r="AN33" s="919"/>
      <c r="AO33" s="919"/>
      <c r="AP33" s="919"/>
      <c r="AQ33" s="919"/>
      <c r="AR33" s="919"/>
      <c r="AS33" s="919"/>
      <c r="AT33" s="919"/>
      <c r="AU33" s="919"/>
      <c r="AV33" s="919"/>
      <c r="AW33" s="919"/>
      <c r="AX33" s="919"/>
      <c r="AY33" s="919"/>
      <c r="AZ33" s="919"/>
      <c r="BA33" s="919"/>
      <c r="BB33" s="919"/>
      <c r="BC33" s="919"/>
      <c r="BD33" s="919"/>
      <c r="BE33" s="919"/>
      <c r="BF33" s="919"/>
      <c r="BG33" s="919"/>
      <c r="BH33" s="919"/>
      <c r="BI33" s="919"/>
      <c r="BJ33" s="919"/>
      <c r="BK33" s="919"/>
      <c r="BL33" s="919"/>
      <c r="BM33" s="919"/>
      <c r="BN33" s="1229"/>
      <c r="BO33" s="1229"/>
      <c r="BP33" s="1229"/>
      <c r="BQ33" s="1256"/>
      <c r="BR33" s="1256"/>
      <c r="BS33" s="1039" t="s">
        <v>1576</v>
      </c>
      <c r="BT33" s="1041"/>
      <c r="BU33" s="1041"/>
      <c r="BV33" s="956"/>
      <c r="BW33" s="956"/>
    </row>
    <row customHeight="1" ht="21.9375" hidden="1">
      <c r="A34" s="1256"/>
      <c r="B34" s="955"/>
      <c r="C34" s="1256"/>
      <c r="D34" s="1256"/>
      <c r="E34" s="679">
        <v>22.5</v>
      </c>
      <c r="F34" s="50" cm="1" t="str">
        <f t="array" ref="F34:F34">OFFSET(E34,-1,1)</f>
        <v>0</v>
      </c>
      <c r="G34" s="1256"/>
      <c r="H34" s="344"/>
      <c r="I34" s="344" t="s">
        <v>1211</v>
      </c>
      <c r="J34" s="1256"/>
      <c r="K34" s="344" t="s">
        <v>1211</v>
      </c>
      <c r="L34" s="957" t="s">
        <v>441</v>
      </c>
      <c r="M34" s="73"/>
      <c r="N34" s="1256"/>
      <c r="O34" s="1256"/>
      <c r="P34" s="1256"/>
      <c r="Q34" s="124" t="s">
        <v>2058</v>
      </c>
      <c r="R34" s="127" t="s">
        <v>2058</v>
      </c>
      <c r="S34" s="1256"/>
      <c r="T34" s="438" cm="1" t="str">
        <f t="array" ref="T34:T34">T33</f>
        <v>false</v>
      </c>
      <c r="U34" s="1256"/>
      <c r="V34" s="1256"/>
      <c r="W34" s="1256"/>
      <c r="X34" s="1511"/>
      <c r="Y34" s="1256"/>
      <c r="Z34" s="1494"/>
      <c r="AA34" s="1256"/>
      <c r="AB34" s="265" t="s">
        <v>1212</v>
      </c>
      <c r="AC34" s="741" t="s">
        <v>1788</v>
      </c>
      <c r="AD34" s="742" t="s">
        <v>789</v>
      </c>
      <c r="AE34" s="1231"/>
      <c r="AF34" s="1231"/>
      <c r="AG34" s="1231"/>
      <c r="AH34" s="920">
        <f>AG34-AF34</f>
        <v>0</v>
      </c>
      <c r="AI34" s="3692"/>
      <c r="AJ34" s="3685"/>
      <c r="AK34" s="919"/>
      <c r="AL34" s="919"/>
      <c r="AM34" s="919"/>
      <c r="AN34" s="919"/>
      <c r="AO34" s="919"/>
      <c r="AP34" s="919"/>
      <c r="AQ34" s="919"/>
      <c r="AR34" s="919"/>
      <c r="AS34" s="919"/>
      <c r="AT34" s="919"/>
      <c r="AU34" s="919"/>
      <c r="AV34" s="919"/>
      <c r="AW34" s="919"/>
      <c r="AX34" s="919"/>
      <c r="AY34" s="919"/>
      <c r="AZ34" s="919"/>
      <c r="BA34" s="919"/>
      <c r="BB34" s="919"/>
      <c r="BC34" s="919"/>
      <c r="BD34" s="919"/>
      <c r="BE34" s="919"/>
      <c r="BF34" s="919"/>
      <c r="BG34" s="919"/>
      <c r="BH34" s="919"/>
      <c r="BI34" s="919"/>
      <c r="BJ34" s="919"/>
      <c r="BK34" s="919"/>
      <c r="BL34" s="919"/>
      <c r="BM34" s="919"/>
      <c r="BN34" s="1229"/>
      <c r="BO34" s="1229"/>
      <c r="BP34" s="1229"/>
      <c r="BQ34" s="1256"/>
      <c r="BR34" s="1256"/>
      <c r="BS34" s="1040" t="s">
        <v>1601</v>
      </c>
      <c r="BT34" s="1041"/>
      <c r="BU34" s="1041"/>
      <c r="BV34" s="956"/>
      <c r="BW34" s="956"/>
    </row>
    <row customHeight="1" ht="21.9375" hidden="1">
      <c r="A35" s="1256"/>
      <c r="B35" s="955"/>
      <c r="C35" s="1256"/>
      <c r="D35" s="1256"/>
      <c r="E35" s="679">
        <v>22.5</v>
      </c>
      <c r="F35" s="50" cm="1" t="str">
        <f t="array" ref="F35:F35">OFFSET(E35,-1,1)</f>
        <v>0</v>
      </c>
      <c r="G35" s="1256"/>
      <c r="H35" s="344"/>
      <c r="I35" s="344" t="s">
        <v>1215</v>
      </c>
      <c r="J35" s="1256"/>
      <c r="K35" s="344" t="s">
        <v>1215</v>
      </c>
      <c r="L35" s="957" t="s">
        <v>445</v>
      </c>
      <c r="M35" s="73"/>
      <c r="N35" s="1256"/>
      <c r="O35" s="1256"/>
      <c r="P35" s="1256"/>
      <c r="Q35" s="124" t="s">
        <v>2058</v>
      </c>
      <c r="R35" s="127" t="s">
        <v>2058</v>
      </c>
      <c r="S35" s="1256"/>
      <c r="T35" s="438" cm="1" t="str">
        <f t="array" ref="T35:T35">T34</f>
        <v>false</v>
      </c>
      <c r="U35" s="1256"/>
      <c r="V35" s="1256"/>
      <c r="W35" s="1256"/>
      <c r="X35" s="1511"/>
      <c r="Y35" s="1256"/>
      <c r="Z35" s="1494"/>
      <c r="AA35" s="1256"/>
      <c r="AB35" s="265" t="s">
        <v>1216</v>
      </c>
      <c r="AC35" s="741" t="s">
        <v>1789</v>
      </c>
      <c r="AD35" s="742" t="s">
        <v>789</v>
      </c>
      <c r="AE35" s="921">
        <f>AE36+AE37</f>
        <v>0</v>
      </c>
      <c r="AF35" s="921">
        <f>AF36+AF37</f>
        <v>0</v>
      </c>
      <c r="AG35" s="921">
        <f>AG36+AG37</f>
        <v>0</v>
      </c>
      <c r="AH35" s="920">
        <f>AG35-AF35</f>
        <v>0</v>
      </c>
      <c r="AI35" s="3694">
        <f>AI36+AI37</f>
        <v>0</v>
      </c>
      <c r="AJ35" s="3685"/>
      <c r="AK35" s="919"/>
      <c r="AL35" s="919"/>
      <c r="AM35" s="919"/>
      <c r="AN35" s="919"/>
      <c r="AO35" s="919"/>
      <c r="AP35" s="919"/>
      <c r="AQ35" s="919"/>
      <c r="AR35" s="919"/>
      <c r="AS35" s="919"/>
      <c r="AT35" s="919"/>
      <c r="AU35" s="919"/>
      <c r="AV35" s="919"/>
      <c r="AW35" s="919"/>
      <c r="AX35" s="919"/>
      <c r="AY35" s="919"/>
      <c r="AZ35" s="919"/>
      <c r="BA35" s="919"/>
      <c r="BB35" s="919"/>
      <c r="BC35" s="919"/>
      <c r="BD35" s="919"/>
      <c r="BE35" s="919"/>
      <c r="BF35" s="919"/>
      <c r="BG35" s="919"/>
      <c r="BH35" s="919"/>
      <c r="BI35" s="919"/>
      <c r="BJ35" s="919"/>
      <c r="BK35" s="919"/>
      <c r="BL35" s="919"/>
      <c r="BM35" s="919"/>
      <c r="BN35" s="1229"/>
      <c r="BO35" s="1229"/>
      <c r="BP35" s="1229"/>
      <c r="BQ35" s="1256"/>
      <c r="BR35" s="1256"/>
      <c r="BS35" s="1040" t="s">
        <v>1790</v>
      </c>
      <c r="BT35" s="1041"/>
      <c r="BU35" s="1041"/>
      <c r="BV35" s="956"/>
      <c r="BW35" s="956"/>
    </row>
    <row customHeight="1" ht="14.625" hidden="1">
      <c r="A36" s="1256"/>
      <c r="B36" s="955"/>
      <c r="C36" s="1256"/>
      <c r="D36" s="1256"/>
      <c r="E36" s="679">
        <v>15</v>
      </c>
      <c r="F36" s="50" cm="1" t="str">
        <f t="array" ref="F36:F36">OFFSET(E36,-1,1)</f>
        <v>0</v>
      </c>
      <c r="G36" s="315" t="s">
        <v>1033</v>
      </c>
      <c r="H36" s="344"/>
      <c r="I36" s="344" t="s">
        <v>1359</v>
      </c>
      <c r="J36" s="1256"/>
      <c r="K36" s="344" t="s">
        <v>1359</v>
      </c>
      <c r="L36" s="957" t="s">
        <v>1235</v>
      </c>
      <c r="M36" s="73"/>
      <c r="N36" s="1256"/>
      <c r="O36" s="1256"/>
      <c r="P36" s="1256"/>
      <c r="Q36" s="124" t="s">
        <v>2058</v>
      </c>
      <c r="R36" s="127" t="s">
        <v>2058</v>
      </c>
      <c r="S36" s="1256"/>
      <c r="T36" s="438" cm="1" t="str">
        <f t="array" ref="T36:T36">T35</f>
        <v>false</v>
      </c>
      <c r="U36" s="1256"/>
      <c r="V36" s="1256"/>
      <c r="W36" s="1256"/>
      <c r="X36" s="1511"/>
      <c r="Y36" s="1256"/>
      <c r="Z36" s="1494"/>
      <c r="AA36" s="1256"/>
      <c r="AB36" s="265" t="s">
        <v>1791</v>
      </c>
      <c r="AC36" s="744" t="s">
        <v>1604</v>
      </c>
      <c r="AD36" s="742" t="s">
        <v>789</v>
      </c>
      <c r="AE36" s="1231"/>
      <c r="AF36" s="1231"/>
      <c r="AG36" s="1231"/>
      <c r="AH36" s="920">
        <f>AG36-AF36</f>
        <v>0</v>
      </c>
      <c r="AI36" s="3692"/>
      <c r="AJ36" s="3685"/>
      <c r="AK36" s="919"/>
      <c r="AL36" s="919"/>
      <c r="AM36" s="919"/>
      <c r="AN36" s="919"/>
      <c r="AO36" s="919"/>
      <c r="AP36" s="919"/>
      <c r="AQ36" s="919"/>
      <c r="AR36" s="919"/>
      <c r="AS36" s="919"/>
      <c r="AT36" s="919"/>
      <c r="AU36" s="919"/>
      <c r="AV36" s="919"/>
      <c r="AW36" s="919"/>
      <c r="AX36" s="919"/>
      <c r="AY36" s="919"/>
      <c r="AZ36" s="919"/>
      <c r="BA36" s="919"/>
      <c r="BB36" s="919"/>
      <c r="BC36" s="919"/>
      <c r="BD36" s="919"/>
      <c r="BE36" s="919"/>
      <c r="BF36" s="919"/>
      <c r="BG36" s="919"/>
      <c r="BH36" s="919"/>
      <c r="BI36" s="919"/>
      <c r="BJ36" s="919"/>
      <c r="BK36" s="919"/>
      <c r="BL36" s="919"/>
      <c r="BM36" s="919"/>
      <c r="BN36" s="1229"/>
      <c r="BO36" s="1232" t="str">
        <f>IF(_xlfn.IFERROR(INDEX(ФОТ!$K$26:$L$77,MATCH($F36&amp;"1komm",ФОТ!$K$26:$K$77,0),2),"")=0,"",_xlfn.IFERROR(INDEX(ФОТ!$K$26:$L$77,MATCH($F36&amp;"1komm",ФОТ!$K$26:$K$77,0),2),""))</f>
        <v/>
      </c>
      <c r="BP36" s="1229"/>
      <c r="BQ36" s="1256"/>
      <c r="BR36" s="1256"/>
      <c r="BS36" s="1039" t="s">
        <v>1605</v>
      </c>
      <c r="BT36" s="1041"/>
      <c r="BU36" s="1041"/>
      <c r="BV36" s="956"/>
      <c r="BW36" s="956"/>
    </row>
    <row customHeight="1" ht="21.9375" hidden="1">
      <c r="A37" s="1256"/>
      <c r="B37" s="955"/>
      <c r="C37" s="1256"/>
      <c r="D37" s="1256"/>
      <c r="E37" s="679">
        <v>22.5</v>
      </c>
      <c r="F37" s="50" cm="1" t="str">
        <f t="array" ref="F37:F37">OFFSET(E37,-1,1)</f>
        <v>0</v>
      </c>
      <c r="G37" s="315" t="s">
        <v>1045</v>
      </c>
      <c r="H37" s="344"/>
      <c r="I37" s="344" t="s">
        <v>1363</v>
      </c>
      <c r="J37" s="1256"/>
      <c r="K37" s="344" t="s">
        <v>1363</v>
      </c>
      <c r="L37" s="957" t="s">
        <v>1236</v>
      </c>
      <c r="M37" s="73"/>
      <c r="N37" s="1256"/>
      <c r="O37" s="1256"/>
      <c r="P37" s="1256"/>
      <c r="Q37" s="124" t="s">
        <v>2058</v>
      </c>
      <c r="R37" s="127" t="s">
        <v>2058</v>
      </c>
      <c r="S37" s="1256"/>
      <c r="T37" s="438" cm="1" t="str">
        <f t="array" ref="T37:T37">T36</f>
        <v>false</v>
      </c>
      <c r="U37" s="1256"/>
      <c r="V37" s="1256"/>
      <c r="W37" s="1256"/>
      <c r="X37" s="1511"/>
      <c r="Y37" s="1256"/>
      <c r="Z37" s="1494"/>
      <c r="AA37" s="1256"/>
      <c r="AB37" s="265" t="s">
        <v>1792</v>
      </c>
      <c r="AC37" s="744" t="s">
        <v>1793</v>
      </c>
      <c r="AD37" s="742" t="s">
        <v>789</v>
      </c>
      <c r="AE37" s="1231">
        <f>AE36*_xlfn.SUMIFS(INDEX(Сценарии!$AE$25:$BF$82,,MATCH(AE$8,Сценарии!$AE$8:$BF$8,0)),Сценарии!$F$25:$F$82,$F37,Сценарии!$G$25:$G$82,"СВФОТ")/100</f>
        <v>0</v>
      </c>
      <c r="AF37" s="1231">
        <f>AF36*_xlfn.SUMIFS(INDEX(Сценарии!$AE$25:$BF$82,,MATCH(AF$8,Сценарии!$AE$8:$BF$8,0)),Сценарии!$F$25:$F$82,$F37,Сценарии!$G$25:$G$82,"СВФОТ")/100</f>
        <v>0</v>
      </c>
      <c r="AG37" s="1231">
        <f>AG36*_xlfn.SUMIFS(INDEX(Сценарии!$AE$25:$BF$82,,MATCH(AG$8,Сценарии!$AE$8:$BF$8,0)),Сценарии!$F$25:$F$82,$F37,Сценарии!$G$25:$G$82,"СВФОТ")/100</f>
        <v>0</v>
      </c>
      <c r="AH37" s="920">
        <f>AG37-AF37</f>
        <v>0</v>
      </c>
      <c r="AI37" s="3692">
        <f>AI36*_xlfn.SUMIFS(INDEX(Сценарии!$AE$25:$BF$82,,MATCH(AG$8,Сценарии!$AE$8:$BF$8,0)),Сценарии!$F$25:$F$82,$F37,Сценарии!$G$25:$G$82,"СВФОТ")/100</f>
        <v>0</v>
      </c>
      <c r="AJ37" s="3685"/>
      <c r="AK37" s="919"/>
      <c r="AL37" s="919"/>
      <c r="AM37" s="919"/>
      <c r="AN37" s="919"/>
      <c r="AO37" s="919"/>
      <c r="AP37" s="919"/>
      <c r="AQ37" s="919"/>
      <c r="AR37" s="919"/>
      <c r="AS37" s="919"/>
      <c r="AT37" s="919"/>
      <c r="AU37" s="919"/>
      <c r="AV37" s="919"/>
      <c r="AW37" s="919"/>
      <c r="AX37" s="919"/>
      <c r="AY37" s="919"/>
      <c r="AZ37" s="919"/>
      <c r="BA37" s="919"/>
      <c r="BB37" s="919"/>
      <c r="BC37" s="919"/>
      <c r="BD37" s="919"/>
      <c r="BE37" s="919"/>
      <c r="BF37" s="919"/>
      <c r="BG37" s="919"/>
      <c r="BH37" s="919"/>
      <c r="BI37" s="919"/>
      <c r="BJ37" s="919"/>
      <c r="BK37" s="919"/>
      <c r="BL37" s="919"/>
      <c r="BM37" s="919"/>
      <c r="BN37" s="1229"/>
      <c r="BO37" s="1232" t="str">
        <f>IF(_xlfn.IFERROR(INDEX(ФОТ!$K$26:$L$77,MATCH($F37&amp;"2komm",ФОТ!$K$26:$K$77,0),2),"")=0,"",_xlfn.IFERROR(INDEX(ФОТ!$K$26:$L$77,MATCH($F37&amp;"2komm",ФОТ!$K$26:$K$77,0),2),""))</f>
        <v/>
      </c>
      <c r="BP37" s="1229"/>
      <c r="BQ37" s="1256"/>
      <c r="BR37" s="1256"/>
      <c r="BS37" s="1039" t="s">
        <v>1607</v>
      </c>
      <c r="BT37" s="1041"/>
      <c r="BU37" s="1041"/>
      <c r="BV37" s="956"/>
      <c r="BW37" s="956"/>
    </row>
    <row customHeight="1" ht="14.625" hidden="1">
      <c r="A38" s="1256"/>
      <c r="B38" s="955"/>
      <c r="C38" s="1256"/>
      <c r="D38" s="1256"/>
      <c r="E38" s="679">
        <v>15</v>
      </c>
      <c r="F38" s="50" cm="1" t="str">
        <f t="array" ref="F38:F38">OFFSET(E38,-1,1)</f>
        <v>0</v>
      </c>
      <c r="G38" s="1256"/>
      <c r="H38" s="344"/>
      <c r="I38" s="344" t="s">
        <v>1374</v>
      </c>
      <c r="J38" s="1256"/>
      <c r="K38" s="344" t="s">
        <v>1374</v>
      </c>
      <c r="L38" s="957" t="s">
        <v>1609</v>
      </c>
      <c r="M38" s="73"/>
      <c r="N38" s="1256"/>
      <c r="O38" s="1256"/>
      <c r="P38" s="1256"/>
      <c r="Q38" s="124" t="s">
        <v>2058</v>
      </c>
      <c r="R38" s="127" t="s">
        <v>2058</v>
      </c>
      <c r="S38" s="1256"/>
      <c r="T38" s="438" cm="1" t="str">
        <f t="array" ref="T38:T38">T37</f>
        <v>false</v>
      </c>
      <c r="U38" s="1256"/>
      <c r="V38" s="1256"/>
      <c r="W38" s="1256"/>
      <c r="X38" s="1511"/>
      <c r="Y38" s="1256"/>
      <c r="Z38" s="1494"/>
      <c r="AA38" s="1256"/>
      <c r="AB38" s="265" t="s">
        <v>1583</v>
      </c>
      <c r="AC38" s="741" t="s">
        <v>1794</v>
      </c>
      <c r="AD38" s="742" t="s">
        <v>789</v>
      </c>
      <c r="AE38" s="1231"/>
      <c r="AF38" s="1231"/>
      <c r="AG38" s="1231"/>
      <c r="AH38" s="920">
        <f>AG38-AF38</f>
        <v>0</v>
      </c>
      <c r="AI38" s="3692"/>
      <c r="AJ38" s="3685"/>
      <c r="AK38" s="919"/>
      <c r="AL38" s="919"/>
      <c r="AM38" s="919"/>
      <c r="AN38" s="919"/>
      <c r="AO38" s="919"/>
      <c r="AP38" s="919"/>
      <c r="AQ38" s="919"/>
      <c r="AR38" s="919"/>
      <c r="AS38" s="919"/>
      <c r="AT38" s="919"/>
      <c r="AU38" s="919"/>
      <c r="AV38" s="919"/>
      <c r="AW38" s="919"/>
      <c r="AX38" s="919"/>
      <c r="AY38" s="919"/>
      <c r="AZ38" s="919"/>
      <c r="BA38" s="919"/>
      <c r="BB38" s="919"/>
      <c r="BC38" s="919"/>
      <c r="BD38" s="919"/>
      <c r="BE38" s="919"/>
      <c r="BF38" s="919"/>
      <c r="BG38" s="919"/>
      <c r="BH38" s="919"/>
      <c r="BI38" s="919"/>
      <c r="BJ38" s="919"/>
      <c r="BK38" s="919"/>
      <c r="BL38" s="919"/>
      <c r="BM38" s="919"/>
      <c r="BN38" s="1229"/>
      <c r="BO38" s="1229"/>
      <c r="BP38" s="1229"/>
      <c r="BQ38" s="1256"/>
      <c r="BR38" s="1256"/>
      <c r="BS38" s="1040" t="s">
        <v>1612</v>
      </c>
      <c r="BT38" s="1041"/>
      <c r="BU38" s="1041"/>
      <c r="BV38" s="956"/>
      <c r="BW38" s="956"/>
    </row>
    <row customHeight="1" ht="14.625" hidden="1">
      <c r="A39" s="1256"/>
      <c r="B39" s="955"/>
      <c r="C39" s="1256"/>
      <c r="D39" s="1256"/>
      <c r="E39" s="679">
        <v>15</v>
      </c>
      <c r="F39" s="50" cm="1" t="str">
        <f t="array" ref="F39:F39">OFFSET(E39,-1,1)</f>
        <v>0</v>
      </c>
      <c r="G39" s="1256"/>
      <c r="H39" s="344"/>
      <c r="I39" s="344" t="s">
        <v>1378</v>
      </c>
      <c r="J39" s="1256"/>
      <c r="K39" s="344" t="s">
        <v>1378</v>
      </c>
      <c r="L39" s="957" t="s">
        <v>1613</v>
      </c>
      <c r="M39" s="1256"/>
      <c r="N39" s="1256"/>
      <c r="O39" s="1256"/>
      <c r="P39" s="1256"/>
      <c r="Q39" s="124" t="s">
        <v>2058</v>
      </c>
      <c r="R39" s="127" t="s">
        <v>2058</v>
      </c>
      <c r="S39" s="1256"/>
      <c r="T39" s="438" cm="1" t="str">
        <f t="array" ref="T39:T39">T38</f>
        <v>false</v>
      </c>
      <c r="U39" s="1256"/>
      <c r="V39" s="1256"/>
      <c r="W39" s="1256"/>
      <c r="X39" s="1511"/>
      <c r="Y39" s="1256"/>
      <c r="Z39" s="1494"/>
      <c r="AA39" s="1256"/>
      <c r="AB39" s="265" t="s">
        <v>1585</v>
      </c>
      <c r="AC39" s="741" t="s">
        <v>1795</v>
      </c>
      <c r="AD39" s="266" t="s">
        <v>789</v>
      </c>
      <c r="AE39" s="921">
        <f>SUM(AE40:AE46)</f>
        <v>0</v>
      </c>
      <c r="AF39" s="921">
        <f>SUM(AF40:AF46)</f>
        <v>0</v>
      </c>
      <c r="AG39" s="921">
        <f>SUM(AG40:AG46)</f>
        <v>0</v>
      </c>
      <c r="AH39" s="920">
        <f>AG39-AF39</f>
        <v>0</v>
      </c>
      <c r="AI39" s="3694">
        <f>SUM(AI40:AI46)</f>
        <v>0</v>
      </c>
      <c r="AJ39" s="3685"/>
      <c r="AK39" s="919"/>
      <c r="AL39" s="919"/>
      <c r="AM39" s="919"/>
      <c r="AN39" s="919"/>
      <c r="AO39" s="919"/>
      <c r="AP39" s="919"/>
      <c r="AQ39" s="919"/>
      <c r="AR39" s="919"/>
      <c r="AS39" s="919"/>
      <c r="AT39" s="919"/>
      <c r="AU39" s="919"/>
      <c r="AV39" s="919"/>
      <c r="AW39" s="919"/>
      <c r="AX39" s="919"/>
      <c r="AY39" s="919"/>
      <c r="AZ39" s="919"/>
      <c r="BA39" s="919"/>
      <c r="BB39" s="919"/>
      <c r="BC39" s="919"/>
      <c r="BD39" s="919"/>
      <c r="BE39" s="919"/>
      <c r="BF39" s="919"/>
      <c r="BG39" s="919"/>
      <c r="BH39" s="919"/>
      <c r="BI39" s="919"/>
      <c r="BJ39" s="919"/>
      <c r="BK39" s="919"/>
      <c r="BL39" s="919"/>
      <c r="BM39" s="919"/>
      <c r="BN39" s="1229"/>
      <c r="BO39" s="1229"/>
      <c r="BP39" s="1229"/>
      <c r="BQ39" s="1256"/>
      <c r="BR39" s="1256"/>
      <c r="BS39" s="1040" t="s">
        <v>1796</v>
      </c>
      <c r="BT39" s="1041"/>
      <c r="BU39" s="1041"/>
      <c r="BV39" s="956"/>
      <c r="BW39" s="956"/>
    </row>
    <row customHeight="1" ht="14.625" hidden="1">
      <c r="A40" s="1256"/>
      <c r="B40" s="955"/>
      <c r="C40" s="1256"/>
      <c r="D40" s="1256"/>
      <c r="E40" s="679">
        <v>15</v>
      </c>
      <c r="F40" s="50" cm="1" t="str">
        <f t="array" ref="F40:F40">OFFSET(E40,-1,1)</f>
        <v>0</v>
      </c>
      <c r="G40" s="1256"/>
      <c r="H40" s="344"/>
      <c r="I40" s="344" t="s">
        <v>1797</v>
      </c>
      <c r="J40" s="1256"/>
      <c r="K40" s="344" t="s">
        <v>1797</v>
      </c>
      <c r="L40" s="957" t="s">
        <v>1613</v>
      </c>
      <c r="M40" s="73" t="s">
        <v>1621</v>
      </c>
      <c r="N40" s="1256"/>
      <c r="O40" s="1256"/>
      <c r="P40" s="1256"/>
      <c r="Q40" s="124" t="s">
        <v>2058</v>
      </c>
      <c r="R40" s="127" t="s">
        <v>2058</v>
      </c>
      <c r="S40" s="1256"/>
      <c r="T40" s="438" cm="1" t="str">
        <f t="array" ref="T40:T40">T39</f>
        <v>false</v>
      </c>
      <c r="U40" s="1256"/>
      <c r="V40" s="1256"/>
      <c r="W40" s="1256"/>
      <c r="X40" s="1511"/>
      <c r="Y40" s="1256"/>
      <c r="Z40" s="1494"/>
      <c r="AA40" s="1256"/>
      <c r="AB40" s="265" t="s">
        <v>1798</v>
      </c>
      <c r="AC40" s="744" t="s">
        <v>1799</v>
      </c>
      <c r="AD40" s="266" t="s">
        <v>789</v>
      </c>
      <c r="AE40" s="1231"/>
      <c r="AF40" s="1231"/>
      <c r="AG40" s="1231"/>
      <c r="AH40" s="920">
        <f>AG40-AF40</f>
        <v>0</v>
      </c>
      <c r="AI40" s="3692"/>
      <c r="AJ40" s="3685"/>
      <c r="AK40" s="919"/>
      <c r="AL40" s="919"/>
      <c r="AM40" s="919"/>
      <c r="AN40" s="919"/>
      <c r="AO40" s="919"/>
      <c r="AP40" s="919"/>
      <c r="AQ40" s="919"/>
      <c r="AR40" s="919"/>
      <c r="AS40" s="919"/>
      <c r="AT40" s="919"/>
      <c r="AU40" s="919"/>
      <c r="AV40" s="919"/>
      <c r="AW40" s="919"/>
      <c r="AX40" s="919"/>
      <c r="AY40" s="919"/>
      <c r="AZ40" s="919"/>
      <c r="BA40" s="919"/>
      <c r="BB40" s="919"/>
      <c r="BC40" s="919"/>
      <c r="BD40" s="919"/>
      <c r="BE40" s="919"/>
      <c r="BF40" s="919"/>
      <c r="BG40" s="919"/>
      <c r="BH40" s="919"/>
      <c r="BI40" s="919"/>
      <c r="BJ40" s="919"/>
      <c r="BK40" s="919"/>
      <c r="BL40" s="919"/>
      <c r="BM40" s="919"/>
      <c r="BN40" s="1229"/>
      <c r="BO40" s="1229"/>
      <c r="BP40" s="1229"/>
      <c r="BQ40" s="1256"/>
      <c r="BR40" s="1256"/>
      <c r="BS40" s="1039" t="s">
        <v>1624</v>
      </c>
      <c r="BT40" s="1041"/>
      <c r="BU40" s="1041"/>
      <c r="BV40" s="956"/>
      <c r="BW40" s="956"/>
    </row>
    <row customHeight="1" ht="21.9375" hidden="1">
      <c r="A41" s="1256"/>
      <c r="B41" s="955"/>
      <c r="C41" s="1256"/>
      <c r="D41" s="1256"/>
      <c r="E41" s="679">
        <v>22.5</v>
      </c>
      <c r="F41" s="50" cm="1" t="str">
        <f t="array" ref="F41:F41">OFFSET(E41,-1,1)</f>
        <v>0</v>
      </c>
      <c r="G41" s="1256"/>
      <c r="H41" s="344"/>
      <c r="I41" s="344" t="s">
        <v>1800</v>
      </c>
      <c r="J41" s="1256"/>
      <c r="K41" s="344" t="s">
        <v>1800</v>
      </c>
      <c r="L41" s="957" t="s">
        <v>1613</v>
      </c>
      <c r="M41" s="73" t="s">
        <v>1617</v>
      </c>
      <c r="N41" s="1256"/>
      <c r="O41" s="1256"/>
      <c r="P41" s="1256"/>
      <c r="Q41" s="124" t="s">
        <v>2058</v>
      </c>
      <c r="R41" s="127" t="s">
        <v>2058</v>
      </c>
      <c r="S41" s="1256"/>
      <c r="T41" s="438" cm="1" t="str">
        <f t="array" ref="T41:T41">T40</f>
        <v>false</v>
      </c>
      <c r="U41" s="1256"/>
      <c r="V41" s="1256"/>
      <c r="W41" s="1256"/>
      <c r="X41" s="1511"/>
      <c r="Y41" s="1256"/>
      <c r="Z41" s="1494"/>
      <c r="AA41" s="1256"/>
      <c r="AB41" s="265" t="s">
        <v>1801</v>
      </c>
      <c r="AC41" s="744" t="s">
        <v>1802</v>
      </c>
      <c r="AD41" s="266" t="s">
        <v>789</v>
      </c>
      <c r="AE41" s="1231"/>
      <c r="AF41" s="1231"/>
      <c r="AG41" s="1231"/>
      <c r="AH41" s="920">
        <f>AG41-AF41</f>
        <v>0</v>
      </c>
      <c r="AI41" s="3692"/>
      <c r="AJ41" s="3685"/>
      <c r="AK41" s="919"/>
      <c r="AL41" s="919"/>
      <c r="AM41" s="919"/>
      <c r="AN41" s="919"/>
      <c r="AO41" s="919"/>
      <c r="AP41" s="919"/>
      <c r="AQ41" s="919"/>
      <c r="AR41" s="919"/>
      <c r="AS41" s="919"/>
      <c r="AT41" s="919"/>
      <c r="AU41" s="919"/>
      <c r="AV41" s="919"/>
      <c r="AW41" s="919"/>
      <c r="AX41" s="919"/>
      <c r="AY41" s="919"/>
      <c r="AZ41" s="919"/>
      <c r="BA41" s="919"/>
      <c r="BB41" s="919"/>
      <c r="BC41" s="919"/>
      <c r="BD41" s="919"/>
      <c r="BE41" s="919"/>
      <c r="BF41" s="919"/>
      <c r="BG41" s="919"/>
      <c r="BH41" s="919"/>
      <c r="BI41" s="919"/>
      <c r="BJ41" s="919"/>
      <c r="BK41" s="919"/>
      <c r="BL41" s="919"/>
      <c r="BM41" s="919"/>
      <c r="BN41" s="1229"/>
      <c r="BO41" s="1229"/>
      <c r="BP41" s="1229"/>
      <c r="BQ41" s="1256"/>
      <c r="BR41" s="1256"/>
      <c r="BS41" s="1041" t="s">
        <v>1803</v>
      </c>
      <c r="BT41" s="1041"/>
      <c r="BU41" s="1041"/>
      <c r="BV41" s="956"/>
      <c r="BW41" s="956"/>
    </row>
    <row customHeight="1" ht="21.9375" hidden="1">
      <c r="A42" s="1256"/>
      <c r="B42" s="955"/>
      <c r="C42" s="1256"/>
      <c r="D42" s="1256"/>
      <c r="E42" s="679">
        <v>22.5</v>
      </c>
      <c r="F42" s="50" cm="1" t="str">
        <f t="array" ref="F42:F42">OFFSET(E42,-1,1)</f>
        <v>0</v>
      </c>
      <c r="G42" s="1256"/>
      <c r="H42" s="344"/>
      <c r="I42" s="344" t="s">
        <v>1804</v>
      </c>
      <c r="J42" s="1256"/>
      <c r="K42" s="344" t="s">
        <v>1804</v>
      </c>
      <c r="L42" s="1256"/>
      <c r="M42" s="1256"/>
      <c r="N42" s="1256"/>
      <c r="O42" s="1256"/>
      <c r="P42" s="1256"/>
      <c r="Q42" s="124" t="s">
        <v>2058</v>
      </c>
      <c r="R42" s="127" t="s">
        <v>2058</v>
      </c>
      <c r="S42" s="1256"/>
      <c r="T42" s="438" cm="1" t="str">
        <f t="array" ref="T42:T42">T41</f>
        <v>false</v>
      </c>
      <c r="U42" s="1256"/>
      <c r="V42" s="1256"/>
      <c r="W42" s="1256"/>
      <c r="X42" s="1511"/>
      <c r="Y42" s="1256"/>
      <c r="Z42" s="1494"/>
      <c r="AA42" s="1256"/>
      <c r="AB42" s="265" t="s">
        <v>1805</v>
      </c>
      <c r="AC42" s="745" t="s">
        <v>1806</v>
      </c>
      <c r="AD42" s="266" t="s">
        <v>789</v>
      </c>
      <c r="AE42" s="1231"/>
      <c r="AF42" s="1231"/>
      <c r="AG42" s="1231"/>
      <c r="AH42" s="920">
        <f>AG42-AF42</f>
        <v>0</v>
      </c>
      <c r="AI42" s="3692"/>
      <c r="AJ42" s="3685"/>
      <c r="AK42" s="919"/>
      <c r="AL42" s="919"/>
      <c r="AM42" s="919"/>
      <c r="AN42" s="919"/>
      <c r="AO42" s="919"/>
      <c r="AP42" s="919"/>
      <c r="AQ42" s="919"/>
      <c r="AR42" s="919"/>
      <c r="AS42" s="919"/>
      <c r="AT42" s="919"/>
      <c r="AU42" s="919"/>
      <c r="AV42" s="919"/>
      <c r="AW42" s="919"/>
      <c r="AX42" s="919"/>
      <c r="AY42" s="919"/>
      <c r="AZ42" s="919"/>
      <c r="BA42" s="919"/>
      <c r="BB42" s="919"/>
      <c r="BC42" s="919"/>
      <c r="BD42" s="919"/>
      <c r="BE42" s="919"/>
      <c r="BF42" s="919"/>
      <c r="BG42" s="919"/>
      <c r="BH42" s="919"/>
      <c r="BI42" s="919"/>
      <c r="BJ42" s="919"/>
      <c r="BK42" s="919"/>
      <c r="BL42" s="919"/>
      <c r="BM42" s="919"/>
      <c r="BN42" s="1229"/>
      <c r="BO42" s="1229"/>
      <c r="BP42" s="1229"/>
      <c r="BQ42" s="1256"/>
      <c r="BR42" s="1256"/>
      <c r="BS42" s="1041" t="s">
        <v>1807</v>
      </c>
      <c r="BT42" s="1041"/>
      <c r="BU42" s="1041"/>
      <c r="BV42" s="956"/>
      <c r="BW42" s="956"/>
    </row>
    <row customHeight="1" ht="21.9375" hidden="1">
      <c r="A43" s="1256"/>
      <c r="B43" s="955"/>
      <c r="C43" s="1256"/>
      <c r="D43" s="1256"/>
      <c r="E43" s="679">
        <v>22.5</v>
      </c>
      <c r="F43" s="50" cm="1" t="str">
        <f t="array" ref="F43:F43">OFFSET(E43,-1,1)</f>
        <v>0</v>
      </c>
      <c r="G43" s="1256"/>
      <c r="H43" s="344"/>
      <c r="I43" s="344" t="s">
        <v>1808</v>
      </c>
      <c r="J43" s="1256"/>
      <c r="K43" s="344" t="s">
        <v>1808</v>
      </c>
      <c r="L43" s="957"/>
      <c r="M43" s="1256"/>
      <c r="N43" s="1256"/>
      <c r="O43" s="1256"/>
      <c r="P43" s="1256"/>
      <c r="Q43" s="124" t="s">
        <v>2058</v>
      </c>
      <c r="R43" s="127" t="s">
        <v>2058</v>
      </c>
      <c r="S43" s="1256"/>
      <c r="T43" s="438" cm="1" t="str">
        <f t="array" ref="T43:T43">T42</f>
        <v>false</v>
      </c>
      <c r="U43" s="1256"/>
      <c r="V43" s="1256"/>
      <c r="W43" s="1256"/>
      <c r="X43" s="1511"/>
      <c r="Y43" s="1256"/>
      <c r="Z43" s="1494"/>
      <c r="AA43" s="1256"/>
      <c r="AB43" s="265" t="s">
        <v>1809</v>
      </c>
      <c r="AC43" s="745" t="s">
        <v>1810</v>
      </c>
      <c r="AD43" s="266" t="s">
        <v>789</v>
      </c>
      <c r="AE43" s="1231"/>
      <c r="AF43" s="1231"/>
      <c r="AG43" s="1231"/>
      <c r="AH43" s="920">
        <f>AG43-AF43</f>
        <v>0</v>
      </c>
      <c r="AI43" s="3692"/>
      <c r="AJ43" s="3685"/>
      <c r="AK43" s="919"/>
      <c r="AL43" s="919"/>
      <c r="AM43" s="919"/>
      <c r="AN43" s="919"/>
      <c r="AO43" s="919"/>
      <c r="AP43" s="919"/>
      <c r="AQ43" s="919"/>
      <c r="AR43" s="919"/>
      <c r="AS43" s="919"/>
      <c r="AT43" s="919"/>
      <c r="AU43" s="919"/>
      <c r="AV43" s="919"/>
      <c r="AW43" s="919"/>
      <c r="AX43" s="919"/>
      <c r="AY43" s="919"/>
      <c r="AZ43" s="919"/>
      <c r="BA43" s="919"/>
      <c r="BB43" s="919"/>
      <c r="BC43" s="919"/>
      <c r="BD43" s="919"/>
      <c r="BE43" s="919"/>
      <c r="BF43" s="919"/>
      <c r="BG43" s="919"/>
      <c r="BH43" s="919"/>
      <c r="BI43" s="919"/>
      <c r="BJ43" s="919"/>
      <c r="BK43" s="919"/>
      <c r="BL43" s="919"/>
      <c r="BM43" s="919"/>
      <c r="BN43" s="1229"/>
      <c r="BO43" s="1229"/>
      <c r="BP43" s="1229"/>
      <c r="BQ43" s="1256"/>
      <c r="BR43" s="1256"/>
      <c r="BS43" s="1041" t="s">
        <v>1811</v>
      </c>
      <c r="BT43" s="1041"/>
      <c r="BU43" s="1041"/>
      <c r="BV43" s="956"/>
      <c r="BW43" s="956"/>
    </row>
    <row customHeight="1" ht="43.875" hidden="1">
      <c r="A44" s="1256"/>
      <c r="B44" s="955"/>
      <c r="C44" s="1256"/>
      <c r="D44" s="1256"/>
      <c r="E44" s="679">
        <v>45</v>
      </c>
      <c r="F44" s="50" cm="1" t="str">
        <f t="array" ref="F44:F44">OFFSET(E44,-1,1)</f>
        <v>0</v>
      </c>
      <c r="G44" s="1256"/>
      <c r="H44" s="344"/>
      <c r="I44" s="344" t="s">
        <v>1812</v>
      </c>
      <c r="J44" s="1256"/>
      <c r="K44" s="344" t="s">
        <v>1812</v>
      </c>
      <c r="L44" s="957" t="s">
        <v>1613</v>
      </c>
      <c r="M44" s="73" t="s">
        <v>1625</v>
      </c>
      <c r="N44" s="1256"/>
      <c r="O44" s="1256"/>
      <c r="P44" s="1256"/>
      <c r="Q44" s="124" t="s">
        <v>2058</v>
      </c>
      <c r="R44" s="127" t="s">
        <v>2058</v>
      </c>
      <c r="S44" s="1256"/>
      <c r="T44" s="438" cm="1" t="str">
        <f t="array" ref="T44:T44">T43</f>
        <v>false</v>
      </c>
      <c r="U44" s="1256"/>
      <c r="V44" s="1256"/>
      <c r="W44" s="1256"/>
      <c r="X44" s="1511"/>
      <c r="Y44" s="1256"/>
      <c r="Z44" s="1494"/>
      <c r="AA44" s="1256"/>
      <c r="AB44" s="265" t="s">
        <v>1813</v>
      </c>
      <c r="AC44" s="744" t="s">
        <v>1814</v>
      </c>
      <c r="AD44" s="266" t="s">
        <v>789</v>
      </c>
      <c r="AE44" s="1231"/>
      <c r="AF44" s="1231"/>
      <c r="AG44" s="1231"/>
      <c r="AH44" s="920">
        <f>AG44-AF44</f>
        <v>0</v>
      </c>
      <c r="AI44" s="3692"/>
      <c r="AJ44" s="3685"/>
      <c r="AK44" s="919"/>
      <c r="AL44" s="919"/>
      <c r="AM44" s="919"/>
      <c r="AN44" s="919"/>
      <c r="AO44" s="919"/>
      <c r="AP44" s="919"/>
      <c r="AQ44" s="919"/>
      <c r="AR44" s="919"/>
      <c r="AS44" s="919"/>
      <c r="AT44" s="919"/>
      <c r="AU44" s="919"/>
      <c r="AV44" s="919"/>
      <c r="AW44" s="919"/>
      <c r="AX44" s="919"/>
      <c r="AY44" s="919"/>
      <c r="AZ44" s="919"/>
      <c r="BA44" s="919"/>
      <c r="BB44" s="919"/>
      <c r="BC44" s="919"/>
      <c r="BD44" s="919"/>
      <c r="BE44" s="919"/>
      <c r="BF44" s="919"/>
      <c r="BG44" s="919"/>
      <c r="BH44" s="919"/>
      <c r="BI44" s="919"/>
      <c r="BJ44" s="919"/>
      <c r="BK44" s="919"/>
      <c r="BL44" s="919"/>
      <c r="BM44" s="919"/>
      <c r="BN44" s="1229"/>
      <c r="BO44" s="1229"/>
      <c r="BP44" s="1229"/>
      <c r="BQ44" s="1256"/>
      <c r="BR44" s="1256"/>
      <c r="BS44" s="1041" t="s">
        <v>1628</v>
      </c>
      <c r="BT44" s="1041"/>
      <c r="BU44" s="1041"/>
      <c r="BV44" s="956"/>
      <c r="BW44" s="956"/>
    </row>
    <row customHeight="1" ht="14.625" hidden="1">
      <c r="A45" s="1256"/>
      <c r="B45" s="955"/>
      <c r="C45" s="1256"/>
      <c r="D45" s="1256"/>
      <c r="E45" s="679">
        <v>15</v>
      </c>
      <c r="F45" s="50" cm="1" t="str">
        <f t="array" ref="F45:F45">OFFSET(E45,-1,1)</f>
        <v>0</v>
      </c>
      <c r="G45" s="1256"/>
      <c r="H45" s="344"/>
      <c r="I45" s="344" t="s">
        <v>1815</v>
      </c>
      <c r="J45" s="1256"/>
      <c r="K45" s="344" t="s">
        <v>1815</v>
      </c>
      <c r="L45" s="957" t="s">
        <v>1613</v>
      </c>
      <c r="M45" s="73" t="s">
        <v>1629</v>
      </c>
      <c r="N45" s="1256"/>
      <c r="O45" s="1256"/>
      <c r="P45" s="1256"/>
      <c r="Q45" s="124" t="s">
        <v>2058</v>
      </c>
      <c r="R45" s="127" t="s">
        <v>2058</v>
      </c>
      <c r="S45" s="1256"/>
      <c r="T45" s="438" cm="1" t="str">
        <f t="array" ref="T45:T45">T44</f>
        <v>false</v>
      </c>
      <c r="U45" s="1256"/>
      <c r="V45" s="1256"/>
      <c r="W45" s="1256"/>
      <c r="X45" s="1511"/>
      <c r="Y45" s="1256"/>
      <c r="Z45" s="1494"/>
      <c r="AA45" s="1256"/>
      <c r="AB45" s="265" t="s">
        <v>1816</v>
      </c>
      <c r="AC45" s="744" t="s">
        <v>1631</v>
      </c>
      <c r="AD45" s="266" t="s">
        <v>789</v>
      </c>
      <c r="AE45" s="1231"/>
      <c r="AF45" s="1231"/>
      <c r="AG45" s="1231"/>
      <c r="AH45" s="920">
        <f>AG45-AF45</f>
        <v>0</v>
      </c>
      <c r="AI45" s="3692"/>
      <c r="AJ45" s="3685"/>
      <c r="AK45" s="919"/>
      <c r="AL45" s="919"/>
      <c r="AM45" s="919"/>
      <c r="AN45" s="919"/>
      <c r="AO45" s="919"/>
      <c r="AP45" s="919"/>
      <c r="AQ45" s="919"/>
      <c r="AR45" s="919"/>
      <c r="AS45" s="919"/>
      <c r="AT45" s="919"/>
      <c r="AU45" s="919"/>
      <c r="AV45" s="919"/>
      <c r="AW45" s="919"/>
      <c r="AX45" s="919"/>
      <c r="AY45" s="919"/>
      <c r="AZ45" s="919"/>
      <c r="BA45" s="919"/>
      <c r="BB45" s="919"/>
      <c r="BC45" s="919"/>
      <c r="BD45" s="919"/>
      <c r="BE45" s="919"/>
      <c r="BF45" s="919"/>
      <c r="BG45" s="919"/>
      <c r="BH45" s="919"/>
      <c r="BI45" s="919"/>
      <c r="BJ45" s="919"/>
      <c r="BK45" s="919"/>
      <c r="BL45" s="919"/>
      <c r="BM45" s="919"/>
      <c r="BN45" s="1229"/>
      <c r="BO45" s="1229"/>
      <c r="BP45" s="1229"/>
      <c r="BQ45" s="1256"/>
      <c r="BR45" s="1256"/>
      <c r="BS45" s="1041" t="s">
        <v>1632</v>
      </c>
      <c r="BT45" s="1041"/>
      <c r="BU45" s="1041"/>
      <c r="BV45" s="956"/>
      <c r="BW45" s="956"/>
    </row>
    <row customHeight="1" ht="14.625" hidden="1">
      <c r="A46" s="1256"/>
      <c r="B46" s="955"/>
      <c r="C46" s="1256"/>
      <c r="D46" s="1256"/>
      <c r="E46" s="679">
        <v>15</v>
      </c>
      <c r="F46" s="50" cm="1" t="str">
        <f t="array" ref="F46:F46">OFFSET(E46,-1,1)</f>
        <v>0</v>
      </c>
      <c r="G46" s="1256"/>
      <c r="H46" s="344"/>
      <c r="I46" s="344" t="s">
        <v>1817</v>
      </c>
      <c r="J46" s="1256"/>
      <c r="K46" s="344" t="s">
        <v>1817</v>
      </c>
      <c r="L46" s="957"/>
      <c r="M46" s="73"/>
      <c r="N46" s="1256"/>
      <c r="O46" s="1256"/>
      <c r="P46" s="1256"/>
      <c r="Q46" s="124" t="s">
        <v>2058</v>
      </c>
      <c r="R46" s="127" t="s">
        <v>2058</v>
      </c>
      <c r="S46" s="1256"/>
      <c r="T46" s="438" cm="1" t="str">
        <f t="array" ref="T46:T46">T45</f>
        <v>false</v>
      </c>
      <c r="U46" s="1256"/>
      <c r="V46" s="1256"/>
      <c r="W46" s="1256"/>
      <c r="X46" s="1511"/>
      <c r="Y46" s="1256"/>
      <c r="Z46" s="1494"/>
      <c r="AA46" s="1256"/>
      <c r="AB46" s="265" t="s">
        <v>1818</v>
      </c>
      <c r="AC46" s="744" t="s">
        <v>1819</v>
      </c>
      <c r="AD46" s="266" t="s">
        <v>789</v>
      </c>
      <c r="AE46" s="1231"/>
      <c r="AF46" s="1231"/>
      <c r="AG46" s="1231"/>
      <c r="AH46" s="920">
        <f>AG46-AF46</f>
        <v>0</v>
      </c>
      <c r="AI46" s="3692"/>
      <c r="AJ46" s="1332"/>
      <c r="AK46" s="919"/>
      <c r="AL46" s="919"/>
      <c r="AM46" s="919"/>
      <c r="AN46" s="919"/>
      <c r="AO46" s="919"/>
      <c r="AP46" s="919"/>
      <c r="AQ46" s="919"/>
      <c r="AR46" s="919"/>
      <c r="AS46" s="919"/>
      <c r="AT46" s="919"/>
      <c r="AU46" s="919"/>
      <c r="AV46" s="919"/>
      <c r="AW46" s="919"/>
      <c r="AX46" s="919"/>
      <c r="AY46" s="919"/>
      <c r="AZ46" s="919"/>
      <c r="BA46" s="919"/>
      <c r="BB46" s="919"/>
      <c r="BC46" s="919"/>
      <c r="BD46" s="919"/>
      <c r="BE46" s="919"/>
      <c r="BF46" s="919"/>
      <c r="BG46" s="919"/>
      <c r="BH46" s="919"/>
      <c r="BI46" s="919"/>
      <c r="BJ46" s="919"/>
      <c r="BK46" s="919"/>
      <c r="BL46" s="919"/>
      <c r="BM46" s="919"/>
      <c r="BN46" s="1229"/>
      <c r="BO46" s="1229"/>
      <c r="BP46" s="1229"/>
      <c r="BQ46" s="1256"/>
      <c r="BR46" s="1256"/>
      <c r="BS46" s="1041" t="s">
        <v>1616</v>
      </c>
      <c r="BT46" s="1041"/>
      <c r="BU46" s="1041"/>
      <c r="BV46" s="956"/>
      <c r="BW46" s="956"/>
    </row>
    <row s="676" customFormat="1" customHeight="1" ht="20.475" hidden="1">
      <c r="A47" s="676"/>
      <c r="B47" s="407"/>
      <c r="C47" s="676"/>
      <c r="D47" s="676"/>
      <c r="E47" s="683">
        <v>21</v>
      </c>
      <c r="F47" s="50" cm="1" t="str">
        <f t="array" ref="F47:F47">OFFSET(E47,-1,1)</f>
        <v>0</v>
      </c>
      <c r="G47" s="676"/>
      <c r="H47" s="344"/>
      <c r="I47" s="344" t="s">
        <v>441</v>
      </c>
      <c r="J47" s="676"/>
      <c r="K47" s="344" t="s">
        <v>441</v>
      </c>
      <c r="L47" s="962"/>
      <c r="M47" s="75"/>
      <c r="N47" s="676"/>
      <c r="O47" s="676"/>
      <c r="P47" s="676"/>
      <c r="Q47" s="124" t="s">
        <v>2058</v>
      </c>
      <c r="R47" s="127" t="s">
        <v>2058</v>
      </c>
      <c r="S47" s="676"/>
      <c r="T47" s="438" cm="1" t="str">
        <f t="array" ref="T47:T47">T46</f>
        <v>false</v>
      </c>
      <c r="U47" s="676"/>
      <c r="V47" s="676"/>
      <c r="W47" s="676"/>
      <c r="X47" s="1511"/>
      <c r="Y47" s="676"/>
      <c r="Z47" s="1494"/>
      <c r="AA47" s="676"/>
      <c r="AB47" s="184" t="s">
        <v>850</v>
      </c>
      <c r="AC47" s="327" t="s">
        <v>1636</v>
      </c>
      <c r="AD47" s="177" t="s">
        <v>789</v>
      </c>
      <c r="AE47" s="746">
        <f>AE48+AE49+AE50</f>
        <v>0</v>
      </c>
      <c r="AF47" s="746">
        <f>AF48+AF49+AF50</f>
        <v>0</v>
      </c>
      <c r="AG47" s="746">
        <f>AG48+AG49+AG50</f>
        <v>0</v>
      </c>
      <c r="AH47" s="737">
        <f>AG47-AF47</f>
        <v>0</v>
      </c>
      <c r="AI47" s="3698">
        <f>AI48+AI49+AI50</f>
        <v>0</v>
      </c>
      <c r="AJ47" s="3685"/>
      <c r="AK47" s="740"/>
      <c r="AL47" s="740"/>
      <c r="AM47" s="740"/>
      <c r="AN47" s="740"/>
      <c r="AO47" s="740"/>
      <c r="AP47" s="740"/>
      <c r="AQ47" s="740"/>
      <c r="AR47" s="740"/>
      <c r="AS47" s="740"/>
      <c r="AT47" s="740"/>
      <c r="AU47" s="740"/>
      <c r="AV47" s="740"/>
      <c r="AW47" s="740"/>
      <c r="AX47" s="740"/>
      <c r="AY47" s="740"/>
      <c r="AZ47" s="740"/>
      <c r="BA47" s="740"/>
      <c r="BB47" s="740"/>
      <c r="BC47" s="740"/>
      <c r="BD47" s="740"/>
      <c r="BE47" s="740"/>
      <c r="BF47" s="740"/>
      <c r="BG47" s="740"/>
      <c r="BH47" s="740"/>
      <c r="BI47" s="740"/>
      <c r="BJ47" s="740"/>
      <c r="BK47" s="740"/>
      <c r="BL47" s="740"/>
      <c r="BM47" s="740"/>
      <c r="BN47" s="1225"/>
      <c r="BO47" s="1225"/>
      <c r="BP47" s="1225"/>
      <c r="BQ47" s="676"/>
      <c r="BR47" s="676"/>
      <c r="BS47" s="1040" t="s">
        <v>1637</v>
      </c>
      <c r="BT47" s="1047"/>
      <c r="BU47" s="1047"/>
      <c r="BV47" s="683"/>
      <c r="BW47" s="683"/>
    </row>
    <row customHeight="1" ht="21.9375" hidden="1">
      <c r="A48" s="1256"/>
      <c r="B48" s="955"/>
      <c r="C48" s="1256"/>
      <c r="D48" s="1256"/>
      <c r="E48" s="679">
        <v>22.5</v>
      </c>
      <c r="F48" s="50" cm="1" t="str">
        <f t="array" ref="F48:F48">OFFSET(E48,-1,1)</f>
        <v>0</v>
      </c>
      <c r="G48" s="1256"/>
      <c r="H48" s="344"/>
      <c r="I48" s="344" t="s">
        <v>1221</v>
      </c>
      <c r="J48" s="1256"/>
      <c r="K48" s="344" t="s">
        <v>1221</v>
      </c>
      <c r="L48" s="957"/>
      <c r="M48" s="73"/>
      <c r="N48" s="1256"/>
      <c r="O48" s="1256"/>
      <c r="P48" s="1256"/>
      <c r="Q48" s="124" t="s">
        <v>2058</v>
      </c>
      <c r="R48" s="127" t="s">
        <v>2058</v>
      </c>
      <c r="S48" s="1256"/>
      <c r="T48" s="438" cm="1" t="str">
        <f t="array" ref="T48:T48">T47</f>
        <v>false</v>
      </c>
      <c r="U48" s="1256"/>
      <c r="V48" s="1256"/>
      <c r="W48" s="1256"/>
      <c r="X48" s="1511"/>
      <c r="Y48" s="1256"/>
      <c r="Z48" s="1494"/>
      <c r="AA48" s="1256"/>
      <c r="AB48" s="265" t="s">
        <v>1222</v>
      </c>
      <c r="AC48" s="741" t="s">
        <v>1820</v>
      </c>
      <c r="AD48" s="266" t="s">
        <v>789</v>
      </c>
      <c r="AE48" s="1231"/>
      <c r="AF48" s="1231"/>
      <c r="AG48" s="1231"/>
      <c r="AH48" s="920">
        <f>AG48-AF48</f>
        <v>0</v>
      </c>
      <c r="AI48" s="3692"/>
      <c r="AJ48" s="3685"/>
      <c r="AK48" s="919"/>
      <c r="AL48" s="919"/>
      <c r="AM48" s="919"/>
      <c r="AN48" s="919"/>
      <c r="AO48" s="919"/>
      <c r="AP48" s="919"/>
      <c r="AQ48" s="919"/>
      <c r="AR48" s="919"/>
      <c r="AS48" s="919"/>
      <c r="AT48" s="919"/>
      <c r="AU48" s="919"/>
      <c r="AV48" s="919"/>
      <c r="AW48" s="919"/>
      <c r="AX48" s="919"/>
      <c r="AY48" s="919"/>
      <c r="AZ48" s="919"/>
      <c r="BA48" s="919"/>
      <c r="BB48" s="919"/>
      <c r="BC48" s="919"/>
      <c r="BD48" s="919"/>
      <c r="BE48" s="919"/>
      <c r="BF48" s="919"/>
      <c r="BG48" s="919"/>
      <c r="BH48" s="919"/>
      <c r="BI48" s="919"/>
      <c r="BJ48" s="919"/>
      <c r="BK48" s="919"/>
      <c r="BL48" s="919"/>
      <c r="BM48" s="919"/>
      <c r="BN48" s="1229"/>
      <c r="BO48" s="1229"/>
      <c r="BP48" s="1229"/>
      <c r="BQ48" s="1256"/>
      <c r="BR48" s="1256"/>
      <c r="BS48" s="1039" t="s">
        <v>1639</v>
      </c>
      <c r="BT48" s="1041"/>
      <c r="BU48" s="1041"/>
      <c r="BV48" s="956"/>
      <c r="BW48" s="956"/>
    </row>
    <row customHeight="1" ht="21.9375" hidden="1">
      <c r="A49" s="1256"/>
      <c r="B49" s="955"/>
      <c r="C49" s="1256"/>
      <c r="D49" s="1256"/>
      <c r="E49" s="679">
        <v>22.5</v>
      </c>
      <c r="F49" s="50" cm="1" t="str">
        <f t="array" ref="F49:F49">OFFSET(E49,-1,1)</f>
        <v>0</v>
      </c>
      <c r="G49" s="1256"/>
      <c r="H49" s="344"/>
      <c r="I49" s="344" t="s">
        <v>1225</v>
      </c>
      <c r="J49" s="1256"/>
      <c r="K49" s="344" t="s">
        <v>1225</v>
      </c>
      <c r="L49" s="957"/>
      <c r="M49" s="73"/>
      <c r="N49" s="1256"/>
      <c r="O49" s="1256"/>
      <c r="P49" s="1256"/>
      <c r="Q49" s="124" t="s">
        <v>2058</v>
      </c>
      <c r="R49" s="127" t="s">
        <v>2058</v>
      </c>
      <c r="S49" s="1256"/>
      <c r="T49" s="438" cm="1" t="str">
        <f t="array" ref="T49:T49">T48</f>
        <v>false</v>
      </c>
      <c r="U49" s="1256"/>
      <c r="V49" s="1256"/>
      <c r="W49" s="1256"/>
      <c r="X49" s="1511"/>
      <c r="Y49" s="1256"/>
      <c r="Z49" s="1494"/>
      <c r="AA49" s="1256"/>
      <c r="AB49" s="265" t="s">
        <v>1226</v>
      </c>
      <c r="AC49" s="741" t="s">
        <v>1821</v>
      </c>
      <c r="AD49" s="266" t="s">
        <v>789</v>
      </c>
      <c r="AE49" s="1231"/>
      <c r="AF49" s="1231"/>
      <c r="AG49" s="1231"/>
      <c r="AH49" s="920">
        <f>AG49-AF49</f>
        <v>0</v>
      </c>
      <c r="AI49" s="3692"/>
      <c r="AJ49" s="3685"/>
      <c r="AK49" s="919"/>
      <c r="AL49" s="919"/>
      <c r="AM49" s="919"/>
      <c r="AN49" s="919"/>
      <c r="AO49" s="919"/>
      <c r="AP49" s="919"/>
      <c r="AQ49" s="919"/>
      <c r="AR49" s="919"/>
      <c r="AS49" s="919"/>
      <c r="AT49" s="919"/>
      <c r="AU49" s="919"/>
      <c r="AV49" s="919"/>
      <c r="AW49" s="919"/>
      <c r="AX49" s="919"/>
      <c r="AY49" s="919"/>
      <c r="AZ49" s="919"/>
      <c r="BA49" s="919"/>
      <c r="BB49" s="919"/>
      <c r="BC49" s="919"/>
      <c r="BD49" s="919"/>
      <c r="BE49" s="919"/>
      <c r="BF49" s="919"/>
      <c r="BG49" s="919"/>
      <c r="BH49" s="919"/>
      <c r="BI49" s="919"/>
      <c r="BJ49" s="919"/>
      <c r="BK49" s="919"/>
      <c r="BL49" s="919"/>
      <c r="BM49" s="919"/>
      <c r="BN49" s="1229"/>
      <c r="BO49" s="1229"/>
      <c r="BP49" s="1229"/>
      <c r="BQ49" s="1256"/>
      <c r="BR49" s="1256"/>
      <c r="BS49" s="1041" t="s">
        <v>1822</v>
      </c>
      <c r="BT49" s="1041"/>
      <c r="BU49" s="1041"/>
      <c r="BV49" s="956"/>
      <c r="BW49" s="956"/>
    </row>
    <row customHeight="1" ht="21.9375" hidden="1">
      <c r="A50" s="1256"/>
      <c r="B50" s="955"/>
      <c r="C50" s="1256"/>
      <c r="D50" s="1256"/>
      <c r="E50" s="679">
        <v>22.5</v>
      </c>
      <c r="F50" s="50" cm="1" t="str">
        <f t="array" ref="F50:F50">OFFSET(E50,-1,1)</f>
        <v>0</v>
      </c>
      <c r="G50" s="1256"/>
      <c r="H50" s="344"/>
      <c r="I50" s="344" t="s">
        <v>1229</v>
      </c>
      <c r="J50" s="1256"/>
      <c r="K50" s="344" t="s">
        <v>1229</v>
      </c>
      <c r="L50" s="957" t="s">
        <v>455</v>
      </c>
      <c r="M50" s="73"/>
      <c r="N50" s="1256"/>
      <c r="O50" s="1256"/>
      <c r="P50" s="1256"/>
      <c r="Q50" s="124" t="s">
        <v>2058</v>
      </c>
      <c r="R50" s="127" t="s">
        <v>2058</v>
      </c>
      <c r="S50" s="1256"/>
      <c r="T50" s="438" cm="1" t="str">
        <f t="array" ref="T50:T50">T49</f>
        <v>false</v>
      </c>
      <c r="U50" s="1256"/>
      <c r="V50" s="1256"/>
      <c r="W50" s="1256"/>
      <c r="X50" s="1511"/>
      <c r="Y50" s="1256"/>
      <c r="Z50" s="1494"/>
      <c r="AA50" s="1256"/>
      <c r="AB50" s="265" t="s">
        <v>1230</v>
      </c>
      <c r="AC50" s="741" t="s">
        <v>1823</v>
      </c>
      <c r="AD50" s="266" t="s">
        <v>789</v>
      </c>
      <c r="AE50" s="1231"/>
      <c r="AF50" s="1231"/>
      <c r="AG50" s="1231"/>
      <c r="AH50" s="920">
        <f>AG50-AF50</f>
        <v>0</v>
      </c>
      <c r="AI50" s="3692"/>
      <c r="AJ50" s="3685"/>
      <c r="AK50" s="919"/>
      <c r="AL50" s="919"/>
      <c r="AM50" s="919"/>
      <c r="AN50" s="919"/>
      <c r="AO50" s="919"/>
      <c r="AP50" s="919"/>
      <c r="AQ50" s="919"/>
      <c r="AR50" s="919"/>
      <c r="AS50" s="919"/>
      <c r="AT50" s="919"/>
      <c r="AU50" s="919"/>
      <c r="AV50" s="919"/>
      <c r="AW50" s="919"/>
      <c r="AX50" s="919"/>
      <c r="AY50" s="919"/>
      <c r="AZ50" s="919"/>
      <c r="BA50" s="919"/>
      <c r="BB50" s="919"/>
      <c r="BC50" s="919"/>
      <c r="BD50" s="919"/>
      <c r="BE50" s="919"/>
      <c r="BF50" s="919"/>
      <c r="BG50" s="919"/>
      <c r="BH50" s="919"/>
      <c r="BI50" s="919"/>
      <c r="BJ50" s="919"/>
      <c r="BK50" s="919"/>
      <c r="BL50" s="919"/>
      <c r="BM50" s="919"/>
      <c r="BN50" s="1229"/>
      <c r="BO50" s="1229"/>
      <c r="BP50" s="1229"/>
      <c r="BQ50" s="1256"/>
      <c r="BR50" s="1256"/>
      <c r="BS50" s="1039" t="s">
        <v>1641</v>
      </c>
      <c r="BT50" s="1041"/>
      <c r="BU50" s="1041"/>
      <c r="BV50" s="956"/>
      <c r="BW50" s="956"/>
    </row>
    <row customHeight="1" ht="14.625" hidden="1">
      <c r="A51" s="1256"/>
      <c r="B51" s="955"/>
      <c r="C51" s="1256"/>
      <c r="D51" s="1256"/>
      <c r="E51" s="679">
        <v>15</v>
      </c>
      <c r="F51" s="50" cm="1" t="str">
        <f t="array" ref="F51:F51">OFFSET(E51,-1,1)</f>
        <v>0</v>
      </c>
      <c r="G51" s="49" t="s">
        <v>1048</v>
      </c>
      <c r="H51" s="344"/>
      <c r="I51" s="344" t="s">
        <v>1824</v>
      </c>
      <c r="J51" s="1256"/>
      <c r="K51" s="344" t="s">
        <v>1824</v>
      </c>
      <c r="L51" s="957" t="s">
        <v>1642</v>
      </c>
      <c r="M51" s="73"/>
      <c r="N51" s="1256"/>
      <c r="O51" s="1256"/>
      <c r="P51" s="1256"/>
      <c r="Q51" s="124" t="s">
        <v>2058</v>
      </c>
      <c r="R51" s="127" t="s">
        <v>2058</v>
      </c>
      <c r="S51" s="1256"/>
      <c r="T51" s="438" cm="1" t="str">
        <f t="array" ref="T51:T51">T50</f>
        <v>false</v>
      </c>
      <c r="U51" s="1256"/>
      <c r="V51" s="1256"/>
      <c r="W51" s="1256"/>
      <c r="X51" s="1511"/>
      <c r="Y51" s="1256"/>
      <c r="Z51" s="1494"/>
      <c r="AA51" s="1256"/>
      <c r="AB51" s="265" t="s">
        <v>1825</v>
      </c>
      <c r="AC51" s="744" t="s">
        <v>1643</v>
      </c>
      <c r="AD51" s="266" t="s">
        <v>789</v>
      </c>
      <c r="AE51" s="1231"/>
      <c r="AF51" s="1231"/>
      <c r="AG51" s="1231"/>
      <c r="AH51" s="920">
        <f>AG51-AF51</f>
        <v>0</v>
      </c>
      <c r="AI51" s="3692"/>
      <c r="AJ51" s="3685"/>
      <c r="AK51" s="919"/>
      <c r="AL51" s="919"/>
      <c r="AM51" s="919"/>
      <c r="AN51" s="919"/>
      <c r="AO51" s="919"/>
      <c r="AP51" s="919"/>
      <c r="AQ51" s="919"/>
      <c r="AR51" s="919"/>
      <c r="AS51" s="919"/>
      <c r="AT51" s="919"/>
      <c r="AU51" s="919"/>
      <c r="AV51" s="919"/>
      <c r="AW51" s="919"/>
      <c r="AX51" s="919"/>
      <c r="AY51" s="919"/>
      <c r="AZ51" s="919"/>
      <c r="BA51" s="919"/>
      <c r="BB51" s="919"/>
      <c r="BC51" s="919"/>
      <c r="BD51" s="919"/>
      <c r="BE51" s="919"/>
      <c r="BF51" s="919"/>
      <c r="BG51" s="919"/>
      <c r="BH51" s="919"/>
      <c r="BI51" s="919"/>
      <c r="BJ51" s="919"/>
      <c r="BK51" s="919"/>
      <c r="BL51" s="919"/>
      <c r="BM51" s="919"/>
      <c r="BN51" s="1229"/>
      <c r="BO51" s="1232" t="str">
        <f>IF(_xlfn.IFERROR(INDEX(ФОТ!$K$26:$L$77,MATCH($F51&amp;"3komm",ФОТ!$K$26:$K$77,0),2),"")=0,"",_xlfn.IFERROR(INDEX(ФОТ!$K$26:$L$77,MATCH($F51&amp;"3komm",ФОТ!$K$26:$K$77,0),2),""))</f>
        <v/>
      </c>
      <c r="BP51" s="1229"/>
      <c r="BQ51" s="1256"/>
      <c r="BR51" s="1256"/>
      <c r="BS51" s="1039" t="s">
        <v>1644</v>
      </c>
      <c r="BT51" s="1041"/>
      <c r="BU51" s="1041"/>
      <c r="BV51" s="956"/>
      <c r="BW51" s="956"/>
    </row>
    <row customHeight="1" ht="21.9375" hidden="1">
      <c r="A52" s="1256"/>
      <c r="B52" s="955"/>
      <c r="C52" s="1256"/>
      <c r="D52" s="1256"/>
      <c r="E52" s="679">
        <v>22.5</v>
      </c>
      <c r="F52" s="50" cm="1" t="str">
        <f t="array" ref="F52:F52">OFFSET(E52,-1,1)</f>
        <v>0</v>
      </c>
      <c r="G52" s="49" t="s">
        <v>1053</v>
      </c>
      <c r="H52" s="344"/>
      <c r="I52" s="344" t="s">
        <v>1826</v>
      </c>
      <c r="J52" s="1256"/>
      <c r="K52" s="344" t="s">
        <v>1826</v>
      </c>
      <c r="L52" s="957" t="s">
        <v>1645</v>
      </c>
      <c r="M52" s="73"/>
      <c r="N52" s="1256"/>
      <c r="O52" s="1256"/>
      <c r="P52" s="1256"/>
      <c r="Q52" s="124" t="s">
        <v>2058</v>
      </c>
      <c r="R52" s="127" t="s">
        <v>2058</v>
      </c>
      <c r="S52" s="1256"/>
      <c r="T52" s="438" cm="1" t="str">
        <f t="array" ref="T52:T52">T51</f>
        <v>false</v>
      </c>
      <c r="U52" s="1256"/>
      <c r="V52" s="1256"/>
      <c r="W52" s="1256"/>
      <c r="X52" s="1511"/>
      <c r="Y52" s="1256"/>
      <c r="Z52" s="1494"/>
      <c r="AA52" s="1256"/>
      <c r="AB52" s="265" t="s">
        <v>1827</v>
      </c>
      <c r="AC52" s="744" t="s">
        <v>1828</v>
      </c>
      <c r="AD52" s="266" t="s">
        <v>789</v>
      </c>
      <c r="AE52" s="1231">
        <f>AE51*_xlfn.SUMIFS(INDEX(Сценарии!$AE$25:$BF$82,,MATCH(AE$8,Сценарии!$AE$8:$BF$8,0)),Сценарии!$F$25:$F$82,$F52,Сценарии!$G$25:$G$82,"СВФОТ")/100</f>
        <v>0</v>
      </c>
      <c r="AF52" s="1231">
        <f>AF51*_xlfn.SUMIFS(INDEX(Сценарии!$AE$25:$BF$82,,MATCH(AF$8,Сценарии!$AE$8:$BF$8,0)),Сценарии!$F$25:$F$82,$F52,Сценарии!$G$25:$G$82,"СВФОТ")/100</f>
        <v>0</v>
      </c>
      <c r="AG52" s="1231">
        <f>AG51*_xlfn.SUMIFS(INDEX(Сценарии!$AE$25:$BF$82,,MATCH(AG$8,Сценарии!$AE$8:$BF$8,0)),Сценарии!$F$25:$F$82,$F52,Сценарии!$G$25:$G$82,"СВФОТ")/100</f>
        <v>0</v>
      </c>
      <c r="AH52" s="920">
        <f>AG52-AF52</f>
        <v>0</v>
      </c>
      <c r="AI52" s="3692">
        <f>AI51*_xlfn.SUMIFS(INDEX(Сценарии!$AE$25:$BF$82,,MATCH(AG$8,Сценарии!$AE$8:$BF$8,0)),Сценарии!$F$25:$F$82,$F52,Сценарии!$G$25:$G$82,"СВФОТ")/100</f>
        <v>0</v>
      </c>
      <c r="AJ52" s="3685"/>
      <c r="AK52" s="919"/>
      <c r="AL52" s="919"/>
      <c r="AM52" s="919"/>
      <c r="AN52" s="919"/>
      <c r="AO52" s="919"/>
      <c r="AP52" s="919"/>
      <c r="AQ52" s="919"/>
      <c r="AR52" s="919"/>
      <c r="AS52" s="919"/>
      <c r="AT52" s="919"/>
      <c r="AU52" s="919"/>
      <c r="AV52" s="919"/>
      <c r="AW52" s="919"/>
      <c r="AX52" s="919"/>
      <c r="AY52" s="919"/>
      <c r="AZ52" s="919"/>
      <c r="BA52" s="919"/>
      <c r="BB52" s="919"/>
      <c r="BC52" s="919"/>
      <c r="BD52" s="919"/>
      <c r="BE52" s="919"/>
      <c r="BF52" s="919"/>
      <c r="BG52" s="919"/>
      <c r="BH52" s="919"/>
      <c r="BI52" s="919"/>
      <c r="BJ52" s="919"/>
      <c r="BK52" s="919"/>
      <c r="BL52" s="919"/>
      <c r="BM52" s="919"/>
      <c r="BN52" s="1229"/>
      <c r="BO52" s="1232" t="str">
        <f>IF(_xlfn.IFERROR(INDEX(ФОТ!$K$26:$L$77,MATCH($F52&amp;"4komm",ФОТ!$K$26:$K$77,0),2),"")=0,"",_xlfn.IFERROR(INDEX(ФОТ!$K$26:$L$77,MATCH($F52&amp;"4komm",ФОТ!$K$26:$K$77,0),2),""))</f>
        <v/>
      </c>
      <c r="BP52" s="1229"/>
      <c r="BQ52" s="1256"/>
      <c r="BR52" s="1256"/>
      <c r="BS52" s="1039" t="s">
        <v>1647</v>
      </c>
      <c r="BT52" s="1041"/>
      <c r="BU52" s="1041"/>
      <c r="BV52" s="956"/>
      <c r="BW52" s="956"/>
    </row>
    <row s="676" customFormat="1" customHeight="1" ht="20.475" hidden="1">
      <c r="A53" s="676"/>
      <c r="B53" s="407"/>
      <c r="C53" s="676"/>
      <c r="D53" s="676"/>
      <c r="E53" s="683">
        <v>21</v>
      </c>
      <c r="F53" s="50" cm="1" t="str">
        <f t="array" ref="F53:F53">OFFSET(E53,-1,1)</f>
        <v>0</v>
      </c>
      <c r="G53" s="676"/>
      <c r="H53" s="344"/>
      <c r="I53" s="344" t="s">
        <v>445</v>
      </c>
      <c r="J53" s="676"/>
      <c r="K53" s="344" t="s">
        <v>445</v>
      </c>
      <c r="L53" s="962" t="s">
        <v>323</v>
      </c>
      <c r="M53" s="75"/>
      <c r="N53" s="676"/>
      <c r="O53" s="676"/>
      <c r="P53" s="676"/>
      <c r="Q53" s="124" t="s">
        <v>2058</v>
      </c>
      <c r="R53" s="127" t="s">
        <v>2058</v>
      </c>
      <c r="S53" s="676"/>
      <c r="T53" s="438" cm="1" t="str">
        <f t="array" ref="T53:T53">T52</f>
        <v>false</v>
      </c>
      <c r="U53" s="676"/>
      <c r="V53" s="676"/>
      <c r="W53" s="676"/>
      <c r="X53" s="1511"/>
      <c r="Y53" s="676"/>
      <c r="Z53" s="1494"/>
      <c r="AA53" s="676"/>
      <c r="AB53" s="184" t="s">
        <v>853</v>
      </c>
      <c r="AC53" s="327" t="s">
        <v>1829</v>
      </c>
      <c r="AD53" s="177" t="s">
        <v>789</v>
      </c>
      <c r="AE53" s="746">
        <f>AE54+AE62+AE65+AE66+AE67+AE68+AE69</f>
        <v>0</v>
      </c>
      <c r="AF53" s="746">
        <f>AF54+AF62+AF65+AF66+AF67+AF68+AF69</f>
        <v>0</v>
      </c>
      <c r="AG53" s="746">
        <f>AG54+AG62+AG65+AG66+AG67+AG68+AG69</f>
        <v>0</v>
      </c>
      <c r="AH53" s="737">
        <f>AG53-AF53</f>
        <v>0</v>
      </c>
      <c r="AI53" s="3698">
        <f>AI54+AI62+AI65+AI66+AI67+AI68+AI69</f>
        <v>0</v>
      </c>
      <c r="AJ53" s="3685"/>
      <c r="AK53" s="740"/>
      <c r="AL53" s="740"/>
      <c r="AM53" s="740"/>
      <c r="AN53" s="740"/>
      <c r="AO53" s="740"/>
      <c r="AP53" s="740"/>
      <c r="AQ53" s="740"/>
      <c r="AR53" s="740"/>
      <c r="AS53" s="740"/>
      <c r="AT53" s="740"/>
      <c r="AU53" s="740"/>
      <c r="AV53" s="740"/>
      <c r="AW53" s="740"/>
      <c r="AX53" s="740"/>
      <c r="AY53" s="740"/>
      <c r="AZ53" s="740"/>
      <c r="BA53" s="740"/>
      <c r="BB53" s="740"/>
      <c r="BC53" s="740"/>
      <c r="BD53" s="740"/>
      <c r="BE53" s="740"/>
      <c r="BF53" s="740"/>
      <c r="BG53" s="740"/>
      <c r="BH53" s="740"/>
      <c r="BI53" s="740"/>
      <c r="BJ53" s="740"/>
      <c r="BK53" s="740"/>
      <c r="BL53" s="740"/>
      <c r="BM53" s="740"/>
      <c r="BN53" s="1225"/>
      <c r="BO53" s="1225"/>
      <c r="BP53" s="1225"/>
      <c r="BQ53" s="676"/>
      <c r="BR53" s="676"/>
      <c r="BS53" s="1040" t="s">
        <v>1649</v>
      </c>
      <c r="BT53" s="1047"/>
      <c r="BU53" s="1047"/>
      <c r="BV53" s="683"/>
      <c r="BW53" s="683"/>
    </row>
    <row customHeight="1" ht="21.9375" hidden="1">
      <c r="A54" s="1256"/>
      <c r="B54" s="955"/>
      <c r="C54" s="1256"/>
      <c r="D54" s="1256"/>
      <c r="E54" s="679">
        <v>22.5</v>
      </c>
      <c r="F54" s="50" cm="1" t="str">
        <f t="array" ref="F54:F54">OFFSET(E54,-1,1)</f>
        <v>0</v>
      </c>
      <c r="G54" s="124" t="s">
        <v>1074</v>
      </c>
      <c r="H54" s="344"/>
      <c r="I54" s="344" t="s">
        <v>1235</v>
      </c>
      <c r="J54" s="1256"/>
      <c r="K54" s="344" t="s">
        <v>1235</v>
      </c>
      <c r="L54" s="957" t="s">
        <v>874</v>
      </c>
      <c r="M54" s="73"/>
      <c r="N54" s="1256"/>
      <c r="O54" s="1256"/>
      <c r="P54" s="1256"/>
      <c r="Q54" s="124" t="s">
        <v>2058</v>
      </c>
      <c r="R54" s="127" t="s">
        <v>2058</v>
      </c>
      <c r="S54" s="1256"/>
      <c r="T54" s="438" cm="1" t="str">
        <f t="array" ref="T54:T54">T53</f>
        <v>false</v>
      </c>
      <c r="U54" s="1256"/>
      <c r="V54" s="1256"/>
      <c r="W54" s="1256"/>
      <c r="X54" s="1511"/>
      <c r="Y54" s="1256"/>
      <c r="Z54" s="1494"/>
      <c r="AA54" s="1256"/>
      <c r="AB54" s="265" t="s">
        <v>964</v>
      </c>
      <c r="AC54" s="741" t="s">
        <v>1830</v>
      </c>
      <c r="AD54" s="266" t="s">
        <v>789</v>
      </c>
      <c r="AE54" s="921">
        <f>SUM(AE55:AE61)</f>
        <v>0</v>
      </c>
      <c r="AF54" s="921">
        <f>SUM(AF55:AF61)</f>
        <v>0</v>
      </c>
      <c r="AG54" s="921">
        <f>SUM(AG55:AG61)</f>
        <v>0</v>
      </c>
      <c r="AH54" s="920">
        <f>AG54-AF54</f>
        <v>0</v>
      </c>
      <c r="AI54" s="3694">
        <f>SUM(AI55:AI61)</f>
        <v>0</v>
      </c>
      <c r="AJ54" s="3685"/>
      <c r="AK54" s="919"/>
      <c r="AL54" s="919"/>
      <c r="AM54" s="919"/>
      <c r="AN54" s="919"/>
      <c r="AO54" s="919"/>
      <c r="AP54" s="919"/>
      <c r="AQ54" s="919"/>
      <c r="AR54" s="919"/>
      <c r="AS54" s="919"/>
      <c r="AT54" s="919"/>
      <c r="AU54" s="919"/>
      <c r="AV54" s="919"/>
      <c r="AW54" s="919"/>
      <c r="AX54" s="919"/>
      <c r="AY54" s="919"/>
      <c r="AZ54" s="919"/>
      <c r="BA54" s="919"/>
      <c r="BB54" s="919"/>
      <c r="BC54" s="919"/>
      <c r="BD54" s="919"/>
      <c r="BE54" s="919"/>
      <c r="BF54" s="919"/>
      <c r="BG54" s="919"/>
      <c r="BH54" s="919"/>
      <c r="BI54" s="919"/>
      <c r="BJ54" s="919"/>
      <c r="BK54" s="919"/>
      <c r="BL54" s="919"/>
      <c r="BM54" s="919"/>
      <c r="BN54" s="1229"/>
      <c r="BO54" s="1232" t="str">
        <f>IF(_xlfn.IFERROR(INDEX(Административные!$K$26:$L$65,MATCH($F54&amp;"17komm",Административные!$K$26:$K$65,0),2),"")=0,"",_xlfn.IFERROR(INDEX(Административные!$K$26:$L$65,MATCH($F54&amp;"17komm",Административные!$K$26:$K$65,0),2),""))</f>
        <v/>
      </c>
      <c r="BP54" s="1229"/>
      <c r="BQ54" s="1256"/>
      <c r="BR54" s="1256"/>
      <c r="BS54" s="1039" t="s">
        <v>1076</v>
      </c>
      <c r="BT54" s="1041"/>
      <c r="BU54" s="1041"/>
      <c r="BV54" s="956"/>
      <c r="BW54" s="956"/>
    </row>
    <row customHeight="1" ht="14.625" hidden="1">
      <c r="A55" s="1256"/>
      <c r="B55" s="955"/>
      <c r="C55" s="1256"/>
      <c r="D55" s="1256"/>
      <c r="E55" s="679">
        <v>15</v>
      </c>
      <c r="F55" s="50" cm="1" t="str">
        <f t="array" ref="F55:F55">OFFSET(E55,-1,1)</f>
        <v>0</v>
      </c>
      <c r="G55" s="124" t="s">
        <v>1077</v>
      </c>
      <c r="H55" s="344"/>
      <c r="I55" s="344" t="s">
        <v>1831</v>
      </c>
      <c r="J55" s="1256"/>
      <c r="K55" s="344" t="s">
        <v>1831</v>
      </c>
      <c r="L55" s="957"/>
      <c r="M55" s="73"/>
      <c r="N55" s="1256"/>
      <c r="O55" s="1256"/>
      <c r="P55" s="1256"/>
      <c r="Q55" s="124" t="s">
        <v>2058</v>
      </c>
      <c r="R55" s="127" t="s">
        <v>2058</v>
      </c>
      <c r="S55" s="1256"/>
      <c r="T55" s="438" cm="1" t="str">
        <f t="array" ref="T55:T55">T54</f>
        <v>false</v>
      </c>
      <c r="U55" s="1256"/>
      <c r="V55" s="1256"/>
      <c r="W55" s="1256"/>
      <c r="X55" s="1511"/>
      <c r="Y55" s="1256"/>
      <c r="Z55" s="1494"/>
      <c r="AA55" s="1256"/>
      <c r="AB55" s="265" t="s">
        <v>1832</v>
      </c>
      <c r="AC55" s="744" t="s">
        <v>1078</v>
      </c>
      <c r="AD55" s="266" t="s">
        <v>789</v>
      </c>
      <c r="AE55" s="1231"/>
      <c r="AF55" s="1231"/>
      <c r="AG55" s="1231"/>
      <c r="AH55" s="920">
        <f>AG55-AF55</f>
        <v>0</v>
      </c>
      <c r="AI55" s="3692"/>
      <c r="AJ55" s="3685"/>
      <c r="AK55" s="919"/>
      <c r="AL55" s="919"/>
      <c r="AM55" s="919"/>
      <c r="AN55" s="919"/>
      <c r="AO55" s="919"/>
      <c r="AP55" s="919"/>
      <c r="AQ55" s="919"/>
      <c r="AR55" s="919"/>
      <c r="AS55" s="919"/>
      <c r="AT55" s="919"/>
      <c r="AU55" s="919"/>
      <c r="AV55" s="919"/>
      <c r="AW55" s="919"/>
      <c r="AX55" s="919"/>
      <c r="AY55" s="919"/>
      <c r="AZ55" s="919"/>
      <c r="BA55" s="919"/>
      <c r="BB55" s="919"/>
      <c r="BC55" s="919"/>
      <c r="BD55" s="919"/>
      <c r="BE55" s="919"/>
      <c r="BF55" s="919"/>
      <c r="BG55" s="919"/>
      <c r="BH55" s="919"/>
      <c r="BI55" s="919"/>
      <c r="BJ55" s="919"/>
      <c r="BK55" s="919"/>
      <c r="BL55" s="919"/>
      <c r="BM55" s="919"/>
      <c r="BN55" s="1229"/>
      <c r="BO55" s="1232" t="str">
        <f>IF(_xlfn.IFERROR(INDEX(Административные!$K$26:$L$65,MATCH($F55&amp;"18komm",Административные!$K$26:$K$65,0),2),"")=0,"",_xlfn.IFERROR(INDEX(Административные!$K$26:$L$65,MATCH($F55&amp;"18komm",Административные!$K$26:$K$65,0),2),""))</f>
        <v/>
      </c>
      <c r="BP55" s="1229"/>
      <c r="BQ55" s="1256"/>
      <c r="BR55" s="1256"/>
      <c r="BS55" s="1041" t="s">
        <v>1079</v>
      </c>
      <c r="BT55" s="1041"/>
      <c r="BU55" s="1041"/>
      <c r="BV55" s="956"/>
      <c r="BW55" s="956"/>
    </row>
    <row customHeight="1" ht="14.625" hidden="1">
      <c r="A56" s="1256"/>
      <c r="B56" s="955"/>
      <c r="C56" s="1256"/>
      <c r="D56" s="1256"/>
      <c r="E56" s="679">
        <v>15</v>
      </c>
      <c r="F56" s="50" cm="1" t="str">
        <f t="array" ref="F56:F56">OFFSET(E56,-1,1)</f>
        <v>0</v>
      </c>
      <c r="G56" s="124" t="s">
        <v>1080</v>
      </c>
      <c r="H56" s="344"/>
      <c r="I56" s="344" t="s">
        <v>1833</v>
      </c>
      <c r="J56" s="1256"/>
      <c r="K56" s="344" t="s">
        <v>1833</v>
      </c>
      <c r="L56" s="957"/>
      <c r="M56" s="73"/>
      <c r="N56" s="1256"/>
      <c r="O56" s="1256"/>
      <c r="P56" s="1256"/>
      <c r="Q56" s="124" t="s">
        <v>2058</v>
      </c>
      <c r="R56" s="127" t="s">
        <v>2058</v>
      </c>
      <c r="S56" s="1256"/>
      <c r="T56" s="438" cm="1" t="str">
        <f t="array" ref="T56:T56">T55</f>
        <v>false</v>
      </c>
      <c r="U56" s="1256"/>
      <c r="V56" s="1256"/>
      <c r="W56" s="1256"/>
      <c r="X56" s="1511"/>
      <c r="Y56" s="1256"/>
      <c r="Z56" s="1494"/>
      <c r="AA56" s="1256"/>
      <c r="AB56" s="265" t="s">
        <v>1834</v>
      </c>
      <c r="AC56" s="744" t="s">
        <v>1081</v>
      </c>
      <c r="AD56" s="266" t="s">
        <v>789</v>
      </c>
      <c r="AE56" s="1231"/>
      <c r="AF56" s="1231"/>
      <c r="AG56" s="1231"/>
      <c r="AH56" s="920">
        <f>AG56-AF56</f>
        <v>0</v>
      </c>
      <c r="AI56" s="3692"/>
      <c r="AJ56" s="3685"/>
      <c r="AK56" s="919"/>
      <c r="AL56" s="919"/>
      <c r="AM56" s="919"/>
      <c r="AN56" s="919"/>
      <c r="AO56" s="919"/>
      <c r="AP56" s="919"/>
      <c r="AQ56" s="919"/>
      <c r="AR56" s="919"/>
      <c r="AS56" s="919"/>
      <c r="AT56" s="919"/>
      <c r="AU56" s="919"/>
      <c r="AV56" s="919"/>
      <c r="AW56" s="919"/>
      <c r="AX56" s="919"/>
      <c r="AY56" s="919"/>
      <c r="AZ56" s="919"/>
      <c r="BA56" s="919"/>
      <c r="BB56" s="919"/>
      <c r="BC56" s="919"/>
      <c r="BD56" s="919"/>
      <c r="BE56" s="919"/>
      <c r="BF56" s="919"/>
      <c r="BG56" s="919"/>
      <c r="BH56" s="919"/>
      <c r="BI56" s="919"/>
      <c r="BJ56" s="919"/>
      <c r="BK56" s="919"/>
      <c r="BL56" s="919"/>
      <c r="BM56" s="919"/>
      <c r="BN56" s="1229"/>
      <c r="BO56" s="1232" t="str">
        <f>IF(_xlfn.IFERROR(INDEX(Административные!$K$26:$L$65,MATCH($F56&amp;"11komm",Административные!$K$26:$K$65,0),2),"")=0,"",_xlfn.IFERROR(INDEX(Административные!$K$26:$L$65,MATCH($F56&amp;"11komm",Административные!$K$26:$K$65,0),2),""))</f>
        <v/>
      </c>
      <c r="BP56" s="1229"/>
      <c r="BQ56" s="1256"/>
      <c r="BR56" s="1256"/>
      <c r="BS56" s="1041" t="s">
        <v>1082</v>
      </c>
      <c r="BT56" s="1041"/>
      <c r="BU56" s="1041"/>
      <c r="BV56" s="956"/>
      <c r="BW56" s="956"/>
    </row>
    <row customHeight="1" ht="14.625" hidden="1">
      <c r="A57" s="1256"/>
      <c r="B57" s="955"/>
      <c r="C57" s="1256"/>
      <c r="D57" s="1256"/>
      <c r="E57" s="679">
        <v>15</v>
      </c>
      <c r="F57" s="50" cm="1" t="str">
        <f t="array" ref="F57:F57">OFFSET(E57,-1,1)</f>
        <v>0</v>
      </c>
      <c r="G57" s="124" t="s">
        <v>1083</v>
      </c>
      <c r="H57" s="344"/>
      <c r="I57" s="344" t="s">
        <v>1835</v>
      </c>
      <c r="J57" s="1256"/>
      <c r="K57" s="344" t="s">
        <v>1835</v>
      </c>
      <c r="L57" s="957"/>
      <c r="M57" s="73"/>
      <c r="N57" s="1256"/>
      <c r="O57" s="1256"/>
      <c r="P57" s="1256"/>
      <c r="Q57" s="124" t="s">
        <v>2058</v>
      </c>
      <c r="R57" s="127" t="s">
        <v>2058</v>
      </c>
      <c r="S57" s="1256"/>
      <c r="T57" s="438" cm="1" t="str">
        <f t="array" ref="T57:T57">T56</f>
        <v>false</v>
      </c>
      <c r="U57" s="1256"/>
      <c r="V57" s="1256"/>
      <c r="W57" s="1256"/>
      <c r="X57" s="1511"/>
      <c r="Y57" s="1256"/>
      <c r="Z57" s="1494"/>
      <c r="AA57" s="1256"/>
      <c r="AB57" s="265" t="s">
        <v>1836</v>
      </c>
      <c r="AC57" s="744" t="s">
        <v>1084</v>
      </c>
      <c r="AD57" s="266" t="s">
        <v>789</v>
      </c>
      <c r="AE57" s="1231"/>
      <c r="AF57" s="1231"/>
      <c r="AG57" s="1231"/>
      <c r="AH57" s="920">
        <f>AG57-AF57</f>
        <v>0</v>
      </c>
      <c r="AI57" s="3692"/>
      <c r="AJ57" s="3685"/>
      <c r="AK57" s="919"/>
      <c r="AL57" s="919"/>
      <c r="AM57" s="919"/>
      <c r="AN57" s="919"/>
      <c r="AO57" s="919"/>
      <c r="AP57" s="919"/>
      <c r="AQ57" s="919"/>
      <c r="AR57" s="919"/>
      <c r="AS57" s="919"/>
      <c r="AT57" s="919"/>
      <c r="AU57" s="919"/>
      <c r="AV57" s="919"/>
      <c r="AW57" s="919"/>
      <c r="AX57" s="919"/>
      <c r="AY57" s="919"/>
      <c r="AZ57" s="919"/>
      <c r="BA57" s="919"/>
      <c r="BB57" s="919"/>
      <c r="BC57" s="919"/>
      <c r="BD57" s="919"/>
      <c r="BE57" s="919"/>
      <c r="BF57" s="919"/>
      <c r="BG57" s="919"/>
      <c r="BH57" s="919"/>
      <c r="BI57" s="919"/>
      <c r="BJ57" s="919"/>
      <c r="BK57" s="919"/>
      <c r="BL57" s="919"/>
      <c r="BM57" s="919"/>
      <c r="BN57" s="1229"/>
      <c r="BO57" s="1232" t="str">
        <f>IF(_xlfn.IFERROR(INDEX(Административные!$K$26:$L$65,MATCH($F57&amp;"12komm",Административные!$K$26:$K$65,0),2),"")=0,"",_xlfn.IFERROR(INDEX(Административные!$K$26:$L$65,MATCH($F57&amp;"12komm",Административные!$K$26:$K$65,0),2),""))</f>
        <v/>
      </c>
      <c r="BP57" s="1229"/>
      <c r="BQ57" s="1256"/>
      <c r="BR57" s="1256"/>
      <c r="BS57" s="1041" t="s">
        <v>1085</v>
      </c>
      <c r="BT57" s="1041"/>
      <c r="BU57" s="1041"/>
      <c r="BV57" s="956"/>
      <c r="BW57" s="956"/>
    </row>
    <row customHeight="1" ht="14.625" hidden="1">
      <c r="A58" s="1256"/>
      <c r="B58" s="955"/>
      <c r="C58" s="1256"/>
      <c r="D58" s="1256"/>
      <c r="E58" s="679">
        <v>15</v>
      </c>
      <c r="F58" s="50" cm="1" t="str">
        <f t="array" ref="F58:F58">OFFSET(E58,-1,1)</f>
        <v>0</v>
      </c>
      <c r="G58" s="124" t="s">
        <v>1086</v>
      </c>
      <c r="H58" s="344"/>
      <c r="I58" s="344" t="s">
        <v>1837</v>
      </c>
      <c r="J58" s="1256"/>
      <c r="K58" s="344" t="s">
        <v>1837</v>
      </c>
      <c r="L58" s="957"/>
      <c r="M58" s="73"/>
      <c r="N58" s="1256"/>
      <c r="O58" s="1256"/>
      <c r="P58" s="1256"/>
      <c r="Q58" s="124" t="s">
        <v>2058</v>
      </c>
      <c r="R58" s="127" t="s">
        <v>2058</v>
      </c>
      <c r="S58" s="1256"/>
      <c r="T58" s="438" cm="1" t="str">
        <f t="array" ref="T58:T58">T57</f>
        <v>false</v>
      </c>
      <c r="U58" s="1256"/>
      <c r="V58" s="1256"/>
      <c r="W58" s="1256"/>
      <c r="X58" s="1511"/>
      <c r="Y58" s="1256"/>
      <c r="Z58" s="1494"/>
      <c r="AA58" s="1256"/>
      <c r="AB58" s="265" t="s">
        <v>1838</v>
      </c>
      <c r="AC58" s="744" t="s">
        <v>1087</v>
      </c>
      <c r="AD58" s="266" t="s">
        <v>789</v>
      </c>
      <c r="AE58" s="1231"/>
      <c r="AF58" s="1231"/>
      <c r="AG58" s="1231"/>
      <c r="AH58" s="920">
        <f>AG58-AF58</f>
        <v>0</v>
      </c>
      <c r="AI58" s="3692"/>
      <c r="AJ58" s="3685"/>
      <c r="AK58" s="919"/>
      <c r="AL58" s="919"/>
      <c r="AM58" s="919"/>
      <c r="AN58" s="919"/>
      <c r="AO58" s="919"/>
      <c r="AP58" s="919"/>
      <c r="AQ58" s="919"/>
      <c r="AR58" s="919"/>
      <c r="AS58" s="919"/>
      <c r="AT58" s="919"/>
      <c r="AU58" s="919"/>
      <c r="AV58" s="919"/>
      <c r="AW58" s="919"/>
      <c r="AX58" s="919"/>
      <c r="AY58" s="919"/>
      <c r="AZ58" s="919"/>
      <c r="BA58" s="919"/>
      <c r="BB58" s="919"/>
      <c r="BC58" s="919"/>
      <c r="BD58" s="919"/>
      <c r="BE58" s="919"/>
      <c r="BF58" s="919"/>
      <c r="BG58" s="919"/>
      <c r="BH58" s="919"/>
      <c r="BI58" s="919"/>
      <c r="BJ58" s="919"/>
      <c r="BK58" s="919"/>
      <c r="BL58" s="919"/>
      <c r="BM58" s="919"/>
      <c r="BN58" s="1229"/>
      <c r="BO58" s="1232" t="str">
        <f>IF(_xlfn.IFERROR(INDEX(Административные!$K$26:$L$65,MATCH($F58&amp;"13komm",Административные!$K$26:$K$65,0),2),"")=0,"",_xlfn.IFERROR(INDEX(Административные!$K$26:$L$65,MATCH($F58&amp;"13komm",Административные!$K$26:$K$65,0),2),""))</f>
        <v/>
      </c>
      <c r="BP58" s="1229"/>
      <c r="BQ58" s="1256"/>
      <c r="BR58" s="1256"/>
      <c r="BS58" s="1041" t="s">
        <v>1088</v>
      </c>
      <c r="BT58" s="1041"/>
      <c r="BU58" s="1041"/>
      <c r="BV58" s="956"/>
      <c r="BW58" s="956"/>
    </row>
    <row customHeight="1" ht="14.625" hidden="1">
      <c r="A59" s="1256"/>
      <c r="B59" s="955"/>
      <c r="C59" s="1256"/>
      <c r="D59" s="1256"/>
      <c r="E59" s="679">
        <v>15</v>
      </c>
      <c r="F59" s="50" cm="1" t="str">
        <f t="array" ref="F59:F59">OFFSET(E59,-1,1)</f>
        <v>0</v>
      </c>
      <c r="G59" s="124" t="s">
        <v>1089</v>
      </c>
      <c r="H59" s="344"/>
      <c r="I59" s="344" t="s">
        <v>1839</v>
      </c>
      <c r="J59" s="1256"/>
      <c r="K59" s="344" t="s">
        <v>1839</v>
      </c>
      <c r="L59" s="957"/>
      <c r="M59" s="73"/>
      <c r="N59" s="1256"/>
      <c r="O59" s="1256"/>
      <c r="P59" s="1256"/>
      <c r="Q59" s="124" t="s">
        <v>2058</v>
      </c>
      <c r="R59" s="127" t="s">
        <v>2058</v>
      </c>
      <c r="S59" s="1256"/>
      <c r="T59" s="438" cm="1" t="str">
        <f t="array" ref="T59:T59">T58</f>
        <v>false</v>
      </c>
      <c r="U59" s="1256"/>
      <c r="V59" s="1256"/>
      <c r="W59" s="1256"/>
      <c r="X59" s="1511"/>
      <c r="Y59" s="1256"/>
      <c r="Z59" s="1494"/>
      <c r="AA59" s="1256"/>
      <c r="AB59" s="265" t="s">
        <v>1840</v>
      </c>
      <c r="AC59" s="744" t="s">
        <v>1090</v>
      </c>
      <c r="AD59" s="266" t="s">
        <v>789</v>
      </c>
      <c r="AE59" s="1231"/>
      <c r="AF59" s="1231"/>
      <c r="AG59" s="1231"/>
      <c r="AH59" s="920">
        <f>AG59-AF59</f>
        <v>0</v>
      </c>
      <c r="AI59" s="3692"/>
      <c r="AJ59" s="3685"/>
      <c r="AK59" s="919"/>
      <c r="AL59" s="919"/>
      <c r="AM59" s="919"/>
      <c r="AN59" s="919"/>
      <c r="AO59" s="919"/>
      <c r="AP59" s="919"/>
      <c r="AQ59" s="919"/>
      <c r="AR59" s="919"/>
      <c r="AS59" s="919"/>
      <c r="AT59" s="919"/>
      <c r="AU59" s="919"/>
      <c r="AV59" s="919"/>
      <c r="AW59" s="919"/>
      <c r="AX59" s="919"/>
      <c r="AY59" s="919"/>
      <c r="AZ59" s="919"/>
      <c r="BA59" s="919"/>
      <c r="BB59" s="919"/>
      <c r="BC59" s="919"/>
      <c r="BD59" s="919"/>
      <c r="BE59" s="919"/>
      <c r="BF59" s="919"/>
      <c r="BG59" s="919"/>
      <c r="BH59" s="919"/>
      <c r="BI59" s="919"/>
      <c r="BJ59" s="919"/>
      <c r="BK59" s="919"/>
      <c r="BL59" s="919"/>
      <c r="BM59" s="919"/>
      <c r="BN59" s="1229"/>
      <c r="BO59" s="1232" t="str">
        <f>IF(_xlfn.IFERROR(INDEX(Административные!$K$26:$L$65,MATCH($F59&amp;"14komm",Административные!$K$26:$K$65,0),2),"")=0,"",_xlfn.IFERROR(INDEX(Административные!$K$26:$L$65,MATCH($F59&amp;"14komm",Административные!$K$26:$K$65,0),2),""))</f>
        <v/>
      </c>
      <c r="BP59" s="1229"/>
      <c r="BQ59" s="1256"/>
      <c r="BR59" s="1256"/>
      <c r="BS59" s="1041" t="s">
        <v>1841</v>
      </c>
      <c r="BT59" s="1041"/>
      <c r="BU59" s="1041"/>
      <c r="BV59" s="956"/>
      <c r="BW59" s="956"/>
    </row>
    <row customHeight="1" ht="14.625" hidden="1">
      <c r="A60" s="1256"/>
      <c r="B60" s="955"/>
      <c r="C60" s="1256"/>
      <c r="D60" s="1256"/>
      <c r="E60" s="679">
        <v>15</v>
      </c>
      <c r="F60" s="50" cm="1" t="str">
        <f t="array" ref="F60:F60">OFFSET(E60,-1,1)</f>
        <v>0</v>
      </c>
      <c r="G60" s="124" t="s">
        <v>1092</v>
      </c>
      <c r="H60" s="344"/>
      <c r="I60" s="344" t="s">
        <v>1842</v>
      </c>
      <c r="J60" s="1256"/>
      <c r="K60" s="344" t="s">
        <v>1842</v>
      </c>
      <c r="L60" s="957"/>
      <c r="M60" s="73"/>
      <c r="N60" s="1256"/>
      <c r="O60" s="1256"/>
      <c r="P60" s="1256"/>
      <c r="Q60" s="124" t="s">
        <v>2058</v>
      </c>
      <c r="R60" s="127" t="s">
        <v>2058</v>
      </c>
      <c r="S60" s="1256"/>
      <c r="T60" s="438" cm="1" t="str">
        <f t="array" ref="T60:T60">T59</f>
        <v>false</v>
      </c>
      <c r="U60" s="1256"/>
      <c r="V60" s="1256"/>
      <c r="W60" s="1256"/>
      <c r="X60" s="1511"/>
      <c r="Y60" s="1256"/>
      <c r="Z60" s="1494"/>
      <c r="AA60" s="1256"/>
      <c r="AB60" s="265" t="s">
        <v>1843</v>
      </c>
      <c r="AC60" s="744" t="s">
        <v>1095</v>
      </c>
      <c r="AD60" s="266" t="s">
        <v>789</v>
      </c>
      <c r="AE60" s="1231"/>
      <c r="AF60" s="1231"/>
      <c r="AG60" s="1231"/>
      <c r="AH60" s="920">
        <f>AG60-AF60</f>
        <v>0</v>
      </c>
      <c r="AI60" s="3692"/>
      <c r="AJ60" s="3685"/>
      <c r="AK60" s="919"/>
      <c r="AL60" s="919"/>
      <c r="AM60" s="919"/>
      <c r="AN60" s="919"/>
      <c r="AO60" s="919"/>
      <c r="AP60" s="919"/>
      <c r="AQ60" s="919"/>
      <c r="AR60" s="919"/>
      <c r="AS60" s="919"/>
      <c r="AT60" s="919"/>
      <c r="AU60" s="919"/>
      <c r="AV60" s="919"/>
      <c r="AW60" s="919"/>
      <c r="AX60" s="919"/>
      <c r="AY60" s="919"/>
      <c r="AZ60" s="919"/>
      <c r="BA60" s="919"/>
      <c r="BB60" s="919"/>
      <c r="BC60" s="919"/>
      <c r="BD60" s="919"/>
      <c r="BE60" s="919"/>
      <c r="BF60" s="919"/>
      <c r="BG60" s="919"/>
      <c r="BH60" s="919"/>
      <c r="BI60" s="919"/>
      <c r="BJ60" s="919"/>
      <c r="BK60" s="919"/>
      <c r="BL60" s="919"/>
      <c r="BM60" s="919"/>
      <c r="BN60" s="1229"/>
      <c r="BO60" s="1232" t="str">
        <f>IF(_xlfn.IFERROR(INDEX(Административные!$K$26:$L$65,MATCH($F60&amp;"15komm",Административные!$K$26:$K$65,0),2),"")=0,"",_xlfn.IFERROR(INDEX(Административные!$K$26:$L$65,MATCH($F60&amp;"15komm",Административные!$K$26:$K$65,0),2),""))</f>
        <v/>
      </c>
      <c r="BP60" s="1229"/>
      <c r="BQ60" s="1256"/>
      <c r="BR60" s="1256"/>
      <c r="BS60" s="1041" t="s">
        <v>1096</v>
      </c>
      <c r="BT60" s="1041"/>
      <c r="BU60" s="1041"/>
      <c r="BV60" s="956"/>
      <c r="BW60" s="956"/>
    </row>
    <row customHeight="1" ht="14.625" hidden="1">
      <c r="A61" s="1256"/>
      <c r="B61" s="955"/>
      <c r="C61" s="1256"/>
      <c r="D61" s="1256"/>
      <c r="E61" s="679">
        <v>15</v>
      </c>
      <c r="F61" s="50" cm="1" t="str">
        <f t="array" ref="F61:F61">OFFSET(E61,-1,1)</f>
        <v>0</v>
      </c>
      <c r="G61" s="124" t="s">
        <v>1097</v>
      </c>
      <c r="H61" s="344"/>
      <c r="I61" s="344" t="s">
        <v>1844</v>
      </c>
      <c r="J61" s="1256"/>
      <c r="K61" s="344" t="s">
        <v>1844</v>
      </c>
      <c r="L61" s="957"/>
      <c r="M61" s="73"/>
      <c r="N61" s="1256"/>
      <c r="O61" s="1256"/>
      <c r="P61" s="1256"/>
      <c r="Q61" s="124" t="s">
        <v>2058</v>
      </c>
      <c r="R61" s="127" t="s">
        <v>2058</v>
      </c>
      <c r="S61" s="1256"/>
      <c r="T61" s="438" cm="1" t="str">
        <f t="array" ref="T61:T61">T60</f>
        <v>false</v>
      </c>
      <c r="U61" s="1256"/>
      <c r="V61" s="1256"/>
      <c r="W61" s="1256"/>
      <c r="X61" s="1511"/>
      <c r="Y61" s="1256"/>
      <c r="Z61" s="1494"/>
      <c r="AA61" s="1256"/>
      <c r="AB61" s="265" t="s">
        <v>1845</v>
      </c>
      <c r="AC61" s="744" t="s">
        <v>1100</v>
      </c>
      <c r="AD61" s="266" t="s">
        <v>789</v>
      </c>
      <c r="AE61" s="1231"/>
      <c r="AF61" s="1231"/>
      <c r="AG61" s="1231"/>
      <c r="AH61" s="920">
        <f>AG61-AF61</f>
        <v>0</v>
      </c>
      <c r="AI61" s="3692"/>
      <c r="AJ61" s="3685"/>
      <c r="AK61" s="919"/>
      <c r="AL61" s="919"/>
      <c r="AM61" s="919"/>
      <c r="AN61" s="919"/>
      <c r="AO61" s="919"/>
      <c r="AP61" s="919"/>
      <c r="AQ61" s="919"/>
      <c r="AR61" s="919"/>
      <c r="AS61" s="919"/>
      <c r="AT61" s="919"/>
      <c r="AU61" s="919"/>
      <c r="AV61" s="919"/>
      <c r="AW61" s="919"/>
      <c r="AX61" s="919"/>
      <c r="AY61" s="919"/>
      <c r="AZ61" s="919"/>
      <c r="BA61" s="919"/>
      <c r="BB61" s="919"/>
      <c r="BC61" s="919"/>
      <c r="BD61" s="919"/>
      <c r="BE61" s="919"/>
      <c r="BF61" s="919"/>
      <c r="BG61" s="919"/>
      <c r="BH61" s="919"/>
      <c r="BI61" s="919"/>
      <c r="BJ61" s="919"/>
      <c r="BK61" s="919"/>
      <c r="BL61" s="919"/>
      <c r="BM61" s="919"/>
      <c r="BN61" s="1229"/>
      <c r="BO61" s="1232" t="str">
        <f>IF(_xlfn.IFERROR(INDEX(Административные!$K$26:$L$65,MATCH($F61&amp;"16komm",Административные!$K$26:$K$65,0),2),"")=0,"",_xlfn.IFERROR(INDEX(Административные!$K$26:$L$65,MATCH($F61&amp;"16komm",Административные!$K$26:$K$65,0),2),""))</f>
        <v/>
      </c>
      <c r="BP61" s="1229"/>
      <c r="BQ61" s="1256"/>
      <c r="BR61" s="1256"/>
      <c r="BS61" s="1041" t="s">
        <v>1846</v>
      </c>
      <c r="BT61" s="1041"/>
      <c r="BU61" s="1041"/>
      <c r="BV61" s="956"/>
      <c r="BW61" s="956"/>
    </row>
    <row customHeight="1" ht="21.9375" hidden="1">
      <c r="A62" s="1256"/>
      <c r="B62" s="955"/>
      <c r="C62" s="1256"/>
      <c r="D62" s="1256"/>
      <c r="E62" s="679">
        <v>22.5</v>
      </c>
      <c r="F62" s="50" cm="1" t="str">
        <f t="array" ref="F62:F62">OFFSET(E62,-1,1)</f>
        <v>0</v>
      </c>
      <c r="G62" s="1256"/>
      <c r="H62" s="344"/>
      <c r="I62" s="344" t="s">
        <v>1236</v>
      </c>
      <c r="J62" s="1256"/>
      <c r="K62" s="344" t="s">
        <v>1236</v>
      </c>
      <c r="L62" s="957" t="s">
        <v>876</v>
      </c>
      <c r="M62" s="73"/>
      <c r="N62" s="1256"/>
      <c r="O62" s="1256"/>
      <c r="P62" s="1256"/>
      <c r="Q62" s="124" t="s">
        <v>2058</v>
      </c>
      <c r="R62" s="127" t="s">
        <v>2058</v>
      </c>
      <c r="S62" s="1256"/>
      <c r="T62" s="438" cm="1" t="str">
        <f t="array" ref="T62:T62">T61</f>
        <v>false</v>
      </c>
      <c r="U62" s="1256"/>
      <c r="V62" s="1256"/>
      <c r="W62" s="1256"/>
      <c r="X62" s="1511"/>
      <c r="Y62" s="1256"/>
      <c r="Z62" s="1494"/>
      <c r="AA62" s="1256"/>
      <c r="AB62" s="265" t="s">
        <v>967</v>
      </c>
      <c r="AC62" s="741" t="s">
        <v>1847</v>
      </c>
      <c r="AD62" s="266" t="s">
        <v>789</v>
      </c>
      <c r="AE62" s="921">
        <f>AE63+AE64</f>
        <v>0</v>
      </c>
      <c r="AF62" s="921">
        <f>AF63+AF64</f>
        <v>0</v>
      </c>
      <c r="AG62" s="921">
        <f>AG63+AG64</f>
        <v>0</v>
      </c>
      <c r="AH62" s="920">
        <f>AG62-AF62</f>
        <v>0</v>
      </c>
      <c r="AI62" s="3694">
        <f>AI63+AI64</f>
        <v>0</v>
      </c>
      <c r="AJ62" s="3685"/>
      <c r="AK62" s="919"/>
      <c r="AL62" s="919"/>
      <c r="AM62" s="919"/>
      <c r="AN62" s="919"/>
      <c r="AO62" s="919"/>
      <c r="AP62" s="919"/>
      <c r="AQ62" s="919"/>
      <c r="AR62" s="919"/>
      <c r="AS62" s="919"/>
      <c r="AT62" s="919"/>
      <c r="AU62" s="919"/>
      <c r="AV62" s="919"/>
      <c r="AW62" s="919"/>
      <c r="AX62" s="919"/>
      <c r="AY62" s="919"/>
      <c r="AZ62" s="919"/>
      <c r="BA62" s="919"/>
      <c r="BB62" s="919"/>
      <c r="BC62" s="919"/>
      <c r="BD62" s="919"/>
      <c r="BE62" s="919"/>
      <c r="BF62" s="919"/>
      <c r="BG62" s="919"/>
      <c r="BH62" s="919"/>
      <c r="BI62" s="919"/>
      <c r="BJ62" s="919"/>
      <c r="BK62" s="919"/>
      <c r="BL62" s="919"/>
      <c r="BM62" s="919"/>
      <c r="BN62" s="1229"/>
      <c r="BO62" s="1229"/>
      <c r="BP62" s="1229"/>
      <c r="BQ62" s="1256"/>
      <c r="BR62" s="1256"/>
      <c r="BS62" s="1039" t="s">
        <v>1652</v>
      </c>
      <c r="BT62" s="1041"/>
      <c r="BU62" s="1041"/>
      <c r="BV62" s="956"/>
      <c r="BW62" s="956"/>
    </row>
    <row customHeight="1" ht="14.625" hidden="1">
      <c r="A63" s="1256"/>
      <c r="B63" s="955"/>
      <c r="C63" s="1256"/>
      <c r="D63" s="1256"/>
      <c r="E63" s="679">
        <v>15</v>
      </c>
      <c r="F63" s="50" cm="1" t="str">
        <f t="array" ref="F63:F63">OFFSET(E63,-1,1)</f>
        <v>0</v>
      </c>
      <c r="G63" s="124" t="s">
        <v>1056</v>
      </c>
      <c r="H63" s="344"/>
      <c r="I63" s="344" t="s">
        <v>1848</v>
      </c>
      <c r="J63" s="1256"/>
      <c r="K63" s="344" t="s">
        <v>1848</v>
      </c>
      <c r="L63" s="957" t="s">
        <v>470</v>
      </c>
      <c r="M63" s="73"/>
      <c r="N63" s="1256"/>
      <c r="O63" s="1256"/>
      <c r="P63" s="1256"/>
      <c r="Q63" s="124" t="s">
        <v>2058</v>
      </c>
      <c r="R63" s="127" t="s">
        <v>2058</v>
      </c>
      <c r="S63" s="1256"/>
      <c r="T63" s="438" cm="1" t="str">
        <f t="array" ref="T63:T63">T62</f>
        <v>false</v>
      </c>
      <c r="U63" s="1256"/>
      <c r="V63" s="1256"/>
      <c r="W63" s="1256"/>
      <c r="X63" s="1511"/>
      <c r="Y63" s="1256"/>
      <c r="Z63" s="1494"/>
      <c r="AA63" s="1256"/>
      <c r="AB63" s="265" t="s">
        <v>1849</v>
      </c>
      <c r="AC63" s="744" t="s">
        <v>1653</v>
      </c>
      <c r="AD63" s="747" t="s">
        <v>789</v>
      </c>
      <c r="AE63" s="1231"/>
      <c r="AF63" s="1231"/>
      <c r="AG63" s="1231"/>
      <c r="AH63" s="920">
        <f>AG63-AF63</f>
        <v>0</v>
      </c>
      <c r="AI63" s="3692"/>
      <c r="AJ63" s="3685"/>
      <c r="AK63" s="919"/>
      <c r="AL63" s="919"/>
      <c r="AM63" s="919"/>
      <c r="AN63" s="919"/>
      <c r="AO63" s="919"/>
      <c r="AP63" s="919"/>
      <c r="AQ63" s="919"/>
      <c r="AR63" s="919"/>
      <c r="AS63" s="919"/>
      <c r="AT63" s="919"/>
      <c r="AU63" s="919"/>
      <c r="AV63" s="919"/>
      <c r="AW63" s="919"/>
      <c r="AX63" s="919"/>
      <c r="AY63" s="919"/>
      <c r="AZ63" s="919"/>
      <c r="BA63" s="919"/>
      <c r="BB63" s="919"/>
      <c r="BC63" s="919"/>
      <c r="BD63" s="919"/>
      <c r="BE63" s="919"/>
      <c r="BF63" s="919"/>
      <c r="BG63" s="919"/>
      <c r="BH63" s="919"/>
      <c r="BI63" s="919"/>
      <c r="BJ63" s="919"/>
      <c r="BK63" s="919"/>
      <c r="BL63" s="919"/>
      <c r="BM63" s="919"/>
      <c r="BN63" s="1229"/>
      <c r="BO63" s="1232" t="str">
        <f>IF(_xlfn.IFERROR(INDEX(ФОТ!$K$26:$L$77,MATCH($F63&amp;"5komm",ФОТ!$K$26:$K$77,0),2),"")=0,"",_xlfn.IFERROR(INDEX(ФОТ!$K$26:$L$77,MATCH($F63&amp;"5komm",ФОТ!$K$26:$K$77,0),2),""))</f>
        <v/>
      </c>
      <c r="BP63" s="1229"/>
      <c r="BQ63" s="1256"/>
      <c r="BR63" s="1256"/>
      <c r="BS63" s="1039" t="s">
        <v>1073</v>
      </c>
      <c r="BT63" s="1041"/>
      <c r="BU63" s="1041"/>
      <c r="BV63" s="956"/>
      <c r="BW63" s="956"/>
    </row>
    <row customHeight="1" ht="21.9375" hidden="1">
      <c r="A64" s="1256"/>
      <c r="B64" s="955"/>
      <c r="C64" s="1256"/>
      <c r="D64" s="1256"/>
      <c r="E64" s="679">
        <v>22.5</v>
      </c>
      <c r="F64" s="50" cm="1" t="str">
        <f t="array" ref="F64:F64">OFFSET(E64,-1,1)</f>
        <v>0</v>
      </c>
      <c r="G64" s="124" t="s">
        <v>1061</v>
      </c>
      <c r="H64" s="344"/>
      <c r="I64" s="344" t="s">
        <v>1850</v>
      </c>
      <c r="J64" s="1256"/>
      <c r="K64" s="344" t="s">
        <v>1850</v>
      </c>
      <c r="L64" s="957" t="s">
        <v>475</v>
      </c>
      <c r="M64" s="73"/>
      <c r="N64" s="1256"/>
      <c r="O64" s="1256"/>
      <c r="P64" s="1256"/>
      <c r="Q64" s="124" t="s">
        <v>2058</v>
      </c>
      <c r="R64" s="127" t="s">
        <v>2058</v>
      </c>
      <c r="S64" s="1256"/>
      <c r="T64" s="438" cm="1" t="str">
        <f t="array" ref="T64:T64">T63</f>
        <v>false</v>
      </c>
      <c r="U64" s="1256"/>
      <c r="V64" s="1256"/>
      <c r="W64" s="1256"/>
      <c r="X64" s="1511"/>
      <c r="Y64" s="1256"/>
      <c r="Z64" s="1494"/>
      <c r="AA64" s="1256"/>
      <c r="AB64" s="265" t="s">
        <v>1851</v>
      </c>
      <c r="AC64" s="744" t="s">
        <v>1852</v>
      </c>
      <c r="AD64" s="266" t="s">
        <v>789</v>
      </c>
      <c r="AE64" s="1231">
        <f>AE63*_xlfn.SUMIFS(INDEX(Сценарии!$AE$25:$BF$82,,MATCH(AE$8,Сценарии!$AE$8:$BF$8,0)),Сценарии!$F$25:$F$82,$F64,Сценарии!$G$25:$G$82,"СВФОТ")/100</f>
        <v>0</v>
      </c>
      <c r="AF64" s="1231">
        <f>AF63*_xlfn.SUMIFS(INDEX(Сценарии!$AE$25:$BF$82,,MATCH(AF$8,Сценарии!$AE$8:$BF$8,0)),Сценарии!$F$25:$F$82,$F64,Сценарии!$G$25:$G$82,"СВФОТ")/100</f>
        <v>0</v>
      </c>
      <c r="AG64" s="1231">
        <f>AG63*_xlfn.SUMIFS(INDEX(Сценарии!$AE$25:$BF$82,,MATCH(AG$8,Сценарии!$AE$8:$BF$8,0)),Сценарии!$F$25:$F$82,$F64,Сценарии!$G$25:$G$82,"СВФОТ")/100</f>
        <v>0</v>
      </c>
      <c r="AH64" s="920">
        <f>AG64-AF64</f>
        <v>0</v>
      </c>
      <c r="AI64" s="3692">
        <f>AI63*_xlfn.SUMIFS(INDEX(Сценарии!$AE$25:$BF$82,,MATCH(AG$8,Сценарии!$AE$8:$BF$8,0)),Сценарии!$F$25:$F$82,$F64,Сценарии!$G$25:$G$82,"СВФОТ")/100</f>
        <v>0</v>
      </c>
      <c r="AJ64" s="3685"/>
      <c r="AK64" s="919"/>
      <c r="AL64" s="919"/>
      <c r="AM64" s="919"/>
      <c r="AN64" s="919"/>
      <c r="AO64" s="919"/>
      <c r="AP64" s="919"/>
      <c r="AQ64" s="919"/>
      <c r="AR64" s="919"/>
      <c r="AS64" s="919"/>
      <c r="AT64" s="919"/>
      <c r="AU64" s="919"/>
      <c r="AV64" s="919"/>
      <c r="AW64" s="919"/>
      <c r="AX64" s="919"/>
      <c r="AY64" s="919"/>
      <c r="AZ64" s="919"/>
      <c r="BA64" s="919"/>
      <c r="BB64" s="919"/>
      <c r="BC64" s="919"/>
      <c r="BD64" s="919"/>
      <c r="BE64" s="919"/>
      <c r="BF64" s="919"/>
      <c r="BG64" s="919"/>
      <c r="BH64" s="919"/>
      <c r="BI64" s="919"/>
      <c r="BJ64" s="919"/>
      <c r="BK64" s="919"/>
      <c r="BL64" s="919"/>
      <c r="BM64" s="919"/>
      <c r="BN64" s="1229"/>
      <c r="BO64" s="1232" t="str">
        <f>IF(_xlfn.IFERROR(INDEX(ФОТ!$K$26:$L$77,MATCH($F64&amp;"6komm",ФОТ!$K$26:$K$77,0),2),"")=0,"",_xlfn.IFERROR(INDEX(ФОТ!$K$26:$L$77,MATCH($F64&amp;"6komm",ФОТ!$K$26:$K$77,0),2),""))</f>
        <v/>
      </c>
      <c r="BP64" s="1229"/>
      <c r="BQ64" s="1256"/>
      <c r="BR64" s="1256"/>
      <c r="BS64" s="1039" t="s">
        <v>1655</v>
      </c>
      <c r="BT64" s="1041"/>
      <c r="BU64" s="1041"/>
      <c r="BV64" s="956"/>
      <c r="BW64" s="956"/>
    </row>
    <row customHeight="1" ht="32.90625" hidden="1">
      <c r="A65" s="1256"/>
      <c r="B65" s="955"/>
      <c r="C65" s="1256"/>
      <c r="D65" s="1256"/>
      <c r="E65" s="679">
        <v>33.75</v>
      </c>
      <c r="F65" s="50" cm="1" t="str">
        <f t="array" ref="F65:F65">OFFSET(E65,-1,1)</f>
        <v>0</v>
      </c>
      <c r="G65" s="49" t="s">
        <v>1102</v>
      </c>
      <c r="H65" s="344"/>
      <c r="I65" s="344" t="s">
        <v>1239</v>
      </c>
      <c r="J65" s="1256"/>
      <c r="K65" s="344" t="s">
        <v>1239</v>
      </c>
      <c r="L65" s="957" t="s">
        <v>878</v>
      </c>
      <c r="M65" s="73"/>
      <c r="N65" s="1256"/>
      <c r="O65" s="1256"/>
      <c r="P65" s="1256"/>
      <c r="Q65" s="124" t="s">
        <v>2058</v>
      </c>
      <c r="R65" s="127" t="s">
        <v>2058</v>
      </c>
      <c r="S65" s="1256"/>
      <c r="T65" s="438" cm="1" t="str">
        <f t="array" ref="T65:T65">T64</f>
        <v>false</v>
      </c>
      <c r="U65" s="1256"/>
      <c r="V65" s="1256"/>
      <c r="W65" s="1256"/>
      <c r="X65" s="1511"/>
      <c r="Y65" s="1256"/>
      <c r="Z65" s="1494"/>
      <c r="AA65" s="1256"/>
      <c r="AB65" s="265" t="s">
        <v>1240</v>
      </c>
      <c r="AC65" s="741" t="s">
        <v>1853</v>
      </c>
      <c r="AD65" s="266" t="s">
        <v>789</v>
      </c>
      <c r="AE65" s="1231"/>
      <c r="AF65" s="1231"/>
      <c r="AG65" s="1231"/>
      <c r="AH65" s="920">
        <f>AG65-AF65</f>
        <v>0</v>
      </c>
      <c r="AI65" s="3692"/>
      <c r="AJ65" s="3685"/>
      <c r="AK65" s="919"/>
      <c r="AL65" s="919"/>
      <c r="AM65" s="919"/>
      <c r="AN65" s="919"/>
      <c r="AO65" s="919"/>
      <c r="AP65" s="919"/>
      <c r="AQ65" s="919"/>
      <c r="AR65" s="919"/>
      <c r="AS65" s="919"/>
      <c r="AT65" s="919"/>
      <c r="AU65" s="919"/>
      <c r="AV65" s="919"/>
      <c r="AW65" s="919"/>
      <c r="AX65" s="919"/>
      <c r="AY65" s="919"/>
      <c r="AZ65" s="919"/>
      <c r="BA65" s="919"/>
      <c r="BB65" s="919"/>
      <c r="BC65" s="919"/>
      <c r="BD65" s="919"/>
      <c r="BE65" s="919"/>
      <c r="BF65" s="919"/>
      <c r="BG65" s="919"/>
      <c r="BH65" s="919"/>
      <c r="BI65" s="919"/>
      <c r="BJ65" s="919"/>
      <c r="BK65" s="919"/>
      <c r="BL65" s="919"/>
      <c r="BM65" s="919"/>
      <c r="BN65" s="1229"/>
      <c r="BO65" s="1232" t="str">
        <f>IF(_xlfn.IFERROR(INDEX(Административные!$K$26:$L$65,MATCH($F65&amp;"2komm",Административные!$K$26:$K$65,0),2),"")=0,"",_xlfn.IFERROR(INDEX(Административные!$K$26:$L$65,MATCH($F65&amp;"2komm",Административные!$K$26:$K$65,0),2),""))</f>
        <v/>
      </c>
      <c r="BP65" s="1229"/>
      <c r="BQ65" s="1256"/>
      <c r="BR65" s="1256"/>
      <c r="BS65" s="1039" t="s">
        <v>1104</v>
      </c>
      <c r="BT65" s="1041"/>
      <c r="BU65" s="1041"/>
      <c r="BV65" s="956"/>
      <c r="BW65" s="956"/>
    </row>
    <row customHeight="1" ht="14.625" hidden="1">
      <c r="A66" s="1256"/>
      <c r="B66" s="955"/>
      <c r="C66" s="1256"/>
      <c r="D66" s="1256"/>
      <c r="E66" s="679">
        <v>15</v>
      </c>
      <c r="F66" s="50" cm="1" t="str">
        <f t="array" ref="F66:F66">OFFSET(E66,-1,1)</f>
        <v>0</v>
      </c>
      <c r="G66" s="49" t="s">
        <v>1105</v>
      </c>
      <c r="H66" s="344"/>
      <c r="I66" s="344" t="s">
        <v>1243</v>
      </c>
      <c r="J66" s="1256"/>
      <c r="K66" s="344" t="s">
        <v>1243</v>
      </c>
      <c r="L66" s="957" t="s">
        <v>880</v>
      </c>
      <c r="M66" s="73"/>
      <c r="N66" s="1256"/>
      <c r="O66" s="1256"/>
      <c r="P66" s="1256"/>
      <c r="Q66" s="124" t="s">
        <v>2058</v>
      </c>
      <c r="R66" s="127" t="s">
        <v>2058</v>
      </c>
      <c r="S66" s="1256"/>
      <c r="T66" s="438" cm="1" t="str">
        <f t="array" ref="T66:T66">T65</f>
        <v>false</v>
      </c>
      <c r="U66" s="1256"/>
      <c r="V66" s="1256"/>
      <c r="W66" s="1256"/>
      <c r="X66" s="1511"/>
      <c r="Y66" s="1256"/>
      <c r="Z66" s="1494"/>
      <c r="AA66" s="1256"/>
      <c r="AB66" s="265" t="s">
        <v>1244</v>
      </c>
      <c r="AC66" s="741" t="s">
        <v>1854</v>
      </c>
      <c r="AD66" s="266" t="s">
        <v>789</v>
      </c>
      <c r="AE66" s="1231"/>
      <c r="AF66" s="1231"/>
      <c r="AG66" s="1231"/>
      <c r="AH66" s="920">
        <f>AG66-AF66</f>
        <v>0</v>
      </c>
      <c r="AI66" s="3692"/>
      <c r="AJ66" s="3685"/>
      <c r="AK66" s="919"/>
      <c r="AL66" s="919"/>
      <c r="AM66" s="919"/>
      <c r="AN66" s="919"/>
      <c r="AO66" s="919"/>
      <c r="AP66" s="919"/>
      <c r="AQ66" s="919"/>
      <c r="AR66" s="919"/>
      <c r="AS66" s="919"/>
      <c r="AT66" s="919"/>
      <c r="AU66" s="919"/>
      <c r="AV66" s="919"/>
      <c r="AW66" s="919"/>
      <c r="AX66" s="919"/>
      <c r="AY66" s="919"/>
      <c r="AZ66" s="919"/>
      <c r="BA66" s="919"/>
      <c r="BB66" s="919"/>
      <c r="BC66" s="919"/>
      <c r="BD66" s="919"/>
      <c r="BE66" s="919"/>
      <c r="BF66" s="919"/>
      <c r="BG66" s="919"/>
      <c r="BH66" s="919"/>
      <c r="BI66" s="919"/>
      <c r="BJ66" s="919"/>
      <c r="BK66" s="919"/>
      <c r="BL66" s="919"/>
      <c r="BM66" s="919"/>
      <c r="BN66" s="1229"/>
      <c r="BO66" s="1232" t="str">
        <f>IF(_xlfn.IFERROR(INDEX(Административные!$K$26:$L$65,MATCH($F66&amp;"3komm",Административные!$K$26:$K$65,0),2),"")=0,"",_xlfn.IFERROR(INDEX(Административные!$K$26:$L$65,MATCH($F66&amp;"3komm",Административные!$K$26:$K$65,0),2),""))</f>
        <v/>
      </c>
      <c r="BP66" s="1229"/>
      <c r="BQ66" s="1256"/>
      <c r="BR66" s="1256"/>
      <c r="BS66" s="1039" t="s">
        <v>1107</v>
      </c>
      <c r="BT66" s="1041"/>
      <c r="BU66" s="1041"/>
      <c r="BV66" s="956"/>
      <c r="BW66" s="956"/>
    </row>
    <row customHeight="1" ht="14.625" hidden="1">
      <c r="A67" s="1256"/>
      <c r="B67" s="955"/>
      <c r="C67" s="1256"/>
      <c r="D67" s="1256"/>
      <c r="E67" s="679">
        <v>15</v>
      </c>
      <c r="F67" s="50" cm="1" t="str">
        <f t="array" ref="F67:F67">OFFSET(E67,-1,1)</f>
        <v>0</v>
      </c>
      <c r="G67" s="49" t="s">
        <v>1108</v>
      </c>
      <c r="H67" s="344"/>
      <c r="I67" s="344" t="s">
        <v>1855</v>
      </c>
      <c r="J67" s="1256"/>
      <c r="K67" s="344" t="s">
        <v>1855</v>
      </c>
      <c r="L67" s="957" t="s">
        <v>883</v>
      </c>
      <c r="M67" s="73"/>
      <c r="N67" s="1256"/>
      <c r="O67" s="1256"/>
      <c r="P67" s="1256"/>
      <c r="Q67" s="124" t="s">
        <v>2058</v>
      </c>
      <c r="R67" s="127" t="s">
        <v>2058</v>
      </c>
      <c r="S67" s="1256"/>
      <c r="T67" s="438" cm="1" t="str">
        <f t="array" ref="T67:T67">T66</f>
        <v>false</v>
      </c>
      <c r="U67" s="1256"/>
      <c r="V67" s="1256"/>
      <c r="W67" s="1256"/>
      <c r="X67" s="1511"/>
      <c r="Y67" s="1256"/>
      <c r="Z67" s="1494"/>
      <c r="AA67" s="1256"/>
      <c r="AB67" s="265" t="s">
        <v>1856</v>
      </c>
      <c r="AC67" s="741" t="s">
        <v>1857</v>
      </c>
      <c r="AD67" s="266" t="s">
        <v>789</v>
      </c>
      <c r="AE67" s="1231"/>
      <c r="AF67" s="1231"/>
      <c r="AG67" s="1231"/>
      <c r="AH67" s="920">
        <f>AG67-AF67</f>
        <v>0</v>
      </c>
      <c r="AI67" s="3692"/>
      <c r="AJ67" s="3685"/>
      <c r="AK67" s="919"/>
      <c r="AL67" s="919"/>
      <c r="AM67" s="919"/>
      <c r="AN67" s="919"/>
      <c r="AO67" s="919"/>
      <c r="AP67" s="919"/>
      <c r="AQ67" s="919"/>
      <c r="AR67" s="919"/>
      <c r="AS67" s="919"/>
      <c r="AT67" s="919"/>
      <c r="AU67" s="919"/>
      <c r="AV67" s="919"/>
      <c r="AW67" s="919"/>
      <c r="AX67" s="919"/>
      <c r="AY67" s="919"/>
      <c r="AZ67" s="919"/>
      <c r="BA67" s="919"/>
      <c r="BB67" s="919"/>
      <c r="BC67" s="919"/>
      <c r="BD67" s="919"/>
      <c r="BE67" s="919"/>
      <c r="BF67" s="919"/>
      <c r="BG67" s="919"/>
      <c r="BH67" s="919"/>
      <c r="BI67" s="919"/>
      <c r="BJ67" s="919"/>
      <c r="BK67" s="919"/>
      <c r="BL67" s="919"/>
      <c r="BM67" s="919"/>
      <c r="BN67" s="1229"/>
      <c r="BO67" s="1232" t="str">
        <f>IF(_xlfn.IFERROR(INDEX(Административные!$K$26:$L$65,MATCH($F67&amp;"4komm",Административные!$K$26:$K$65,0),2),"")=0,"",_xlfn.IFERROR(INDEX(Административные!$K$26:$L$65,MATCH($F67&amp;"4komm",Административные!$K$26:$K$65,0),2),""))</f>
        <v/>
      </c>
      <c r="BP67" s="1229"/>
      <c r="BQ67" s="1256"/>
      <c r="BR67" s="1256"/>
      <c r="BS67" s="1039" t="s">
        <v>1110</v>
      </c>
      <c r="BT67" s="1041"/>
      <c r="BU67" s="1041"/>
      <c r="BV67" s="956"/>
      <c r="BW67" s="956"/>
    </row>
    <row customHeight="1" ht="14.625" hidden="1">
      <c r="A68" s="1256"/>
      <c r="B68" s="955"/>
      <c r="C68" s="1256"/>
      <c r="D68" s="1256"/>
      <c r="E68" s="679">
        <v>15</v>
      </c>
      <c r="F68" s="50" cm="1" t="str">
        <f t="array" ref="F68:F68">OFFSET(E68,-1,1)</f>
        <v>0</v>
      </c>
      <c r="G68" s="49" t="s">
        <v>1111</v>
      </c>
      <c r="H68" s="344"/>
      <c r="I68" s="344" t="s">
        <v>1858</v>
      </c>
      <c r="J68" s="1256"/>
      <c r="K68" s="344" t="s">
        <v>1858</v>
      </c>
      <c r="L68" s="957" t="s">
        <v>1093</v>
      </c>
      <c r="M68" s="73"/>
      <c r="N68" s="1256"/>
      <c r="O68" s="1256"/>
      <c r="P68" s="1256"/>
      <c r="Q68" s="124" t="s">
        <v>2058</v>
      </c>
      <c r="R68" s="127" t="s">
        <v>2058</v>
      </c>
      <c r="S68" s="1256"/>
      <c r="T68" s="438" cm="1" t="str">
        <f t="array" ref="T68:T68">T67</f>
        <v>false</v>
      </c>
      <c r="U68" s="1256"/>
      <c r="V68" s="1256"/>
      <c r="W68" s="1256"/>
      <c r="X68" s="1511"/>
      <c r="Y68" s="1256"/>
      <c r="Z68" s="1494"/>
      <c r="AA68" s="1256"/>
      <c r="AB68" s="265" t="s">
        <v>1859</v>
      </c>
      <c r="AC68" s="741" t="s">
        <v>1860</v>
      </c>
      <c r="AD68" s="266" t="s">
        <v>789</v>
      </c>
      <c r="AE68" s="1231"/>
      <c r="AF68" s="1231"/>
      <c r="AG68" s="1231"/>
      <c r="AH68" s="920">
        <f>AG68-AF68</f>
        <v>0</v>
      </c>
      <c r="AI68" s="3692"/>
      <c r="AJ68" s="3685"/>
      <c r="AK68" s="919"/>
      <c r="AL68" s="919"/>
      <c r="AM68" s="919"/>
      <c r="AN68" s="919"/>
      <c r="AO68" s="919"/>
      <c r="AP68" s="919"/>
      <c r="AQ68" s="919"/>
      <c r="AR68" s="919"/>
      <c r="AS68" s="919"/>
      <c r="AT68" s="919"/>
      <c r="AU68" s="919"/>
      <c r="AV68" s="919"/>
      <c r="AW68" s="919"/>
      <c r="AX68" s="919"/>
      <c r="AY68" s="919"/>
      <c r="AZ68" s="919"/>
      <c r="BA68" s="919"/>
      <c r="BB68" s="919"/>
      <c r="BC68" s="919"/>
      <c r="BD68" s="919"/>
      <c r="BE68" s="919"/>
      <c r="BF68" s="919"/>
      <c r="BG68" s="919"/>
      <c r="BH68" s="919"/>
      <c r="BI68" s="919"/>
      <c r="BJ68" s="919"/>
      <c r="BK68" s="919"/>
      <c r="BL68" s="919"/>
      <c r="BM68" s="919"/>
      <c r="BN68" s="1229"/>
      <c r="BO68" s="1232" t="str">
        <f>IF(_xlfn.IFERROR(INDEX(Административные!$K$26:$L$65,MATCH($F68&amp;"5komm",Административные!$K$26:$K$65,0),2),"")=0,"",_xlfn.IFERROR(INDEX(Административные!$K$26:$L$65,MATCH($F68&amp;"5komm",Административные!$K$26:$K$65,0),2),""))</f>
        <v/>
      </c>
      <c r="BP68" s="1229"/>
      <c r="BQ68" s="1256"/>
      <c r="BR68" s="1256"/>
      <c r="BS68" s="1039" t="s">
        <v>1657</v>
      </c>
      <c r="BT68" s="1041"/>
      <c r="BU68" s="1041"/>
      <c r="BV68" s="956"/>
      <c r="BW68" s="956"/>
    </row>
    <row customHeight="1" ht="14.625" hidden="1">
      <c r="A69" s="1256"/>
      <c r="B69" s="955"/>
      <c r="C69" s="1256"/>
      <c r="D69" s="1256"/>
      <c r="E69" s="679">
        <v>15</v>
      </c>
      <c r="F69" s="50" cm="1" t="str">
        <f t="array" ref="F69:F69">OFFSET(E69,-1,1)</f>
        <v>0</v>
      </c>
      <c r="G69" s="49" t="s">
        <v>1114</v>
      </c>
      <c r="H69" s="344"/>
      <c r="I69" s="344" t="s">
        <v>1861</v>
      </c>
      <c r="J69" s="1256"/>
      <c r="K69" s="344" t="s">
        <v>1861</v>
      </c>
      <c r="L69" s="957" t="s">
        <v>1098</v>
      </c>
      <c r="M69" s="73"/>
      <c r="N69" s="1256"/>
      <c r="O69" s="1256"/>
      <c r="P69" s="1256"/>
      <c r="Q69" s="124" t="s">
        <v>2058</v>
      </c>
      <c r="R69" s="127" t="s">
        <v>2058</v>
      </c>
      <c r="S69" s="1256"/>
      <c r="T69" s="438" cm="1" t="str">
        <f t="array" ref="T69:T69">T68</f>
        <v>false</v>
      </c>
      <c r="U69" s="1256"/>
      <c r="V69" s="1256"/>
      <c r="W69" s="1256"/>
      <c r="X69" s="1511"/>
      <c r="Y69" s="1256"/>
      <c r="Z69" s="1494"/>
      <c r="AA69" s="1256"/>
      <c r="AB69" s="265" t="s">
        <v>1862</v>
      </c>
      <c r="AC69" s="741" t="s">
        <v>1863</v>
      </c>
      <c r="AD69" s="266" t="s">
        <v>789</v>
      </c>
      <c r="AE69" s="920">
        <f>SUM(AE70:AE72)</f>
        <v>0</v>
      </c>
      <c r="AF69" s="920">
        <f>SUM(AF70:AF72)</f>
        <v>0</v>
      </c>
      <c r="AG69" s="920">
        <f>SUM(AG70:AG72)</f>
        <v>0</v>
      </c>
      <c r="AH69" s="920">
        <f>AG69-AF69</f>
        <v>0</v>
      </c>
      <c r="AI69" s="3690">
        <f>SUM(AI70:AI72)</f>
        <v>0</v>
      </c>
      <c r="AJ69" s="3685"/>
      <c r="AK69" s="919"/>
      <c r="AL69" s="919"/>
      <c r="AM69" s="919"/>
      <c r="AN69" s="919"/>
      <c r="AO69" s="919"/>
      <c r="AP69" s="919"/>
      <c r="AQ69" s="919"/>
      <c r="AR69" s="919"/>
      <c r="AS69" s="919"/>
      <c r="AT69" s="919"/>
      <c r="AU69" s="919"/>
      <c r="AV69" s="919"/>
      <c r="AW69" s="919"/>
      <c r="AX69" s="919"/>
      <c r="AY69" s="919"/>
      <c r="AZ69" s="919"/>
      <c r="BA69" s="919"/>
      <c r="BB69" s="919"/>
      <c r="BC69" s="919"/>
      <c r="BD69" s="919"/>
      <c r="BE69" s="919"/>
      <c r="BF69" s="919"/>
      <c r="BG69" s="919"/>
      <c r="BH69" s="919"/>
      <c r="BI69" s="919"/>
      <c r="BJ69" s="919"/>
      <c r="BK69" s="919"/>
      <c r="BL69" s="919"/>
      <c r="BM69" s="919"/>
      <c r="BN69" s="1229"/>
      <c r="BO69" s="1232" t="str">
        <f>IF(_xlfn.IFERROR(INDEX(Административные!$K$26:$L$65,MATCH($F69&amp;"6komm",Административные!$K$26:$K$65,0),2),"")=0,"",_xlfn.IFERROR(INDEX(Административные!$K$26:$L$65,MATCH($F69&amp;"6komm",Административные!$K$26:$K$65,0),2),""))</f>
        <v/>
      </c>
      <c r="BP69" s="1229"/>
      <c r="BQ69" s="1256"/>
      <c r="BR69" s="1256"/>
      <c r="BS69" s="1039" t="s">
        <v>1659</v>
      </c>
      <c r="BT69" s="1041"/>
      <c r="BU69" s="1041"/>
      <c r="BV69" s="956"/>
      <c r="BW69" s="956"/>
    </row>
    <row customHeight="1" ht="14.625" hidden="1">
      <c r="A70" s="1256"/>
      <c r="B70" s="955"/>
      <c r="C70" s="1256"/>
      <c r="D70" s="1256"/>
      <c r="E70" s="679">
        <v>15</v>
      </c>
      <c r="F70" s="50" cm="1" t="str">
        <f t="array" ref="F70:F70">OFFSET(E70,-1,1)</f>
        <v>0</v>
      </c>
      <c r="G70" s="49" t="s">
        <v>1116</v>
      </c>
      <c r="H70" s="344"/>
      <c r="I70" s="344" t="s">
        <v>1864</v>
      </c>
      <c r="J70" s="1256"/>
      <c r="K70" s="344" t="s">
        <v>1864</v>
      </c>
      <c r="L70" s="957" t="s">
        <v>1660</v>
      </c>
      <c r="M70" s="73"/>
      <c r="N70" s="1256"/>
      <c r="O70" s="1256"/>
      <c r="P70" s="1256"/>
      <c r="Q70" s="124" t="s">
        <v>2058</v>
      </c>
      <c r="R70" s="127" t="s">
        <v>2058</v>
      </c>
      <c r="S70" s="1256"/>
      <c r="T70" s="438" cm="1" t="str">
        <f t="array" ref="T70:T70">T69</f>
        <v>false</v>
      </c>
      <c r="U70" s="1256"/>
      <c r="V70" s="1256"/>
      <c r="W70" s="1256"/>
      <c r="X70" s="1511"/>
      <c r="Y70" s="1256"/>
      <c r="Z70" s="1494"/>
      <c r="AA70" s="1256"/>
      <c r="AB70" s="265" t="s">
        <v>1865</v>
      </c>
      <c r="AC70" s="744" t="s">
        <v>1662</v>
      </c>
      <c r="AD70" s="266" t="s">
        <v>789</v>
      </c>
      <c r="AE70" s="1231"/>
      <c r="AF70" s="1231"/>
      <c r="AG70" s="1231"/>
      <c r="AH70" s="920">
        <f>AG70-AF70</f>
        <v>0</v>
      </c>
      <c r="AI70" s="3692"/>
      <c r="AJ70" s="3685"/>
      <c r="AK70" s="919"/>
      <c r="AL70" s="919"/>
      <c r="AM70" s="919"/>
      <c r="AN70" s="919"/>
      <c r="AO70" s="919"/>
      <c r="AP70" s="919"/>
      <c r="AQ70" s="919"/>
      <c r="AR70" s="919"/>
      <c r="AS70" s="919"/>
      <c r="AT70" s="919"/>
      <c r="AU70" s="919"/>
      <c r="AV70" s="919"/>
      <c r="AW70" s="919"/>
      <c r="AX70" s="919"/>
      <c r="AY70" s="919"/>
      <c r="AZ70" s="919"/>
      <c r="BA70" s="919"/>
      <c r="BB70" s="919"/>
      <c r="BC70" s="919"/>
      <c r="BD70" s="919"/>
      <c r="BE70" s="919"/>
      <c r="BF70" s="919"/>
      <c r="BG70" s="919"/>
      <c r="BH70" s="919"/>
      <c r="BI70" s="919"/>
      <c r="BJ70" s="919"/>
      <c r="BK70" s="919"/>
      <c r="BL70" s="919"/>
      <c r="BM70" s="919"/>
      <c r="BN70" s="1229"/>
      <c r="BO70" s="1232" t="str">
        <f>IF(_xlfn.IFERROR(INDEX(Административные!$K$26:$L$65,MATCH($F70&amp;"7komm",Административные!$K$26:$K$65,0),2),"")=0,"",_xlfn.IFERROR(INDEX(Административные!$K$26:$L$65,MATCH($F70&amp;"7komm",Административные!$K$26:$K$65,0),2),""))</f>
        <v/>
      </c>
      <c r="BP70" s="1229"/>
      <c r="BQ70" s="1256"/>
      <c r="BR70" s="1256"/>
      <c r="BS70" s="1039" t="s">
        <v>1663</v>
      </c>
      <c r="BT70" s="1041"/>
      <c r="BU70" s="1041"/>
      <c r="BV70" s="956"/>
      <c r="BW70" s="956"/>
    </row>
    <row customHeight="1" ht="14.625" hidden="1">
      <c r="A71" s="1256"/>
      <c r="B71" s="955"/>
      <c r="C71" s="1256"/>
      <c r="D71" s="1256"/>
      <c r="E71" s="679">
        <v>15</v>
      </c>
      <c r="F71" s="50" cm="1" t="str">
        <f t="array" ref="F71:F71">OFFSET(E71,-1,1)</f>
        <v>0</v>
      </c>
      <c r="G71" s="49" t="s">
        <v>1119</v>
      </c>
      <c r="H71" s="344"/>
      <c r="I71" s="344" t="s">
        <v>1866</v>
      </c>
      <c r="J71" s="1256"/>
      <c r="K71" s="344" t="s">
        <v>1866</v>
      </c>
      <c r="L71" s="957" t="s">
        <v>1664</v>
      </c>
      <c r="M71" s="73"/>
      <c r="N71" s="1256"/>
      <c r="O71" s="1256"/>
      <c r="P71" s="1256"/>
      <c r="Q71" s="124" t="s">
        <v>2058</v>
      </c>
      <c r="R71" s="127" t="s">
        <v>2058</v>
      </c>
      <c r="S71" s="1256"/>
      <c r="T71" s="438" cm="1" t="str">
        <f t="array" ref="T71:T71">T70</f>
        <v>false</v>
      </c>
      <c r="U71" s="1256"/>
      <c r="V71" s="1256"/>
      <c r="W71" s="1256"/>
      <c r="X71" s="1511"/>
      <c r="Y71" s="1256"/>
      <c r="Z71" s="1494"/>
      <c r="AA71" s="1256"/>
      <c r="AB71" s="265" t="s">
        <v>1867</v>
      </c>
      <c r="AC71" s="744" t="s">
        <v>1120</v>
      </c>
      <c r="AD71" s="266" t="s">
        <v>789</v>
      </c>
      <c r="AE71" s="1231"/>
      <c r="AF71" s="1231"/>
      <c r="AG71" s="1231"/>
      <c r="AH71" s="920">
        <f>AG71-AF71</f>
        <v>0</v>
      </c>
      <c r="AI71" s="3692"/>
      <c r="AJ71" s="3685"/>
      <c r="AK71" s="919"/>
      <c r="AL71" s="919"/>
      <c r="AM71" s="919"/>
      <c r="AN71" s="919"/>
      <c r="AO71" s="919"/>
      <c r="AP71" s="919"/>
      <c r="AQ71" s="919"/>
      <c r="AR71" s="919"/>
      <c r="AS71" s="919"/>
      <c r="AT71" s="919"/>
      <c r="AU71" s="919"/>
      <c r="AV71" s="919"/>
      <c r="AW71" s="919"/>
      <c r="AX71" s="919"/>
      <c r="AY71" s="919"/>
      <c r="AZ71" s="919"/>
      <c r="BA71" s="919"/>
      <c r="BB71" s="919"/>
      <c r="BC71" s="919"/>
      <c r="BD71" s="919"/>
      <c r="BE71" s="919"/>
      <c r="BF71" s="919"/>
      <c r="BG71" s="919"/>
      <c r="BH71" s="919"/>
      <c r="BI71" s="919"/>
      <c r="BJ71" s="919"/>
      <c r="BK71" s="919"/>
      <c r="BL71" s="919"/>
      <c r="BM71" s="919"/>
      <c r="BN71" s="1229"/>
      <c r="BO71" s="1232" t="str">
        <f>IF(_xlfn.IFERROR(INDEX(Административные!$K$26:$L$65,MATCH($F71&amp;"8komm",Административные!$K$26:$K$65,0),2),"")=0,"",_xlfn.IFERROR(INDEX(Административные!$K$26:$L$65,MATCH($F71&amp;"8komm",Административные!$K$26:$K$65,0),2),""))</f>
        <v/>
      </c>
      <c r="BP71" s="1229"/>
      <c r="BQ71" s="1256"/>
      <c r="BR71" s="1256"/>
      <c r="BS71" s="1039" t="s">
        <v>1666</v>
      </c>
      <c r="BT71" s="1041"/>
      <c r="BU71" s="1041"/>
      <c r="BV71" s="956"/>
      <c r="BW71" s="956"/>
    </row>
    <row customHeight="1" ht="14.625" hidden="1">
      <c r="A72" s="1256"/>
      <c r="B72" s="955"/>
      <c r="C72" s="1256"/>
      <c r="D72" s="1256"/>
      <c r="E72" s="679">
        <v>15</v>
      </c>
      <c r="F72" s="50" cm="1" t="str">
        <f t="array" ref="F72:F72">OFFSET(E72,-1,1)</f>
        <v>0</v>
      </c>
      <c r="G72" s="124" t="s">
        <v>1122</v>
      </c>
      <c r="H72" s="344"/>
      <c r="I72" s="344" t="s">
        <v>1868</v>
      </c>
      <c r="J72" s="1256"/>
      <c r="K72" s="344" t="s">
        <v>1868</v>
      </c>
      <c r="L72" s="957" t="s">
        <v>1667</v>
      </c>
      <c r="M72" s="73"/>
      <c r="N72" s="1256"/>
      <c r="O72" s="1256"/>
      <c r="P72" s="1256"/>
      <c r="Q72" s="124" t="s">
        <v>2058</v>
      </c>
      <c r="R72" s="127" t="s">
        <v>2058</v>
      </c>
      <c r="S72" s="1256"/>
      <c r="T72" s="438" cm="1" t="str">
        <f t="array" ref="T72:T72">T71</f>
        <v>false</v>
      </c>
      <c r="U72" s="1256"/>
      <c r="V72" s="1256"/>
      <c r="W72" s="1256"/>
      <c r="X72" s="1511"/>
      <c r="Y72" s="1256"/>
      <c r="Z72" s="1494"/>
      <c r="AA72" s="1256"/>
      <c r="AB72" s="265" t="s">
        <v>1869</v>
      </c>
      <c r="AC72" s="744" t="s">
        <v>1123</v>
      </c>
      <c r="AD72" s="266" t="s">
        <v>789</v>
      </c>
      <c r="AE72" s="1231"/>
      <c r="AF72" s="1231"/>
      <c r="AG72" s="1231"/>
      <c r="AH72" s="920">
        <f>AG72-AF72</f>
        <v>0</v>
      </c>
      <c r="AI72" s="3692"/>
      <c r="AJ72" s="1332"/>
      <c r="AK72" s="919"/>
      <c r="AL72" s="919"/>
      <c r="AM72" s="919"/>
      <c r="AN72" s="919"/>
      <c r="AO72" s="919"/>
      <c r="AP72" s="919"/>
      <c r="AQ72" s="919"/>
      <c r="AR72" s="919"/>
      <c r="AS72" s="919"/>
      <c r="AT72" s="919"/>
      <c r="AU72" s="919"/>
      <c r="AV72" s="919"/>
      <c r="AW72" s="919"/>
      <c r="AX72" s="919"/>
      <c r="AY72" s="919"/>
      <c r="AZ72" s="919"/>
      <c r="BA72" s="919"/>
      <c r="BB72" s="919"/>
      <c r="BC72" s="919"/>
      <c r="BD72" s="919"/>
      <c r="BE72" s="919"/>
      <c r="BF72" s="919"/>
      <c r="BG72" s="919"/>
      <c r="BH72" s="919"/>
      <c r="BI72" s="919"/>
      <c r="BJ72" s="919"/>
      <c r="BK72" s="919"/>
      <c r="BL72" s="919"/>
      <c r="BM72" s="919"/>
      <c r="BN72" s="1229"/>
      <c r="BO72" s="1232" t="str">
        <f>IF(_xlfn.IFERROR(INDEX(Административные!$K$26:$L$65,MATCH($F72&amp;"9komm",Административные!$K$26:$K$65,0),2),"")=0,"",_xlfn.IFERROR(INDEX(Административные!$K$26:$L$65,MATCH($F72&amp;"9komm",Административные!$K$26:$K$65,0),2),""))</f>
        <v/>
      </c>
      <c r="BP72" s="1229"/>
      <c r="BQ72" s="1256"/>
      <c r="BR72" s="1256"/>
      <c r="BS72" s="1039" t="s">
        <v>1669</v>
      </c>
      <c r="BT72" s="1041"/>
      <c r="BU72" s="1041"/>
      <c r="BV72" s="956"/>
      <c r="BW72" s="956"/>
    </row>
    <row customHeight="1" ht="21.9375" hidden="1">
      <c r="A73" s="1256"/>
      <c r="B73" s="404">
        <f>STATUS_GO="да"</f>
        <v>0</v>
      </c>
      <c r="C73" s="1256"/>
      <c r="D73" s="1256"/>
      <c r="E73" s="679">
        <v>22.5</v>
      </c>
      <c r="F73" s="50" cm="1" t="str">
        <f t="array" ref="F73:F73">OFFSET(E73,-1,1)</f>
        <v>0</v>
      </c>
      <c r="G73" s="1256"/>
      <c r="H73" s="344"/>
      <c r="I73" s="344" t="s">
        <v>856</v>
      </c>
      <c r="J73" s="1256"/>
      <c r="K73" s="344" t="s">
        <v>856</v>
      </c>
      <c r="L73" s="957" t="s">
        <v>325</v>
      </c>
      <c r="M73" s="73"/>
      <c r="N73" s="1256"/>
      <c r="O73" s="1256"/>
      <c r="P73" s="1256"/>
      <c r="Q73" s="124" t="s">
        <v>2058</v>
      </c>
      <c r="R73" s="127" t="s">
        <v>2058</v>
      </c>
      <c r="S73" s="1256"/>
      <c r="T73" s="438" cm="1" t="str">
        <f t="array" ref="T73:T73">T72</f>
        <v>false</v>
      </c>
      <c r="U73" s="1256"/>
      <c r="V73" s="1256"/>
      <c r="W73" s="1256"/>
      <c r="X73" s="1511"/>
      <c r="Y73" s="1256"/>
      <c r="Z73" s="1494"/>
      <c r="AA73" s="1256"/>
      <c r="AB73" s="265" t="s">
        <v>857</v>
      </c>
      <c r="AC73" s="738" t="s">
        <v>1870</v>
      </c>
      <c r="AD73" s="266" t="s">
        <v>789</v>
      </c>
      <c r="AE73" s="1231"/>
      <c r="AF73" s="1231"/>
      <c r="AG73" s="1231"/>
      <c r="AH73" s="920">
        <f>AG73-AF73</f>
        <v>0</v>
      </c>
      <c r="AI73" s="3692"/>
      <c r="AJ73" s="3685"/>
      <c r="AK73" s="919"/>
      <c r="AL73" s="919"/>
      <c r="AM73" s="919"/>
      <c r="AN73" s="919"/>
      <c r="AO73" s="919"/>
      <c r="AP73" s="919"/>
      <c r="AQ73" s="919"/>
      <c r="AR73" s="919"/>
      <c r="AS73" s="919"/>
      <c r="AT73" s="919"/>
      <c r="AU73" s="919"/>
      <c r="AV73" s="919"/>
      <c r="AW73" s="919"/>
      <c r="AX73" s="919"/>
      <c r="AY73" s="919"/>
      <c r="AZ73" s="919"/>
      <c r="BA73" s="919"/>
      <c r="BB73" s="919"/>
      <c r="BC73" s="919"/>
      <c r="BD73" s="919"/>
      <c r="BE73" s="919"/>
      <c r="BF73" s="919"/>
      <c r="BG73" s="919"/>
      <c r="BH73" s="919"/>
      <c r="BI73" s="919"/>
      <c r="BJ73" s="919"/>
      <c r="BK73" s="919"/>
      <c r="BL73" s="919"/>
      <c r="BM73" s="919"/>
      <c r="BN73" s="1229"/>
      <c r="BO73" s="1229"/>
      <c r="BP73" s="1229"/>
      <c r="BQ73" s="1256"/>
      <c r="BR73" s="1256"/>
      <c r="BS73" s="1040" t="s">
        <v>1671</v>
      </c>
      <c r="BT73" s="1041"/>
      <c r="BU73" s="1041"/>
      <c r="BV73" s="956"/>
      <c r="BW73" s="956"/>
    </row>
    <row customHeight="1" ht="14.625" hidden="1">
      <c r="A74" s="1256"/>
      <c r="B74" s="955"/>
      <c r="C74" s="1256"/>
      <c r="D74" s="1256"/>
      <c r="E74" s="679">
        <v>15</v>
      </c>
      <c r="F74" s="50" cm="1" t="str">
        <f t="array" ref="F74:F74">OFFSET(E74,-1,1)</f>
        <v>0</v>
      </c>
      <c r="G74" s="1256"/>
      <c r="H74" s="344"/>
      <c r="I74" s="344" t="s">
        <v>1609</v>
      </c>
      <c r="J74" s="1256"/>
      <c r="K74" s="344" t="s">
        <v>1609</v>
      </c>
      <c r="L74" s="957"/>
      <c r="M74" s="73"/>
      <c r="N74" s="1256"/>
      <c r="O74" s="1256"/>
      <c r="P74" s="1256"/>
      <c r="Q74" s="124" t="s">
        <v>2058</v>
      </c>
      <c r="R74" s="127" t="s">
        <v>2058</v>
      </c>
      <c r="S74" s="1256"/>
      <c r="T74" s="438" cm="1" t="str">
        <f t="array" ref="T74:T74">T73</f>
        <v>false</v>
      </c>
      <c r="U74" s="1256"/>
      <c r="V74" s="1256"/>
      <c r="W74" s="1256"/>
      <c r="X74" s="1511"/>
      <c r="Y74" s="1256"/>
      <c r="Z74" s="1494"/>
      <c r="AA74" s="1256"/>
      <c r="AB74" s="265" t="s">
        <v>1610</v>
      </c>
      <c r="AC74" s="738" t="s">
        <v>1871</v>
      </c>
      <c r="AD74" s="266" t="s">
        <v>789</v>
      </c>
      <c r="AE74" s="1231"/>
      <c r="AF74" s="1231"/>
      <c r="AG74" s="1231"/>
      <c r="AH74" s="920">
        <f>AG74-AF74</f>
        <v>0</v>
      </c>
      <c r="AI74" s="3692"/>
      <c r="AJ74" s="3685"/>
      <c r="AK74" s="919"/>
      <c r="AL74" s="919"/>
      <c r="AM74" s="919"/>
      <c r="AN74" s="919"/>
      <c r="AO74" s="919"/>
      <c r="AP74" s="919"/>
      <c r="AQ74" s="919"/>
      <c r="AR74" s="919"/>
      <c r="AS74" s="919"/>
      <c r="AT74" s="919"/>
      <c r="AU74" s="919"/>
      <c r="AV74" s="919"/>
      <c r="AW74" s="919"/>
      <c r="AX74" s="919"/>
      <c r="AY74" s="919"/>
      <c r="AZ74" s="919"/>
      <c r="BA74" s="919"/>
      <c r="BB74" s="919"/>
      <c r="BC74" s="919"/>
      <c r="BD74" s="919"/>
      <c r="BE74" s="919"/>
      <c r="BF74" s="919"/>
      <c r="BG74" s="919"/>
      <c r="BH74" s="919"/>
      <c r="BI74" s="919"/>
      <c r="BJ74" s="919"/>
      <c r="BK74" s="919"/>
      <c r="BL74" s="919"/>
      <c r="BM74" s="919"/>
      <c r="BN74" s="1229"/>
      <c r="BO74" s="1229"/>
      <c r="BP74" s="1229"/>
      <c r="BQ74" s="1256"/>
      <c r="BR74" s="1256"/>
      <c r="BS74" s="1041" t="s">
        <v>1872</v>
      </c>
      <c r="BT74" s="1041"/>
      <c r="BU74" s="1041"/>
      <c r="BV74" s="956"/>
      <c r="BW74" s="956"/>
    </row>
    <row s="676" customFormat="1" customHeight="1" ht="20.475" hidden="1">
      <c r="A75" s="676"/>
      <c r="B75" s="407"/>
      <c r="C75" s="676"/>
      <c r="D75" s="676"/>
      <c r="E75" s="683">
        <v>21</v>
      </c>
      <c r="F75" s="50" cm="1" t="str">
        <f t="array" ref="F75:F75">OFFSET(E75,-1,1)</f>
        <v>0</v>
      </c>
      <c r="G75" s="676"/>
      <c r="H75" s="344"/>
      <c r="I75" s="344" t="s">
        <v>1613</v>
      </c>
      <c r="J75" s="676"/>
      <c r="K75" s="344" t="s">
        <v>1613</v>
      </c>
      <c r="L75" s="962"/>
      <c r="M75" s="75"/>
      <c r="N75" s="676"/>
      <c r="O75" s="676"/>
      <c r="P75" s="676"/>
      <c r="Q75" s="124" t="s">
        <v>2058</v>
      </c>
      <c r="R75" s="127" t="s">
        <v>2058</v>
      </c>
      <c r="S75" s="676"/>
      <c r="T75" s="438" cm="1" t="str">
        <f t="array" ref="T75:T75">T74</f>
        <v>false</v>
      </c>
      <c r="U75" s="676"/>
      <c r="V75" s="676"/>
      <c r="W75" s="676"/>
      <c r="X75" s="1511"/>
      <c r="Y75" s="676"/>
      <c r="Z75" s="1494"/>
      <c r="AA75" s="676"/>
      <c r="AB75" s="184" t="s">
        <v>1614</v>
      </c>
      <c r="AC75" s="327" t="s">
        <v>1873</v>
      </c>
      <c r="AD75" s="177" t="s">
        <v>789</v>
      </c>
      <c r="AE75" s="746">
        <f>SUM(AE76:AE77)</f>
        <v>0</v>
      </c>
      <c r="AF75" s="746">
        <f>SUM(AF76:AF77)</f>
        <v>0</v>
      </c>
      <c r="AG75" s="746">
        <f>SUM(AG76:AG77)</f>
        <v>0</v>
      </c>
      <c r="AH75" s="737">
        <f>AG75-AF75</f>
        <v>0</v>
      </c>
      <c r="AI75" s="3698">
        <f>SUM(AI76:AI77)</f>
        <v>0</v>
      </c>
      <c r="AJ75" s="3685"/>
      <c r="AK75" s="740"/>
      <c r="AL75" s="740"/>
      <c r="AM75" s="740"/>
      <c r="AN75" s="740"/>
      <c r="AO75" s="740"/>
      <c r="AP75" s="740"/>
      <c r="AQ75" s="740"/>
      <c r="AR75" s="740"/>
      <c r="AS75" s="740"/>
      <c r="AT75" s="919"/>
      <c r="AU75" s="919"/>
      <c r="AV75" s="740"/>
      <c r="AW75" s="740"/>
      <c r="AX75" s="740"/>
      <c r="AY75" s="740"/>
      <c r="AZ75" s="740"/>
      <c r="BA75" s="740"/>
      <c r="BB75" s="740"/>
      <c r="BC75" s="740"/>
      <c r="BD75" s="740"/>
      <c r="BE75" s="740"/>
      <c r="BF75" s="740"/>
      <c r="BG75" s="740"/>
      <c r="BH75" s="740"/>
      <c r="BI75" s="740"/>
      <c r="BJ75" s="740"/>
      <c r="BK75" s="740"/>
      <c r="BL75" s="740"/>
      <c r="BM75" s="740"/>
      <c r="BN75" s="1225"/>
      <c r="BO75" s="1225"/>
      <c r="BP75" s="1225"/>
      <c r="BQ75" s="676"/>
      <c r="BR75" s="676"/>
      <c r="BS75" s="1047" t="s">
        <v>1874</v>
      </c>
      <c r="BT75" s="1047"/>
      <c r="BU75" s="1047"/>
      <c r="BV75" s="683"/>
      <c r="BW75" s="683"/>
    </row>
    <row customHeight="1" ht="14.625" hidden="1">
      <c r="A76" s="1256"/>
      <c r="B76" s="955"/>
      <c r="C76" s="1256"/>
      <c r="D76" s="1256"/>
      <c r="E76" s="679">
        <v>15</v>
      </c>
      <c r="F76" s="50" cm="1" t="str">
        <f t="array" ref="F76:F76">OFFSET(E76,-1,1)</f>
        <v>0</v>
      </c>
      <c r="G76" s="1256"/>
      <c r="H76" s="1256"/>
      <c r="I76" s="344" t="s">
        <v>1613</v>
      </c>
      <c r="J76" s="124" cm="1" t="str">
        <f t="array" ref="J76:J76">AC76</f>
        <v>0</v>
      </c>
      <c r="K76" s="344" t="s">
        <v>1613</v>
      </c>
      <c r="L76" s="957"/>
      <c r="M76" s="73"/>
      <c r="N76" s="1256"/>
      <c r="O76" s="1256"/>
      <c r="P76" s="1256"/>
      <c r="Q76" s="124" t="s">
        <v>2058</v>
      </c>
      <c r="R76" s="127" t="s">
        <v>2058</v>
      </c>
      <c r="S76" s="1256"/>
      <c r="T76" s="438">
        <f>AND(F76&gt;0,Y76&gt;0)</f>
        <v>0</v>
      </c>
      <c r="U76" s="1256"/>
      <c r="V76" s="1256"/>
      <c r="W76" s="124" t="s">
        <v>172</v>
      </c>
      <c r="X76" s="1511"/>
      <c r="Y76" s="124">
        <v>0</v>
      </c>
      <c r="Z76" s="1494"/>
      <c r="AA76" s="392" t="s">
        <v>173</v>
      </c>
      <c r="AB76" s="266" t="str">
        <f>"1.7."&amp;Y76</f>
        <v>1.7.0</v>
      </c>
      <c r="AC76" s="1221"/>
      <c r="AD76" s="266" t="s">
        <v>789</v>
      </c>
      <c r="AE76" s="1233"/>
      <c r="AF76" s="1233"/>
      <c r="AG76" s="1233"/>
      <c r="AH76" s="225">
        <f>AG76-AF76</f>
        <v>0</v>
      </c>
      <c r="AI76" s="3700"/>
      <c r="AJ76" s="3701"/>
      <c r="AK76" s="922"/>
      <c r="AL76" s="922"/>
      <c r="AM76" s="922"/>
      <c r="AN76" s="922"/>
      <c r="AO76" s="922"/>
      <c r="AP76" s="922"/>
      <c r="AQ76" s="922"/>
      <c r="AR76" s="922"/>
      <c r="AS76" s="922"/>
      <c r="AT76" s="919"/>
      <c r="AU76" s="922"/>
      <c r="AV76" s="922"/>
      <c r="AW76" s="922"/>
      <c r="AX76" s="922"/>
      <c r="AY76" s="922"/>
      <c r="AZ76" s="922"/>
      <c r="BA76" s="922"/>
      <c r="BB76" s="922"/>
      <c r="BC76" s="922"/>
      <c r="BD76" s="740"/>
      <c r="BE76" s="922"/>
      <c r="BF76" s="922"/>
      <c r="BG76" s="922"/>
      <c r="BH76" s="922"/>
      <c r="BI76" s="922"/>
      <c r="BJ76" s="922"/>
      <c r="BK76" s="922"/>
      <c r="BL76" s="922"/>
      <c r="BM76" s="922"/>
      <c r="BN76" s="1234"/>
      <c r="BO76" s="1234"/>
      <c r="BP76" s="1234"/>
      <c r="BQ76" s="1256"/>
      <c r="BR76" s="1256"/>
      <c r="BS76" s="1041" t="s">
        <v>1874</v>
      </c>
      <c r="BT76" s="1041" t="s">
        <v>1875</v>
      </c>
      <c r="BU76" s="1041" cm="1" t="str">
        <f t="array" ref="BU76:BU76">AC76</f>
        <v>0</v>
      </c>
      <c r="BV76" s="956"/>
      <c r="BW76" s="679" t="b">
        <v>1</v>
      </c>
    </row>
    <row customHeight="1" ht="14.625" hidden="1">
      <c r="A77" s="1256"/>
      <c r="B77" s="955"/>
      <c r="C77" s="1256"/>
      <c r="D77" s="1256"/>
      <c r="E77" s="679">
        <v>15</v>
      </c>
      <c r="F77" s="50" cm="1" t="str">
        <f t="array" ref="F77:F77">OFFSET(E77,-1,1)</f>
        <v>0</v>
      </c>
      <c r="G77" s="330"/>
      <c r="H77" s="1256"/>
      <c r="I77" s="1256"/>
      <c r="J77" s="124" t="s">
        <v>1876</v>
      </c>
      <c r="K77" s="1256"/>
      <c r="L77" s="957"/>
      <c r="M77" s="73"/>
      <c r="N77" s="1256"/>
      <c r="O77" s="1256"/>
      <c r="P77" s="1256"/>
      <c r="Q77" s="1256"/>
      <c r="R77" s="1256"/>
      <c r="S77" s="1256"/>
      <c r="T77" s="438">
        <f>F77&gt;0</f>
        <v>0</v>
      </c>
      <c r="U77" s="1256"/>
      <c r="V77" s="1256"/>
      <c r="W77" s="678" t="s">
        <v>2059</v>
      </c>
      <c r="X77" s="1511"/>
      <c r="Y77" s="1256"/>
      <c r="Z77" s="1494"/>
      <c r="AA77" s="1256"/>
      <c r="AB77" s="751"/>
      <c r="AC77" s="226" t="s">
        <v>176</v>
      </c>
      <c r="AD77" s="752"/>
      <c r="AE77" s="752"/>
      <c r="AF77" s="752"/>
      <c r="AG77" s="752"/>
      <c r="AH77" s="752"/>
      <c r="AI77" s="752"/>
      <c r="AJ77" s="752"/>
      <c r="AK77" s="752"/>
      <c r="AL77" s="752"/>
      <c r="AM77" s="752"/>
      <c r="AN77" s="752"/>
      <c r="AO77" s="752"/>
      <c r="AP77" s="752"/>
      <c r="AQ77" s="752"/>
      <c r="AR77" s="752"/>
      <c r="AS77" s="752"/>
      <c r="AT77" s="752"/>
      <c r="AU77" s="752"/>
      <c r="AV77" s="752"/>
      <c r="AW77" s="752"/>
      <c r="AX77" s="752"/>
      <c r="AY77" s="752"/>
      <c r="AZ77" s="752"/>
      <c r="BA77" s="752"/>
      <c r="BB77" s="752"/>
      <c r="BC77" s="752"/>
      <c r="BD77" s="752"/>
      <c r="BE77" s="752"/>
      <c r="BF77" s="752"/>
      <c r="BG77" s="752"/>
      <c r="BH77" s="752"/>
      <c r="BI77" s="752"/>
      <c r="BJ77" s="752"/>
      <c r="BK77" s="752"/>
      <c r="BL77" s="752"/>
      <c r="BM77" s="752"/>
      <c r="BN77" s="752"/>
      <c r="BO77" s="752"/>
      <c r="BP77" s="753"/>
      <c r="BQ77" s="1256"/>
      <c r="BR77" s="1256"/>
      <c r="BS77" s="1041"/>
      <c r="BT77" s="1041"/>
      <c r="BU77" s="1041"/>
      <c r="BV77" s="679" t="s">
        <v>1875</v>
      </c>
      <c r="BW77" s="956"/>
    </row>
    <row s="676" customFormat="1" customHeight="1" ht="20.475" hidden="1">
      <c r="A78" s="676"/>
      <c r="B78" s="407"/>
      <c r="C78" s="676"/>
      <c r="D78" s="676"/>
      <c r="E78" s="683">
        <v>21</v>
      </c>
      <c r="F78" s="50" cm="1" t="str">
        <f t="array" ref="F78:F78">OFFSET(E78,-1,1)</f>
        <v>0</v>
      </c>
      <c r="G78" s="676"/>
      <c r="H78" s="124"/>
      <c r="I78" s="124" t="s">
        <v>322</v>
      </c>
      <c r="J78" s="676"/>
      <c r="K78" s="124" t="s">
        <v>322</v>
      </c>
      <c r="L78" s="962"/>
      <c r="M78" s="75"/>
      <c r="N78" s="676"/>
      <c r="O78" s="676"/>
      <c r="P78" s="676"/>
      <c r="Q78" s="676"/>
      <c r="R78" s="676"/>
      <c r="S78" s="676"/>
      <c r="T78" s="438" cm="1" t="str">
        <f t="array" ref="T78:T78">T77</f>
        <v>false</v>
      </c>
      <c r="U78" s="676"/>
      <c r="V78" s="676"/>
      <c r="W78" s="676"/>
      <c r="X78" s="1511"/>
      <c r="Y78" s="676"/>
      <c r="Z78" s="1494"/>
      <c r="AA78" s="676"/>
      <c r="AB78" s="213" t="s">
        <v>504</v>
      </c>
      <c r="AC78" s="178" t="s">
        <v>1877</v>
      </c>
      <c r="AD78" s="200" t="s">
        <v>789</v>
      </c>
      <c r="AE78" s="179">
        <f>AE79+AE91+AE92++AE103+AE104+AE105+AE107+AE108+AE109+AE110+AE113</f>
        <v>0</v>
      </c>
      <c r="AF78" s="179">
        <f>AF79+AF91+AF92++AF103+AF104+AF105+AF107+AF108+AF109+AF110+AF113</f>
        <v>0</v>
      </c>
      <c r="AG78" s="179">
        <f>AG79+AG91+AG92++AG103+AG104+AG105+AG107+AG108+AG109+AG110+AG113</f>
        <v>0</v>
      </c>
      <c r="AH78" s="737">
        <f>AG78-AF78</f>
        <v>0</v>
      </c>
      <c r="AI78" s="746">
        <f>AI79+AI91+AI92++AI103+AI104+AI105+AI107+AI108+AI109+AI110+AI113</f>
        <v>0</v>
      </c>
      <c r="AJ78" s="746">
        <f>AJ79+AJ91+AJ92++AJ103+AJ104+AJ105+AJ107+AJ108+AJ109+AJ110+AJ113</f>
        <v>0</v>
      </c>
      <c r="AK78" s="746">
        <f>AK79+AK91+AK92++AK103+AK104+AK105+AK107+AK108+AK109+AK110+AK113</f>
        <v>0</v>
      </c>
      <c r="AL78" s="746">
        <f>AL79+AL91+AL92++AL103+AL104+AL105+AL107+AL108+AL109+AL110+AL113</f>
        <v>0</v>
      </c>
      <c r="AM78" s="746">
        <f>AM79+AM91+AM92++AM103+AM104+AM105+AM107+AM108+AM109+AM110+AM113</f>
        <v>0</v>
      </c>
      <c r="AN78" s="746">
        <f>AN79+AN91+AN92++AN103+AN104+AN105+AN107+AN108+AN109+AN110+AN113</f>
        <v>0</v>
      </c>
      <c r="AO78" s="746">
        <f>AO79+AO91+AO92++AO103+AO104+AO105+AO107+AO108+AO109+AO110+AO113</f>
        <v>0</v>
      </c>
      <c r="AP78" s="746">
        <f>AP79+AP91+AP92++AP103+AP104+AP105+AP107+AP108+AP109+AP110+AP113</f>
        <v>0</v>
      </c>
      <c r="AQ78" s="746">
        <f>AQ79+AQ91+AQ92++AQ103+AQ104+AQ105+AQ107+AQ108+AQ109+AQ110+AQ113</f>
        <v>0</v>
      </c>
      <c r="AR78" s="746">
        <f>AR79+AR91+AR92++AR103+AR104+AR105+AR107+AR108+AR109+AR110+AR113</f>
        <v>0</v>
      </c>
      <c r="AS78" s="746">
        <f>AS79+AS91+AS92++AS103+AS104+AS105+AS107+AS108+AS109+AS110+AS113</f>
        <v>0</v>
      </c>
      <c r="AT78" s="746">
        <f>AT79+AT91+AT92++AT103+AT104+AT105+AT107+AT108+AT109+AT110+AT113</f>
        <v>0</v>
      </c>
      <c r="AU78" s="746">
        <f>AU79+AU91+AU92++AU103+AU104+AU105+AU107+AU108+AU109+AU110+AU113</f>
        <v>0</v>
      </c>
      <c r="AV78" s="746">
        <f>AV79+AV91+AV92++AV103+AV104+AV105+AV107+AV108+AV109+AV110+AV113</f>
        <v>0</v>
      </c>
      <c r="AW78" s="746">
        <f>AW79+AW91+AW92++AW103+AW104+AW105+AW107+AW108+AW109+AW110+AW113</f>
        <v>0</v>
      </c>
      <c r="AX78" s="746">
        <f>AX79+AX91+AX92++AX103+AX104+AX105+AX107+AX108+AX109+AX110+AX113</f>
        <v>0</v>
      </c>
      <c r="AY78" s="746">
        <f>AY79+AY91+AY92++AY103+AY104+AY105+AY107+AY108+AY109+AY110+AY113</f>
        <v>0</v>
      </c>
      <c r="AZ78" s="746">
        <f>AZ79+AZ91+AZ92++AZ103+AZ104+AZ105+AZ107+AZ108+AZ109+AZ110+AZ113</f>
        <v>0</v>
      </c>
      <c r="BA78" s="746">
        <f>BA79+BA91+BA92++BA103+BA104+BA105+BA107+BA108+BA109+BA110+BA113</f>
        <v>0</v>
      </c>
      <c r="BB78" s="746">
        <f>BB79+BB91+BB92++BB103+BB104+BB105+BB107+BB108+BB109+BB110+BB113</f>
        <v>0</v>
      </c>
      <c r="BC78" s="746">
        <f>BC79+BC91+BC92++BC103+BC104+BC105+BC107+BC108+BC109+BC110+BC113</f>
        <v>0</v>
      </c>
      <c r="BD78" s="737">
        <f>IF(AI78=0,0,(AT78-AI78)/AI78*100)</f>
        <v>0</v>
      </c>
      <c r="BE78" s="737">
        <f>IF(AT78=0,0,(AU78-AT78)/AT78*100)</f>
        <v>0</v>
      </c>
      <c r="BF78" s="737">
        <f>IF(AU78=0,0,(AV78-AU78)/AU78*100)</f>
        <v>0</v>
      </c>
      <c r="BG78" s="737">
        <f>IF(AV78=0,0,(AW78-AV78)/AV78*100)</f>
        <v>0</v>
      </c>
      <c r="BH78" s="737">
        <f>IF(AW78=0,0,(AX78-AW78)/AW78*100)</f>
        <v>0</v>
      </c>
      <c r="BI78" s="737">
        <f>IF(AX78=0,0,(AY78-AX78)/AX78*100)</f>
        <v>0</v>
      </c>
      <c r="BJ78" s="737">
        <f>IF(AY78=0,0,(AZ78-AY78)/AY78*100)</f>
        <v>0</v>
      </c>
      <c r="BK78" s="737">
        <f>IF(AZ78=0,0,(BA78-AZ78)/AZ78*100)</f>
        <v>0</v>
      </c>
      <c r="BL78" s="737">
        <f>IF(BA78=0,0,(BB78-BA78)/BA78*100)</f>
        <v>0</v>
      </c>
      <c r="BM78" s="737">
        <f>IF(BB78=0,0,(BC78-BB78)/BB78*100)</f>
        <v>0</v>
      </c>
      <c r="BN78" s="1234"/>
      <c r="BO78" s="1234"/>
      <c r="BP78" s="1234"/>
      <c r="BQ78" s="126"/>
      <c r="BR78" s="676"/>
      <c r="BS78" s="1047" t="s">
        <v>1878</v>
      </c>
      <c r="BT78" s="1047"/>
      <c r="BU78" s="1047"/>
      <c r="BV78" s="683"/>
      <c r="BW78" s="683"/>
    </row>
    <row s="676" customFormat="1" customHeight="1" ht="21.9375" hidden="1">
      <c r="A79" s="676"/>
      <c r="B79" s="407"/>
      <c r="C79" s="676"/>
      <c r="D79" s="676"/>
      <c r="E79" s="683">
        <v>22.5</v>
      </c>
      <c r="F79" s="50" cm="1" t="str">
        <f t="array" ref="F79:F79">OFFSET(E79,-1,1)</f>
        <v>0</v>
      </c>
      <c r="G79" s="676"/>
      <c r="H79" s="124"/>
      <c r="I79" s="124" t="s">
        <v>452</v>
      </c>
      <c r="J79" s="676"/>
      <c r="K79" s="124" t="s">
        <v>452</v>
      </c>
      <c r="L79" s="962" t="s">
        <v>438</v>
      </c>
      <c r="M79" s="75"/>
      <c r="N79" s="676"/>
      <c r="O79" s="676"/>
      <c r="P79" s="676"/>
      <c r="Q79" s="676"/>
      <c r="R79" s="676"/>
      <c r="S79" s="676"/>
      <c r="T79" s="438" cm="1" t="str">
        <f t="array" ref="T79:T79">T78</f>
        <v>false</v>
      </c>
      <c r="U79" s="676"/>
      <c r="V79" s="676"/>
      <c r="W79" s="676"/>
      <c r="X79" s="1511"/>
      <c r="Y79" s="676"/>
      <c r="Z79" s="1494"/>
      <c r="AA79" s="676"/>
      <c r="AB79" s="184" t="s">
        <v>509</v>
      </c>
      <c r="AC79" s="327" t="s">
        <v>1879</v>
      </c>
      <c r="AD79" s="177" t="s">
        <v>789</v>
      </c>
      <c r="AE79" s="179">
        <f>SUM(AE80:AE90)</f>
        <v>0</v>
      </c>
      <c r="AF79" s="179">
        <f>SUM(AF80:AF90)</f>
        <v>0</v>
      </c>
      <c r="AG79" s="179">
        <f>SUM(AG80:AG90)</f>
        <v>0</v>
      </c>
      <c r="AH79" s="737">
        <f>AG79-AF79</f>
        <v>0</v>
      </c>
      <c r="AI79" s="179">
        <f>SUM(AI80:AI90)</f>
        <v>0</v>
      </c>
      <c r="AJ79" s="179">
        <f>SUM(AJ80:AJ90)</f>
        <v>0</v>
      </c>
      <c r="AK79" s="179">
        <f>SUM(AK80:AK90)</f>
        <v>0</v>
      </c>
      <c r="AL79" s="179">
        <f>SUM(AL80:AL90)</f>
        <v>0</v>
      </c>
      <c r="AM79" s="179">
        <f>SUM(AM80:AM90)</f>
        <v>0</v>
      </c>
      <c r="AN79" s="179">
        <f>SUM(AN80:AN90)</f>
        <v>0</v>
      </c>
      <c r="AO79" s="179">
        <f>SUM(AO80:AO90)</f>
        <v>0</v>
      </c>
      <c r="AP79" s="179">
        <f>SUM(AP80:AP90)</f>
        <v>0</v>
      </c>
      <c r="AQ79" s="179">
        <f>SUM(AQ80:AQ90)</f>
        <v>0</v>
      </c>
      <c r="AR79" s="179">
        <f>SUM(AR80:AR90)</f>
        <v>0</v>
      </c>
      <c r="AS79" s="179">
        <f>SUM(AS80:AS90)</f>
        <v>0</v>
      </c>
      <c r="AT79" s="179">
        <f>SUM(AT80:AT90)</f>
        <v>0</v>
      </c>
      <c r="AU79" s="179">
        <f>SUM(AU80:AU90)</f>
        <v>0</v>
      </c>
      <c r="AV79" s="179">
        <f>SUM(AV80:AV90)</f>
        <v>0</v>
      </c>
      <c r="AW79" s="179">
        <f>SUM(AW80:AW90)</f>
        <v>0</v>
      </c>
      <c r="AX79" s="179">
        <f>SUM(AX80:AX90)</f>
        <v>0</v>
      </c>
      <c r="AY79" s="179">
        <f>SUM(AY80:AY90)</f>
        <v>0</v>
      </c>
      <c r="AZ79" s="179">
        <f>SUM(AZ80:AZ90)</f>
        <v>0</v>
      </c>
      <c r="BA79" s="179">
        <f>SUM(BA80:BA90)</f>
        <v>0</v>
      </c>
      <c r="BB79" s="179">
        <f>SUM(BB80:BB90)</f>
        <v>0</v>
      </c>
      <c r="BC79" s="179">
        <f>SUM(BC80:BC90)</f>
        <v>0</v>
      </c>
      <c r="BD79" s="737">
        <f>IF(AI79=0,0,(AT79-AI79)/AI79*100)</f>
        <v>0</v>
      </c>
      <c r="BE79" s="737">
        <f>IF(AT79=0,0,(AU79-AT79)/AT79*100)</f>
        <v>0</v>
      </c>
      <c r="BF79" s="737">
        <f>IF(AU79=0,0,(AV79-AU79)/AU79*100)</f>
        <v>0</v>
      </c>
      <c r="BG79" s="737">
        <f>IF(AV79=0,0,(AW79-AV79)/AV79*100)</f>
        <v>0</v>
      </c>
      <c r="BH79" s="737">
        <f>IF(AW79=0,0,(AX79-AW79)/AW79*100)</f>
        <v>0</v>
      </c>
      <c r="BI79" s="737">
        <f>IF(AX79=0,0,(AY79-AX79)/AX79*100)</f>
        <v>0</v>
      </c>
      <c r="BJ79" s="737">
        <f>IF(AY79=0,0,(AZ79-AY79)/AY79*100)</f>
        <v>0</v>
      </c>
      <c r="BK79" s="737">
        <f>IF(AZ79=0,0,(BA79-AZ79)/AZ79*100)</f>
        <v>0</v>
      </c>
      <c r="BL79" s="737">
        <f>IF(BA79=0,0,(BB79-BA79)/BA79*100)</f>
        <v>0</v>
      </c>
      <c r="BM79" s="737">
        <f>IF(BB79=0,0,(BC79-BB79)/BB79*100)</f>
        <v>0</v>
      </c>
      <c r="BN79" s="1218"/>
      <c r="BO79" s="1218"/>
      <c r="BP79" s="1218"/>
      <c r="BQ79" s="676"/>
      <c r="BR79" s="676"/>
      <c r="BS79" s="1047" t="s">
        <v>1880</v>
      </c>
      <c r="BT79" s="1047"/>
      <c r="BU79" s="1047"/>
      <c r="BV79" s="683"/>
      <c r="BW79" s="683"/>
    </row>
    <row customHeight="1" ht="14.625" hidden="1">
      <c r="A80" s="1256"/>
      <c r="B80" s="955"/>
      <c r="C80" s="1256"/>
      <c r="D80" s="1256"/>
      <c r="E80" s="679">
        <v>15</v>
      </c>
      <c r="F80" s="50" cm="1" t="str">
        <f t="array" ref="F80:F80">OFFSET(E80,-1,1)</f>
        <v>0</v>
      </c>
      <c r="G80" s="124" t="s">
        <v>1023</v>
      </c>
      <c r="H80" s="1256"/>
      <c r="I80" s="124" t="s">
        <v>1434</v>
      </c>
      <c r="J80" s="1256"/>
      <c r="K80" s="124" t="s">
        <v>1434</v>
      </c>
      <c r="L80" s="957" t="s">
        <v>1211</v>
      </c>
      <c r="M80" s="73"/>
      <c r="N80" s="1256"/>
      <c r="O80" s="1256"/>
      <c r="P80" s="1256"/>
      <c r="Q80" s="1256"/>
      <c r="R80" s="1256"/>
      <c r="S80" s="1256"/>
      <c r="T80" s="438" cm="1" t="str">
        <f t="array" ref="T80:T80">T79</f>
        <v>false</v>
      </c>
      <c r="U80" s="1256"/>
      <c r="V80" s="1256"/>
      <c r="W80" s="1256"/>
      <c r="X80" s="1511"/>
      <c r="Y80" s="1256"/>
      <c r="Z80" s="1494"/>
      <c r="AA80" s="1256"/>
      <c r="AB80" s="265" t="s">
        <v>460</v>
      </c>
      <c r="AC80" s="741" t="s">
        <v>1881</v>
      </c>
      <c r="AD80" s="266" t="s">
        <v>789</v>
      </c>
      <c r="AE80" s="225">
        <f>_xlfn.SUMIFS(Покупка!AE$25:AE$87,Покупка!$F$25:$F$87,$F80,Покупка!$AC$25:$AC$87,$G80)</f>
        <v>0</v>
      </c>
      <c r="AF80" s="225">
        <f>_xlfn.SUMIFS(Покупка!AF$25:AF$87,Покупка!$F$25:$F$87,$F80,Покупка!$AC$25:$AC$87,$G80)</f>
        <v>0</v>
      </c>
      <c r="AG80" s="225">
        <f>_xlfn.SUMIFS(Покупка!AG$25:AG$87,Покупка!$F$25:$F$87,$F80,Покупка!$AC$25:$AC$87,$G80)</f>
        <v>0</v>
      </c>
      <c r="AH80" s="920">
        <f>AG80-AF80</f>
        <v>0</v>
      </c>
      <c r="AI80" s="920">
        <f>_xlfn.SUMIFS(Покупка!AH$25:AH$87,Покупка!$F$25:$F$87,$F80,Покупка!$AC$25:$AC$87,$G80)</f>
        <v>0</v>
      </c>
      <c r="AJ80" s="920">
        <f>_xlfn.SUMIFS(Покупка!AI$25:AI$87,Покупка!$F$25:$F$87,$F80,Покупка!$AC$25:$AC$87,$G80)</f>
        <v>0</v>
      </c>
      <c r="AK80" s="920">
        <f>_xlfn.SUMIFS(Покупка!AJ$25:AJ$87,Покупка!$F$25:$F$87,$F80,Покупка!$AC$25:$AC$87,$G80)</f>
        <v>0</v>
      </c>
      <c r="AL80" s="920">
        <f>_xlfn.SUMIFS(Покупка!AK$25:AK$87,Покупка!$F$25:$F$87,$F80,Покупка!$AC$25:$AC$87,$G80)</f>
        <v>0</v>
      </c>
      <c r="AM80" s="920">
        <f>_xlfn.SUMIFS(Покупка!AL$25:AL$87,Покупка!$F$25:$F$87,$F80,Покупка!$AC$25:$AC$87,$G80)</f>
        <v>0</v>
      </c>
      <c r="AN80" s="920">
        <f>_xlfn.SUMIFS(Покупка!AM$25:AM$87,Покупка!$F$25:$F$87,$F80,Покупка!$AC$25:$AC$87,$G80)</f>
        <v>0</v>
      </c>
      <c r="AO80" s="920">
        <f>_xlfn.SUMIFS(Покупка!AN$25:AN$87,Покупка!$F$25:$F$87,$F80,Покупка!$AC$25:$AC$87,$G80)</f>
        <v>0</v>
      </c>
      <c r="AP80" s="920">
        <f>_xlfn.SUMIFS(Покупка!AO$25:AO$87,Покупка!$F$25:$F$87,$F80,Покупка!$AC$25:$AC$87,$G80)</f>
        <v>0</v>
      </c>
      <c r="AQ80" s="920">
        <f>_xlfn.SUMIFS(Покупка!AP$25:AP$87,Покупка!$F$25:$F$87,$F80,Покупка!$AC$25:$AC$87,$G80)</f>
        <v>0</v>
      </c>
      <c r="AR80" s="920">
        <f>_xlfn.SUMIFS(Покупка!AQ$25:AQ$87,Покупка!$F$25:$F$87,$F80,Покупка!$AC$25:$AC$87,$G80)</f>
        <v>0</v>
      </c>
      <c r="AS80" s="920">
        <f>_xlfn.SUMIFS(Покупка!AR$25:AR$87,Покупка!$F$25:$F$87,$F80,Покупка!$AC$25:$AC$87,$G80)</f>
        <v>0</v>
      </c>
      <c r="AT80" s="920">
        <f>_xlfn.SUMIFS(Покупка!AS$25:AS$87,Покупка!$F$25:$F$87,$F80,Покупка!$AC$25:$AC$87,$G80)</f>
        <v>0</v>
      </c>
      <c r="AU80" s="920">
        <f>_xlfn.SUMIFS(Покупка!AT$25:AT$87,Покупка!$F$25:$F$87,$F80,Покупка!$AC$25:$AC$87,$G80)</f>
        <v>0</v>
      </c>
      <c r="AV80" s="920">
        <f>_xlfn.SUMIFS(Покупка!AU$25:AU$87,Покупка!$F$25:$F$87,$F80,Покупка!$AC$25:$AC$87,$G80)</f>
        <v>0</v>
      </c>
      <c r="AW80" s="920">
        <f>_xlfn.SUMIFS(Покупка!AV$25:AV$87,Покупка!$F$25:$F$87,$F80,Покупка!$AC$25:$AC$87,$G80)</f>
        <v>0</v>
      </c>
      <c r="AX80" s="920">
        <f>_xlfn.SUMIFS(Покупка!AW$25:AW$87,Покупка!$F$25:$F$87,$F80,Покупка!$AC$25:$AC$87,$G80)</f>
        <v>0</v>
      </c>
      <c r="AY80" s="920">
        <f>_xlfn.SUMIFS(Покупка!AX$25:AX$87,Покупка!$F$25:$F$87,$F80,Покупка!$AC$25:$AC$87,$G80)</f>
        <v>0</v>
      </c>
      <c r="AZ80" s="920">
        <f>_xlfn.SUMIFS(Покупка!AY$25:AY$87,Покупка!$F$25:$F$87,$F80,Покупка!$AC$25:$AC$87,$G80)</f>
        <v>0</v>
      </c>
      <c r="BA80" s="920">
        <f>_xlfn.SUMIFS(Покупка!AZ$25:AZ$87,Покупка!$F$25:$F$87,$F80,Покупка!$AC$25:$AC$87,$G80)</f>
        <v>0</v>
      </c>
      <c r="BB80" s="920">
        <f>_xlfn.SUMIFS(Покупка!BA$25:BA$87,Покупка!$F$25:$F$87,$F80,Покупка!$AC$25:$AC$87,$G80)</f>
        <v>0</v>
      </c>
      <c r="BC80" s="920">
        <f>_xlfn.SUMIFS(Покупка!BB$25:BB$87,Покупка!$F$25:$F$87,$F80,Покупка!$AC$25:$AC$87,$G80)</f>
        <v>0</v>
      </c>
      <c r="BD80" s="920">
        <f>IF(AI80=0,0,(AT80-AI80)/AI80*100)</f>
        <v>0</v>
      </c>
      <c r="BE80" s="920">
        <f>IF(AT80=0,0,(AU80-AT80)/AT80*100)</f>
        <v>0</v>
      </c>
      <c r="BF80" s="920">
        <f>IF(AU80=0,0,(AV80-AU80)/AU80*100)</f>
        <v>0</v>
      </c>
      <c r="BG80" s="920">
        <f>IF(AV80=0,0,(AW80-AV80)/AV80*100)</f>
        <v>0</v>
      </c>
      <c r="BH80" s="920">
        <f>IF(AW80=0,0,(AX80-AW80)/AW80*100)</f>
        <v>0</v>
      </c>
      <c r="BI80" s="920">
        <f>IF(AX80=0,0,(AY80-AX80)/AX80*100)</f>
        <v>0</v>
      </c>
      <c r="BJ80" s="920">
        <f>IF(AY80=0,0,(AZ80-AY80)/AY80*100)</f>
        <v>0</v>
      </c>
      <c r="BK80" s="920">
        <f>IF(AZ80=0,0,(BA80-AZ80)/AZ80*100)</f>
        <v>0</v>
      </c>
      <c r="BL80" s="920">
        <f>IF(BA80=0,0,(BB80-BA80)/BA80*100)</f>
        <v>0</v>
      </c>
      <c r="BM80" s="920">
        <f>IF(BB80=0,0,(BC80-BB80)/BB80*100)</f>
        <v>0</v>
      </c>
      <c r="BN80" s="1234"/>
      <c r="BO80" s="1232" t="str">
        <f>IF(_xlfn.IFERROR(INDEX(Покупка!$K$26:$L$87,MATCH($F80&amp;"6komm",Покупка!$K$26:$K$87,0),2),"")=0,"",_xlfn.IFERROR(INDEX(Покупка!$K$26:$L$87,MATCH($F80&amp;"6komm",Покупка!$K$26:$K$87,0),2),""))</f>
        <v/>
      </c>
      <c r="BP80" s="1234"/>
      <c r="BQ80" s="1256"/>
      <c r="BR80" s="1256"/>
      <c r="BS80" s="1041" t="s">
        <v>1024</v>
      </c>
      <c r="BT80" s="1041"/>
      <c r="BU80" s="1041"/>
      <c r="BV80" s="956"/>
      <c r="BW80" s="956"/>
    </row>
    <row customHeight="1" ht="14.625" hidden="1">
      <c r="A81" s="1256"/>
      <c r="B81" s="62"/>
      <c r="C81" s="73"/>
      <c r="D81" s="73"/>
      <c r="E81" s="596">
        <v>15</v>
      </c>
      <c r="F81" s="50" cm="1" t="str">
        <f t="array" ref="F81:F81">OFFSET(E81,-1,1)</f>
        <v>0</v>
      </c>
      <c r="G81" s="73" t="s">
        <v>1025</v>
      </c>
      <c r="H81" s="73"/>
      <c r="I81" s="73" t="s">
        <v>1438</v>
      </c>
      <c r="J81" s="73"/>
      <c r="K81" s="73" t="s">
        <v>1438</v>
      </c>
      <c r="L81" s="957" t="s">
        <v>1215</v>
      </c>
      <c r="M81" s="73"/>
      <c r="N81" s="73"/>
      <c r="O81" s="73"/>
      <c r="P81" s="73"/>
      <c r="Q81" s="73"/>
      <c r="R81" s="73"/>
      <c r="S81" s="73"/>
      <c r="T81" s="438" cm="1" t="str">
        <f t="array" ref="T81:T81">T80</f>
        <v>false</v>
      </c>
      <c r="U81" s="73"/>
      <c r="V81" s="73"/>
      <c r="W81" s="1256"/>
      <c r="X81" s="1511"/>
      <c r="Y81" s="1256"/>
      <c r="Z81" s="1494"/>
      <c r="AA81" s="1256"/>
      <c r="AB81" s="265" t="s">
        <v>1882</v>
      </c>
      <c r="AC81" s="741" t="s">
        <v>1883</v>
      </c>
      <c r="AD81" s="266" t="s">
        <v>789</v>
      </c>
      <c r="AE81" s="225">
        <f>_xlfn.SUMIFS(Покупка!AE$25:AE$87,Покупка!$F$25:$F$87,$F81,Покупка!$AC$25:$AC$87,$G81)</f>
        <v>0</v>
      </c>
      <c r="AF81" s="225">
        <f>_xlfn.SUMIFS(Покупка!AF$25:AF$87,Покупка!$F$25:$F$87,$F81,Покупка!$AC$25:$AC$87,$G81)</f>
        <v>0</v>
      </c>
      <c r="AG81" s="225">
        <f>_xlfn.SUMIFS(Покупка!AG$25:AG$87,Покупка!$F$25:$F$87,$F81,Покупка!$AC$25:$AC$87,$G81)</f>
        <v>0</v>
      </c>
      <c r="AH81" s="920">
        <f>AG81-AF81</f>
        <v>0</v>
      </c>
      <c r="AI81" s="920">
        <f>_xlfn.SUMIFS(Покупка!AH$25:AH$87,Покупка!$F$25:$F$87,$F81,Покупка!$AC$25:$AC$87,$G81)</f>
        <v>0</v>
      </c>
      <c r="AJ81" s="920">
        <f>_xlfn.SUMIFS(Покупка!AI$25:AI$87,Покупка!$F$25:$F$87,$F81,Покупка!$AC$25:$AC$87,$G81)</f>
        <v>0</v>
      </c>
      <c r="AK81" s="920">
        <f>_xlfn.SUMIFS(Покупка!AJ$25:AJ$87,Покупка!$F$25:$F$87,$F81,Покупка!$AC$25:$AC$87,$G81)</f>
        <v>0</v>
      </c>
      <c r="AL81" s="920">
        <f>_xlfn.SUMIFS(Покупка!AK$25:AK$87,Покупка!$F$25:$F$87,$F81,Покупка!$AC$25:$AC$87,$G81)</f>
        <v>0</v>
      </c>
      <c r="AM81" s="920">
        <f>_xlfn.SUMIFS(Покупка!AL$25:AL$87,Покупка!$F$25:$F$87,$F81,Покупка!$AC$25:$AC$87,$G81)</f>
        <v>0</v>
      </c>
      <c r="AN81" s="920">
        <f>_xlfn.SUMIFS(Покупка!AM$25:AM$87,Покупка!$F$25:$F$87,$F81,Покупка!$AC$25:$AC$87,$G81)</f>
        <v>0</v>
      </c>
      <c r="AO81" s="920">
        <f>_xlfn.SUMIFS(Покупка!AN$25:AN$87,Покупка!$F$25:$F$87,$F81,Покупка!$AC$25:$AC$87,$G81)</f>
        <v>0</v>
      </c>
      <c r="AP81" s="920">
        <f>_xlfn.SUMIFS(Покупка!AO$25:AO$87,Покупка!$F$25:$F$87,$F81,Покупка!$AC$25:$AC$87,$G81)</f>
        <v>0</v>
      </c>
      <c r="AQ81" s="920">
        <f>_xlfn.SUMIFS(Покупка!AP$25:AP$87,Покупка!$F$25:$F$87,$F81,Покупка!$AC$25:$AC$87,$G81)</f>
        <v>0</v>
      </c>
      <c r="AR81" s="920">
        <f>_xlfn.SUMIFS(Покупка!AQ$25:AQ$87,Покупка!$F$25:$F$87,$F81,Покупка!$AC$25:$AC$87,$G81)</f>
        <v>0</v>
      </c>
      <c r="AS81" s="920">
        <f>_xlfn.SUMIFS(Покупка!AR$25:AR$87,Покупка!$F$25:$F$87,$F81,Покупка!$AC$25:$AC$87,$G81)</f>
        <v>0</v>
      </c>
      <c r="AT81" s="920">
        <f>_xlfn.SUMIFS(Покупка!AS$25:AS$87,Покупка!$F$25:$F$87,$F81,Покупка!$AC$25:$AC$87,$G81)</f>
        <v>0</v>
      </c>
      <c r="AU81" s="920">
        <f>_xlfn.SUMIFS(Покупка!AT$25:AT$87,Покупка!$F$25:$F$87,$F81,Покупка!$AC$25:$AC$87,$G81)</f>
        <v>0</v>
      </c>
      <c r="AV81" s="920">
        <f>_xlfn.SUMIFS(Покупка!AU$25:AU$87,Покупка!$F$25:$F$87,$F81,Покупка!$AC$25:$AC$87,$G81)</f>
        <v>0</v>
      </c>
      <c r="AW81" s="920">
        <f>_xlfn.SUMIFS(Покупка!AV$25:AV$87,Покупка!$F$25:$F$87,$F81,Покупка!$AC$25:$AC$87,$G81)</f>
        <v>0</v>
      </c>
      <c r="AX81" s="920">
        <f>_xlfn.SUMIFS(Покупка!AW$25:AW$87,Покупка!$F$25:$F$87,$F81,Покупка!$AC$25:$AC$87,$G81)</f>
        <v>0</v>
      </c>
      <c r="AY81" s="920">
        <f>_xlfn.SUMIFS(Покупка!AX$25:AX$87,Покупка!$F$25:$F$87,$F81,Покупка!$AC$25:$AC$87,$G81)</f>
        <v>0</v>
      </c>
      <c r="AZ81" s="920">
        <f>_xlfn.SUMIFS(Покупка!AY$25:AY$87,Покупка!$F$25:$F$87,$F81,Покупка!$AC$25:$AC$87,$G81)</f>
        <v>0</v>
      </c>
      <c r="BA81" s="920">
        <f>_xlfn.SUMIFS(Покупка!AZ$25:AZ$87,Покупка!$F$25:$F$87,$F81,Покупка!$AC$25:$AC$87,$G81)</f>
        <v>0</v>
      </c>
      <c r="BB81" s="920">
        <f>_xlfn.SUMIFS(Покупка!BA$25:BA$87,Покупка!$F$25:$F$87,$F81,Покупка!$AC$25:$AC$87,$G81)</f>
        <v>0</v>
      </c>
      <c r="BC81" s="920">
        <f>_xlfn.SUMIFS(Покупка!BB$25:BB$87,Покупка!$F$25:$F$87,$F81,Покупка!$AC$25:$AC$87,$G81)</f>
        <v>0</v>
      </c>
      <c r="BD81" s="920">
        <f>IF(AI81=0,0,(AT81-AI81)/AI81*100)</f>
        <v>0</v>
      </c>
      <c r="BE81" s="920">
        <f>IF(AT81=0,0,(AU81-AT81)/AT81*100)</f>
        <v>0</v>
      </c>
      <c r="BF81" s="920">
        <f>IF(AU81=0,0,(AV81-AU81)/AU81*100)</f>
        <v>0</v>
      </c>
      <c r="BG81" s="920">
        <f>IF(AV81=0,0,(AW81-AV81)/AV81*100)</f>
        <v>0</v>
      </c>
      <c r="BH81" s="920">
        <f>IF(AW81=0,0,(AX81-AW81)/AW81*100)</f>
        <v>0</v>
      </c>
      <c r="BI81" s="920">
        <f>IF(AX81=0,0,(AY81-AX81)/AX81*100)</f>
        <v>0</v>
      </c>
      <c r="BJ81" s="920">
        <f>IF(AY81=0,0,(AZ81-AY81)/AY81*100)</f>
        <v>0</v>
      </c>
      <c r="BK81" s="920">
        <f>IF(AZ81=0,0,(BA81-AZ81)/AZ81*100)</f>
        <v>0</v>
      </c>
      <c r="BL81" s="920">
        <f>IF(BA81=0,0,(BB81-BA81)/BA81*100)</f>
        <v>0</v>
      </c>
      <c r="BM81" s="920">
        <f>IF(BB81=0,0,(BC81-BB81)/BB81*100)</f>
        <v>0</v>
      </c>
      <c r="BN81" s="1234"/>
      <c r="BO81" s="1232" t="str">
        <f>IF(_xlfn.IFERROR(INDEX(Покупка!$K$26:$L$87,MATCH($F81&amp;"7komm",Покупка!$K$26:$K$87,0),2),"")=0,"",_xlfn.IFERROR(INDEX(Покупка!$K$26:$L$87,MATCH($F81&amp;"7komm",Покупка!$K$26:$K$87,0),2),""))</f>
        <v/>
      </c>
      <c r="BP81" s="1234"/>
      <c r="BQ81" s="1256"/>
      <c r="BR81" s="1256"/>
      <c r="BS81" s="1041" t="s">
        <v>1026</v>
      </c>
      <c r="BT81" s="1041"/>
      <c r="BU81" s="1041"/>
      <c r="BV81" s="956"/>
      <c r="BW81" s="956"/>
    </row>
    <row customHeight="1" ht="14.625" hidden="1">
      <c r="A82" s="1256"/>
      <c r="B82" s="62"/>
      <c r="C82" s="73"/>
      <c r="D82" s="73"/>
      <c r="E82" s="596">
        <v>15</v>
      </c>
      <c r="F82" s="50" cm="1" t="str">
        <f t="array" ref="F82:F82">OFFSET(E82,-1,1)</f>
        <v>0</v>
      </c>
      <c r="G82" s="73" t="s">
        <v>1000</v>
      </c>
      <c r="H82" s="73"/>
      <c r="I82" s="73" t="s">
        <v>1513</v>
      </c>
      <c r="J82" s="73"/>
      <c r="K82" s="73" t="s">
        <v>1513</v>
      </c>
      <c r="L82" s="957" t="s">
        <v>1383</v>
      </c>
      <c r="M82" s="73"/>
      <c r="N82" s="73"/>
      <c r="O82" s="73"/>
      <c r="P82" s="73"/>
      <c r="Q82" s="73"/>
      <c r="R82" s="73"/>
      <c r="S82" s="73"/>
      <c r="T82" s="438" cm="1" t="str">
        <f t="array" ref="T82:T82">T81</f>
        <v>false</v>
      </c>
      <c r="U82" s="73"/>
      <c r="V82" s="73"/>
      <c r="W82" s="1256"/>
      <c r="X82" s="1511"/>
      <c r="Y82" s="1256"/>
      <c r="Z82" s="1494"/>
      <c r="AA82" s="1256"/>
      <c r="AB82" s="265" t="s">
        <v>1884</v>
      </c>
      <c r="AC82" s="741" t="s">
        <v>1885</v>
      </c>
      <c r="AD82" s="266" t="s">
        <v>789</v>
      </c>
      <c r="AE82" s="225">
        <f>_xlfn.SUMIFS(Покупка!AE$25:AE$87,Покупка!$F$25:$F$87,$F82,Покупка!$AC$25:$AC$87,$G82)</f>
        <v>0</v>
      </c>
      <c r="AF82" s="225">
        <f>_xlfn.SUMIFS(Покупка!AF$25:AF$87,Покупка!$F$25:$F$87,$F82,Покупка!$AC$25:$AC$87,$G82)</f>
        <v>0</v>
      </c>
      <c r="AG82" s="225">
        <f>_xlfn.SUMIFS(Покупка!AG$25:AG$87,Покупка!$F$25:$F$87,$F82,Покупка!$AC$25:$AC$87,$G82)</f>
        <v>0</v>
      </c>
      <c r="AH82" s="920">
        <f>AG82-AF82</f>
        <v>0</v>
      </c>
      <c r="AI82" s="920">
        <f>_xlfn.SUMIFS(Покупка!AH$25:AH$87,Покупка!$F$25:$F$87,$F82,Покупка!$AC$25:$AC$87,$G82)</f>
        <v>0</v>
      </c>
      <c r="AJ82" s="920">
        <f>_xlfn.SUMIFS(Покупка!AI$25:AI$87,Покупка!$F$25:$F$87,$F82,Покупка!$AC$25:$AC$87,$G82)</f>
        <v>0</v>
      </c>
      <c r="AK82" s="920">
        <f>_xlfn.SUMIFS(Покупка!AJ$25:AJ$87,Покупка!$F$25:$F$87,$F82,Покупка!$AC$25:$AC$87,$G82)</f>
        <v>0</v>
      </c>
      <c r="AL82" s="920">
        <f>_xlfn.SUMIFS(Покупка!AK$25:AK$87,Покупка!$F$25:$F$87,$F82,Покупка!$AC$25:$AC$87,$G82)</f>
        <v>0</v>
      </c>
      <c r="AM82" s="920">
        <f>_xlfn.SUMIFS(Покупка!AL$25:AL$87,Покупка!$F$25:$F$87,$F82,Покупка!$AC$25:$AC$87,$G82)</f>
        <v>0</v>
      </c>
      <c r="AN82" s="920">
        <f>_xlfn.SUMIFS(Покупка!AM$25:AM$87,Покупка!$F$25:$F$87,$F82,Покупка!$AC$25:$AC$87,$G82)</f>
        <v>0</v>
      </c>
      <c r="AO82" s="920">
        <f>_xlfn.SUMIFS(Покупка!AN$25:AN$87,Покупка!$F$25:$F$87,$F82,Покупка!$AC$25:$AC$87,$G82)</f>
        <v>0</v>
      </c>
      <c r="AP82" s="920">
        <f>_xlfn.SUMIFS(Покупка!AO$25:AO$87,Покупка!$F$25:$F$87,$F82,Покупка!$AC$25:$AC$87,$G82)</f>
        <v>0</v>
      </c>
      <c r="AQ82" s="920">
        <f>_xlfn.SUMIFS(Покупка!AP$25:AP$87,Покупка!$F$25:$F$87,$F82,Покупка!$AC$25:$AC$87,$G82)</f>
        <v>0</v>
      </c>
      <c r="AR82" s="920">
        <f>_xlfn.SUMIFS(Покупка!AQ$25:AQ$87,Покупка!$F$25:$F$87,$F82,Покупка!$AC$25:$AC$87,$G82)</f>
        <v>0</v>
      </c>
      <c r="AS82" s="920">
        <f>_xlfn.SUMIFS(Покупка!AR$25:AR$87,Покупка!$F$25:$F$87,$F82,Покупка!$AC$25:$AC$87,$G82)</f>
        <v>0</v>
      </c>
      <c r="AT82" s="920">
        <f>_xlfn.SUMIFS(Покупка!AS$25:AS$87,Покупка!$F$25:$F$87,$F82,Покупка!$AC$25:$AC$87,$G82)</f>
        <v>0</v>
      </c>
      <c r="AU82" s="920">
        <f>_xlfn.SUMIFS(Покупка!AT$25:AT$87,Покупка!$F$25:$F$87,$F82,Покупка!$AC$25:$AC$87,$G82)</f>
        <v>0</v>
      </c>
      <c r="AV82" s="920">
        <f>_xlfn.SUMIFS(Покупка!AU$25:AU$87,Покупка!$F$25:$F$87,$F82,Покупка!$AC$25:$AC$87,$G82)</f>
        <v>0</v>
      </c>
      <c r="AW82" s="920">
        <f>_xlfn.SUMIFS(Покупка!AV$25:AV$87,Покупка!$F$25:$F$87,$F82,Покупка!$AC$25:$AC$87,$G82)</f>
        <v>0</v>
      </c>
      <c r="AX82" s="920">
        <f>_xlfn.SUMIFS(Покупка!AW$25:AW$87,Покупка!$F$25:$F$87,$F82,Покупка!$AC$25:$AC$87,$G82)</f>
        <v>0</v>
      </c>
      <c r="AY82" s="920">
        <f>_xlfn.SUMIFS(Покупка!AX$25:AX$87,Покупка!$F$25:$F$87,$F82,Покупка!$AC$25:$AC$87,$G82)</f>
        <v>0</v>
      </c>
      <c r="AZ82" s="920">
        <f>_xlfn.SUMIFS(Покупка!AY$25:AY$87,Покупка!$F$25:$F$87,$F82,Покупка!$AC$25:$AC$87,$G82)</f>
        <v>0</v>
      </c>
      <c r="BA82" s="920">
        <f>_xlfn.SUMIFS(Покупка!AZ$25:AZ$87,Покупка!$F$25:$F$87,$F82,Покупка!$AC$25:$AC$87,$G82)</f>
        <v>0</v>
      </c>
      <c r="BB82" s="920">
        <f>_xlfn.SUMIFS(Покупка!BA$25:BA$87,Покупка!$F$25:$F$87,$F82,Покупка!$AC$25:$AC$87,$G82)</f>
        <v>0</v>
      </c>
      <c r="BC82" s="920">
        <f>_xlfn.SUMIFS(Покупка!BB$25:BB$87,Покупка!$F$25:$F$87,$F82,Покупка!$AC$25:$AC$87,$G82)</f>
        <v>0</v>
      </c>
      <c r="BD82" s="920">
        <f>IF(AI82=0,0,(AT82-AI82)/AI82*100)</f>
        <v>0</v>
      </c>
      <c r="BE82" s="920">
        <f>IF(AT82=0,0,(AU82-AT82)/AT82*100)</f>
        <v>0</v>
      </c>
      <c r="BF82" s="920">
        <f>IF(AU82=0,0,(AV82-AU82)/AU82*100)</f>
        <v>0</v>
      </c>
      <c r="BG82" s="920">
        <f>IF(AV82=0,0,(AW82-AV82)/AV82*100)</f>
        <v>0</v>
      </c>
      <c r="BH82" s="920">
        <f>IF(AW82=0,0,(AX82-AW82)/AW82*100)</f>
        <v>0</v>
      </c>
      <c r="BI82" s="920">
        <f>IF(AX82=0,0,(AY82-AX82)/AX82*100)</f>
        <v>0</v>
      </c>
      <c r="BJ82" s="920">
        <f>IF(AY82=0,0,(AZ82-AY82)/AY82*100)</f>
        <v>0</v>
      </c>
      <c r="BK82" s="920">
        <f>IF(AZ82=0,0,(BA82-AZ82)/AZ82*100)</f>
        <v>0</v>
      </c>
      <c r="BL82" s="920">
        <f>IF(BA82=0,0,(BB82-BA82)/BA82*100)</f>
        <v>0</v>
      </c>
      <c r="BM82" s="920">
        <f>IF(BB82=0,0,(BC82-BB82)/BB82*100)</f>
        <v>0</v>
      </c>
      <c r="BN82" s="1234"/>
      <c r="BO82" s="1232" t="str">
        <f>IF(_xlfn.IFERROR(INDEX(Покупка!$K$26:$L$87,MATCH($F82&amp;"2komm",Покупка!$K$26:$K$87,0),2),"")=0,"",_xlfn.IFERROR(INDEX(Покупка!$K$26:$L$87,MATCH($F82&amp;"2komm",Покупка!$K$26:$K$87,0),2),""))</f>
        <v/>
      </c>
      <c r="BP82" s="1234"/>
      <c r="BQ82" s="1256"/>
      <c r="BR82" s="1256"/>
      <c r="BS82" s="1041" t="s">
        <v>1886</v>
      </c>
      <c r="BT82" s="1041"/>
      <c r="BU82" s="1041"/>
      <c r="BV82" s="956"/>
      <c r="BW82" s="956"/>
    </row>
    <row customHeight="1" ht="14.625" hidden="1">
      <c r="A83" s="1256"/>
      <c r="B83" s="62"/>
      <c r="C83" s="73"/>
      <c r="D83" s="73"/>
      <c r="E83" s="596">
        <v>15</v>
      </c>
      <c r="F83" s="50" cm="1" t="str">
        <f t="array" ref="F83:F83">OFFSET(E83,-1,1)</f>
        <v>0</v>
      </c>
      <c r="G83" s="73" t="s">
        <v>991</v>
      </c>
      <c r="H83" s="73"/>
      <c r="I83" s="73" t="s">
        <v>1515</v>
      </c>
      <c r="J83" s="73"/>
      <c r="K83" s="73" t="s">
        <v>1515</v>
      </c>
      <c r="L83" s="957" t="s">
        <v>1378</v>
      </c>
      <c r="M83" s="73"/>
      <c r="N83" s="73"/>
      <c r="O83" s="73"/>
      <c r="P83" s="73"/>
      <c r="Q83" s="73"/>
      <c r="R83" s="73"/>
      <c r="S83" s="73"/>
      <c r="T83" s="438" cm="1" t="str">
        <f t="array" ref="T83:T83">T82</f>
        <v>false</v>
      </c>
      <c r="U83" s="73"/>
      <c r="V83" s="73"/>
      <c r="W83" s="1256"/>
      <c r="X83" s="1511"/>
      <c r="Y83" s="1256"/>
      <c r="Z83" s="1494"/>
      <c r="AA83" s="1256"/>
      <c r="AB83" s="265" t="s">
        <v>1887</v>
      </c>
      <c r="AC83" s="741" t="s">
        <v>1888</v>
      </c>
      <c r="AD83" s="266" t="s">
        <v>789</v>
      </c>
      <c r="AE83" s="225">
        <f>_xlfn.SUMIFS(Покупка!AE$25:AE$87,Покупка!$F$25:$F$87,$F83,Покупка!$AC$25:$AC$87,$G83)</f>
        <v>0</v>
      </c>
      <c r="AF83" s="225">
        <f>_xlfn.SUMIFS(Покупка!AF$25:AF$87,Покупка!$F$25:$F$87,$F83,Покупка!$AC$25:$AC$87,$G83)</f>
        <v>0</v>
      </c>
      <c r="AG83" s="225">
        <f>_xlfn.SUMIFS(Покупка!AG$25:AG$87,Покупка!$F$25:$F$87,$F83,Покупка!$AC$25:$AC$87,$G83)</f>
        <v>0</v>
      </c>
      <c r="AH83" s="920">
        <f>AG83-AF83</f>
        <v>0</v>
      </c>
      <c r="AI83" s="920">
        <f>_xlfn.SUMIFS(Покупка!AH$25:AH$87,Покупка!$F$25:$F$87,$F83,Покупка!$AC$25:$AC$87,$G83)</f>
        <v>0</v>
      </c>
      <c r="AJ83" s="920">
        <f>_xlfn.SUMIFS(Покупка!AI$25:AI$87,Покупка!$F$25:$F$87,$F83,Покупка!$AC$25:$AC$87,$G83)</f>
        <v>0</v>
      </c>
      <c r="AK83" s="920">
        <f>_xlfn.SUMIFS(Покупка!AJ$25:AJ$87,Покупка!$F$25:$F$87,$F83,Покупка!$AC$25:$AC$87,$G83)</f>
        <v>0</v>
      </c>
      <c r="AL83" s="920">
        <f>_xlfn.SUMIFS(Покупка!AK$25:AK$87,Покупка!$F$25:$F$87,$F83,Покупка!$AC$25:$AC$87,$G83)</f>
        <v>0</v>
      </c>
      <c r="AM83" s="920">
        <f>_xlfn.SUMIFS(Покупка!AL$25:AL$87,Покупка!$F$25:$F$87,$F83,Покупка!$AC$25:$AC$87,$G83)</f>
        <v>0</v>
      </c>
      <c r="AN83" s="920">
        <f>_xlfn.SUMIFS(Покупка!AM$25:AM$87,Покупка!$F$25:$F$87,$F83,Покупка!$AC$25:$AC$87,$G83)</f>
        <v>0</v>
      </c>
      <c r="AO83" s="920">
        <f>_xlfn.SUMIFS(Покупка!AN$25:AN$87,Покупка!$F$25:$F$87,$F83,Покупка!$AC$25:$AC$87,$G83)</f>
        <v>0</v>
      </c>
      <c r="AP83" s="920">
        <f>_xlfn.SUMIFS(Покупка!AO$25:AO$87,Покупка!$F$25:$F$87,$F83,Покупка!$AC$25:$AC$87,$G83)</f>
        <v>0</v>
      </c>
      <c r="AQ83" s="920">
        <f>_xlfn.SUMIFS(Покупка!AP$25:AP$87,Покупка!$F$25:$F$87,$F83,Покупка!$AC$25:$AC$87,$G83)</f>
        <v>0</v>
      </c>
      <c r="AR83" s="920">
        <f>_xlfn.SUMIFS(Покупка!AQ$25:AQ$87,Покупка!$F$25:$F$87,$F83,Покупка!$AC$25:$AC$87,$G83)</f>
        <v>0</v>
      </c>
      <c r="AS83" s="920">
        <f>_xlfn.SUMIFS(Покупка!AR$25:AR$87,Покупка!$F$25:$F$87,$F83,Покупка!$AC$25:$AC$87,$G83)</f>
        <v>0</v>
      </c>
      <c r="AT83" s="920">
        <f>_xlfn.SUMIFS(Покупка!AS$25:AS$87,Покупка!$F$25:$F$87,$F83,Покупка!$AC$25:$AC$87,$G83)</f>
        <v>0</v>
      </c>
      <c r="AU83" s="920">
        <f>_xlfn.SUMIFS(Покупка!AT$25:AT$87,Покупка!$F$25:$F$87,$F83,Покупка!$AC$25:$AC$87,$G83)</f>
        <v>0</v>
      </c>
      <c r="AV83" s="920">
        <f>_xlfn.SUMIFS(Покупка!AU$25:AU$87,Покупка!$F$25:$F$87,$F83,Покупка!$AC$25:$AC$87,$G83)</f>
        <v>0</v>
      </c>
      <c r="AW83" s="920">
        <f>_xlfn.SUMIFS(Покупка!AV$25:AV$87,Покупка!$F$25:$F$87,$F83,Покупка!$AC$25:$AC$87,$G83)</f>
        <v>0</v>
      </c>
      <c r="AX83" s="920">
        <f>_xlfn.SUMIFS(Покупка!AW$25:AW$87,Покупка!$F$25:$F$87,$F83,Покупка!$AC$25:$AC$87,$G83)</f>
        <v>0</v>
      </c>
      <c r="AY83" s="920">
        <f>_xlfn.SUMIFS(Покупка!AX$25:AX$87,Покупка!$F$25:$F$87,$F83,Покупка!$AC$25:$AC$87,$G83)</f>
        <v>0</v>
      </c>
      <c r="AZ83" s="920">
        <f>_xlfn.SUMIFS(Покупка!AY$25:AY$87,Покупка!$F$25:$F$87,$F83,Покупка!$AC$25:$AC$87,$G83)</f>
        <v>0</v>
      </c>
      <c r="BA83" s="920">
        <f>_xlfn.SUMIFS(Покупка!AZ$25:AZ$87,Покупка!$F$25:$F$87,$F83,Покупка!$AC$25:$AC$87,$G83)</f>
        <v>0</v>
      </c>
      <c r="BB83" s="920">
        <f>_xlfn.SUMIFS(Покупка!BA$25:BA$87,Покупка!$F$25:$F$87,$F83,Покупка!$AC$25:$AC$87,$G83)</f>
        <v>0</v>
      </c>
      <c r="BC83" s="920">
        <f>_xlfn.SUMIFS(Покупка!BB$25:BB$87,Покупка!$F$25:$F$87,$F83,Покупка!$AC$25:$AC$87,$G83)</f>
        <v>0</v>
      </c>
      <c r="BD83" s="920">
        <f>IF(AI83=0,0,(AT83-AI83)/AI83*100)</f>
        <v>0</v>
      </c>
      <c r="BE83" s="920">
        <f>IF(AT83=0,0,(AU83-AT83)/AT83*100)</f>
        <v>0</v>
      </c>
      <c r="BF83" s="920">
        <f>IF(AU83=0,0,(AV83-AU83)/AU83*100)</f>
        <v>0</v>
      </c>
      <c r="BG83" s="920">
        <f>IF(AV83=0,0,(AW83-AV83)/AV83*100)</f>
        <v>0</v>
      </c>
      <c r="BH83" s="920">
        <f>IF(AW83=0,0,(AX83-AW83)/AW83*100)</f>
        <v>0</v>
      </c>
      <c r="BI83" s="920">
        <f>IF(AX83=0,0,(AY83-AX83)/AX83*100)</f>
        <v>0</v>
      </c>
      <c r="BJ83" s="920">
        <f>IF(AY83=0,0,(AZ83-AY83)/AY83*100)</f>
        <v>0</v>
      </c>
      <c r="BK83" s="920">
        <f>IF(AZ83=0,0,(BA83-AZ83)/AZ83*100)</f>
        <v>0</v>
      </c>
      <c r="BL83" s="920">
        <f>IF(BA83=0,0,(BB83-BA83)/BA83*100)</f>
        <v>0</v>
      </c>
      <c r="BM83" s="920">
        <f>IF(BB83=0,0,(BC83-BB83)/BB83*100)</f>
        <v>0</v>
      </c>
      <c r="BN83" s="1234"/>
      <c r="BO83" s="1232" t="str">
        <f>IF(_xlfn.IFERROR(INDEX(Покупка!$K$26:$L$87,MATCH($F83&amp;"1komm",Покупка!$K$26:$K$87,0),2),"")=0,"",_xlfn.IFERROR(INDEX(Покупка!$K$26:$L$87,MATCH($F83&amp;"1komm",Покупка!$K$26:$K$87,0),2),""))</f>
        <v/>
      </c>
      <c r="BP83" s="1234"/>
      <c r="BQ83" s="1256"/>
      <c r="BR83" s="1256"/>
      <c r="BS83" s="1041" t="s">
        <v>1889</v>
      </c>
      <c r="BT83" s="1041"/>
      <c r="BU83" s="1041"/>
      <c r="BV83" s="956"/>
      <c r="BW83" s="956"/>
    </row>
    <row customHeight="1" ht="14.625" hidden="1">
      <c r="A84" s="1256"/>
      <c r="B84" s="62"/>
      <c r="C84" s="73"/>
      <c r="D84" s="73"/>
      <c r="E84" s="596">
        <v>15</v>
      </c>
      <c r="F84" s="50" cm="1" t="str">
        <f t="array" ref="F84:F84">OFFSET(E84,-1,1)</f>
        <v>0</v>
      </c>
      <c r="G84" s="73" t="s">
        <v>1027</v>
      </c>
      <c r="H84" s="73"/>
      <c r="I84" s="73" t="s">
        <v>1518</v>
      </c>
      <c r="J84" s="73"/>
      <c r="K84" s="73" t="s">
        <v>1518</v>
      </c>
      <c r="L84" s="957"/>
      <c r="M84" s="73"/>
      <c r="N84" s="73"/>
      <c r="O84" s="73"/>
      <c r="P84" s="73"/>
      <c r="Q84" s="73"/>
      <c r="R84" s="73"/>
      <c r="S84" s="73"/>
      <c r="T84" s="438" cm="1" t="str">
        <f t="array" ref="T84:T84">T83</f>
        <v>false</v>
      </c>
      <c r="U84" s="73"/>
      <c r="V84" s="73"/>
      <c r="W84" s="1256"/>
      <c r="X84" s="1511"/>
      <c r="Y84" s="1256"/>
      <c r="Z84" s="1494"/>
      <c r="AA84" s="1256"/>
      <c r="AB84" s="265" t="s">
        <v>1890</v>
      </c>
      <c r="AC84" s="741" t="s">
        <v>1891</v>
      </c>
      <c r="AD84" s="266" t="s">
        <v>789</v>
      </c>
      <c r="AE84" s="225">
        <f>_xlfn.SUMIFS(Покупка!AE$25:AE$87,Покупка!$F$25:$F$87,$F84,Покупка!$AC$25:$AC$87,$G84)</f>
        <v>0</v>
      </c>
      <c r="AF84" s="225">
        <f>_xlfn.SUMIFS(Покупка!AF$25:AF$87,Покупка!$F$25:$F$87,$F84,Покупка!$AC$25:$AC$87,$G84)</f>
        <v>0</v>
      </c>
      <c r="AG84" s="225">
        <f>_xlfn.SUMIFS(Покупка!AG$25:AG$87,Покупка!$F$25:$F$87,$F84,Покупка!$AC$25:$AC$87,$G84)</f>
        <v>0</v>
      </c>
      <c r="AH84" s="920">
        <f>AG84-AF84</f>
        <v>0</v>
      </c>
      <c r="AI84" s="920">
        <f>_xlfn.SUMIFS(Покупка!AH$25:AH$87,Покупка!$F$25:$F$87,$F84,Покупка!$AC$25:$AC$87,$G84)</f>
        <v>0</v>
      </c>
      <c r="AJ84" s="920">
        <f>_xlfn.SUMIFS(Покупка!AI$25:AI$87,Покупка!$F$25:$F$87,$F84,Покупка!$AC$25:$AC$87,$G84)</f>
        <v>0</v>
      </c>
      <c r="AK84" s="920">
        <f>_xlfn.SUMIFS(Покупка!AJ$25:AJ$87,Покупка!$F$25:$F$87,$F84,Покупка!$AC$25:$AC$87,$G84)</f>
        <v>0</v>
      </c>
      <c r="AL84" s="920">
        <f>_xlfn.SUMIFS(Покупка!AK$25:AK$87,Покупка!$F$25:$F$87,$F84,Покупка!$AC$25:$AC$87,$G84)</f>
        <v>0</v>
      </c>
      <c r="AM84" s="920">
        <f>_xlfn.SUMIFS(Покупка!AL$25:AL$87,Покупка!$F$25:$F$87,$F84,Покупка!$AC$25:$AC$87,$G84)</f>
        <v>0</v>
      </c>
      <c r="AN84" s="920">
        <f>_xlfn.SUMIFS(Покупка!AM$25:AM$87,Покупка!$F$25:$F$87,$F84,Покупка!$AC$25:$AC$87,$G84)</f>
        <v>0</v>
      </c>
      <c r="AO84" s="920">
        <f>_xlfn.SUMIFS(Покупка!AN$25:AN$87,Покупка!$F$25:$F$87,$F84,Покупка!$AC$25:$AC$87,$G84)</f>
        <v>0</v>
      </c>
      <c r="AP84" s="920">
        <f>_xlfn.SUMIFS(Покупка!AO$25:AO$87,Покупка!$F$25:$F$87,$F84,Покупка!$AC$25:$AC$87,$G84)</f>
        <v>0</v>
      </c>
      <c r="AQ84" s="920">
        <f>_xlfn.SUMIFS(Покупка!AP$25:AP$87,Покупка!$F$25:$F$87,$F84,Покупка!$AC$25:$AC$87,$G84)</f>
        <v>0</v>
      </c>
      <c r="AR84" s="920">
        <f>_xlfn.SUMIFS(Покупка!AQ$25:AQ$87,Покупка!$F$25:$F$87,$F84,Покупка!$AC$25:$AC$87,$G84)</f>
        <v>0</v>
      </c>
      <c r="AS84" s="920">
        <f>_xlfn.SUMIFS(Покупка!AR$25:AR$87,Покупка!$F$25:$F$87,$F84,Покупка!$AC$25:$AC$87,$G84)</f>
        <v>0</v>
      </c>
      <c r="AT84" s="920">
        <f>_xlfn.SUMIFS(Покупка!AS$25:AS$87,Покупка!$F$25:$F$87,$F84,Покупка!$AC$25:$AC$87,$G84)</f>
        <v>0</v>
      </c>
      <c r="AU84" s="920">
        <f>_xlfn.SUMIFS(Покупка!AT$25:AT$87,Покупка!$F$25:$F$87,$F84,Покупка!$AC$25:$AC$87,$G84)</f>
        <v>0</v>
      </c>
      <c r="AV84" s="920">
        <f>_xlfn.SUMIFS(Покупка!AU$25:AU$87,Покупка!$F$25:$F$87,$F84,Покупка!$AC$25:$AC$87,$G84)</f>
        <v>0</v>
      </c>
      <c r="AW84" s="920">
        <f>_xlfn.SUMIFS(Покупка!AV$25:AV$87,Покупка!$F$25:$F$87,$F84,Покупка!$AC$25:$AC$87,$G84)</f>
        <v>0</v>
      </c>
      <c r="AX84" s="920">
        <f>_xlfn.SUMIFS(Покупка!AW$25:AW$87,Покупка!$F$25:$F$87,$F84,Покупка!$AC$25:$AC$87,$G84)</f>
        <v>0</v>
      </c>
      <c r="AY84" s="920">
        <f>_xlfn.SUMIFS(Покупка!AX$25:AX$87,Покупка!$F$25:$F$87,$F84,Покупка!$AC$25:$AC$87,$G84)</f>
        <v>0</v>
      </c>
      <c r="AZ84" s="920">
        <f>_xlfn.SUMIFS(Покупка!AY$25:AY$87,Покупка!$F$25:$F$87,$F84,Покупка!$AC$25:$AC$87,$G84)</f>
        <v>0</v>
      </c>
      <c r="BA84" s="920">
        <f>_xlfn.SUMIFS(Покупка!AZ$25:AZ$87,Покупка!$F$25:$F$87,$F84,Покупка!$AC$25:$AC$87,$G84)</f>
        <v>0</v>
      </c>
      <c r="BB84" s="920">
        <f>_xlfn.SUMIFS(Покупка!BA$25:BA$87,Покупка!$F$25:$F$87,$F84,Покупка!$AC$25:$AC$87,$G84)</f>
        <v>0</v>
      </c>
      <c r="BC84" s="920">
        <f>_xlfn.SUMIFS(Покупка!BB$25:BB$87,Покупка!$F$25:$F$87,$F84,Покупка!$AC$25:$AC$87,$G84)</f>
        <v>0</v>
      </c>
      <c r="BD84" s="920">
        <f>IF(AI84=0,0,(AT84-AI84)/AI84*100)</f>
        <v>0</v>
      </c>
      <c r="BE84" s="920">
        <f>IF(AT84=0,0,(AU84-AT84)/AT84*100)</f>
        <v>0</v>
      </c>
      <c r="BF84" s="920">
        <f>IF(AU84=0,0,(AV84-AU84)/AU84*100)</f>
        <v>0</v>
      </c>
      <c r="BG84" s="920">
        <f>IF(AV84=0,0,(AW84-AV84)/AV84*100)</f>
        <v>0</v>
      </c>
      <c r="BH84" s="920">
        <f>IF(AW84=0,0,(AX84-AW84)/AW84*100)</f>
        <v>0</v>
      </c>
      <c r="BI84" s="920">
        <f>IF(AX84=0,0,(AY84-AX84)/AX84*100)</f>
        <v>0</v>
      </c>
      <c r="BJ84" s="920">
        <f>IF(AY84=0,0,(AZ84-AY84)/AY84*100)</f>
        <v>0</v>
      </c>
      <c r="BK84" s="920">
        <f>IF(AZ84=0,0,(BA84-AZ84)/AZ84*100)</f>
        <v>0</v>
      </c>
      <c r="BL84" s="920">
        <f>IF(BA84=0,0,(BB84-BA84)/BA84*100)</f>
        <v>0</v>
      </c>
      <c r="BM84" s="920">
        <f>IF(BB84=0,0,(BC84-BB84)/BB84*100)</f>
        <v>0</v>
      </c>
      <c r="BN84" s="1234"/>
      <c r="BO84" s="1232" t="str">
        <f>IF(_xlfn.IFERROR(INDEX(Покупка!$K$26:$L$87,MATCH($F84&amp;"8komm",Покупка!$K$26:$K$87,0),2),"")=0,"",_xlfn.IFERROR(INDEX(Покупка!$K$26:$L$87,MATCH($F84&amp;"8komm",Покупка!$K$26:$K$87,0),2),""))</f>
        <v/>
      </c>
      <c r="BP84" s="1234"/>
      <c r="BQ84" s="1256"/>
      <c r="BR84" s="1256"/>
      <c r="BS84" s="1041" t="s">
        <v>1028</v>
      </c>
      <c r="BT84" s="1041"/>
      <c r="BU84" s="1041"/>
      <c r="BV84" s="956"/>
      <c r="BW84" s="956"/>
    </row>
    <row customHeight="1" ht="14.625" hidden="1">
      <c r="A85" s="1256"/>
      <c r="B85" s="62"/>
      <c r="C85" s="73"/>
      <c r="D85" s="73"/>
      <c r="E85" s="596">
        <v>15</v>
      </c>
      <c r="F85" s="50" cm="1" t="str">
        <f t="array" ref="F85:F85">OFFSET(E85,-1,1)</f>
        <v>0</v>
      </c>
      <c r="G85" s="73"/>
      <c r="H85" s="73"/>
      <c r="I85" s="73" t="s">
        <v>1892</v>
      </c>
      <c r="J85" s="73"/>
      <c r="K85" s="73" t="s">
        <v>1892</v>
      </c>
      <c r="L85" s="957"/>
      <c r="M85" s="73"/>
      <c r="N85" s="73"/>
      <c r="O85" s="73"/>
      <c r="P85" s="73"/>
      <c r="Q85" s="73"/>
      <c r="R85" s="73"/>
      <c r="S85" s="73"/>
      <c r="T85" s="438" cm="1" t="str">
        <f t="array" ref="T85:T85">T84</f>
        <v>false</v>
      </c>
      <c r="U85" s="73"/>
      <c r="V85" s="73"/>
      <c r="W85" s="1256"/>
      <c r="X85" s="1511"/>
      <c r="Y85" s="1256"/>
      <c r="Z85" s="1494"/>
      <c r="AA85" s="1256"/>
      <c r="AB85" s="265" t="s">
        <v>1893</v>
      </c>
      <c r="AC85" s="741" t="s">
        <v>1894</v>
      </c>
      <c r="AD85" s="266" t="s">
        <v>789</v>
      </c>
      <c r="AE85" s="1233"/>
      <c r="AF85" s="1233"/>
      <c r="AG85" s="1233"/>
      <c r="AH85" s="920">
        <f>AG85-AF85</f>
        <v>0</v>
      </c>
      <c r="AI85" s="1231"/>
      <c r="AJ85" s="3707"/>
      <c r="AK85" s="1231"/>
      <c r="AL85" s="1231"/>
      <c r="AM85" s="1231"/>
      <c r="AN85" s="1231"/>
      <c r="AO85" s="1231"/>
      <c r="AP85" s="1231"/>
      <c r="AQ85" s="1231"/>
      <c r="AR85" s="1231"/>
      <c r="AS85" s="1231"/>
      <c r="AT85" s="3707"/>
      <c r="AU85" s="1231"/>
      <c r="AV85" s="1231"/>
      <c r="AW85" s="1231"/>
      <c r="AX85" s="1231"/>
      <c r="AY85" s="1231"/>
      <c r="AZ85" s="1231"/>
      <c r="BA85" s="1231"/>
      <c r="BB85" s="1231"/>
      <c r="BC85" s="1231"/>
      <c r="BD85" s="920">
        <f>IF(AI85=0,0,(AT85-AI85)/AI85*100)</f>
        <v>0</v>
      </c>
      <c r="BE85" s="920">
        <f>IF(AT85=0,0,(AU85-AT85)/AT85*100)</f>
        <v>0</v>
      </c>
      <c r="BF85" s="920">
        <f>IF(AU85=0,0,(AV85-AU85)/AU85*100)</f>
        <v>0</v>
      </c>
      <c r="BG85" s="920">
        <f>IF(AV85=0,0,(AW85-AV85)/AV85*100)</f>
        <v>0</v>
      </c>
      <c r="BH85" s="920">
        <f>IF(AW85=0,0,(AX85-AW85)/AW85*100)</f>
        <v>0</v>
      </c>
      <c r="BI85" s="920">
        <f>IF(AX85=0,0,(AY85-AX85)/AX85*100)</f>
        <v>0</v>
      </c>
      <c r="BJ85" s="920">
        <f>IF(AY85=0,0,(AZ85-AY85)/AY85*100)</f>
        <v>0</v>
      </c>
      <c r="BK85" s="920">
        <f>IF(AZ85=0,0,(BA85-AZ85)/AZ85*100)</f>
        <v>0</v>
      </c>
      <c r="BL85" s="920">
        <f>IF(BA85=0,0,(BB85-BA85)/BA85*100)</f>
        <v>0</v>
      </c>
      <c r="BM85" s="920">
        <f>IF(BB85=0,0,(BC85-BB85)/BB85*100)</f>
        <v>0</v>
      </c>
      <c r="BN85" s="1234"/>
      <c r="BO85" s="1234"/>
      <c r="BP85" s="1234"/>
      <c r="BQ85" s="1256"/>
      <c r="BR85" s="1256"/>
      <c r="BS85" s="1041" t="s">
        <v>1895</v>
      </c>
      <c r="BT85" s="1041"/>
      <c r="BU85" s="1041"/>
      <c r="BV85" s="956"/>
      <c r="BW85" s="956"/>
    </row>
    <row customHeight="1" ht="14.625" hidden="1">
      <c r="A86" s="1256"/>
      <c r="B86" s="62"/>
      <c r="C86" s="73"/>
      <c r="D86" s="73"/>
      <c r="E86" s="596">
        <v>15</v>
      </c>
      <c r="F86" s="50" cm="1" t="str">
        <f t="array" ref="F86:F86">OFFSET(E86,-1,1)</f>
        <v>0</v>
      </c>
      <c r="G86" s="73"/>
      <c r="H86" s="73"/>
      <c r="I86" s="73" t="s">
        <v>1896</v>
      </c>
      <c r="J86" s="73"/>
      <c r="K86" s="73" t="s">
        <v>1896</v>
      </c>
      <c r="L86" s="957"/>
      <c r="M86" s="73"/>
      <c r="N86" s="73"/>
      <c r="O86" s="73"/>
      <c r="P86" s="73"/>
      <c r="Q86" s="73"/>
      <c r="R86" s="73"/>
      <c r="S86" s="73"/>
      <c r="T86" s="438" cm="1" t="str">
        <f t="array" ref="T86:T86">T85</f>
        <v>false</v>
      </c>
      <c r="U86" s="73"/>
      <c r="V86" s="73"/>
      <c r="W86" s="1256"/>
      <c r="X86" s="1511"/>
      <c r="Y86" s="1256"/>
      <c r="Z86" s="1494"/>
      <c r="AA86" s="1256"/>
      <c r="AB86" s="265" t="s">
        <v>1897</v>
      </c>
      <c r="AC86" s="741" t="s">
        <v>1898</v>
      </c>
      <c r="AD86" s="266" t="s">
        <v>789</v>
      </c>
      <c r="AE86" s="1233"/>
      <c r="AF86" s="1233"/>
      <c r="AG86" s="1233"/>
      <c r="AH86" s="920">
        <f>AG86-AF86</f>
        <v>0</v>
      </c>
      <c r="AI86" s="1231"/>
      <c r="AJ86" s="3707"/>
      <c r="AK86" s="1231"/>
      <c r="AL86" s="1231"/>
      <c r="AM86" s="1231"/>
      <c r="AN86" s="1231"/>
      <c r="AO86" s="1231"/>
      <c r="AP86" s="1231"/>
      <c r="AQ86" s="1231"/>
      <c r="AR86" s="1231"/>
      <c r="AS86" s="1231"/>
      <c r="AT86" s="3707"/>
      <c r="AU86" s="1231"/>
      <c r="AV86" s="1231"/>
      <c r="AW86" s="1231"/>
      <c r="AX86" s="1231"/>
      <c r="AY86" s="1231"/>
      <c r="AZ86" s="1231"/>
      <c r="BA86" s="1231"/>
      <c r="BB86" s="1231"/>
      <c r="BC86" s="1231"/>
      <c r="BD86" s="920">
        <f>IF(AI86=0,0,(AT86-AI86)/AI86*100)</f>
        <v>0</v>
      </c>
      <c r="BE86" s="920">
        <f>IF(AT86=0,0,(AU86-AT86)/AT86*100)</f>
        <v>0</v>
      </c>
      <c r="BF86" s="920">
        <f>IF(AU86=0,0,(AV86-AU86)/AU86*100)</f>
        <v>0</v>
      </c>
      <c r="BG86" s="920">
        <f>IF(AV86=0,0,(AW86-AV86)/AV86*100)</f>
        <v>0</v>
      </c>
      <c r="BH86" s="920">
        <f>IF(AW86=0,0,(AX86-AW86)/AW86*100)</f>
        <v>0</v>
      </c>
      <c r="BI86" s="920">
        <f>IF(AX86=0,0,(AY86-AX86)/AX86*100)</f>
        <v>0</v>
      </c>
      <c r="BJ86" s="920">
        <f>IF(AY86=0,0,(AZ86-AY86)/AY86*100)</f>
        <v>0</v>
      </c>
      <c r="BK86" s="920">
        <f>IF(AZ86=0,0,(BA86-AZ86)/AZ86*100)</f>
        <v>0</v>
      </c>
      <c r="BL86" s="920">
        <f>IF(BA86=0,0,(BB86-BA86)/BA86*100)</f>
        <v>0</v>
      </c>
      <c r="BM86" s="920">
        <f>IF(BB86=0,0,(BC86-BB86)/BB86*100)</f>
        <v>0</v>
      </c>
      <c r="BN86" s="1234"/>
      <c r="BO86" s="1234"/>
      <c r="BP86" s="1234"/>
      <c r="BQ86" s="1256"/>
      <c r="BR86" s="1256"/>
      <c r="BS86" s="1041" t="s">
        <v>1899</v>
      </c>
      <c r="BT86" s="1041"/>
      <c r="BU86" s="1041"/>
      <c r="BV86" s="956"/>
      <c r="BW86" s="956"/>
    </row>
    <row customHeight="1" ht="14.625" hidden="1">
      <c r="A87" s="1256"/>
      <c r="B87" s="62"/>
      <c r="C87" s="73"/>
      <c r="D87" s="73"/>
      <c r="E87" s="596">
        <v>15</v>
      </c>
      <c r="F87" s="50" cm="1" t="str">
        <f t="array" ref="F87:F87">OFFSET(E87,-1,1)</f>
        <v>0</v>
      </c>
      <c r="G87" s="73" t="s">
        <v>1005</v>
      </c>
      <c r="H87" s="73"/>
      <c r="I87" s="73" t="s">
        <v>1900</v>
      </c>
      <c r="J87" s="73"/>
      <c r="K87" s="73" t="s">
        <v>1900</v>
      </c>
      <c r="L87" s="957" t="s">
        <v>1392</v>
      </c>
      <c r="M87" s="73"/>
      <c r="N87" s="73"/>
      <c r="O87" s="73"/>
      <c r="P87" s="73"/>
      <c r="Q87" s="73"/>
      <c r="R87" s="73"/>
      <c r="S87" s="73"/>
      <c r="T87" s="438" cm="1" t="str">
        <f t="array" ref="T87:T87">T86</f>
        <v>false</v>
      </c>
      <c r="U87" s="73"/>
      <c r="V87" s="73"/>
      <c r="W87" s="1256"/>
      <c r="X87" s="1511"/>
      <c r="Y87" s="1256"/>
      <c r="Z87" s="1494"/>
      <c r="AA87" s="1256"/>
      <c r="AB87" s="265" t="s">
        <v>1901</v>
      </c>
      <c r="AC87" s="741" t="s">
        <v>1902</v>
      </c>
      <c r="AD87" s="266" t="s">
        <v>789</v>
      </c>
      <c r="AE87" s="225">
        <f>_xlfn.SUMIFS(Покупка!AE$25:AE$87,Покупка!$F$25:$F$87,$F87,Покупка!$AC$25:$AC$87,$G87)</f>
        <v>0</v>
      </c>
      <c r="AF87" s="225">
        <f>_xlfn.SUMIFS(Покупка!AF$25:AF$87,Покупка!$F$25:$F$87,$F87,Покупка!$AC$25:$AC$87,$G87)</f>
        <v>0</v>
      </c>
      <c r="AG87" s="225">
        <f>_xlfn.SUMIFS(Покупка!AG$25:AG$87,Покупка!$F$25:$F$87,$F87,Покупка!$AC$25:$AC$87,$G87)</f>
        <v>0</v>
      </c>
      <c r="AH87" s="920">
        <f>AG87-AF87</f>
        <v>0</v>
      </c>
      <c r="AI87" s="920">
        <f>_xlfn.SUMIFS(Покупка!AH$25:AH$87,Покупка!$F$25:$F$87,$F87,Покупка!$AC$25:$AC$87,$G87)</f>
        <v>0</v>
      </c>
      <c r="AJ87" s="920">
        <f>_xlfn.SUMIFS(Покупка!AI$25:AI$87,Покупка!$F$25:$F$87,$F87,Покупка!$AC$25:$AC$87,$G87)</f>
        <v>0</v>
      </c>
      <c r="AK87" s="920">
        <f>_xlfn.SUMIFS(Покупка!AJ$25:AJ$87,Покупка!$F$25:$F$87,$F87,Покупка!$AC$25:$AC$87,$G87)</f>
        <v>0</v>
      </c>
      <c r="AL87" s="920">
        <f>_xlfn.SUMIFS(Покупка!AK$25:AK$87,Покупка!$F$25:$F$87,$F87,Покупка!$AC$25:$AC$87,$G87)</f>
        <v>0</v>
      </c>
      <c r="AM87" s="920">
        <f>_xlfn.SUMIFS(Покупка!AL$25:AL$87,Покупка!$F$25:$F$87,$F87,Покупка!$AC$25:$AC$87,$G87)</f>
        <v>0</v>
      </c>
      <c r="AN87" s="920">
        <f>_xlfn.SUMIFS(Покупка!AM$25:AM$87,Покупка!$F$25:$F$87,$F87,Покупка!$AC$25:$AC$87,$G87)</f>
        <v>0</v>
      </c>
      <c r="AO87" s="920">
        <f>_xlfn.SUMIFS(Покупка!AN$25:AN$87,Покупка!$F$25:$F$87,$F87,Покупка!$AC$25:$AC$87,$G87)</f>
        <v>0</v>
      </c>
      <c r="AP87" s="920">
        <f>_xlfn.SUMIFS(Покупка!AO$25:AO$87,Покупка!$F$25:$F$87,$F87,Покупка!$AC$25:$AC$87,$G87)</f>
        <v>0</v>
      </c>
      <c r="AQ87" s="920">
        <f>_xlfn.SUMIFS(Покупка!AP$25:AP$87,Покупка!$F$25:$F$87,$F87,Покупка!$AC$25:$AC$87,$G87)</f>
        <v>0</v>
      </c>
      <c r="AR87" s="920">
        <f>_xlfn.SUMIFS(Покупка!AQ$25:AQ$87,Покупка!$F$25:$F$87,$F87,Покупка!$AC$25:$AC$87,$G87)</f>
        <v>0</v>
      </c>
      <c r="AS87" s="920">
        <f>_xlfn.SUMIFS(Покупка!AR$25:AR$87,Покупка!$F$25:$F$87,$F87,Покупка!$AC$25:$AC$87,$G87)</f>
        <v>0</v>
      </c>
      <c r="AT87" s="920">
        <f>_xlfn.SUMIFS(Покупка!AS$25:AS$87,Покупка!$F$25:$F$87,$F87,Покупка!$AC$25:$AC$87,$G87)</f>
        <v>0</v>
      </c>
      <c r="AU87" s="920">
        <f>_xlfn.SUMIFS(Покупка!AT$25:AT$87,Покупка!$F$25:$F$87,$F87,Покупка!$AC$25:$AC$87,$G87)</f>
        <v>0</v>
      </c>
      <c r="AV87" s="920">
        <f>_xlfn.SUMIFS(Покупка!AU$25:AU$87,Покупка!$F$25:$F$87,$F87,Покупка!$AC$25:$AC$87,$G87)</f>
        <v>0</v>
      </c>
      <c r="AW87" s="920">
        <f>_xlfn.SUMIFS(Покупка!AV$25:AV$87,Покупка!$F$25:$F$87,$F87,Покупка!$AC$25:$AC$87,$G87)</f>
        <v>0</v>
      </c>
      <c r="AX87" s="920">
        <f>_xlfn.SUMIFS(Покупка!AW$25:AW$87,Покупка!$F$25:$F$87,$F87,Покупка!$AC$25:$AC$87,$G87)</f>
        <v>0</v>
      </c>
      <c r="AY87" s="920">
        <f>_xlfn.SUMIFS(Покупка!AX$25:AX$87,Покупка!$F$25:$F$87,$F87,Покупка!$AC$25:$AC$87,$G87)</f>
        <v>0</v>
      </c>
      <c r="AZ87" s="920">
        <f>_xlfn.SUMIFS(Покупка!AY$25:AY$87,Покупка!$F$25:$F$87,$F87,Покупка!$AC$25:$AC$87,$G87)</f>
        <v>0</v>
      </c>
      <c r="BA87" s="920">
        <f>_xlfn.SUMIFS(Покупка!AZ$25:AZ$87,Покупка!$F$25:$F$87,$F87,Покупка!$AC$25:$AC$87,$G87)</f>
        <v>0</v>
      </c>
      <c r="BB87" s="920">
        <f>_xlfn.SUMIFS(Покупка!BA$25:BA$87,Покупка!$F$25:$F$87,$F87,Покупка!$AC$25:$AC$87,$G87)</f>
        <v>0</v>
      </c>
      <c r="BC87" s="920">
        <f>_xlfn.SUMIFS(Покупка!BB$25:BB$87,Покупка!$F$25:$F$87,$F87,Покупка!$AC$25:$AC$87,$G87)</f>
        <v>0</v>
      </c>
      <c r="BD87" s="920">
        <f>IF(AI87=0,0,(AT87-AI87)/AI87*100)</f>
        <v>0</v>
      </c>
      <c r="BE87" s="920">
        <f>IF(AT87=0,0,(AU87-AT87)/AT87*100)</f>
        <v>0</v>
      </c>
      <c r="BF87" s="920">
        <f>IF(AU87=0,0,(AV87-AU87)/AU87*100)</f>
        <v>0</v>
      </c>
      <c r="BG87" s="920">
        <f>IF(AV87=0,0,(AW87-AV87)/AV87*100)</f>
        <v>0</v>
      </c>
      <c r="BH87" s="920">
        <f>IF(AW87=0,0,(AX87-AW87)/AW87*100)</f>
        <v>0</v>
      </c>
      <c r="BI87" s="920">
        <f>IF(AX87=0,0,(AY87-AX87)/AX87*100)</f>
        <v>0</v>
      </c>
      <c r="BJ87" s="920">
        <f>IF(AY87=0,0,(AZ87-AY87)/AY87*100)</f>
        <v>0</v>
      </c>
      <c r="BK87" s="920">
        <f>IF(AZ87=0,0,(BA87-AZ87)/AZ87*100)</f>
        <v>0</v>
      </c>
      <c r="BL87" s="920">
        <f>IF(BA87=0,0,(BB87-BA87)/BA87*100)</f>
        <v>0</v>
      </c>
      <c r="BM87" s="920">
        <f>IF(BB87=0,0,(BC87-BB87)/BB87*100)</f>
        <v>0</v>
      </c>
      <c r="BN87" s="1234"/>
      <c r="BO87" s="1232" t="str">
        <f>IF(_xlfn.IFERROR(INDEX(Покупка!$K$26:$L$87,MATCH($F87&amp;"3komm",Покупка!$K$26:$K$87,0),2),"")=0,"",_xlfn.IFERROR(INDEX(Покупка!$K$26:$L$87,MATCH($F87&amp;"3komm",Покупка!$K$26:$K$87,0),2),""))</f>
        <v/>
      </c>
      <c r="BP87" s="1234"/>
      <c r="BQ87" s="1256"/>
      <c r="BR87" s="1256"/>
      <c r="BS87" s="1041" t="s">
        <v>1593</v>
      </c>
      <c r="BT87" s="1041"/>
      <c r="BU87" s="1041"/>
      <c r="BV87" s="956"/>
      <c r="BW87" s="956"/>
    </row>
    <row customHeight="1" ht="14.625" hidden="1">
      <c r="A88" s="1256"/>
      <c r="B88" s="62"/>
      <c r="C88" s="73"/>
      <c r="D88" s="73"/>
      <c r="E88" s="596">
        <v>15</v>
      </c>
      <c r="F88" s="50" cm="1" t="str">
        <f t="array" ref="F88:F88">OFFSET(E88,-1,1)</f>
        <v>0</v>
      </c>
      <c r="G88" s="73" t="s">
        <v>1011</v>
      </c>
      <c r="H88" s="73"/>
      <c r="I88" s="73" t="s">
        <v>1903</v>
      </c>
      <c r="J88" s="73"/>
      <c r="K88" s="73" t="s">
        <v>1903</v>
      </c>
      <c r="L88" s="957" t="s">
        <v>1397</v>
      </c>
      <c r="M88" s="73"/>
      <c r="N88" s="73"/>
      <c r="O88" s="73"/>
      <c r="P88" s="73"/>
      <c r="Q88" s="73"/>
      <c r="R88" s="73"/>
      <c r="S88" s="73"/>
      <c r="T88" s="438" cm="1" t="str">
        <f t="array" ref="T88:T88">T87</f>
        <v>false</v>
      </c>
      <c r="U88" s="73"/>
      <c r="V88" s="73"/>
      <c r="W88" s="1256"/>
      <c r="X88" s="1511"/>
      <c r="Y88" s="1256"/>
      <c r="Z88" s="1494"/>
      <c r="AA88" s="1256"/>
      <c r="AB88" s="265" t="s">
        <v>1904</v>
      </c>
      <c r="AC88" s="741" t="s">
        <v>1905</v>
      </c>
      <c r="AD88" s="266" t="s">
        <v>789</v>
      </c>
      <c r="AE88" s="225">
        <f>_xlfn.SUMIFS(Покупка!AE$25:AE$87,Покупка!$F$25:$F$87,$F88,Покупка!$AC$25:$AC$87,$G88)</f>
        <v>0</v>
      </c>
      <c r="AF88" s="225">
        <f>_xlfn.SUMIFS(Покупка!AF$25:AF$87,Покупка!$F$25:$F$87,$F88,Покупка!$AC$25:$AC$87,$G88)</f>
        <v>0</v>
      </c>
      <c r="AG88" s="225">
        <f>_xlfn.SUMIFS(Покупка!AG$25:AG$87,Покупка!$F$25:$F$87,$F88,Покупка!$AC$25:$AC$87,$G88)</f>
        <v>0</v>
      </c>
      <c r="AH88" s="920">
        <f>AG88-AF88</f>
        <v>0</v>
      </c>
      <c r="AI88" s="920">
        <f>_xlfn.SUMIFS(Покупка!AH$25:AH$87,Покупка!$F$25:$F$87,$F88,Покупка!$AC$25:$AC$87,$G88)</f>
        <v>0</v>
      </c>
      <c r="AJ88" s="920">
        <f>_xlfn.SUMIFS(Покупка!AI$25:AI$87,Покупка!$F$25:$F$87,$F88,Покупка!$AC$25:$AC$87,$G88)</f>
        <v>0</v>
      </c>
      <c r="AK88" s="920">
        <f>_xlfn.SUMIFS(Покупка!AJ$25:AJ$87,Покупка!$F$25:$F$87,$F88,Покупка!$AC$25:$AC$87,$G88)</f>
        <v>0</v>
      </c>
      <c r="AL88" s="920">
        <f>_xlfn.SUMIFS(Покупка!AK$25:AK$87,Покупка!$F$25:$F$87,$F88,Покупка!$AC$25:$AC$87,$G88)</f>
        <v>0</v>
      </c>
      <c r="AM88" s="920">
        <f>_xlfn.SUMIFS(Покупка!AL$25:AL$87,Покупка!$F$25:$F$87,$F88,Покупка!$AC$25:$AC$87,$G88)</f>
        <v>0</v>
      </c>
      <c r="AN88" s="920">
        <f>_xlfn.SUMIFS(Покупка!AM$25:AM$87,Покупка!$F$25:$F$87,$F88,Покупка!$AC$25:$AC$87,$G88)</f>
        <v>0</v>
      </c>
      <c r="AO88" s="920">
        <f>_xlfn.SUMIFS(Покупка!AN$25:AN$87,Покупка!$F$25:$F$87,$F88,Покупка!$AC$25:$AC$87,$G88)</f>
        <v>0</v>
      </c>
      <c r="AP88" s="920">
        <f>_xlfn.SUMIFS(Покупка!AO$25:AO$87,Покупка!$F$25:$F$87,$F88,Покупка!$AC$25:$AC$87,$G88)</f>
        <v>0</v>
      </c>
      <c r="AQ88" s="920">
        <f>_xlfn.SUMIFS(Покупка!AP$25:AP$87,Покупка!$F$25:$F$87,$F88,Покупка!$AC$25:$AC$87,$G88)</f>
        <v>0</v>
      </c>
      <c r="AR88" s="920">
        <f>_xlfn.SUMIFS(Покупка!AQ$25:AQ$87,Покупка!$F$25:$F$87,$F88,Покупка!$AC$25:$AC$87,$G88)</f>
        <v>0</v>
      </c>
      <c r="AS88" s="920">
        <f>_xlfn.SUMIFS(Покупка!AR$25:AR$87,Покупка!$F$25:$F$87,$F88,Покупка!$AC$25:$AC$87,$G88)</f>
        <v>0</v>
      </c>
      <c r="AT88" s="920">
        <f>_xlfn.SUMIFS(Покупка!AS$25:AS$87,Покупка!$F$25:$F$87,$F88,Покупка!$AC$25:$AC$87,$G88)</f>
        <v>0</v>
      </c>
      <c r="AU88" s="920">
        <f>_xlfn.SUMIFS(Покупка!AT$25:AT$87,Покупка!$F$25:$F$87,$F88,Покупка!$AC$25:$AC$87,$G88)</f>
        <v>0</v>
      </c>
      <c r="AV88" s="920">
        <f>_xlfn.SUMIFS(Покупка!AU$25:AU$87,Покупка!$F$25:$F$87,$F88,Покупка!$AC$25:$AC$87,$G88)</f>
        <v>0</v>
      </c>
      <c r="AW88" s="920">
        <f>_xlfn.SUMIFS(Покупка!AV$25:AV$87,Покупка!$F$25:$F$87,$F88,Покупка!$AC$25:$AC$87,$G88)</f>
        <v>0</v>
      </c>
      <c r="AX88" s="920">
        <f>_xlfn.SUMIFS(Покупка!AW$25:AW$87,Покупка!$F$25:$F$87,$F88,Покупка!$AC$25:$AC$87,$G88)</f>
        <v>0</v>
      </c>
      <c r="AY88" s="920">
        <f>_xlfn.SUMIFS(Покупка!AX$25:AX$87,Покупка!$F$25:$F$87,$F88,Покупка!$AC$25:$AC$87,$G88)</f>
        <v>0</v>
      </c>
      <c r="AZ88" s="920">
        <f>_xlfn.SUMIFS(Покупка!AY$25:AY$87,Покупка!$F$25:$F$87,$F88,Покупка!$AC$25:$AC$87,$G88)</f>
        <v>0</v>
      </c>
      <c r="BA88" s="920">
        <f>_xlfn.SUMIFS(Покупка!AZ$25:AZ$87,Покупка!$F$25:$F$87,$F88,Покупка!$AC$25:$AC$87,$G88)</f>
        <v>0</v>
      </c>
      <c r="BB88" s="920">
        <f>_xlfn.SUMIFS(Покупка!BA$25:BA$87,Покупка!$F$25:$F$87,$F88,Покупка!$AC$25:$AC$87,$G88)</f>
        <v>0</v>
      </c>
      <c r="BC88" s="920">
        <f>_xlfn.SUMIFS(Покупка!BB$25:BB$87,Покупка!$F$25:$F$87,$F88,Покупка!$AC$25:$AC$87,$G88)</f>
        <v>0</v>
      </c>
      <c r="BD88" s="920">
        <f>IF(AI88=0,0,(AT88-AI88)/AI88*100)</f>
        <v>0</v>
      </c>
      <c r="BE88" s="920">
        <f>IF(AT88=0,0,(AU88-AT88)/AT88*100)</f>
        <v>0</v>
      </c>
      <c r="BF88" s="920">
        <f>IF(AU88=0,0,(AV88-AU88)/AU88*100)</f>
        <v>0</v>
      </c>
      <c r="BG88" s="920">
        <f>IF(AV88=0,0,(AW88-AV88)/AV88*100)</f>
        <v>0</v>
      </c>
      <c r="BH88" s="920">
        <f>IF(AW88=0,0,(AX88-AW88)/AW88*100)</f>
        <v>0</v>
      </c>
      <c r="BI88" s="920">
        <f>IF(AX88=0,0,(AY88-AX88)/AX88*100)</f>
        <v>0</v>
      </c>
      <c r="BJ88" s="920">
        <f>IF(AY88=0,0,(AZ88-AY88)/AY88*100)</f>
        <v>0</v>
      </c>
      <c r="BK88" s="920">
        <f>IF(AZ88=0,0,(BA88-AZ88)/AZ88*100)</f>
        <v>0</v>
      </c>
      <c r="BL88" s="920">
        <f>IF(BA88=0,0,(BB88-BA88)/BA88*100)</f>
        <v>0</v>
      </c>
      <c r="BM88" s="920">
        <f>IF(BB88=0,0,(BC88-BB88)/BB88*100)</f>
        <v>0</v>
      </c>
      <c r="BN88" s="1234"/>
      <c r="BO88" s="1232" t="str">
        <f>IF(_xlfn.IFERROR(INDEX(Покупка!$K$26:$L$87,MATCH($F88&amp;"4komm",Покупка!$K$26:$K$87,0),2),"")=0,"",_xlfn.IFERROR(INDEX(Покупка!$K$26:$L$87,MATCH($F87&amp;"3komm",Покупка!$K$26:$K$87,0),2),""))</f>
        <v/>
      </c>
      <c r="BP88" s="1234"/>
      <c r="BQ88" s="1256"/>
      <c r="BR88" s="1256"/>
      <c r="BS88" s="1041" t="s">
        <v>1596</v>
      </c>
      <c r="BT88" s="1041"/>
      <c r="BU88" s="1041"/>
      <c r="BV88" s="956"/>
      <c r="BW88" s="956"/>
    </row>
    <row customHeight="1" ht="14.625" hidden="1">
      <c r="A89" s="1256"/>
      <c r="B89" s="62"/>
      <c r="C89" s="73"/>
      <c r="D89" s="73"/>
      <c r="E89" s="596">
        <v>15</v>
      </c>
      <c r="F89" s="50" cm="1" t="str">
        <f t="array" ref="F89:F89">OFFSET(E89,-1,1)</f>
        <v>0</v>
      </c>
      <c r="G89" s="73" t="s">
        <v>1017</v>
      </c>
      <c r="H89" s="73"/>
      <c r="I89" s="73" t="s">
        <v>1906</v>
      </c>
      <c r="J89" s="73"/>
      <c r="K89" s="73" t="s">
        <v>1906</v>
      </c>
      <c r="L89" s="957" t="s">
        <v>1407</v>
      </c>
      <c r="M89" s="73"/>
      <c r="N89" s="73"/>
      <c r="O89" s="73"/>
      <c r="P89" s="73"/>
      <c r="Q89" s="73"/>
      <c r="R89" s="73"/>
      <c r="S89" s="73"/>
      <c r="T89" s="438" cm="1" t="str">
        <f t="array" ref="T89:T89">T88</f>
        <v>false</v>
      </c>
      <c r="U89" s="73"/>
      <c r="V89" s="73"/>
      <c r="W89" s="1256"/>
      <c r="X89" s="1511"/>
      <c r="Y89" s="1256"/>
      <c r="Z89" s="1494"/>
      <c r="AA89" s="1256"/>
      <c r="AB89" s="265" t="s">
        <v>1907</v>
      </c>
      <c r="AC89" s="741" t="s">
        <v>1908</v>
      </c>
      <c r="AD89" s="266" t="s">
        <v>789</v>
      </c>
      <c r="AE89" s="225">
        <f>_xlfn.SUMIFS(Покупка!AE$25:AE$87,Покупка!$F$25:$F$87,$F89,Покупка!$AC$25:$AC$87,$G89)</f>
        <v>0</v>
      </c>
      <c r="AF89" s="225">
        <f>_xlfn.SUMIFS(Покупка!AF$25:AF$87,Покупка!$F$25:$F$87,$F89,Покупка!$AC$25:$AC$87,$G89)</f>
        <v>0</v>
      </c>
      <c r="AG89" s="225">
        <f>_xlfn.SUMIFS(Покупка!AG$25:AG$87,Покупка!$F$25:$F$87,$F89,Покупка!$AC$25:$AC$87,$G89)</f>
        <v>0</v>
      </c>
      <c r="AH89" s="920">
        <f>AG89-AF89</f>
        <v>0</v>
      </c>
      <c r="AI89" s="920">
        <f>_xlfn.SUMIFS(Покупка!AH$25:AH$87,Покупка!$F$25:$F$87,$F89,Покупка!$AC$25:$AC$87,$G89)</f>
        <v>0</v>
      </c>
      <c r="AJ89" s="920">
        <f>_xlfn.SUMIFS(Покупка!AI$25:AI$87,Покупка!$F$25:$F$87,$F89,Покупка!$AC$25:$AC$87,$G89)</f>
        <v>0</v>
      </c>
      <c r="AK89" s="920">
        <f>_xlfn.SUMIFS(Покупка!AJ$25:AJ$87,Покупка!$F$25:$F$87,$F89,Покупка!$AC$25:$AC$87,$G89)</f>
        <v>0</v>
      </c>
      <c r="AL89" s="920">
        <f>_xlfn.SUMIFS(Покупка!AK$25:AK$87,Покупка!$F$25:$F$87,$F89,Покупка!$AC$25:$AC$87,$G89)</f>
        <v>0</v>
      </c>
      <c r="AM89" s="920">
        <f>_xlfn.SUMIFS(Покупка!AL$25:AL$87,Покупка!$F$25:$F$87,$F89,Покупка!$AC$25:$AC$87,$G89)</f>
        <v>0</v>
      </c>
      <c r="AN89" s="920">
        <f>_xlfn.SUMIFS(Покупка!AM$25:AM$87,Покупка!$F$25:$F$87,$F89,Покупка!$AC$25:$AC$87,$G89)</f>
        <v>0</v>
      </c>
      <c r="AO89" s="920">
        <f>_xlfn.SUMIFS(Покупка!AN$25:AN$87,Покупка!$F$25:$F$87,$F89,Покупка!$AC$25:$AC$87,$G89)</f>
        <v>0</v>
      </c>
      <c r="AP89" s="920">
        <f>_xlfn.SUMIFS(Покупка!AO$25:AO$87,Покупка!$F$25:$F$87,$F89,Покупка!$AC$25:$AC$87,$G89)</f>
        <v>0</v>
      </c>
      <c r="AQ89" s="920">
        <f>_xlfn.SUMIFS(Покупка!AP$25:AP$87,Покупка!$F$25:$F$87,$F89,Покупка!$AC$25:$AC$87,$G89)</f>
        <v>0</v>
      </c>
      <c r="AR89" s="920">
        <f>_xlfn.SUMIFS(Покупка!AQ$25:AQ$87,Покупка!$F$25:$F$87,$F89,Покупка!$AC$25:$AC$87,$G89)</f>
        <v>0</v>
      </c>
      <c r="AS89" s="920">
        <f>_xlfn.SUMIFS(Покупка!AR$25:AR$87,Покупка!$F$25:$F$87,$F89,Покупка!$AC$25:$AC$87,$G89)</f>
        <v>0</v>
      </c>
      <c r="AT89" s="920">
        <f>_xlfn.SUMIFS(Покупка!AS$25:AS$87,Покупка!$F$25:$F$87,$F89,Покупка!$AC$25:$AC$87,$G89)</f>
        <v>0</v>
      </c>
      <c r="AU89" s="920">
        <f>_xlfn.SUMIFS(Покупка!AT$25:AT$87,Покупка!$F$25:$F$87,$F89,Покупка!$AC$25:$AC$87,$G89)</f>
        <v>0</v>
      </c>
      <c r="AV89" s="920">
        <f>_xlfn.SUMIFS(Покупка!AU$25:AU$87,Покупка!$F$25:$F$87,$F89,Покупка!$AC$25:$AC$87,$G89)</f>
        <v>0</v>
      </c>
      <c r="AW89" s="920">
        <f>_xlfn.SUMIFS(Покупка!AV$25:AV$87,Покупка!$F$25:$F$87,$F89,Покупка!$AC$25:$AC$87,$G89)</f>
        <v>0</v>
      </c>
      <c r="AX89" s="920">
        <f>_xlfn.SUMIFS(Покупка!AW$25:AW$87,Покупка!$F$25:$F$87,$F89,Покупка!$AC$25:$AC$87,$G89)</f>
        <v>0</v>
      </c>
      <c r="AY89" s="920">
        <f>_xlfn.SUMIFS(Покупка!AX$25:AX$87,Покупка!$F$25:$F$87,$F89,Покупка!$AC$25:$AC$87,$G89)</f>
        <v>0</v>
      </c>
      <c r="AZ89" s="920">
        <f>_xlfn.SUMIFS(Покупка!AY$25:AY$87,Покупка!$F$25:$F$87,$F89,Покупка!$AC$25:$AC$87,$G89)</f>
        <v>0</v>
      </c>
      <c r="BA89" s="920">
        <f>_xlfn.SUMIFS(Покупка!AZ$25:AZ$87,Покупка!$F$25:$F$87,$F89,Покупка!$AC$25:$AC$87,$G89)</f>
        <v>0</v>
      </c>
      <c r="BB89" s="920">
        <f>_xlfn.SUMIFS(Покупка!BA$25:BA$87,Покупка!$F$25:$F$87,$F89,Покупка!$AC$25:$AC$87,$G89)</f>
        <v>0</v>
      </c>
      <c r="BC89" s="920">
        <f>_xlfn.SUMIFS(Покупка!BB$25:BB$87,Покупка!$F$25:$F$87,$F89,Покупка!$AC$25:$AC$87,$G89)</f>
        <v>0</v>
      </c>
      <c r="BD89" s="920">
        <f>IF(AI89=0,0,(AT89-AI89)/AI89*100)</f>
        <v>0</v>
      </c>
      <c r="BE89" s="920">
        <f>IF(AT89=0,0,(AU89-AT89)/AT89*100)</f>
        <v>0</v>
      </c>
      <c r="BF89" s="920">
        <f>IF(AU89=0,0,(AV89-AU89)/AU89*100)</f>
        <v>0</v>
      </c>
      <c r="BG89" s="920">
        <f>IF(AV89=0,0,(AW89-AV89)/AV89*100)</f>
        <v>0</v>
      </c>
      <c r="BH89" s="920">
        <f>IF(AW89=0,0,(AX89-AW89)/AW89*100)</f>
        <v>0</v>
      </c>
      <c r="BI89" s="920">
        <f>IF(AX89=0,0,(AY89-AX89)/AX89*100)</f>
        <v>0</v>
      </c>
      <c r="BJ89" s="920">
        <f>IF(AY89=0,0,(AZ89-AY89)/AY89*100)</f>
        <v>0</v>
      </c>
      <c r="BK89" s="920">
        <f>IF(AZ89=0,0,(BA89-AZ89)/AZ89*100)</f>
        <v>0</v>
      </c>
      <c r="BL89" s="920">
        <f>IF(BA89=0,0,(BB89-BA89)/BA89*100)</f>
        <v>0</v>
      </c>
      <c r="BM89" s="920">
        <f>IF(BB89=0,0,(BC89-BB89)/BB89*100)</f>
        <v>0</v>
      </c>
      <c r="BN89" s="1234"/>
      <c r="BO89" s="1232" t="str">
        <f>IF(_xlfn.IFERROR(INDEX(Покупка!$K$26:$L$87,MATCH($F89&amp;"5komm",Покупка!$K$26:$K$87,0),2),"")=0,"",_xlfn.IFERROR(INDEX(Покупка!$K$26:$L$87,MATCH($F89&amp;"5komm",Покупка!$K$26:$K$87,0),2),""))</f>
        <v/>
      </c>
      <c r="BP89" s="1234"/>
      <c r="BQ89" s="1256"/>
      <c r="BR89" s="1256"/>
      <c r="BS89" s="1041" t="s">
        <v>1599</v>
      </c>
      <c r="BT89" s="1041"/>
      <c r="BU89" s="1041"/>
      <c r="BV89" s="956"/>
      <c r="BW89" s="956"/>
    </row>
    <row s="1211" customFormat="1" customHeight="1" ht="14.625" hidden="1">
      <c r="A90" s="1211"/>
      <c r="B90" s="62"/>
      <c r="C90" s="73"/>
      <c r="D90" s="73"/>
      <c r="E90" s="596">
        <v>15</v>
      </c>
      <c r="F90" s="50" cm="1" t="str">
        <f t="array" ref="F90:F90">OFFSET(E90,-1,1)</f>
        <v>0</v>
      </c>
      <c r="G90" s="73" t="s">
        <v>1029</v>
      </c>
      <c r="H90" s="73"/>
      <c r="I90" s="73"/>
      <c r="J90" s="73"/>
      <c r="K90" s="73"/>
      <c r="L90" s="957" t="s">
        <v>1374</v>
      </c>
      <c r="M90" s="73"/>
      <c r="N90" s="73"/>
      <c r="O90" s="73"/>
      <c r="P90" s="73"/>
      <c r="Q90" s="73"/>
      <c r="R90" s="73"/>
      <c r="S90" s="73"/>
      <c r="T90" s="438" cm="1" t="str">
        <f t="array" ref="T90:T90">T89</f>
        <v>false</v>
      </c>
      <c r="U90" s="73"/>
      <c r="V90" s="73"/>
      <c r="W90" s="1211"/>
      <c r="X90" s="1511"/>
      <c r="Y90" s="1211"/>
      <c r="Z90" s="1494"/>
      <c r="AA90" s="1211"/>
      <c r="AB90" s="265" t="s">
        <v>1909</v>
      </c>
      <c r="AC90" s="741" t="s">
        <v>1910</v>
      </c>
      <c r="AD90" s="266" t="s">
        <v>789</v>
      </c>
      <c r="AE90" s="225">
        <f>_xlfn.SUMIFS(Покупка!AE$25:AE$87,Покупка!$F$25:$F$87,$F90,Покупка!$AC$25:$AC$87,$G90)</f>
        <v>0</v>
      </c>
      <c r="AF90" s="225">
        <f>_xlfn.SUMIFS(Покупка!AF$25:AF$87,Покупка!$F$25:$F$87,$F90,Покупка!$AC$25:$AC$87,$G90)</f>
        <v>0</v>
      </c>
      <c r="AG90" s="225">
        <f>_xlfn.SUMIFS(Покупка!AG$25:AG$87,Покупка!$F$25:$F$87,$F90,Покупка!$AC$25:$AC$87,$G90)</f>
        <v>0</v>
      </c>
      <c r="AH90" s="920">
        <f>AG90-AF90</f>
        <v>0</v>
      </c>
      <c r="AI90" s="920">
        <f>_xlfn.SUMIFS(Покупка!AH$25:AH$87,Покупка!$F$25:$F$87,$F90,Покупка!$AC$25:$AC$87,$G90)</f>
        <v>0</v>
      </c>
      <c r="AJ90" s="1094">
        <f>_xlfn.SUMIFS(Покупка!AI$25:AI$87,Покупка!$F$25:$F$87,$F90,Покупка!$AC$25:$AC$87,$G90)</f>
        <v>0</v>
      </c>
      <c r="AK90" s="1094">
        <f>_xlfn.SUMIFS(Покупка!AJ$25:AJ$87,Покупка!$F$25:$F$87,$F90,Покупка!$AC$25:$AC$87,$G90)</f>
        <v>0</v>
      </c>
      <c r="AL90" s="1094">
        <f>_xlfn.SUMIFS(Покупка!AK$25:AK$87,Покупка!$F$25:$F$87,$F90,Покупка!$AC$25:$AC$87,$G90)</f>
        <v>0</v>
      </c>
      <c r="AM90" s="1094">
        <f>_xlfn.SUMIFS(Покупка!AL$25:AL$87,Покупка!$F$25:$F$87,$F90,Покупка!$AC$25:$AC$87,$G90)</f>
        <v>0</v>
      </c>
      <c r="AN90" s="1094">
        <f>_xlfn.SUMIFS(Покупка!AM$25:AM$87,Покупка!$F$25:$F$87,$F90,Покупка!$AC$25:$AC$87,$G90)</f>
        <v>0</v>
      </c>
      <c r="AO90" s="1094">
        <f>_xlfn.SUMIFS(Покупка!AN$25:AN$87,Покупка!$F$25:$F$87,$F90,Покупка!$AC$25:$AC$87,$G90)</f>
        <v>0</v>
      </c>
      <c r="AP90" s="1094">
        <f>_xlfn.SUMIFS(Покупка!AO$25:AO$87,Покупка!$F$25:$F$87,$F90,Покупка!$AC$25:$AC$87,$G90)</f>
        <v>0</v>
      </c>
      <c r="AQ90" s="1094">
        <f>_xlfn.SUMIFS(Покупка!AP$25:AP$87,Покупка!$F$25:$F$87,$F90,Покупка!$AC$25:$AC$87,$G90)</f>
        <v>0</v>
      </c>
      <c r="AR90" s="1094">
        <f>_xlfn.SUMIFS(Покупка!AQ$25:AQ$87,Покупка!$F$25:$F$87,$F90,Покупка!$AC$25:$AC$87,$G90)</f>
        <v>0</v>
      </c>
      <c r="AS90" s="1094">
        <f>_xlfn.SUMIFS(Покупка!AR$25:AR$87,Покупка!$F$25:$F$87,$F90,Покупка!$AC$25:$AC$87,$G90)</f>
        <v>0</v>
      </c>
      <c r="AT90" s="1094">
        <f>_xlfn.SUMIFS(Покупка!AS$25:AS$87,Покупка!$F$25:$F$87,$F90,Покупка!$AC$25:$AC$87,$G90)</f>
        <v>0</v>
      </c>
      <c r="AU90" s="1094">
        <f>_xlfn.SUMIFS(Покупка!AT$25:AT$87,Покупка!$F$25:$F$87,$F90,Покупка!$AC$25:$AC$87,$G90)</f>
        <v>0</v>
      </c>
      <c r="AV90" s="1094">
        <f>_xlfn.SUMIFS(Покупка!AU$25:AU$87,Покупка!$F$25:$F$87,$F90,Покупка!$AC$25:$AC$87,$G90)</f>
        <v>0</v>
      </c>
      <c r="AW90" s="1094">
        <f>_xlfn.SUMIFS(Покупка!AV$25:AV$87,Покупка!$F$25:$F$87,$F90,Покупка!$AC$25:$AC$87,$G90)</f>
        <v>0</v>
      </c>
      <c r="AX90" s="1094">
        <f>_xlfn.SUMIFS(Покупка!AW$25:AW$87,Покупка!$F$25:$F$87,$F90,Покупка!$AC$25:$AC$87,$G90)</f>
        <v>0</v>
      </c>
      <c r="AY90" s="1094">
        <f>_xlfn.SUMIFS(Покупка!AX$25:AX$87,Покупка!$F$25:$F$87,$F90,Покупка!$AC$25:$AC$87,$G90)</f>
        <v>0</v>
      </c>
      <c r="AZ90" s="1094">
        <f>_xlfn.SUMIFS(Покупка!AY$25:AY$87,Покупка!$F$25:$F$87,$F90,Покупка!$AC$25:$AC$87,$G90)</f>
        <v>0</v>
      </c>
      <c r="BA90" s="1094">
        <f>_xlfn.SUMIFS(Покупка!AZ$25:AZ$87,Покупка!$F$25:$F$87,$F90,Покупка!$AC$25:$AC$87,$G90)</f>
        <v>0</v>
      </c>
      <c r="BB90" s="1094">
        <f>_xlfn.SUMIFS(Покупка!BA$25:BA$87,Покупка!$F$25:$F$87,$F90,Покупка!$AC$25:$AC$87,$G90)</f>
        <v>0</v>
      </c>
      <c r="BC90" s="1094">
        <f>_xlfn.SUMIFS(Покупка!BB$25:BB$87,Покупка!$F$25:$F$87,$F90,Покупка!$AC$25:$AC$87,$G90)</f>
        <v>0</v>
      </c>
      <c r="BD90" s="920">
        <f>IF(AI90=0,0,(AT90-AI90)/AI90*100)</f>
        <v>0</v>
      </c>
      <c r="BE90" s="920">
        <f>IF(AT90=0,0,(AU90-AT90)/AT90*100)</f>
        <v>0</v>
      </c>
      <c r="BF90" s="920">
        <f>IF(AU90=0,0,(AV90-AU90)/AU90*100)</f>
        <v>0</v>
      </c>
      <c r="BG90" s="920">
        <f>IF(AV90=0,0,(AW90-AV90)/AV90*100)</f>
        <v>0</v>
      </c>
      <c r="BH90" s="920">
        <f>IF(AW90=0,0,(AX90-AW90)/AW90*100)</f>
        <v>0</v>
      </c>
      <c r="BI90" s="920">
        <f>IF(AX90=0,0,(AY90-AX90)/AX90*100)</f>
        <v>0</v>
      </c>
      <c r="BJ90" s="920">
        <f>IF(AY90=0,0,(AZ90-AY90)/AY90*100)</f>
        <v>0</v>
      </c>
      <c r="BK90" s="920">
        <f>IF(AZ90=0,0,(BA90-AZ90)/AZ90*100)</f>
        <v>0</v>
      </c>
      <c r="BL90" s="920">
        <f>IF(BA90=0,0,(BB90-BA90)/BA90*100)</f>
        <v>0</v>
      </c>
      <c r="BM90" s="920">
        <f>IF(BB90=0,0,(BC90-BB90)/BB90*100)</f>
        <v>0</v>
      </c>
      <c r="BN90" s="1234"/>
      <c r="BO90" s="1232" t="str">
        <f>IF(_xlfn.IFERROR(INDEX(Покупка!$K$26:$L$87,MATCH($F90&amp;"9komm",Покупка!$K$26:$K$87,0),2),"")=0,"",_xlfn.IFERROR(INDEX(Покупка!$K$26:$L$87,MATCH($F90&amp;"9komm",Покупка!$K$26:$K$87,0),2),""))</f>
        <v/>
      </c>
      <c r="BP90" s="1234"/>
      <c r="BQ90" s="1211"/>
      <c r="BR90" s="1211"/>
      <c r="BS90" s="1041" t="s">
        <v>1030</v>
      </c>
      <c r="BT90" s="1041"/>
      <c r="BU90" s="1041"/>
      <c r="BV90" s="679"/>
      <c r="BW90" s="679"/>
    </row>
    <row customHeight="1" ht="14.625" hidden="1">
      <c r="A91" s="1256"/>
      <c r="B91" s="62"/>
      <c r="C91" s="73"/>
      <c r="D91" s="73"/>
      <c r="E91" s="596">
        <v>15</v>
      </c>
      <c r="F91" s="50" cm="1" t="str">
        <f t="array" ref="F91:F91">OFFSET(E91,-1,1)</f>
        <v>0</v>
      </c>
      <c r="G91" s="73"/>
      <c r="H91" s="73"/>
      <c r="I91" s="73" t="s">
        <v>455</v>
      </c>
      <c r="J91" s="73"/>
      <c r="K91" s="73" t="s">
        <v>455</v>
      </c>
      <c r="L91" s="957"/>
      <c r="M91" s="73"/>
      <c r="N91" s="73"/>
      <c r="O91" s="73"/>
      <c r="P91" s="73"/>
      <c r="Q91" s="73"/>
      <c r="R91" s="73"/>
      <c r="S91" s="73"/>
      <c r="T91" s="438" cm="1" t="str">
        <f t="array" ref="T91:T91">T90</f>
        <v>false</v>
      </c>
      <c r="U91" s="73"/>
      <c r="V91" s="73"/>
      <c r="W91" s="1256"/>
      <c r="X91" s="1511"/>
      <c r="Y91" s="1256"/>
      <c r="Z91" s="1494"/>
      <c r="AA91" s="1256"/>
      <c r="AB91" s="265" t="s">
        <v>513</v>
      </c>
      <c r="AC91" s="738" t="s">
        <v>1911</v>
      </c>
      <c r="AD91" s="755" t="s">
        <v>789</v>
      </c>
      <c r="AE91" s="225">
        <f>_xlfn.SUMIFS('Сырье и материалы'!AE$25:AE$35,'Сырье и материалы'!$F$25:$F$35,$F91,'Сырье и материалы'!$AC$25:$AC$35,"Всего по тарифу")</f>
        <v>0</v>
      </c>
      <c r="AF91" s="225">
        <f>_xlfn.SUMIFS('Сырье и материалы'!AF$25:AF$35,'Сырье и материалы'!$F$25:$F$35,$F91,'Сырье и материалы'!$AC$25:$AC$35,"Всего по тарифу")</f>
        <v>0</v>
      </c>
      <c r="AG91" s="225">
        <f>_xlfn.SUMIFS('Сырье и материалы'!AG$25:AG$35,'Сырье и материалы'!$F$25:$F$35,$F91,'Сырье и материалы'!$AC$25:$AC$35,"Всего по тарифу")</f>
        <v>0</v>
      </c>
      <c r="AH91" s="920">
        <f>AG91-AF91</f>
        <v>0</v>
      </c>
      <c r="AI91" s="920">
        <f>_xlfn.SUMIFS('Сырье и материалы'!AH$25:AH$35,'Сырье и материалы'!$F$25:$F$35,$F91,'Сырье и материалы'!$AC$25:$AC$35,"Всего по тарифу")</f>
        <v>0</v>
      </c>
      <c r="AJ91" s="920">
        <f>_xlfn.SUMIFS('Сырье и материалы'!AI$25:AI$35,'Сырье и материалы'!$F$25:$F$35,$F91,'Сырье и материалы'!$AC$25:$AC$35,"Всего по тарифу")</f>
        <v>0</v>
      </c>
      <c r="AK91" s="920">
        <f>_xlfn.SUMIFS('Сырье и материалы'!AJ$25:AJ$35,'Сырье и материалы'!$F$25:$F$35,$F91,'Сырье и материалы'!$AC$25:$AC$35,"Всего по тарифу")</f>
        <v>0</v>
      </c>
      <c r="AL91" s="920">
        <f>_xlfn.SUMIFS('Сырье и материалы'!AK$25:AK$35,'Сырье и материалы'!$F$25:$F$35,$F91,'Сырье и материалы'!$AC$25:$AC$35,"Всего по тарифу")</f>
        <v>0</v>
      </c>
      <c r="AM91" s="920">
        <f>_xlfn.SUMIFS('Сырье и материалы'!AL$25:AL$35,'Сырье и материалы'!$F$25:$F$35,$F91,'Сырье и материалы'!$AC$25:$AC$35,"Всего по тарифу")</f>
        <v>0</v>
      </c>
      <c r="AN91" s="920">
        <f>_xlfn.SUMIFS('Сырье и материалы'!AM$25:AM$35,'Сырье и материалы'!$F$25:$F$35,$F91,'Сырье и материалы'!$AC$25:$AC$35,"Всего по тарифу")</f>
        <v>0</v>
      </c>
      <c r="AO91" s="920">
        <f>_xlfn.SUMIFS('Сырье и материалы'!AN$25:AN$35,'Сырье и материалы'!$F$25:$F$35,$F91,'Сырье и материалы'!$AC$25:$AC$35,"Всего по тарифу")</f>
        <v>0</v>
      </c>
      <c r="AP91" s="920">
        <f>_xlfn.SUMIFS('Сырье и материалы'!AO$25:AO$35,'Сырье и материалы'!$F$25:$F$35,$F91,'Сырье и материалы'!$AC$25:$AC$35,"Всего по тарифу")</f>
        <v>0</v>
      </c>
      <c r="AQ91" s="920">
        <f>_xlfn.SUMIFS('Сырье и материалы'!AP$25:AP$35,'Сырье и материалы'!$F$25:$F$35,$F91,'Сырье и материалы'!$AC$25:$AC$35,"Всего по тарифу")</f>
        <v>0</v>
      </c>
      <c r="AR91" s="920">
        <f>_xlfn.SUMIFS('Сырье и материалы'!AQ$25:AQ$35,'Сырье и материалы'!$F$25:$F$35,$F91,'Сырье и материалы'!$AC$25:$AC$35,"Всего по тарифу")</f>
        <v>0</v>
      </c>
      <c r="AS91" s="920">
        <f>_xlfn.SUMIFS('Сырье и материалы'!AR$25:AR$35,'Сырье и материалы'!$F$25:$F$35,$F91,'Сырье и материалы'!$AC$25:$AC$35,"Всего по тарифу")</f>
        <v>0</v>
      </c>
      <c r="AT91" s="920">
        <f>_xlfn.SUMIFS('Сырье и материалы'!AS$25:AS$35,'Сырье и материалы'!$F$25:$F$35,$F91,'Сырье и материалы'!$AC$25:$AC$35,"Всего по тарифу")</f>
        <v>0</v>
      </c>
      <c r="AU91" s="920">
        <f>_xlfn.SUMIFS('Сырье и материалы'!AT$25:AT$35,'Сырье и материалы'!$F$25:$F$35,$F91,'Сырье и материалы'!$AC$25:$AC$35,"Всего по тарифу")</f>
        <v>0</v>
      </c>
      <c r="AV91" s="920">
        <f>_xlfn.SUMIFS('Сырье и материалы'!AU$25:AU$35,'Сырье и материалы'!$F$25:$F$35,$F91,'Сырье и материалы'!$AC$25:$AC$35,"Всего по тарифу")</f>
        <v>0</v>
      </c>
      <c r="AW91" s="920">
        <f>_xlfn.SUMIFS('Сырье и материалы'!AV$25:AV$35,'Сырье и материалы'!$F$25:$F$35,$F91,'Сырье и материалы'!$AC$25:$AC$35,"Всего по тарифу")</f>
        <v>0</v>
      </c>
      <c r="AX91" s="920">
        <f>_xlfn.SUMIFS('Сырье и материалы'!AW$25:AW$35,'Сырье и материалы'!$F$25:$F$35,$F91,'Сырье и материалы'!$AC$25:$AC$35,"Всего по тарифу")</f>
        <v>0</v>
      </c>
      <c r="AY91" s="920">
        <f>_xlfn.SUMIFS('Сырье и материалы'!AX$25:AX$35,'Сырье и материалы'!$F$25:$F$35,$F91,'Сырье и материалы'!$AC$25:$AC$35,"Всего по тарифу")</f>
        <v>0</v>
      </c>
      <c r="AZ91" s="920">
        <f>_xlfn.SUMIFS('Сырье и материалы'!AY$25:AY$35,'Сырье и материалы'!$F$25:$F$35,$F91,'Сырье и материалы'!$AC$25:$AC$35,"Всего по тарифу")</f>
        <v>0</v>
      </c>
      <c r="BA91" s="920">
        <f>_xlfn.SUMIFS('Сырье и материалы'!AZ$25:AZ$35,'Сырье и материалы'!$F$25:$F$35,$F91,'Сырье и материалы'!$AC$25:$AC$35,"Всего по тарифу")</f>
        <v>0</v>
      </c>
      <c r="BB91" s="920">
        <f>_xlfn.SUMIFS('Сырье и материалы'!BA$25:BA$35,'Сырье и материалы'!$F$25:$F$35,$F91,'Сырье и материалы'!$AC$25:$AC$35,"Всего по тарифу")</f>
        <v>0</v>
      </c>
      <c r="BC91" s="920">
        <f>_xlfn.SUMIFS('Сырье и материалы'!BB$25:BB$35,'Сырье и материалы'!$F$25:$F$35,$F91,'Сырье и материалы'!$AC$25:$AC$35,"Всего по тарифу")</f>
        <v>0</v>
      </c>
      <c r="BD91" s="920">
        <f>IF(AI91=0,0,(AT91-AI91)/AI91*100)</f>
        <v>0</v>
      </c>
      <c r="BE91" s="920">
        <f>IF(AT91=0,0,(AU91-AT91)/AT91*100)</f>
        <v>0</v>
      </c>
      <c r="BF91" s="920">
        <f>IF(AU91=0,0,(AV91-AU91)/AU91*100)</f>
        <v>0</v>
      </c>
      <c r="BG91" s="920">
        <f>IF(AV91=0,0,(AW91-AV91)/AV91*100)</f>
        <v>0</v>
      </c>
      <c r="BH91" s="920">
        <f>IF(AW91=0,0,(AX91-AW91)/AW91*100)</f>
        <v>0</v>
      </c>
      <c r="BI91" s="920">
        <f>IF(AX91=0,0,(AY91-AX91)/AX91*100)</f>
        <v>0</v>
      </c>
      <c r="BJ91" s="920">
        <f>IF(AY91=0,0,(AZ91-AY91)/AY91*100)</f>
        <v>0</v>
      </c>
      <c r="BK91" s="920">
        <f>IF(AZ91=0,0,(BA91-AZ91)/AZ91*100)</f>
        <v>0</v>
      </c>
      <c r="BL91" s="920">
        <f>IF(BA91=0,0,(BB91-BA91)/BA91*100)</f>
        <v>0</v>
      </c>
      <c r="BM91" s="920">
        <f>IF(BB91=0,0,(BC91-BB91)/BB91*100)</f>
        <v>0</v>
      </c>
      <c r="BN91" s="1234"/>
      <c r="BO91" s="1232" t="str">
        <f>IF(_xlfn.IFERROR(INDEX('Сырье и материалы'!$K$26:$L$35,MATCH($F91&amp;"komm",'Сырье и материалы'!$K$26:$K$35,0),2),"")=0,"",_xlfn.IFERROR(INDEX('Сырье и материалы'!$K$26:$L$35,MATCH($F91&amp;"komm",'Сырье и материалы'!$K$26:$K$35,0),2),""))</f>
        <v/>
      </c>
      <c r="BP91" s="1234"/>
      <c r="BQ91" s="1256"/>
      <c r="BR91" s="1256"/>
      <c r="BS91" s="1041" t="s">
        <v>1572</v>
      </c>
      <c r="BT91" s="1041"/>
      <c r="BU91" s="1041"/>
      <c r="BV91" s="956"/>
      <c r="BW91" s="956"/>
    </row>
    <row s="676" customFormat="1" customHeight="1" ht="20.475" hidden="1">
      <c r="A92" s="676"/>
      <c r="B92" s="77"/>
      <c r="C92" s="75"/>
      <c r="D92" s="75"/>
      <c r="E92" s="802">
        <v>21</v>
      </c>
      <c r="F92" s="50" cm="1" t="str">
        <f t="array" ref="F92:F92">OFFSET(E92,-1,1)</f>
        <v>0</v>
      </c>
      <c r="G92" s="75"/>
      <c r="H92" s="73"/>
      <c r="I92" s="73" t="s">
        <v>864</v>
      </c>
      <c r="J92" s="75"/>
      <c r="K92" s="73" t="s">
        <v>864</v>
      </c>
      <c r="L92" s="962" t="s">
        <v>488</v>
      </c>
      <c r="M92" s="75"/>
      <c r="N92" s="75"/>
      <c r="O92" s="75"/>
      <c r="P92" s="75"/>
      <c r="Q92" s="75"/>
      <c r="R92" s="75"/>
      <c r="S92" s="75"/>
      <c r="T92" s="438" cm="1" t="str">
        <f t="array" ref="T92:T92">T91</f>
        <v>false</v>
      </c>
      <c r="U92" s="75"/>
      <c r="V92" s="75"/>
      <c r="W92" s="676"/>
      <c r="X92" s="1511"/>
      <c r="Y92" s="676"/>
      <c r="Z92" s="1494"/>
      <c r="AA92" s="676"/>
      <c r="AB92" s="184" t="s">
        <v>517</v>
      </c>
      <c r="AC92" s="327" t="s">
        <v>1912</v>
      </c>
      <c r="AD92" s="177" t="s">
        <v>789</v>
      </c>
      <c r="AE92" s="754">
        <f>SUM(AE93:AE102)</f>
        <v>0</v>
      </c>
      <c r="AF92" s="754">
        <f>SUM(AF93:AF102)</f>
        <v>0</v>
      </c>
      <c r="AG92" s="754">
        <f>SUM(AG93:AG102)</f>
        <v>0</v>
      </c>
      <c r="AH92" s="737">
        <f>AG92-AF92</f>
        <v>0</v>
      </c>
      <c r="AI92" s="737">
        <f>SUM(AI93:AI102)</f>
        <v>0</v>
      </c>
      <c r="AJ92" s="746">
        <f>SUM(AJ93:AJ102)</f>
        <v>0</v>
      </c>
      <c r="AK92" s="737">
        <f>SUM(AK93:AK102)</f>
        <v>0</v>
      </c>
      <c r="AL92" s="737">
        <f>SUM(AL93:AL102)</f>
        <v>0</v>
      </c>
      <c r="AM92" s="737">
        <f>SUM(AM93:AM102)</f>
        <v>0</v>
      </c>
      <c r="AN92" s="737">
        <f>SUM(AN93:AN102)</f>
        <v>0</v>
      </c>
      <c r="AO92" s="737">
        <f>SUM(AO93:AO102)</f>
        <v>0</v>
      </c>
      <c r="AP92" s="737">
        <f>SUM(AP93:AP102)</f>
        <v>0</v>
      </c>
      <c r="AQ92" s="737">
        <f>SUM(AQ93:AQ102)</f>
        <v>0</v>
      </c>
      <c r="AR92" s="737">
        <f>SUM(AR93:AR102)</f>
        <v>0</v>
      </c>
      <c r="AS92" s="737">
        <f>SUM(AS93:AS102)</f>
        <v>0</v>
      </c>
      <c r="AT92" s="746">
        <f>SUM(AT93:AT102)</f>
        <v>0</v>
      </c>
      <c r="AU92" s="737">
        <f>SUM(AU93:AU102)</f>
        <v>0</v>
      </c>
      <c r="AV92" s="737">
        <f>SUM(AV93:AV102)</f>
        <v>0</v>
      </c>
      <c r="AW92" s="737">
        <f>SUM(AW93:AW102)</f>
        <v>0</v>
      </c>
      <c r="AX92" s="737">
        <f>SUM(AX93:AX102)</f>
        <v>0</v>
      </c>
      <c r="AY92" s="737">
        <f>SUM(AY93:AY102)</f>
        <v>0</v>
      </c>
      <c r="AZ92" s="737">
        <f>SUM(AZ93:AZ102)</f>
        <v>0</v>
      </c>
      <c r="BA92" s="737">
        <f>SUM(BA93:BA102)</f>
        <v>0</v>
      </c>
      <c r="BB92" s="737">
        <f>SUM(BB93:BB102)</f>
        <v>0</v>
      </c>
      <c r="BC92" s="737">
        <f>SUM(BC93:BC102)</f>
        <v>0</v>
      </c>
      <c r="BD92" s="737">
        <f>IF(AI92=0,0,(AT92-AI92)/AI92*100)</f>
        <v>0</v>
      </c>
      <c r="BE92" s="737">
        <f>IF(AT92=0,0,(AU92-AT92)/AT92*100)</f>
        <v>0</v>
      </c>
      <c r="BF92" s="737">
        <f>IF(AU92=0,0,(AV92-AU92)/AU92*100)</f>
        <v>0</v>
      </c>
      <c r="BG92" s="737">
        <f>IF(AV92=0,0,(AW92-AV92)/AV92*100)</f>
        <v>0</v>
      </c>
      <c r="BH92" s="737">
        <f>IF(AW92=0,0,(AX92-AW92)/AW92*100)</f>
        <v>0</v>
      </c>
      <c r="BI92" s="737">
        <f>IF(AX92=0,0,(AY92-AX92)/AX92*100)</f>
        <v>0</v>
      </c>
      <c r="BJ92" s="737">
        <f>IF(AY92=0,0,(AZ92-AY92)/AY92*100)</f>
        <v>0</v>
      </c>
      <c r="BK92" s="737">
        <f>IF(AZ92=0,0,(BA92-AZ92)/AZ92*100)</f>
        <v>0</v>
      </c>
      <c r="BL92" s="737">
        <f>IF(BA92=0,0,(BB92-BA92)/BA92*100)</f>
        <v>0</v>
      </c>
      <c r="BM92" s="737">
        <f>IF(BB92=0,0,(BC92-BB92)/BB92*100)</f>
        <v>0</v>
      </c>
      <c r="BN92" s="1218"/>
      <c r="BO92" s="1232" t="str">
        <f>IF(_xlfn.IFERROR(INDEX(Налоги!$K$26:$L$55,MATCH($F92&amp;"komm",Налоги!$K$26:$K$55,0),2),"")=0,"",_xlfn.IFERROR(INDEX(Налоги!$K$26:$L$55,MATCH($F92&amp;"komm",Налоги!$K$26:$K$55,0),2),""))</f>
        <v/>
      </c>
      <c r="BP92" s="1218"/>
      <c r="BQ92" s="676"/>
      <c r="BR92" s="676"/>
      <c r="BS92" s="1047" t="s">
        <v>1146</v>
      </c>
      <c r="BT92" s="1047"/>
      <c r="BU92" s="1047"/>
      <c r="BV92" s="683"/>
      <c r="BW92" s="683"/>
    </row>
    <row customHeight="1" ht="14.625" hidden="1">
      <c r="A93" s="1256"/>
      <c r="B93" s="62"/>
      <c r="C93" s="73"/>
      <c r="D93" s="73"/>
      <c r="E93" s="596">
        <v>15</v>
      </c>
      <c r="F93" s="50" cm="1" t="str">
        <f t="array" ref="F93:F93">OFFSET(E93,-1,1)</f>
        <v>0</v>
      </c>
      <c r="G93" s="898">
        <v>7</v>
      </c>
      <c r="H93" s="73"/>
      <c r="I93" s="73" t="s">
        <v>1913</v>
      </c>
      <c r="J93" s="73"/>
      <c r="K93" s="73" t="s">
        <v>1913</v>
      </c>
      <c r="L93" s="957"/>
      <c r="M93" s="73"/>
      <c r="N93" s="73"/>
      <c r="O93" s="73"/>
      <c r="P93" s="73"/>
      <c r="Q93" s="73"/>
      <c r="R93" s="73"/>
      <c r="S93" s="73"/>
      <c r="T93" s="438" cm="1" t="str">
        <f t="array" ref="T93:T93">T92</f>
        <v>false</v>
      </c>
      <c r="U93" s="73"/>
      <c r="V93" s="73"/>
      <c r="W93" s="1256"/>
      <c r="X93" s="1511"/>
      <c r="Y93" s="1256"/>
      <c r="Z93" s="1494"/>
      <c r="AA93" s="1256"/>
      <c r="AB93" s="265" t="s">
        <v>471</v>
      </c>
      <c r="AC93" s="741" t="s">
        <v>1160</v>
      </c>
      <c r="AD93" s="266" t="s">
        <v>789</v>
      </c>
      <c r="AE93" s="225">
        <f>_xlfn.SUMIFS(Налоги!AE$25:AE$55,Налоги!$F$25:$F$55,$F93,Налоги!$AB$25:$AB$55,$G93)</f>
        <v>0</v>
      </c>
      <c r="AF93" s="225">
        <f>_xlfn.SUMIFS(Налоги!AF$25:AF$55,Налоги!$F$25:$F$55,$F93,Налоги!$AB$25:$AB$55,$G93)</f>
        <v>0</v>
      </c>
      <c r="AG93" s="225">
        <f>_xlfn.SUMIFS(Налоги!AG$25:AG$55,Налоги!$F$25:$F$55,$F93,Налоги!$AB$25:$AB$55,$G93)</f>
        <v>0</v>
      </c>
      <c r="AH93" s="920">
        <f>AG93-AF93</f>
        <v>0</v>
      </c>
      <c r="AI93" s="920">
        <f>_xlfn.SUMIFS(Налоги!AH$25:AH$55,Налоги!$F$25:$F$55,$F93,Налоги!$AB$25:$AB$55,$G93)</f>
        <v>0</v>
      </c>
      <c r="AJ93" s="920">
        <f>_xlfn.SUMIFS(Налоги!AI$25:AI$55,Налоги!$F$25:$F$55,$F93,Налоги!$AB$25:$AB$55,$G93)</f>
        <v>0</v>
      </c>
      <c r="AK93" s="920">
        <f>_xlfn.SUMIFS(Налоги!AJ$25:AJ$55,Налоги!$F$25:$F$55,$F93,Налоги!$AB$25:$AB$55,$G93)</f>
        <v>0</v>
      </c>
      <c r="AL93" s="920">
        <f>_xlfn.SUMIFS(Налоги!AK$25:AK$55,Налоги!$F$25:$F$55,$F93,Налоги!$AB$25:$AB$55,$G93)</f>
        <v>0</v>
      </c>
      <c r="AM93" s="920">
        <f>_xlfn.SUMIFS(Налоги!AL$25:AL$55,Налоги!$F$25:$F$55,$F93,Налоги!$AB$25:$AB$55,$G93)</f>
        <v>0</v>
      </c>
      <c r="AN93" s="920">
        <f>_xlfn.SUMIFS(Налоги!AM$25:AM$55,Налоги!$F$25:$F$55,$F93,Налоги!$AB$25:$AB$55,$G93)</f>
        <v>0</v>
      </c>
      <c r="AO93" s="920">
        <f>_xlfn.SUMIFS(Налоги!AN$25:AN$55,Налоги!$F$25:$F$55,$F93,Налоги!$AB$25:$AB$55,$G93)</f>
        <v>0</v>
      </c>
      <c r="AP93" s="920">
        <f>_xlfn.SUMIFS(Налоги!AO$25:AO$55,Налоги!$F$25:$F$55,$F93,Налоги!$AB$25:$AB$55,$G93)</f>
        <v>0</v>
      </c>
      <c r="AQ93" s="920">
        <f>_xlfn.SUMIFS(Налоги!AP$25:AP$55,Налоги!$F$25:$F$55,$F93,Налоги!$AB$25:$AB$55,$G93)</f>
        <v>0</v>
      </c>
      <c r="AR93" s="920">
        <f>_xlfn.SUMIFS(Налоги!AQ$25:AQ$55,Налоги!$F$25:$F$55,$F93,Налоги!$AB$25:$AB$55,$G93)</f>
        <v>0</v>
      </c>
      <c r="AS93" s="920">
        <f>_xlfn.SUMIFS(Налоги!AR$25:AR$55,Налоги!$F$25:$F$55,$F93,Налоги!$AB$25:$AB$55,$G93)</f>
        <v>0</v>
      </c>
      <c r="AT93" s="920">
        <f>_xlfn.SUMIFS(Налоги!AS$25:AS$55,Налоги!$F$25:$F$55,$F93,Налоги!$AB$25:$AB$55,$G93)</f>
        <v>0</v>
      </c>
      <c r="AU93" s="920">
        <f>_xlfn.SUMIFS(Налоги!AT$25:AT$55,Налоги!$F$25:$F$55,$F93,Налоги!$AB$25:$AB$55,$G93)</f>
        <v>0</v>
      </c>
      <c r="AV93" s="920">
        <f>_xlfn.SUMIFS(Налоги!AU$25:AU$55,Налоги!$F$25:$F$55,$F93,Налоги!$AB$25:$AB$55,$G93)</f>
        <v>0</v>
      </c>
      <c r="AW93" s="920">
        <f>_xlfn.SUMIFS(Налоги!AV$25:AV$55,Налоги!$F$25:$F$55,$F93,Налоги!$AB$25:$AB$55,$G93)</f>
        <v>0</v>
      </c>
      <c r="AX93" s="920">
        <f>_xlfn.SUMIFS(Налоги!AW$25:AW$55,Налоги!$F$25:$F$55,$F93,Налоги!$AB$25:$AB$55,$G93)</f>
        <v>0</v>
      </c>
      <c r="AY93" s="920">
        <f>_xlfn.SUMIFS(Налоги!AX$25:AX$55,Налоги!$F$25:$F$55,$F93,Налоги!$AB$25:$AB$55,$G93)</f>
        <v>0</v>
      </c>
      <c r="AZ93" s="920">
        <f>_xlfn.SUMIFS(Налоги!AY$25:AY$55,Налоги!$F$25:$F$55,$F93,Налоги!$AB$25:$AB$55,$G93)</f>
        <v>0</v>
      </c>
      <c r="BA93" s="920">
        <f>_xlfn.SUMIFS(Налоги!AZ$25:AZ$55,Налоги!$F$25:$F$55,$F93,Налоги!$AB$25:$AB$55,$G93)</f>
        <v>0</v>
      </c>
      <c r="BB93" s="920">
        <f>_xlfn.SUMIFS(Налоги!BA$25:BA$55,Налоги!$F$25:$F$55,$F93,Налоги!$AB$25:$AB$55,$G93)</f>
        <v>0</v>
      </c>
      <c r="BC93" s="920">
        <f>_xlfn.SUMIFS(Налоги!BB$25:BB$55,Налоги!$F$25:$F$55,$F93,Налоги!$AB$25:$AB$55,$G93)</f>
        <v>0</v>
      </c>
      <c r="BD93" s="920">
        <f>IF(AI93=0,0,(AT93-AI93)/AI93*100)</f>
        <v>0</v>
      </c>
      <c r="BE93" s="920">
        <f>IF(AT93=0,0,(AU93-AT93)/AT93*100)</f>
        <v>0</v>
      </c>
      <c r="BF93" s="920">
        <f>IF(AU93=0,0,(AV93-AU93)/AU93*100)</f>
        <v>0</v>
      </c>
      <c r="BG93" s="920">
        <f>IF(AV93=0,0,(AW93-AV93)/AV93*100)</f>
        <v>0</v>
      </c>
      <c r="BH93" s="920">
        <f>IF(AW93=0,0,(AX93-AW93)/AW93*100)</f>
        <v>0</v>
      </c>
      <c r="BI93" s="920">
        <f>IF(AX93=0,0,(AY93-AX93)/AX93*100)</f>
        <v>0</v>
      </c>
      <c r="BJ93" s="920">
        <f>IF(AY93=0,0,(AZ93-AY93)/AY93*100)</f>
        <v>0</v>
      </c>
      <c r="BK93" s="920">
        <f>IF(AZ93=0,0,(BA93-AZ93)/AZ93*100)</f>
        <v>0</v>
      </c>
      <c r="BL93" s="920">
        <f>IF(BA93=0,0,(BB93-BA93)/BA93*100)</f>
        <v>0</v>
      </c>
      <c r="BM93" s="920">
        <f>IF(BB93=0,0,(BC93-BB93)/BB93*100)</f>
        <v>0</v>
      </c>
      <c r="BN93" s="1234"/>
      <c r="BO93" s="1232" t="str">
        <f>IF(_xlfn.IFERROR(INDEX(Налоги!$K$26:$L$55,MATCH($F93&amp;"7komm",Налоги!$K$26:$K$55,0),2),"")=0,"",_xlfn.IFERROR(INDEX(Налоги!$K$26:$L$55,MATCH($F93&amp;"7komm",Налоги!$K$26:$K$55,0),2),""))</f>
        <v/>
      </c>
      <c r="BP93" s="1234"/>
      <c r="BQ93" s="1256"/>
      <c r="BR93" s="1256"/>
      <c r="BS93" s="1041" t="s">
        <v>1914</v>
      </c>
      <c r="BT93" s="1041"/>
      <c r="BU93" s="1041"/>
      <c r="BV93" s="956"/>
      <c r="BW93" s="956"/>
    </row>
    <row customHeight="1" ht="14.625" hidden="1">
      <c r="A94" s="1256"/>
      <c r="B94" s="62"/>
      <c r="C94" s="73"/>
      <c r="D94" s="73"/>
      <c r="E94" s="596">
        <v>15</v>
      </c>
      <c r="F94" s="50" cm="1" t="str">
        <f t="array" ref="F94:F94">OFFSET(E94,-1,1)</f>
        <v>0</v>
      </c>
      <c r="G94" s="898">
        <v>6</v>
      </c>
      <c r="H94" s="73"/>
      <c r="I94" s="73" t="s">
        <v>1915</v>
      </c>
      <c r="J94" s="73"/>
      <c r="K94" s="73" t="s">
        <v>1915</v>
      </c>
      <c r="L94" s="957"/>
      <c r="M94" s="73"/>
      <c r="N94" s="73"/>
      <c r="O94" s="73"/>
      <c r="P94" s="73"/>
      <c r="Q94" s="73"/>
      <c r="R94" s="73"/>
      <c r="S94" s="73"/>
      <c r="T94" s="438" cm="1" t="str">
        <f t="array" ref="T94:T94">T93</f>
        <v>false</v>
      </c>
      <c r="U94" s="73"/>
      <c r="V94" s="73"/>
      <c r="W94" s="1256"/>
      <c r="X94" s="1511"/>
      <c r="Y94" s="1256"/>
      <c r="Z94" s="1494"/>
      <c r="AA94" s="1256"/>
      <c r="AB94" s="265" t="s">
        <v>1364</v>
      </c>
      <c r="AC94" s="741" t="s">
        <v>1916</v>
      </c>
      <c r="AD94" s="266" t="s">
        <v>789</v>
      </c>
      <c r="AE94" s="225">
        <f>_xlfn.SUMIFS(Налоги!AE$25:AE$55,Налоги!$F$25:$F$55,$F94,Налоги!$AB$25:$AB$55,$G94)</f>
        <v>0</v>
      </c>
      <c r="AF94" s="225">
        <f>_xlfn.SUMIFS(Налоги!AF$25:AF$55,Налоги!$F$25:$F$55,$F94,Налоги!$AB$25:$AB$55,$G94)</f>
        <v>0</v>
      </c>
      <c r="AG94" s="225">
        <f>_xlfn.SUMIFS(Налоги!AG$25:AG$55,Налоги!$F$25:$F$55,$F94,Налоги!$AB$25:$AB$55,$G94)</f>
        <v>0</v>
      </c>
      <c r="AH94" s="920">
        <f>AG94-AF94</f>
        <v>0</v>
      </c>
      <c r="AI94" s="920">
        <f>_xlfn.SUMIFS(Налоги!AH$25:AH$55,Налоги!$F$25:$F$55,$F94,Налоги!$AB$25:$AB$55,$G94)</f>
        <v>0</v>
      </c>
      <c r="AJ94" s="920">
        <f>_xlfn.SUMIFS(Налоги!AI$25:AI$55,Налоги!$F$25:$F$55,$F94,Налоги!$AB$25:$AB$55,$G94)</f>
        <v>0</v>
      </c>
      <c r="AK94" s="920">
        <f>_xlfn.SUMIFS(Налоги!AJ$25:AJ$55,Налоги!$F$25:$F$55,$F94,Налоги!$AB$25:$AB$55,$G94)</f>
        <v>0</v>
      </c>
      <c r="AL94" s="920">
        <f>_xlfn.SUMIFS(Налоги!AK$25:AK$55,Налоги!$F$25:$F$55,$F94,Налоги!$AB$25:$AB$55,$G94)</f>
        <v>0</v>
      </c>
      <c r="AM94" s="920">
        <f>_xlfn.SUMIFS(Налоги!AL$25:AL$55,Налоги!$F$25:$F$55,$F94,Налоги!$AB$25:$AB$55,$G94)</f>
        <v>0</v>
      </c>
      <c r="AN94" s="920">
        <f>_xlfn.SUMIFS(Налоги!AM$25:AM$55,Налоги!$F$25:$F$55,$F94,Налоги!$AB$25:$AB$55,$G94)</f>
        <v>0</v>
      </c>
      <c r="AO94" s="920">
        <f>_xlfn.SUMIFS(Налоги!AN$25:AN$55,Налоги!$F$25:$F$55,$F94,Налоги!$AB$25:$AB$55,$G94)</f>
        <v>0</v>
      </c>
      <c r="AP94" s="920">
        <f>_xlfn.SUMIFS(Налоги!AO$25:AO$55,Налоги!$F$25:$F$55,$F94,Налоги!$AB$25:$AB$55,$G94)</f>
        <v>0</v>
      </c>
      <c r="AQ94" s="920">
        <f>_xlfn.SUMIFS(Налоги!AP$25:AP$55,Налоги!$F$25:$F$55,$F94,Налоги!$AB$25:$AB$55,$G94)</f>
        <v>0</v>
      </c>
      <c r="AR94" s="920">
        <f>_xlfn.SUMIFS(Налоги!AQ$25:AQ$55,Налоги!$F$25:$F$55,$F94,Налоги!$AB$25:$AB$55,$G94)</f>
        <v>0</v>
      </c>
      <c r="AS94" s="920">
        <f>_xlfn.SUMIFS(Налоги!AR$25:AR$55,Налоги!$F$25:$F$55,$F94,Налоги!$AB$25:$AB$55,$G94)</f>
        <v>0</v>
      </c>
      <c r="AT94" s="920">
        <f>_xlfn.SUMIFS(Налоги!AS$25:AS$55,Налоги!$F$25:$F$55,$F94,Налоги!$AB$25:$AB$55,$G94)</f>
        <v>0</v>
      </c>
      <c r="AU94" s="920">
        <f>_xlfn.SUMIFS(Налоги!AT$25:AT$55,Налоги!$F$25:$F$55,$F94,Налоги!$AB$25:$AB$55,$G94)</f>
        <v>0</v>
      </c>
      <c r="AV94" s="920">
        <f>_xlfn.SUMIFS(Налоги!AU$25:AU$55,Налоги!$F$25:$F$55,$F94,Налоги!$AB$25:$AB$55,$G94)</f>
        <v>0</v>
      </c>
      <c r="AW94" s="920">
        <f>_xlfn.SUMIFS(Налоги!AV$25:AV$55,Налоги!$F$25:$F$55,$F94,Налоги!$AB$25:$AB$55,$G94)</f>
        <v>0</v>
      </c>
      <c r="AX94" s="920">
        <f>_xlfn.SUMIFS(Налоги!AW$25:AW$55,Налоги!$F$25:$F$55,$F94,Налоги!$AB$25:$AB$55,$G94)</f>
        <v>0</v>
      </c>
      <c r="AY94" s="920">
        <f>_xlfn.SUMIFS(Налоги!AX$25:AX$55,Налоги!$F$25:$F$55,$F94,Налоги!$AB$25:$AB$55,$G94)</f>
        <v>0</v>
      </c>
      <c r="AZ94" s="920">
        <f>_xlfn.SUMIFS(Налоги!AY$25:AY$55,Налоги!$F$25:$F$55,$F94,Налоги!$AB$25:$AB$55,$G94)</f>
        <v>0</v>
      </c>
      <c r="BA94" s="920">
        <f>_xlfn.SUMIFS(Налоги!AZ$25:AZ$55,Налоги!$F$25:$F$55,$F94,Налоги!$AB$25:$AB$55,$G94)</f>
        <v>0</v>
      </c>
      <c r="BB94" s="920">
        <f>_xlfn.SUMIFS(Налоги!BA$25:BA$55,Налоги!$F$25:$F$55,$F94,Налоги!$AB$25:$AB$55,$G94)</f>
        <v>0</v>
      </c>
      <c r="BC94" s="920">
        <f>_xlfn.SUMIFS(Налоги!BB$25:BB$55,Налоги!$F$25:$F$55,$F94,Налоги!$AB$25:$AB$55,$G94)</f>
        <v>0</v>
      </c>
      <c r="BD94" s="920">
        <f>IF(AI94=0,0,(AT94-AI94)/AI94*100)</f>
        <v>0</v>
      </c>
      <c r="BE94" s="920">
        <f>IF(AT94=0,0,(AU94-AT94)/AT94*100)</f>
        <v>0</v>
      </c>
      <c r="BF94" s="920">
        <f>IF(AU94=0,0,(AV94-AU94)/AU94*100)</f>
        <v>0</v>
      </c>
      <c r="BG94" s="920">
        <f>IF(AV94=0,0,(AW94-AV94)/AV94*100)</f>
        <v>0</v>
      </c>
      <c r="BH94" s="920">
        <f>IF(AW94=0,0,(AX94-AW94)/AW94*100)</f>
        <v>0</v>
      </c>
      <c r="BI94" s="920">
        <f>IF(AX94=0,0,(AY94-AX94)/AX94*100)</f>
        <v>0</v>
      </c>
      <c r="BJ94" s="920">
        <f>IF(AY94=0,0,(AZ94-AY94)/AY94*100)</f>
        <v>0</v>
      </c>
      <c r="BK94" s="920">
        <f>IF(AZ94=0,0,(BA94-AZ94)/AZ94*100)</f>
        <v>0</v>
      </c>
      <c r="BL94" s="920">
        <f>IF(BA94=0,0,(BB94-BA94)/BA94*100)</f>
        <v>0</v>
      </c>
      <c r="BM94" s="920">
        <f>IF(BB94=0,0,(BC94-BB94)/BB94*100)</f>
        <v>0</v>
      </c>
      <c r="BN94" s="1234"/>
      <c r="BO94" s="1232" t="str">
        <f>IF(_xlfn.IFERROR(INDEX(Налоги!$K$26:$L$55,MATCH($F94&amp;"6komm",Налоги!$K$26:$K$55,0),2),"")=0,"",_xlfn.IFERROR(INDEX(Налоги!$K$26:$L$55,MATCH($F94&amp;"6komm",Налоги!$K$26:$K$55,0),2),""))</f>
        <v/>
      </c>
      <c r="BP94" s="1234"/>
      <c r="BQ94" s="1256"/>
      <c r="BR94" s="1256"/>
      <c r="BS94" s="1041" t="s">
        <v>1917</v>
      </c>
      <c r="BT94" s="1041"/>
      <c r="BU94" s="1041"/>
      <c r="BV94" s="956"/>
      <c r="BW94" s="956"/>
    </row>
    <row customHeight="1" ht="14.625" hidden="1">
      <c r="A95" s="1256"/>
      <c r="B95" s="62"/>
      <c r="C95" s="73"/>
      <c r="D95" s="73"/>
      <c r="E95" s="596">
        <v>15</v>
      </c>
      <c r="F95" s="50" cm="1" t="str">
        <f t="array" ref="F95:F95">OFFSET(E95,-1,1)</f>
        <v>0</v>
      </c>
      <c r="G95" s="898">
        <v>2</v>
      </c>
      <c r="H95" s="73"/>
      <c r="I95" s="73" t="s">
        <v>1918</v>
      </c>
      <c r="J95" s="73"/>
      <c r="K95" s="73" t="s">
        <v>1918</v>
      </c>
      <c r="L95" s="957"/>
      <c r="M95" s="73"/>
      <c r="N95" s="73"/>
      <c r="O95" s="73"/>
      <c r="P95" s="73"/>
      <c r="Q95" s="73"/>
      <c r="R95" s="73"/>
      <c r="S95" s="73"/>
      <c r="T95" s="438" cm="1" t="str">
        <f t="array" ref="T95:T95">T94</f>
        <v>false</v>
      </c>
      <c r="U95" s="73"/>
      <c r="V95" s="73"/>
      <c r="W95" s="1256"/>
      <c r="X95" s="1511"/>
      <c r="Y95" s="1256"/>
      <c r="Z95" s="1494"/>
      <c r="AA95" s="1256"/>
      <c r="AB95" s="265" t="s">
        <v>1369</v>
      </c>
      <c r="AC95" s="741" t="s">
        <v>1919</v>
      </c>
      <c r="AD95" s="266" t="s">
        <v>789</v>
      </c>
      <c r="AE95" s="225">
        <f>_xlfn.SUMIFS(Налоги!AE$25:AE$55,Налоги!$F$25:$F$55,$F95,Налоги!$AB$25:$AB$55,$G95)</f>
        <v>0</v>
      </c>
      <c r="AF95" s="225">
        <f>_xlfn.SUMIFS(Налоги!AF$25:AF$55,Налоги!$F$25:$F$55,$F95,Налоги!$AB$25:$AB$55,$G95)</f>
        <v>0</v>
      </c>
      <c r="AG95" s="225">
        <f>_xlfn.SUMIFS(Налоги!AG$25:AG$55,Налоги!$F$25:$F$55,$F95,Налоги!$AB$25:$AB$55,$G95)</f>
        <v>0</v>
      </c>
      <c r="AH95" s="920">
        <f>AG95-AF95</f>
        <v>0</v>
      </c>
      <c r="AI95" s="920">
        <f>_xlfn.SUMIFS(Налоги!AH$25:AH$55,Налоги!$F$25:$F$55,$F95,Налоги!$AB$25:$AB$55,$G95)</f>
        <v>0</v>
      </c>
      <c r="AJ95" s="920">
        <f>_xlfn.SUMIFS(Налоги!AI$25:AI$55,Налоги!$F$25:$F$55,$F95,Налоги!$AB$25:$AB$55,$G95)</f>
        <v>0</v>
      </c>
      <c r="AK95" s="920">
        <f>_xlfn.SUMIFS(Налоги!AJ$25:AJ$55,Налоги!$F$25:$F$55,$F95,Налоги!$AB$25:$AB$55,$G95)</f>
        <v>0</v>
      </c>
      <c r="AL95" s="920">
        <f>_xlfn.SUMIFS(Налоги!AK$25:AK$55,Налоги!$F$25:$F$55,$F95,Налоги!$AB$25:$AB$55,$G95)</f>
        <v>0</v>
      </c>
      <c r="AM95" s="920">
        <f>_xlfn.SUMIFS(Налоги!AL$25:AL$55,Налоги!$F$25:$F$55,$F95,Налоги!$AB$25:$AB$55,$G95)</f>
        <v>0</v>
      </c>
      <c r="AN95" s="920">
        <f>_xlfn.SUMIFS(Налоги!AM$25:AM$55,Налоги!$F$25:$F$55,$F95,Налоги!$AB$25:$AB$55,$G95)</f>
        <v>0</v>
      </c>
      <c r="AO95" s="920">
        <f>_xlfn.SUMIFS(Налоги!AN$25:AN$55,Налоги!$F$25:$F$55,$F95,Налоги!$AB$25:$AB$55,$G95)</f>
        <v>0</v>
      </c>
      <c r="AP95" s="920">
        <f>_xlfn.SUMIFS(Налоги!AO$25:AO$55,Налоги!$F$25:$F$55,$F95,Налоги!$AB$25:$AB$55,$G95)</f>
        <v>0</v>
      </c>
      <c r="AQ95" s="920">
        <f>_xlfn.SUMIFS(Налоги!AP$25:AP$55,Налоги!$F$25:$F$55,$F95,Налоги!$AB$25:$AB$55,$G95)</f>
        <v>0</v>
      </c>
      <c r="AR95" s="920">
        <f>_xlfn.SUMIFS(Налоги!AQ$25:AQ$55,Налоги!$F$25:$F$55,$F95,Налоги!$AB$25:$AB$55,$G95)</f>
        <v>0</v>
      </c>
      <c r="AS95" s="920">
        <f>_xlfn.SUMIFS(Налоги!AR$25:AR$55,Налоги!$F$25:$F$55,$F95,Налоги!$AB$25:$AB$55,$G95)</f>
        <v>0</v>
      </c>
      <c r="AT95" s="920">
        <f>_xlfn.SUMIFS(Налоги!AS$25:AS$55,Налоги!$F$25:$F$55,$F95,Налоги!$AB$25:$AB$55,$G95)</f>
        <v>0</v>
      </c>
      <c r="AU95" s="920">
        <f>_xlfn.SUMIFS(Налоги!AT$25:AT$55,Налоги!$F$25:$F$55,$F95,Налоги!$AB$25:$AB$55,$G95)</f>
        <v>0</v>
      </c>
      <c r="AV95" s="920">
        <f>_xlfn.SUMIFS(Налоги!AU$25:AU$55,Налоги!$F$25:$F$55,$F95,Налоги!$AB$25:$AB$55,$G95)</f>
        <v>0</v>
      </c>
      <c r="AW95" s="920">
        <f>_xlfn.SUMIFS(Налоги!AV$25:AV$55,Налоги!$F$25:$F$55,$F95,Налоги!$AB$25:$AB$55,$G95)</f>
        <v>0</v>
      </c>
      <c r="AX95" s="920">
        <f>_xlfn.SUMIFS(Налоги!AW$25:AW$55,Налоги!$F$25:$F$55,$F95,Налоги!$AB$25:$AB$55,$G95)</f>
        <v>0</v>
      </c>
      <c r="AY95" s="920">
        <f>_xlfn.SUMIFS(Налоги!AX$25:AX$55,Налоги!$F$25:$F$55,$F95,Налоги!$AB$25:$AB$55,$G95)</f>
        <v>0</v>
      </c>
      <c r="AZ95" s="920">
        <f>_xlfn.SUMIFS(Налоги!AY$25:AY$55,Налоги!$F$25:$F$55,$F95,Налоги!$AB$25:$AB$55,$G95)</f>
        <v>0</v>
      </c>
      <c r="BA95" s="920">
        <f>_xlfn.SUMIFS(Налоги!AZ$25:AZ$55,Налоги!$F$25:$F$55,$F95,Налоги!$AB$25:$AB$55,$G95)</f>
        <v>0</v>
      </c>
      <c r="BB95" s="920">
        <f>_xlfn.SUMIFS(Налоги!BA$25:BA$55,Налоги!$F$25:$F$55,$F95,Налоги!$AB$25:$AB$55,$G95)</f>
        <v>0</v>
      </c>
      <c r="BC95" s="920">
        <f>_xlfn.SUMIFS(Налоги!BB$25:BB$55,Налоги!$F$25:$F$55,$F95,Налоги!$AB$25:$AB$55,$G95)</f>
        <v>0</v>
      </c>
      <c r="BD95" s="920">
        <f>IF(AI95=0,0,(AT95-AI95)/AI95*100)</f>
        <v>0</v>
      </c>
      <c r="BE95" s="920">
        <f>IF(AT95=0,0,(AU95-AT95)/AT95*100)</f>
        <v>0</v>
      </c>
      <c r="BF95" s="920">
        <f>IF(AU95=0,0,(AV95-AU95)/AU95*100)</f>
        <v>0</v>
      </c>
      <c r="BG95" s="920">
        <f>IF(AV95=0,0,(AW95-AV95)/AV95*100)</f>
        <v>0</v>
      </c>
      <c r="BH95" s="920">
        <f>IF(AW95=0,0,(AX95-AW95)/AW95*100)</f>
        <v>0</v>
      </c>
      <c r="BI95" s="920">
        <f>IF(AX95=0,0,(AY95-AX95)/AX95*100)</f>
        <v>0</v>
      </c>
      <c r="BJ95" s="920">
        <f>IF(AY95=0,0,(AZ95-AY95)/AY95*100)</f>
        <v>0</v>
      </c>
      <c r="BK95" s="920">
        <f>IF(AZ95=0,0,(BA95-AZ95)/AZ95*100)</f>
        <v>0</v>
      </c>
      <c r="BL95" s="920">
        <f>IF(BA95=0,0,(BB95-BA95)/BA95*100)</f>
        <v>0</v>
      </c>
      <c r="BM95" s="920">
        <f>IF(BB95=0,0,(BC95-BB95)/BB95*100)</f>
        <v>0</v>
      </c>
      <c r="BN95" s="1234"/>
      <c r="BO95" s="1232" t="str">
        <f>IF(_xlfn.IFERROR(INDEX(Налоги!$K$26:$L$55,MATCH($F95&amp;"2komm",Налоги!$K$26:$K$55,0),2),"")=0,"",_xlfn.IFERROR(INDEX(Налоги!$K$26:$L$55,MATCH($F95&amp;"2komm",Налоги!$K$26:$K$55,0),2),""))</f>
        <v/>
      </c>
      <c r="BP95" s="1234"/>
      <c r="BQ95" s="1256"/>
      <c r="BR95" s="1256"/>
      <c r="BS95" s="1041" t="s">
        <v>1920</v>
      </c>
      <c r="BT95" s="1041"/>
      <c r="BU95" s="1041"/>
      <c r="BV95" s="956"/>
      <c r="BW95" s="956"/>
    </row>
    <row customHeight="1" ht="14.625" hidden="1">
      <c r="A96" s="1256"/>
      <c r="B96" s="62"/>
      <c r="C96" s="73"/>
      <c r="D96" s="73"/>
      <c r="E96" s="596">
        <v>15</v>
      </c>
      <c r="F96" s="50" cm="1" t="str">
        <f t="array" ref="F96:F96">OFFSET(E96,-1,1)</f>
        <v>0</v>
      </c>
      <c r="G96" s="898">
        <v>4</v>
      </c>
      <c r="H96" s="73"/>
      <c r="I96" s="73" t="s">
        <v>1921</v>
      </c>
      <c r="J96" s="73"/>
      <c r="K96" s="73" t="s">
        <v>1921</v>
      </c>
      <c r="L96" s="957"/>
      <c r="M96" s="73"/>
      <c r="N96" s="73"/>
      <c r="O96" s="73"/>
      <c r="P96" s="73"/>
      <c r="Q96" s="73"/>
      <c r="R96" s="73"/>
      <c r="S96" s="73"/>
      <c r="T96" s="438" cm="1" t="str">
        <f t="array" ref="T96:T96">T95</f>
        <v>false</v>
      </c>
      <c r="U96" s="73"/>
      <c r="V96" s="73"/>
      <c r="W96" s="1256"/>
      <c r="X96" s="1511"/>
      <c r="Y96" s="1256"/>
      <c r="Z96" s="1494"/>
      <c r="AA96" s="1256"/>
      <c r="AB96" s="265" t="s">
        <v>1922</v>
      </c>
      <c r="AC96" s="741" t="s">
        <v>1923</v>
      </c>
      <c r="AD96" s="266" t="s">
        <v>789</v>
      </c>
      <c r="AE96" s="225">
        <f>_xlfn.SUMIFS(Налоги!AE$25:AE$55,Налоги!$F$25:$F$55,$F96,Налоги!$AB$25:$AB$55,$G96)</f>
        <v>0</v>
      </c>
      <c r="AF96" s="225">
        <f>_xlfn.SUMIFS(Налоги!AF$25:AF$55,Налоги!$F$25:$F$55,$F96,Налоги!$AB$25:$AB$55,$G96)</f>
        <v>0</v>
      </c>
      <c r="AG96" s="225">
        <f>_xlfn.SUMIFS(Налоги!AG$25:AG$55,Налоги!$F$25:$F$55,$F96,Налоги!$AB$25:$AB$55,$G96)</f>
        <v>0</v>
      </c>
      <c r="AH96" s="920">
        <f>AG96-AF96</f>
        <v>0</v>
      </c>
      <c r="AI96" s="920">
        <f>_xlfn.SUMIFS(Налоги!AH$25:AH$55,Налоги!$F$25:$F$55,$F96,Налоги!$AB$25:$AB$55,$G96)</f>
        <v>0</v>
      </c>
      <c r="AJ96" s="920">
        <f>_xlfn.SUMIFS(Налоги!AI$25:AI$55,Налоги!$F$25:$F$55,$F96,Налоги!$AB$25:$AB$55,$G96)</f>
        <v>0</v>
      </c>
      <c r="AK96" s="920">
        <f>_xlfn.SUMIFS(Налоги!AJ$25:AJ$55,Налоги!$F$25:$F$55,$F96,Налоги!$AB$25:$AB$55,$G96)</f>
        <v>0</v>
      </c>
      <c r="AL96" s="920">
        <f>_xlfn.SUMIFS(Налоги!AK$25:AK$55,Налоги!$F$25:$F$55,$F96,Налоги!$AB$25:$AB$55,$G96)</f>
        <v>0</v>
      </c>
      <c r="AM96" s="920">
        <f>_xlfn.SUMIFS(Налоги!AL$25:AL$55,Налоги!$F$25:$F$55,$F96,Налоги!$AB$25:$AB$55,$G96)</f>
        <v>0</v>
      </c>
      <c r="AN96" s="920">
        <f>_xlfn.SUMIFS(Налоги!AM$25:AM$55,Налоги!$F$25:$F$55,$F96,Налоги!$AB$25:$AB$55,$G96)</f>
        <v>0</v>
      </c>
      <c r="AO96" s="920">
        <f>_xlfn.SUMIFS(Налоги!AN$25:AN$55,Налоги!$F$25:$F$55,$F96,Налоги!$AB$25:$AB$55,$G96)</f>
        <v>0</v>
      </c>
      <c r="AP96" s="920">
        <f>_xlfn.SUMIFS(Налоги!AO$25:AO$55,Налоги!$F$25:$F$55,$F96,Налоги!$AB$25:$AB$55,$G96)</f>
        <v>0</v>
      </c>
      <c r="AQ96" s="920">
        <f>_xlfn.SUMIFS(Налоги!AP$25:AP$55,Налоги!$F$25:$F$55,$F96,Налоги!$AB$25:$AB$55,$G96)</f>
        <v>0</v>
      </c>
      <c r="AR96" s="920">
        <f>_xlfn.SUMIFS(Налоги!AQ$25:AQ$55,Налоги!$F$25:$F$55,$F96,Налоги!$AB$25:$AB$55,$G96)</f>
        <v>0</v>
      </c>
      <c r="AS96" s="920">
        <f>_xlfn.SUMIFS(Налоги!AR$25:AR$55,Налоги!$F$25:$F$55,$F96,Налоги!$AB$25:$AB$55,$G96)</f>
        <v>0</v>
      </c>
      <c r="AT96" s="920">
        <f>_xlfn.SUMIFS(Налоги!AS$25:AS$55,Налоги!$F$25:$F$55,$F96,Налоги!$AB$25:$AB$55,$G96)</f>
        <v>0</v>
      </c>
      <c r="AU96" s="920">
        <f>_xlfn.SUMIFS(Налоги!AT$25:AT$55,Налоги!$F$25:$F$55,$F96,Налоги!$AB$25:$AB$55,$G96)</f>
        <v>0</v>
      </c>
      <c r="AV96" s="920">
        <f>_xlfn.SUMIFS(Налоги!AU$25:AU$55,Налоги!$F$25:$F$55,$F96,Налоги!$AB$25:$AB$55,$G96)</f>
        <v>0</v>
      </c>
      <c r="AW96" s="920">
        <f>_xlfn.SUMIFS(Налоги!AV$25:AV$55,Налоги!$F$25:$F$55,$F96,Налоги!$AB$25:$AB$55,$G96)</f>
        <v>0</v>
      </c>
      <c r="AX96" s="920">
        <f>_xlfn.SUMIFS(Налоги!AW$25:AW$55,Налоги!$F$25:$F$55,$F96,Налоги!$AB$25:$AB$55,$G96)</f>
        <v>0</v>
      </c>
      <c r="AY96" s="920">
        <f>_xlfn.SUMIFS(Налоги!AX$25:AX$55,Налоги!$F$25:$F$55,$F96,Налоги!$AB$25:$AB$55,$G96)</f>
        <v>0</v>
      </c>
      <c r="AZ96" s="920">
        <f>_xlfn.SUMIFS(Налоги!AY$25:AY$55,Налоги!$F$25:$F$55,$F96,Налоги!$AB$25:$AB$55,$G96)</f>
        <v>0</v>
      </c>
      <c r="BA96" s="920">
        <f>_xlfn.SUMIFS(Налоги!AZ$25:AZ$55,Налоги!$F$25:$F$55,$F96,Налоги!$AB$25:$AB$55,$G96)</f>
        <v>0</v>
      </c>
      <c r="BB96" s="920">
        <f>_xlfn.SUMIFS(Налоги!BA$25:BA$55,Налоги!$F$25:$F$55,$F96,Налоги!$AB$25:$AB$55,$G96)</f>
        <v>0</v>
      </c>
      <c r="BC96" s="920">
        <f>_xlfn.SUMIFS(Налоги!BB$25:BB$55,Налоги!$F$25:$F$55,$F96,Налоги!$AB$25:$AB$55,$G96)</f>
        <v>0</v>
      </c>
      <c r="BD96" s="920">
        <f>IF(AI96=0,0,(AT96-AI96)/AI96*100)</f>
        <v>0</v>
      </c>
      <c r="BE96" s="920">
        <f>IF(AT96=0,0,(AU96-AT96)/AT96*100)</f>
        <v>0</v>
      </c>
      <c r="BF96" s="920">
        <f>IF(AU96=0,0,(AV96-AU96)/AU96*100)</f>
        <v>0</v>
      </c>
      <c r="BG96" s="920">
        <f>IF(AV96=0,0,(AW96-AV96)/AV96*100)</f>
        <v>0</v>
      </c>
      <c r="BH96" s="920">
        <f>IF(AW96=0,0,(AX96-AW96)/AW96*100)</f>
        <v>0</v>
      </c>
      <c r="BI96" s="920">
        <f>IF(AX96=0,0,(AY96-AX96)/AX96*100)</f>
        <v>0</v>
      </c>
      <c r="BJ96" s="920">
        <f>IF(AY96=0,0,(AZ96-AY96)/AY96*100)</f>
        <v>0</v>
      </c>
      <c r="BK96" s="920">
        <f>IF(AZ96=0,0,(BA96-AZ96)/AZ96*100)</f>
        <v>0</v>
      </c>
      <c r="BL96" s="920">
        <f>IF(BA96=0,0,(BB96-BA96)/BA96*100)</f>
        <v>0</v>
      </c>
      <c r="BM96" s="920">
        <f>IF(BB96=0,0,(BC96-BB96)/BB96*100)</f>
        <v>0</v>
      </c>
      <c r="BN96" s="1234"/>
      <c r="BO96" s="1232" t="str">
        <f>IF(_xlfn.IFERROR(INDEX(Налоги!$K$26:$L$55,MATCH($F96&amp;"4komm",Налоги!$K$26:$K$55,0),2),"")=0,"",_xlfn.IFERROR(INDEX(Налоги!$K$26:$L$55,MATCH($F96&amp;"4komm",Налоги!$K$26:$K$55,0),2),""))</f>
        <v/>
      </c>
      <c r="BP96" s="1234"/>
      <c r="BQ96" s="1256"/>
      <c r="BR96" s="1256"/>
      <c r="BS96" s="1041" t="s">
        <v>1924</v>
      </c>
      <c r="BT96" s="1041"/>
      <c r="BU96" s="1041"/>
      <c r="BV96" s="956"/>
      <c r="BW96" s="956"/>
    </row>
    <row customHeight="1" ht="14.625" hidden="1">
      <c r="A97" s="1256"/>
      <c r="B97" s="62"/>
      <c r="C97" s="73"/>
      <c r="D97" s="73"/>
      <c r="E97" s="596">
        <v>15</v>
      </c>
      <c r="F97" s="50" cm="1" t="str">
        <f t="array" ref="F97:F97">OFFSET(E97,-1,1)</f>
        <v>0</v>
      </c>
      <c r="G97" s="898">
        <v>5</v>
      </c>
      <c r="H97" s="73"/>
      <c r="I97" s="73" t="s">
        <v>1925</v>
      </c>
      <c r="J97" s="73"/>
      <c r="K97" s="73" t="s">
        <v>1925</v>
      </c>
      <c r="L97" s="957"/>
      <c r="M97" s="73"/>
      <c r="N97" s="73"/>
      <c r="O97" s="73"/>
      <c r="P97" s="73"/>
      <c r="Q97" s="73"/>
      <c r="R97" s="73"/>
      <c r="S97" s="73"/>
      <c r="T97" s="438" cm="1" t="str">
        <f t="array" ref="T97:T97">T96</f>
        <v>false</v>
      </c>
      <c r="U97" s="73"/>
      <c r="V97" s="73"/>
      <c r="W97" s="1256"/>
      <c r="X97" s="1511"/>
      <c r="Y97" s="1256"/>
      <c r="Z97" s="1494"/>
      <c r="AA97" s="1256"/>
      <c r="AB97" s="265" t="s">
        <v>1926</v>
      </c>
      <c r="AC97" s="741" t="s">
        <v>1927</v>
      </c>
      <c r="AD97" s="266" t="s">
        <v>789</v>
      </c>
      <c r="AE97" s="225">
        <f>_xlfn.SUMIFS(Налоги!AE$25:AE$55,Налоги!$F$25:$F$55,$F97,Налоги!$AB$25:$AB$55,$G97)</f>
        <v>0</v>
      </c>
      <c r="AF97" s="225">
        <f>_xlfn.SUMIFS(Налоги!AF$25:AF$55,Налоги!$F$25:$F$55,$F97,Налоги!$AB$25:$AB$55,$G97)</f>
        <v>0</v>
      </c>
      <c r="AG97" s="225">
        <f>_xlfn.SUMIFS(Налоги!AG$25:AG$55,Налоги!$F$25:$F$55,$F97,Налоги!$AB$25:$AB$55,$G97)</f>
        <v>0</v>
      </c>
      <c r="AH97" s="920">
        <f>AG97-AF97</f>
        <v>0</v>
      </c>
      <c r="AI97" s="920">
        <f>_xlfn.SUMIFS(Налоги!AH$25:AH$55,Налоги!$F$25:$F$55,$F97,Налоги!$AB$25:$AB$55,$G97)</f>
        <v>0</v>
      </c>
      <c r="AJ97" s="920">
        <f>_xlfn.SUMIFS(Налоги!AI$25:AI$55,Налоги!$F$25:$F$55,$F97,Налоги!$AB$25:$AB$55,$G97)</f>
        <v>0</v>
      </c>
      <c r="AK97" s="920">
        <f>_xlfn.SUMIFS(Налоги!AJ$25:AJ$55,Налоги!$F$25:$F$55,$F97,Налоги!$AB$25:$AB$55,$G97)</f>
        <v>0</v>
      </c>
      <c r="AL97" s="920">
        <f>_xlfn.SUMIFS(Налоги!AK$25:AK$55,Налоги!$F$25:$F$55,$F97,Налоги!$AB$25:$AB$55,$G97)</f>
        <v>0</v>
      </c>
      <c r="AM97" s="920">
        <f>_xlfn.SUMIFS(Налоги!AL$25:AL$55,Налоги!$F$25:$F$55,$F97,Налоги!$AB$25:$AB$55,$G97)</f>
        <v>0</v>
      </c>
      <c r="AN97" s="920">
        <f>_xlfn.SUMIFS(Налоги!AM$25:AM$55,Налоги!$F$25:$F$55,$F97,Налоги!$AB$25:$AB$55,$G97)</f>
        <v>0</v>
      </c>
      <c r="AO97" s="920">
        <f>_xlfn.SUMIFS(Налоги!AN$25:AN$55,Налоги!$F$25:$F$55,$F97,Налоги!$AB$25:$AB$55,$G97)</f>
        <v>0</v>
      </c>
      <c r="AP97" s="920">
        <f>_xlfn.SUMIFS(Налоги!AO$25:AO$55,Налоги!$F$25:$F$55,$F97,Налоги!$AB$25:$AB$55,$G97)</f>
        <v>0</v>
      </c>
      <c r="AQ97" s="920">
        <f>_xlfn.SUMIFS(Налоги!AP$25:AP$55,Налоги!$F$25:$F$55,$F97,Налоги!$AB$25:$AB$55,$G97)</f>
        <v>0</v>
      </c>
      <c r="AR97" s="920">
        <f>_xlfn.SUMIFS(Налоги!AQ$25:AQ$55,Налоги!$F$25:$F$55,$F97,Налоги!$AB$25:$AB$55,$G97)</f>
        <v>0</v>
      </c>
      <c r="AS97" s="920">
        <f>_xlfn.SUMIFS(Налоги!AR$25:AR$55,Налоги!$F$25:$F$55,$F97,Налоги!$AB$25:$AB$55,$G97)</f>
        <v>0</v>
      </c>
      <c r="AT97" s="920">
        <f>_xlfn.SUMIFS(Налоги!AS$25:AS$55,Налоги!$F$25:$F$55,$F97,Налоги!$AB$25:$AB$55,$G97)</f>
        <v>0</v>
      </c>
      <c r="AU97" s="920">
        <f>_xlfn.SUMIFS(Налоги!AT$25:AT$55,Налоги!$F$25:$F$55,$F97,Налоги!$AB$25:$AB$55,$G97)</f>
        <v>0</v>
      </c>
      <c r="AV97" s="920">
        <f>_xlfn.SUMIFS(Налоги!AU$25:AU$55,Налоги!$F$25:$F$55,$F97,Налоги!$AB$25:$AB$55,$G97)</f>
        <v>0</v>
      </c>
      <c r="AW97" s="920">
        <f>_xlfn.SUMIFS(Налоги!AV$25:AV$55,Налоги!$F$25:$F$55,$F97,Налоги!$AB$25:$AB$55,$G97)</f>
        <v>0</v>
      </c>
      <c r="AX97" s="920">
        <f>_xlfn.SUMIFS(Налоги!AW$25:AW$55,Налоги!$F$25:$F$55,$F97,Налоги!$AB$25:$AB$55,$G97)</f>
        <v>0</v>
      </c>
      <c r="AY97" s="920">
        <f>_xlfn.SUMIFS(Налоги!AX$25:AX$55,Налоги!$F$25:$F$55,$F97,Налоги!$AB$25:$AB$55,$G97)</f>
        <v>0</v>
      </c>
      <c r="AZ97" s="920">
        <f>_xlfn.SUMIFS(Налоги!AY$25:AY$55,Налоги!$F$25:$F$55,$F97,Налоги!$AB$25:$AB$55,$G97)</f>
        <v>0</v>
      </c>
      <c r="BA97" s="920">
        <f>_xlfn.SUMIFS(Налоги!AZ$25:AZ$55,Налоги!$F$25:$F$55,$F97,Налоги!$AB$25:$AB$55,$G97)</f>
        <v>0</v>
      </c>
      <c r="BB97" s="920">
        <f>_xlfn.SUMIFS(Налоги!BA$25:BA$55,Налоги!$F$25:$F$55,$F97,Налоги!$AB$25:$AB$55,$G97)</f>
        <v>0</v>
      </c>
      <c r="BC97" s="920">
        <f>_xlfn.SUMIFS(Налоги!BB$25:BB$55,Налоги!$F$25:$F$55,$F97,Налоги!$AB$25:$AB$55,$G97)</f>
        <v>0</v>
      </c>
      <c r="BD97" s="920">
        <f>IF(AI97=0,0,(AT97-AI97)/AI97*100)</f>
        <v>0</v>
      </c>
      <c r="BE97" s="920">
        <f>IF(AT97=0,0,(AU97-AT97)/AT97*100)</f>
        <v>0</v>
      </c>
      <c r="BF97" s="920">
        <f>IF(AU97=0,0,(AV97-AU97)/AU97*100)</f>
        <v>0</v>
      </c>
      <c r="BG97" s="920">
        <f>IF(AV97=0,0,(AW97-AV97)/AV97*100)</f>
        <v>0</v>
      </c>
      <c r="BH97" s="920">
        <f>IF(AW97=0,0,(AX97-AW97)/AW97*100)</f>
        <v>0</v>
      </c>
      <c r="BI97" s="920">
        <f>IF(AX97=0,0,(AY97-AX97)/AX97*100)</f>
        <v>0</v>
      </c>
      <c r="BJ97" s="920">
        <f>IF(AY97=0,0,(AZ97-AY97)/AY97*100)</f>
        <v>0</v>
      </c>
      <c r="BK97" s="920">
        <f>IF(AZ97=0,0,(BA97-AZ97)/AZ97*100)</f>
        <v>0</v>
      </c>
      <c r="BL97" s="920">
        <f>IF(BA97=0,0,(BB97-BA97)/BA97*100)</f>
        <v>0</v>
      </c>
      <c r="BM97" s="920">
        <f>IF(BB97=0,0,(BC97-BB97)/BB97*100)</f>
        <v>0</v>
      </c>
      <c r="BN97" s="1234"/>
      <c r="BO97" s="1232" t="str">
        <f>IF(_xlfn.IFERROR(INDEX(Налоги!$K$26:$L$55,MATCH($F97&amp;"5komm",Налоги!$K$26:$K$55,0),2),"")=0,"",_xlfn.IFERROR(INDEX(Налоги!$K$26:$L$55,MATCH($F97&amp;"5komm",Налоги!$K$26:$K$55,0),2),""))</f>
        <v/>
      </c>
      <c r="BP97" s="1234"/>
      <c r="BQ97" s="1256"/>
      <c r="BR97" s="1256"/>
      <c r="BS97" s="1041" t="s">
        <v>1928</v>
      </c>
      <c r="BT97" s="1041"/>
      <c r="BU97" s="1041"/>
      <c r="BV97" s="956"/>
      <c r="BW97" s="956"/>
    </row>
    <row customHeight="1" ht="14.625" hidden="1">
      <c r="A98" s="1256"/>
      <c r="B98" s="62"/>
      <c r="C98" s="73"/>
      <c r="D98" s="73"/>
      <c r="E98" s="596">
        <v>15</v>
      </c>
      <c r="F98" s="50" cm="1" t="str">
        <f t="array" ref="F98:F98">OFFSET(E98,-1,1)</f>
        <v>0</v>
      </c>
      <c r="G98" s="898">
        <v>1</v>
      </c>
      <c r="H98" s="73"/>
      <c r="I98" s="73" t="s">
        <v>1929</v>
      </c>
      <c r="J98" s="73"/>
      <c r="K98" s="73" t="s">
        <v>1929</v>
      </c>
      <c r="L98" s="957"/>
      <c r="M98" s="73"/>
      <c r="N98" s="73"/>
      <c r="O98" s="73"/>
      <c r="P98" s="73"/>
      <c r="Q98" s="73"/>
      <c r="R98" s="73"/>
      <c r="S98" s="73"/>
      <c r="T98" s="438" cm="1" t="str">
        <f t="array" ref="T98:T98">T97</f>
        <v>false</v>
      </c>
      <c r="U98" s="73"/>
      <c r="V98" s="73"/>
      <c r="W98" s="1256"/>
      <c r="X98" s="1511"/>
      <c r="Y98" s="1256"/>
      <c r="Z98" s="1494"/>
      <c r="AA98" s="1256"/>
      <c r="AB98" s="265" t="s">
        <v>1930</v>
      </c>
      <c r="AC98" s="741" t="s">
        <v>1931</v>
      </c>
      <c r="AD98" s="266" t="s">
        <v>789</v>
      </c>
      <c r="AE98" s="225">
        <f>_xlfn.SUMIFS(Налоги!AE$25:AE$55,Налоги!$F$25:$F$55,$F98,Налоги!$AB$25:$AB$55,$G98)</f>
        <v>0</v>
      </c>
      <c r="AF98" s="225">
        <f>_xlfn.SUMIFS(Налоги!AF$25:AF$55,Налоги!$F$25:$F$55,$F98,Налоги!$AB$25:$AB$55,$G98)</f>
        <v>0</v>
      </c>
      <c r="AG98" s="225">
        <f>_xlfn.SUMIFS(Налоги!AG$25:AG$55,Налоги!$F$25:$F$55,$F98,Налоги!$AB$25:$AB$55,$G98)</f>
        <v>0</v>
      </c>
      <c r="AH98" s="920">
        <f>AG98-AF98</f>
        <v>0</v>
      </c>
      <c r="AI98" s="920">
        <f>_xlfn.SUMIFS(Налоги!AH$25:AH$55,Налоги!$F$25:$F$55,$F98,Налоги!$AB$25:$AB$55,$G98)</f>
        <v>0</v>
      </c>
      <c r="AJ98" s="920">
        <f>_xlfn.SUMIFS(Налоги!AI$25:AI$55,Налоги!$F$25:$F$55,$F98,Налоги!$AB$25:$AB$55,$G98)</f>
        <v>0</v>
      </c>
      <c r="AK98" s="920">
        <f>_xlfn.SUMIFS(Налоги!AJ$25:AJ$55,Налоги!$F$25:$F$55,$F98,Налоги!$AB$25:$AB$55,$G98)</f>
        <v>0</v>
      </c>
      <c r="AL98" s="920">
        <f>_xlfn.SUMIFS(Налоги!AK$25:AK$55,Налоги!$F$25:$F$55,$F98,Налоги!$AB$25:$AB$55,$G98)</f>
        <v>0</v>
      </c>
      <c r="AM98" s="920">
        <f>_xlfn.SUMIFS(Налоги!AL$25:AL$55,Налоги!$F$25:$F$55,$F98,Налоги!$AB$25:$AB$55,$G98)</f>
        <v>0</v>
      </c>
      <c r="AN98" s="920">
        <f>_xlfn.SUMIFS(Налоги!AM$25:AM$55,Налоги!$F$25:$F$55,$F98,Налоги!$AB$25:$AB$55,$G98)</f>
        <v>0</v>
      </c>
      <c r="AO98" s="920">
        <f>_xlfn.SUMIFS(Налоги!AN$25:AN$55,Налоги!$F$25:$F$55,$F98,Налоги!$AB$25:$AB$55,$G98)</f>
        <v>0</v>
      </c>
      <c r="AP98" s="920">
        <f>_xlfn.SUMIFS(Налоги!AO$25:AO$55,Налоги!$F$25:$F$55,$F98,Налоги!$AB$25:$AB$55,$G98)</f>
        <v>0</v>
      </c>
      <c r="AQ98" s="920">
        <f>_xlfn.SUMIFS(Налоги!AP$25:AP$55,Налоги!$F$25:$F$55,$F98,Налоги!$AB$25:$AB$55,$G98)</f>
        <v>0</v>
      </c>
      <c r="AR98" s="920">
        <f>_xlfn.SUMIFS(Налоги!AQ$25:AQ$55,Налоги!$F$25:$F$55,$F98,Налоги!$AB$25:$AB$55,$G98)</f>
        <v>0</v>
      </c>
      <c r="AS98" s="920">
        <f>_xlfn.SUMIFS(Налоги!AR$25:AR$55,Налоги!$F$25:$F$55,$F98,Налоги!$AB$25:$AB$55,$G98)</f>
        <v>0</v>
      </c>
      <c r="AT98" s="920">
        <f>_xlfn.SUMIFS(Налоги!AS$25:AS$55,Налоги!$F$25:$F$55,$F98,Налоги!$AB$25:$AB$55,$G98)</f>
        <v>0</v>
      </c>
      <c r="AU98" s="920">
        <f>_xlfn.SUMIFS(Налоги!AT$25:AT$55,Налоги!$F$25:$F$55,$F98,Налоги!$AB$25:$AB$55,$G98)</f>
        <v>0</v>
      </c>
      <c r="AV98" s="920">
        <f>_xlfn.SUMIFS(Налоги!AU$25:AU$55,Налоги!$F$25:$F$55,$F98,Налоги!$AB$25:$AB$55,$G98)</f>
        <v>0</v>
      </c>
      <c r="AW98" s="920">
        <f>_xlfn.SUMIFS(Налоги!AV$25:AV$55,Налоги!$F$25:$F$55,$F98,Налоги!$AB$25:$AB$55,$G98)</f>
        <v>0</v>
      </c>
      <c r="AX98" s="920">
        <f>_xlfn.SUMIFS(Налоги!AW$25:AW$55,Налоги!$F$25:$F$55,$F98,Налоги!$AB$25:$AB$55,$G98)</f>
        <v>0</v>
      </c>
      <c r="AY98" s="920">
        <f>_xlfn.SUMIFS(Налоги!AX$25:AX$55,Налоги!$F$25:$F$55,$F98,Налоги!$AB$25:$AB$55,$G98)</f>
        <v>0</v>
      </c>
      <c r="AZ98" s="920">
        <f>_xlfn.SUMIFS(Налоги!AY$25:AY$55,Налоги!$F$25:$F$55,$F98,Налоги!$AB$25:$AB$55,$G98)</f>
        <v>0</v>
      </c>
      <c r="BA98" s="920">
        <f>_xlfn.SUMIFS(Налоги!AZ$25:AZ$55,Налоги!$F$25:$F$55,$F98,Налоги!$AB$25:$AB$55,$G98)</f>
        <v>0</v>
      </c>
      <c r="BB98" s="920">
        <f>_xlfn.SUMIFS(Налоги!BA$25:BA$55,Налоги!$F$25:$F$55,$F98,Налоги!$AB$25:$AB$55,$G98)</f>
        <v>0</v>
      </c>
      <c r="BC98" s="920">
        <f>_xlfn.SUMIFS(Налоги!BB$25:BB$55,Налоги!$F$25:$F$55,$F98,Налоги!$AB$25:$AB$55,$G98)</f>
        <v>0</v>
      </c>
      <c r="BD98" s="920">
        <f>IF(AI98=0,0,(AT98-AI98)/AI98*100)</f>
        <v>0</v>
      </c>
      <c r="BE98" s="920">
        <f>IF(AT98=0,0,(AU98-AT98)/AT98*100)</f>
        <v>0</v>
      </c>
      <c r="BF98" s="920">
        <f>IF(AU98=0,0,(AV98-AU98)/AU98*100)</f>
        <v>0</v>
      </c>
      <c r="BG98" s="920">
        <f>IF(AV98=0,0,(AW98-AV98)/AV98*100)</f>
        <v>0</v>
      </c>
      <c r="BH98" s="920">
        <f>IF(AW98=0,0,(AX98-AW98)/AW98*100)</f>
        <v>0</v>
      </c>
      <c r="BI98" s="920">
        <f>IF(AX98=0,0,(AY98-AX98)/AX98*100)</f>
        <v>0</v>
      </c>
      <c r="BJ98" s="920">
        <f>IF(AY98=0,0,(AZ98-AY98)/AY98*100)</f>
        <v>0</v>
      </c>
      <c r="BK98" s="920">
        <f>IF(AZ98=0,0,(BA98-AZ98)/AZ98*100)</f>
        <v>0</v>
      </c>
      <c r="BL98" s="920">
        <f>IF(BA98=0,0,(BB98-BA98)/BA98*100)</f>
        <v>0</v>
      </c>
      <c r="BM98" s="920">
        <f>IF(BB98=0,0,(BC98-BB98)/BB98*100)</f>
        <v>0</v>
      </c>
      <c r="BN98" s="1234"/>
      <c r="BO98" s="1232" t="str">
        <f>IF(_xlfn.IFERROR(INDEX(Налоги!$K$26:$L$55,MATCH($F98&amp;"1komm",Налоги!$K$26:$K$55,0),2),"")=0,"",_xlfn.IFERROR(INDEX(Налоги!$K$26:$L$55,MATCH($F98&amp;"1komm",Налоги!$K$26:$K$55,0),2),""))</f>
        <v/>
      </c>
      <c r="BP98" s="1234"/>
      <c r="BQ98" s="1256"/>
      <c r="BR98" s="1256"/>
      <c r="BS98" s="1041" t="s">
        <v>1932</v>
      </c>
      <c r="BT98" s="1041"/>
      <c r="BU98" s="1041"/>
      <c r="BV98" s="956"/>
      <c r="BW98" s="956"/>
    </row>
    <row customHeight="1" ht="14.625" hidden="1">
      <c r="A99" s="1256"/>
      <c r="B99" s="62"/>
      <c r="C99" s="73"/>
      <c r="D99" s="73"/>
      <c r="E99" s="596">
        <v>15</v>
      </c>
      <c r="F99" s="50" cm="1" t="str">
        <f t="array" ref="F99:F99">OFFSET(E99,-1,1)</f>
        <v>0</v>
      </c>
      <c r="G99" s="898">
        <v>3</v>
      </c>
      <c r="H99" s="73"/>
      <c r="I99" s="73" t="s">
        <v>1933</v>
      </c>
      <c r="J99" s="73"/>
      <c r="K99" s="73" t="s">
        <v>1933</v>
      </c>
      <c r="L99" s="957"/>
      <c r="M99" s="73"/>
      <c r="N99" s="73"/>
      <c r="O99" s="73"/>
      <c r="P99" s="73"/>
      <c r="Q99" s="73"/>
      <c r="R99" s="73"/>
      <c r="S99" s="73"/>
      <c r="T99" s="438" cm="1" t="str">
        <f t="array" ref="T99:T99">T98</f>
        <v>false</v>
      </c>
      <c r="U99" s="73"/>
      <c r="V99" s="73"/>
      <c r="W99" s="1256"/>
      <c r="X99" s="1511"/>
      <c r="Y99" s="1256"/>
      <c r="Z99" s="1494"/>
      <c r="AA99" s="1256"/>
      <c r="AB99" s="265" t="s">
        <v>1934</v>
      </c>
      <c r="AC99" s="741" t="s">
        <v>1935</v>
      </c>
      <c r="AD99" s="266" t="s">
        <v>789</v>
      </c>
      <c r="AE99" s="1233">
        <f>_xlfn.SUMIFS(Налоги!AE$25:AE$55,Налоги!$F$25:$F$55,$F99,Налоги!$AB$25:$AB$55,$G99)</f>
        <v>0</v>
      </c>
      <c r="AF99" s="1233">
        <f>_xlfn.SUMIFS(Налоги!AF$25:AF$55,Налоги!$F$25:$F$55,$F99,Налоги!$AB$25:$AB$55,$G99)</f>
        <v>0</v>
      </c>
      <c r="AG99" s="1233">
        <f>_xlfn.SUMIFS(Налоги!AG$25:AG$55,Налоги!$F$25:$F$55,$F99,Налоги!$AB$25:$AB$55,$G99)</f>
        <v>0</v>
      </c>
      <c r="AH99" s="920">
        <f>AG99-AF99</f>
        <v>0</v>
      </c>
      <c r="AI99" s="1231">
        <f>_xlfn.SUMIFS(Налоги!AH$25:AH$55,Налоги!$F$25:$F$55,$F99,Налоги!$AB$25:$AB$55,$G99)</f>
        <v>0</v>
      </c>
      <c r="AJ99" s="3707">
        <f>_xlfn.SUMIFS(Налоги!AI$25:AI$55,Налоги!$F$25:$F$55,$F99,Налоги!$AB$25:$AB$55,$G99)</f>
        <v>0</v>
      </c>
      <c r="AK99" s="1231">
        <f>_xlfn.SUMIFS(Налоги!AJ$25:AJ$55,Налоги!$F$25:$F$55,$F99,Налоги!$AB$25:$AB$55,$G99)</f>
        <v>0</v>
      </c>
      <c r="AL99" s="1231">
        <f>_xlfn.SUMIFS(Налоги!AK$25:AK$55,Налоги!$F$25:$F$55,$F99,Налоги!$AB$25:$AB$55,$G99)</f>
        <v>0</v>
      </c>
      <c r="AM99" s="1231">
        <f>_xlfn.SUMIFS(Налоги!AL$25:AL$55,Налоги!$F$25:$F$55,$F99,Налоги!$AB$25:$AB$55,$G99)</f>
        <v>0</v>
      </c>
      <c r="AN99" s="1231">
        <f>_xlfn.SUMIFS(Налоги!AM$25:AM$55,Налоги!$F$25:$F$55,$F99,Налоги!$AB$25:$AB$55,$G99)</f>
        <v>0</v>
      </c>
      <c r="AO99" s="1231">
        <f>_xlfn.SUMIFS(Налоги!AN$25:AN$55,Налоги!$F$25:$F$55,$F99,Налоги!$AB$25:$AB$55,$G99)</f>
        <v>0</v>
      </c>
      <c r="AP99" s="1231">
        <f>_xlfn.SUMIFS(Налоги!AO$25:AO$55,Налоги!$F$25:$F$55,$F99,Налоги!$AB$25:$AB$55,$G99)</f>
        <v>0</v>
      </c>
      <c r="AQ99" s="1231">
        <f>_xlfn.SUMIFS(Налоги!AP$25:AP$55,Налоги!$F$25:$F$55,$F99,Налоги!$AB$25:$AB$55,$G99)</f>
        <v>0</v>
      </c>
      <c r="AR99" s="1231">
        <f>_xlfn.SUMIFS(Налоги!AQ$25:AQ$55,Налоги!$F$25:$F$55,$F99,Налоги!$AB$25:$AB$55,$G99)</f>
        <v>0</v>
      </c>
      <c r="AS99" s="1231">
        <f>_xlfn.SUMIFS(Налоги!AR$25:AR$55,Налоги!$F$25:$F$55,$F99,Налоги!$AB$25:$AB$55,$G99)</f>
        <v>0</v>
      </c>
      <c r="AT99" s="3707">
        <f>_xlfn.SUMIFS(Налоги!AS$25:AS$55,Налоги!$F$25:$F$55,$F99,Налоги!$AB$25:$AB$55,$G99)</f>
        <v>0</v>
      </c>
      <c r="AU99" s="1231">
        <f>_xlfn.SUMIFS(Налоги!AT$25:AT$55,Налоги!$F$25:$F$55,$F99,Налоги!$AB$25:$AB$55,$G99)</f>
        <v>0</v>
      </c>
      <c r="AV99" s="1231">
        <f>_xlfn.SUMIFS(Налоги!AU$25:AU$55,Налоги!$F$25:$F$55,$F99,Налоги!$AB$25:$AB$55,$G99)</f>
        <v>0</v>
      </c>
      <c r="AW99" s="1231">
        <f>_xlfn.SUMIFS(Налоги!AV$25:AV$55,Налоги!$F$25:$F$55,$F99,Налоги!$AB$25:$AB$55,$G99)</f>
        <v>0</v>
      </c>
      <c r="AX99" s="1231">
        <f>_xlfn.SUMIFS(Налоги!AW$25:AW$55,Налоги!$F$25:$F$55,$F99,Налоги!$AB$25:$AB$55,$G99)</f>
        <v>0</v>
      </c>
      <c r="AY99" s="1231">
        <f>_xlfn.SUMIFS(Налоги!AX$25:AX$55,Налоги!$F$25:$F$55,$F99,Налоги!$AB$25:$AB$55,$G99)</f>
        <v>0</v>
      </c>
      <c r="AZ99" s="1231">
        <f>_xlfn.SUMIFS(Налоги!AY$25:AY$55,Налоги!$F$25:$F$55,$F99,Налоги!$AB$25:$AB$55,$G99)</f>
        <v>0</v>
      </c>
      <c r="BA99" s="1231">
        <f>_xlfn.SUMIFS(Налоги!AZ$25:AZ$55,Налоги!$F$25:$F$55,$F99,Налоги!$AB$25:$AB$55,$G99)</f>
        <v>0</v>
      </c>
      <c r="BB99" s="1231">
        <f>_xlfn.SUMIFS(Налоги!BA$25:BA$55,Налоги!$F$25:$F$55,$F99,Налоги!$AB$25:$AB$55,$G99)</f>
        <v>0</v>
      </c>
      <c r="BC99" s="1231">
        <f>_xlfn.SUMIFS(Налоги!BB$25:BB$55,Налоги!$F$25:$F$55,$F99,Налоги!$AB$25:$AB$55,$G99)</f>
        <v>0</v>
      </c>
      <c r="BD99" s="920">
        <f>IF(AI99=0,0,(AT99-AI99)/AI99*100)</f>
        <v>0</v>
      </c>
      <c r="BE99" s="920">
        <f>IF(AT99=0,0,(AU99-AT99)/AT99*100)</f>
        <v>0</v>
      </c>
      <c r="BF99" s="920">
        <f>IF(AU99=0,0,(AV99-AU99)/AU99*100)</f>
        <v>0</v>
      </c>
      <c r="BG99" s="920">
        <f>IF(AV99=0,0,(AW99-AV99)/AV99*100)</f>
        <v>0</v>
      </c>
      <c r="BH99" s="920">
        <f>IF(AW99=0,0,(AX99-AW99)/AW99*100)</f>
        <v>0</v>
      </c>
      <c r="BI99" s="920">
        <f>IF(AX99=0,0,(AY99-AX99)/AX99*100)</f>
        <v>0</v>
      </c>
      <c r="BJ99" s="920">
        <f>IF(AY99=0,0,(AZ99-AY99)/AY99*100)</f>
        <v>0</v>
      </c>
      <c r="BK99" s="920">
        <f>IF(AZ99=0,0,(BA99-AZ99)/AZ99*100)</f>
        <v>0</v>
      </c>
      <c r="BL99" s="920">
        <f>IF(BA99=0,0,(BB99-BA99)/BA99*100)</f>
        <v>0</v>
      </c>
      <c r="BM99" s="920">
        <f>IF(BB99=0,0,(BC99-BB99)/BB99*100)</f>
        <v>0</v>
      </c>
      <c r="BN99" s="1234"/>
      <c r="BO99" s="1232" t="str">
        <f>IF(_xlfn.IFERROR(INDEX(Налоги!$K$26:$L$55,MATCH($F99&amp;"5komm",Налоги!$K$26:$K$55,0),2),"")=0,"",_xlfn.IFERROR(INDEX(Налоги!$K$26:$L$55,MATCH($F99&amp;"5komm",Налоги!$K$26:$K$55,0),2),""))</f>
        <v/>
      </c>
      <c r="BP99" s="1234"/>
      <c r="BQ99" s="1256"/>
      <c r="BR99" s="1256"/>
      <c r="BS99" s="1041" t="s">
        <v>1936</v>
      </c>
      <c r="BT99" s="1041"/>
      <c r="BU99" s="1041"/>
      <c r="BV99" s="956"/>
      <c r="BW99" s="956"/>
    </row>
    <row customHeight="1" ht="14.625" hidden="1">
      <c r="A100" s="1256"/>
      <c r="B100" s="62"/>
      <c r="C100" s="73"/>
      <c r="D100" s="73"/>
      <c r="E100" s="596">
        <v>15</v>
      </c>
      <c r="F100" s="50" cm="1" t="str">
        <f t="array" ref="F100:F100">OFFSET(E100,-1,1)</f>
        <v>0</v>
      </c>
      <c r="G100" s="898">
        <v>8</v>
      </c>
      <c r="H100" s="73"/>
      <c r="I100" s="73" t="s">
        <v>1937</v>
      </c>
      <c r="J100" s="73"/>
      <c r="K100" s="73" t="s">
        <v>1937</v>
      </c>
      <c r="L100" s="957"/>
      <c r="M100" s="73"/>
      <c r="N100" s="73"/>
      <c r="O100" s="73"/>
      <c r="P100" s="73"/>
      <c r="Q100" s="73"/>
      <c r="R100" s="73"/>
      <c r="S100" s="73"/>
      <c r="T100" s="438" cm="1" t="str">
        <f t="array" ref="T100:T100">T99</f>
        <v>false</v>
      </c>
      <c r="U100" s="73"/>
      <c r="V100" s="73"/>
      <c r="W100" s="1256"/>
      <c r="X100" s="1511"/>
      <c r="Y100" s="1256"/>
      <c r="Z100" s="1494"/>
      <c r="AA100" s="1256"/>
      <c r="AB100" s="265" t="s">
        <v>1938</v>
      </c>
      <c r="AC100" s="741" t="s">
        <v>1939</v>
      </c>
      <c r="AD100" s="266" t="s">
        <v>789</v>
      </c>
      <c r="AE100" s="225">
        <f>_xlfn.SUMIFS(Налоги!AE$25:AE$55,Налоги!$F$25:$F$55,$F100,Налоги!$AB$25:$AB$55,$G100)</f>
        <v>0</v>
      </c>
      <c r="AF100" s="225">
        <f>_xlfn.SUMIFS(Налоги!AF$25:AF$55,Налоги!$F$25:$F$55,$F100,Налоги!$AB$25:$AB$55,$G100)</f>
        <v>0</v>
      </c>
      <c r="AG100" s="225">
        <f>_xlfn.SUMIFS(Налоги!AG$25:AG$55,Налоги!$F$25:$F$55,$F100,Налоги!$AB$25:$AB$55,$G100)</f>
        <v>0</v>
      </c>
      <c r="AH100" s="920">
        <f>AG100-AF100</f>
        <v>0</v>
      </c>
      <c r="AI100" s="920">
        <f>_xlfn.SUMIFS(Налоги!AH$25:AH$55,Налоги!$F$25:$F$55,$F100,Налоги!$AB$25:$AB$55,$G100)</f>
        <v>0</v>
      </c>
      <c r="AJ100" s="920">
        <f>_xlfn.SUMIFS(Налоги!AI$25:AI$55,Налоги!$F$25:$F$55,$F100,Налоги!$AB$25:$AB$55,$G100)</f>
        <v>0</v>
      </c>
      <c r="AK100" s="920">
        <f>_xlfn.SUMIFS(Налоги!AJ$25:AJ$55,Налоги!$F$25:$F$55,$F100,Налоги!$AB$25:$AB$55,$G100)</f>
        <v>0</v>
      </c>
      <c r="AL100" s="920">
        <f>_xlfn.SUMIFS(Налоги!AK$25:AK$55,Налоги!$F$25:$F$55,$F100,Налоги!$AB$25:$AB$55,$G100)</f>
        <v>0</v>
      </c>
      <c r="AM100" s="920">
        <f>_xlfn.SUMIFS(Налоги!AL$25:AL$55,Налоги!$F$25:$F$55,$F100,Налоги!$AB$25:$AB$55,$G100)</f>
        <v>0</v>
      </c>
      <c r="AN100" s="920">
        <f>_xlfn.SUMIFS(Налоги!AM$25:AM$55,Налоги!$F$25:$F$55,$F100,Налоги!$AB$25:$AB$55,$G100)</f>
        <v>0</v>
      </c>
      <c r="AO100" s="920">
        <f>_xlfn.SUMIFS(Налоги!AN$25:AN$55,Налоги!$F$25:$F$55,$F100,Налоги!$AB$25:$AB$55,$G100)</f>
        <v>0</v>
      </c>
      <c r="AP100" s="920">
        <f>_xlfn.SUMIFS(Налоги!AO$25:AO$55,Налоги!$F$25:$F$55,$F100,Налоги!$AB$25:$AB$55,$G100)</f>
        <v>0</v>
      </c>
      <c r="AQ100" s="920">
        <f>_xlfn.SUMIFS(Налоги!AP$25:AP$55,Налоги!$F$25:$F$55,$F100,Налоги!$AB$25:$AB$55,$G100)</f>
        <v>0</v>
      </c>
      <c r="AR100" s="920">
        <f>_xlfn.SUMIFS(Налоги!AQ$25:AQ$55,Налоги!$F$25:$F$55,$F100,Налоги!$AB$25:$AB$55,$G100)</f>
        <v>0</v>
      </c>
      <c r="AS100" s="920">
        <f>_xlfn.SUMIFS(Налоги!AR$25:AR$55,Налоги!$F$25:$F$55,$F100,Налоги!$AB$25:$AB$55,$G100)</f>
        <v>0</v>
      </c>
      <c r="AT100" s="920">
        <f>_xlfn.SUMIFS(Налоги!AS$25:AS$55,Налоги!$F$25:$F$55,$F100,Налоги!$AB$25:$AB$55,$G100)</f>
        <v>0</v>
      </c>
      <c r="AU100" s="920">
        <f>_xlfn.SUMIFS(Налоги!AT$25:AT$55,Налоги!$F$25:$F$55,$F100,Налоги!$AB$25:$AB$55,$G100)</f>
        <v>0</v>
      </c>
      <c r="AV100" s="920">
        <f>_xlfn.SUMIFS(Налоги!AU$25:AU$55,Налоги!$F$25:$F$55,$F100,Налоги!$AB$25:$AB$55,$G100)</f>
        <v>0</v>
      </c>
      <c r="AW100" s="920">
        <f>_xlfn.SUMIFS(Налоги!AV$25:AV$55,Налоги!$F$25:$F$55,$F100,Налоги!$AB$25:$AB$55,$G100)</f>
        <v>0</v>
      </c>
      <c r="AX100" s="920">
        <f>_xlfn.SUMIFS(Налоги!AW$25:AW$55,Налоги!$F$25:$F$55,$F100,Налоги!$AB$25:$AB$55,$G100)</f>
        <v>0</v>
      </c>
      <c r="AY100" s="920">
        <f>_xlfn.SUMIFS(Налоги!AX$25:AX$55,Налоги!$F$25:$F$55,$F100,Налоги!$AB$25:$AB$55,$G100)</f>
        <v>0</v>
      </c>
      <c r="AZ100" s="920">
        <f>_xlfn.SUMIFS(Налоги!AY$25:AY$55,Налоги!$F$25:$F$55,$F100,Налоги!$AB$25:$AB$55,$G100)</f>
        <v>0</v>
      </c>
      <c r="BA100" s="920">
        <f>_xlfn.SUMIFS(Налоги!AZ$25:AZ$55,Налоги!$F$25:$F$55,$F100,Налоги!$AB$25:$AB$55,$G100)</f>
        <v>0</v>
      </c>
      <c r="BB100" s="920">
        <f>_xlfn.SUMIFS(Налоги!BA$25:BA$55,Налоги!$F$25:$F$55,$F100,Налоги!$AB$25:$AB$55,$G100)</f>
        <v>0</v>
      </c>
      <c r="BC100" s="920">
        <f>_xlfn.SUMIFS(Налоги!BB$25:BB$55,Налоги!$F$25:$F$55,$F100,Налоги!$AB$25:$AB$55,$G100)</f>
        <v>0</v>
      </c>
      <c r="BD100" s="920">
        <f>IF(AI100=0,0,(AT100-AI100)/AI100*100)</f>
        <v>0</v>
      </c>
      <c r="BE100" s="920">
        <f>IF(AT100=0,0,(AU100-AT100)/AT100*100)</f>
        <v>0</v>
      </c>
      <c r="BF100" s="920">
        <f>IF(AU100=0,0,(AV100-AU100)/AU100*100)</f>
        <v>0</v>
      </c>
      <c r="BG100" s="920">
        <f>IF(AV100=0,0,(AW100-AV100)/AV100*100)</f>
        <v>0</v>
      </c>
      <c r="BH100" s="920">
        <f>IF(AW100=0,0,(AX100-AW100)/AW100*100)</f>
        <v>0</v>
      </c>
      <c r="BI100" s="920">
        <f>IF(AX100=0,0,(AY100-AX100)/AX100*100)</f>
        <v>0</v>
      </c>
      <c r="BJ100" s="920">
        <f>IF(AY100=0,0,(AZ100-AY100)/AY100*100)</f>
        <v>0</v>
      </c>
      <c r="BK100" s="920">
        <f>IF(AZ100=0,0,(BA100-AZ100)/AZ100*100)</f>
        <v>0</v>
      </c>
      <c r="BL100" s="920">
        <f>IF(BA100=0,0,(BB100-BA100)/BA100*100)</f>
        <v>0</v>
      </c>
      <c r="BM100" s="920">
        <f>IF(BB100=0,0,(BC100-BB100)/BB100*100)</f>
        <v>0</v>
      </c>
      <c r="BN100" s="1234"/>
      <c r="BO100" s="1232" t="str">
        <f>IF(_xlfn.IFERROR(INDEX(Налоги!$K$26:$L$55,MATCH($F100&amp;"8komm",Налоги!$K$26:$K$55,0),2),"")=0,"",_xlfn.IFERROR(INDEX(Налоги!$K$26:$L$55,MATCH($F100&amp;"8komm",Налоги!$K$26:$K$55,0),2),""))</f>
        <v/>
      </c>
      <c r="BP100" s="1234"/>
      <c r="BQ100" s="1256"/>
      <c r="BR100" s="1256"/>
      <c r="BS100" s="1041" t="s">
        <v>1164</v>
      </c>
      <c r="BT100" s="1041"/>
      <c r="BU100" s="1041"/>
      <c r="BV100" s="956"/>
      <c r="BW100" s="956"/>
    </row>
    <row s="1211" customFormat="1" customHeight="1" ht="14.625" hidden="1">
      <c r="A101" s="1211"/>
      <c r="B101" s="62"/>
      <c r="C101" s="73"/>
      <c r="D101" s="73"/>
      <c r="E101" s="596">
        <v>15</v>
      </c>
      <c r="F101" s="50" cm="1" t="str">
        <f t="array" ref="F101:F101">OFFSET(E101,-1,1)</f>
        <v>0</v>
      </c>
      <c r="G101" s="898">
        <v>9</v>
      </c>
      <c r="H101" s="73"/>
      <c r="I101" s="73"/>
      <c r="J101" s="73"/>
      <c r="K101" s="73"/>
      <c r="L101" s="957"/>
      <c r="M101" s="73"/>
      <c r="N101" s="73"/>
      <c r="O101" s="73"/>
      <c r="P101" s="73"/>
      <c r="Q101" s="73"/>
      <c r="R101" s="73"/>
      <c r="S101" s="73"/>
      <c r="T101" s="438" cm="1" t="str">
        <f t="array" ref="T101:T101">T100</f>
        <v>false</v>
      </c>
      <c r="U101" s="73"/>
      <c r="V101" s="73"/>
      <c r="W101" s="1211"/>
      <c r="X101" s="1511"/>
      <c r="Y101" s="1211"/>
      <c r="Z101" s="1494"/>
      <c r="AA101" s="1211"/>
      <c r="AB101" s="265" t="s">
        <v>1940</v>
      </c>
      <c r="AC101" s="756" t="s">
        <v>1941</v>
      </c>
      <c r="AD101" s="266" t="s">
        <v>789</v>
      </c>
      <c r="AE101" s="225">
        <f>_xlfn.SUMIFS(Налоги!AE$25:AE$55,Налоги!$F$25:$F$55,$F101,Налоги!$AB$25:$AB$55,$G101)</f>
        <v>0</v>
      </c>
      <c r="AF101" s="225">
        <f>_xlfn.SUMIFS(Налоги!AF$25:AF$55,Налоги!$F$25:$F$55,$F101,Налоги!$AB$25:$AB$55,$G101)</f>
        <v>0</v>
      </c>
      <c r="AG101" s="225">
        <f>_xlfn.SUMIFS(Налоги!AG$25:AG$55,Налоги!$F$25:$F$55,$F101,Налоги!$AB$25:$AB$55,$G101)</f>
        <v>0</v>
      </c>
      <c r="AH101" s="920">
        <f>AG101-AF101</f>
        <v>0</v>
      </c>
      <c r="AI101" s="920">
        <f>_xlfn.SUMIFS(Налоги!AH$25:AH$55,Налоги!$F$25:$F$55,$F101,Налоги!$AB$25:$AB$55,$G101)</f>
        <v>0</v>
      </c>
      <c r="AJ101" s="920">
        <f>_xlfn.SUMIFS(Налоги!AI$25:AI$55,Налоги!$F$25:$F$55,$F101,Налоги!$AB$25:$AB$55,$G101)</f>
        <v>0</v>
      </c>
      <c r="AK101" s="920">
        <f>_xlfn.SUMIFS(Налоги!AJ$25:AJ$55,Налоги!$F$25:$F$55,$F101,Налоги!$AB$25:$AB$55,$G101)</f>
        <v>0</v>
      </c>
      <c r="AL101" s="920">
        <f>_xlfn.SUMIFS(Налоги!AK$25:AK$55,Налоги!$F$25:$F$55,$F101,Налоги!$AB$25:$AB$55,$G101)</f>
        <v>0</v>
      </c>
      <c r="AM101" s="920">
        <f>_xlfn.SUMIFS(Налоги!AL$25:AL$55,Налоги!$F$25:$F$55,$F101,Налоги!$AB$25:$AB$55,$G101)</f>
        <v>0</v>
      </c>
      <c r="AN101" s="920">
        <f>_xlfn.SUMIFS(Налоги!AM$25:AM$55,Налоги!$F$25:$F$55,$F101,Налоги!$AB$25:$AB$55,$G101)</f>
        <v>0</v>
      </c>
      <c r="AO101" s="920">
        <f>_xlfn.SUMIFS(Налоги!AN$25:AN$55,Налоги!$F$25:$F$55,$F101,Налоги!$AB$25:$AB$55,$G101)</f>
        <v>0</v>
      </c>
      <c r="AP101" s="920">
        <f>_xlfn.SUMIFS(Налоги!AO$25:AO$55,Налоги!$F$25:$F$55,$F101,Налоги!$AB$25:$AB$55,$G101)</f>
        <v>0</v>
      </c>
      <c r="AQ101" s="920">
        <f>_xlfn.SUMIFS(Налоги!AP$25:AP$55,Налоги!$F$25:$F$55,$F101,Налоги!$AB$25:$AB$55,$G101)</f>
        <v>0</v>
      </c>
      <c r="AR101" s="920">
        <f>_xlfn.SUMIFS(Налоги!AQ$25:AQ$55,Налоги!$F$25:$F$55,$F101,Налоги!$AB$25:$AB$55,$G101)</f>
        <v>0</v>
      </c>
      <c r="AS101" s="920">
        <f>_xlfn.SUMIFS(Налоги!AR$25:AR$55,Налоги!$F$25:$F$55,$F101,Налоги!$AB$25:$AB$55,$G101)</f>
        <v>0</v>
      </c>
      <c r="AT101" s="920">
        <f>_xlfn.SUMIFS(Налоги!AS$25:AS$55,Налоги!$F$25:$F$55,$F101,Налоги!$AB$25:$AB$55,$G101)</f>
        <v>0</v>
      </c>
      <c r="AU101" s="920">
        <f>_xlfn.SUMIFS(Налоги!AT$25:AT$55,Налоги!$F$25:$F$55,$F101,Налоги!$AB$25:$AB$55,$G101)</f>
        <v>0</v>
      </c>
      <c r="AV101" s="920">
        <f>_xlfn.SUMIFS(Налоги!AU$25:AU$55,Налоги!$F$25:$F$55,$F101,Налоги!$AB$25:$AB$55,$G101)</f>
        <v>0</v>
      </c>
      <c r="AW101" s="920">
        <f>_xlfn.SUMIFS(Налоги!AV$25:AV$55,Налоги!$F$25:$F$55,$F101,Налоги!$AB$25:$AB$55,$G101)</f>
        <v>0</v>
      </c>
      <c r="AX101" s="920">
        <f>_xlfn.SUMIFS(Налоги!AW$25:AW$55,Налоги!$F$25:$F$55,$F101,Налоги!$AB$25:$AB$55,$G101)</f>
        <v>0</v>
      </c>
      <c r="AY101" s="920">
        <f>_xlfn.SUMIFS(Налоги!AX$25:AX$55,Налоги!$F$25:$F$55,$F101,Налоги!$AB$25:$AB$55,$G101)</f>
        <v>0</v>
      </c>
      <c r="AZ101" s="920">
        <f>_xlfn.SUMIFS(Налоги!AY$25:AY$55,Налоги!$F$25:$F$55,$F101,Налоги!$AB$25:$AB$55,$G101)</f>
        <v>0</v>
      </c>
      <c r="BA101" s="920">
        <f>_xlfn.SUMIFS(Налоги!AZ$25:AZ$55,Налоги!$F$25:$F$55,$F101,Налоги!$AB$25:$AB$55,$G101)</f>
        <v>0</v>
      </c>
      <c r="BB101" s="920">
        <f>_xlfn.SUMIFS(Налоги!BA$25:BA$55,Налоги!$F$25:$F$55,$F101,Налоги!$AB$25:$AB$55,$G101)</f>
        <v>0</v>
      </c>
      <c r="BC101" s="920">
        <f>_xlfn.SUMIFS(Налоги!BB$25:BB$55,Налоги!$F$25:$F$55,$F101,Налоги!$AB$25:$AB$55,$G101)</f>
        <v>0</v>
      </c>
      <c r="BD101" s="920">
        <f>IF(AI101=0,0,(AT101-AI101)/AI101*100)</f>
        <v>0</v>
      </c>
      <c r="BE101" s="920">
        <f>IF(AT101=0,0,(AU101-AT101)/AT101*100)</f>
        <v>0</v>
      </c>
      <c r="BF101" s="920">
        <f>IF(AU101=0,0,(AV101-AU101)/AU101*100)</f>
        <v>0</v>
      </c>
      <c r="BG101" s="920">
        <f>IF(AV101=0,0,(AW101-AV101)/AV101*100)</f>
        <v>0</v>
      </c>
      <c r="BH101" s="920">
        <f>IF(AW101=0,0,(AX101-AW101)/AW101*100)</f>
        <v>0</v>
      </c>
      <c r="BI101" s="920">
        <f>IF(AX101=0,0,(AY101-AX101)/AX101*100)</f>
        <v>0</v>
      </c>
      <c r="BJ101" s="920">
        <f>IF(AY101=0,0,(AZ101-AY101)/AY101*100)</f>
        <v>0</v>
      </c>
      <c r="BK101" s="920">
        <f>IF(AZ101=0,0,(BA101-AZ101)/AZ101*100)</f>
        <v>0</v>
      </c>
      <c r="BL101" s="920">
        <f>IF(BA101=0,0,(BB101-BA101)/BA101*100)</f>
        <v>0</v>
      </c>
      <c r="BM101" s="920">
        <f>IF(BB101=0,0,(BC101-BB101)/BB101*100)</f>
        <v>0</v>
      </c>
      <c r="BN101" s="1234"/>
      <c r="BO101" s="1232" t="str">
        <f>IF(_xlfn.IFERROR(INDEX(Налоги!$K$26:$L$55,MATCH($F101&amp;"9komm",Налоги!$K$26:$K$55,0),2),"")=0,"",_xlfn.IFERROR(INDEX(Налоги!$K$26:$L$55,MATCH($F101&amp;"9komm",Налоги!$K$26:$K$55,0),2),""))</f>
        <v/>
      </c>
      <c r="BP101" s="1234"/>
      <c r="BQ101" s="1211"/>
      <c r="BR101" s="1211"/>
      <c r="BS101" s="1048" t="s">
        <v>1942</v>
      </c>
      <c r="BT101" s="1048"/>
      <c r="BU101" s="1048"/>
      <c r="BV101" s="1049"/>
      <c r="BW101" s="1049"/>
    </row>
    <row customHeight="1" ht="14.625" hidden="1">
      <c r="A102" s="1256"/>
      <c r="B102" s="62"/>
      <c r="C102" s="73"/>
      <c r="D102" s="73"/>
      <c r="E102" s="596">
        <v>15</v>
      </c>
      <c r="F102" s="50" cm="1" t="str">
        <f t="array" ref="F102:F102">OFFSET(E102,-1,1)</f>
        <v>0</v>
      </c>
      <c r="G102" s="898">
        <v>10</v>
      </c>
      <c r="H102" s="73"/>
      <c r="I102" s="73" t="s">
        <v>1943</v>
      </c>
      <c r="J102" s="73"/>
      <c r="K102" s="73" t="s">
        <v>1943</v>
      </c>
      <c r="L102" s="957"/>
      <c r="M102" s="73"/>
      <c r="N102" s="73"/>
      <c r="O102" s="73"/>
      <c r="P102" s="73"/>
      <c r="Q102" s="73"/>
      <c r="R102" s="73"/>
      <c r="S102" s="73"/>
      <c r="T102" s="438" cm="1" t="str">
        <f t="array" ref="T102:T102">T101</f>
        <v>false</v>
      </c>
      <c r="U102" s="73"/>
      <c r="V102" s="73"/>
      <c r="W102" s="1256"/>
      <c r="X102" s="1511"/>
      <c r="Y102" s="1256"/>
      <c r="Z102" s="1494"/>
      <c r="AA102" s="1256"/>
      <c r="AB102" s="265" t="s">
        <v>1944</v>
      </c>
      <c r="AC102" s="757" t="s">
        <v>1945</v>
      </c>
      <c r="AD102" s="266" t="s">
        <v>789</v>
      </c>
      <c r="AE102" s="225">
        <f>_xlfn.SUMIFS(Налоги!AE$25:AE$55,Налоги!$F$25:$F$55,$F102,Налоги!$AB$25:$AB$55,$G102)</f>
        <v>0</v>
      </c>
      <c r="AF102" s="225">
        <f>_xlfn.SUMIFS(Налоги!AF$25:AF$55,Налоги!$F$25:$F$55,$F102,Налоги!$AB$25:$AB$55,$G102)</f>
        <v>0</v>
      </c>
      <c r="AG102" s="225">
        <f>_xlfn.SUMIFS(Налоги!AG$25:AG$55,Налоги!$F$25:$F$55,$F102,Налоги!$AB$25:$AB$55,$G102)</f>
        <v>0</v>
      </c>
      <c r="AH102" s="920">
        <f>AG102-AF102</f>
        <v>0</v>
      </c>
      <c r="AI102" s="920">
        <f>_xlfn.SUMIFS(Налоги!AH$25:AH$55,Налоги!$F$25:$F$55,$F102,Налоги!$AB$25:$AB$55,$G102)</f>
        <v>0</v>
      </c>
      <c r="AJ102" s="920">
        <f>_xlfn.SUMIFS(Налоги!AI$25:AI$55,Налоги!$F$25:$F$55,$F102,Налоги!$AB$25:$AB$55,$G102)</f>
        <v>0</v>
      </c>
      <c r="AK102" s="920">
        <f>_xlfn.SUMIFS(Налоги!AJ$25:AJ$55,Налоги!$F$25:$F$55,$F102,Налоги!$AB$25:$AB$55,$G102)</f>
        <v>0</v>
      </c>
      <c r="AL102" s="920">
        <f>_xlfn.SUMIFS(Налоги!AK$25:AK$55,Налоги!$F$25:$F$55,$F102,Налоги!$AB$25:$AB$55,$G102)</f>
        <v>0</v>
      </c>
      <c r="AM102" s="920">
        <f>_xlfn.SUMIFS(Налоги!AL$25:AL$55,Налоги!$F$25:$F$55,$F102,Налоги!$AB$25:$AB$55,$G102)</f>
        <v>0</v>
      </c>
      <c r="AN102" s="920">
        <f>_xlfn.SUMIFS(Налоги!AM$25:AM$55,Налоги!$F$25:$F$55,$F102,Налоги!$AB$25:$AB$55,$G102)</f>
        <v>0</v>
      </c>
      <c r="AO102" s="920">
        <f>_xlfn.SUMIFS(Налоги!AN$25:AN$55,Налоги!$F$25:$F$55,$F102,Налоги!$AB$25:$AB$55,$G102)</f>
        <v>0</v>
      </c>
      <c r="AP102" s="920">
        <f>_xlfn.SUMIFS(Налоги!AO$25:AO$55,Налоги!$F$25:$F$55,$F102,Налоги!$AB$25:$AB$55,$G102)</f>
        <v>0</v>
      </c>
      <c r="AQ102" s="920">
        <f>_xlfn.SUMIFS(Налоги!AP$25:AP$55,Налоги!$F$25:$F$55,$F102,Налоги!$AB$25:$AB$55,$G102)</f>
        <v>0</v>
      </c>
      <c r="AR102" s="920">
        <f>_xlfn.SUMIFS(Налоги!AQ$25:AQ$55,Налоги!$F$25:$F$55,$F102,Налоги!$AB$25:$AB$55,$G102)</f>
        <v>0</v>
      </c>
      <c r="AS102" s="920">
        <f>_xlfn.SUMIFS(Налоги!AR$25:AR$55,Налоги!$F$25:$F$55,$F102,Налоги!$AB$25:$AB$55,$G102)</f>
        <v>0</v>
      </c>
      <c r="AT102" s="920">
        <f>_xlfn.SUMIFS(Налоги!AS$25:AS$55,Налоги!$F$25:$F$55,$F102,Налоги!$AB$25:$AB$55,$G102)</f>
        <v>0</v>
      </c>
      <c r="AU102" s="920">
        <f>_xlfn.SUMIFS(Налоги!AT$25:AT$55,Налоги!$F$25:$F$55,$F102,Налоги!$AB$25:$AB$55,$G102)</f>
        <v>0</v>
      </c>
      <c r="AV102" s="920">
        <f>_xlfn.SUMIFS(Налоги!AU$25:AU$55,Налоги!$F$25:$F$55,$F102,Налоги!$AB$25:$AB$55,$G102)</f>
        <v>0</v>
      </c>
      <c r="AW102" s="920">
        <f>_xlfn.SUMIFS(Налоги!AV$25:AV$55,Налоги!$F$25:$F$55,$F102,Налоги!$AB$25:$AB$55,$G102)</f>
        <v>0</v>
      </c>
      <c r="AX102" s="920">
        <f>_xlfn.SUMIFS(Налоги!AW$25:AW$55,Налоги!$F$25:$F$55,$F102,Налоги!$AB$25:$AB$55,$G102)</f>
        <v>0</v>
      </c>
      <c r="AY102" s="920">
        <f>_xlfn.SUMIFS(Налоги!AX$25:AX$55,Налоги!$F$25:$F$55,$F102,Налоги!$AB$25:$AB$55,$G102)</f>
        <v>0</v>
      </c>
      <c r="AZ102" s="920">
        <f>_xlfn.SUMIFS(Налоги!AY$25:AY$55,Налоги!$F$25:$F$55,$F102,Налоги!$AB$25:$AB$55,$G102)</f>
        <v>0</v>
      </c>
      <c r="BA102" s="920">
        <f>_xlfn.SUMIFS(Налоги!AZ$25:AZ$55,Налоги!$F$25:$F$55,$F102,Налоги!$AB$25:$AB$55,$G102)</f>
        <v>0</v>
      </c>
      <c r="BB102" s="920">
        <f>_xlfn.SUMIFS(Налоги!BA$25:BA$55,Налоги!$F$25:$F$55,$F102,Налоги!$AB$25:$AB$55,$G102)</f>
        <v>0</v>
      </c>
      <c r="BC102" s="920">
        <f>_xlfn.SUMIFS(Налоги!BB$25:BB$55,Налоги!$F$25:$F$55,$F102,Налоги!$AB$25:$AB$55,$G102)</f>
        <v>0</v>
      </c>
      <c r="BD102" s="920">
        <f>IF(AI102=0,0,(AT102-AI102)/AI102*100)</f>
        <v>0</v>
      </c>
      <c r="BE102" s="920">
        <f>IF(AT102=0,0,(AU102-AT102)/AT102*100)</f>
        <v>0</v>
      </c>
      <c r="BF102" s="920">
        <f>IF(AU102=0,0,(AV102-AU102)/AU102*100)</f>
        <v>0</v>
      </c>
      <c r="BG102" s="920">
        <f>IF(AV102=0,0,(AW102-AV102)/AV102*100)</f>
        <v>0</v>
      </c>
      <c r="BH102" s="920">
        <f>IF(AW102=0,0,(AX102-AW102)/AW102*100)</f>
        <v>0</v>
      </c>
      <c r="BI102" s="920">
        <f>IF(AX102=0,0,(AY102-AX102)/AX102*100)</f>
        <v>0</v>
      </c>
      <c r="BJ102" s="920">
        <f>IF(AY102=0,0,(AZ102-AY102)/AY102*100)</f>
        <v>0</v>
      </c>
      <c r="BK102" s="920">
        <f>IF(AZ102=0,0,(BA102-AZ102)/AZ102*100)</f>
        <v>0</v>
      </c>
      <c r="BL102" s="920">
        <f>IF(BA102=0,0,(BB102-BA102)/BA102*100)</f>
        <v>0</v>
      </c>
      <c r="BM102" s="920">
        <f>IF(BB102=0,0,(BC102-BB102)/BB102*100)</f>
        <v>0</v>
      </c>
      <c r="BN102" s="1234"/>
      <c r="BO102" s="1232" t="str">
        <f>IF(_xlfn.IFERROR(INDEX(Налоги!$K$26:$L$55,MATCH($F102&amp;"10komm",Налоги!$K$26:$K$55,0),2),"")=0,"",_xlfn.IFERROR(INDEX(Налоги!$K$26:$L$55,MATCH($F102&amp;"10komm",Налоги!$K$26:$K$55,0),2),""))</f>
        <v/>
      </c>
      <c r="BP102" s="1234"/>
      <c r="BQ102" s="1256"/>
      <c r="BR102" s="1256"/>
      <c r="BS102" s="1041" t="s">
        <v>1946</v>
      </c>
      <c r="BT102" s="1041"/>
      <c r="BU102" s="1041"/>
      <c r="BV102" s="956"/>
      <c r="BW102" s="956"/>
    </row>
    <row customHeight="1" ht="65.8125" hidden="1">
      <c r="A103" s="1256"/>
      <c r="B103" s="955"/>
      <c r="C103" s="1256"/>
      <c r="D103" s="1256"/>
      <c r="E103" s="679">
        <v>67.5</v>
      </c>
      <c r="F103" s="50" cm="1" t="str">
        <f t="array" ref="F103:F103">OFFSET(E103,-1,1)</f>
        <v>0</v>
      </c>
      <c r="G103" s="124" t="s">
        <v>1317</v>
      </c>
      <c r="H103" s="1256"/>
      <c r="I103" s="124" t="s">
        <v>866</v>
      </c>
      <c r="J103" s="1256"/>
      <c r="K103" s="124" t="s">
        <v>866</v>
      </c>
      <c r="L103" s="957"/>
      <c r="M103" s="73"/>
      <c r="N103" s="1256"/>
      <c r="O103" s="1256"/>
      <c r="P103" s="1256"/>
      <c r="Q103" s="1256"/>
      <c r="R103" s="1256"/>
      <c r="S103" s="1256"/>
      <c r="T103" s="438" cm="1" t="str">
        <f t="array" ref="T103:T103">T102</f>
        <v>false</v>
      </c>
      <c r="U103" s="1256"/>
      <c r="V103" s="1256"/>
      <c r="W103" s="1256"/>
      <c r="X103" s="1511"/>
      <c r="Y103" s="1256"/>
      <c r="Z103" s="1494"/>
      <c r="AA103" s="1256"/>
      <c r="AB103" s="265" t="s">
        <v>867</v>
      </c>
      <c r="AC103" s="758" t="s">
        <v>1320</v>
      </c>
      <c r="AD103" s="266" t="s">
        <v>789</v>
      </c>
      <c r="AE103" s="1235"/>
      <c r="AF103" s="1235"/>
      <c r="AG103" s="1235"/>
      <c r="AH103" s="920">
        <f>AG103-AF103</f>
        <v>0</v>
      </c>
      <c r="AI103" s="1236"/>
      <c r="AJ103" s="3711"/>
      <c r="AK103" s="1236"/>
      <c r="AL103" s="1236"/>
      <c r="AM103" s="1236"/>
      <c r="AN103" s="1236"/>
      <c r="AO103" s="1236"/>
      <c r="AP103" s="1236"/>
      <c r="AQ103" s="1236"/>
      <c r="AR103" s="1236"/>
      <c r="AS103" s="1236"/>
      <c r="AT103" s="3711"/>
      <c r="AU103" s="1236"/>
      <c r="AV103" s="1236"/>
      <c r="AW103" s="1236"/>
      <c r="AX103" s="1236"/>
      <c r="AY103" s="1236"/>
      <c r="AZ103" s="1236"/>
      <c r="BA103" s="1236"/>
      <c r="BB103" s="1236"/>
      <c r="BC103" s="1236"/>
      <c r="BD103" s="920">
        <f>IF(AI103=0,0,(AT103-AI103)/AI103*100)</f>
        <v>0</v>
      </c>
      <c r="BE103" s="920">
        <f>IF(AT103=0,0,(AU103-AT103)/AT103*100)</f>
        <v>0</v>
      </c>
      <c r="BF103" s="920">
        <f>IF(AU103=0,0,(AV103-AU103)/AU103*100)</f>
        <v>0</v>
      </c>
      <c r="BG103" s="920">
        <f>IF(AV103=0,0,(AW103-AV103)/AV103*100)</f>
        <v>0</v>
      </c>
      <c r="BH103" s="920">
        <f>IF(AW103=0,0,(AX103-AW103)/AW103*100)</f>
        <v>0</v>
      </c>
      <c r="BI103" s="920">
        <f>IF(AX103=0,0,(AY103-AX103)/AX103*100)</f>
        <v>0</v>
      </c>
      <c r="BJ103" s="920">
        <f>IF(AY103=0,0,(AZ103-AY103)/AY103*100)</f>
        <v>0</v>
      </c>
      <c r="BK103" s="920">
        <f>IF(AZ103=0,0,(BA103-AZ103)/AZ103*100)</f>
        <v>0</v>
      </c>
      <c r="BL103" s="920">
        <f>IF(BA103=0,0,(BB103-BA103)/BA103*100)</f>
        <v>0</v>
      </c>
      <c r="BM103" s="920">
        <f>IF(BB103=0,0,(BC103-BB103)/BB103*100)</f>
        <v>0</v>
      </c>
      <c r="BN103" s="1234"/>
      <c r="BO103" s="1234"/>
      <c r="BP103" s="1234"/>
      <c r="BQ103" s="1256"/>
      <c r="BR103" s="1256"/>
      <c r="BS103" s="1041" t="s">
        <v>1947</v>
      </c>
      <c r="BT103" s="1041"/>
      <c r="BU103" s="1041"/>
      <c r="BV103" s="956"/>
      <c r="BW103" s="956"/>
    </row>
    <row customHeight="1" ht="14.625" hidden="1">
      <c r="A104" s="1256"/>
      <c r="B104" s="955"/>
      <c r="C104" s="1256"/>
      <c r="D104" s="1256"/>
      <c r="E104" s="679">
        <v>15</v>
      </c>
      <c r="F104" s="50" cm="1" t="str">
        <f t="array" ref="F104:F104">OFFSET(E104,-1,1)</f>
        <v>0</v>
      </c>
      <c r="G104" s="124" t="s">
        <v>942</v>
      </c>
      <c r="H104" s="1256"/>
      <c r="I104" s="124" t="s">
        <v>869</v>
      </c>
      <c r="J104" s="1256"/>
      <c r="K104" s="124" t="s">
        <v>869</v>
      </c>
      <c r="L104" s="957" t="s">
        <v>484</v>
      </c>
      <c r="M104" s="73"/>
      <c r="N104" s="1256"/>
      <c r="O104" s="1256"/>
      <c r="P104" s="1256"/>
      <c r="Q104" s="1256"/>
      <c r="R104" s="1256"/>
      <c r="S104" s="1256"/>
      <c r="T104" s="438" cm="1" t="str">
        <f t="array" ref="T104:T104">T103</f>
        <v>false</v>
      </c>
      <c r="U104" s="1256"/>
      <c r="V104" s="1256"/>
      <c r="W104" s="1256"/>
      <c r="X104" s="1511"/>
      <c r="Y104" s="1256"/>
      <c r="Z104" s="1494"/>
      <c r="AA104" s="1256"/>
      <c r="AB104" s="265" t="s">
        <v>870</v>
      </c>
      <c r="AC104" s="738" t="s">
        <v>942</v>
      </c>
      <c r="AD104" s="266" t="s">
        <v>789</v>
      </c>
      <c r="AE104" s="225">
        <f>_xlfn.SUMIFS(Аренда!AE$25:AE$47,Аренда!$F$25:$F$47,$F104,Аренда!$G$25:$G$47,"Арендная и концессионная плата, лизинговые платежи")</f>
        <v>0</v>
      </c>
      <c r="AF104" s="225">
        <f>_xlfn.SUMIFS(Аренда!AF$25:AF$47,Аренда!$F$25:$F$47,$F104,Аренда!$G$25:$G$47,"Арендная и концессионная плата, лизинговые платежи")</f>
        <v>0</v>
      </c>
      <c r="AG104" s="225">
        <f>_xlfn.SUMIFS(Аренда!AG$25:AG$47,Аренда!$F$25:$F$47,$F104,Аренда!$G$25:$G$47,"Арендная и концессионная плата, лизинговые платежи")</f>
        <v>0</v>
      </c>
      <c r="AH104" s="920">
        <f>AG104-AF104</f>
        <v>0</v>
      </c>
      <c r="AI104" s="225">
        <f>_xlfn.SUMIFS(Аренда!AH$25:AH$47,Аренда!$F$25:$F$47,$F104,Аренда!$G$25:$G$47,"Арендная и концессионная плата, лизинговые платежи")</f>
        <v>0</v>
      </c>
      <c r="AJ104" s="225">
        <f>_xlfn.SUMIFS(Аренда!AI$25:AI$47,Аренда!$F$25:$F$47,$F104,Аренда!$G$25:$G$47,"Арендная и концессионная плата, лизинговые платежи")</f>
        <v>0</v>
      </c>
      <c r="AK104" s="225">
        <f>_xlfn.SUMIFS(Аренда!AJ$25:AJ$47,Аренда!$F$25:$F$47,$F104,Аренда!$G$25:$G$47,"Арендная и концессионная плата, лизинговые платежи")</f>
        <v>0</v>
      </c>
      <c r="AL104" s="225">
        <f>_xlfn.SUMIFS(Аренда!AK$25:AK$47,Аренда!$F$25:$F$47,$F104,Аренда!$G$25:$G$47,"Арендная и концессионная плата, лизинговые платежи")</f>
        <v>0</v>
      </c>
      <c r="AM104" s="225">
        <f>_xlfn.SUMIFS(Аренда!AL$25:AL$47,Аренда!$F$25:$F$47,$F104,Аренда!$G$25:$G$47,"Арендная и концессионная плата, лизинговые платежи")</f>
        <v>0</v>
      </c>
      <c r="AN104" s="225">
        <f>_xlfn.SUMIFS(Аренда!AM$25:AM$47,Аренда!$F$25:$F$47,$F104,Аренда!$G$25:$G$47,"Арендная и концессионная плата, лизинговые платежи")</f>
        <v>0</v>
      </c>
      <c r="AO104" s="225">
        <f>_xlfn.SUMIFS(Аренда!AN$25:AN$47,Аренда!$F$25:$F$47,$F104,Аренда!$G$25:$G$47,"Арендная и концессионная плата, лизинговые платежи")</f>
        <v>0</v>
      </c>
      <c r="AP104" s="225">
        <f>_xlfn.SUMIFS(Аренда!AO$25:AO$47,Аренда!$F$25:$F$47,$F104,Аренда!$G$25:$G$47,"Арендная и концессионная плата, лизинговые платежи")</f>
        <v>0</v>
      </c>
      <c r="AQ104" s="225">
        <f>_xlfn.SUMIFS(Аренда!AP$25:AP$47,Аренда!$F$25:$F$47,$F104,Аренда!$G$25:$G$47,"Арендная и концессионная плата, лизинговые платежи")</f>
        <v>0</v>
      </c>
      <c r="AR104" s="225">
        <f>_xlfn.SUMIFS(Аренда!AQ$25:AQ$47,Аренда!$F$25:$F$47,$F104,Аренда!$G$25:$G$47,"Арендная и концессионная плата, лизинговые платежи")</f>
        <v>0</v>
      </c>
      <c r="AS104" s="225">
        <f>_xlfn.SUMIFS(Аренда!AR$25:AR$47,Аренда!$F$25:$F$47,$F104,Аренда!$G$25:$G$47,"Арендная и концессионная плата, лизинговые платежи")</f>
        <v>0</v>
      </c>
      <c r="AT104" s="225">
        <f>_xlfn.SUMIFS(Аренда!AS$25:AS$47,Аренда!$F$25:$F$47,$F104,Аренда!$G$25:$G$47,"Арендная и концессионная плата, лизинговые платежи")</f>
        <v>0</v>
      </c>
      <c r="AU104" s="225">
        <f>_xlfn.SUMIFS(Аренда!AT$25:AT$47,Аренда!$F$25:$F$47,$F104,Аренда!$G$25:$G$47,"Арендная и концессионная плата, лизинговые платежи")</f>
        <v>0</v>
      </c>
      <c r="AV104" s="225">
        <f>_xlfn.SUMIFS(Аренда!AU$25:AU$47,Аренда!$F$25:$F$47,$F104,Аренда!$G$25:$G$47,"Арендная и концессионная плата, лизинговые платежи")</f>
        <v>0</v>
      </c>
      <c r="AW104" s="225">
        <f>_xlfn.SUMIFS(Аренда!AV$25:AV$47,Аренда!$F$25:$F$47,$F104,Аренда!$G$25:$G$47,"Арендная и концессионная плата, лизинговые платежи")</f>
        <v>0</v>
      </c>
      <c r="AX104" s="225">
        <f>_xlfn.SUMIFS(Аренда!AW$25:AW$47,Аренда!$F$25:$F$47,$F104,Аренда!$G$25:$G$47,"Арендная и концессионная плата, лизинговые платежи")</f>
        <v>0</v>
      </c>
      <c r="AY104" s="225">
        <f>_xlfn.SUMIFS(Аренда!AX$25:AX$47,Аренда!$F$25:$F$47,$F104,Аренда!$G$25:$G$47,"Арендная и концессионная плата, лизинговые платежи")</f>
        <v>0</v>
      </c>
      <c r="AZ104" s="225">
        <f>_xlfn.SUMIFS(Аренда!AY$25:AY$47,Аренда!$F$25:$F$47,$F104,Аренда!$G$25:$G$47,"Арендная и концессионная плата, лизинговые платежи")</f>
        <v>0</v>
      </c>
      <c r="BA104" s="225">
        <f>_xlfn.SUMIFS(Аренда!AZ$25:AZ$47,Аренда!$F$25:$F$47,$F104,Аренда!$G$25:$G$47,"Арендная и концессионная плата, лизинговые платежи")</f>
        <v>0</v>
      </c>
      <c r="BB104" s="225">
        <f>_xlfn.SUMIFS(Аренда!BA$25:BA$47,Аренда!$F$25:$F$47,$F104,Аренда!$G$25:$G$47,"Арендная и концессионная плата, лизинговые платежи")</f>
        <v>0</v>
      </c>
      <c r="BC104" s="225">
        <f>_xlfn.SUMIFS(Аренда!BB$25:BB$47,Аренда!$F$25:$F$47,$F104,Аренда!$G$25:$G$47,"Арендная и концессионная плата, лизинговые платежи")</f>
        <v>0</v>
      </c>
      <c r="BD104" s="920">
        <f>IF(AI104=0,0,(AT104-AI104)/AI104*100)</f>
        <v>0</v>
      </c>
      <c r="BE104" s="920">
        <f>IF(AT104=0,0,(AU104-AT104)/AT104*100)</f>
        <v>0</v>
      </c>
      <c r="BF104" s="920">
        <f>IF(AU104=0,0,(AV104-AU104)/AU104*100)</f>
        <v>0</v>
      </c>
      <c r="BG104" s="920">
        <f>IF(AV104=0,0,(AW104-AV104)/AV104*100)</f>
        <v>0</v>
      </c>
      <c r="BH104" s="920">
        <f>IF(AW104=0,0,(AX104-AW104)/AW104*100)</f>
        <v>0</v>
      </c>
      <c r="BI104" s="920">
        <f>IF(AX104=0,0,(AY104-AX104)/AX104*100)</f>
        <v>0</v>
      </c>
      <c r="BJ104" s="920">
        <f>IF(AY104=0,0,(AZ104-AY104)/AY104*100)</f>
        <v>0</v>
      </c>
      <c r="BK104" s="920">
        <f>IF(AZ104=0,0,(BA104-AZ104)/AZ104*100)</f>
        <v>0</v>
      </c>
      <c r="BL104" s="920">
        <f>IF(BA104=0,0,(BB104-BA104)/BA104*100)</f>
        <v>0</v>
      </c>
      <c r="BM104" s="920">
        <f>IF(BB104=0,0,(BC104-BB104)/BB104*100)</f>
        <v>0</v>
      </c>
      <c r="BN104" s="1234"/>
      <c r="BO104" s="1237" t="str">
        <f>IF(_xlfn.IFERROR(INDEX(Аренда!$K$26:$L$47,MATCH($F104&amp;"komm",Аренда!$K$26:$K$47,0),2),"")=0,"",_xlfn.IFERROR(INDEX(Аренда!$K$26:$L$47,MATCH($F104&amp;"komm",Аренда!$K$26:$K$47,0),2),""))</f>
        <v/>
      </c>
      <c r="BP104" s="1234"/>
      <c r="BQ104" s="1256"/>
      <c r="BR104" s="1256"/>
      <c r="BS104" s="1041" t="s">
        <v>1948</v>
      </c>
      <c r="BT104" s="1041"/>
      <c r="BU104" s="1041"/>
      <c r="BV104" s="956"/>
      <c r="BW104" s="956"/>
    </row>
    <row customHeight="1" ht="14.625" hidden="1">
      <c r="A105" s="1256"/>
      <c r="B105" s="404">
        <f>STATUS_GO="да"</f>
        <v>0</v>
      </c>
      <c r="C105" s="1256"/>
      <c r="D105" s="1256"/>
      <c r="E105" s="679">
        <v>15</v>
      </c>
      <c r="F105" s="50" cm="1" t="str">
        <f t="array" ref="F105:F105">OFFSET(E105,-1,1)</f>
        <v>0</v>
      </c>
      <c r="G105" s="1256"/>
      <c r="H105" s="1256"/>
      <c r="I105" s="124" t="s">
        <v>1949</v>
      </c>
      <c r="J105" s="1256"/>
      <c r="K105" s="124" t="s">
        <v>1949</v>
      </c>
      <c r="L105" s="957"/>
      <c r="M105" s="73"/>
      <c r="N105" s="1256"/>
      <c r="O105" s="1256"/>
      <c r="P105" s="1256"/>
      <c r="Q105" s="1256"/>
      <c r="R105" s="1256"/>
      <c r="S105" s="1256"/>
      <c r="T105" s="438" cm="1" t="str">
        <f t="array" ref="T105:T105">T104</f>
        <v>false</v>
      </c>
      <c r="U105" s="1256"/>
      <c r="V105" s="1256"/>
      <c r="W105" s="1256"/>
      <c r="X105" s="1511"/>
      <c r="Y105" s="1256"/>
      <c r="Z105" s="1494"/>
      <c r="AA105" s="1256"/>
      <c r="AB105" s="265" t="s">
        <v>1384</v>
      </c>
      <c r="AC105" s="738" t="s">
        <v>1950</v>
      </c>
      <c r="AD105" s="266" t="s">
        <v>789</v>
      </c>
      <c r="AE105" s="1233"/>
      <c r="AF105" s="1233"/>
      <c r="AG105" s="1233"/>
      <c r="AH105" s="920">
        <f>AG105-AF105</f>
        <v>0</v>
      </c>
      <c r="AI105" s="1231"/>
      <c r="AJ105" s="3707"/>
      <c r="AK105" s="1231"/>
      <c r="AL105" s="1231"/>
      <c r="AM105" s="1231"/>
      <c r="AN105" s="1231"/>
      <c r="AO105" s="1231"/>
      <c r="AP105" s="1231"/>
      <c r="AQ105" s="1231"/>
      <c r="AR105" s="1231"/>
      <c r="AS105" s="1231"/>
      <c r="AT105" s="3707"/>
      <c r="AU105" s="1231"/>
      <c r="AV105" s="1231"/>
      <c r="AW105" s="1231"/>
      <c r="AX105" s="1231"/>
      <c r="AY105" s="1231"/>
      <c r="AZ105" s="1231"/>
      <c r="BA105" s="1231"/>
      <c r="BB105" s="1231"/>
      <c r="BC105" s="1231"/>
      <c r="BD105" s="920">
        <f>IF(AI105=0,0,(AT105-AI105)/AI105*100)</f>
        <v>0</v>
      </c>
      <c r="BE105" s="920">
        <f>IF(AT105=0,0,(AU105-AT105)/AT105*100)</f>
        <v>0</v>
      </c>
      <c r="BF105" s="920">
        <f>IF(AU105=0,0,(AV105-AU105)/AU105*100)</f>
        <v>0</v>
      </c>
      <c r="BG105" s="920">
        <f>IF(AV105=0,0,(AW105-AV105)/AV105*100)</f>
        <v>0</v>
      </c>
      <c r="BH105" s="920">
        <f>IF(AW105=0,0,(AX105-AW105)/AW105*100)</f>
        <v>0</v>
      </c>
      <c r="BI105" s="920">
        <f>IF(AX105=0,0,(AY105-AX105)/AX105*100)</f>
        <v>0</v>
      </c>
      <c r="BJ105" s="920">
        <f>IF(AY105=0,0,(AZ105-AY105)/AY105*100)</f>
        <v>0</v>
      </c>
      <c r="BK105" s="920">
        <f>IF(AZ105=0,0,(BA105-AZ105)/AZ105*100)</f>
        <v>0</v>
      </c>
      <c r="BL105" s="920">
        <f>IF(BA105=0,0,(BB105-BA105)/BA105*100)</f>
        <v>0</v>
      </c>
      <c r="BM105" s="920">
        <f>IF(BB105=0,0,(BC105-BB105)/BB105*100)</f>
        <v>0</v>
      </c>
      <c r="BN105" s="1234"/>
      <c r="BO105" s="1234"/>
      <c r="BP105" s="1234"/>
      <c r="BQ105" s="1256"/>
      <c r="BR105" s="1256"/>
      <c r="BS105" s="1041" t="s">
        <v>1951</v>
      </c>
      <c r="BT105" s="1041"/>
      <c r="BU105" s="1041"/>
      <c r="BV105" s="956"/>
      <c r="BW105" s="956"/>
    </row>
    <row customHeight="1" ht="14.625" hidden="1">
      <c r="A106" s="1256"/>
      <c r="B106" s="404">
        <f>STATUS_GO="да"</f>
        <v>0</v>
      </c>
      <c r="C106" s="1256"/>
      <c r="D106" s="1256"/>
      <c r="E106" s="679">
        <v>15</v>
      </c>
      <c r="F106" s="50" cm="1" t="str">
        <f t="array" ref="F106:F106">OFFSET(E106,-1,1)</f>
        <v>0</v>
      </c>
      <c r="G106" s="124" t="s">
        <v>1326</v>
      </c>
      <c r="H106" s="1256"/>
      <c r="I106" s="124" t="s">
        <v>1952</v>
      </c>
      <c r="J106" s="1256"/>
      <c r="K106" s="124" t="s">
        <v>1952</v>
      </c>
      <c r="L106" s="957"/>
      <c r="M106" s="73"/>
      <c r="N106" s="1256"/>
      <c r="O106" s="1256"/>
      <c r="P106" s="1256"/>
      <c r="Q106" s="1256"/>
      <c r="R106" s="1256"/>
      <c r="S106" s="1256"/>
      <c r="T106" s="438" cm="1" t="str">
        <f t="array" ref="T106:T106">T105</f>
        <v>false</v>
      </c>
      <c r="U106" s="1256"/>
      <c r="V106" s="1256"/>
      <c r="W106" s="1256"/>
      <c r="X106" s="1511"/>
      <c r="Y106" s="1256"/>
      <c r="Z106" s="1494"/>
      <c r="AA106" s="1256"/>
      <c r="AB106" s="265" t="s">
        <v>1953</v>
      </c>
      <c r="AC106" s="741" t="s">
        <v>1326</v>
      </c>
      <c r="AD106" s="266" t="s">
        <v>789</v>
      </c>
      <c r="AE106" s="1233"/>
      <c r="AF106" s="1233"/>
      <c r="AG106" s="1233"/>
      <c r="AH106" s="920">
        <f>AG106-AF106</f>
        <v>0</v>
      </c>
      <c r="AI106" s="1231"/>
      <c r="AJ106" s="3707"/>
      <c r="AK106" s="1231"/>
      <c r="AL106" s="1231"/>
      <c r="AM106" s="1231"/>
      <c r="AN106" s="1231"/>
      <c r="AO106" s="1231"/>
      <c r="AP106" s="1231"/>
      <c r="AQ106" s="1231"/>
      <c r="AR106" s="1231"/>
      <c r="AS106" s="1231"/>
      <c r="AT106" s="3707"/>
      <c r="AU106" s="1231"/>
      <c r="AV106" s="1231"/>
      <c r="AW106" s="1231"/>
      <c r="AX106" s="1231"/>
      <c r="AY106" s="1231"/>
      <c r="AZ106" s="1231"/>
      <c r="BA106" s="1231"/>
      <c r="BB106" s="1231"/>
      <c r="BC106" s="1231"/>
      <c r="BD106" s="920">
        <f>IF(AI106=0,0,(AT106-AI106)/AI106*100)</f>
        <v>0</v>
      </c>
      <c r="BE106" s="920">
        <f>IF(AT106=0,0,(AU106-AT106)/AT106*100)</f>
        <v>0</v>
      </c>
      <c r="BF106" s="920">
        <f>IF(AU106=0,0,(AV106-AU106)/AU106*100)</f>
        <v>0</v>
      </c>
      <c r="BG106" s="920">
        <f>IF(AV106=0,0,(AW106-AV106)/AV106*100)</f>
        <v>0</v>
      </c>
      <c r="BH106" s="920">
        <f>IF(AW106=0,0,(AX106-AW106)/AW106*100)</f>
        <v>0</v>
      </c>
      <c r="BI106" s="920">
        <f>IF(AX106=0,0,(AY106-AX106)/AX106*100)</f>
        <v>0</v>
      </c>
      <c r="BJ106" s="920">
        <f>IF(AY106=0,0,(AZ106-AY106)/AY106*100)</f>
        <v>0</v>
      </c>
      <c r="BK106" s="920">
        <f>IF(AZ106=0,0,(BA106-AZ106)/AZ106*100)</f>
        <v>0</v>
      </c>
      <c r="BL106" s="920">
        <f>IF(BA106=0,0,(BB106-BA106)/BA106*100)</f>
        <v>0</v>
      </c>
      <c r="BM106" s="920">
        <f>IF(BB106=0,0,(BC106-BB106)/BB106*100)</f>
        <v>0</v>
      </c>
      <c r="BN106" s="1234"/>
      <c r="BO106" s="1237" t="str">
        <f>IF(_xlfn.IFERROR(INDEX('Сбытовые расходы ГО'!$K$26:$M$51,MATCH($F106&amp;"komm",'Сбытовые расходы ГО'!$K$26:$K$51,0),2),"")=0,"",_xlfn.IFERROR(INDEX('Сбытовые расходы ГО'!$K$26:$M$51,MATCH($F106&amp;"komm",'Сбытовые расходы ГО'!$K$26:$K$51,0),2),""))</f>
        <v/>
      </c>
      <c r="BP106" s="1234"/>
      <c r="BQ106" s="1256"/>
      <c r="BR106" s="1256"/>
      <c r="BS106" s="1041" t="s">
        <v>1954</v>
      </c>
      <c r="BT106" s="1041"/>
      <c r="BU106" s="1041"/>
      <c r="BV106" s="956"/>
      <c r="BW106" s="956"/>
    </row>
    <row customHeight="1" ht="14.625" hidden="1">
      <c r="A107" s="1256"/>
      <c r="B107" s="955"/>
      <c r="C107" s="1256"/>
      <c r="D107" s="1256"/>
      <c r="E107" s="679">
        <v>15</v>
      </c>
      <c r="F107" s="50" cm="1" t="str">
        <f t="array" ref="F107:F107">OFFSET(E107,-1,1)</f>
        <v>0</v>
      </c>
      <c r="G107" s="124" t="s">
        <v>1331</v>
      </c>
      <c r="H107" s="1256"/>
      <c r="I107" s="124" t="s">
        <v>1955</v>
      </c>
      <c r="J107" s="1256"/>
      <c r="K107" s="124" t="s">
        <v>1955</v>
      </c>
      <c r="L107" s="957"/>
      <c r="M107" s="73"/>
      <c r="N107" s="1256"/>
      <c r="O107" s="1256"/>
      <c r="P107" s="1256"/>
      <c r="Q107" s="1256"/>
      <c r="R107" s="1256"/>
      <c r="S107" s="1256"/>
      <c r="T107" s="438" cm="1" t="str">
        <f t="array" ref="T107:T107">T106</f>
        <v>false</v>
      </c>
      <c r="U107" s="1256"/>
      <c r="V107" s="1256"/>
      <c r="W107" s="1256"/>
      <c r="X107" s="1511"/>
      <c r="Y107" s="1256"/>
      <c r="Z107" s="1494"/>
      <c r="AA107" s="1256"/>
      <c r="AB107" s="265" t="s">
        <v>1389</v>
      </c>
      <c r="AC107" s="738" t="s">
        <v>1331</v>
      </c>
      <c r="AD107" s="266" t="s">
        <v>789</v>
      </c>
      <c r="AE107" s="1233"/>
      <c r="AF107" s="1233"/>
      <c r="AG107" s="1233"/>
      <c r="AH107" s="920">
        <f>AG107-AF107</f>
        <v>0</v>
      </c>
      <c r="AI107" s="1231"/>
      <c r="AJ107" s="3707">
        <f>_xlfn.SUMIFS(Экономия_корр!AE$25:AE$43,Экономия_корр!$F$25:$F$43,$F107,Экономия_корр!$AC$25:$AC$43,"Экономия расходов с учетом ИПЦ")</f>
        <v>0</v>
      </c>
      <c r="AK107" s="1231">
        <f>_xlfn.SUMIFS(Экономия_корр!AF$25:AF$43,Экономия_корр!$F$25:$F$43,$F107,Экономия_корр!$AC$25:$AC$43,"Экономия расходов с учетом ИПЦ")</f>
        <v>0</v>
      </c>
      <c r="AL107" s="1231">
        <f>_xlfn.SUMIFS(Экономия_корр!AG$25:AG$43,Экономия_корр!$F$25:$F$43,$F107,Экономия_корр!$AC$25:$AC$43,"Экономия расходов с учетом ИПЦ")</f>
        <v>0</v>
      </c>
      <c r="AM107" s="1231">
        <f>_xlfn.SUMIFS(Экономия_корр!AH$25:AH$43,Экономия_корр!$F$25:$F$43,$F107,Экономия_корр!$AC$25:$AC$43,"Экономия расходов с учетом ИПЦ")</f>
        <v>0</v>
      </c>
      <c r="AN107" s="1231">
        <f>_xlfn.SUMIFS(Экономия_корр!AI$25:AI$43,Экономия_корр!$F$25:$F$43,$F107,Экономия_корр!$AC$25:$AC$43,"Экономия расходов с учетом ИПЦ")</f>
        <v>0</v>
      </c>
      <c r="AO107" s="1231">
        <f>_xlfn.SUMIFS(Экономия_корр!AJ$25:AJ$43,Экономия_корр!$F$25:$F$43,$F107,Экономия_корр!$AC$25:$AC$43,"Экономия расходов с учетом ИПЦ")</f>
        <v>0</v>
      </c>
      <c r="AP107" s="1231">
        <f>_xlfn.SUMIFS(Экономия_корр!AK$25:AK$43,Экономия_корр!$F$25:$F$43,$F107,Экономия_корр!$AC$25:$AC$43,"Экономия расходов с учетом ИПЦ")</f>
        <v>0</v>
      </c>
      <c r="AQ107" s="1231">
        <f>_xlfn.SUMIFS(Экономия_корр!AL$25:AL$43,Экономия_корр!$F$25:$F$43,$F107,Экономия_корр!$AC$25:$AC$43,"Экономия расходов с учетом ИПЦ")</f>
        <v>0</v>
      </c>
      <c r="AR107" s="1231">
        <f>_xlfn.SUMIFS(Экономия_корр!AM$25:AM$43,Экономия_корр!$F$25:$F$43,$F107,Экономия_корр!$AC$25:$AC$43,"Экономия расходов с учетом ИПЦ")</f>
        <v>0</v>
      </c>
      <c r="AS107" s="1231">
        <f>_xlfn.SUMIFS(Экономия_корр!AN$25:AN$43,Экономия_корр!$F$25:$F$43,$F107,Экономия_корр!$AC$25:$AC$43,"Экономия расходов с учетом ИПЦ")</f>
        <v>0</v>
      </c>
      <c r="AT107" s="3707">
        <f>_xlfn.SUMIFS(Экономия_корр!AO$25:AO$43,Экономия_корр!$F$25:$F$43,$F107,Экономия_корр!$AC$25:$AC$43,"Экономия расходов с учетом ИПЦ")</f>
        <v>0</v>
      </c>
      <c r="AU107" s="1231">
        <f>_xlfn.SUMIFS(Экономия_корр!AP$25:AP$43,Экономия_корр!$F$25:$F$43,$F107,Экономия_корр!$AC$25:$AC$43,"Экономия расходов с учетом ИПЦ")</f>
        <v>0</v>
      </c>
      <c r="AV107" s="1231">
        <f>_xlfn.SUMIFS(Экономия_корр!AQ$25:AQ$43,Экономия_корр!$F$25:$F$43,$F107,Экономия_корр!$AC$25:$AC$43,"Экономия расходов с учетом ИПЦ")</f>
        <v>0</v>
      </c>
      <c r="AW107" s="1231">
        <f>_xlfn.SUMIFS(Экономия_корр!AR$25:AR$43,Экономия_корр!$F$25:$F$43,$F107,Экономия_корр!$AC$25:$AC$43,"Экономия расходов с учетом ИПЦ")</f>
        <v>0</v>
      </c>
      <c r="AX107" s="1231">
        <f>_xlfn.SUMIFS(Экономия_корр!AS$25:AS$43,Экономия_корр!$F$25:$F$43,$F107,Экономия_корр!$AC$25:$AC$43,"Экономия расходов с учетом ИПЦ")</f>
        <v>0</v>
      </c>
      <c r="AY107" s="1231">
        <f>_xlfn.SUMIFS(Экономия_корр!AT$25:AT$43,Экономия_корр!$F$25:$F$43,$F107,Экономия_корр!$AC$25:$AC$43,"Экономия расходов с учетом ИПЦ")</f>
        <v>0</v>
      </c>
      <c r="AZ107" s="1231">
        <f>_xlfn.SUMIFS(Экономия_корр!AU$25:AU$43,Экономия_корр!$F$25:$F$43,$F107,Экономия_корр!$AC$25:$AC$43,"Экономия расходов с учетом ИПЦ")</f>
        <v>0</v>
      </c>
      <c r="BA107" s="1231">
        <f>_xlfn.SUMIFS(Экономия_корр!AV$25:AV$43,Экономия_корр!$F$25:$F$43,$F107,Экономия_корр!$AC$25:$AC$43,"Экономия расходов с учетом ИПЦ")</f>
        <v>0</v>
      </c>
      <c r="BB107" s="1231">
        <f>_xlfn.SUMIFS(Экономия_корр!AW$25:AW$43,Экономия_корр!$F$25:$F$43,$F107,Экономия_корр!$AC$25:$AC$43,"Экономия расходов с учетом ИПЦ")</f>
        <v>0</v>
      </c>
      <c r="BC107" s="1231">
        <f>_xlfn.SUMIFS(Экономия_корр!AX$25:AX$43,Экономия_корр!$F$25:$F$43,$F107,Экономия_корр!$AC$25:$AC$43,"Экономия расходов с учетом ИПЦ")</f>
        <v>0</v>
      </c>
      <c r="BD107" s="920">
        <f>IF(AI107=0,0,(AT107-AI107)/AI107*100)</f>
        <v>0</v>
      </c>
      <c r="BE107" s="920">
        <f>IF(AT107=0,0,(AU107-AT107)/AT107*100)</f>
        <v>0</v>
      </c>
      <c r="BF107" s="920">
        <f>IF(AU107=0,0,(AV107-AU107)/AU107*100)</f>
        <v>0</v>
      </c>
      <c r="BG107" s="920">
        <f>IF(AV107=0,0,(AW107-AV107)/AV107*100)</f>
        <v>0</v>
      </c>
      <c r="BH107" s="920">
        <f>IF(AW107=0,0,(AX107-AW107)/AW107*100)</f>
        <v>0</v>
      </c>
      <c r="BI107" s="920">
        <f>IF(AX107=0,0,(AY107-AX107)/AX107*100)</f>
        <v>0</v>
      </c>
      <c r="BJ107" s="920">
        <f>IF(AY107=0,0,(AZ107-AY107)/AY107*100)</f>
        <v>0</v>
      </c>
      <c r="BK107" s="920">
        <f>IF(AZ107=0,0,(BA107-AZ107)/AZ107*100)</f>
        <v>0</v>
      </c>
      <c r="BL107" s="920">
        <f>IF(BA107=0,0,(BB107-BA107)/BA107*100)</f>
        <v>0</v>
      </c>
      <c r="BM107" s="920">
        <f>IF(BB107=0,0,(BC107-BB107)/BB107*100)</f>
        <v>0</v>
      </c>
      <c r="BN107" s="1234"/>
      <c r="BO107" s="1234"/>
      <c r="BP107" s="1234"/>
      <c r="BQ107" s="1256"/>
      <c r="BR107" s="1256"/>
      <c r="BS107" s="1041" t="s">
        <v>1956</v>
      </c>
      <c r="BT107" s="1041"/>
      <c r="BU107" s="1041"/>
      <c r="BV107" s="956"/>
      <c r="BW107" s="956"/>
    </row>
    <row customHeight="1" ht="14.625" hidden="1">
      <c r="A108" s="1256"/>
      <c r="B108" s="955"/>
      <c r="C108" s="1256"/>
      <c r="D108" s="1256"/>
      <c r="E108" s="679">
        <v>15</v>
      </c>
      <c r="F108" s="50" cm="1" t="str">
        <f t="array" ref="F108:F108">OFFSET(E108,-1,1)</f>
        <v>0</v>
      </c>
      <c r="G108" s="124" t="s">
        <v>1336</v>
      </c>
      <c r="H108" s="1256"/>
      <c r="I108" s="124" t="s">
        <v>1957</v>
      </c>
      <c r="J108" s="1256"/>
      <c r="K108" s="124" t="s">
        <v>1957</v>
      </c>
      <c r="L108" s="957"/>
      <c r="M108" s="73"/>
      <c r="N108" s="1256"/>
      <c r="O108" s="1256"/>
      <c r="P108" s="1256"/>
      <c r="Q108" s="1256"/>
      <c r="R108" s="1256"/>
      <c r="S108" s="1256"/>
      <c r="T108" s="438" cm="1" t="str">
        <f t="array" ref="T108:T108">T107</f>
        <v>false</v>
      </c>
      <c r="U108" s="1256"/>
      <c r="V108" s="1256"/>
      <c r="W108" s="1256"/>
      <c r="X108" s="1511"/>
      <c r="Y108" s="1256"/>
      <c r="Z108" s="1494"/>
      <c r="AA108" s="1256"/>
      <c r="AB108" s="265" t="s">
        <v>1958</v>
      </c>
      <c r="AC108" s="738" t="s">
        <v>1336</v>
      </c>
      <c r="AD108" s="266" t="s">
        <v>789</v>
      </c>
      <c r="AE108" s="1233"/>
      <c r="AF108" s="1233"/>
      <c r="AG108" s="1233"/>
      <c r="AH108" s="920">
        <f>AG108-AF108</f>
        <v>0</v>
      </c>
      <c r="AI108" s="1231"/>
      <c r="AJ108" s="3707"/>
      <c r="AK108" s="1231"/>
      <c r="AL108" s="1231"/>
      <c r="AM108" s="1231"/>
      <c r="AN108" s="1231"/>
      <c r="AO108" s="1231"/>
      <c r="AP108" s="1231"/>
      <c r="AQ108" s="1231"/>
      <c r="AR108" s="1231"/>
      <c r="AS108" s="1231"/>
      <c r="AT108" s="3707"/>
      <c r="AU108" s="1231"/>
      <c r="AV108" s="1231"/>
      <c r="AW108" s="1231"/>
      <c r="AX108" s="1231"/>
      <c r="AY108" s="1231"/>
      <c r="AZ108" s="1231"/>
      <c r="BA108" s="1231"/>
      <c r="BB108" s="1231"/>
      <c r="BC108" s="1231"/>
      <c r="BD108" s="920">
        <f>IF(AI108=0,0,(AT108-AI108)/AI108*100)</f>
        <v>0</v>
      </c>
      <c r="BE108" s="920">
        <f>IF(AT108=0,0,(AU108-AT108)/AT108*100)</f>
        <v>0</v>
      </c>
      <c r="BF108" s="920">
        <f>IF(AU108=0,0,(AV108-AU108)/AU108*100)</f>
        <v>0</v>
      </c>
      <c r="BG108" s="920">
        <f>IF(AV108=0,0,(AW108-AV108)/AV108*100)</f>
        <v>0</v>
      </c>
      <c r="BH108" s="920">
        <f>IF(AW108=0,0,(AX108-AW108)/AW108*100)</f>
        <v>0</v>
      </c>
      <c r="BI108" s="920">
        <f>IF(AX108=0,0,(AY108-AX108)/AX108*100)</f>
        <v>0</v>
      </c>
      <c r="BJ108" s="920">
        <f>IF(AY108=0,0,(AZ108-AY108)/AY108*100)</f>
        <v>0</v>
      </c>
      <c r="BK108" s="920">
        <f>IF(AZ108=0,0,(BA108-AZ108)/AZ108*100)</f>
        <v>0</v>
      </c>
      <c r="BL108" s="920">
        <f>IF(BA108=0,0,(BB108-BA108)/BA108*100)</f>
        <v>0</v>
      </c>
      <c r="BM108" s="920">
        <f>IF(BB108=0,0,(BC108-BB108)/BB108*100)</f>
        <v>0</v>
      </c>
      <c r="BN108" s="1234"/>
      <c r="BO108" s="1234"/>
      <c r="BP108" s="1234"/>
      <c r="BQ108" s="1256"/>
      <c r="BR108" s="1256"/>
      <c r="BS108" s="1041" t="s">
        <v>1686</v>
      </c>
      <c r="BT108" s="1041"/>
      <c r="BU108" s="1041"/>
      <c r="BV108" s="956"/>
      <c r="BW108" s="956"/>
    </row>
    <row customHeight="1" ht="14.625" hidden="1">
      <c r="A109" s="1256"/>
      <c r="B109" s="955"/>
      <c r="C109" s="1256"/>
      <c r="D109" s="1256"/>
      <c r="E109" s="679">
        <v>15</v>
      </c>
      <c r="F109" s="50" cm="1" t="str">
        <f t="array" ref="F109:F109">OFFSET(E109,-1,1)</f>
        <v>0</v>
      </c>
      <c r="G109" s="124" t="s">
        <v>1341</v>
      </c>
      <c r="H109" s="1256"/>
      <c r="I109" s="124" t="s">
        <v>1959</v>
      </c>
      <c r="J109" s="1256"/>
      <c r="K109" s="124" t="s">
        <v>1959</v>
      </c>
      <c r="L109" s="957"/>
      <c r="M109" s="73"/>
      <c r="N109" s="1256"/>
      <c r="O109" s="1256"/>
      <c r="P109" s="1256"/>
      <c r="Q109" s="1256"/>
      <c r="R109" s="1256"/>
      <c r="S109" s="1256"/>
      <c r="T109" s="438" cm="1" t="str">
        <f t="array" ref="T109:T109">T108</f>
        <v>false</v>
      </c>
      <c r="U109" s="1256"/>
      <c r="V109" s="1256"/>
      <c r="W109" s="1256"/>
      <c r="X109" s="1511"/>
      <c r="Y109" s="1256"/>
      <c r="Z109" s="1494"/>
      <c r="AA109" s="1256"/>
      <c r="AB109" s="265" t="s">
        <v>1408</v>
      </c>
      <c r="AC109" s="738" t="s">
        <v>1341</v>
      </c>
      <c r="AD109" s="266" t="s">
        <v>789</v>
      </c>
      <c r="AE109" s="1233"/>
      <c r="AF109" s="1233"/>
      <c r="AG109" s="1233"/>
      <c r="AH109" s="920">
        <f>AG109-AF109</f>
        <v>0</v>
      </c>
      <c r="AI109" s="1231"/>
      <c r="AJ109" s="3707"/>
      <c r="AK109" s="1231"/>
      <c r="AL109" s="1231"/>
      <c r="AM109" s="1231"/>
      <c r="AN109" s="1231"/>
      <c r="AO109" s="1231"/>
      <c r="AP109" s="1231"/>
      <c r="AQ109" s="1231"/>
      <c r="AR109" s="1231"/>
      <c r="AS109" s="1231"/>
      <c r="AT109" s="3707"/>
      <c r="AU109" s="1231"/>
      <c r="AV109" s="1231"/>
      <c r="AW109" s="1231"/>
      <c r="AX109" s="1231"/>
      <c r="AY109" s="1231"/>
      <c r="AZ109" s="1231"/>
      <c r="BA109" s="1231"/>
      <c r="BB109" s="1231"/>
      <c r="BC109" s="1231"/>
      <c r="BD109" s="920">
        <f>IF(AI109=0,0,(AT109-AI109)/AI109*100)</f>
        <v>0</v>
      </c>
      <c r="BE109" s="920">
        <f>IF(AT109=0,0,(AU109-AT109)/AT109*100)</f>
        <v>0</v>
      </c>
      <c r="BF109" s="920">
        <f>IF(AU109=0,0,(AV109-AU109)/AU109*100)</f>
        <v>0</v>
      </c>
      <c r="BG109" s="920">
        <f>IF(AV109=0,0,(AW109-AV109)/AV109*100)</f>
        <v>0</v>
      </c>
      <c r="BH109" s="920">
        <f>IF(AW109=0,0,(AX109-AW109)/AW109*100)</f>
        <v>0</v>
      </c>
      <c r="BI109" s="920">
        <f>IF(AX109=0,0,(AY109-AX109)/AX109*100)</f>
        <v>0</v>
      </c>
      <c r="BJ109" s="920">
        <f>IF(AY109=0,0,(AZ109-AY109)/AY109*100)</f>
        <v>0</v>
      </c>
      <c r="BK109" s="920">
        <f>IF(AZ109=0,0,(BA109-AZ109)/AZ109*100)</f>
        <v>0</v>
      </c>
      <c r="BL109" s="920">
        <f>IF(BA109=0,0,(BB109-BA109)/BA109*100)</f>
        <v>0</v>
      </c>
      <c r="BM109" s="920">
        <f>IF(BB109=0,0,(BC109-BB109)/BB109*100)</f>
        <v>0</v>
      </c>
      <c r="BN109" s="1234"/>
      <c r="BO109" s="1234"/>
      <c r="BP109" s="1234"/>
      <c r="BQ109" s="1256"/>
      <c r="BR109" s="1256"/>
      <c r="BS109" s="1041" t="s">
        <v>1960</v>
      </c>
      <c r="BT109" s="1041"/>
      <c r="BU109" s="1041"/>
      <c r="BV109" s="956"/>
      <c r="BW109" s="956"/>
    </row>
    <row customHeight="1" ht="14.625" hidden="1">
      <c r="A110" s="1256"/>
      <c r="B110" s="955"/>
      <c r="C110" s="1256"/>
      <c r="D110" s="1256"/>
      <c r="E110" s="679">
        <v>15</v>
      </c>
      <c r="F110" s="50" cm="1" t="str">
        <f t="array" ref="F110:F110">OFFSET(E110,-1,1)</f>
        <v>0</v>
      </c>
      <c r="G110" s="124" t="s">
        <v>1346</v>
      </c>
      <c r="H110" s="1256"/>
      <c r="I110" s="124" t="s">
        <v>1961</v>
      </c>
      <c r="J110" s="1256"/>
      <c r="K110" s="124" t="s">
        <v>1961</v>
      </c>
      <c r="L110" s="957"/>
      <c r="M110" s="73"/>
      <c r="N110" s="1256"/>
      <c r="O110" s="1256"/>
      <c r="P110" s="1256"/>
      <c r="Q110" s="1256"/>
      <c r="R110" s="1256"/>
      <c r="S110" s="1256"/>
      <c r="T110" s="438" cm="1" t="str">
        <f t="array" ref="T110:T110">T109</f>
        <v>false</v>
      </c>
      <c r="U110" s="1256"/>
      <c r="V110" s="1256"/>
      <c r="W110" s="1256"/>
      <c r="X110" s="1511"/>
      <c r="Y110" s="1256"/>
      <c r="Z110" s="1494"/>
      <c r="AA110" s="1256"/>
      <c r="AB110" s="265" t="s">
        <v>1412</v>
      </c>
      <c r="AC110" s="738" t="s">
        <v>1346</v>
      </c>
      <c r="AD110" s="266" t="s">
        <v>789</v>
      </c>
      <c r="AE110" s="319">
        <f>SUM(AE111,AE112)</f>
        <v>0</v>
      </c>
      <c r="AF110" s="225">
        <f>SUM(AF111,AF112)</f>
        <v>0</v>
      </c>
      <c r="AG110" s="225">
        <f>SUM(AG111,AG112)</f>
        <v>0</v>
      </c>
      <c r="AH110" s="920">
        <f>AG110-AF110</f>
        <v>0</v>
      </c>
      <c r="AI110" s="920">
        <f>SUM(AI111,AI112)</f>
        <v>0</v>
      </c>
      <c r="AJ110" s="921">
        <f>SUM(AJ111,AJ112)</f>
        <v>0</v>
      </c>
      <c r="AK110" s="920">
        <f>SUM(AK111,AK112)</f>
        <v>0</v>
      </c>
      <c r="AL110" s="920">
        <f>SUM(AL111,AL112)</f>
        <v>0</v>
      </c>
      <c r="AM110" s="920">
        <f>SUM(AM111,AM112)</f>
        <v>0</v>
      </c>
      <c r="AN110" s="920">
        <f>SUM(AN111,AN112)</f>
        <v>0</v>
      </c>
      <c r="AO110" s="920">
        <f>SUM(AO111,AO112)</f>
        <v>0</v>
      </c>
      <c r="AP110" s="920">
        <f>SUM(AP111,AP112)</f>
        <v>0</v>
      </c>
      <c r="AQ110" s="920">
        <f>SUM(AQ111,AQ112)</f>
        <v>0</v>
      </c>
      <c r="AR110" s="920">
        <f>SUM(AR111,AR112)</f>
        <v>0</v>
      </c>
      <c r="AS110" s="920">
        <f>SUM(AS111,AS112)</f>
        <v>0</v>
      </c>
      <c r="AT110" s="921">
        <f>SUM(AT111,AT112)</f>
        <v>0</v>
      </c>
      <c r="AU110" s="920">
        <f>SUM(AU111,AU112)</f>
        <v>0</v>
      </c>
      <c r="AV110" s="920">
        <f>SUM(AV111,AV112)</f>
        <v>0</v>
      </c>
      <c r="AW110" s="920">
        <f>SUM(AW111,AW112)</f>
        <v>0</v>
      </c>
      <c r="AX110" s="920">
        <f>SUM(AX111,AX112)</f>
        <v>0</v>
      </c>
      <c r="AY110" s="920">
        <f>SUM(AY111,AY112)</f>
        <v>0</v>
      </c>
      <c r="AZ110" s="920">
        <f>SUM(AZ111,AZ112)</f>
        <v>0</v>
      </c>
      <c r="BA110" s="920">
        <f>SUM(BA111,BA112)</f>
        <v>0</v>
      </c>
      <c r="BB110" s="920">
        <f>SUM(BB111,BB112)</f>
        <v>0</v>
      </c>
      <c r="BC110" s="920">
        <f>SUM(BC111,BC112)</f>
        <v>0</v>
      </c>
      <c r="BD110" s="920">
        <f>IF(AI110=0,0,(AT110-AI110)/AI110*100)</f>
        <v>0</v>
      </c>
      <c r="BE110" s="920">
        <f>IF(AT110=0,0,(AU110-AT110)/AT110*100)</f>
        <v>0</v>
      </c>
      <c r="BF110" s="920">
        <f>IF(AU110=0,0,(AV110-AU110)/AU110*100)</f>
        <v>0</v>
      </c>
      <c r="BG110" s="920">
        <f>IF(AV110=0,0,(AW110-AV110)/AV110*100)</f>
        <v>0</v>
      </c>
      <c r="BH110" s="920">
        <f>IF(AW110=0,0,(AX110-AW110)/AW110*100)</f>
        <v>0</v>
      </c>
      <c r="BI110" s="920">
        <f>IF(AX110=0,0,(AY110-AX110)/AX110*100)</f>
        <v>0</v>
      </c>
      <c r="BJ110" s="920">
        <f>IF(AY110=0,0,(AZ110-AY110)/AY110*100)</f>
        <v>0</v>
      </c>
      <c r="BK110" s="920">
        <f>IF(AZ110=0,0,(BA110-AZ110)/AZ110*100)</f>
        <v>0</v>
      </c>
      <c r="BL110" s="920">
        <f>IF(BA110=0,0,(BB110-BA110)/BA110*100)</f>
        <v>0</v>
      </c>
      <c r="BM110" s="920">
        <f>IF(BB110=0,0,(BC110-BB110)/BB110*100)</f>
        <v>0</v>
      </c>
      <c r="BN110" s="1234"/>
      <c r="BO110" s="1234"/>
      <c r="BP110" s="1234"/>
      <c r="BQ110" s="1256"/>
      <c r="BR110" s="1256"/>
      <c r="BS110" s="1041" t="s">
        <v>1962</v>
      </c>
      <c r="BT110" s="1041"/>
      <c r="BU110" s="1041"/>
      <c r="BV110" s="956"/>
      <c r="BW110" s="956"/>
    </row>
    <row customHeight="1" ht="14.625" hidden="1">
      <c r="A111" s="1256"/>
      <c r="B111" s="955"/>
      <c r="C111" s="1256"/>
      <c r="D111" s="1256"/>
      <c r="E111" s="679">
        <v>15</v>
      </c>
      <c r="F111" s="50" cm="1" t="str">
        <f t="array" ref="F111:F111">OFFSET(E111,-1,1)</f>
        <v>0</v>
      </c>
      <c r="G111" s="1256"/>
      <c r="H111" s="1256"/>
      <c r="I111" s="124" t="s">
        <v>1963</v>
      </c>
      <c r="J111" s="1256"/>
      <c r="K111" s="124" t="s">
        <v>1963</v>
      </c>
      <c r="L111" s="957"/>
      <c r="M111" s="73"/>
      <c r="N111" s="1256"/>
      <c r="O111" s="1256"/>
      <c r="P111" s="1256"/>
      <c r="Q111" s="1256"/>
      <c r="R111" s="1256"/>
      <c r="S111" s="1256"/>
      <c r="T111" s="438" cm="1" t="str">
        <f t="array" ref="T111:T111">T110</f>
        <v>false</v>
      </c>
      <c r="U111" s="1256"/>
      <c r="V111" s="1256"/>
      <c r="W111" s="1256"/>
      <c r="X111" s="1511"/>
      <c r="Y111" s="1256"/>
      <c r="Z111" s="1494"/>
      <c r="AA111" s="1256"/>
      <c r="AB111" s="265" t="s">
        <v>1964</v>
      </c>
      <c r="AC111" s="741" t="s">
        <v>1965</v>
      </c>
      <c r="AD111" s="266" t="s">
        <v>789</v>
      </c>
      <c r="AE111" s="1233"/>
      <c r="AF111" s="1233"/>
      <c r="AG111" s="1233"/>
      <c r="AH111" s="920">
        <f>AG111-AF111</f>
        <v>0</v>
      </c>
      <c r="AI111" s="1231"/>
      <c r="AJ111" s="3707"/>
      <c r="AK111" s="1231"/>
      <c r="AL111" s="1231"/>
      <c r="AM111" s="1231"/>
      <c r="AN111" s="1231"/>
      <c r="AO111" s="1231"/>
      <c r="AP111" s="1231"/>
      <c r="AQ111" s="1231"/>
      <c r="AR111" s="1231"/>
      <c r="AS111" s="1231"/>
      <c r="AT111" s="3707"/>
      <c r="AU111" s="1231"/>
      <c r="AV111" s="1231"/>
      <c r="AW111" s="1231"/>
      <c r="AX111" s="1231"/>
      <c r="AY111" s="1231"/>
      <c r="AZ111" s="1231"/>
      <c r="BA111" s="1231"/>
      <c r="BB111" s="1231"/>
      <c r="BC111" s="1231"/>
      <c r="BD111" s="920">
        <f>IF(AI111=0,0,(AT111-AI111)/AI111*100)</f>
        <v>0</v>
      </c>
      <c r="BE111" s="920">
        <f>IF(AT111=0,0,(AU111-AT111)/AT111*100)</f>
        <v>0</v>
      </c>
      <c r="BF111" s="920">
        <f>IF(AU111=0,0,(AV111-AU111)/AU111*100)</f>
        <v>0</v>
      </c>
      <c r="BG111" s="920">
        <f>IF(AV111=0,0,(AW111-AV111)/AV111*100)</f>
        <v>0</v>
      </c>
      <c r="BH111" s="920">
        <f>IF(AW111=0,0,(AX111-AW111)/AW111*100)</f>
        <v>0</v>
      </c>
      <c r="BI111" s="920">
        <f>IF(AX111=0,0,(AY111-AX111)/AX111*100)</f>
        <v>0</v>
      </c>
      <c r="BJ111" s="920">
        <f>IF(AY111=0,0,(AZ111-AY111)/AY111*100)</f>
        <v>0</v>
      </c>
      <c r="BK111" s="920">
        <f>IF(AZ111=0,0,(BA111-AZ111)/AZ111*100)</f>
        <v>0</v>
      </c>
      <c r="BL111" s="920">
        <f>IF(BA111=0,0,(BB111-BA111)/BA111*100)</f>
        <v>0</v>
      </c>
      <c r="BM111" s="920">
        <f>IF(BB111=0,0,(BC111-BB111)/BB111*100)</f>
        <v>0</v>
      </c>
      <c r="BN111" s="1234"/>
      <c r="BO111" s="1234"/>
      <c r="BP111" s="1234"/>
      <c r="BQ111" s="1256"/>
      <c r="BR111" s="1256"/>
      <c r="BS111" s="1041" t="s">
        <v>1139</v>
      </c>
      <c r="BT111" s="1041"/>
      <c r="BU111" s="1041"/>
      <c r="BV111" s="956"/>
      <c r="BW111" s="956"/>
    </row>
    <row customHeight="1" ht="14.625" hidden="1">
      <c r="A112" s="1256"/>
      <c r="B112" s="955"/>
      <c r="C112" s="1256"/>
      <c r="D112" s="1256"/>
      <c r="E112" s="679">
        <v>15</v>
      </c>
      <c r="F112" s="50" cm="1" t="str">
        <f t="array" ref="F112:F112">OFFSET(E112,-1,1)</f>
        <v>0</v>
      </c>
      <c r="G112" s="1256"/>
      <c r="H112" s="1256"/>
      <c r="I112" s="124" t="s">
        <v>1966</v>
      </c>
      <c r="J112" s="1256"/>
      <c r="K112" s="124" t="s">
        <v>1966</v>
      </c>
      <c r="L112" s="957" t="s">
        <v>856</v>
      </c>
      <c r="M112" s="73"/>
      <c r="N112" s="1256"/>
      <c r="O112" s="1256"/>
      <c r="P112" s="1256"/>
      <c r="Q112" s="1256"/>
      <c r="R112" s="1256"/>
      <c r="S112" s="1256"/>
      <c r="T112" s="438" cm="1" t="str">
        <f t="array" ref="T112:T112">T111</f>
        <v>false</v>
      </c>
      <c r="U112" s="1256"/>
      <c r="V112" s="1256"/>
      <c r="W112" s="1256"/>
      <c r="X112" s="1511"/>
      <c r="Y112" s="1256"/>
      <c r="Z112" s="1494"/>
      <c r="AA112" s="1256"/>
      <c r="AB112" s="265" t="s">
        <v>1967</v>
      </c>
      <c r="AC112" s="741" t="s">
        <v>1968</v>
      </c>
      <c r="AD112" s="266" t="s">
        <v>789</v>
      </c>
      <c r="AE112" s="1233"/>
      <c r="AF112" s="1233"/>
      <c r="AG112" s="1233"/>
      <c r="AH112" s="920">
        <f>AG112-AF112</f>
        <v>0</v>
      </c>
      <c r="AI112" s="1231"/>
      <c r="AJ112" s="3707"/>
      <c r="AK112" s="1231"/>
      <c r="AL112" s="1231"/>
      <c r="AM112" s="1231"/>
      <c r="AN112" s="1231"/>
      <c r="AO112" s="1231"/>
      <c r="AP112" s="1231"/>
      <c r="AQ112" s="1231"/>
      <c r="AR112" s="1231"/>
      <c r="AS112" s="1231"/>
      <c r="AT112" s="3707"/>
      <c r="AU112" s="1231"/>
      <c r="AV112" s="1231"/>
      <c r="AW112" s="1231"/>
      <c r="AX112" s="1231"/>
      <c r="AY112" s="1231"/>
      <c r="AZ112" s="1231"/>
      <c r="BA112" s="1231"/>
      <c r="BB112" s="1231"/>
      <c r="BC112" s="1231"/>
      <c r="BD112" s="920">
        <f>IF(AI112=0,0,(AT112-AI112)/AI112*100)</f>
        <v>0</v>
      </c>
      <c r="BE112" s="920">
        <f>IF(AT112=0,0,(AU112-AT112)/AT112*100)</f>
        <v>0</v>
      </c>
      <c r="BF112" s="920">
        <f>IF(AU112=0,0,(AV112-AU112)/AU112*100)</f>
        <v>0</v>
      </c>
      <c r="BG112" s="920">
        <f>IF(AV112=0,0,(AW112-AV112)/AV112*100)</f>
        <v>0</v>
      </c>
      <c r="BH112" s="920">
        <f>IF(AW112=0,0,(AX112-AW112)/AW112*100)</f>
        <v>0</v>
      </c>
      <c r="BI112" s="920">
        <f>IF(AX112=0,0,(AY112-AX112)/AX112*100)</f>
        <v>0</v>
      </c>
      <c r="BJ112" s="920">
        <f>IF(AY112=0,0,(AZ112-AY112)/AY112*100)</f>
        <v>0</v>
      </c>
      <c r="BK112" s="920">
        <f>IF(AZ112=0,0,(BA112-AZ112)/AZ112*100)</f>
        <v>0</v>
      </c>
      <c r="BL112" s="920">
        <f>IF(BA112=0,0,(BB112-BA112)/BA112*100)</f>
        <v>0</v>
      </c>
      <c r="BM112" s="920">
        <f>IF(BB112=0,0,(BC112-BB112)/BB112*100)</f>
        <v>0</v>
      </c>
      <c r="BN112" s="1234"/>
      <c r="BO112" s="1234"/>
      <c r="BP112" s="1234"/>
      <c r="BQ112" s="1256"/>
      <c r="BR112" s="1256"/>
      <c r="BS112" s="1041" t="s">
        <v>1969</v>
      </c>
      <c r="BT112" s="1041"/>
      <c r="BU112" s="1041"/>
      <c r="BV112" s="956"/>
      <c r="BW112" s="956"/>
    </row>
    <row customHeight="1" ht="21.9375" hidden="1">
      <c r="A113" s="1256"/>
      <c r="B113" s="955"/>
      <c r="C113" s="1256"/>
      <c r="D113" s="1256"/>
      <c r="E113" s="679">
        <v>22.5</v>
      </c>
      <c r="F113" s="50" cm="1" t="str">
        <f t="array" ref="F113:F113">OFFSET(E113,-1,1)</f>
        <v>0</v>
      </c>
      <c r="G113" s="124" t="s">
        <v>1351</v>
      </c>
      <c r="H113" s="1256"/>
      <c r="I113" s="124" t="s">
        <v>1970</v>
      </c>
      <c r="J113" s="1256"/>
      <c r="K113" s="124" t="s">
        <v>1970</v>
      </c>
      <c r="L113" s="957"/>
      <c r="M113" s="73"/>
      <c r="N113" s="1256"/>
      <c r="O113" s="1256"/>
      <c r="P113" s="1256"/>
      <c r="Q113" s="1256"/>
      <c r="R113" s="1256"/>
      <c r="S113" s="1256"/>
      <c r="T113" s="438" cm="1" t="str">
        <f t="array" ref="T113:T113">T112</f>
        <v>false</v>
      </c>
      <c r="U113" s="1256"/>
      <c r="V113" s="1256"/>
      <c r="W113" s="1256"/>
      <c r="X113" s="1511"/>
      <c r="Y113" s="1256"/>
      <c r="Z113" s="1494"/>
      <c r="AA113" s="1256"/>
      <c r="AB113" s="265" t="s">
        <v>1415</v>
      </c>
      <c r="AC113" s="738" t="s">
        <v>1971</v>
      </c>
      <c r="AD113" s="266" t="s">
        <v>789</v>
      </c>
      <c r="AE113" s="1233"/>
      <c r="AF113" s="1233"/>
      <c r="AG113" s="1233"/>
      <c r="AH113" s="920">
        <f>AG113-AF113</f>
        <v>0</v>
      </c>
      <c r="AI113" s="1231"/>
      <c r="AJ113" s="3707"/>
      <c r="AK113" s="1231"/>
      <c r="AL113" s="1231"/>
      <c r="AM113" s="1231"/>
      <c r="AN113" s="1231"/>
      <c r="AO113" s="1231"/>
      <c r="AP113" s="1231"/>
      <c r="AQ113" s="1231"/>
      <c r="AR113" s="1231"/>
      <c r="AS113" s="1231"/>
      <c r="AT113" s="3707"/>
      <c r="AU113" s="1231"/>
      <c r="AV113" s="1231"/>
      <c r="AW113" s="1231"/>
      <c r="AX113" s="1231"/>
      <c r="AY113" s="1231"/>
      <c r="AZ113" s="1231"/>
      <c r="BA113" s="1231"/>
      <c r="BB113" s="1231"/>
      <c r="BC113" s="1231"/>
      <c r="BD113" s="920">
        <f>IF(AI113=0,0,(AT113-AI113)/AI113*100)</f>
        <v>0</v>
      </c>
      <c r="BE113" s="920">
        <f>IF(AT113=0,0,(AU113-AT113)/AT113*100)</f>
        <v>0</v>
      </c>
      <c r="BF113" s="920">
        <f>IF(AU113=0,0,(AV113-AU113)/AU113*100)</f>
        <v>0</v>
      </c>
      <c r="BG113" s="920">
        <f>IF(AV113=0,0,(AW113-AV113)/AV113*100)</f>
        <v>0</v>
      </c>
      <c r="BH113" s="920">
        <f>IF(AW113=0,0,(AX113-AW113)/AW113*100)</f>
        <v>0</v>
      </c>
      <c r="BI113" s="920">
        <f>IF(AX113=0,0,(AY113-AX113)/AX113*100)</f>
        <v>0</v>
      </c>
      <c r="BJ113" s="920">
        <f>IF(AY113=0,0,(AZ113-AY113)/AY113*100)</f>
        <v>0</v>
      </c>
      <c r="BK113" s="920">
        <f>IF(AZ113=0,0,(BA113-AZ113)/AZ113*100)</f>
        <v>0</v>
      </c>
      <c r="BL113" s="920">
        <f>IF(BA113=0,0,(BB113-BA113)/BA113*100)</f>
        <v>0</v>
      </c>
      <c r="BM113" s="920">
        <f>IF(BB113=0,0,(BC113-BB113)/BB113*100)</f>
        <v>0</v>
      </c>
      <c r="BN113" s="1234"/>
      <c r="BO113" s="1234"/>
      <c r="BP113" s="1234"/>
      <c r="BQ113" s="1256"/>
      <c r="BR113" s="1256"/>
      <c r="BS113" s="1041" t="s">
        <v>1972</v>
      </c>
      <c r="BT113" s="1041"/>
      <c r="BU113" s="1041"/>
      <c r="BV113" s="956"/>
      <c r="BW113" s="956"/>
    </row>
    <row s="676" customFormat="1" customHeight="1" ht="20.475" hidden="1">
      <c r="A114" s="676"/>
      <c r="B114" s="407"/>
      <c r="C114" s="676"/>
      <c r="D114" s="676"/>
      <c r="E114" s="683">
        <v>21</v>
      </c>
      <c r="F114" s="50" cm="1" t="str">
        <f t="array" ref="F114:F114">OFFSET(E114,-1,1)</f>
        <v>0</v>
      </c>
      <c r="G114" s="124" t="s">
        <v>1973</v>
      </c>
      <c r="H114" s="124"/>
      <c r="I114" s="124" t="s">
        <v>323</v>
      </c>
      <c r="J114" s="676"/>
      <c r="K114" s="124" t="s">
        <v>323</v>
      </c>
      <c r="L114" s="962" t="s">
        <v>1208</v>
      </c>
      <c r="M114" s="75"/>
      <c r="N114" s="676"/>
      <c r="O114" s="676"/>
      <c r="P114" s="676"/>
      <c r="Q114" s="676"/>
      <c r="R114" s="676"/>
      <c r="S114" s="676"/>
      <c r="T114" s="438" cm="1" t="str">
        <f t="array" ref="T114:T114">T113</f>
        <v>false</v>
      </c>
      <c r="U114" s="676"/>
      <c r="V114" s="676"/>
      <c r="W114" s="676"/>
      <c r="X114" s="1511"/>
      <c r="Y114" s="676"/>
      <c r="Z114" s="1494"/>
      <c r="AA114" s="676"/>
      <c r="AB114" s="184" t="s">
        <v>319</v>
      </c>
      <c r="AC114" s="178" t="s">
        <v>1974</v>
      </c>
      <c r="AD114" s="177" t="s">
        <v>789</v>
      </c>
      <c r="AE114" s="754">
        <f>_xlfn.SUMIFS(ЭЭ!AE$25:AE$67,ЭЭ!$F$25:$F$67,$F114,ЭЭ!$AC$25:$AC$67,"Всего по тарифу")</f>
        <v>0</v>
      </c>
      <c r="AF114" s="754">
        <f>_xlfn.SUMIFS(ЭЭ!AF$25:AF$67,ЭЭ!$F$25:$F$67,$F114,ЭЭ!$AC$25:$AC$67,"Всего по тарифу")</f>
        <v>0</v>
      </c>
      <c r="AG114" s="754">
        <f>_xlfn.SUMIFS(ЭЭ!AG$25:AG$67,ЭЭ!$F$25:$F$67,$F114,ЭЭ!$AC$25:$AC$67,"Всего по тарифу")</f>
        <v>0</v>
      </c>
      <c r="AH114" s="737">
        <f>AG114-AF114</f>
        <v>0</v>
      </c>
      <c r="AI114" s="737">
        <f>_xlfn.SUMIFS(ЭЭ!AH$25:AH$67,ЭЭ!$F$25:$F$67,$F114,ЭЭ!$AC$25:$AC$67,"Всего по тарифу")</f>
        <v>0</v>
      </c>
      <c r="AJ114" s="737">
        <f>_xlfn.SUMIFS(ЭЭ!AI$25:AI$67,ЭЭ!$F$25:$F$67,$F114,ЭЭ!$AC$25:$AC$67,"Всего по тарифу")</f>
        <v>0</v>
      </c>
      <c r="AK114" s="737">
        <f>_xlfn.SUMIFS(ЭЭ!AJ$25:AJ$67,ЭЭ!$F$25:$F$67,$F114,ЭЭ!$AC$25:$AC$67,"Всего по тарифу")</f>
        <v>0</v>
      </c>
      <c r="AL114" s="737">
        <f>_xlfn.SUMIFS(ЭЭ!AK$25:AK$67,ЭЭ!$F$25:$F$67,$F114,ЭЭ!$AC$25:$AC$67,"Всего по тарифу")</f>
        <v>0</v>
      </c>
      <c r="AM114" s="737">
        <f>_xlfn.SUMIFS(ЭЭ!AL$25:AL$67,ЭЭ!$F$25:$F$67,$F114,ЭЭ!$AC$25:$AC$67,"Всего по тарифу")</f>
        <v>0</v>
      </c>
      <c r="AN114" s="737">
        <f>_xlfn.SUMIFS(ЭЭ!AM$25:AM$67,ЭЭ!$F$25:$F$67,$F114,ЭЭ!$AC$25:$AC$67,"Всего по тарифу")</f>
        <v>0</v>
      </c>
      <c r="AO114" s="737">
        <f>_xlfn.SUMIFS(ЭЭ!AN$25:AN$67,ЭЭ!$F$25:$F$67,$F114,ЭЭ!$AC$25:$AC$67,"Всего по тарифу")</f>
        <v>0</v>
      </c>
      <c r="AP114" s="737">
        <f>_xlfn.SUMIFS(ЭЭ!AO$25:AO$67,ЭЭ!$F$25:$F$67,$F114,ЭЭ!$AC$25:$AC$67,"Всего по тарифу")</f>
        <v>0</v>
      </c>
      <c r="AQ114" s="737">
        <f>_xlfn.SUMIFS(ЭЭ!AP$25:AP$67,ЭЭ!$F$25:$F$67,$F114,ЭЭ!$AC$25:$AC$67,"Всего по тарифу")</f>
        <v>0</v>
      </c>
      <c r="AR114" s="737">
        <f>_xlfn.SUMIFS(ЭЭ!AQ$25:AQ$67,ЭЭ!$F$25:$F$67,$F114,ЭЭ!$AC$25:$AC$67,"Всего по тарифу")</f>
        <v>0</v>
      </c>
      <c r="AS114" s="737">
        <f>_xlfn.SUMIFS(ЭЭ!AR$25:AR$67,ЭЭ!$F$25:$F$67,$F114,ЭЭ!$AC$25:$AC$67,"Всего по тарифу")</f>
        <v>0</v>
      </c>
      <c r="AT114" s="737">
        <f>_xlfn.SUMIFS(ЭЭ!AS$25:AS$67,ЭЭ!$F$25:$F$67,$F114,ЭЭ!$AC$25:$AC$67,"Всего по тарифу")</f>
        <v>0</v>
      </c>
      <c r="AU114" s="737">
        <f>_xlfn.SUMIFS(ЭЭ!AT$25:AT$67,ЭЭ!$F$25:$F$67,$F114,ЭЭ!$AC$25:$AC$67,"Всего по тарифу")</f>
        <v>0</v>
      </c>
      <c r="AV114" s="737">
        <f>_xlfn.SUMIFS(ЭЭ!AU$25:AU$67,ЭЭ!$F$25:$F$67,$F114,ЭЭ!$AC$25:$AC$67,"Всего по тарифу")</f>
        <v>0</v>
      </c>
      <c r="AW114" s="737">
        <f>_xlfn.SUMIFS(ЭЭ!AV$25:AV$67,ЭЭ!$F$25:$F$67,$F114,ЭЭ!$AC$25:$AC$67,"Всего по тарифу")</f>
        <v>0</v>
      </c>
      <c r="AX114" s="737">
        <f>_xlfn.SUMIFS(ЭЭ!AW$25:AW$67,ЭЭ!$F$25:$F$67,$F114,ЭЭ!$AC$25:$AC$67,"Всего по тарифу")</f>
        <v>0</v>
      </c>
      <c r="AY114" s="737">
        <f>_xlfn.SUMIFS(ЭЭ!AX$25:AX$67,ЭЭ!$F$25:$F$67,$F114,ЭЭ!$AC$25:$AC$67,"Всего по тарифу")</f>
        <v>0</v>
      </c>
      <c r="AZ114" s="737">
        <f>_xlfn.SUMIFS(ЭЭ!AY$25:AY$67,ЭЭ!$F$25:$F$67,$F114,ЭЭ!$AC$25:$AC$67,"Всего по тарифу")</f>
        <v>0</v>
      </c>
      <c r="BA114" s="737">
        <f>_xlfn.SUMIFS(ЭЭ!AZ$25:AZ$67,ЭЭ!$F$25:$F$67,$F114,ЭЭ!$AC$25:$AC$67,"Всего по тарифу")</f>
        <v>0</v>
      </c>
      <c r="BB114" s="737">
        <f>_xlfn.SUMIFS(ЭЭ!BA$25:BA$67,ЭЭ!$F$25:$F$67,$F114,ЭЭ!$AC$25:$AC$67,"Всего по тарифу")</f>
        <v>0</v>
      </c>
      <c r="BC114" s="737">
        <f>_xlfn.SUMIFS(ЭЭ!BB$25:BB$67,ЭЭ!$F$25:$F$67,$F114,ЭЭ!$AC$25:$AC$67,"Всего по тарифу")</f>
        <v>0</v>
      </c>
      <c r="BD114" s="737">
        <f>IF(AI114=0,0,(AT114-AI114)/AI114*100)</f>
        <v>0</v>
      </c>
      <c r="BE114" s="737">
        <f>IF(AT114=0,0,(AU114-AT114)/AT114*100)</f>
        <v>0</v>
      </c>
      <c r="BF114" s="737">
        <f>IF(AU114=0,0,(AV114-AU114)/AU114*100)</f>
        <v>0</v>
      </c>
      <c r="BG114" s="737">
        <f>IF(AV114=0,0,(AW114-AV114)/AV114*100)</f>
        <v>0</v>
      </c>
      <c r="BH114" s="737">
        <f>IF(AW114=0,0,(AX114-AW114)/AW114*100)</f>
        <v>0</v>
      </c>
      <c r="BI114" s="737">
        <f>IF(AX114=0,0,(AY114-AX114)/AX114*100)</f>
        <v>0</v>
      </c>
      <c r="BJ114" s="737">
        <f>IF(AY114=0,0,(AZ114-AY114)/AY114*100)</f>
        <v>0</v>
      </c>
      <c r="BK114" s="737">
        <f>IF(AZ114=0,0,(BA114-AZ114)/AZ114*100)</f>
        <v>0</v>
      </c>
      <c r="BL114" s="737">
        <f>IF(BA114=0,0,(BB114-BA114)/BA114*100)</f>
        <v>0</v>
      </c>
      <c r="BM114" s="737">
        <f>IF(BB114=0,0,(BC114-BB114)/BB114*100)</f>
        <v>0</v>
      </c>
      <c r="BN114" s="1234"/>
      <c r="BO114" s="1237" t="str">
        <f>IF(_xlfn.IFERROR(INDEX(ЭЭ!$K$26:$L$67,MATCH($F114&amp;"komm",ЭЭ!$K$26:$K$67,0),2),"")=0,"",_xlfn.IFERROR(INDEX(ЭЭ!$K$26:$L$67,MATCH($F114&amp;"komm",ЭЭ!$K$26:$K$67,0),2),""))</f>
        <v/>
      </c>
      <c r="BP114" s="1234"/>
      <c r="BQ114" s="676"/>
      <c r="BR114" s="676"/>
      <c r="BS114" s="1047" t="s">
        <v>1580</v>
      </c>
      <c r="BT114" s="1047"/>
      <c r="BU114" s="1047"/>
      <c r="BV114" s="683"/>
      <c r="BW114" s="683"/>
    </row>
    <row s="676" customFormat="1" customHeight="1" ht="21.9375" hidden="1">
      <c r="A115" s="676"/>
      <c r="B115" s="128">
        <f>method_reg="Метод индексации"</f>
        <v>0</v>
      </c>
      <c r="C115" s="676"/>
      <c r="D115" s="676"/>
      <c r="E115" s="683">
        <v>22.5</v>
      </c>
      <c r="F115" s="50" cm="1" t="str">
        <f t="array" ref="F115:F115">OFFSET(E115,-1,1)</f>
        <v>0</v>
      </c>
      <c r="G115" s="124" t="s">
        <v>1373</v>
      </c>
      <c r="H115" s="124"/>
      <c r="I115" s="124" t="s">
        <v>325</v>
      </c>
      <c r="J115" s="676"/>
      <c r="K115" s="124" t="s">
        <v>325</v>
      </c>
      <c r="L115" s="962" t="s">
        <v>324</v>
      </c>
      <c r="M115" s="75"/>
      <c r="N115" s="676"/>
      <c r="O115" s="676"/>
      <c r="P115" s="676"/>
      <c r="Q115" s="676"/>
      <c r="R115" s="676"/>
      <c r="S115" s="676"/>
      <c r="T115" s="438" cm="1" t="str">
        <f t="array" ref="T115:T115">T114</f>
        <v>false</v>
      </c>
      <c r="U115" s="676"/>
      <c r="V115" s="676"/>
      <c r="W115" s="676"/>
      <c r="X115" s="1511"/>
      <c r="Y115" s="676"/>
      <c r="Z115" s="1494"/>
      <c r="AA115" s="676"/>
      <c r="AB115" s="184" t="s">
        <v>530</v>
      </c>
      <c r="AC115" s="178" t="s">
        <v>1975</v>
      </c>
      <c r="AD115" s="177" t="s">
        <v>789</v>
      </c>
      <c r="AE115" s="754">
        <f>_xlfn.SUMIFS(Амортизация!AE$25:AE$125,Амортизация!$F$25:$F$125,$F115,Амортизация!$AC$25:$AC$125,"Сумма амортизационных отчислений")</f>
        <v>0</v>
      </c>
      <c r="AF115" s="754">
        <f>_xlfn.SUMIFS(Амортизация!AF$25:AF$125,Амортизация!$F$25:$F$125,$F115,Амортизация!$AC$25:$AC$125,"Сумма амортизационных отчислений")</f>
        <v>0</v>
      </c>
      <c r="AG115" s="754">
        <f>_xlfn.SUMIFS(Амортизация!AG$25:AG$125,Амортизация!$F$25:$F$125,$F115,Амортизация!$AC$25:$AC$125,"Сумма амортизационных отчислений")</f>
        <v>0</v>
      </c>
      <c r="AH115" s="737">
        <f>AG115-AF115</f>
        <v>0</v>
      </c>
      <c r="AI115" s="737">
        <f>_xlfn.SUMIFS(Амортизация!AH$25:AH$125,Амортизация!$F$25:$F$125,$F115,Амортизация!$AC$25:$AC$125,"Сумма амортизационных отчислений")</f>
        <v>0</v>
      </c>
      <c r="AJ115" s="737">
        <f>_xlfn.SUMIFS(Амортизация!AI$25:AI$125,Амортизация!$F$25:$F$125,$F115,Амортизация!$AC$25:$AC$125,"Сумма амортизационных отчислений")</f>
        <v>0</v>
      </c>
      <c r="AK115" s="737">
        <f>_xlfn.SUMIFS(Амортизация!AJ$25:AJ$125,Амортизация!$F$25:$F$125,$F115,Амортизация!$AC$25:$AC$125,"Сумма амортизационных отчислений")</f>
        <v>0</v>
      </c>
      <c r="AL115" s="737">
        <f>_xlfn.SUMIFS(Амортизация!AK$25:AK$125,Амортизация!$F$25:$F$125,$F115,Амортизация!$AC$25:$AC$125,"Сумма амортизационных отчислений")</f>
        <v>0</v>
      </c>
      <c r="AM115" s="737">
        <f>_xlfn.SUMIFS(Амортизация!AL$25:AL$125,Амортизация!$F$25:$F$125,$F115,Амортизация!$AC$25:$AC$125,"Сумма амортизационных отчислений")</f>
        <v>0</v>
      </c>
      <c r="AN115" s="737">
        <f>_xlfn.SUMIFS(Амортизация!AM$25:AM$125,Амортизация!$F$25:$F$125,$F115,Амортизация!$AC$25:$AC$125,"Сумма амортизационных отчислений")</f>
        <v>0</v>
      </c>
      <c r="AO115" s="737">
        <f>_xlfn.SUMIFS(Амортизация!AN$25:AN$125,Амортизация!$F$25:$F$125,$F115,Амортизация!$AC$25:$AC$125,"Сумма амортизационных отчислений")</f>
        <v>0</v>
      </c>
      <c r="AP115" s="737">
        <f>_xlfn.SUMIFS(Амортизация!AO$25:AO$125,Амортизация!$F$25:$F$125,$F115,Амортизация!$AC$25:$AC$125,"Сумма амортизационных отчислений")</f>
        <v>0</v>
      </c>
      <c r="AQ115" s="737">
        <f>_xlfn.SUMIFS(Амортизация!AP$25:AP$125,Амортизация!$F$25:$F$125,$F115,Амортизация!$AC$25:$AC$125,"Сумма амортизационных отчислений")</f>
        <v>0</v>
      </c>
      <c r="AR115" s="737">
        <f>_xlfn.SUMIFS(Амортизация!AQ$25:AQ$125,Амортизация!$F$25:$F$125,$F115,Амортизация!$AC$25:$AC$125,"Сумма амортизационных отчислений")</f>
        <v>0</v>
      </c>
      <c r="AS115" s="737">
        <f>_xlfn.SUMIFS(Амортизация!AR$25:AR$125,Амортизация!$F$25:$F$125,$F115,Амортизация!$AC$25:$AC$125,"Сумма амортизационных отчислений")</f>
        <v>0</v>
      </c>
      <c r="AT115" s="737">
        <f>_xlfn.SUMIFS(Амортизация!AS$25:AS$125,Амортизация!$F$25:$F$125,$F115,Амортизация!$AC$25:$AC$125,"Сумма амортизационных отчислений")</f>
        <v>0</v>
      </c>
      <c r="AU115" s="737">
        <f>_xlfn.SUMIFS(Амортизация!AT$25:AT$125,Амортизация!$F$25:$F$125,$F115,Амортизация!$AC$25:$AC$125,"Сумма амортизационных отчислений")</f>
        <v>0</v>
      </c>
      <c r="AV115" s="737">
        <f>_xlfn.SUMIFS(Амортизация!AU$25:AU$125,Амортизация!$F$25:$F$125,$F115,Амортизация!$AC$25:$AC$125,"Сумма амортизационных отчислений")</f>
        <v>0</v>
      </c>
      <c r="AW115" s="737">
        <f>_xlfn.SUMIFS(Амортизация!AV$25:AV$125,Амортизация!$F$25:$F$125,$F115,Амортизация!$AC$25:$AC$125,"Сумма амортизационных отчислений")</f>
        <v>0</v>
      </c>
      <c r="AX115" s="737">
        <f>_xlfn.SUMIFS(Амортизация!AW$25:AW$125,Амортизация!$F$25:$F$125,$F115,Амортизация!$AC$25:$AC$125,"Сумма амортизационных отчислений")</f>
        <v>0</v>
      </c>
      <c r="AY115" s="737">
        <f>_xlfn.SUMIFS(Амортизация!AX$25:AX$125,Амортизация!$F$25:$F$125,$F115,Амортизация!$AC$25:$AC$125,"Сумма амортизационных отчислений")</f>
        <v>0</v>
      </c>
      <c r="AZ115" s="737">
        <f>_xlfn.SUMIFS(Амортизация!AY$25:AY$125,Амортизация!$F$25:$F$125,$F115,Амортизация!$AC$25:$AC$125,"Сумма амортизационных отчислений")</f>
        <v>0</v>
      </c>
      <c r="BA115" s="737">
        <f>_xlfn.SUMIFS(Амортизация!AZ$25:AZ$125,Амортизация!$F$25:$F$125,$F115,Амортизация!$AC$25:$AC$125,"Сумма амортизационных отчислений")</f>
        <v>0</v>
      </c>
      <c r="BB115" s="737">
        <f>_xlfn.SUMIFS(Амортизация!BA$25:BA$125,Амортизация!$F$25:$F$125,$F115,Амортизация!$AC$25:$AC$125,"Сумма амортизационных отчислений")</f>
        <v>0</v>
      </c>
      <c r="BC115" s="737">
        <f>_xlfn.SUMIFS(Амортизация!BB$25:BB$125,Амортизация!$F$25:$F$125,$F115,Амортизация!$AC$25:$AC$125,"Сумма амортизационных отчислений")</f>
        <v>0</v>
      </c>
      <c r="BD115" s="737">
        <f>IF(AI115=0,0,(AT115-AI115)/AI115*100)</f>
        <v>0</v>
      </c>
      <c r="BE115" s="737">
        <f>IF(AT115=0,0,(AU115-AT115)/AT115*100)</f>
        <v>0</v>
      </c>
      <c r="BF115" s="737">
        <f>IF(AU115=0,0,(AV115-AU115)/AU115*100)</f>
        <v>0</v>
      </c>
      <c r="BG115" s="737">
        <f>IF(AV115=0,0,(AW115-AV115)/AV115*100)</f>
        <v>0</v>
      </c>
      <c r="BH115" s="737">
        <f>IF(AW115=0,0,(AX115-AW115)/AW115*100)</f>
        <v>0</v>
      </c>
      <c r="BI115" s="737">
        <f>IF(AX115=0,0,(AY115-AX115)/AX115*100)</f>
        <v>0</v>
      </c>
      <c r="BJ115" s="737">
        <f>IF(AY115=0,0,(AZ115-AY115)/AY115*100)</f>
        <v>0</v>
      </c>
      <c r="BK115" s="737">
        <f>IF(AZ115=0,0,(BA115-AZ115)/AZ115*100)</f>
        <v>0</v>
      </c>
      <c r="BL115" s="737">
        <f>IF(BA115=0,0,(BB115-BA115)/BA115*100)</f>
        <v>0</v>
      </c>
      <c r="BM115" s="737">
        <f>IF(BB115=0,0,(BC115-BB115)/BB115*100)</f>
        <v>0</v>
      </c>
      <c r="BN115" s="1234"/>
      <c r="BO115" s="1232" t="str">
        <f>IF(_xlfn.IFERROR(INDEX(Амортизация!$K$26:$L$125,MATCH($F115&amp;"komm",Амортизация!$K$26:$K$125,0),2),"")=0,"",_xlfn.IFERROR(INDEX(Амортизация!$K$26:$L$125,MATCH($F115&amp;"komm",Амортизация!$K$26:$K$125,0),2),""))</f>
        <v/>
      </c>
      <c r="BP115" s="1234"/>
      <c r="BQ115" s="676"/>
      <c r="BR115" s="676"/>
      <c r="BS115" s="1047" t="s">
        <v>1118</v>
      </c>
      <c r="BT115" s="1047"/>
      <c r="BU115" s="1047"/>
      <c r="BV115" s="683"/>
      <c r="BW115" s="683"/>
    </row>
    <row customHeight="1" ht="14.625" hidden="1">
      <c r="A116" s="1256"/>
      <c r="B116" s="404" cm="1" t="str">
        <f t="array" ref="B116:B116">B115</f>
        <v>false</v>
      </c>
      <c r="C116" s="1256"/>
      <c r="D116" s="1256"/>
      <c r="E116" s="679">
        <v>15</v>
      </c>
      <c r="F116" s="50" cm="1" t="str">
        <f t="array" ref="F116:F116">OFFSET(E116,-1,1)</f>
        <v>0</v>
      </c>
      <c r="G116" s="1256"/>
      <c r="H116" s="1256"/>
      <c r="I116" s="124" t="s">
        <v>508</v>
      </c>
      <c r="J116" s="1256"/>
      <c r="K116" s="124" t="s">
        <v>508</v>
      </c>
      <c r="L116" s="957" t="s">
        <v>522</v>
      </c>
      <c r="M116" s="73"/>
      <c r="N116" s="1256"/>
      <c r="O116" s="1256"/>
      <c r="P116" s="1256"/>
      <c r="Q116" s="1256"/>
      <c r="R116" s="1256"/>
      <c r="S116" s="1256"/>
      <c r="T116" s="438" cm="1" t="str">
        <f t="array" ref="T116:T116">T115</f>
        <v>false</v>
      </c>
      <c r="U116" s="1256"/>
      <c r="V116" s="1256"/>
      <c r="W116" s="1256"/>
      <c r="X116" s="1511"/>
      <c r="Y116" s="1256"/>
      <c r="Z116" s="1494"/>
      <c r="AA116" s="1256"/>
      <c r="AB116" s="265" t="s">
        <v>646</v>
      </c>
      <c r="AC116" s="738" t="s">
        <v>1673</v>
      </c>
      <c r="AD116" s="266" t="s">
        <v>789</v>
      </c>
      <c r="AE116" s="1233">
        <f>_xlfn.SUMIFS('ИП + источники'!AF$27:AF$87,'ИП + источники'!$F$27:$F$87,$F116,'ИП + источники'!$AC$27:$AC$87,"Амортизационные отчисления")+_xlfn.SUMIFS('ИП + источники'!AF$27:AF$87,'ИП + источники'!$F$27:$F$87,$F116,'ИП + источники'!$AC$27:$AC$87,"погашение займов и кредитов из амортизации")</f>
        <v>0</v>
      </c>
      <c r="AF116" s="1233">
        <f>_xlfn.SUMIFS('ИП + источники'!AG$27:AG$87,'ИП + источники'!$F$27:$F$87,$F116,'ИП + источники'!$AC$27:$AC$87,"Амортизационные отчисления")+_xlfn.SUMIFS('ИП + источники'!AG$27:AG$87,'ИП + источники'!$F$27:$F$87,$F116,'ИП + источники'!$AC$27:$AC$87,"погашение займов и кредитов из амортизации")</f>
        <v>0</v>
      </c>
      <c r="AG116" s="1233">
        <f>_xlfn.SUMIFS('ИП + источники'!AH$27:AH$87,'ИП + источники'!$F$27:$F$87,$F116,'ИП + источники'!$AC$27:$AC$87,"Амортизационные отчисления")+_xlfn.SUMIFS('ИП + источники'!AH$27:AH$87,'ИП + источники'!$F$27:$F$87,$F116,'ИП + источники'!$AC$27:$AC$87,"погашение займов и кредитов из амортизации")</f>
        <v>0</v>
      </c>
      <c r="AH116" s="920">
        <f>AG116-AF116</f>
        <v>0</v>
      </c>
      <c r="AI116" s="1231">
        <f>_xlfn.SUMIFS('ИП + источники'!AJ$27:AJ$87,'ИП + источники'!$F$27:$F$87,$F116,'ИП + источники'!$AC$27:$AC$87,"Амортизационные отчисления")+_xlfn.SUMIFS('ИП + источники'!AJ$27:AJ$87,'ИП + источники'!$F$27:$F$87,$F116,'ИП + источники'!$AC$27:$AC$87,"погашение займов и кредитов из амортизации")</f>
        <v>0</v>
      </c>
      <c r="AJ116" s="3707">
        <f>_xlfn.SUMIFS('ИП + источники'!AK$27:AK$87,'ИП + источники'!$F$27:$F$87,$F116,'ИП + источники'!$AC$27:$AC$87,"Амортизационные отчисления")+_xlfn.SUMIFS('ИП + источники'!AK$27:AK$87,'ИП + источники'!$F$27:$F$87,$F116,'ИП + источники'!$AC$27:$AC$87,"погашение займов и кредитов из амортизации")</f>
        <v>0</v>
      </c>
      <c r="AK116" s="1231">
        <f>_xlfn.SUMIFS('ИП + источники'!AL$27:AL$87,'ИП + источники'!$F$27:$F$87,$F116,'ИП + источники'!$AC$27:$AC$87,"Амортизационные отчисления")+_xlfn.SUMIFS('ИП + источники'!AL$27:AL$87,'ИП + источники'!$F$27:$F$87,$F116,'ИП + источники'!$AC$27:$AC$87,"погашение займов и кредитов из амортизации")</f>
        <v>0</v>
      </c>
      <c r="AL116" s="1231">
        <f>_xlfn.SUMIFS('ИП + источники'!AM$27:AM$87,'ИП + источники'!$F$27:$F$87,$F116,'ИП + источники'!$AC$27:$AC$87,"Амортизационные отчисления")+_xlfn.SUMIFS('ИП + источники'!AM$27:AM$87,'ИП + источники'!$F$27:$F$87,$F116,'ИП + источники'!$AC$27:$AC$87,"погашение займов и кредитов из амортизации")</f>
        <v>0</v>
      </c>
      <c r="AM116" s="1231">
        <f>_xlfn.SUMIFS('ИП + источники'!AN$27:AN$87,'ИП + источники'!$F$27:$F$87,$F116,'ИП + источники'!$AC$27:$AC$87,"Амортизационные отчисления")+_xlfn.SUMIFS('ИП + источники'!AN$27:AN$87,'ИП + источники'!$F$27:$F$87,$F116,'ИП + источники'!$AC$27:$AC$87,"погашение займов и кредитов из амортизации")</f>
        <v>0</v>
      </c>
      <c r="AN116" s="1231">
        <f>_xlfn.SUMIFS('ИП + источники'!AO$27:AO$87,'ИП + источники'!$F$27:$F$87,$F116,'ИП + источники'!$AC$27:$AC$87,"Амортизационные отчисления")+_xlfn.SUMIFS('ИП + источники'!AO$27:AO$87,'ИП + источники'!$F$27:$F$87,$F116,'ИП + источники'!$AC$27:$AC$87,"погашение займов и кредитов из амортизации")</f>
        <v>0</v>
      </c>
      <c r="AO116" s="1231">
        <f>_xlfn.SUMIFS('ИП + источники'!AP$27:AP$87,'ИП + источники'!$F$27:$F$87,$F116,'ИП + источники'!$AC$27:$AC$87,"Амортизационные отчисления")+_xlfn.SUMIFS('ИП + источники'!AP$27:AP$87,'ИП + источники'!$F$27:$F$87,$F116,'ИП + источники'!$AC$27:$AC$87,"погашение займов и кредитов из амортизации")</f>
        <v>0</v>
      </c>
      <c r="AP116" s="1231">
        <f>_xlfn.SUMIFS('ИП + источники'!AQ$27:AQ$87,'ИП + источники'!$F$27:$F$87,$F116,'ИП + источники'!$AC$27:$AC$87,"Амортизационные отчисления")+_xlfn.SUMIFS('ИП + источники'!AQ$27:AQ$87,'ИП + источники'!$F$27:$F$87,$F116,'ИП + источники'!$AC$27:$AC$87,"погашение займов и кредитов из амортизации")</f>
        <v>0</v>
      </c>
      <c r="AQ116" s="1231">
        <f>_xlfn.SUMIFS('ИП + источники'!AR$27:AR$87,'ИП + источники'!$F$27:$F$87,$F116,'ИП + источники'!$AC$27:$AC$87,"Амортизационные отчисления")+_xlfn.SUMIFS('ИП + источники'!AR$27:AR$87,'ИП + источники'!$F$27:$F$87,$F116,'ИП + источники'!$AC$27:$AC$87,"погашение займов и кредитов из амортизации")</f>
        <v>0</v>
      </c>
      <c r="AR116" s="1231">
        <f>_xlfn.SUMIFS('ИП + источники'!AS$27:AS$87,'ИП + источники'!$F$27:$F$87,$F116,'ИП + источники'!$AC$27:$AC$87,"Амортизационные отчисления")+_xlfn.SUMIFS('ИП + источники'!AS$27:AS$87,'ИП + источники'!$F$27:$F$87,$F116,'ИП + источники'!$AC$27:$AC$87,"погашение займов и кредитов из амортизации")</f>
        <v>0</v>
      </c>
      <c r="AS116" s="1231">
        <f>_xlfn.SUMIFS('ИП + источники'!AT$27:AT$87,'ИП + источники'!$F$27:$F$87,$F116,'ИП + источники'!$AC$27:$AC$87,"Амортизационные отчисления")+_xlfn.SUMIFS('ИП + источники'!AT$27:AT$87,'ИП + источники'!$F$27:$F$87,$F116,'ИП + источники'!$AC$27:$AC$87,"погашение займов и кредитов из амортизации")</f>
        <v>0</v>
      </c>
      <c r="AT116" s="3707">
        <f>_xlfn.SUMIFS('ИП + источники'!AU$27:AU$87,'ИП + источники'!$F$27:$F$87,$F116,'ИП + источники'!$AC$27:$AC$87,"Амортизационные отчисления")+_xlfn.SUMIFS('ИП + источники'!AU$27:AU$87,'ИП + источники'!$F$27:$F$87,$F116,'ИП + источники'!$AC$27:$AC$87,"погашение займов и кредитов из амортизации")</f>
        <v>0</v>
      </c>
      <c r="AU116" s="1231">
        <f>_xlfn.SUMIFS('ИП + источники'!AV$27:AV$87,'ИП + источники'!$F$27:$F$87,$F116,'ИП + источники'!$AC$27:$AC$87,"Амортизационные отчисления")+_xlfn.SUMIFS('ИП + источники'!AV$27:AV$87,'ИП + источники'!$F$27:$F$87,$F116,'ИП + источники'!$AC$27:$AC$87,"погашение займов и кредитов из амортизации")</f>
        <v>0</v>
      </c>
      <c r="AV116" s="1231">
        <f>_xlfn.SUMIFS('ИП + источники'!AW$27:AW$87,'ИП + источники'!$F$27:$F$87,$F116,'ИП + источники'!$AC$27:$AC$87,"Амортизационные отчисления")+_xlfn.SUMIFS('ИП + источники'!AW$27:AW$87,'ИП + источники'!$F$27:$F$87,$F116,'ИП + источники'!$AC$27:$AC$87,"погашение займов и кредитов из амортизации")</f>
        <v>0</v>
      </c>
      <c r="AW116" s="1231">
        <f>_xlfn.SUMIFS('ИП + источники'!AX$27:AX$87,'ИП + источники'!$F$27:$F$87,$F116,'ИП + источники'!$AC$27:$AC$87,"Амортизационные отчисления")+_xlfn.SUMIFS('ИП + источники'!AX$27:AX$87,'ИП + источники'!$F$27:$F$87,$F116,'ИП + источники'!$AC$27:$AC$87,"погашение займов и кредитов из амортизации")</f>
        <v>0</v>
      </c>
      <c r="AX116" s="1231">
        <f>_xlfn.SUMIFS('ИП + источники'!AY$27:AY$87,'ИП + источники'!$F$27:$F$87,$F116,'ИП + источники'!$AC$27:$AC$87,"Амортизационные отчисления")+_xlfn.SUMIFS('ИП + источники'!AY$27:AY$87,'ИП + источники'!$F$27:$F$87,$F116,'ИП + источники'!$AC$27:$AC$87,"погашение займов и кредитов из амортизации")</f>
        <v>0</v>
      </c>
      <c r="AY116" s="1231">
        <f>_xlfn.SUMIFS('ИП + источники'!AZ$27:AZ$87,'ИП + источники'!$F$27:$F$87,$F116,'ИП + источники'!$AC$27:$AC$87,"Амортизационные отчисления")+_xlfn.SUMIFS('ИП + источники'!AZ$27:AZ$87,'ИП + источники'!$F$27:$F$87,$F116,'ИП + источники'!$AC$27:$AC$87,"погашение займов и кредитов из амортизации")</f>
        <v>0</v>
      </c>
      <c r="AZ116" s="1231">
        <f>_xlfn.SUMIFS('ИП + источники'!BA$27:BA$87,'ИП + источники'!$F$27:$F$87,$F116,'ИП + источники'!$AC$27:$AC$87,"Амортизационные отчисления")+_xlfn.SUMIFS('ИП + источники'!BA$27:BA$87,'ИП + источники'!$F$27:$F$87,$F116,'ИП + источники'!$AC$27:$AC$87,"погашение займов и кредитов из амортизации")</f>
        <v>0</v>
      </c>
      <c r="BA116" s="1231">
        <f>_xlfn.SUMIFS('ИП + источники'!BB$27:BB$87,'ИП + источники'!$F$27:$F$87,$F116,'ИП + источники'!$AC$27:$AC$87,"Амортизационные отчисления")+_xlfn.SUMIFS('ИП + источники'!BB$27:BB$87,'ИП + источники'!$F$27:$F$87,$F116,'ИП + источники'!$AC$27:$AC$87,"погашение займов и кредитов из амортизации")</f>
        <v>0</v>
      </c>
      <c r="BB116" s="1231">
        <f>_xlfn.SUMIFS('ИП + источники'!BC$27:BC$87,'ИП + источники'!$F$27:$F$87,$F116,'ИП + источники'!$AC$27:$AC$87,"Амортизационные отчисления")+_xlfn.SUMIFS('ИП + источники'!BC$27:BC$87,'ИП + источники'!$F$27:$F$87,$F116,'ИП + источники'!$AC$27:$AC$87,"погашение займов и кредитов из амортизации")</f>
        <v>0</v>
      </c>
      <c r="BC116" s="1231">
        <f>_xlfn.SUMIFS('ИП + источники'!BD$27:BD$87,'ИП + источники'!$F$27:$F$87,$F116,'ИП + источники'!$AC$27:$AC$87,"Амортизационные отчисления")+_xlfn.SUMIFS('ИП + источники'!BD$27:BD$87,'ИП + источники'!$F$27:$F$87,$F116,'ИП + источники'!$AC$27:$AC$87,"погашение займов и кредитов из амортизации")</f>
        <v>0</v>
      </c>
      <c r="BD116" s="920">
        <f>IF(AI116=0,0,(AT116-AI116)/AI116*100)</f>
        <v>0</v>
      </c>
      <c r="BE116" s="920">
        <f>IF(AT116=0,0,(AU116-AT116)/AT116*100)</f>
        <v>0</v>
      </c>
      <c r="BF116" s="920">
        <f>IF(AU116=0,0,(AV116-AU116)/AU116*100)</f>
        <v>0</v>
      </c>
      <c r="BG116" s="920">
        <f>IF(AV116=0,0,(AW116-AV116)/AV116*100)</f>
        <v>0</v>
      </c>
      <c r="BH116" s="920">
        <f>IF(AW116=0,0,(AX116-AW116)/AW116*100)</f>
        <v>0</v>
      </c>
      <c r="BI116" s="920">
        <f>IF(AX116=0,0,(AY116-AX116)/AX116*100)</f>
        <v>0</v>
      </c>
      <c r="BJ116" s="920">
        <f>IF(AY116=0,0,(AZ116-AY116)/AY116*100)</f>
        <v>0</v>
      </c>
      <c r="BK116" s="920">
        <f>IF(AZ116=0,0,(BA116-AZ116)/AZ116*100)</f>
        <v>0</v>
      </c>
      <c r="BL116" s="920">
        <f>IF(BA116=0,0,(BB116-BA116)/BA116*100)</f>
        <v>0</v>
      </c>
      <c r="BM116" s="920">
        <f>IF(BB116=0,0,(BC116-BB116)/BB116*100)</f>
        <v>0</v>
      </c>
      <c r="BN116" s="1234"/>
      <c r="BO116" s="1234"/>
      <c r="BP116" s="1234"/>
      <c r="BQ116" s="1256"/>
      <c r="BR116" s="1256"/>
      <c r="BS116" s="1041" t="s">
        <v>1674</v>
      </c>
      <c r="BT116" s="1041"/>
      <c r="BU116" s="1041"/>
      <c r="BV116" s="956"/>
      <c r="BW116" s="956"/>
    </row>
    <row s="676" customFormat="1" customHeight="1" ht="20.475" hidden="1">
      <c r="A117" s="676"/>
      <c r="B117" s="404" cm="1" t="str">
        <f t="array" ref="B117:B117">B116</f>
        <v>false</v>
      </c>
      <c r="C117" s="676"/>
      <c r="D117" s="676"/>
      <c r="E117" s="683">
        <v>21</v>
      </c>
      <c r="F117" s="50" cm="1" t="str">
        <f t="array" ref="F117:F117">OFFSET(E117,-1,1)</f>
        <v>0</v>
      </c>
      <c r="G117" s="124" t="s">
        <v>1377</v>
      </c>
      <c r="H117" s="124"/>
      <c r="I117" s="124" t="s">
        <v>324</v>
      </c>
      <c r="J117" s="676"/>
      <c r="K117" s="124" t="s">
        <v>324</v>
      </c>
      <c r="L117" s="962" t="s">
        <v>535</v>
      </c>
      <c r="M117" s="75"/>
      <c r="N117" s="676"/>
      <c r="O117" s="676"/>
      <c r="P117" s="676"/>
      <c r="Q117" s="676"/>
      <c r="R117" s="676"/>
      <c r="S117" s="676"/>
      <c r="T117" s="438" cm="1" t="str">
        <f t="array" ref="T117:T117">T116</f>
        <v>false</v>
      </c>
      <c r="U117" s="676"/>
      <c r="V117" s="676"/>
      <c r="W117" s="676"/>
      <c r="X117" s="1511"/>
      <c r="Y117" s="676"/>
      <c r="Z117" s="1494"/>
      <c r="AA117" s="676"/>
      <c r="AB117" s="184" t="s">
        <v>485</v>
      </c>
      <c r="AC117" s="178" t="s">
        <v>1377</v>
      </c>
      <c r="AD117" s="200" t="s">
        <v>789</v>
      </c>
      <c r="AE117" s="179">
        <f>AE118+AE119+AE120+AE121</f>
        <v>0</v>
      </c>
      <c r="AF117" s="179">
        <f>AF118+AF119+AF120+AF121</f>
        <v>0</v>
      </c>
      <c r="AG117" s="179">
        <f>AG118+AG119+AG120+AG121</f>
        <v>0</v>
      </c>
      <c r="AH117" s="746">
        <f>AG117-AF117</f>
        <v>0</v>
      </c>
      <c r="AI117" s="746">
        <f>AI118+AI119+AI120+AI121</f>
        <v>0</v>
      </c>
      <c r="AJ117" s="746">
        <f>AJ118+AJ119+AJ120+AJ121</f>
        <v>0</v>
      </c>
      <c r="AK117" s="746">
        <f>AK118+AK119+AK120+AK121</f>
        <v>0</v>
      </c>
      <c r="AL117" s="746">
        <f>AL118+AL119+AL120+AL121</f>
        <v>0</v>
      </c>
      <c r="AM117" s="746">
        <f>AM118+AM119+AM120+AM121</f>
        <v>0</v>
      </c>
      <c r="AN117" s="746">
        <f>AN118+AN119+AN120+AN121</f>
        <v>0</v>
      </c>
      <c r="AO117" s="746">
        <f>AO118+AO119+AO120+AO121</f>
        <v>0</v>
      </c>
      <c r="AP117" s="746">
        <f>AP118+AP119+AP120+AP121</f>
        <v>0</v>
      </c>
      <c r="AQ117" s="746">
        <f>AQ118+AQ119+AQ120+AQ121</f>
        <v>0</v>
      </c>
      <c r="AR117" s="746">
        <f>AR118+AR119+AR120+AR121</f>
        <v>0</v>
      </c>
      <c r="AS117" s="746">
        <f>AS118+AS119+AS120+AS121</f>
        <v>0</v>
      </c>
      <c r="AT117" s="746">
        <f>AT118+AT119+AT120+AT121</f>
        <v>0</v>
      </c>
      <c r="AU117" s="746">
        <f>AU118+AU119+AU120+AU121</f>
        <v>0</v>
      </c>
      <c r="AV117" s="746">
        <f>AV118+AV119+AV120+AV121</f>
        <v>0</v>
      </c>
      <c r="AW117" s="746">
        <f>AW118+AW119+AW120+AW121</f>
        <v>0</v>
      </c>
      <c r="AX117" s="746">
        <f>AX118+AX119+AX120+AX121</f>
        <v>0</v>
      </c>
      <c r="AY117" s="746">
        <f>AY118+AY119+AY120+AY121</f>
        <v>0</v>
      </c>
      <c r="AZ117" s="746">
        <f>AZ118+AZ119+AZ120+AZ121</f>
        <v>0</v>
      </c>
      <c r="BA117" s="746">
        <f>BA118+BA119+BA120+BA121</f>
        <v>0</v>
      </c>
      <c r="BB117" s="746">
        <f>BB118+BB119+BB120+BB121</f>
        <v>0</v>
      </c>
      <c r="BC117" s="746">
        <f>BC118+BC119+BC120+BC121</f>
        <v>0</v>
      </c>
      <c r="BD117" s="737">
        <f>IF(AI117=0,0,(AT117-AI117)/AI117*100)</f>
        <v>0</v>
      </c>
      <c r="BE117" s="737">
        <f>IF(AT117=0,0,(AU117-AT117)/AT117*100)</f>
        <v>0</v>
      </c>
      <c r="BF117" s="737">
        <f>IF(AU117=0,0,(AV117-AU117)/AU117*100)</f>
        <v>0</v>
      </c>
      <c r="BG117" s="737">
        <f>IF(AV117=0,0,(AW117-AV117)/AV117*100)</f>
        <v>0</v>
      </c>
      <c r="BH117" s="737">
        <f>IF(AW117=0,0,(AX117-AW117)/AW117*100)</f>
        <v>0</v>
      </c>
      <c r="BI117" s="737">
        <f>IF(AX117=0,0,(AY117-AX117)/AX117*100)</f>
        <v>0</v>
      </c>
      <c r="BJ117" s="737">
        <f>IF(AY117=0,0,(AZ117-AY117)/AY117*100)</f>
        <v>0</v>
      </c>
      <c r="BK117" s="737">
        <f>IF(AZ117=0,0,(BA117-AZ117)/AZ117*100)</f>
        <v>0</v>
      </c>
      <c r="BL117" s="737">
        <f>IF(BA117=0,0,(BB117-BA117)/BA117*100)</f>
        <v>0</v>
      </c>
      <c r="BM117" s="737">
        <f>IF(BB117=0,0,(BC117-BB117)/BB117*100)</f>
        <v>0</v>
      </c>
      <c r="BN117" s="1234"/>
      <c r="BO117" s="1234"/>
      <c r="BP117" s="1234"/>
      <c r="BQ117" s="676"/>
      <c r="BR117" s="676"/>
      <c r="BS117" s="1040" t="s">
        <v>1381</v>
      </c>
      <c r="BT117" s="1047"/>
      <c r="BU117" s="1047"/>
      <c r="BV117" s="683"/>
      <c r="BW117" s="683"/>
    </row>
    <row customHeight="1" ht="14.625" hidden="1">
      <c r="A118" s="1256"/>
      <c r="B118" s="404" cm="1" t="str">
        <f t="array" ref="B118:B118">B117</f>
        <v>false</v>
      </c>
      <c r="C118" s="1256"/>
      <c r="D118" s="1256"/>
      <c r="E118" s="679">
        <v>15</v>
      </c>
      <c r="F118" s="50" cm="1" t="str">
        <f t="array" ref="F118:F118">OFFSET(E118,-1,1)</f>
        <v>0</v>
      </c>
      <c r="G118" s="1256"/>
      <c r="H118" s="1256"/>
      <c r="I118" s="124" t="s">
        <v>522</v>
      </c>
      <c r="J118" s="1256"/>
      <c r="K118" s="124" t="s">
        <v>522</v>
      </c>
      <c r="L118" s="957"/>
      <c r="M118" s="73"/>
      <c r="N118" s="1256"/>
      <c r="O118" s="1256"/>
      <c r="P118" s="1256"/>
      <c r="Q118" s="1256"/>
      <c r="R118" s="1256"/>
      <c r="S118" s="1256"/>
      <c r="T118" s="438" cm="1" t="str">
        <f t="array" ref="T118:T118">T117</f>
        <v>false</v>
      </c>
      <c r="U118" s="1256"/>
      <c r="V118" s="1256"/>
      <c r="W118" s="1256"/>
      <c r="X118" s="1511"/>
      <c r="Y118" s="1256"/>
      <c r="Z118" s="1494"/>
      <c r="AA118" s="1256"/>
      <c r="AB118" s="265" t="s">
        <v>653</v>
      </c>
      <c r="AC118" s="738" t="s">
        <v>1976</v>
      </c>
      <c r="AD118" s="266" t="s">
        <v>789</v>
      </c>
      <c r="AE118" s="1233">
        <f>_xlfn.SUMIFS('ИП + источники'!AF$27:AF$87,'ИП + источники'!$F$27:$F$87,$F118,'ИП + источники'!$AC$27:$AC$87,"погашение займов и кредитов из нормативной прибыли")</f>
        <v>0</v>
      </c>
      <c r="AF118" s="1233">
        <f>_xlfn.SUMIFS('ИП + источники'!AG$27:AG$87,'ИП + источники'!$F$27:$F$87,$F118,'ИП + источники'!$AC$27:$AC$87,"погашение займов и кредитов из нормативной прибыли")</f>
        <v>0</v>
      </c>
      <c r="AG118" s="1233">
        <f>_xlfn.SUMIFS('ИП + источники'!AH$27:AH$87,'ИП + источники'!$F$27:$F$87,$F118,'ИП + источники'!$AC$27:$AC$87,"погашение займов и кредитов из нормативной прибыли")</f>
        <v>0</v>
      </c>
      <c r="AH118" s="920">
        <f>AG118-AF118</f>
        <v>0</v>
      </c>
      <c r="AI118" s="1231">
        <f>_xlfn.SUMIFS('ИП + источники'!AJ$27:AJ$87,'ИП + источники'!$F$27:$F$87,$F118,'ИП + источники'!$AC$27:$AC$87,"погашение займов и кредитов из нормативной прибыли")</f>
        <v>0</v>
      </c>
      <c r="AJ118" s="3707">
        <f>_xlfn.SUMIFS('ИП + источники'!AK$27:AK$87,'ИП + источники'!$F$27:$F$87,$F118,'ИП + источники'!$AC$27:$AC$87,"погашение займов и кредитов из нормативной прибыли")</f>
        <v>0</v>
      </c>
      <c r="AK118" s="1231">
        <f>_xlfn.SUMIFS('ИП + источники'!AL$27:AL$87,'ИП + источники'!$F$27:$F$87,$F118,'ИП + источники'!$AC$27:$AC$87,"погашение займов и кредитов из нормативной прибыли")</f>
        <v>0</v>
      </c>
      <c r="AL118" s="1231">
        <f>_xlfn.SUMIFS('ИП + источники'!AM$27:AM$87,'ИП + источники'!$F$27:$F$87,$F118,'ИП + источники'!$AC$27:$AC$87,"погашение займов и кредитов из нормативной прибыли")</f>
        <v>0</v>
      </c>
      <c r="AM118" s="1231">
        <f>_xlfn.SUMIFS('ИП + источники'!AN$27:AN$87,'ИП + источники'!$F$27:$F$87,$F118,'ИП + источники'!$AC$27:$AC$87,"погашение займов и кредитов из нормативной прибыли")</f>
        <v>0</v>
      </c>
      <c r="AN118" s="1231">
        <f>_xlfn.SUMIFS('ИП + источники'!AO$27:AO$87,'ИП + источники'!$F$27:$F$87,$F118,'ИП + источники'!$AC$27:$AC$87,"погашение займов и кредитов из нормативной прибыли")</f>
        <v>0</v>
      </c>
      <c r="AO118" s="1231">
        <f>_xlfn.SUMIFS('ИП + источники'!AP$27:AP$87,'ИП + источники'!$F$27:$F$87,$F118,'ИП + источники'!$AC$27:$AC$87,"погашение займов и кредитов из нормативной прибыли")</f>
        <v>0</v>
      </c>
      <c r="AP118" s="1231">
        <f>_xlfn.SUMIFS('ИП + источники'!AQ$27:AQ$87,'ИП + источники'!$F$27:$F$87,$F118,'ИП + источники'!$AC$27:$AC$87,"погашение займов и кредитов из нормативной прибыли")</f>
        <v>0</v>
      </c>
      <c r="AQ118" s="1231">
        <f>_xlfn.SUMIFS('ИП + источники'!AR$27:AR$87,'ИП + источники'!$F$27:$F$87,$F118,'ИП + источники'!$AC$27:$AC$87,"погашение займов и кредитов из нормативной прибыли")</f>
        <v>0</v>
      </c>
      <c r="AR118" s="1231">
        <f>_xlfn.SUMIFS('ИП + источники'!AS$27:AS$87,'ИП + источники'!$F$27:$F$87,$F118,'ИП + источники'!$AC$27:$AC$87,"погашение займов и кредитов из нормативной прибыли")</f>
        <v>0</v>
      </c>
      <c r="AS118" s="1231">
        <f>_xlfn.SUMIFS('ИП + источники'!AT$27:AT$87,'ИП + источники'!$F$27:$F$87,$F118,'ИП + источники'!$AC$27:$AC$87,"погашение займов и кредитов из нормативной прибыли")</f>
        <v>0</v>
      </c>
      <c r="AT118" s="3707">
        <f>_xlfn.SUMIFS('ИП + источники'!AU$27:AU$87,'ИП + источники'!$F$27:$F$87,$F118,'ИП + источники'!$AC$27:$AC$87,"погашение займов и кредитов из нормативной прибыли")</f>
        <v>0</v>
      </c>
      <c r="AU118" s="1231">
        <f>_xlfn.SUMIFS('ИП + источники'!AV$27:AV$87,'ИП + источники'!$F$27:$F$87,$F118,'ИП + источники'!$AC$27:$AC$87,"погашение займов и кредитов из нормативной прибыли")</f>
        <v>0</v>
      </c>
      <c r="AV118" s="1231">
        <f>_xlfn.SUMIFS('ИП + источники'!AW$27:AW$87,'ИП + источники'!$F$27:$F$87,$F118,'ИП + источники'!$AC$27:$AC$87,"погашение займов и кредитов из нормативной прибыли")</f>
        <v>0</v>
      </c>
      <c r="AW118" s="1231">
        <f>_xlfn.SUMIFS('ИП + источники'!AX$27:AX$87,'ИП + источники'!$F$27:$F$87,$F118,'ИП + источники'!$AC$27:$AC$87,"погашение займов и кредитов из нормативной прибыли")</f>
        <v>0</v>
      </c>
      <c r="AX118" s="1231">
        <f>_xlfn.SUMIFS('ИП + источники'!AY$27:AY$87,'ИП + источники'!$F$27:$F$87,$F118,'ИП + источники'!$AC$27:$AC$87,"погашение займов и кредитов из нормативной прибыли")</f>
        <v>0</v>
      </c>
      <c r="AY118" s="1231">
        <f>_xlfn.SUMIFS('ИП + источники'!AZ$27:AZ$87,'ИП + источники'!$F$27:$F$87,$F118,'ИП + источники'!$AC$27:$AC$87,"погашение займов и кредитов из нормативной прибыли")</f>
        <v>0</v>
      </c>
      <c r="AZ118" s="1231">
        <f>_xlfn.SUMIFS('ИП + источники'!BA$27:BA$87,'ИП + источники'!$F$27:$F$87,$F118,'ИП + источники'!$AC$27:$AC$87,"погашение займов и кредитов из нормативной прибыли")</f>
        <v>0</v>
      </c>
      <c r="BA118" s="1231">
        <f>_xlfn.SUMIFS('ИП + источники'!BB$27:BB$87,'ИП + источники'!$F$27:$F$87,$F118,'ИП + источники'!$AC$27:$AC$87,"погашение займов и кредитов из нормативной прибыли")</f>
        <v>0</v>
      </c>
      <c r="BB118" s="1231">
        <f>_xlfn.SUMIFS('ИП + источники'!BC$27:BC$87,'ИП + источники'!$F$27:$F$87,$F118,'ИП + источники'!$AC$27:$AC$87,"погашение займов и кредитов из нормативной прибыли")</f>
        <v>0</v>
      </c>
      <c r="BC118" s="1231">
        <f>_xlfn.SUMIFS('ИП + источники'!BD$27:BD$87,'ИП + источники'!$F$27:$F$87,$F118,'ИП + источники'!$AC$27:$AC$87,"погашение займов и кредитов из нормативной прибыли")</f>
        <v>0</v>
      </c>
      <c r="BD118" s="920">
        <f>IF(AI118=0,0,(AT118-AI118)/AI118*100)</f>
        <v>0</v>
      </c>
      <c r="BE118" s="920">
        <f>IF(AT118=0,0,(AU118-AT118)/AT118*100)</f>
        <v>0</v>
      </c>
      <c r="BF118" s="920">
        <f>IF(AU118=0,0,(AV118-AU118)/AU118*100)</f>
        <v>0</v>
      </c>
      <c r="BG118" s="920">
        <f>IF(AV118=0,0,(AW118-AV118)/AV118*100)</f>
        <v>0</v>
      </c>
      <c r="BH118" s="920">
        <f>IF(AW118=0,0,(AX118-AW118)/AW118*100)</f>
        <v>0</v>
      </c>
      <c r="BI118" s="920">
        <f>IF(AX118=0,0,(AY118-AX118)/AX118*100)</f>
        <v>0</v>
      </c>
      <c r="BJ118" s="920">
        <f>IF(AY118=0,0,(AZ118-AY118)/AY118*100)</f>
        <v>0</v>
      </c>
      <c r="BK118" s="920">
        <f>IF(AZ118=0,0,(BA118-AZ118)/AZ118*100)</f>
        <v>0</v>
      </c>
      <c r="BL118" s="920">
        <f>IF(BA118=0,0,(BB118-BA118)/BA118*100)</f>
        <v>0</v>
      </c>
      <c r="BM118" s="920">
        <f>IF(BB118=0,0,(BC118-BB118)/BB118*100)</f>
        <v>0</v>
      </c>
      <c r="BN118" s="1234"/>
      <c r="BO118" s="1232" t="str">
        <f>IF(_xlfn.IFERROR(INDEX('ИП + источники'!$K$28:$L$87,MATCH($F118&amp;"2komm",'ИП + источники'!$K$28:$K$87,0),2),"")=0,"",_xlfn.IFERROR(INDEX('ИП + источники'!$K$28:$L$87,MATCH($F118&amp;"2komm",'ИП + источники'!$K$28:$K$87,0),2),""))</f>
        <v/>
      </c>
      <c r="BP118" s="1234"/>
      <c r="BQ118" s="1256"/>
      <c r="BR118" s="1256"/>
      <c r="BS118" s="1041" t="s">
        <v>1977</v>
      </c>
      <c r="BT118" s="1041"/>
      <c r="BU118" s="1041"/>
      <c r="BV118" s="956"/>
      <c r="BW118" s="956"/>
    </row>
    <row customHeight="1" ht="14.625" hidden="1">
      <c r="A119" s="1256"/>
      <c r="B119" s="404" cm="1" t="str">
        <f t="array" ref="B119:B119">B118</f>
        <v>false</v>
      </c>
      <c r="C119" s="1256"/>
      <c r="D119" s="1256"/>
      <c r="E119" s="679">
        <v>15</v>
      </c>
      <c r="F119" s="50" cm="1" t="str">
        <f t="array" ref="F119:F119">OFFSET(E119,-1,1)</f>
        <v>0</v>
      </c>
      <c r="G119" s="1256"/>
      <c r="H119" s="1256"/>
      <c r="I119" s="124" t="s">
        <v>526</v>
      </c>
      <c r="J119" s="1256"/>
      <c r="K119" s="124" t="s">
        <v>526</v>
      </c>
      <c r="L119" s="957"/>
      <c r="M119" s="73"/>
      <c r="N119" s="1256"/>
      <c r="O119" s="1256"/>
      <c r="P119" s="1256"/>
      <c r="Q119" s="1256"/>
      <c r="R119" s="1256"/>
      <c r="S119" s="1256"/>
      <c r="T119" s="438" cm="1" t="str">
        <f t="array" ref="T119:T119">T118</f>
        <v>false</v>
      </c>
      <c r="U119" s="1256"/>
      <c r="V119" s="1256"/>
      <c r="W119" s="1256"/>
      <c r="X119" s="1511"/>
      <c r="Y119" s="1256"/>
      <c r="Z119" s="1494"/>
      <c r="AA119" s="1256"/>
      <c r="AB119" s="265" t="s">
        <v>656</v>
      </c>
      <c r="AC119" s="738" t="s">
        <v>1978</v>
      </c>
      <c r="AD119" s="266" t="s">
        <v>789</v>
      </c>
      <c r="AE119" s="1233">
        <f>_xlfn.SUMIFS('ИП + источники'!AF$27:AF$87,'ИП + источники'!$F$27:$F$87,$F119,'ИП + источники'!$AC$27:$AC$87,"уплата процентов по кредитам из нормативной прибыли")</f>
        <v>0</v>
      </c>
      <c r="AF119" s="1233">
        <f>_xlfn.SUMIFS('ИП + источники'!AG$27:AG$87,'ИП + источники'!$F$27:$F$87,$F119,'ИП + источники'!$AC$27:$AC$87,"уплата процентов по кредитам из нормативной прибыли")</f>
        <v>0</v>
      </c>
      <c r="AG119" s="1233">
        <f>_xlfn.SUMIFS('ИП + источники'!AH$27:AH$87,'ИП + источники'!$F$27:$F$87,$F119,'ИП + источники'!$AC$27:$AC$87,"уплата процентов по кредитам из нормативной прибыли")</f>
        <v>0</v>
      </c>
      <c r="AH119" s="920">
        <f>AG119-AF119</f>
        <v>0</v>
      </c>
      <c r="AI119" s="1231">
        <f>_xlfn.SUMIFS('ИП + источники'!AJ$27:AJ$87,'ИП + источники'!$F$27:$F$87,$F119,'ИП + источники'!$AC$27:$AC$87,"уплата процентов по кредитам из нормативной прибыли")</f>
        <v>0</v>
      </c>
      <c r="AJ119" s="3707">
        <f>_xlfn.SUMIFS('ИП + источники'!AK$27:AK$87,'ИП + источники'!$F$27:$F$87,$F119,'ИП + источники'!$AC$27:$AC$87,"уплата процентов по кредитам из нормативной прибыли")</f>
        <v>0</v>
      </c>
      <c r="AK119" s="1231">
        <f>_xlfn.SUMIFS('ИП + источники'!AL$27:AL$87,'ИП + источники'!$F$27:$F$87,$F119,'ИП + источники'!$AC$27:$AC$87,"уплата процентов по кредитам из нормативной прибыли")</f>
        <v>0</v>
      </c>
      <c r="AL119" s="1231">
        <f>_xlfn.SUMIFS('ИП + источники'!AM$27:AM$87,'ИП + источники'!$F$27:$F$87,$F119,'ИП + источники'!$AC$27:$AC$87,"уплата процентов по кредитам из нормативной прибыли")</f>
        <v>0</v>
      </c>
      <c r="AM119" s="1231">
        <f>_xlfn.SUMIFS('ИП + источники'!AN$27:AN$87,'ИП + источники'!$F$27:$F$87,$F119,'ИП + источники'!$AC$27:$AC$87,"уплата процентов по кредитам из нормативной прибыли")</f>
        <v>0</v>
      </c>
      <c r="AN119" s="1231">
        <f>_xlfn.SUMIFS('ИП + источники'!AO$27:AO$87,'ИП + источники'!$F$27:$F$87,$F119,'ИП + источники'!$AC$27:$AC$87,"уплата процентов по кредитам из нормативной прибыли")</f>
        <v>0</v>
      </c>
      <c r="AO119" s="1231">
        <f>_xlfn.SUMIFS('ИП + источники'!AP$27:AP$87,'ИП + источники'!$F$27:$F$87,$F119,'ИП + источники'!$AC$27:$AC$87,"уплата процентов по кредитам из нормативной прибыли")</f>
        <v>0</v>
      </c>
      <c r="AP119" s="1231">
        <f>_xlfn.SUMIFS('ИП + источники'!AQ$27:AQ$87,'ИП + источники'!$F$27:$F$87,$F119,'ИП + источники'!$AC$27:$AC$87,"уплата процентов по кредитам из нормативной прибыли")</f>
        <v>0</v>
      </c>
      <c r="AQ119" s="1231">
        <f>_xlfn.SUMIFS('ИП + источники'!AR$27:AR$87,'ИП + источники'!$F$27:$F$87,$F119,'ИП + источники'!$AC$27:$AC$87,"уплата процентов по кредитам из нормативной прибыли")</f>
        <v>0</v>
      </c>
      <c r="AR119" s="1231">
        <f>_xlfn.SUMIFS('ИП + источники'!AS$27:AS$87,'ИП + источники'!$F$27:$F$87,$F119,'ИП + источники'!$AC$27:$AC$87,"уплата процентов по кредитам из нормативной прибыли")</f>
        <v>0</v>
      </c>
      <c r="AS119" s="1231">
        <f>_xlfn.SUMIFS('ИП + источники'!AT$27:AT$87,'ИП + источники'!$F$27:$F$87,$F119,'ИП + источники'!$AC$27:$AC$87,"уплата процентов по кредитам из нормативной прибыли")</f>
        <v>0</v>
      </c>
      <c r="AT119" s="3707">
        <f>_xlfn.SUMIFS('ИП + источники'!AU$27:AU$87,'ИП + источники'!$F$27:$F$87,$F119,'ИП + источники'!$AC$27:$AC$87,"уплата процентов по кредитам из нормативной прибыли")</f>
        <v>0</v>
      </c>
      <c r="AU119" s="1231">
        <f>_xlfn.SUMIFS('ИП + источники'!AV$27:AV$87,'ИП + источники'!$F$27:$F$87,$F119,'ИП + источники'!$AC$27:$AC$87,"уплата процентов по кредитам из нормативной прибыли")</f>
        <v>0</v>
      </c>
      <c r="AV119" s="1231">
        <f>_xlfn.SUMIFS('ИП + источники'!AW$27:AW$87,'ИП + источники'!$F$27:$F$87,$F119,'ИП + источники'!$AC$27:$AC$87,"уплата процентов по кредитам из нормативной прибыли")</f>
        <v>0</v>
      </c>
      <c r="AW119" s="1231">
        <f>_xlfn.SUMIFS('ИП + источники'!AX$27:AX$87,'ИП + источники'!$F$27:$F$87,$F119,'ИП + источники'!$AC$27:$AC$87,"уплата процентов по кредитам из нормативной прибыли")</f>
        <v>0</v>
      </c>
      <c r="AX119" s="1231">
        <f>_xlfn.SUMIFS('ИП + источники'!AY$27:AY$87,'ИП + источники'!$F$27:$F$87,$F119,'ИП + источники'!$AC$27:$AC$87,"уплата процентов по кредитам из нормативной прибыли")</f>
        <v>0</v>
      </c>
      <c r="AY119" s="1231">
        <f>_xlfn.SUMIFS('ИП + источники'!AZ$27:AZ$87,'ИП + источники'!$F$27:$F$87,$F119,'ИП + источники'!$AC$27:$AC$87,"уплата процентов по кредитам из нормативной прибыли")</f>
        <v>0</v>
      </c>
      <c r="AZ119" s="1231">
        <f>_xlfn.SUMIFS('ИП + источники'!BA$27:BA$87,'ИП + источники'!$F$27:$F$87,$F119,'ИП + источники'!$AC$27:$AC$87,"уплата процентов по кредитам из нормативной прибыли")</f>
        <v>0</v>
      </c>
      <c r="BA119" s="1231">
        <f>_xlfn.SUMIFS('ИП + источники'!BB$27:BB$87,'ИП + источники'!$F$27:$F$87,$F119,'ИП + источники'!$AC$27:$AC$87,"уплата процентов по кредитам из нормативной прибыли")</f>
        <v>0</v>
      </c>
      <c r="BB119" s="1231">
        <f>_xlfn.SUMIFS('ИП + источники'!BC$27:BC$87,'ИП + источники'!$F$27:$F$87,$F119,'ИП + источники'!$AC$27:$AC$87,"уплата процентов по кредитам из нормативной прибыли")</f>
        <v>0</v>
      </c>
      <c r="BC119" s="1231">
        <f>_xlfn.SUMIFS('ИП + источники'!BD$27:BD$87,'ИП + источники'!$F$27:$F$87,$F119,'ИП + источники'!$AC$27:$AC$87,"уплата процентов по кредитам из нормативной прибыли")</f>
        <v>0</v>
      </c>
      <c r="BD119" s="920">
        <f>IF(AI119=0,0,(AT119-AI119)/AI119*100)</f>
        <v>0</v>
      </c>
      <c r="BE119" s="920">
        <f>IF(AT119=0,0,(AU119-AT119)/AT119*100)</f>
        <v>0</v>
      </c>
      <c r="BF119" s="920">
        <f>IF(AU119=0,0,(AV119-AU119)/AU119*100)</f>
        <v>0</v>
      </c>
      <c r="BG119" s="920">
        <f>IF(AV119=0,0,(AW119-AV119)/AV119*100)</f>
        <v>0</v>
      </c>
      <c r="BH119" s="920">
        <f>IF(AW119=0,0,(AX119-AW119)/AW119*100)</f>
        <v>0</v>
      </c>
      <c r="BI119" s="920">
        <f>IF(AX119=0,0,(AY119-AX119)/AX119*100)</f>
        <v>0</v>
      </c>
      <c r="BJ119" s="920">
        <f>IF(AY119=0,0,(AZ119-AY119)/AY119*100)</f>
        <v>0</v>
      </c>
      <c r="BK119" s="920">
        <f>IF(AZ119=0,0,(BA119-AZ119)/AZ119*100)</f>
        <v>0</v>
      </c>
      <c r="BL119" s="920">
        <f>IF(BA119=0,0,(BB119-BA119)/BA119*100)</f>
        <v>0</v>
      </c>
      <c r="BM119" s="920">
        <f>IF(BB119=0,0,(BC119-BB119)/BB119*100)</f>
        <v>0</v>
      </c>
      <c r="BN119" s="1234"/>
      <c r="BO119" s="1232" t="str">
        <f>IF(_xlfn.IFERROR(INDEX('ИП + источники'!$K$28:$L$87,MATCH($F119&amp;"3komm",'ИП + источники'!$K$28:$K$87,0),2),"")=0,"",_xlfn.IFERROR(INDEX('ИП + источники'!$K$28:$L$87,MATCH($F119&amp;"3komm",'ИП + источники'!$K$28:$K$87,0),2),""))</f>
        <v/>
      </c>
      <c r="BP119" s="1234"/>
      <c r="BQ119" s="1256"/>
      <c r="BR119" s="1256"/>
      <c r="BS119" s="1041" t="s">
        <v>1979</v>
      </c>
      <c r="BT119" s="1041"/>
      <c r="BU119" s="1041"/>
      <c r="BV119" s="956"/>
      <c r="BW119" s="956"/>
    </row>
    <row customHeight="1" ht="14.625" hidden="1">
      <c r="A120" s="1256"/>
      <c r="B120" s="404" cm="1" t="str">
        <f t="array" ref="B120:B120">B119</f>
        <v>false</v>
      </c>
      <c r="C120" s="1256"/>
      <c r="D120" s="1256"/>
      <c r="E120" s="679">
        <v>15</v>
      </c>
      <c r="F120" s="50" cm="1" t="str">
        <f t="array" ref="F120:F120">OFFSET(E120,-1,1)</f>
        <v>0</v>
      </c>
      <c r="G120" s="1256"/>
      <c r="H120" s="1256"/>
      <c r="I120" s="124" t="s">
        <v>743</v>
      </c>
      <c r="J120" s="1256"/>
      <c r="K120" s="124" t="s">
        <v>743</v>
      </c>
      <c r="L120" s="957" t="s">
        <v>542</v>
      </c>
      <c r="M120" s="73"/>
      <c r="N120" s="1256"/>
      <c r="O120" s="1256"/>
      <c r="P120" s="1256"/>
      <c r="Q120" s="1256"/>
      <c r="R120" s="1256"/>
      <c r="S120" s="1256"/>
      <c r="T120" s="438" cm="1" t="str">
        <f t="array" ref="T120:T120">T119</f>
        <v>false</v>
      </c>
      <c r="U120" s="1256"/>
      <c r="V120" s="1256"/>
      <c r="W120" s="1256"/>
      <c r="X120" s="1511"/>
      <c r="Y120" s="1256"/>
      <c r="Z120" s="1494"/>
      <c r="AA120" s="1256"/>
      <c r="AB120" s="265" t="s">
        <v>899</v>
      </c>
      <c r="AC120" s="738" t="s">
        <v>1980</v>
      </c>
      <c r="AD120" s="266" t="s">
        <v>789</v>
      </c>
      <c r="AE120" s="1233">
        <f>_xlfn.SUMIFS('ИП + источники'!AF$27:AF$87,'ИП + источники'!$F$27:$F$87,$F120,'ИП + источники'!$AC$27:$AC$87,"Прибыль на капвложения")</f>
        <v>0</v>
      </c>
      <c r="AF120" s="1233">
        <f>_xlfn.SUMIFS('ИП + источники'!AG$27:AG$87,'ИП + источники'!$F$27:$F$87,$F120,'ИП + источники'!$AC$27:$AC$87,"Прибыль на капвложения")</f>
        <v>0</v>
      </c>
      <c r="AG120" s="1233">
        <f>_xlfn.SUMIFS('ИП + источники'!AH$27:AH$87,'ИП + источники'!$F$27:$F$87,$F120,'ИП + источники'!$AC$27:$AC$87,"Прибыль на капвложения")</f>
        <v>0</v>
      </c>
      <c r="AH120" s="920">
        <f>AG120-AF120</f>
        <v>0</v>
      </c>
      <c r="AI120" s="1231">
        <f>_xlfn.SUMIFS('ИП + источники'!AJ$27:AJ$87,'ИП + источники'!$F$27:$F$87,$F120,'ИП + источники'!$AC$27:$AC$87,"Прибыль на капвложения")</f>
        <v>0</v>
      </c>
      <c r="AJ120" s="3707">
        <f>_xlfn.SUMIFS('ИП + источники'!AK$27:AK$87,'ИП + источники'!$F$27:$F$87,$F120,'ИП + источники'!$AC$27:$AC$87,"Прибыль на капвложения")</f>
        <v>0</v>
      </c>
      <c r="AK120" s="1231">
        <f>_xlfn.SUMIFS('ИП + источники'!AL$27:AL$87,'ИП + источники'!$F$27:$F$87,$F120,'ИП + источники'!$AC$27:$AC$87,"Прибыль на капвложения")</f>
        <v>0</v>
      </c>
      <c r="AL120" s="1231">
        <f>_xlfn.SUMIFS('ИП + источники'!AM$27:AM$87,'ИП + источники'!$F$27:$F$87,$F120,'ИП + источники'!$AC$27:$AC$87,"Прибыль на капвложения")</f>
        <v>0</v>
      </c>
      <c r="AM120" s="1231">
        <f>_xlfn.SUMIFS('ИП + источники'!AN$27:AN$87,'ИП + источники'!$F$27:$F$87,$F120,'ИП + источники'!$AC$27:$AC$87,"Прибыль на капвложения")</f>
        <v>0</v>
      </c>
      <c r="AN120" s="1231">
        <f>_xlfn.SUMIFS('ИП + источники'!AO$27:AO$87,'ИП + источники'!$F$27:$F$87,$F120,'ИП + источники'!$AC$27:$AC$87,"Прибыль на капвложения")</f>
        <v>0</v>
      </c>
      <c r="AO120" s="1231">
        <f>_xlfn.SUMIFS('ИП + источники'!AP$27:AP$87,'ИП + источники'!$F$27:$F$87,$F120,'ИП + источники'!$AC$27:$AC$87,"Прибыль на капвложения")</f>
        <v>0</v>
      </c>
      <c r="AP120" s="1231">
        <f>_xlfn.SUMIFS('ИП + источники'!AQ$27:AQ$87,'ИП + источники'!$F$27:$F$87,$F120,'ИП + источники'!$AC$27:$AC$87,"Прибыль на капвложения")</f>
        <v>0</v>
      </c>
      <c r="AQ120" s="1231">
        <f>_xlfn.SUMIFS('ИП + источники'!AR$27:AR$87,'ИП + источники'!$F$27:$F$87,$F120,'ИП + источники'!$AC$27:$AC$87,"Прибыль на капвложения")</f>
        <v>0</v>
      </c>
      <c r="AR120" s="1231">
        <f>_xlfn.SUMIFS('ИП + источники'!AS$27:AS$87,'ИП + источники'!$F$27:$F$87,$F120,'ИП + источники'!$AC$27:$AC$87,"Прибыль на капвложения")</f>
        <v>0</v>
      </c>
      <c r="AS120" s="1231">
        <f>_xlfn.SUMIFS('ИП + источники'!AT$27:AT$87,'ИП + источники'!$F$27:$F$87,$F120,'ИП + источники'!$AC$27:$AC$87,"Прибыль на капвложения")</f>
        <v>0</v>
      </c>
      <c r="AT120" s="3707">
        <f>_xlfn.SUMIFS('ИП + источники'!AU$27:AU$87,'ИП + источники'!$F$27:$F$87,$F120,'ИП + источники'!$AC$27:$AC$87,"Прибыль на капвложения")</f>
        <v>0</v>
      </c>
      <c r="AU120" s="1231">
        <f>_xlfn.SUMIFS('ИП + источники'!AV$27:AV$87,'ИП + источники'!$F$27:$F$87,$F120,'ИП + источники'!$AC$27:$AC$87,"Прибыль на капвложения")</f>
        <v>0</v>
      </c>
      <c r="AV120" s="1231">
        <f>_xlfn.SUMIFS('ИП + источники'!AW$27:AW$87,'ИП + источники'!$F$27:$F$87,$F120,'ИП + источники'!$AC$27:$AC$87,"Прибыль на капвложения")</f>
        <v>0</v>
      </c>
      <c r="AW120" s="1231">
        <f>_xlfn.SUMIFS('ИП + источники'!AX$27:AX$87,'ИП + источники'!$F$27:$F$87,$F120,'ИП + источники'!$AC$27:$AC$87,"Прибыль на капвложения")</f>
        <v>0</v>
      </c>
      <c r="AX120" s="1231">
        <f>_xlfn.SUMIFS('ИП + источники'!AY$27:AY$87,'ИП + источники'!$F$27:$F$87,$F120,'ИП + источники'!$AC$27:$AC$87,"Прибыль на капвложения")</f>
        <v>0</v>
      </c>
      <c r="AY120" s="1231">
        <f>_xlfn.SUMIFS('ИП + источники'!AZ$27:AZ$87,'ИП + источники'!$F$27:$F$87,$F120,'ИП + источники'!$AC$27:$AC$87,"Прибыль на капвложения")</f>
        <v>0</v>
      </c>
      <c r="AZ120" s="1231">
        <f>_xlfn.SUMIFS('ИП + источники'!BA$27:BA$87,'ИП + источники'!$F$27:$F$87,$F120,'ИП + источники'!$AC$27:$AC$87,"Прибыль на капвложения")</f>
        <v>0</v>
      </c>
      <c r="BA120" s="1231">
        <f>_xlfn.SUMIFS('ИП + источники'!BB$27:BB$87,'ИП + источники'!$F$27:$F$87,$F120,'ИП + источники'!$AC$27:$AC$87,"Прибыль на капвложения")</f>
        <v>0</v>
      </c>
      <c r="BB120" s="1231">
        <f>_xlfn.SUMIFS('ИП + источники'!BC$27:BC$87,'ИП + источники'!$F$27:$F$87,$F120,'ИП + источники'!$AC$27:$AC$87,"Прибыль на капвложения")</f>
        <v>0</v>
      </c>
      <c r="BC120" s="1231">
        <f>_xlfn.SUMIFS('ИП + источники'!BD$27:BD$87,'ИП + источники'!$F$27:$F$87,$F120,'ИП + источники'!$AC$27:$AC$87,"Прибыль на капвложения")</f>
        <v>0</v>
      </c>
      <c r="BD120" s="920">
        <f>IF(AI120=0,0,(AT120-AI120)/AI120*100)</f>
        <v>0</v>
      </c>
      <c r="BE120" s="920">
        <f>IF(AT120=0,0,(AU120-AT120)/AT120*100)</f>
        <v>0</v>
      </c>
      <c r="BF120" s="920">
        <f>IF(AU120=0,0,(AV120-AU120)/AU120*100)</f>
        <v>0</v>
      </c>
      <c r="BG120" s="920">
        <f>IF(AV120=0,0,(AW120-AV120)/AV120*100)</f>
        <v>0</v>
      </c>
      <c r="BH120" s="920">
        <f>IF(AW120=0,0,(AX120-AW120)/AW120*100)</f>
        <v>0</v>
      </c>
      <c r="BI120" s="920">
        <f>IF(AX120=0,0,(AY120-AX120)/AX120*100)</f>
        <v>0</v>
      </c>
      <c r="BJ120" s="920">
        <f>IF(AY120=0,0,(AZ120-AY120)/AY120*100)</f>
        <v>0</v>
      </c>
      <c r="BK120" s="920">
        <f>IF(AZ120=0,0,(BA120-AZ120)/AZ120*100)</f>
        <v>0</v>
      </c>
      <c r="BL120" s="920">
        <f>IF(BA120=0,0,(BB120-BA120)/BA120*100)</f>
        <v>0</v>
      </c>
      <c r="BM120" s="920">
        <f>IF(BB120=0,0,(BC120-BB120)/BB120*100)</f>
        <v>0</v>
      </c>
      <c r="BN120" s="1234"/>
      <c r="BO120" s="1232" t="str">
        <f>IF(_xlfn.IFERROR(INDEX('ИП + источники'!$K$28:$L$87,MATCH($F120&amp;"1komm",'ИП + источники'!$K$28:$K$87,0),2),"")=0,"",_xlfn.IFERROR(INDEX('ИП + источники'!$K$28:$L$87,MATCH($F120&amp;"1komm",'ИП + источники'!$K$28:$K$87,0),2),""))</f>
        <v/>
      </c>
      <c r="BP120" s="1234"/>
      <c r="BQ120" s="1256"/>
      <c r="BR120" s="1256"/>
      <c r="BS120" s="1041" t="s">
        <v>1681</v>
      </c>
      <c r="BT120" s="1041"/>
      <c r="BU120" s="1041"/>
      <c r="BV120" s="956"/>
      <c r="BW120" s="956"/>
    </row>
    <row customHeight="1" ht="21.9375" hidden="1">
      <c r="A121" s="1256"/>
      <c r="B121" s="404" cm="1" t="str">
        <f t="array" ref="B121:B121">B120</f>
        <v>false</v>
      </c>
      <c r="C121" s="1256"/>
      <c r="D121" s="1256"/>
      <c r="E121" s="679">
        <v>22.5</v>
      </c>
      <c r="F121" s="50" cm="1" t="str">
        <f t="array" ref="F121:F121">OFFSET(E121,-1,1)</f>
        <v>0</v>
      </c>
      <c r="G121" s="124" t="s">
        <v>1981</v>
      </c>
      <c r="H121" s="1256"/>
      <c r="I121" s="124" t="s">
        <v>901</v>
      </c>
      <c r="J121" s="1256"/>
      <c r="K121" s="124" t="s">
        <v>901</v>
      </c>
      <c r="L121" s="957" t="s">
        <v>546</v>
      </c>
      <c r="M121" s="73"/>
      <c r="N121" s="1256"/>
      <c r="O121" s="1256"/>
      <c r="P121" s="1256"/>
      <c r="Q121" s="1256"/>
      <c r="R121" s="1256"/>
      <c r="S121" s="1256"/>
      <c r="T121" s="438" cm="1" t="str">
        <f t="array" ref="T121:T121">T120</f>
        <v>false</v>
      </c>
      <c r="U121" s="1256"/>
      <c r="V121" s="1256"/>
      <c r="W121" s="1256"/>
      <c r="X121" s="1511"/>
      <c r="Y121" s="1256"/>
      <c r="Z121" s="1494"/>
      <c r="AA121" s="1256"/>
      <c r="AB121" s="265" t="s">
        <v>902</v>
      </c>
      <c r="AC121" s="738" t="s">
        <v>1982</v>
      </c>
      <c r="AD121" s="266" t="s">
        <v>789</v>
      </c>
      <c r="AE121" s="1233"/>
      <c r="AF121" s="1233"/>
      <c r="AG121" s="1233"/>
      <c r="AH121" s="920">
        <f>AG121-AF121</f>
        <v>0</v>
      </c>
      <c r="AI121" s="1231"/>
      <c r="AJ121" s="3707"/>
      <c r="AK121" s="1231"/>
      <c r="AL121" s="1231"/>
      <c r="AM121" s="1231"/>
      <c r="AN121" s="1231"/>
      <c r="AO121" s="1231"/>
      <c r="AP121" s="1231"/>
      <c r="AQ121" s="1231"/>
      <c r="AR121" s="1231"/>
      <c r="AS121" s="1231"/>
      <c r="AT121" s="3707"/>
      <c r="AU121" s="1231"/>
      <c r="AV121" s="1231"/>
      <c r="AW121" s="1231"/>
      <c r="AX121" s="1231"/>
      <c r="AY121" s="1231"/>
      <c r="AZ121" s="1231"/>
      <c r="BA121" s="1231"/>
      <c r="BB121" s="1231"/>
      <c r="BC121" s="1231"/>
      <c r="BD121" s="920">
        <f>IF(AI121=0,0,(AT121-AI121)/AI121*100)</f>
        <v>0</v>
      </c>
      <c r="BE121" s="920">
        <f>IF(AT121=0,0,(AU121-AT121)/AT121*100)</f>
        <v>0</v>
      </c>
      <c r="BF121" s="920">
        <f>IF(AU121=0,0,(AV121-AU121)/AU121*100)</f>
        <v>0</v>
      </c>
      <c r="BG121" s="920">
        <f>IF(AV121=0,0,(AW121-AV121)/AV121*100)</f>
        <v>0</v>
      </c>
      <c r="BH121" s="920">
        <f>IF(AW121=0,0,(AX121-AW121)/AW121*100)</f>
        <v>0</v>
      </c>
      <c r="BI121" s="920">
        <f>IF(AX121=0,0,(AY121-AX121)/AX121*100)</f>
        <v>0</v>
      </c>
      <c r="BJ121" s="920">
        <f>IF(AY121=0,0,(AZ121-AY121)/AY121*100)</f>
        <v>0</v>
      </c>
      <c r="BK121" s="920">
        <f>IF(AZ121=0,0,(BA121-AZ121)/AZ121*100)</f>
        <v>0</v>
      </c>
      <c r="BL121" s="920">
        <f>IF(BA121=0,0,(BB121-BA121)/BA121*100)</f>
        <v>0</v>
      </c>
      <c r="BM121" s="920">
        <f>IF(BB121=0,0,(BC121-BB121)/BB121*100)</f>
        <v>0</v>
      </c>
      <c r="BN121" s="1234"/>
      <c r="BO121" s="1234"/>
      <c r="BP121" s="1234"/>
      <c r="BQ121" s="1256"/>
      <c r="BR121" s="1256"/>
      <c r="BS121" s="1041" t="s">
        <v>1983</v>
      </c>
      <c r="BT121" s="1041"/>
      <c r="BU121" s="1041"/>
      <c r="BV121" s="956"/>
      <c r="BW121" s="956"/>
    </row>
    <row customHeight="1" ht="14.625" hidden="1">
      <c r="A122" s="1256"/>
      <c r="B122" s="404">
        <f>AND(method_reg="Метод индексации",STATUS_GO="да")</f>
        <v>0</v>
      </c>
      <c r="C122" s="1256"/>
      <c r="D122" s="1256"/>
      <c r="E122" s="679">
        <v>15</v>
      </c>
      <c r="F122" s="50" cm="1" t="str">
        <f t="array" ref="F122:F122">OFFSET(E122,-1,1)</f>
        <v>0</v>
      </c>
      <c r="G122" s="124" t="s">
        <v>1684</v>
      </c>
      <c r="H122" s="1256"/>
      <c r="I122" s="124" t="s">
        <v>484</v>
      </c>
      <c r="J122" s="1256"/>
      <c r="K122" s="124" t="s">
        <v>484</v>
      </c>
      <c r="L122" s="957" t="s">
        <v>550</v>
      </c>
      <c r="M122" s="73"/>
      <c r="N122" s="1256"/>
      <c r="O122" s="1256"/>
      <c r="P122" s="1256"/>
      <c r="Q122" s="1256"/>
      <c r="R122" s="1256"/>
      <c r="S122" s="1256"/>
      <c r="T122" s="438" cm="1" t="str">
        <f t="array" ref="T122:T122">T121</f>
        <v>false</v>
      </c>
      <c r="U122" s="1256"/>
      <c r="V122" s="1256"/>
      <c r="W122" s="1256"/>
      <c r="X122" s="1511"/>
      <c r="Y122" s="1256"/>
      <c r="Z122" s="1494"/>
      <c r="AA122" s="1256"/>
      <c r="AB122" s="265" t="s">
        <v>489</v>
      </c>
      <c r="AC122" s="424" t="s">
        <v>1684</v>
      </c>
      <c r="AD122" s="266" t="s">
        <v>789</v>
      </c>
      <c r="AE122" s="1233"/>
      <c r="AF122" s="1233"/>
      <c r="AG122" s="1233"/>
      <c r="AH122" s="920">
        <f>AG122-AF122</f>
        <v>0</v>
      </c>
      <c r="AI122" s="1231"/>
      <c r="AJ122" s="3707"/>
      <c r="AK122" s="1231"/>
      <c r="AL122" s="1231"/>
      <c r="AM122" s="1231"/>
      <c r="AN122" s="1231"/>
      <c r="AO122" s="1231"/>
      <c r="AP122" s="1231"/>
      <c r="AQ122" s="1231"/>
      <c r="AR122" s="1231"/>
      <c r="AS122" s="1231"/>
      <c r="AT122" s="3707"/>
      <c r="AU122" s="1231"/>
      <c r="AV122" s="1231"/>
      <c r="AW122" s="1231"/>
      <c r="AX122" s="1231"/>
      <c r="AY122" s="1231"/>
      <c r="AZ122" s="1231"/>
      <c r="BA122" s="1231"/>
      <c r="BB122" s="1231"/>
      <c r="BC122" s="1231"/>
      <c r="BD122" s="920">
        <f>IF(AI122=0,0,(AT122-AI122)/AI122*100)</f>
        <v>0</v>
      </c>
      <c r="BE122" s="920">
        <f>IF(AT122=0,0,(AU122-AT122)/AT122*100)</f>
        <v>0</v>
      </c>
      <c r="BF122" s="920">
        <f>IF(AU122=0,0,(AV122-AU122)/AU122*100)</f>
        <v>0</v>
      </c>
      <c r="BG122" s="920">
        <f>IF(AV122=0,0,(AW122-AV122)/AV122*100)</f>
        <v>0</v>
      </c>
      <c r="BH122" s="920">
        <f>IF(AW122=0,0,(AX122-AW122)/AW122*100)</f>
        <v>0</v>
      </c>
      <c r="BI122" s="920">
        <f>IF(AX122=0,0,(AY122-AX122)/AX122*100)</f>
        <v>0</v>
      </c>
      <c r="BJ122" s="920">
        <f>IF(AY122=0,0,(AZ122-AY122)/AY122*100)</f>
        <v>0</v>
      </c>
      <c r="BK122" s="920">
        <f>IF(AZ122=0,0,(BA122-AZ122)/AZ122*100)</f>
        <v>0</v>
      </c>
      <c r="BL122" s="920">
        <f>IF(BA122=0,0,(BB122-BA122)/BA122*100)</f>
        <v>0</v>
      </c>
      <c r="BM122" s="920">
        <f>IF(BB122=0,0,(BC122-BB122)/BB122*100)</f>
        <v>0</v>
      </c>
      <c r="BN122" s="1234"/>
      <c r="BO122" s="1234"/>
      <c r="BP122" s="1234"/>
      <c r="BQ122" s="1256"/>
      <c r="BR122" s="1256"/>
      <c r="BS122" s="1041" t="s">
        <v>1685</v>
      </c>
      <c r="BT122" s="1041"/>
      <c r="BU122" s="1041"/>
      <c r="BV122" s="956"/>
      <c r="BW122" s="956"/>
    </row>
    <row customHeight="1" ht="14.625" hidden="1">
      <c r="A123" s="1256"/>
      <c r="B123" s="952">
        <f>method_reg="Метод обеспечения доходности инвестированного капитала"</f>
        <v>0</v>
      </c>
      <c r="C123" s="1256"/>
      <c r="D123" s="1256"/>
      <c r="E123" s="679">
        <v>15</v>
      </c>
      <c r="F123" s="50" cm="1" t="str">
        <f t="array" ref="F123:F123">OFFSET(E123,-1,1)</f>
        <v>0</v>
      </c>
      <c r="G123" s="1256"/>
      <c r="H123" s="1256"/>
      <c r="I123" s="1256"/>
      <c r="J123" s="1256"/>
      <c r="K123" s="73" t="s">
        <v>325</v>
      </c>
      <c r="L123" s="957"/>
      <c r="M123" s="73"/>
      <c r="N123" s="1256"/>
      <c r="O123" s="1256"/>
      <c r="P123" s="1256"/>
      <c r="Q123" s="1256"/>
      <c r="R123" s="1256"/>
      <c r="S123" s="1256"/>
      <c r="T123" s="438" cm="1" t="str">
        <f t="array" ref="T123:T123">T122</f>
        <v>false</v>
      </c>
      <c r="U123" s="1256"/>
      <c r="V123" s="1256"/>
      <c r="W123" s="1256"/>
      <c r="X123" s="1511"/>
      <c r="Y123" s="1256"/>
      <c r="Z123" s="1494"/>
      <c r="AA123" s="1256"/>
      <c r="AB123" s="768" t="s">
        <v>530</v>
      </c>
      <c r="AC123" s="769" t="s">
        <v>1984</v>
      </c>
      <c r="AD123" s="770" t="s">
        <v>789</v>
      </c>
      <c r="AE123" s="1224"/>
      <c r="AF123" s="1224"/>
      <c r="AG123" s="1224"/>
      <c r="AH123" s="737">
        <f>AG123-AF123</f>
        <v>0</v>
      </c>
      <c r="AI123" s="1224"/>
      <c r="AJ123" s="3597"/>
      <c r="AK123" s="1224"/>
      <c r="AL123" s="1224"/>
      <c r="AM123" s="1224"/>
      <c r="AN123" s="1224"/>
      <c r="AO123" s="1224"/>
      <c r="AP123" s="1224"/>
      <c r="AQ123" s="1224"/>
      <c r="AR123" s="1224"/>
      <c r="AS123" s="1224"/>
      <c r="AT123" s="3597"/>
      <c r="AU123" s="1224"/>
      <c r="AV123" s="1224"/>
      <c r="AW123" s="1224"/>
      <c r="AX123" s="1224"/>
      <c r="AY123" s="1224"/>
      <c r="AZ123" s="1224"/>
      <c r="BA123" s="1224"/>
      <c r="BB123" s="1224"/>
      <c r="BC123" s="1224"/>
      <c r="BD123" s="737">
        <f>IF(AI123=0,0,(AT123-AI123)/AI123*100)</f>
        <v>0</v>
      </c>
      <c r="BE123" s="737">
        <f>IF(AT123=0,0,(AU123-AT123)/AT123*100)</f>
        <v>0</v>
      </c>
      <c r="BF123" s="737">
        <f>IF(AU123=0,0,(AV123-AU123)/AU123*100)</f>
        <v>0</v>
      </c>
      <c r="BG123" s="737">
        <f>IF(AV123=0,0,(AW123-AV123)/AV123*100)</f>
        <v>0</v>
      </c>
      <c r="BH123" s="737">
        <f>IF(AW123=0,0,(AX123-AW123)/AW123*100)</f>
        <v>0</v>
      </c>
      <c r="BI123" s="737">
        <f>IF(AX123=0,0,(AY123-AX123)/AX123*100)</f>
        <v>0</v>
      </c>
      <c r="BJ123" s="737">
        <f>IF(AY123=0,0,(AZ123-AY123)/AY123*100)</f>
        <v>0</v>
      </c>
      <c r="BK123" s="737">
        <f>IF(AZ123=0,0,(BA123-AZ123)/AZ123*100)</f>
        <v>0</v>
      </c>
      <c r="BL123" s="737">
        <f>IF(BA123=0,0,(BB123-BA123)/BA123*100)</f>
        <v>0</v>
      </c>
      <c r="BM123" s="737">
        <f>IF(BB123=0,0,(BC123-BB123)/BB123*100)</f>
        <v>0</v>
      </c>
      <c r="BN123" s="1225"/>
      <c r="BO123" s="1225"/>
      <c r="BP123" s="1225"/>
      <c r="BQ123" s="1256"/>
      <c r="BR123" s="1256"/>
      <c r="BS123" s="1041" t="s">
        <v>1985</v>
      </c>
      <c r="BT123" s="1041"/>
      <c r="BU123" s="1041"/>
      <c r="BV123" s="956"/>
      <c r="BW123" s="956"/>
    </row>
    <row customHeight="1" ht="14.625" hidden="1">
      <c r="A124" s="1256"/>
      <c r="B124" s="952" cm="1" t="str">
        <f t="array" ref="B124:B124">B123</f>
        <v>false</v>
      </c>
      <c r="C124" s="1256"/>
      <c r="D124" s="1256"/>
      <c r="E124" s="679">
        <v>15</v>
      </c>
      <c r="F124" s="50" cm="1" t="str">
        <f t="array" ref="F124:F124">OFFSET(E124,-1,1)</f>
        <v>0</v>
      </c>
      <c r="G124" s="1256"/>
      <c r="H124" s="1256"/>
      <c r="I124" s="1256"/>
      <c r="J124" s="1256"/>
      <c r="K124" s="73" t="s">
        <v>508</v>
      </c>
      <c r="L124" s="957"/>
      <c r="M124" s="73"/>
      <c r="N124" s="1256"/>
      <c r="O124" s="1256"/>
      <c r="P124" s="1256"/>
      <c r="Q124" s="1256"/>
      <c r="R124" s="1256"/>
      <c r="S124" s="1256"/>
      <c r="T124" s="438" cm="1" t="str">
        <f t="array" ref="T124:T124">T123</f>
        <v>false</v>
      </c>
      <c r="U124" s="1256"/>
      <c r="V124" s="1256"/>
      <c r="W124" s="1256"/>
      <c r="X124" s="1511"/>
      <c r="Y124" s="1256"/>
      <c r="Z124" s="1494"/>
      <c r="AA124" s="1256"/>
      <c r="AB124" s="771" t="s">
        <v>646</v>
      </c>
      <c r="AC124" s="772" t="s">
        <v>1986</v>
      </c>
      <c r="AD124" s="773" t="s">
        <v>789</v>
      </c>
      <c r="AE124" s="1231"/>
      <c r="AF124" s="1231"/>
      <c r="AG124" s="1231"/>
      <c r="AH124" s="919"/>
      <c r="AI124" s="1231"/>
      <c r="AJ124" s="3707"/>
      <c r="AK124" s="1231"/>
      <c r="AL124" s="1231"/>
      <c r="AM124" s="1231"/>
      <c r="AN124" s="1231"/>
      <c r="AO124" s="1231"/>
      <c r="AP124" s="1231"/>
      <c r="AQ124" s="1231"/>
      <c r="AR124" s="1231"/>
      <c r="AS124" s="1231"/>
      <c r="AT124" s="3707"/>
      <c r="AU124" s="1231"/>
      <c r="AV124" s="1231"/>
      <c r="AW124" s="1231"/>
      <c r="AX124" s="1231"/>
      <c r="AY124" s="1231"/>
      <c r="AZ124" s="1231"/>
      <c r="BA124" s="1231"/>
      <c r="BB124" s="1231"/>
      <c r="BC124" s="1231"/>
      <c r="BD124" s="919"/>
      <c r="BE124" s="919"/>
      <c r="BF124" s="919"/>
      <c r="BG124" s="919"/>
      <c r="BH124" s="919"/>
      <c r="BI124" s="919"/>
      <c r="BJ124" s="919"/>
      <c r="BK124" s="919"/>
      <c r="BL124" s="919"/>
      <c r="BM124" s="919"/>
      <c r="BN124" s="1229"/>
      <c r="BO124" s="1229"/>
      <c r="BP124" s="1229"/>
      <c r="BQ124" s="1256"/>
      <c r="BR124" s="1256"/>
      <c r="BS124" s="1041" t="s">
        <v>1987</v>
      </c>
      <c r="BT124" s="1041"/>
      <c r="BU124" s="1041"/>
      <c r="BV124" s="956"/>
      <c r="BW124" s="956"/>
    </row>
    <row customHeight="1" ht="14.625" hidden="1">
      <c r="A125" s="1256"/>
      <c r="B125" s="952" cm="1" t="str">
        <f t="array" ref="B125:B125">B124</f>
        <v>false</v>
      </c>
      <c r="C125" s="1256"/>
      <c r="D125" s="1256"/>
      <c r="E125" s="679">
        <v>15</v>
      </c>
      <c r="F125" s="50" cm="1" t="str">
        <f t="array" ref="F125:F125">OFFSET(E125,-1,1)</f>
        <v>0</v>
      </c>
      <c r="G125" s="1256"/>
      <c r="H125" s="1256"/>
      <c r="I125" s="1256"/>
      <c r="J125" s="1256"/>
      <c r="K125" s="73" t="s">
        <v>512</v>
      </c>
      <c r="L125" s="957"/>
      <c r="M125" s="73"/>
      <c r="N125" s="1256"/>
      <c r="O125" s="1256"/>
      <c r="P125" s="1256"/>
      <c r="Q125" s="1256"/>
      <c r="R125" s="1256"/>
      <c r="S125" s="1256"/>
      <c r="T125" s="438" cm="1" t="str">
        <f t="array" ref="T125:T125">T124</f>
        <v>false</v>
      </c>
      <c r="U125" s="1256"/>
      <c r="V125" s="1256"/>
      <c r="W125" s="1256"/>
      <c r="X125" s="1511"/>
      <c r="Y125" s="1256"/>
      <c r="Z125" s="1494"/>
      <c r="AA125" s="1256"/>
      <c r="AB125" s="771" t="s">
        <v>649</v>
      </c>
      <c r="AC125" s="772" t="s">
        <v>1988</v>
      </c>
      <c r="AD125" s="773" t="s">
        <v>1989</v>
      </c>
      <c r="AE125" s="1231"/>
      <c r="AF125" s="1231"/>
      <c r="AG125" s="1231"/>
      <c r="AH125" s="919"/>
      <c r="AI125" s="1231"/>
      <c r="AJ125" s="3707"/>
      <c r="AK125" s="1231"/>
      <c r="AL125" s="1231"/>
      <c r="AM125" s="1231"/>
      <c r="AN125" s="1231"/>
      <c r="AO125" s="1231"/>
      <c r="AP125" s="1231"/>
      <c r="AQ125" s="1231"/>
      <c r="AR125" s="1231"/>
      <c r="AS125" s="1231"/>
      <c r="AT125" s="3707"/>
      <c r="AU125" s="1231"/>
      <c r="AV125" s="1231"/>
      <c r="AW125" s="1231"/>
      <c r="AX125" s="1231"/>
      <c r="AY125" s="1231"/>
      <c r="AZ125" s="1231"/>
      <c r="BA125" s="1231"/>
      <c r="BB125" s="1231"/>
      <c r="BC125" s="1231"/>
      <c r="BD125" s="919"/>
      <c r="BE125" s="919"/>
      <c r="BF125" s="919"/>
      <c r="BG125" s="919"/>
      <c r="BH125" s="919"/>
      <c r="BI125" s="919"/>
      <c r="BJ125" s="919"/>
      <c r="BK125" s="919"/>
      <c r="BL125" s="919"/>
      <c r="BM125" s="919"/>
      <c r="BN125" s="1229"/>
      <c r="BO125" s="1229"/>
      <c r="BP125" s="1229"/>
      <c r="BQ125" s="1256"/>
      <c r="BR125" s="1256"/>
      <c r="BS125" s="1041" t="s">
        <v>1990</v>
      </c>
      <c r="BT125" s="1041"/>
      <c r="BU125" s="1041"/>
      <c r="BV125" s="956"/>
      <c r="BW125" s="956"/>
    </row>
    <row customHeight="1" ht="14.625" hidden="1">
      <c r="A126" s="1256"/>
      <c r="B126" s="952" cm="1" t="str">
        <f t="array" ref="B126:B126">B125</f>
        <v>false</v>
      </c>
      <c r="C126" s="1256"/>
      <c r="D126" s="1256"/>
      <c r="E126" s="679">
        <v>15</v>
      </c>
      <c r="F126" s="50" cm="1" t="str">
        <f t="array" ref="F126:F126">OFFSET(E126,-1,1)</f>
        <v>0</v>
      </c>
      <c r="G126" s="1256"/>
      <c r="H126" s="1256"/>
      <c r="I126" s="1256"/>
      <c r="J126" s="1256"/>
      <c r="K126" s="73" t="s">
        <v>324</v>
      </c>
      <c r="L126" s="957"/>
      <c r="M126" s="73"/>
      <c r="N126" s="1256"/>
      <c r="O126" s="1256"/>
      <c r="P126" s="1256"/>
      <c r="Q126" s="1256"/>
      <c r="R126" s="1256"/>
      <c r="S126" s="1256"/>
      <c r="T126" s="438" cm="1" t="str">
        <f t="array" ref="T126:T126">T125</f>
        <v>false</v>
      </c>
      <c r="U126" s="1256"/>
      <c r="V126" s="1256"/>
      <c r="W126" s="1256"/>
      <c r="X126" s="1511"/>
      <c r="Y126" s="1256"/>
      <c r="Z126" s="1494"/>
      <c r="AA126" s="1256"/>
      <c r="AB126" s="768" t="s">
        <v>485</v>
      </c>
      <c r="AC126" s="769" t="s">
        <v>1991</v>
      </c>
      <c r="AD126" s="770" t="s">
        <v>789</v>
      </c>
      <c r="AE126" s="1224"/>
      <c r="AF126" s="1224"/>
      <c r="AG126" s="1224"/>
      <c r="AH126" s="737">
        <f>AG126-AF126</f>
        <v>0</v>
      </c>
      <c r="AI126" s="1224"/>
      <c r="AJ126" s="3597"/>
      <c r="AK126" s="1224"/>
      <c r="AL126" s="1224"/>
      <c r="AM126" s="1224"/>
      <c r="AN126" s="1224"/>
      <c r="AO126" s="1224"/>
      <c r="AP126" s="1224"/>
      <c r="AQ126" s="1224"/>
      <c r="AR126" s="1224"/>
      <c r="AS126" s="1224"/>
      <c r="AT126" s="3597"/>
      <c r="AU126" s="1224"/>
      <c r="AV126" s="1224"/>
      <c r="AW126" s="1224"/>
      <c r="AX126" s="1224"/>
      <c r="AY126" s="1224"/>
      <c r="AZ126" s="1224"/>
      <c r="BA126" s="1224"/>
      <c r="BB126" s="1224"/>
      <c r="BC126" s="1224"/>
      <c r="BD126" s="737">
        <f>IF(AI126=0,0,(AT126-AI126)/AI126*100)</f>
        <v>0</v>
      </c>
      <c r="BE126" s="737">
        <f>IF(AT126=0,0,(AU126-AT126)/AT126*100)</f>
        <v>0</v>
      </c>
      <c r="BF126" s="737">
        <f>IF(AU126=0,0,(AV126-AU126)/AU126*100)</f>
        <v>0</v>
      </c>
      <c r="BG126" s="737">
        <f>IF(AV126=0,0,(AW126-AV126)/AV126*100)</f>
        <v>0</v>
      </c>
      <c r="BH126" s="737">
        <f>IF(AW126=0,0,(AX126-AW126)/AW126*100)</f>
        <v>0</v>
      </c>
      <c r="BI126" s="737">
        <f>IF(AX126=0,0,(AY126-AX126)/AX126*100)</f>
        <v>0</v>
      </c>
      <c r="BJ126" s="737">
        <f>IF(AY126=0,0,(AZ126-AY126)/AY126*100)</f>
        <v>0</v>
      </c>
      <c r="BK126" s="737">
        <f>IF(AZ126=0,0,(BA126-AZ126)/AZ126*100)</f>
        <v>0</v>
      </c>
      <c r="BL126" s="737">
        <f>IF(BA126=0,0,(BB126-BA126)/BA126*100)</f>
        <v>0</v>
      </c>
      <c r="BM126" s="737">
        <f>IF(BB126=0,0,(BC126-BB126)/BB126*100)</f>
        <v>0</v>
      </c>
      <c r="BN126" s="1225"/>
      <c r="BO126" s="1225"/>
      <c r="BP126" s="1225"/>
      <c r="BQ126" s="1256"/>
      <c r="BR126" s="1256"/>
      <c r="BS126" s="1041" t="s">
        <v>1992</v>
      </c>
      <c r="BT126" s="1041"/>
      <c r="BU126" s="1041"/>
      <c r="BV126" s="956"/>
      <c r="BW126" s="956"/>
    </row>
    <row customHeight="1" ht="14.625" hidden="1">
      <c r="A127" s="1256"/>
      <c r="B127" s="952" cm="1" t="str">
        <f t="array" ref="B127:B127">B126</f>
        <v>false</v>
      </c>
      <c r="C127" s="1256"/>
      <c r="D127" s="1256"/>
      <c r="E127" s="679">
        <v>15</v>
      </c>
      <c r="F127" s="50" cm="1" t="str">
        <f t="array" ref="F127:F127">OFFSET(E127,-1,1)</f>
        <v>0</v>
      </c>
      <c r="G127" s="1256"/>
      <c r="H127" s="1256"/>
      <c r="I127" s="1256"/>
      <c r="J127" s="1256"/>
      <c r="K127" s="73" t="s">
        <v>522</v>
      </c>
      <c r="L127" s="957"/>
      <c r="M127" s="73"/>
      <c r="N127" s="1256"/>
      <c r="O127" s="1256"/>
      <c r="P127" s="1256"/>
      <c r="Q127" s="1256"/>
      <c r="R127" s="1256"/>
      <c r="S127" s="1256"/>
      <c r="T127" s="438" cm="1" t="str">
        <f t="array" ref="T127:T127">T126</f>
        <v>false</v>
      </c>
      <c r="U127" s="1256"/>
      <c r="V127" s="1256"/>
      <c r="W127" s="1256"/>
      <c r="X127" s="1511"/>
      <c r="Y127" s="1256"/>
      <c r="Z127" s="1494"/>
      <c r="AA127" s="1256"/>
      <c r="AB127" s="771" t="s">
        <v>653</v>
      </c>
      <c r="AC127" s="772" t="s">
        <v>1993</v>
      </c>
      <c r="AD127" s="773" t="s">
        <v>789</v>
      </c>
      <c r="AE127" s="1231"/>
      <c r="AF127" s="1231"/>
      <c r="AG127" s="1231"/>
      <c r="AH127" s="919"/>
      <c r="AI127" s="1231"/>
      <c r="AJ127" s="3707"/>
      <c r="AK127" s="1231"/>
      <c r="AL127" s="1231"/>
      <c r="AM127" s="1231"/>
      <c r="AN127" s="1231"/>
      <c r="AO127" s="1231"/>
      <c r="AP127" s="1231"/>
      <c r="AQ127" s="1231"/>
      <c r="AR127" s="1231"/>
      <c r="AS127" s="1231"/>
      <c r="AT127" s="3707"/>
      <c r="AU127" s="1231"/>
      <c r="AV127" s="1231"/>
      <c r="AW127" s="1231"/>
      <c r="AX127" s="1231"/>
      <c r="AY127" s="1231"/>
      <c r="AZ127" s="1231"/>
      <c r="BA127" s="1231"/>
      <c r="BB127" s="1231"/>
      <c r="BC127" s="1231"/>
      <c r="BD127" s="919"/>
      <c r="BE127" s="919"/>
      <c r="BF127" s="919"/>
      <c r="BG127" s="919"/>
      <c r="BH127" s="919"/>
      <c r="BI127" s="919"/>
      <c r="BJ127" s="919"/>
      <c r="BK127" s="919"/>
      <c r="BL127" s="919"/>
      <c r="BM127" s="919"/>
      <c r="BN127" s="1229"/>
      <c r="BO127" s="1229"/>
      <c r="BP127" s="1229"/>
      <c r="BQ127" s="1256"/>
      <c r="BR127" s="1256"/>
      <c r="BS127" s="1041" t="s">
        <v>1994</v>
      </c>
      <c r="BT127" s="1041"/>
      <c r="BU127" s="1041"/>
      <c r="BV127" s="956"/>
      <c r="BW127" s="956"/>
    </row>
    <row customHeight="1" ht="14.625" hidden="1">
      <c r="A128" s="1256"/>
      <c r="B128" s="952" cm="1" t="str">
        <f t="array" ref="B128:B128">B127</f>
        <v>false</v>
      </c>
      <c r="C128" s="1256"/>
      <c r="D128" s="1256"/>
      <c r="E128" s="679">
        <v>15</v>
      </c>
      <c r="F128" s="50" cm="1" t="str">
        <f t="array" ref="F128:F128">OFFSET(E128,-1,1)</f>
        <v>0</v>
      </c>
      <c r="G128" s="1256"/>
      <c r="H128" s="1256"/>
      <c r="I128" s="1256"/>
      <c r="J128" s="1256"/>
      <c r="K128" s="73" t="s">
        <v>526</v>
      </c>
      <c r="L128" s="957"/>
      <c r="M128" s="73"/>
      <c r="N128" s="1256"/>
      <c r="O128" s="1256"/>
      <c r="P128" s="1256"/>
      <c r="Q128" s="1256"/>
      <c r="R128" s="1256"/>
      <c r="S128" s="1256"/>
      <c r="T128" s="438" cm="1" t="str">
        <f t="array" ref="T128:T128">T127</f>
        <v>false</v>
      </c>
      <c r="U128" s="1256"/>
      <c r="V128" s="1256"/>
      <c r="W128" s="1256"/>
      <c r="X128" s="1511"/>
      <c r="Y128" s="1256"/>
      <c r="Z128" s="1494"/>
      <c r="AA128" s="1256"/>
      <c r="AB128" s="771" t="s">
        <v>656</v>
      </c>
      <c r="AC128" s="772" t="s">
        <v>1995</v>
      </c>
      <c r="AD128" s="773" t="s">
        <v>430</v>
      </c>
      <c r="AE128" s="1231"/>
      <c r="AF128" s="1231"/>
      <c r="AG128" s="1231"/>
      <c r="AH128" s="919"/>
      <c r="AI128" s="1231"/>
      <c r="AJ128" s="3707"/>
      <c r="AK128" s="1231"/>
      <c r="AL128" s="1231"/>
      <c r="AM128" s="1231"/>
      <c r="AN128" s="1231"/>
      <c r="AO128" s="1231"/>
      <c r="AP128" s="1231"/>
      <c r="AQ128" s="1231"/>
      <c r="AR128" s="1231"/>
      <c r="AS128" s="1231"/>
      <c r="AT128" s="3707"/>
      <c r="AU128" s="1231"/>
      <c r="AV128" s="1231"/>
      <c r="AW128" s="1231"/>
      <c r="AX128" s="1231"/>
      <c r="AY128" s="1231"/>
      <c r="AZ128" s="1231"/>
      <c r="BA128" s="1231"/>
      <c r="BB128" s="1231"/>
      <c r="BC128" s="1231"/>
      <c r="BD128" s="919"/>
      <c r="BE128" s="919"/>
      <c r="BF128" s="919"/>
      <c r="BG128" s="919"/>
      <c r="BH128" s="919"/>
      <c r="BI128" s="919"/>
      <c r="BJ128" s="919"/>
      <c r="BK128" s="919"/>
      <c r="BL128" s="919"/>
      <c r="BM128" s="919"/>
      <c r="BN128" s="1229"/>
      <c r="BO128" s="1229"/>
      <c r="BP128" s="1229"/>
      <c r="BQ128" s="1256"/>
      <c r="BR128" s="1256"/>
      <c r="BS128" s="1041" t="s">
        <v>1996</v>
      </c>
      <c r="BT128" s="1041"/>
      <c r="BU128" s="1041"/>
      <c r="BV128" s="956"/>
      <c r="BW128" s="956"/>
    </row>
    <row customHeight="1" ht="14.625" hidden="1">
      <c r="A129" s="1256"/>
      <c r="B129" s="952" cm="1" t="str">
        <f t="array" ref="B129:B129">B128</f>
        <v>false</v>
      </c>
      <c r="C129" s="1256"/>
      <c r="D129" s="1256"/>
      <c r="E129" s="679">
        <v>15</v>
      </c>
      <c r="F129" s="50" cm="1" t="str">
        <f t="array" ref="F129:F129">OFFSET(E129,-1,1)</f>
        <v>0</v>
      </c>
      <c r="G129" s="1256"/>
      <c r="H129" s="1256"/>
      <c r="I129" s="1256"/>
      <c r="J129" s="1256"/>
      <c r="K129" s="73" t="s">
        <v>743</v>
      </c>
      <c r="L129" s="957"/>
      <c r="M129" s="73"/>
      <c r="N129" s="1256"/>
      <c r="O129" s="1256"/>
      <c r="P129" s="1256"/>
      <c r="Q129" s="1256"/>
      <c r="R129" s="1256"/>
      <c r="S129" s="1256"/>
      <c r="T129" s="438" cm="1" t="str">
        <f t="array" ref="T129:T129">T128</f>
        <v>false</v>
      </c>
      <c r="U129" s="1256"/>
      <c r="V129" s="1256"/>
      <c r="W129" s="1256"/>
      <c r="X129" s="1511"/>
      <c r="Y129" s="1256"/>
      <c r="Z129" s="1494"/>
      <c r="AA129" s="1256"/>
      <c r="AB129" s="771" t="s">
        <v>899</v>
      </c>
      <c r="AC129" s="772" t="s">
        <v>1997</v>
      </c>
      <c r="AD129" s="773" t="s">
        <v>789</v>
      </c>
      <c r="AE129" s="1231"/>
      <c r="AF129" s="1231"/>
      <c r="AG129" s="1231"/>
      <c r="AH129" s="919"/>
      <c r="AI129" s="1231"/>
      <c r="AJ129" s="3707"/>
      <c r="AK129" s="1231"/>
      <c r="AL129" s="1231"/>
      <c r="AM129" s="1231"/>
      <c r="AN129" s="1231"/>
      <c r="AO129" s="1231"/>
      <c r="AP129" s="1231"/>
      <c r="AQ129" s="1231"/>
      <c r="AR129" s="1231"/>
      <c r="AS129" s="1231"/>
      <c r="AT129" s="3707"/>
      <c r="AU129" s="1231"/>
      <c r="AV129" s="1231"/>
      <c r="AW129" s="1231"/>
      <c r="AX129" s="1231"/>
      <c r="AY129" s="1231"/>
      <c r="AZ129" s="1231"/>
      <c r="BA129" s="1231"/>
      <c r="BB129" s="1231"/>
      <c r="BC129" s="1231"/>
      <c r="BD129" s="919"/>
      <c r="BE129" s="919"/>
      <c r="BF129" s="919"/>
      <c r="BG129" s="919"/>
      <c r="BH129" s="919"/>
      <c r="BI129" s="919"/>
      <c r="BJ129" s="919"/>
      <c r="BK129" s="919"/>
      <c r="BL129" s="919"/>
      <c r="BM129" s="919"/>
      <c r="BN129" s="1229"/>
      <c r="BO129" s="1229"/>
      <c r="BP129" s="1229"/>
      <c r="BQ129" s="1256"/>
      <c r="BR129" s="1256"/>
      <c r="BS129" s="1041" t="s">
        <v>1998</v>
      </c>
      <c r="BT129" s="1041"/>
      <c r="BU129" s="1041"/>
      <c r="BV129" s="956"/>
      <c r="BW129" s="956"/>
    </row>
    <row customHeight="1" ht="14.625" hidden="1">
      <c r="A130" s="1256"/>
      <c r="B130" s="952" cm="1" t="str">
        <f t="array" ref="B130:B130">B129</f>
        <v>false</v>
      </c>
      <c r="C130" s="1256"/>
      <c r="D130" s="1256"/>
      <c r="E130" s="679">
        <v>15</v>
      </c>
      <c r="F130" s="50" cm="1" t="str">
        <f t="array" ref="F130:F130">OFFSET(E130,-1,1)</f>
        <v>0</v>
      </c>
      <c r="G130" s="1256"/>
      <c r="H130" s="1256"/>
      <c r="I130" s="1256"/>
      <c r="J130" s="1256"/>
      <c r="K130" s="73" t="s">
        <v>901</v>
      </c>
      <c r="L130" s="957"/>
      <c r="M130" s="73"/>
      <c r="N130" s="1256"/>
      <c r="O130" s="1256"/>
      <c r="P130" s="1256"/>
      <c r="Q130" s="1256"/>
      <c r="R130" s="1256"/>
      <c r="S130" s="1256"/>
      <c r="T130" s="438" cm="1" t="str">
        <f t="array" ref="T130:T130">T129</f>
        <v>false</v>
      </c>
      <c r="U130" s="1256"/>
      <c r="V130" s="1256"/>
      <c r="W130" s="1256"/>
      <c r="X130" s="1511"/>
      <c r="Y130" s="1256"/>
      <c r="Z130" s="1494"/>
      <c r="AA130" s="1256"/>
      <c r="AB130" s="771" t="s">
        <v>902</v>
      </c>
      <c r="AC130" s="772" t="s">
        <v>1999</v>
      </c>
      <c r="AD130" s="773" t="s">
        <v>789</v>
      </c>
      <c r="AE130" s="1231"/>
      <c r="AF130" s="1231"/>
      <c r="AG130" s="1231"/>
      <c r="AH130" s="919"/>
      <c r="AI130" s="1231"/>
      <c r="AJ130" s="3707"/>
      <c r="AK130" s="1231"/>
      <c r="AL130" s="1231"/>
      <c r="AM130" s="1231"/>
      <c r="AN130" s="1231"/>
      <c r="AO130" s="1231"/>
      <c r="AP130" s="1231"/>
      <c r="AQ130" s="1231"/>
      <c r="AR130" s="1231"/>
      <c r="AS130" s="1231"/>
      <c r="AT130" s="3707"/>
      <c r="AU130" s="1231"/>
      <c r="AV130" s="1231"/>
      <c r="AW130" s="1231"/>
      <c r="AX130" s="1231"/>
      <c r="AY130" s="1231"/>
      <c r="AZ130" s="1231"/>
      <c r="BA130" s="1231"/>
      <c r="BB130" s="1231"/>
      <c r="BC130" s="1231"/>
      <c r="BD130" s="919"/>
      <c r="BE130" s="919"/>
      <c r="BF130" s="919"/>
      <c r="BG130" s="919"/>
      <c r="BH130" s="919"/>
      <c r="BI130" s="919"/>
      <c r="BJ130" s="919"/>
      <c r="BK130" s="919"/>
      <c r="BL130" s="919"/>
      <c r="BM130" s="919"/>
      <c r="BN130" s="1229"/>
      <c r="BO130" s="1229"/>
      <c r="BP130" s="1229"/>
      <c r="BQ130" s="1256"/>
      <c r="BR130" s="1256"/>
      <c r="BS130" s="1041" t="s">
        <v>2000</v>
      </c>
      <c r="BT130" s="1041"/>
      <c r="BU130" s="1041"/>
      <c r="BV130" s="956"/>
      <c r="BW130" s="956"/>
    </row>
    <row customHeight="1" ht="14.625" hidden="1">
      <c r="A131" s="1256"/>
      <c r="B131" s="952" cm="1" t="str">
        <f t="array" ref="B131:B131">B130</f>
        <v>false</v>
      </c>
      <c r="C131" s="1256"/>
      <c r="D131" s="1256"/>
      <c r="E131" s="679">
        <v>15</v>
      </c>
      <c r="F131" s="50" cm="1" t="str">
        <f t="array" ref="F131:F131">OFFSET(E131,-1,1)</f>
        <v>0</v>
      </c>
      <c r="G131" s="1256"/>
      <c r="H131" s="1256"/>
      <c r="I131" s="1256"/>
      <c r="J131" s="1256"/>
      <c r="K131" s="73" t="s">
        <v>2001</v>
      </c>
      <c r="L131" s="957"/>
      <c r="M131" s="73"/>
      <c r="N131" s="1256"/>
      <c r="O131" s="1256"/>
      <c r="P131" s="1256"/>
      <c r="Q131" s="1256"/>
      <c r="R131" s="1256"/>
      <c r="S131" s="1256"/>
      <c r="T131" s="438" cm="1" t="str">
        <f t="array" ref="T131:T131">T130</f>
        <v>false</v>
      </c>
      <c r="U131" s="1256"/>
      <c r="V131" s="1256"/>
      <c r="W131" s="1256"/>
      <c r="X131" s="1511"/>
      <c r="Y131" s="1256"/>
      <c r="Z131" s="1494"/>
      <c r="AA131" s="1256"/>
      <c r="AB131" s="771" t="s">
        <v>2002</v>
      </c>
      <c r="AC131" s="774" t="s">
        <v>2003</v>
      </c>
      <c r="AD131" s="773" t="s">
        <v>430</v>
      </c>
      <c r="AE131" s="1231"/>
      <c r="AF131" s="1231"/>
      <c r="AG131" s="1231"/>
      <c r="AH131" s="919"/>
      <c r="AI131" s="1231"/>
      <c r="AJ131" s="3707"/>
      <c r="AK131" s="1231"/>
      <c r="AL131" s="1231"/>
      <c r="AM131" s="1231"/>
      <c r="AN131" s="1231"/>
      <c r="AO131" s="1231"/>
      <c r="AP131" s="1231"/>
      <c r="AQ131" s="1231"/>
      <c r="AR131" s="1231"/>
      <c r="AS131" s="1231"/>
      <c r="AT131" s="3707"/>
      <c r="AU131" s="1231"/>
      <c r="AV131" s="1231"/>
      <c r="AW131" s="1231"/>
      <c r="AX131" s="1231"/>
      <c r="AY131" s="1231"/>
      <c r="AZ131" s="1231"/>
      <c r="BA131" s="1231"/>
      <c r="BB131" s="1231"/>
      <c r="BC131" s="1231"/>
      <c r="BD131" s="919"/>
      <c r="BE131" s="919"/>
      <c r="BF131" s="919"/>
      <c r="BG131" s="919"/>
      <c r="BH131" s="919"/>
      <c r="BI131" s="919"/>
      <c r="BJ131" s="919"/>
      <c r="BK131" s="919"/>
      <c r="BL131" s="919"/>
      <c r="BM131" s="919"/>
      <c r="BN131" s="1229"/>
      <c r="BO131" s="1229"/>
      <c r="BP131" s="1229"/>
      <c r="BQ131" s="1256"/>
      <c r="BR131" s="1256"/>
      <c r="BS131" s="1041" t="s">
        <v>2004</v>
      </c>
      <c r="BT131" s="1041"/>
      <c r="BU131" s="1041"/>
      <c r="BV131" s="956"/>
      <c r="BW131" s="956"/>
    </row>
    <row customHeight="1" ht="14.625" hidden="1">
      <c r="A132" s="1256"/>
      <c r="B132" s="952" cm="1" t="str">
        <f t="array" ref="B132:B132">B131</f>
        <v>false</v>
      </c>
      <c r="C132" s="1256"/>
      <c r="D132" s="1256"/>
      <c r="E132" s="679">
        <v>15</v>
      </c>
      <c r="F132" s="50" cm="1" t="str">
        <f t="array" ref="F132:F132">OFFSET(E132,-1,1)</f>
        <v>0</v>
      </c>
      <c r="G132" s="1256"/>
      <c r="H132" s="1256"/>
      <c r="I132" s="1256"/>
      <c r="J132" s="1256"/>
      <c r="K132" s="73" t="s">
        <v>904</v>
      </c>
      <c r="L132" s="957"/>
      <c r="M132" s="73"/>
      <c r="N132" s="1256"/>
      <c r="O132" s="1256"/>
      <c r="P132" s="1256"/>
      <c r="Q132" s="1256"/>
      <c r="R132" s="1256"/>
      <c r="S132" s="1256"/>
      <c r="T132" s="438" cm="1" t="str">
        <f t="array" ref="T132:T132">T131</f>
        <v>false</v>
      </c>
      <c r="U132" s="1256"/>
      <c r="V132" s="1256"/>
      <c r="W132" s="1256"/>
      <c r="X132" s="1511"/>
      <c r="Y132" s="1256"/>
      <c r="Z132" s="1494"/>
      <c r="AA132" s="1256"/>
      <c r="AB132" s="771" t="s">
        <v>905</v>
      </c>
      <c r="AC132" s="772" t="s">
        <v>2005</v>
      </c>
      <c r="AD132" s="773" t="s">
        <v>430</v>
      </c>
      <c r="AE132" s="1231"/>
      <c r="AF132" s="1231"/>
      <c r="AG132" s="1231"/>
      <c r="AH132" s="919"/>
      <c r="AI132" s="1231"/>
      <c r="AJ132" s="3707"/>
      <c r="AK132" s="1231"/>
      <c r="AL132" s="1231"/>
      <c r="AM132" s="1231"/>
      <c r="AN132" s="1231"/>
      <c r="AO132" s="1231"/>
      <c r="AP132" s="1231"/>
      <c r="AQ132" s="1231"/>
      <c r="AR132" s="1231"/>
      <c r="AS132" s="1231"/>
      <c r="AT132" s="3707"/>
      <c r="AU132" s="1231"/>
      <c r="AV132" s="1231"/>
      <c r="AW132" s="1231"/>
      <c r="AX132" s="1231"/>
      <c r="AY132" s="1231"/>
      <c r="AZ132" s="1231"/>
      <c r="BA132" s="1231"/>
      <c r="BB132" s="1231"/>
      <c r="BC132" s="1231"/>
      <c r="BD132" s="919"/>
      <c r="BE132" s="919"/>
      <c r="BF132" s="919"/>
      <c r="BG132" s="919"/>
      <c r="BH132" s="919"/>
      <c r="BI132" s="919"/>
      <c r="BJ132" s="919"/>
      <c r="BK132" s="919"/>
      <c r="BL132" s="919"/>
      <c r="BM132" s="919"/>
      <c r="BN132" s="1229"/>
      <c r="BO132" s="1229"/>
      <c r="BP132" s="1229"/>
      <c r="BQ132" s="1256"/>
      <c r="BR132" s="1256"/>
      <c r="BS132" s="1041" t="s">
        <v>2006</v>
      </c>
      <c r="BT132" s="1041"/>
      <c r="BU132" s="1041"/>
      <c r="BV132" s="956"/>
      <c r="BW132" s="956"/>
    </row>
    <row customHeight="1" ht="14.625" hidden="1">
      <c r="A133" s="1256"/>
      <c r="B133" s="952" cm="1" t="str">
        <f t="array" ref="B133:B133">B132</f>
        <v>false</v>
      </c>
      <c r="C133" s="1256"/>
      <c r="D133" s="1256"/>
      <c r="E133" s="679">
        <v>15</v>
      </c>
      <c r="F133" s="50" cm="1" t="str">
        <f t="array" ref="F133:F133">OFFSET(E133,-1,1)</f>
        <v>0</v>
      </c>
      <c r="G133" s="1256"/>
      <c r="H133" s="1256"/>
      <c r="I133" s="1256"/>
      <c r="J133" s="1256"/>
      <c r="K133" s="73" t="s">
        <v>2007</v>
      </c>
      <c r="L133" s="957"/>
      <c r="M133" s="73"/>
      <c r="N133" s="1256"/>
      <c r="O133" s="1256"/>
      <c r="P133" s="1256"/>
      <c r="Q133" s="1256"/>
      <c r="R133" s="1256"/>
      <c r="S133" s="1256"/>
      <c r="T133" s="438" cm="1" t="str">
        <f t="array" ref="T133:T133">T132</f>
        <v>false</v>
      </c>
      <c r="U133" s="1256"/>
      <c r="V133" s="1256"/>
      <c r="W133" s="1256"/>
      <c r="X133" s="1511"/>
      <c r="Y133" s="1256"/>
      <c r="Z133" s="1494"/>
      <c r="AA133" s="1256"/>
      <c r="AB133" s="771" t="s">
        <v>2008</v>
      </c>
      <c r="AC133" s="774" t="s">
        <v>2009</v>
      </c>
      <c r="AD133" s="773" t="s">
        <v>430</v>
      </c>
      <c r="AE133" s="1231"/>
      <c r="AF133" s="1231"/>
      <c r="AG133" s="1231"/>
      <c r="AH133" s="919"/>
      <c r="AI133" s="1231"/>
      <c r="AJ133" s="3707"/>
      <c r="AK133" s="1231"/>
      <c r="AL133" s="1231"/>
      <c r="AM133" s="1231"/>
      <c r="AN133" s="1231"/>
      <c r="AO133" s="1231"/>
      <c r="AP133" s="1231"/>
      <c r="AQ133" s="1231"/>
      <c r="AR133" s="1231"/>
      <c r="AS133" s="1231"/>
      <c r="AT133" s="3707"/>
      <c r="AU133" s="1231"/>
      <c r="AV133" s="1231"/>
      <c r="AW133" s="1231"/>
      <c r="AX133" s="1231"/>
      <c r="AY133" s="1231"/>
      <c r="AZ133" s="1231"/>
      <c r="BA133" s="1231"/>
      <c r="BB133" s="1231"/>
      <c r="BC133" s="1231"/>
      <c r="BD133" s="919"/>
      <c r="BE133" s="919"/>
      <c r="BF133" s="919"/>
      <c r="BG133" s="919"/>
      <c r="BH133" s="919"/>
      <c r="BI133" s="919"/>
      <c r="BJ133" s="919"/>
      <c r="BK133" s="919"/>
      <c r="BL133" s="919"/>
      <c r="BM133" s="919"/>
      <c r="BN133" s="1229"/>
      <c r="BO133" s="1229"/>
      <c r="BP133" s="1229"/>
      <c r="BQ133" s="1256"/>
      <c r="BR133" s="1256"/>
      <c r="BS133" s="1041" t="s">
        <v>2010</v>
      </c>
      <c r="BT133" s="1041"/>
      <c r="BU133" s="1041"/>
      <c r="BV133" s="956"/>
      <c r="BW133" s="956"/>
    </row>
    <row customHeight="1" ht="14.625" hidden="1">
      <c r="A134" s="1256"/>
      <c r="B134" s="952" cm="1" t="str">
        <f t="array" ref="B134:B134">B133</f>
        <v>false</v>
      </c>
      <c r="C134" s="1256"/>
      <c r="D134" s="1256"/>
      <c r="E134" s="679">
        <v>15</v>
      </c>
      <c r="F134" s="50" cm="1" t="str">
        <f t="array" ref="F134:F134">OFFSET(E134,-1,1)</f>
        <v>0</v>
      </c>
      <c r="G134" s="1256"/>
      <c r="H134" s="1256"/>
      <c r="I134" s="1256"/>
      <c r="J134" s="1256"/>
      <c r="K134" s="73" t="s">
        <v>2011</v>
      </c>
      <c r="L134" s="957"/>
      <c r="M134" s="73"/>
      <c r="N134" s="1256"/>
      <c r="O134" s="1256"/>
      <c r="P134" s="1256"/>
      <c r="Q134" s="1256"/>
      <c r="R134" s="1256"/>
      <c r="S134" s="1256"/>
      <c r="T134" s="438" cm="1" t="str">
        <f t="array" ref="T134:T134">T133</f>
        <v>false</v>
      </c>
      <c r="U134" s="1256"/>
      <c r="V134" s="1256"/>
      <c r="W134" s="1256"/>
      <c r="X134" s="1511"/>
      <c r="Y134" s="1256"/>
      <c r="Z134" s="1494"/>
      <c r="AA134" s="1256"/>
      <c r="AB134" s="771" t="s">
        <v>2012</v>
      </c>
      <c r="AC134" s="774" t="s">
        <v>2013</v>
      </c>
      <c r="AD134" s="773" t="s">
        <v>430</v>
      </c>
      <c r="AE134" s="1231"/>
      <c r="AF134" s="1231"/>
      <c r="AG134" s="1231"/>
      <c r="AH134" s="919"/>
      <c r="AI134" s="1231"/>
      <c r="AJ134" s="3707"/>
      <c r="AK134" s="1231"/>
      <c r="AL134" s="1231"/>
      <c r="AM134" s="1231"/>
      <c r="AN134" s="1231"/>
      <c r="AO134" s="1231"/>
      <c r="AP134" s="1231"/>
      <c r="AQ134" s="1231"/>
      <c r="AR134" s="1231"/>
      <c r="AS134" s="1231"/>
      <c r="AT134" s="3707"/>
      <c r="AU134" s="1231"/>
      <c r="AV134" s="1231"/>
      <c r="AW134" s="1231"/>
      <c r="AX134" s="1231"/>
      <c r="AY134" s="1231"/>
      <c r="AZ134" s="1231"/>
      <c r="BA134" s="1231"/>
      <c r="BB134" s="1231"/>
      <c r="BC134" s="1231"/>
      <c r="BD134" s="919"/>
      <c r="BE134" s="919"/>
      <c r="BF134" s="919"/>
      <c r="BG134" s="919"/>
      <c r="BH134" s="919"/>
      <c r="BI134" s="919"/>
      <c r="BJ134" s="919"/>
      <c r="BK134" s="919"/>
      <c r="BL134" s="919"/>
      <c r="BM134" s="919"/>
      <c r="BN134" s="1229"/>
      <c r="BO134" s="1229"/>
      <c r="BP134" s="1229"/>
      <c r="BQ134" s="1256"/>
      <c r="BR134" s="1256"/>
      <c r="BS134" s="1041" t="s">
        <v>2014</v>
      </c>
      <c r="BT134" s="1041"/>
      <c r="BU134" s="1041"/>
      <c r="BV134" s="956"/>
      <c r="BW134" s="956"/>
    </row>
    <row s="676" customFormat="1" customHeight="1" ht="20.475" hidden="1">
      <c r="A135" s="676"/>
      <c r="B135" s="407"/>
      <c r="C135" s="676"/>
      <c r="D135" s="75" t="str">
        <f>IF(B134,"6","7")</f>
        <v>7</v>
      </c>
      <c r="E135" s="683">
        <v>21</v>
      </c>
      <c r="F135" s="50" cm="1" t="str">
        <f t="array" ref="F135:F135">OFFSET(E135,-1,1)</f>
        <v>0</v>
      </c>
      <c r="G135" s="124" t="s">
        <v>2015</v>
      </c>
      <c r="H135" s="124"/>
      <c r="I135" s="346" t="s">
        <v>2016</v>
      </c>
      <c r="J135" s="676"/>
      <c r="K135" s="346" t="s">
        <v>2016</v>
      </c>
      <c r="L135" s="962"/>
      <c r="M135" s="75"/>
      <c r="N135" s="676"/>
      <c r="O135" s="676"/>
      <c r="P135" s="676"/>
      <c r="Q135" s="676"/>
      <c r="R135" s="676"/>
      <c r="S135" s="676"/>
      <c r="T135" s="438" cm="1" t="str">
        <f t="array" ref="T135:T135">T134</f>
        <v>false</v>
      </c>
      <c r="U135" s="676"/>
      <c r="V135" s="676"/>
      <c r="W135" s="676"/>
      <c r="X135" s="1511"/>
      <c r="Y135" s="676"/>
      <c r="Z135" s="1494"/>
      <c r="AA135" s="676"/>
      <c r="AB135" s="177" cm="1" t="str">
        <f t="array" ref="AB135:AB135">D135</f>
        <v>7</v>
      </c>
      <c r="AC135" s="185" t="s">
        <v>1462</v>
      </c>
      <c r="AD135" s="177" t="s">
        <v>789</v>
      </c>
      <c r="AE135" s="1215"/>
      <c r="AF135" s="1215"/>
      <c r="AG135" s="1215"/>
      <c r="AH135" s="737">
        <f>AG135-AF135</f>
        <v>0</v>
      </c>
      <c r="AI135" s="1224"/>
      <c r="AJ135" s="3707">
        <f>_xlfn.SUMIFS('Корректировка НВВ'!$AF$25:$AF$129,'Корректировка НВВ'!$F$25:$F$129,$F135,'Корректировка НВВ'!$I$25:$I$129,$G135)</f>
        <v>0</v>
      </c>
      <c r="AK135" s="1224"/>
      <c r="AL135" s="1224"/>
      <c r="AM135" s="1224"/>
      <c r="AN135" s="1224"/>
      <c r="AO135" s="1224"/>
      <c r="AP135" s="1224"/>
      <c r="AQ135" s="1224"/>
      <c r="AR135" s="1224"/>
      <c r="AS135" s="1224"/>
      <c r="AT135" s="3707">
        <f>_xlfn.SUMIFS('Корректировка НВВ'!$AG$25:$AG$129,'Корректировка НВВ'!$F$25:$F$129,$F135,'Корректировка НВВ'!$I$25:$I$129,$G135)</f>
        <v>0</v>
      </c>
      <c r="AU135" s="1224"/>
      <c r="AV135" s="1224"/>
      <c r="AW135" s="1224"/>
      <c r="AX135" s="1224"/>
      <c r="AY135" s="1224"/>
      <c r="AZ135" s="1224"/>
      <c r="BA135" s="1224"/>
      <c r="BB135" s="1224"/>
      <c r="BC135" s="1224"/>
      <c r="BD135" s="737">
        <f>IF(AI135=0,0,(AT135-AI135)/AI135*100)</f>
        <v>0</v>
      </c>
      <c r="BE135" s="737">
        <f>IF(AT135=0,0,(AU135-AT135)/AT135*100)</f>
        <v>0</v>
      </c>
      <c r="BF135" s="737">
        <f>IF(AU135=0,0,(AV135-AU135)/AU135*100)</f>
        <v>0</v>
      </c>
      <c r="BG135" s="737">
        <f>IF(AV135=0,0,(AW135-AV135)/AV135*100)</f>
        <v>0</v>
      </c>
      <c r="BH135" s="737">
        <f>IF(AW135=0,0,(AX135-AW135)/AW135*100)</f>
        <v>0</v>
      </c>
      <c r="BI135" s="737">
        <f>IF(AX135=0,0,(AY135-AX135)/AX135*100)</f>
        <v>0</v>
      </c>
      <c r="BJ135" s="737">
        <f>IF(AY135=0,0,(AZ135-AY135)/AY135*100)</f>
        <v>0</v>
      </c>
      <c r="BK135" s="737">
        <f>IF(AZ135=0,0,(BA135-AZ135)/AZ135*100)</f>
        <v>0</v>
      </c>
      <c r="BL135" s="737">
        <f>IF(BA135=0,0,(BB135-BA135)/BA135*100)</f>
        <v>0</v>
      </c>
      <c r="BM135" s="737">
        <f>IF(BB135=0,0,(BC135-BB135)/BB135*100)</f>
        <v>0</v>
      </c>
      <c r="BN135" s="1218"/>
      <c r="BO135" s="1232" t="str">
        <f>IF(_xlfn.IFERROR(INDEX('Корректировка НВВ'!$K$26:$L$129,MATCH($F135&amp;"11komm",'Корректировка НВВ'!$K$26:$K$129,0),2),"")=0,"",_xlfn.IFERROR(INDEX('Корректировка НВВ'!$K$26:$L$129,MATCH($F135&amp;"11komm",'Корректировка НВВ'!$K$26:$K$129,0),2),""))</f>
        <v/>
      </c>
      <c r="BP135" s="1218"/>
      <c r="BQ135" s="676"/>
      <c r="BR135" s="676"/>
      <c r="BS135" s="1047" t="s">
        <v>2017</v>
      </c>
      <c r="BT135" s="1047"/>
      <c r="BU135" s="1047"/>
      <c r="BV135" s="683"/>
      <c r="BW135" s="683"/>
    </row>
    <row customHeight="1" ht="14.625" hidden="1">
      <c r="A136" s="1256"/>
      <c r="B136" s="955"/>
      <c r="C136" s="1256"/>
      <c r="D136" s="73" cm="1" t="str">
        <f t="array" ref="D136:D136">D135</f>
        <v>7</v>
      </c>
      <c r="E136" s="679">
        <v>15</v>
      </c>
      <c r="F136" s="50" cm="1" t="str">
        <f t="array" ref="F136:F136">OFFSET(E136,-1,1)</f>
        <v>0</v>
      </c>
      <c r="G136" s="1256"/>
      <c r="H136" s="1256"/>
      <c r="I136" s="1256"/>
      <c r="J136" s="1256"/>
      <c r="K136" s="1256"/>
      <c r="L136" s="957"/>
      <c r="M136" s="73"/>
      <c r="N136" s="1256"/>
      <c r="O136" s="1256"/>
      <c r="P136" s="1256"/>
      <c r="Q136" s="1256"/>
      <c r="R136" s="1256"/>
      <c r="S136" s="1256"/>
      <c r="T136" s="438" cm="1" t="str">
        <f t="array" ref="T136:T136">T135</f>
        <v>false</v>
      </c>
      <c r="U136" s="1256"/>
      <c r="V136" s="1256"/>
      <c r="W136" s="1256"/>
      <c r="X136" s="1511"/>
      <c r="Y136" s="1256"/>
      <c r="Z136" s="1494"/>
      <c r="AA136" s="1256"/>
      <c r="AB136" s="266"/>
      <c r="AC136" s="424" t="s">
        <v>2018</v>
      </c>
      <c r="AD136" s="266"/>
      <c r="AE136" s="922"/>
      <c r="AF136" s="922"/>
      <c r="AG136" s="922"/>
      <c r="AH136" s="919"/>
      <c r="AI136" s="919"/>
      <c r="AJ136" s="919"/>
      <c r="AK136" s="919"/>
      <c r="AL136" s="919"/>
      <c r="AM136" s="919"/>
      <c r="AN136" s="919"/>
      <c r="AO136" s="919"/>
      <c r="AP136" s="919"/>
      <c r="AQ136" s="919"/>
      <c r="AR136" s="919"/>
      <c r="AS136" s="919"/>
      <c r="AT136" s="919"/>
      <c r="AU136" s="919"/>
      <c r="AV136" s="919"/>
      <c r="AW136" s="919"/>
      <c r="AX136" s="919"/>
      <c r="AY136" s="919"/>
      <c r="AZ136" s="919"/>
      <c r="BA136" s="919"/>
      <c r="BB136" s="919"/>
      <c r="BC136" s="919"/>
      <c r="BD136" s="919"/>
      <c r="BE136" s="919"/>
      <c r="BF136" s="919"/>
      <c r="BG136" s="919"/>
      <c r="BH136" s="919"/>
      <c r="BI136" s="919"/>
      <c r="BJ136" s="919"/>
      <c r="BK136" s="919"/>
      <c r="BL136" s="919"/>
      <c r="BM136" s="919"/>
      <c r="BN136" s="499"/>
      <c r="BO136" s="499"/>
      <c r="BP136" s="499"/>
      <c r="BQ136" s="1256"/>
      <c r="BR136" s="1256"/>
      <c r="BS136" s="1041"/>
      <c r="BT136" s="1041"/>
      <c r="BU136" s="1041"/>
      <c r="BV136" s="956"/>
      <c r="BW136" s="956"/>
    </row>
    <row customHeight="1" ht="21.9375" hidden="1">
      <c r="A137" s="1256"/>
      <c r="B137" s="955"/>
      <c r="C137" s="1256"/>
      <c r="D137" s="73" cm="1" t="str">
        <f t="array" ref="D137:D137">D136</f>
        <v>7</v>
      </c>
      <c r="E137" s="679">
        <v>22.5</v>
      </c>
      <c r="F137" s="50" cm="1" t="str">
        <f t="array" ref="F137:F137">OFFSET(E137,-1,1)</f>
        <v>0</v>
      </c>
      <c r="G137" s="124" t="s">
        <v>364</v>
      </c>
      <c r="H137" s="1256"/>
      <c r="I137" s="124" t="s">
        <v>488</v>
      </c>
      <c r="J137" s="1256"/>
      <c r="K137" s="124" t="s">
        <v>488</v>
      </c>
      <c r="L137" s="957"/>
      <c r="M137" s="73"/>
      <c r="N137" s="1256"/>
      <c r="O137" s="1256"/>
      <c r="P137" s="1256"/>
      <c r="Q137" s="1256"/>
      <c r="R137" s="1256"/>
      <c r="S137" s="1256"/>
      <c r="T137" s="438" cm="1" t="str">
        <f t="array" ref="T137:T137">T136</f>
        <v>false</v>
      </c>
      <c r="U137" s="1256"/>
      <c r="V137" s="1256"/>
      <c r="W137" s="1256"/>
      <c r="X137" s="1511"/>
      <c r="Y137" s="1256"/>
      <c r="Z137" s="1494"/>
      <c r="AA137" s="1256"/>
      <c r="AB137" s="266" t="str">
        <f>D137&amp;".1"</f>
        <v>7.1</v>
      </c>
      <c r="AC137" s="738" t="s">
        <v>2019</v>
      </c>
      <c r="AD137" s="266" t="s">
        <v>789</v>
      </c>
      <c r="AE137" s="1233"/>
      <c r="AF137" s="1233"/>
      <c r="AG137" s="1233"/>
      <c r="AH137" s="920">
        <f>AG137-AF137</f>
        <v>0</v>
      </c>
      <c r="AI137" s="1231"/>
      <c r="AJ137" s="3707">
        <f>_xlfn.SUMIFS('Корректировка НВВ'!$AF$25:$AF$129,'Корректировка НВВ'!$F$25:$F$129,$F137,'Корректировка НВВ'!$I$25:$I$129,$G137)</f>
        <v>0</v>
      </c>
      <c r="AK137" s="1231"/>
      <c r="AL137" s="1231"/>
      <c r="AM137" s="1231"/>
      <c r="AN137" s="1231"/>
      <c r="AO137" s="1231"/>
      <c r="AP137" s="1231"/>
      <c r="AQ137" s="1231"/>
      <c r="AR137" s="1231"/>
      <c r="AS137" s="1231"/>
      <c r="AT137" s="3707">
        <f>_xlfn.SUMIFS('Корректировка НВВ'!$AG$25:$AG$129,'Корректировка НВВ'!$F$25:$F$129,$F137,'Корректировка НВВ'!$I$25:$I$129,$G137)</f>
        <v>0</v>
      </c>
      <c r="AU137" s="1231"/>
      <c r="AV137" s="1231"/>
      <c r="AW137" s="1231"/>
      <c r="AX137" s="1231"/>
      <c r="AY137" s="1231"/>
      <c r="AZ137" s="1231"/>
      <c r="BA137" s="1231"/>
      <c r="BB137" s="1231"/>
      <c r="BC137" s="1231"/>
      <c r="BD137" s="919"/>
      <c r="BE137" s="919"/>
      <c r="BF137" s="919"/>
      <c r="BG137" s="919"/>
      <c r="BH137" s="919"/>
      <c r="BI137" s="919"/>
      <c r="BJ137" s="919"/>
      <c r="BK137" s="919"/>
      <c r="BL137" s="919"/>
      <c r="BM137" s="919"/>
      <c r="BN137" s="1234"/>
      <c r="BO137" s="1232" t="str">
        <f>IF(_xlfn.IFERROR(INDEX('Корректировка НВВ'!$K$26:$L$129,MATCH($F137&amp;"1komm",'Корректировка НВВ'!$K$26:$K$129,0),2),"")=0,"",_xlfn.IFERROR(INDEX('Корректировка НВВ'!$K$26:$L$129,MATCH($F137&amp;"1komm",'Корректировка НВВ'!$K$26:$K$129,0),2),""))</f>
        <v/>
      </c>
      <c r="BP137" s="1234"/>
      <c r="BQ137" s="1256"/>
      <c r="BR137" s="1256"/>
      <c r="BS137" s="1041" t="s">
        <v>2020</v>
      </c>
      <c r="BT137" s="1041"/>
      <c r="BU137" s="1041"/>
      <c r="BV137" s="956"/>
      <c r="BW137" s="956"/>
    </row>
    <row customHeight="1" ht="98.71875" hidden="1">
      <c r="A138" s="1256"/>
      <c r="B138" s="955"/>
      <c r="C138" s="1256"/>
      <c r="D138" s="73" cm="1" t="str">
        <f t="array" ref="D138:D138">D137</f>
        <v>7</v>
      </c>
      <c r="E138" s="679">
        <v>101.25</v>
      </c>
      <c r="F138" s="50" cm="1" t="str">
        <f t="array" ref="F138:F138">OFFSET(E138,-1,1)</f>
        <v>0</v>
      </c>
      <c r="G138" s="124" t="s">
        <v>2021</v>
      </c>
      <c r="H138" s="1256"/>
      <c r="I138" s="124" t="s">
        <v>535</v>
      </c>
      <c r="J138" s="1256"/>
      <c r="K138" s="124" t="s">
        <v>535</v>
      </c>
      <c r="L138" s="957"/>
      <c r="M138" s="73"/>
      <c r="N138" s="1256"/>
      <c r="O138" s="1256"/>
      <c r="P138" s="1256"/>
      <c r="Q138" s="1256"/>
      <c r="R138" s="1256"/>
      <c r="S138" s="1256"/>
      <c r="T138" s="438" cm="1" t="str">
        <f t="array" ref="T138:T138">T137</f>
        <v>false</v>
      </c>
      <c r="U138" s="1256"/>
      <c r="V138" s="1256"/>
      <c r="W138" s="1256"/>
      <c r="X138" s="1511"/>
      <c r="Y138" s="1256"/>
      <c r="Z138" s="1494"/>
      <c r="AA138" s="1256"/>
      <c r="AB138" s="266" t="str">
        <f>D138&amp;".2"</f>
        <v>7.2</v>
      </c>
      <c r="AC138" s="738" t="s">
        <v>2022</v>
      </c>
      <c r="AD138" s="266" t="s">
        <v>789</v>
      </c>
      <c r="AE138" s="1233"/>
      <c r="AF138" s="1233"/>
      <c r="AG138" s="1233"/>
      <c r="AH138" s="920">
        <f>AG138-AF138</f>
        <v>0</v>
      </c>
      <c r="AI138" s="1231"/>
      <c r="AJ138" s="3707">
        <f>_xlfn.SUMIFS('Корректировка НВВ'!$AF$25:$AF$129,'Корректировка НВВ'!$F$25:$F$129,$F138,'Корректировка НВВ'!$I$25:$I$129,$G138)</f>
        <v>0</v>
      </c>
      <c r="AK138" s="1231"/>
      <c r="AL138" s="1231"/>
      <c r="AM138" s="1231"/>
      <c r="AN138" s="1231"/>
      <c r="AO138" s="1231"/>
      <c r="AP138" s="1231"/>
      <c r="AQ138" s="1231"/>
      <c r="AR138" s="1231"/>
      <c r="AS138" s="1231"/>
      <c r="AT138" s="3707">
        <f>_xlfn.SUMIFS('Корректировка НВВ'!$AG$25:$AG$129,'Корректировка НВВ'!$F$25:$F$129,$F138,'Корректировка НВВ'!$I$25:$I$129,$G138)</f>
        <v>0</v>
      </c>
      <c r="AU138" s="1231"/>
      <c r="AV138" s="1231"/>
      <c r="AW138" s="1231"/>
      <c r="AX138" s="1231"/>
      <c r="AY138" s="1231"/>
      <c r="AZ138" s="1231"/>
      <c r="BA138" s="1231"/>
      <c r="BB138" s="1231"/>
      <c r="BC138" s="1231"/>
      <c r="BD138" s="919"/>
      <c r="BE138" s="919"/>
      <c r="BF138" s="919"/>
      <c r="BG138" s="919"/>
      <c r="BH138" s="919"/>
      <c r="BI138" s="919"/>
      <c r="BJ138" s="919"/>
      <c r="BK138" s="919"/>
      <c r="BL138" s="919"/>
      <c r="BM138" s="919"/>
      <c r="BN138" s="1234"/>
      <c r="BO138" s="1232" t="str">
        <f>IF(_xlfn.IFERROR(INDEX('Корректировка НВВ'!$K$26:$L$129,MATCH($F138&amp;"2komm",'Корректировка НВВ'!$K$26:$K$129,0),2),"")=0,"",_xlfn.IFERROR(INDEX('Корректировка НВВ'!$K$26:$L$129,MATCH($F138&amp;"2komm",'Корректировка НВВ'!$K$26:$K$129,0),2),""))</f>
        <v/>
      </c>
      <c r="BP138" s="1234"/>
      <c r="BQ138" s="1256"/>
      <c r="BR138" s="1256"/>
      <c r="BS138" s="1041" t="s">
        <v>2023</v>
      </c>
      <c r="BT138" s="1041"/>
      <c r="BU138" s="1041"/>
      <c r="BV138" s="956"/>
      <c r="BW138" s="956"/>
    </row>
    <row customHeight="1" ht="43.875" hidden="1">
      <c r="A139" s="1256"/>
      <c r="B139" s="955"/>
      <c r="C139" s="1256"/>
      <c r="D139" s="73" cm="1" t="str">
        <f t="array" ref="D139:D139">D138</f>
        <v>7</v>
      </c>
      <c r="E139" s="679">
        <v>45</v>
      </c>
      <c r="F139" s="50" cm="1" t="str">
        <f t="array" ref="F139:F139">OFFSET(E139,-1,1)</f>
        <v>0</v>
      </c>
      <c r="G139" s="1256"/>
      <c r="H139" s="1256"/>
      <c r="I139" s="124" t="s">
        <v>550</v>
      </c>
      <c r="J139" s="1256"/>
      <c r="K139" s="124" t="s">
        <v>550</v>
      </c>
      <c r="L139" s="957"/>
      <c r="M139" s="73"/>
      <c r="N139" s="1256"/>
      <c r="O139" s="1256"/>
      <c r="P139" s="1256"/>
      <c r="Q139" s="1256"/>
      <c r="R139" s="1256"/>
      <c r="S139" s="1256"/>
      <c r="T139" s="438" cm="1" t="str">
        <f t="array" ref="T139:T139">T138</f>
        <v>false</v>
      </c>
      <c r="U139" s="1256"/>
      <c r="V139" s="1256"/>
      <c r="W139" s="1256"/>
      <c r="X139" s="1511"/>
      <c r="Y139" s="1256"/>
      <c r="Z139" s="1494"/>
      <c r="AA139" s="1256"/>
      <c r="AB139" s="266" t="str">
        <f>D139&amp;".3"</f>
        <v>7.3</v>
      </c>
      <c r="AC139" s="738" t="s">
        <v>2024</v>
      </c>
      <c r="AD139" s="266" t="s">
        <v>789</v>
      </c>
      <c r="AE139" s="1233"/>
      <c r="AF139" s="1233"/>
      <c r="AG139" s="1233"/>
      <c r="AH139" s="920">
        <f>AG139-AF139</f>
        <v>0</v>
      </c>
      <c r="AI139" s="1231"/>
      <c r="AJ139" s="3707">
        <f>_xlfn.SUMIFS('Корректировка НВВ'!$AF$25:$AF$129,'Корректировка НВВ'!$F$25:$F$129,$F139,'Корректировка НВВ'!$I$25:$I$129,"L1")+_xlfn.SUMIFS('Корректировка НВВ'!$AF$25:$AF$129,'Корректировка НВВ'!$F$25:$F$129,$F139,'Корректировка НВВ'!$I$25:$I$129,"L2")</f>
        <v>0</v>
      </c>
      <c r="AK139" s="1231"/>
      <c r="AL139" s="1231"/>
      <c r="AM139" s="1231"/>
      <c r="AN139" s="1231"/>
      <c r="AO139" s="1231"/>
      <c r="AP139" s="1231"/>
      <c r="AQ139" s="1231"/>
      <c r="AR139" s="1231"/>
      <c r="AS139" s="1231"/>
      <c r="AT139" s="3707">
        <f>_xlfn.SUMIFS('Корректировка НВВ'!$AG$25:$AG$129,'Корректировка НВВ'!$F$25:$F$129,$F139,'Корректировка НВВ'!$I$25:$I$129,"L1")+_xlfn.SUMIFS('Корректировка НВВ'!$AF$25:$AF$129,'Корректировка НВВ'!$F$25:$F$129,$F139,'Корректировка НВВ'!$I$25:$I$129,"L2")</f>
        <v>0</v>
      </c>
      <c r="AU139" s="1231"/>
      <c r="AV139" s="1231"/>
      <c r="AW139" s="1231"/>
      <c r="AX139" s="1231"/>
      <c r="AY139" s="1231"/>
      <c r="AZ139" s="1231"/>
      <c r="BA139" s="1231"/>
      <c r="BB139" s="1231"/>
      <c r="BC139" s="1231"/>
      <c r="BD139" s="919"/>
      <c r="BE139" s="919"/>
      <c r="BF139" s="919"/>
      <c r="BG139" s="919"/>
      <c r="BH139" s="919"/>
      <c r="BI139" s="919"/>
      <c r="BJ139" s="919"/>
      <c r="BK139" s="919"/>
      <c r="BL139" s="919"/>
      <c r="BM139" s="919"/>
      <c r="BN139" s="1234"/>
      <c r="BO139" s="1232"/>
      <c r="BP139" s="1234"/>
      <c r="BQ139" s="1256"/>
      <c r="BR139" s="1256"/>
      <c r="BS139" s="1041" t="s">
        <v>2025</v>
      </c>
      <c r="BT139" s="1041"/>
      <c r="BU139" s="1041"/>
      <c r="BV139" s="956"/>
      <c r="BW139" s="956"/>
    </row>
    <row customHeight="1" ht="87.75" hidden="1">
      <c r="A140" s="1256"/>
      <c r="B140" s="417">
        <f>S27="Водоотведение"</f>
        <v>0</v>
      </c>
      <c r="C140" s="1256"/>
      <c r="D140" s="73" cm="1" t="str">
        <f t="array" ref="D140:D140">D139</f>
        <v>7</v>
      </c>
      <c r="E140" s="679">
        <v>90</v>
      </c>
      <c r="F140" s="50" cm="1" t="str">
        <f t="array" ref="F140:F140">OFFSET(E140,-1,1)</f>
        <v>0</v>
      </c>
      <c r="G140" s="124" t="s">
        <v>2026</v>
      </c>
      <c r="H140" s="49"/>
      <c r="I140" s="124" t="s">
        <v>719</v>
      </c>
      <c r="J140" s="1256"/>
      <c r="K140" s="124" t="s">
        <v>719</v>
      </c>
      <c r="L140" s="957" t="s">
        <v>716</v>
      </c>
      <c r="M140" s="73"/>
      <c r="N140" s="1256"/>
      <c r="O140" s="1256"/>
      <c r="P140" s="1256"/>
      <c r="Q140" s="1256"/>
      <c r="R140" s="1256"/>
      <c r="S140" s="1256"/>
      <c r="T140" s="438" cm="1" t="str">
        <f t="array" ref="T140:T140">T139</f>
        <v>false</v>
      </c>
      <c r="U140" s="1256"/>
      <c r="V140" s="1256"/>
      <c r="W140" s="1256"/>
      <c r="X140" s="1511"/>
      <c r="Y140" s="1256"/>
      <c r="Z140" s="1494"/>
      <c r="AA140" s="1256"/>
      <c r="AB140" s="266" t="str">
        <f>D140&amp;".4"</f>
        <v>7.4</v>
      </c>
      <c r="AC140" s="738" t="s">
        <v>1687</v>
      </c>
      <c r="AD140" s="742" t="s">
        <v>789</v>
      </c>
      <c r="AE140" s="1233"/>
      <c r="AF140" s="1233"/>
      <c r="AG140" s="1233"/>
      <c r="AH140" s="920">
        <f>AG140-AF140</f>
        <v>0</v>
      </c>
      <c r="AI140" s="1231"/>
      <c r="AJ140" s="3707">
        <f>_xlfn.SUMIFS('Корректировка НВВ'!$AF$25:$AF$129,'Корректировка НВВ'!$F$25:$F$129,$F140,'Корректировка НВВ'!$I$25:$I$129,$G140)</f>
        <v>0</v>
      </c>
      <c r="AK140" s="1231"/>
      <c r="AL140" s="1231"/>
      <c r="AM140" s="1231"/>
      <c r="AN140" s="1231"/>
      <c r="AO140" s="1231"/>
      <c r="AP140" s="1231"/>
      <c r="AQ140" s="1231"/>
      <c r="AR140" s="1231"/>
      <c r="AS140" s="1231"/>
      <c r="AT140" s="3707">
        <f>_xlfn.SUMIFS('Корректировка НВВ'!$AG$25:$AG$129,'Корректировка НВВ'!$F$25:$F$129,$F140,'Корректировка НВВ'!$I$25:$I$129,$G140)</f>
        <v>0</v>
      </c>
      <c r="AU140" s="1231"/>
      <c r="AV140" s="1231"/>
      <c r="AW140" s="1231"/>
      <c r="AX140" s="1231"/>
      <c r="AY140" s="1231"/>
      <c r="AZ140" s="1231"/>
      <c r="BA140" s="1231"/>
      <c r="BB140" s="1231"/>
      <c r="BC140" s="1231"/>
      <c r="BD140" s="919"/>
      <c r="BE140" s="919"/>
      <c r="BF140" s="919"/>
      <c r="BG140" s="919"/>
      <c r="BH140" s="919"/>
      <c r="BI140" s="919"/>
      <c r="BJ140" s="919"/>
      <c r="BK140" s="919"/>
      <c r="BL140" s="919"/>
      <c r="BM140" s="919"/>
      <c r="BN140" s="1234"/>
      <c r="BO140" s="1232" t="str">
        <f>IF(_xlfn.IFERROR(INDEX('Корректировка НВВ'!$K$26:$L$129,MATCH($F140&amp;"3komm",'Корректировка НВВ'!$K$26:$K$129,0),2),"")=0,"",_xlfn.IFERROR(INDEX('Корректировка НВВ'!$K$26:$L$129,MATCH($F140&amp;"3komm",'Корректировка НВВ'!$K$26:$K$129,0),2),""))</f>
        <v/>
      </c>
      <c r="BP140" s="1234"/>
      <c r="BQ140" s="1256"/>
      <c r="BR140" s="1256"/>
      <c r="BS140" s="1041" t="s">
        <v>1238</v>
      </c>
      <c r="BT140" s="1041"/>
      <c r="BU140" s="1041"/>
      <c r="BV140" s="956"/>
      <c r="BW140" s="956"/>
    </row>
    <row customHeight="1" ht="54.84375" hidden="1">
      <c r="A141" s="1256"/>
      <c r="B141" s="417" cm="1" t="str">
        <f t="array" ref="B141:B141">B140</f>
        <v>false</v>
      </c>
      <c r="C141" s="1256"/>
      <c r="D141" s="73" cm="1" t="str">
        <f t="array" ref="D141:D141">D140</f>
        <v>7</v>
      </c>
      <c r="E141" s="679">
        <v>56.25</v>
      </c>
      <c r="F141" s="50" cm="1" t="str">
        <f t="array" ref="F141:F141">OFFSET(E141,-1,1)</f>
        <v>0</v>
      </c>
      <c r="G141" s="124" t="s">
        <v>2027</v>
      </c>
      <c r="H141" s="49"/>
      <c r="I141" s="124" t="s">
        <v>754</v>
      </c>
      <c r="J141" s="1256"/>
      <c r="K141" s="124" t="s">
        <v>754</v>
      </c>
      <c r="L141" s="957" t="s">
        <v>719</v>
      </c>
      <c r="M141" s="73"/>
      <c r="N141" s="1256"/>
      <c r="O141" s="1256"/>
      <c r="P141" s="1256"/>
      <c r="Q141" s="1256"/>
      <c r="R141" s="1256"/>
      <c r="S141" s="1256"/>
      <c r="T141" s="438" cm="1" t="str">
        <f t="array" ref="T141:T141">T140</f>
        <v>false</v>
      </c>
      <c r="U141" s="1256"/>
      <c r="V141" s="1256"/>
      <c r="W141" s="1256"/>
      <c r="X141" s="1511"/>
      <c r="Y141" s="1256"/>
      <c r="Z141" s="1494"/>
      <c r="AA141" s="1256"/>
      <c r="AB141" s="266" t="str">
        <f>D141&amp;".5"</f>
        <v>7.5</v>
      </c>
      <c r="AC141" s="738" t="s">
        <v>1689</v>
      </c>
      <c r="AD141" s="742" t="s">
        <v>789</v>
      </c>
      <c r="AE141" s="1233"/>
      <c r="AF141" s="1233"/>
      <c r="AG141" s="1233"/>
      <c r="AH141" s="920">
        <f>AG141-AF141</f>
        <v>0</v>
      </c>
      <c r="AI141" s="1231"/>
      <c r="AJ141" s="3707">
        <f>_xlfn.SUMIFS('Корректировка НВВ'!$AF$25:$AF$129,'Корректировка НВВ'!$F$25:$F$129,$F141,'Корректировка НВВ'!$I$25:$I$129,$G141)</f>
        <v>0</v>
      </c>
      <c r="AK141" s="1231"/>
      <c r="AL141" s="1231"/>
      <c r="AM141" s="1231"/>
      <c r="AN141" s="1231"/>
      <c r="AO141" s="1231"/>
      <c r="AP141" s="1231"/>
      <c r="AQ141" s="1231"/>
      <c r="AR141" s="1231"/>
      <c r="AS141" s="1231"/>
      <c r="AT141" s="3707">
        <f>_xlfn.SUMIFS('Корректировка НВВ'!$AG$25:$AG$129,'Корректировка НВВ'!$F$25:$F$129,$F141,'Корректировка НВВ'!$I$25:$I$129,$G141)</f>
        <v>0</v>
      </c>
      <c r="AU141" s="1231"/>
      <c r="AV141" s="1231"/>
      <c r="AW141" s="1231"/>
      <c r="AX141" s="1231"/>
      <c r="AY141" s="1231"/>
      <c r="AZ141" s="1231"/>
      <c r="BA141" s="1231"/>
      <c r="BB141" s="1231"/>
      <c r="BC141" s="1231"/>
      <c r="BD141" s="919"/>
      <c r="BE141" s="919"/>
      <c r="BF141" s="919"/>
      <c r="BG141" s="919"/>
      <c r="BH141" s="919"/>
      <c r="BI141" s="919"/>
      <c r="BJ141" s="919"/>
      <c r="BK141" s="919"/>
      <c r="BL141" s="919"/>
      <c r="BM141" s="919"/>
      <c r="BN141" s="1234"/>
      <c r="BO141" s="1232" t="str">
        <f>IF(_xlfn.IFERROR(INDEX('Корректировка НВВ'!$K$26:$L$129,MATCH($F141&amp;"4komm",'Корректировка НВВ'!$K$26:$K$129,0),2),"")=0,"",_xlfn.IFERROR(INDEX('Корректировка НВВ'!$K$26:$L$129,MATCH($F141&amp;"4komm",'Корректировка НВВ'!$K$26:$K$129,0),2),""))</f>
        <v/>
      </c>
      <c r="BP141" s="1234"/>
      <c r="BQ141" s="1256"/>
      <c r="BR141" s="1256"/>
      <c r="BS141" s="1041" t="s">
        <v>1242</v>
      </c>
      <c r="BT141" s="1041"/>
      <c r="BU141" s="1041"/>
      <c r="BV141" s="956"/>
      <c r="BW141" s="956"/>
    </row>
    <row customHeight="1" ht="14.625" hidden="1">
      <c r="A142" s="1256"/>
      <c r="B142" s="955"/>
      <c r="C142" s="1256"/>
      <c r="D142" s="73" cm="1" t="str">
        <f t="array" ref="D142:D142">D141</f>
        <v>7</v>
      </c>
      <c r="E142" s="679">
        <v>15</v>
      </c>
      <c r="F142" s="50" cm="1" t="str">
        <f t="array" ref="F142:F142">OFFSET(E142,-1,1)</f>
        <v>0</v>
      </c>
      <c r="G142" s="124" t="s">
        <v>2028</v>
      </c>
      <c r="H142" s="1256"/>
      <c r="I142" s="124" t="s">
        <v>755</v>
      </c>
      <c r="J142" s="1256"/>
      <c r="K142" s="124" t="s">
        <v>755</v>
      </c>
      <c r="L142" s="957" t="s">
        <v>754</v>
      </c>
      <c r="M142" s="73"/>
      <c r="N142" s="1256"/>
      <c r="O142" s="1256"/>
      <c r="P142" s="1256"/>
      <c r="Q142" s="1256"/>
      <c r="R142" s="1256"/>
      <c r="S142" s="1256"/>
      <c r="T142" s="438" cm="1" t="str">
        <f t="array" ref="T142:T142">T141</f>
        <v>false</v>
      </c>
      <c r="U142" s="1256"/>
      <c r="V142" s="1256"/>
      <c r="W142" s="1256"/>
      <c r="X142" s="1511"/>
      <c r="Y142" s="1256"/>
      <c r="Z142" s="1494"/>
      <c r="AA142" s="1256"/>
      <c r="AB142" s="266" t="str">
        <f>IF(B141,D142&amp;".6",D142&amp;".4")</f>
        <v>7.4</v>
      </c>
      <c r="AC142" s="738" t="s">
        <v>1455</v>
      </c>
      <c r="AD142" s="266" t="s">
        <v>789</v>
      </c>
      <c r="AE142" s="1233"/>
      <c r="AF142" s="1233"/>
      <c r="AG142" s="1233"/>
      <c r="AH142" s="920">
        <f>AG142-AF142</f>
        <v>0</v>
      </c>
      <c r="AI142" s="1231"/>
      <c r="AJ142" s="3707">
        <f>_xlfn.SUMIFS('Корректировка НВВ'!$AF$25:$AF$129,'Корректировка НВВ'!$F$25:$F$129,$F142,'Корректировка НВВ'!$I$25:$I$129,$G142)</f>
        <v>0</v>
      </c>
      <c r="AK142" s="1231"/>
      <c r="AL142" s="1231"/>
      <c r="AM142" s="1231"/>
      <c r="AN142" s="1231"/>
      <c r="AO142" s="1231"/>
      <c r="AP142" s="1231"/>
      <c r="AQ142" s="1231"/>
      <c r="AR142" s="1231"/>
      <c r="AS142" s="1231"/>
      <c r="AT142" s="3707">
        <f>_xlfn.SUMIFS('Корректировка НВВ'!$AG$25:$AG$129,'Корректировка НВВ'!$F$25:$F$129,$F142,'Корректировка НВВ'!$I$25:$I$129,$G142)</f>
        <v>0</v>
      </c>
      <c r="AU142" s="1231"/>
      <c r="AV142" s="1231"/>
      <c r="AW142" s="1231"/>
      <c r="AX142" s="1231"/>
      <c r="AY142" s="1231"/>
      <c r="AZ142" s="1231"/>
      <c r="BA142" s="1231"/>
      <c r="BB142" s="1231"/>
      <c r="BC142" s="1231"/>
      <c r="BD142" s="919"/>
      <c r="BE142" s="919"/>
      <c r="BF142" s="919"/>
      <c r="BG142" s="919"/>
      <c r="BH142" s="919"/>
      <c r="BI142" s="919"/>
      <c r="BJ142" s="919"/>
      <c r="BK142" s="919"/>
      <c r="BL142" s="919"/>
      <c r="BM142" s="919"/>
      <c r="BN142" s="1234"/>
      <c r="BO142" s="1232" t="str">
        <f>IF(_xlfn.IFERROR(INDEX('Корректировка НВВ'!$K$26:$L$129,MATCH($F142&amp;"5komm",'Корректировка НВВ'!$K$26:$K$129,0),2),"")=0,"",_xlfn.IFERROR(INDEX('Корректировка НВВ'!$K$26:$L$129,MATCH($F142&amp;"5komm",'Корректировка НВВ'!$K$26:$K$129,0),2),""))</f>
        <v/>
      </c>
      <c r="BP142" s="1234"/>
      <c r="BQ142" s="1256"/>
      <c r="BR142" s="1256"/>
      <c r="BS142" s="1041" t="s">
        <v>2029</v>
      </c>
      <c r="BT142" s="1041"/>
      <c r="BU142" s="1041"/>
      <c r="BV142" s="956"/>
      <c r="BW142" s="956"/>
    </row>
    <row customHeight="1" ht="14.625" hidden="1">
      <c r="A143" s="1256"/>
      <c r="B143" s="955"/>
      <c r="C143" s="1256"/>
      <c r="D143" s="73" cm="1" t="str">
        <f t="array" ref="D143:D143">D142</f>
        <v>7</v>
      </c>
      <c r="E143" s="679">
        <v>15</v>
      </c>
      <c r="F143" s="50" cm="1" t="str">
        <f t="array" ref="F143:F143">OFFSET(E143,-1,1)</f>
        <v>0</v>
      </c>
      <c r="G143" s="124" t="s">
        <v>2030</v>
      </c>
      <c r="H143" s="1256"/>
      <c r="I143" s="124" t="s">
        <v>1699</v>
      </c>
      <c r="J143" s="1256"/>
      <c r="K143" s="124" t="s">
        <v>1699</v>
      </c>
      <c r="L143" s="957" t="s">
        <v>755</v>
      </c>
      <c r="M143" s="73"/>
      <c r="N143" s="1256"/>
      <c r="O143" s="1256"/>
      <c r="P143" s="1256"/>
      <c r="Q143" s="1256"/>
      <c r="R143" s="1256"/>
      <c r="S143" s="1256"/>
      <c r="T143" s="438" cm="1" t="str">
        <f t="array" ref="T143:T143">T142</f>
        <v>false</v>
      </c>
      <c r="U143" s="1256"/>
      <c r="V143" s="1256"/>
      <c r="W143" s="1256"/>
      <c r="X143" s="1511"/>
      <c r="Y143" s="1256"/>
      <c r="Z143" s="1494"/>
      <c r="AA143" s="1256"/>
      <c r="AB143" s="266" t="str">
        <f>IF(B141,D142&amp;".7",D142&amp;".5")</f>
        <v>7.5</v>
      </c>
      <c r="AC143" s="738" t="s">
        <v>1417</v>
      </c>
      <c r="AD143" s="266" t="s">
        <v>789</v>
      </c>
      <c r="AE143" s="1233">
        <f>AE144+AE145</f>
        <v>0</v>
      </c>
      <c r="AF143" s="1233">
        <f>AF144+AF145</f>
        <v>0</v>
      </c>
      <c r="AG143" s="1233">
        <f>AG144+AG145</f>
        <v>0</v>
      </c>
      <c r="AH143" s="920">
        <f>AG143-AF143</f>
        <v>0</v>
      </c>
      <c r="AI143" s="1231">
        <f>AI144+AI145</f>
        <v>0</v>
      </c>
      <c r="AJ143" s="3707">
        <f>_xlfn.SUMIFS('Корректировка НВВ'!$AF$25:$AF$129,'Корректировка НВВ'!$F$25:$F$129,$F143,'Корректировка НВВ'!$I$25:$I$129,$G143)</f>
        <v>0</v>
      </c>
      <c r="AK143" s="1231">
        <f>AK144+AK145</f>
        <v>0</v>
      </c>
      <c r="AL143" s="1231">
        <f>AL144+AL145</f>
        <v>0</v>
      </c>
      <c r="AM143" s="1231">
        <f>AM144+AM145</f>
        <v>0</v>
      </c>
      <c r="AN143" s="1231">
        <f>AN144+AN145</f>
        <v>0</v>
      </c>
      <c r="AO143" s="1231">
        <f>AO144+AO145</f>
        <v>0</v>
      </c>
      <c r="AP143" s="1231">
        <f>AP144+AP145</f>
        <v>0</v>
      </c>
      <c r="AQ143" s="1231">
        <f>AQ144+AQ145</f>
        <v>0</v>
      </c>
      <c r="AR143" s="1231">
        <f>AR144+AR145</f>
        <v>0</v>
      </c>
      <c r="AS143" s="1231">
        <f>AS144+AS145</f>
        <v>0</v>
      </c>
      <c r="AT143" s="3707">
        <f>_xlfn.SUMIFS('Корректировка НВВ'!$AG$25:$AG$129,'Корректировка НВВ'!$F$25:$F$129,$F143,'Корректировка НВВ'!$I$25:$I$129,$G143)</f>
        <v>0</v>
      </c>
      <c r="AU143" s="1231">
        <f>AU144+AU145</f>
        <v>0</v>
      </c>
      <c r="AV143" s="1231">
        <f>AV144+AV145</f>
        <v>0</v>
      </c>
      <c r="AW143" s="1231">
        <f>AW144+AW145</f>
        <v>0</v>
      </c>
      <c r="AX143" s="1231">
        <f>AX144+AX145</f>
        <v>0</v>
      </c>
      <c r="AY143" s="1231">
        <f>AY144+AY145</f>
        <v>0</v>
      </c>
      <c r="AZ143" s="1231">
        <f>AZ144+AZ145</f>
        <v>0</v>
      </c>
      <c r="BA143" s="1231">
        <f>BA144+BA145</f>
        <v>0</v>
      </c>
      <c r="BB143" s="1231">
        <f>BB144+BB145</f>
        <v>0</v>
      </c>
      <c r="BC143" s="1231">
        <f>BC144+BC145</f>
        <v>0</v>
      </c>
      <c r="BD143" s="920">
        <f>IF(AI143=0,0,(AT143-AI143)/AI143*100)</f>
        <v>0</v>
      </c>
      <c r="BE143" s="920">
        <f>IF(AT143=0,0,(AU143-AT143)/AT143*100)</f>
        <v>0</v>
      </c>
      <c r="BF143" s="920">
        <f>IF(AU143=0,0,(AV143-AU143)/AU143*100)</f>
        <v>0</v>
      </c>
      <c r="BG143" s="920">
        <f>IF(AV143=0,0,(AW143-AV143)/AV143*100)</f>
        <v>0</v>
      </c>
      <c r="BH143" s="920">
        <f>IF(AW143=0,0,(AX143-AW143)/AW143*100)</f>
        <v>0</v>
      </c>
      <c r="BI143" s="920">
        <f>IF(AX143=0,0,(AY143-AX143)/AX143*100)</f>
        <v>0</v>
      </c>
      <c r="BJ143" s="920">
        <f>IF(AY143=0,0,(AZ143-AY143)/AY143*100)</f>
        <v>0</v>
      </c>
      <c r="BK143" s="920">
        <f>IF(AZ143=0,0,(BA143-AZ143)/AZ143*100)</f>
        <v>0</v>
      </c>
      <c r="BL143" s="920">
        <f>IF(BA143=0,0,(BB143-BA143)/BA143*100)</f>
        <v>0</v>
      </c>
      <c r="BM143" s="920">
        <f>IF(BB143=0,0,(BC143-BB143)/BB143*100)</f>
        <v>0</v>
      </c>
      <c r="BN143" s="1234"/>
      <c r="BO143" s="1232" t="str">
        <f>IF(_xlfn.IFERROR(INDEX('Корректировка НВВ'!$K$26:$L$129,MATCH($F143&amp;"6komm",'Корректировка НВВ'!$K$26:$K$129,0),2),"")=0,"",_xlfn.IFERROR(INDEX('Корректировка НВВ'!$K$26:$L$129,MATCH($F143&amp;"6komm",'Корректировка НВВ'!$K$26:$K$129,0),2),""))</f>
        <v/>
      </c>
      <c r="BP143" s="1234"/>
      <c r="BQ143" s="1256"/>
      <c r="BR143" s="1256"/>
      <c r="BS143" s="1041" t="s">
        <v>1419</v>
      </c>
      <c r="BT143" s="1041"/>
      <c r="BU143" s="1041"/>
      <c r="BV143" s="956"/>
      <c r="BW143" s="956"/>
    </row>
    <row customHeight="1" ht="21.9375" hidden="1">
      <c r="A144" s="1256"/>
      <c r="B144" s="955"/>
      <c r="C144" s="1256"/>
      <c r="D144" s="73" cm="1" t="str">
        <f t="array" ref="D144:D144">D143</f>
        <v>7</v>
      </c>
      <c r="E144" s="679">
        <v>22.5</v>
      </c>
      <c r="F144" s="50" cm="1" t="str">
        <f t="array" ref="F144:F144">OFFSET(E144,-1,1)</f>
        <v>0</v>
      </c>
      <c r="G144" s="124" t="s">
        <v>2031</v>
      </c>
      <c r="H144" s="1256"/>
      <c r="I144" s="124" t="s">
        <v>2032</v>
      </c>
      <c r="J144" s="1256"/>
      <c r="K144" s="124" t="s">
        <v>2032</v>
      </c>
      <c r="L144" s="957" t="s">
        <v>1694</v>
      </c>
      <c r="M144" s="73"/>
      <c r="N144" s="1256"/>
      <c r="O144" s="1256"/>
      <c r="P144" s="1256"/>
      <c r="Q144" s="1256"/>
      <c r="R144" s="1256"/>
      <c r="S144" s="1256"/>
      <c r="T144" s="438" cm="1" t="str">
        <f t="array" ref="T144:T144">T143</f>
        <v>false</v>
      </c>
      <c r="U144" s="1256"/>
      <c r="V144" s="1256"/>
      <c r="W144" s="1256"/>
      <c r="X144" s="1511"/>
      <c r="Y144" s="1256"/>
      <c r="Z144" s="1494"/>
      <c r="AA144" s="1256"/>
      <c r="AB144" s="266" t="str">
        <f>AB143&amp;".1"</f>
        <v>7.5.1</v>
      </c>
      <c r="AC144" s="757" t="s">
        <v>1420</v>
      </c>
      <c r="AD144" s="266" t="s">
        <v>789</v>
      </c>
      <c r="AE144" s="1233"/>
      <c r="AF144" s="1233"/>
      <c r="AG144" s="1233"/>
      <c r="AH144" s="920">
        <f>AG144-AF144</f>
        <v>0</v>
      </c>
      <c r="AI144" s="1231"/>
      <c r="AJ144" s="3707">
        <f>_xlfn.SUMIFS('Корректировка НВВ'!$AF$25:$AF$129,'Корректировка НВВ'!$F$25:$F$129,$F144,'Корректировка НВВ'!$I$25:$I$129,$G144)</f>
        <v>0</v>
      </c>
      <c r="AK144" s="1231"/>
      <c r="AL144" s="1231"/>
      <c r="AM144" s="1231"/>
      <c r="AN144" s="1231"/>
      <c r="AO144" s="1231"/>
      <c r="AP144" s="1231"/>
      <c r="AQ144" s="1231"/>
      <c r="AR144" s="1231"/>
      <c r="AS144" s="1231"/>
      <c r="AT144" s="3707">
        <f>_xlfn.SUMIFS('Корректировка НВВ'!$AG$25:$AG$129,'Корректировка НВВ'!$F$25:$F$129,$F144,'Корректировка НВВ'!$I$25:$I$129,$G144)</f>
        <v>0</v>
      </c>
      <c r="AU144" s="1231"/>
      <c r="AV144" s="1231"/>
      <c r="AW144" s="1231"/>
      <c r="AX144" s="1231"/>
      <c r="AY144" s="1231"/>
      <c r="AZ144" s="1231"/>
      <c r="BA144" s="1231"/>
      <c r="BB144" s="1231"/>
      <c r="BC144" s="1231"/>
      <c r="BD144" s="919"/>
      <c r="BE144" s="919"/>
      <c r="BF144" s="919"/>
      <c r="BG144" s="919"/>
      <c r="BH144" s="919"/>
      <c r="BI144" s="919"/>
      <c r="BJ144" s="919"/>
      <c r="BK144" s="919"/>
      <c r="BL144" s="919"/>
      <c r="BM144" s="919"/>
      <c r="BN144" s="1234"/>
      <c r="BO144" s="1232" t="str">
        <f>IF(_xlfn.IFERROR(INDEX('Корректировка НВВ'!$K$26:$L$129,MATCH($F144&amp;"7komm",'Корректировка НВВ'!$K$26:$K$129,0),2),"")=0,"",_xlfn.IFERROR(INDEX('Корректировка НВВ'!$K$26:$L$129,MATCH($F144&amp;"7komm",'Корректировка НВВ'!$K$26:$K$129,0),2),""))</f>
        <v/>
      </c>
      <c r="BP144" s="1234"/>
      <c r="BQ144" s="1256"/>
      <c r="BR144" s="1256"/>
      <c r="BS144" s="1041" t="s">
        <v>1421</v>
      </c>
      <c r="BT144" s="1041"/>
      <c r="BU144" s="1041"/>
      <c r="BV144" s="956"/>
      <c r="BW144" s="956"/>
    </row>
    <row customHeight="1" ht="21.9375" hidden="1">
      <c r="A145" s="1256"/>
      <c r="B145" s="955"/>
      <c r="C145" s="1256"/>
      <c r="D145" s="73" cm="1" t="str">
        <f t="array" ref="D145:D145">D144</f>
        <v>7</v>
      </c>
      <c r="E145" s="679">
        <v>22.5</v>
      </c>
      <c r="F145" s="50" cm="1" t="str">
        <f t="array" ref="F145:F145">OFFSET(E145,-1,1)</f>
        <v>0</v>
      </c>
      <c r="G145" s="124" t="s">
        <v>2033</v>
      </c>
      <c r="H145" s="1256"/>
      <c r="I145" s="124" t="s">
        <v>2034</v>
      </c>
      <c r="J145" s="1256"/>
      <c r="K145" s="124" t="s">
        <v>2034</v>
      </c>
      <c r="L145" s="957" t="s">
        <v>1696</v>
      </c>
      <c r="M145" s="73"/>
      <c r="N145" s="1256"/>
      <c r="O145" s="1256"/>
      <c r="P145" s="1256"/>
      <c r="Q145" s="1256"/>
      <c r="R145" s="1256"/>
      <c r="S145" s="1256"/>
      <c r="T145" s="438" cm="1" t="str">
        <f t="array" ref="T145:T145">T144</f>
        <v>false</v>
      </c>
      <c r="U145" s="1256"/>
      <c r="V145" s="1256"/>
      <c r="W145" s="1256"/>
      <c r="X145" s="1511"/>
      <c r="Y145" s="1256"/>
      <c r="Z145" s="1494"/>
      <c r="AA145" s="1256"/>
      <c r="AB145" s="266" t="str">
        <f>AB143&amp;".2"</f>
        <v>7.5.2</v>
      </c>
      <c r="AC145" s="757" t="s">
        <v>1422</v>
      </c>
      <c r="AD145" s="266" t="s">
        <v>789</v>
      </c>
      <c r="AE145" s="1233"/>
      <c r="AF145" s="1233"/>
      <c r="AG145" s="1233"/>
      <c r="AH145" s="920">
        <f>AG145-AF145</f>
        <v>0</v>
      </c>
      <c r="AI145" s="1231"/>
      <c r="AJ145" s="3707">
        <f>_xlfn.SUMIFS('Корректировка НВВ'!$AF$25:$AF$129,'Корректировка НВВ'!$F$25:$F$129,$F145,'Корректировка НВВ'!$I$25:$I$129,$G145)</f>
        <v>0</v>
      </c>
      <c r="AK145" s="1231"/>
      <c r="AL145" s="1231"/>
      <c r="AM145" s="1231"/>
      <c r="AN145" s="1231"/>
      <c r="AO145" s="1231"/>
      <c r="AP145" s="1231"/>
      <c r="AQ145" s="1231"/>
      <c r="AR145" s="1231"/>
      <c r="AS145" s="1231"/>
      <c r="AT145" s="3707">
        <f>_xlfn.SUMIFS('Корректировка НВВ'!$AG$25:$AG$129,'Корректировка НВВ'!$F$25:$F$129,$F145,'Корректировка НВВ'!$I$25:$I$129,$G145)</f>
        <v>0</v>
      </c>
      <c r="AU145" s="1231"/>
      <c r="AV145" s="1231"/>
      <c r="AW145" s="1231"/>
      <c r="AX145" s="1231"/>
      <c r="AY145" s="1231"/>
      <c r="AZ145" s="1231"/>
      <c r="BA145" s="1231"/>
      <c r="BB145" s="1231"/>
      <c r="BC145" s="1231"/>
      <c r="BD145" s="919"/>
      <c r="BE145" s="919"/>
      <c r="BF145" s="919"/>
      <c r="BG145" s="919"/>
      <c r="BH145" s="919"/>
      <c r="BI145" s="919"/>
      <c r="BJ145" s="919"/>
      <c r="BK145" s="919"/>
      <c r="BL145" s="919"/>
      <c r="BM145" s="919"/>
      <c r="BN145" s="1234"/>
      <c r="BO145" s="1232" t="str">
        <f>IF(_xlfn.IFERROR(INDEX('Корректировка НВВ'!$K$26:$L$129,MATCH($F145&amp;"8komm",'Корректировка НВВ'!$K$26:$K$129,0),2),"")=0,"",_xlfn.IFERROR(INDEX('Корректировка НВВ'!$K$26:$L$129,MATCH($F145&amp;"8komm",'Корректировка НВВ'!$K$26:$K$129,0),2),""))</f>
        <v/>
      </c>
      <c r="BP145" s="1234"/>
      <c r="BQ145" s="1256"/>
      <c r="BR145" s="1256"/>
      <c r="BS145" s="1041" t="s">
        <v>1423</v>
      </c>
      <c r="BT145" s="1041"/>
      <c r="BU145" s="1041"/>
      <c r="BV145" s="956"/>
      <c r="BW145" s="956"/>
    </row>
    <row customHeight="1" ht="14.625" hidden="1">
      <c r="A146" s="1256"/>
      <c r="B146" s="955"/>
      <c r="C146" s="1256"/>
      <c r="D146" s="73" cm="1" t="str">
        <f t="array" ref="D146:D146">D145</f>
        <v>7</v>
      </c>
      <c r="E146" s="679">
        <v>15</v>
      </c>
      <c r="F146" s="50" cm="1" t="str">
        <f t="array" ref="F146:F146">OFFSET(E146,-1,1)</f>
        <v>0</v>
      </c>
      <c r="G146" s="124" t="s">
        <v>308</v>
      </c>
      <c r="H146" s="1256"/>
      <c r="I146" s="124" t="s">
        <v>1700</v>
      </c>
      <c r="J146" s="1256"/>
      <c r="K146" s="124" t="s">
        <v>1700</v>
      </c>
      <c r="L146" s="957" t="s">
        <v>1699</v>
      </c>
      <c r="M146" s="73"/>
      <c r="N146" s="1256"/>
      <c r="O146" s="1256"/>
      <c r="P146" s="1256"/>
      <c r="Q146" s="1256"/>
      <c r="R146" s="1256"/>
      <c r="S146" s="1256"/>
      <c r="T146" s="438" cm="1" t="str">
        <f t="array" ref="T146:T146">T145</f>
        <v>false</v>
      </c>
      <c r="U146" s="1256"/>
      <c r="V146" s="1256"/>
      <c r="W146" s="1256"/>
      <c r="X146" s="1511"/>
      <c r="Y146" s="1256"/>
      <c r="Z146" s="1494"/>
      <c r="AA146" s="1256"/>
      <c r="AB146" s="266" t="str">
        <f>IF(B141,D142&amp;".8",D142&amp;".6")</f>
        <v>7.6</v>
      </c>
      <c r="AC146" s="758" t="s">
        <v>1424</v>
      </c>
      <c r="AD146" s="266" t="s">
        <v>789</v>
      </c>
      <c r="AE146" s="1233"/>
      <c r="AF146" s="1233"/>
      <c r="AG146" s="1233"/>
      <c r="AH146" s="920">
        <f>AG146-AF146</f>
        <v>0</v>
      </c>
      <c r="AI146" s="1231"/>
      <c r="AJ146" s="3707">
        <f>_xlfn.SUMIFS('Корректировка НВВ'!$AF$25:$AF$129,'Корректировка НВВ'!$F$25:$F$129,$F146,'Корректировка НВВ'!$I$25:$I$129,$G146)</f>
        <v>0</v>
      </c>
      <c r="AK146" s="1231"/>
      <c r="AL146" s="1231"/>
      <c r="AM146" s="1231"/>
      <c r="AN146" s="1231"/>
      <c r="AO146" s="1231"/>
      <c r="AP146" s="1231"/>
      <c r="AQ146" s="1231"/>
      <c r="AR146" s="1231"/>
      <c r="AS146" s="1231"/>
      <c r="AT146" s="3707">
        <f>_xlfn.SUMIFS('Корректировка НВВ'!$AG$25:$AG$129,'Корректировка НВВ'!$F$25:$F$129,$F146,'Корректировка НВВ'!$I$25:$I$129,$G146)</f>
        <v>0</v>
      </c>
      <c r="AU146" s="1231"/>
      <c r="AV146" s="1231"/>
      <c r="AW146" s="1231"/>
      <c r="AX146" s="1231"/>
      <c r="AY146" s="1231"/>
      <c r="AZ146" s="1231"/>
      <c r="BA146" s="1231"/>
      <c r="BB146" s="1231"/>
      <c r="BC146" s="1231"/>
      <c r="BD146" s="919"/>
      <c r="BE146" s="919"/>
      <c r="BF146" s="919"/>
      <c r="BG146" s="919"/>
      <c r="BH146" s="919"/>
      <c r="BI146" s="919"/>
      <c r="BJ146" s="919"/>
      <c r="BK146" s="919"/>
      <c r="BL146" s="919"/>
      <c r="BM146" s="919"/>
      <c r="BN146" s="1234"/>
      <c r="BO146" s="1232" t="str">
        <f>IF(_xlfn.IFERROR(INDEX('Корректировка НВВ'!$K$26:$L$129,MATCH($F146&amp;"9komm",'Корректировка НВВ'!$K$26:$K$129,0),2),"")=0,"",_xlfn.IFERROR(INDEX('Корректировка НВВ'!$K$26:$L$129,MATCH($F146&amp;"9komm",'Корректировка НВВ'!$K$26:$K$129,0),2),""))</f>
        <v/>
      </c>
      <c r="BP146" s="1234"/>
      <c r="BQ146" s="1256"/>
      <c r="BR146" s="1256"/>
      <c r="BS146" s="1041" t="s">
        <v>2035</v>
      </c>
      <c r="BT146" s="1041"/>
      <c r="BU146" s="1041"/>
      <c r="BV146" s="956"/>
      <c r="BW146" s="956"/>
    </row>
    <row customHeight="1" ht="14.625" hidden="1">
      <c r="A147" s="1256"/>
      <c r="B147" s="955"/>
      <c r="C147" s="1256"/>
      <c r="D147" s="73" cm="1" t="str">
        <f t="array" ref="D147:D147">D146</f>
        <v>7</v>
      </c>
      <c r="E147" s="679">
        <v>15</v>
      </c>
      <c r="F147" s="50" cm="1" t="str">
        <f t="array" ref="F147:F147">OFFSET(E147,-1,1)</f>
        <v>0</v>
      </c>
      <c r="G147" s="124" t="s">
        <v>2036</v>
      </c>
      <c r="H147" s="1256"/>
      <c r="I147" s="124" t="s">
        <v>1702</v>
      </c>
      <c r="J147" s="1256"/>
      <c r="K147" s="124" t="s">
        <v>1702</v>
      </c>
      <c r="L147" s="957" t="s">
        <v>1700</v>
      </c>
      <c r="M147" s="73"/>
      <c r="N147" s="1256"/>
      <c r="O147" s="1256"/>
      <c r="P147" s="1256"/>
      <c r="Q147" s="1256"/>
      <c r="R147" s="1256"/>
      <c r="S147" s="1256"/>
      <c r="T147" s="438" cm="1" t="str">
        <f t="array" ref="T147:T147">T146</f>
        <v>false</v>
      </c>
      <c r="U147" s="1256"/>
      <c r="V147" s="1256"/>
      <c r="W147" s="1256"/>
      <c r="X147" s="1511"/>
      <c r="Y147" s="1256"/>
      <c r="Z147" s="1494"/>
      <c r="AA147" s="1256"/>
      <c r="AB147" s="266" t="str">
        <f>IF(B141,D142&amp;".9",D142&amp;".7")</f>
        <v>7.7</v>
      </c>
      <c r="AC147" s="758" t="s">
        <v>1426</v>
      </c>
      <c r="AD147" s="266" t="s">
        <v>789</v>
      </c>
      <c r="AE147" s="1233"/>
      <c r="AF147" s="1233"/>
      <c r="AG147" s="1233"/>
      <c r="AH147" s="920">
        <f>AG147-AF147</f>
        <v>0</v>
      </c>
      <c r="AI147" s="1231"/>
      <c r="AJ147" s="3707">
        <f>_xlfn.SUMIFS('Корректировка НВВ'!$AF$25:$AF$129,'Корректировка НВВ'!$F$25:$F$129,$F147,'Корректировка НВВ'!$I$25:$I$129,$G147)</f>
        <v>0</v>
      </c>
      <c r="AK147" s="1231"/>
      <c r="AL147" s="1231"/>
      <c r="AM147" s="1231"/>
      <c r="AN147" s="1231"/>
      <c r="AO147" s="1231"/>
      <c r="AP147" s="1231"/>
      <c r="AQ147" s="1231"/>
      <c r="AR147" s="1231"/>
      <c r="AS147" s="1231"/>
      <c r="AT147" s="3707">
        <f>_xlfn.SUMIFS('Корректировка НВВ'!$AG$25:$AG$129,'Корректировка НВВ'!$F$25:$F$129,$F147,'Корректировка НВВ'!$I$25:$I$129,$G147)</f>
        <v>0</v>
      </c>
      <c r="AU147" s="1231"/>
      <c r="AV147" s="1231"/>
      <c r="AW147" s="1231"/>
      <c r="AX147" s="1231"/>
      <c r="AY147" s="1231"/>
      <c r="AZ147" s="1231"/>
      <c r="BA147" s="1231"/>
      <c r="BB147" s="1231"/>
      <c r="BC147" s="1231"/>
      <c r="BD147" s="919"/>
      <c r="BE147" s="919"/>
      <c r="BF147" s="919"/>
      <c r="BG147" s="919"/>
      <c r="BH147" s="919"/>
      <c r="BI147" s="919"/>
      <c r="BJ147" s="919"/>
      <c r="BK147" s="919"/>
      <c r="BL147" s="919"/>
      <c r="BM147" s="919"/>
      <c r="BN147" s="1234"/>
      <c r="BO147" s="1232" t="str">
        <f>IF(_xlfn.IFERROR(INDEX('Корректировка НВВ'!$K$26:$L$129,MATCH($F147&amp;"10komm",'Корректировка НВВ'!$K$26:$K$129,0),2),"")=0,"",_xlfn.IFERROR(INDEX('Корректировка НВВ'!$K$26:$L$129,MATCH($F147&amp;"10komm",'Корректировка НВВ'!$K$26:$K$129,0),2),""))</f>
        <v/>
      </c>
      <c r="BP147" s="1234"/>
      <c r="BQ147" s="1256"/>
      <c r="BR147" s="1256"/>
      <c r="BS147" s="1041" t="s">
        <v>1427</v>
      </c>
      <c r="BT147" s="1041"/>
      <c r="BU147" s="1041"/>
      <c r="BV147" s="956"/>
      <c r="BW147" s="956"/>
    </row>
    <row s="676" customFormat="1" customHeight="1" ht="20.475" hidden="1">
      <c r="A148" s="676"/>
      <c r="B148" s="407"/>
      <c r="C148" s="676"/>
      <c r="D148" s="75">
        <f>D147+1</f>
        <v>8</v>
      </c>
      <c r="E148" s="683">
        <v>21</v>
      </c>
      <c r="F148" s="50" cm="1" t="str">
        <f t="array" ref="F148:F148">OFFSET(E148,-1,1)</f>
        <v>0</v>
      </c>
      <c r="G148" s="676"/>
      <c r="H148" s="676"/>
      <c r="I148" s="128" t="s">
        <v>558</v>
      </c>
      <c r="J148" s="676"/>
      <c r="K148" s="128" t="s">
        <v>558</v>
      </c>
      <c r="L148" s="962"/>
      <c r="M148" s="75"/>
      <c r="N148" s="676"/>
      <c r="O148" s="676"/>
      <c r="P148" s="676"/>
      <c r="Q148" s="676"/>
      <c r="R148" s="676"/>
      <c r="S148" s="676"/>
      <c r="T148" s="438" cm="1" t="str">
        <f t="array" ref="T148:T148">T147</f>
        <v>false</v>
      </c>
      <c r="U148" s="676"/>
      <c r="V148" s="676"/>
      <c r="W148" s="676"/>
      <c r="X148" s="1511"/>
      <c r="Y148" s="676"/>
      <c r="Z148" s="1494"/>
      <c r="AA148" s="676"/>
      <c r="AB148" s="177" cm="1" t="str">
        <f t="array" ref="AB148:AB148">D148</f>
        <v>8</v>
      </c>
      <c r="AC148" s="178" t="s">
        <v>2037</v>
      </c>
      <c r="AD148" s="177" t="s">
        <v>789</v>
      </c>
      <c r="AE148" s="1215"/>
      <c r="AF148" s="1215"/>
      <c r="AG148" s="1215"/>
      <c r="AH148" s="737">
        <f>AG148-AF148</f>
        <v>0</v>
      </c>
      <c r="AI148" s="1224"/>
      <c r="AJ148" s="3597"/>
      <c r="AK148" s="1224"/>
      <c r="AL148" s="1224"/>
      <c r="AM148" s="1224"/>
      <c r="AN148" s="1224"/>
      <c r="AO148" s="1224"/>
      <c r="AP148" s="1224"/>
      <c r="AQ148" s="1224"/>
      <c r="AR148" s="1224"/>
      <c r="AS148" s="1224"/>
      <c r="AT148" s="3597"/>
      <c r="AU148" s="1224"/>
      <c r="AV148" s="1224"/>
      <c r="AW148" s="1224"/>
      <c r="AX148" s="1224"/>
      <c r="AY148" s="1224"/>
      <c r="AZ148" s="1224"/>
      <c r="BA148" s="1224"/>
      <c r="BB148" s="1224"/>
      <c r="BC148" s="1224"/>
      <c r="BD148" s="740"/>
      <c r="BE148" s="740"/>
      <c r="BF148" s="740"/>
      <c r="BG148" s="740"/>
      <c r="BH148" s="740"/>
      <c r="BI148" s="740"/>
      <c r="BJ148" s="740"/>
      <c r="BK148" s="740"/>
      <c r="BL148" s="740"/>
      <c r="BM148" s="740"/>
      <c r="BN148" s="1218"/>
      <c r="BO148" s="1218"/>
      <c r="BP148" s="1218"/>
      <c r="BQ148" s="676"/>
      <c r="BR148" s="676"/>
      <c r="BS148" s="1047" t="s">
        <v>2038</v>
      </c>
      <c r="BT148" s="1047"/>
      <c r="BU148" s="1047"/>
      <c r="BV148" s="683"/>
      <c r="BW148" s="683"/>
    </row>
    <row customHeight="1" ht="14.625" hidden="1">
      <c r="A149" s="1256"/>
      <c r="B149" s="955"/>
      <c r="C149" s="1256"/>
      <c r="D149" s="75" cm="1" t="str">
        <f t="array" ref="D149:D149">D148</f>
        <v>8</v>
      </c>
      <c r="E149" s="679">
        <v>15</v>
      </c>
      <c r="F149" s="50" cm="1" t="str">
        <f t="array" ref="F149:F149">OFFSET(E149,-1,1)</f>
        <v>0</v>
      </c>
      <c r="G149" s="1256"/>
      <c r="H149" s="1256"/>
      <c r="I149" s="124" t="s">
        <v>562</v>
      </c>
      <c r="J149" s="1256"/>
      <c r="K149" s="124" t="s">
        <v>562</v>
      </c>
      <c r="L149" s="957"/>
      <c r="M149" s="73"/>
      <c r="N149" s="1256"/>
      <c r="O149" s="1256"/>
      <c r="P149" s="1256"/>
      <c r="Q149" s="1256"/>
      <c r="R149" s="1256"/>
      <c r="S149" s="1256"/>
      <c r="T149" s="438" cm="1" t="str">
        <f t="array" ref="T149:T149">T148</f>
        <v>false</v>
      </c>
      <c r="U149" s="1256"/>
      <c r="V149" s="1256"/>
      <c r="W149" s="1256"/>
      <c r="X149" s="1511"/>
      <c r="Y149" s="1256"/>
      <c r="Z149" s="1494"/>
      <c r="AA149" s="1256"/>
      <c r="AB149" s="266" t="str">
        <f>D149&amp;".1"</f>
        <v>8.1</v>
      </c>
      <c r="AC149" s="738" t="s">
        <v>2039</v>
      </c>
      <c r="AD149" s="266" t="s">
        <v>430</v>
      </c>
      <c r="AE149" s="225">
        <f>IF(AE150=0,0,AE148/(AE150+AE135)*100)</f>
        <v>0</v>
      </c>
      <c r="AF149" s="225">
        <f>IF(AF150=0,0,AF148/(AF150+AF135)*100)</f>
        <v>0</v>
      </c>
      <c r="AG149" s="225">
        <f>IF(AG150=0,0,AG148/(AG150+AG135)*100)</f>
        <v>0</v>
      </c>
      <c r="AH149" s="920">
        <f>AG149-AF149</f>
        <v>0</v>
      </c>
      <c r="AI149" s="920">
        <f>IF(AI150=0,0,AI148/(AI150+AI135)*100)</f>
        <v>0</v>
      </c>
      <c r="AJ149" s="920">
        <f>IF(AJ150=0,0,AJ148/(AJ150+AJ135)*100)</f>
        <v>0</v>
      </c>
      <c r="AK149" s="920">
        <f>IF(AK150=0,0,AK148/(AK150+AK135)*100)</f>
        <v>0</v>
      </c>
      <c r="AL149" s="920">
        <f>IF(AL150=0,0,AL148/(AL150+AL135)*100)</f>
        <v>0</v>
      </c>
      <c r="AM149" s="920">
        <f>IF(AM150=0,0,AM148/(AM150+AM135)*100)</f>
        <v>0</v>
      </c>
      <c r="AN149" s="920">
        <f>IF(AN150=0,0,AN148/(AN150+AN135)*100)</f>
        <v>0</v>
      </c>
      <c r="AO149" s="920">
        <f>IF(AO150=0,0,AO148/(AO150+AO135)*100)</f>
        <v>0</v>
      </c>
      <c r="AP149" s="920">
        <f>IF(AP150=0,0,AP148/(AP150+AP135)*100)</f>
        <v>0</v>
      </c>
      <c r="AQ149" s="920">
        <f>IF(AQ150=0,0,AQ148/(AQ150+AQ135)*100)</f>
        <v>0</v>
      </c>
      <c r="AR149" s="920">
        <f>IF(AR150=0,0,AR148/(AR150+AR135)*100)</f>
        <v>0</v>
      </c>
      <c r="AS149" s="920">
        <f>IF(AS150=0,0,AS148/(AS150+AS135)*100)</f>
        <v>0</v>
      </c>
      <c r="AT149" s="920">
        <f>IF(AT150=0,0,AT148/(AT150+AT135)*100)</f>
        <v>0</v>
      </c>
      <c r="AU149" s="920">
        <f>IF(AU150=0,0,AU148/(AU150+AU135)*100)</f>
        <v>0</v>
      </c>
      <c r="AV149" s="920">
        <f>IF(AV150=0,0,AV148/(AV150+AV135)*100)</f>
        <v>0</v>
      </c>
      <c r="AW149" s="920">
        <f>IF(AW150=0,0,AW148/(AW150+AW135)*100)</f>
        <v>0</v>
      </c>
      <c r="AX149" s="920">
        <f>IF(AX150=0,0,AX148/(AX150+AX135)*100)</f>
        <v>0</v>
      </c>
      <c r="AY149" s="920">
        <f>IF(AY150=0,0,AY148/(AY150+AY135)*100)</f>
        <v>0</v>
      </c>
      <c r="AZ149" s="920">
        <f>IF(AZ150=0,0,AZ148/(AZ150+AZ135)*100)</f>
        <v>0</v>
      </c>
      <c r="BA149" s="920">
        <f>IF(BA150=0,0,BA148/(BA150+BA135)*100)</f>
        <v>0</v>
      </c>
      <c r="BB149" s="920">
        <f>IF(BB150=0,0,BB148/(BB150+BB135)*100)</f>
        <v>0</v>
      </c>
      <c r="BC149" s="920">
        <f>IF(BC150=0,0,BC148/(BC150+BC135)*100)</f>
        <v>0</v>
      </c>
      <c r="BD149" s="919"/>
      <c r="BE149" s="919"/>
      <c r="BF149" s="919"/>
      <c r="BG149" s="919"/>
      <c r="BH149" s="919"/>
      <c r="BI149" s="919"/>
      <c r="BJ149" s="919"/>
      <c r="BK149" s="919"/>
      <c r="BL149" s="919"/>
      <c r="BM149" s="919"/>
      <c r="BN149" s="1234"/>
      <c r="BO149" s="1234"/>
      <c r="BP149" s="1234"/>
      <c r="BQ149" s="1256"/>
      <c r="BR149" s="1256"/>
      <c r="BS149" s="1041" t="s">
        <v>2040</v>
      </c>
      <c r="BT149" s="1041"/>
      <c r="BU149" s="1041"/>
      <c r="BV149" s="956"/>
      <c r="BW149" s="956"/>
    </row>
    <row s="676" customFormat="1" customHeight="1" ht="20.475" hidden="1">
      <c r="A150" s="676"/>
      <c r="B150" s="407"/>
      <c r="C150" s="676"/>
      <c r="D150" s="75">
        <f>D149+1</f>
        <v>9</v>
      </c>
      <c r="E150" s="683">
        <v>21</v>
      </c>
      <c r="F150" s="50" cm="1" t="str">
        <f t="array" ref="F150:F150">OFFSET(E150,-1,1)</f>
        <v>0</v>
      </c>
      <c r="G150" s="676"/>
      <c r="H150" s="124"/>
      <c r="I150" s="124" t="s">
        <v>716</v>
      </c>
      <c r="J150" s="676"/>
      <c r="K150" s="124" t="s">
        <v>716</v>
      </c>
      <c r="L150" s="962" t="s">
        <v>1702</v>
      </c>
      <c r="M150" s="75"/>
      <c r="N150" s="676"/>
      <c r="O150" s="676"/>
      <c r="P150" s="676"/>
      <c r="Q150" s="676"/>
      <c r="R150" s="676"/>
      <c r="S150" s="676"/>
      <c r="T150" s="438" cm="1" t="str">
        <f t="array" ref="T150:T150">T149</f>
        <v>false</v>
      </c>
      <c r="U150" s="676"/>
      <c r="V150" s="676"/>
      <c r="W150" s="676"/>
      <c r="X150" s="1511"/>
      <c r="Y150" s="676"/>
      <c r="Z150" s="1494"/>
      <c r="AA150" s="676"/>
      <c r="AB150" s="177" cm="1" t="str">
        <f t="array" ref="AB150:AB150">D150</f>
        <v>9</v>
      </c>
      <c r="AC150" s="178" t="s">
        <v>1704</v>
      </c>
      <c r="AD150" s="200" t="s">
        <v>789</v>
      </c>
      <c r="AE150" s="179">
        <f>AE28+AE78+AE114+AE115+AE117+AE122+AE123+AE126</f>
        <v>0</v>
      </c>
      <c r="AF150" s="179">
        <f>AF28+AF78+AF114+AF115+AF117+AF122+AF123+AF126</f>
        <v>0</v>
      </c>
      <c r="AG150" s="179">
        <f>AG28+AG78+AG114+AG115+AG117+AG122+AG123+AG126</f>
        <v>0</v>
      </c>
      <c r="AH150" s="737">
        <f>AG150-AF150</f>
        <v>0</v>
      </c>
      <c r="AI150" s="179">
        <f>AI28+AI78+AI114+AI115+AI117+AI122+AI123+AI126</f>
        <v>0</v>
      </c>
      <c r="AJ150" s="179">
        <f>AJ28+AJ78+AJ114+AJ115+AJ117+AJ122+AJ123+AJ126</f>
        <v>0</v>
      </c>
      <c r="AK150" s="179">
        <f>AK28+AK78+AK114+AK115+AK117+AK122+AK123+AK126</f>
        <v>0</v>
      </c>
      <c r="AL150" s="179">
        <f>AL28+AL78+AL114+AL115+AL117+AL122+AL123+AL126</f>
        <v>0</v>
      </c>
      <c r="AM150" s="179">
        <f>AM28+AM78+AM114+AM115+AM117+AM122+AM123+AM126</f>
        <v>0</v>
      </c>
      <c r="AN150" s="179">
        <f>AN28+AN78+AN114+AN115+AN117+AN122+AN123+AN126</f>
        <v>0</v>
      </c>
      <c r="AO150" s="179">
        <f>AO28+AO78+AO114+AO115+AO117+AO122+AO123+AO126</f>
        <v>0</v>
      </c>
      <c r="AP150" s="179">
        <f>AP28+AP78+AP114+AP115+AP117+AP122+AP123+AP126</f>
        <v>0</v>
      </c>
      <c r="AQ150" s="179">
        <f>AQ28+AQ78+AQ114+AQ115+AQ117+AQ122+AQ123+AQ126</f>
        <v>0</v>
      </c>
      <c r="AR150" s="179">
        <f>AR28+AR78+AR114+AR115+AR117+AR122+AR123+AR126</f>
        <v>0</v>
      </c>
      <c r="AS150" s="179">
        <f>AS28+AS78+AS114+AS115+AS117+AS122+AS123+AS126</f>
        <v>0</v>
      </c>
      <c r="AT150" s="179">
        <f>AT28+AT78+AT114+AT115+AT117+AT122+AT123+AT126</f>
        <v>0</v>
      </c>
      <c r="AU150" s="179">
        <f>AU28+AU78+AU114+AU115+AU117+AU122+AU123+AU126</f>
        <v>0</v>
      </c>
      <c r="AV150" s="179">
        <f>AV28+AV78+AV114+AV115+AV117+AV122+AV123+AV126</f>
        <v>0</v>
      </c>
      <c r="AW150" s="179">
        <f>AW28+AW78+AW114+AW115+AW117+AW122+AW123+AW126</f>
        <v>0</v>
      </c>
      <c r="AX150" s="179">
        <f>AX28+AX78+AX114+AX115+AX117+AX122+AX123+AX126</f>
        <v>0</v>
      </c>
      <c r="AY150" s="179">
        <f>AY28+AY78+AY114+AY115+AY117+AY122+AY123+AY126</f>
        <v>0</v>
      </c>
      <c r="AZ150" s="179">
        <f>AZ28+AZ78+AZ114+AZ115+AZ117+AZ122+AZ123+AZ126</f>
        <v>0</v>
      </c>
      <c r="BA150" s="179">
        <f>BA28+BA78+BA114+BA115+BA117+BA122+BA123+BA126</f>
        <v>0</v>
      </c>
      <c r="BB150" s="179">
        <f>BB28+BB78+BB114+BB115+BB117+BB122+BB123+BB126</f>
        <v>0</v>
      </c>
      <c r="BC150" s="179">
        <f>BC28+BC78+BC114+BC115+BC117+BC122+BC123+BC126</f>
        <v>0</v>
      </c>
      <c r="BD150" s="737">
        <f>IF(AI150=0,0,(AT150-AI150)/AI150*100)</f>
        <v>0</v>
      </c>
      <c r="BE150" s="737">
        <f>IF(AT150=0,0,(AU150-AT150)/AT150*100)</f>
        <v>0</v>
      </c>
      <c r="BF150" s="737">
        <f>IF(AU150=0,0,(AV150-AU150)/AU150*100)</f>
        <v>0</v>
      </c>
      <c r="BG150" s="737">
        <f>IF(AV150=0,0,(AW150-AV150)/AV150*100)</f>
        <v>0</v>
      </c>
      <c r="BH150" s="737">
        <f>IF(AW150=0,0,(AX150-AW150)/AW150*100)</f>
        <v>0</v>
      </c>
      <c r="BI150" s="737">
        <f>IF(AX150=0,0,(AY150-AX150)/AX150*100)</f>
        <v>0</v>
      </c>
      <c r="BJ150" s="737">
        <f>IF(AY150=0,0,(AZ150-AY150)/AY150*100)</f>
        <v>0</v>
      </c>
      <c r="BK150" s="737">
        <f>IF(AZ150=0,0,(BA150-AZ150)/AZ150*100)</f>
        <v>0</v>
      </c>
      <c r="BL150" s="737">
        <f>IF(BA150=0,0,(BB150-BA150)/BA150*100)</f>
        <v>0</v>
      </c>
      <c r="BM150" s="737">
        <f>IF(BB150=0,0,(BC150-BB150)/BB150*100)</f>
        <v>0</v>
      </c>
      <c r="BN150" s="1234"/>
      <c r="BO150" s="1234"/>
      <c r="BP150" s="1234"/>
      <c r="BQ150" s="676"/>
      <c r="BR150" s="676"/>
      <c r="BS150" s="1047" t="s">
        <v>1705</v>
      </c>
      <c r="BT150" s="1047"/>
      <c r="BU150" s="1047"/>
      <c r="BV150" s="683"/>
      <c r="BW150" s="683"/>
    </row>
    <row s="676" customFormat="1" customHeight="1" ht="20.475" hidden="1">
      <c r="A151" s="676"/>
      <c r="B151" s="407"/>
      <c r="C151" s="676"/>
      <c r="D151" s="75">
        <f>D150+1</f>
        <v>10</v>
      </c>
      <c r="E151" s="683">
        <v>21</v>
      </c>
      <c r="F151" s="50" cm="1" t="str">
        <f t="array" ref="F151:F151">OFFSET(E151,-1,1)</f>
        <v>0</v>
      </c>
      <c r="G151" s="676"/>
      <c r="H151" s="124"/>
      <c r="I151" s="124" t="s">
        <v>1714</v>
      </c>
      <c r="J151" s="676"/>
      <c r="K151" s="124" t="s">
        <v>1714</v>
      </c>
      <c r="L151" s="962"/>
      <c r="M151" s="75"/>
      <c r="N151" s="676"/>
      <c r="O151" s="676"/>
      <c r="P151" s="676"/>
      <c r="Q151" s="676"/>
      <c r="R151" s="676"/>
      <c r="S151" s="676"/>
      <c r="T151" s="438" cm="1" t="str">
        <f t="array" ref="T151:T151">T150</f>
        <v>false</v>
      </c>
      <c r="U151" s="676"/>
      <c r="V151" s="676"/>
      <c r="W151" s="676"/>
      <c r="X151" s="1511"/>
      <c r="Y151" s="676"/>
      <c r="Z151" s="1494"/>
      <c r="AA151" s="676"/>
      <c r="AB151" s="177" cm="1" t="str">
        <f t="array" ref="AB151:AB151">D151</f>
        <v>10</v>
      </c>
      <c r="AC151" s="178" t="s">
        <v>2041</v>
      </c>
      <c r="AD151" s="177" t="s">
        <v>789</v>
      </c>
      <c r="AE151" s="179">
        <f>AE150+AE135+AE148</f>
        <v>0</v>
      </c>
      <c r="AF151" s="179">
        <f>AF150+AF135+AF148</f>
        <v>0</v>
      </c>
      <c r="AG151" s="179">
        <f>AG150+AG135+AG148</f>
        <v>0</v>
      </c>
      <c r="AH151" s="746">
        <f>AH150+AH135+AH148</f>
        <v>0</v>
      </c>
      <c r="AI151" s="746">
        <f>AI150+AI135+AI148</f>
        <v>0</v>
      </c>
      <c r="AJ151" s="746">
        <f>AJ150+AJ135+AJ148</f>
        <v>0</v>
      </c>
      <c r="AK151" s="746">
        <f>AK150+AK135+AK148</f>
        <v>0</v>
      </c>
      <c r="AL151" s="746">
        <f>AL150+AL135+AL148</f>
        <v>0</v>
      </c>
      <c r="AM151" s="746">
        <f>AM150+AM135+AM148</f>
        <v>0</v>
      </c>
      <c r="AN151" s="746">
        <f>AN150+AN135+AN148</f>
        <v>0</v>
      </c>
      <c r="AO151" s="746">
        <f>AO150+AO135+AO148</f>
        <v>0</v>
      </c>
      <c r="AP151" s="746">
        <f>AP150+AP135+AP148</f>
        <v>0</v>
      </c>
      <c r="AQ151" s="746">
        <f>AQ150+AQ135+AQ148</f>
        <v>0</v>
      </c>
      <c r="AR151" s="746">
        <f>AR150+AR135+AR148</f>
        <v>0</v>
      </c>
      <c r="AS151" s="746">
        <f>AS150+AS135+AS148</f>
        <v>0</v>
      </c>
      <c r="AT151" s="746">
        <f>AT150+AT135+AT148</f>
        <v>0</v>
      </c>
      <c r="AU151" s="746">
        <f>AU150+AU135+AU148</f>
        <v>0</v>
      </c>
      <c r="AV151" s="746">
        <f>AV150+AV135+AV148</f>
        <v>0</v>
      </c>
      <c r="AW151" s="746">
        <f>AW150+AW135+AW148</f>
        <v>0</v>
      </c>
      <c r="AX151" s="746">
        <f>AX150+AX135+AX148</f>
        <v>0</v>
      </c>
      <c r="AY151" s="746">
        <f>AY150+AY135+AY148</f>
        <v>0</v>
      </c>
      <c r="AZ151" s="746">
        <f>AZ150+AZ135+AZ148</f>
        <v>0</v>
      </c>
      <c r="BA151" s="746">
        <f>BA150+BA135+BA148</f>
        <v>0</v>
      </c>
      <c r="BB151" s="746">
        <f>BB150+BB135+BB148</f>
        <v>0</v>
      </c>
      <c r="BC151" s="746">
        <f>BC150+BC135+BC148</f>
        <v>0</v>
      </c>
      <c r="BD151" s="737">
        <f>IF(AI151=0,0,(AT151-AI151)/AI151*100)</f>
        <v>0</v>
      </c>
      <c r="BE151" s="737">
        <f>IF(AT151=0,0,(AU151-AT151)/AT151*100)</f>
        <v>0</v>
      </c>
      <c r="BF151" s="737">
        <f>IF(AU151=0,0,(AV151-AU151)/AU151*100)</f>
        <v>0</v>
      </c>
      <c r="BG151" s="737">
        <f>IF(AV151=0,0,(AW151-AV151)/AV151*100)</f>
        <v>0</v>
      </c>
      <c r="BH151" s="737">
        <f>IF(AW151=0,0,(AX151-AW151)/AW151*100)</f>
        <v>0</v>
      </c>
      <c r="BI151" s="737">
        <f>IF(AX151=0,0,(AY151-AX151)/AX151*100)</f>
        <v>0</v>
      </c>
      <c r="BJ151" s="737">
        <f>IF(AY151=0,0,(AZ151-AY151)/AY151*100)</f>
        <v>0</v>
      </c>
      <c r="BK151" s="737">
        <f>IF(AZ151=0,0,(BA151-AZ151)/AZ151*100)</f>
        <v>0</v>
      </c>
      <c r="BL151" s="737">
        <f>IF(BA151=0,0,(BB151-BA151)/BA151*100)</f>
        <v>0</v>
      </c>
      <c r="BM151" s="737">
        <f>IF(BB151=0,0,(BC151-BB151)/BB151*100)</f>
        <v>0</v>
      </c>
      <c r="BN151" s="1234"/>
      <c r="BO151" s="1234"/>
      <c r="BP151" s="1234"/>
      <c r="BQ151" s="676"/>
      <c r="BR151" s="676"/>
      <c r="BS151" s="1047" t="s">
        <v>2042</v>
      </c>
      <c r="BT151" s="1047"/>
      <c r="BU151" s="1047"/>
      <c r="BV151" s="683"/>
      <c r="BW151" s="683"/>
    </row>
    <row customHeight="1" ht="14.625" hidden="1">
      <c r="A152" s="1256"/>
      <c r="B152" s="417">
        <f>A27="двухставочный"</f>
        <v>0</v>
      </c>
      <c r="C152" s="1256"/>
      <c r="D152" s="73" cm="1" t="str">
        <f t="array" ref="D152:D152">D151</f>
        <v>10</v>
      </c>
      <c r="E152" s="679">
        <v>15</v>
      </c>
      <c r="F152" s="50" cm="1" t="str">
        <f t="array" ref="F152:F152">OFFSET(E152,-1,1)</f>
        <v>0</v>
      </c>
      <c r="G152" s="1256"/>
      <c r="H152" s="49"/>
      <c r="I152" s="345" t="s">
        <v>1718</v>
      </c>
      <c r="J152" s="1256"/>
      <c r="K152" s="345" t="s">
        <v>1718</v>
      </c>
      <c r="L152" s="957" t="s">
        <v>1706</v>
      </c>
      <c r="M152" s="73"/>
      <c r="N152" s="1256"/>
      <c r="O152" s="1256"/>
      <c r="P152" s="1256"/>
      <c r="Q152" s="1256"/>
      <c r="R152" s="1256"/>
      <c r="S152" s="1256"/>
      <c r="T152" s="438" cm="1" t="str">
        <f t="array" ref="T152:T152">T151</f>
        <v>false</v>
      </c>
      <c r="U152" s="1256"/>
      <c r="V152" s="1256"/>
      <c r="W152" s="1256"/>
      <c r="X152" s="1511"/>
      <c r="Y152" s="1256"/>
      <c r="Z152" s="1494"/>
      <c r="AA152" s="1256"/>
      <c r="AB152" s="266" t="str">
        <f>D152&amp;".1"</f>
        <v>10.1</v>
      </c>
      <c r="AC152" s="758" t="s">
        <v>1708</v>
      </c>
      <c r="AD152" s="266" t="s">
        <v>789</v>
      </c>
      <c r="AE152" s="1233"/>
      <c r="AF152" s="1233"/>
      <c r="AG152" s="1233"/>
      <c r="AH152" s="920">
        <f>AG152-AF152</f>
        <v>0</v>
      </c>
      <c r="AI152" s="1231"/>
      <c r="AJ152" s="3707"/>
      <c r="AK152" s="1231"/>
      <c r="AL152" s="1231"/>
      <c r="AM152" s="1231"/>
      <c r="AN152" s="1231"/>
      <c r="AO152" s="1231"/>
      <c r="AP152" s="1231"/>
      <c r="AQ152" s="1231"/>
      <c r="AR152" s="1231"/>
      <c r="AS152" s="1231"/>
      <c r="AT152" s="3707"/>
      <c r="AU152" s="1231"/>
      <c r="AV152" s="1231"/>
      <c r="AW152" s="1231"/>
      <c r="AX152" s="1231"/>
      <c r="AY152" s="1231"/>
      <c r="AZ152" s="1231"/>
      <c r="BA152" s="1231"/>
      <c r="BB152" s="1231"/>
      <c r="BC152" s="1231"/>
      <c r="BD152" s="919"/>
      <c r="BE152" s="919"/>
      <c r="BF152" s="919"/>
      <c r="BG152" s="919"/>
      <c r="BH152" s="919"/>
      <c r="BI152" s="919"/>
      <c r="BJ152" s="919"/>
      <c r="BK152" s="919"/>
      <c r="BL152" s="919"/>
      <c r="BM152" s="919"/>
      <c r="BN152" s="1234"/>
      <c r="BO152" s="1234"/>
      <c r="BP152" s="1234"/>
      <c r="BQ152" s="1256"/>
      <c r="BR152" s="1256"/>
      <c r="BS152" s="1039" t="s">
        <v>1709</v>
      </c>
      <c r="BT152" s="1041"/>
      <c r="BU152" s="1041"/>
      <c r="BV152" s="956"/>
      <c r="BW152" s="956"/>
    </row>
    <row customHeight="1" ht="14.625" hidden="1">
      <c r="A153" s="1256"/>
      <c r="B153" s="417">
        <f>A27="двухставочный"</f>
        <v>0</v>
      </c>
      <c r="C153" s="1256"/>
      <c r="D153" s="73" cm="1" t="str">
        <f t="array" ref="D153:D153">D152</f>
        <v>10</v>
      </c>
      <c r="E153" s="679">
        <v>15</v>
      </c>
      <c r="F153" s="50" cm="1" t="str">
        <f t="array" ref="F153:F153">OFFSET(E153,-1,1)</f>
        <v>0</v>
      </c>
      <c r="G153" s="1256"/>
      <c r="H153" s="49"/>
      <c r="I153" s="345" t="s">
        <v>1722</v>
      </c>
      <c r="J153" s="1256"/>
      <c r="K153" s="345" t="s">
        <v>1722</v>
      </c>
      <c r="L153" s="957" t="s">
        <v>1710</v>
      </c>
      <c r="M153" s="73"/>
      <c r="N153" s="1256"/>
      <c r="O153" s="1256"/>
      <c r="P153" s="1256"/>
      <c r="Q153" s="1256"/>
      <c r="R153" s="1256"/>
      <c r="S153" s="1256"/>
      <c r="T153" s="438" cm="1" t="str">
        <f t="array" ref="T153:T153">T152</f>
        <v>false</v>
      </c>
      <c r="U153" s="1256"/>
      <c r="V153" s="1256"/>
      <c r="W153" s="1256"/>
      <c r="X153" s="1511"/>
      <c r="Y153" s="1256"/>
      <c r="Z153" s="1494"/>
      <c r="AA153" s="1256"/>
      <c r="AB153" s="266" t="str">
        <f>D153&amp;".2"</f>
        <v>10.2</v>
      </c>
      <c r="AC153" s="758" t="s">
        <v>1712</v>
      </c>
      <c r="AD153" s="266" t="s">
        <v>789</v>
      </c>
      <c r="AE153" s="1233"/>
      <c r="AF153" s="1233"/>
      <c r="AG153" s="1233"/>
      <c r="AH153" s="920">
        <f>AG153-AF153</f>
        <v>0</v>
      </c>
      <c r="AI153" s="1231"/>
      <c r="AJ153" s="3707"/>
      <c r="AK153" s="1231"/>
      <c r="AL153" s="1231"/>
      <c r="AM153" s="1231"/>
      <c r="AN153" s="1231"/>
      <c r="AO153" s="1231"/>
      <c r="AP153" s="1231"/>
      <c r="AQ153" s="1231"/>
      <c r="AR153" s="1231"/>
      <c r="AS153" s="1231"/>
      <c r="AT153" s="3707"/>
      <c r="AU153" s="1231"/>
      <c r="AV153" s="1231"/>
      <c r="AW153" s="1231"/>
      <c r="AX153" s="1231"/>
      <c r="AY153" s="1231"/>
      <c r="AZ153" s="1231"/>
      <c r="BA153" s="1231"/>
      <c r="BB153" s="1231"/>
      <c r="BC153" s="1231"/>
      <c r="BD153" s="919"/>
      <c r="BE153" s="919"/>
      <c r="BF153" s="919"/>
      <c r="BG153" s="919"/>
      <c r="BH153" s="919"/>
      <c r="BI153" s="919"/>
      <c r="BJ153" s="919"/>
      <c r="BK153" s="919"/>
      <c r="BL153" s="919"/>
      <c r="BM153" s="919"/>
      <c r="BN153" s="1234"/>
      <c r="BO153" s="1234"/>
      <c r="BP153" s="1234"/>
      <c r="BQ153" s="1256"/>
      <c r="BR153" s="1256"/>
      <c r="BS153" s="1039" t="s">
        <v>1713</v>
      </c>
      <c r="BT153" s="1041"/>
      <c r="BU153" s="1041"/>
      <c r="BV153" s="956"/>
      <c r="BW153" s="956"/>
    </row>
    <row s="676" customFormat="1" customHeight="1" ht="20.475" hidden="1">
      <c r="A154" s="676"/>
      <c r="B154" s="407"/>
      <c r="C154" s="676"/>
      <c r="D154" s="75">
        <f>D153+1</f>
        <v>11</v>
      </c>
      <c r="E154" s="683">
        <v>21</v>
      </c>
      <c r="F154" s="50" cm="1" t="str">
        <f t="array" ref="F154:F154">OFFSET(E154,-1,1)</f>
        <v>0</v>
      </c>
      <c r="G154" s="124" t="s">
        <v>1485</v>
      </c>
      <c r="H154" s="124"/>
      <c r="I154" s="124" t="s">
        <v>1742</v>
      </c>
      <c r="J154" s="676"/>
      <c r="K154" s="124" t="s">
        <v>1742</v>
      </c>
      <c r="L154" s="962" t="s">
        <v>1714</v>
      </c>
      <c r="M154" s="75"/>
      <c r="N154" s="676"/>
      <c r="O154" s="676"/>
      <c r="P154" s="676"/>
      <c r="Q154" s="676"/>
      <c r="R154" s="676"/>
      <c r="S154" s="676"/>
      <c r="T154" s="438" cm="1" t="str">
        <f t="array" ref="T154:T154">T153</f>
        <v>false</v>
      </c>
      <c r="U154" s="676"/>
      <c r="V154" s="676"/>
      <c r="W154" s="676"/>
      <c r="X154" s="1511"/>
      <c r="Y154" s="676"/>
      <c r="Z154" s="1494"/>
      <c r="AA154" s="676"/>
      <c r="AB154" s="177" cm="1" t="str">
        <f t="array" ref="AB154:AB154">D154</f>
        <v>11</v>
      </c>
      <c r="AC154" s="178" t="s">
        <v>1716</v>
      </c>
      <c r="AD154" s="177" t="s">
        <v>506</v>
      </c>
      <c r="AE154" s="761">
        <f>_xlfn.SUMIFS(Баланс!AE$26:AE$209,Баланс!$F$26:$F$209,$F154,Баланс!$G$26:$G$209,"ПО")</f>
        <v>0</v>
      </c>
      <c r="AF154" s="761">
        <f>_xlfn.SUMIFS(Баланс!AF$26:AF$209,Баланс!$F$26:$F$209,$F154,Баланс!$G$26:$G$209,"ПО")</f>
        <v>0</v>
      </c>
      <c r="AG154" s="761">
        <f>_xlfn.SUMIFS(Баланс!AG$26:AG$209,Баланс!$F$26:$F$209,$F154,Баланс!$G$26:$G$209,"ПО")</f>
        <v>0</v>
      </c>
      <c r="AH154" s="762">
        <f>AG154-AF154</f>
        <v>0</v>
      </c>
      <c r="AI154" s="762">
        <f>_xlfn.SUMIFS(Баланс!AH$26:AH$209,Баланс!$F$26:$F$209,$F154,Баланс!$G$26:$G$209,"ПО")</f>
        <v>0</v>
      </c>
      <c r="AJ154" s="762">
        <f>_xlfn.SUMIFS(Баланс!AI$26:AI$209,Баланс!$F$26:$F$209,$F154,Баланс!$G$26:$G$209,"ПО")</f>
        <v>0</v>
      </c>
      <c r="AK154" s="762">
        <f>_xlfn.SUMIFS(Баланс!AJ$26:AJ$209,Баланс!$F$26:$F$209,$F154,Баланс!$G$26:$G$209,"ПО")</f>
        <v>0</v>
      </c>
      <c r="AL154" s="762">
        <f>_xlfn.SUMIFS(Баланс!AK$26:AK$209,Баланс!$F$26:$F$209,$F154,Баланс!$G$26:$G$209,"ПО")</f>
        <v>0</v>
      </c>
      <c r="AM154" s="762">
        <f>_xlfn.SUMIFS(Баланс!AL$26:AL$209,Баланс!$F$26:$F$209,$F154,Баланс!$G$26:$G$209,"ПО")</f>
        <v>0</v>
      </c>
      <c r="AN154" s="762">
        <f>_xlfn.SUMIFS(Баланс!AM$26:AM$209,Баланс!$F$26:$F$209,$F154,Баланс!$G$26:$G$209,"ПО")</f>
        <v>0</v>
      </c>
      <c r="AO154" s="762">
        <f>_xlfn.SUMIFS(Баланс!AN$26:AN$209,Баланс!$F$26:$F$209,$F154,Баланс!$G$26:$G$209,"ПО")</f>
        <v>0</v>
      </c>
      <c r="AP154" s="762">
        <f>_xlfn.SUMIFS(Баланс!AO$26:AO$209,Баланс!$F$26:$F$209,$F154,Баланс!$G$26:$G$209,"ПО")</f>
        <v>0</v>
      </c>
      <c r="AQ154" s="762">
        <f>_xlfn.SUMIFS(Баланс!AP$26:AP$209,Баланс!$F$26:$F$209,$F154,Баланс!$G$26:$G$209,"ПО")</f>
        <v>0</v>
      </c>
      <c r="AR154" s="762">
        <f>_xlfn.SUMIFS(Баланс!AQ$26:AQ$209,Баланс!$F$26:$F$209,$F154,Баланс!$G$26:$G$209,"ПО")</f>
        <v>0</v>
      </c>
      <c r="AS154" s="762">
        <f>_xlfn.SUMIFS(Баланс!AR$26:AR$209,Баланс!$F$26:$F$209,$F154,Баланс!$G$26:$G$209,"ПО")</f>
        <v>0</v>
      </c>
      <c r="AT154" s="762">
        <f>_xlfn.SUMIFS(Баланс!AS$26:AS$209,Баланс!$F$26:$F$209,$F154,Баланс!$G$26:$G$209,"ПО")</f>
        <v>0</v>
      </c>
      <c r="AU154" s="762">
        <f>_xlfn.SUMIFS(Баланс!AT$26:AT$209,Баланс!$F$26:$F$209,$F154,Баланс!$G$26:$G$209,"ПО")</f>
        <v>0</v>
      </c>
      <c r="AV154" s="762">
        <f>_xlfn.SUMIFS(Баланс!AU$26:AU$209,Баланс!$F$26:$F$209,$F154,Баланс!$G$26:$G$209,"ПО")</f>
        <v>0</v>
      </c>
      <c r="AW154" s="762">
        <f>_xlfn.SUMIFS(Баланс!AV$26:AV$209,Баланс!$F$26:$F$209,$F154,Баланс!$G$26:$G$209,"ПО")</f>
        <v>0</v>
      </c>
      <c r="AX154" s="762">
        <f>_xlfn.SUMIFS(Баланс!AW$26:AW$209,Баланс!$F$26:$F$209,$F154,Баланс!$G$26:$G$209,"ПО")</f>
        <v>0</v>
      </c>
      <c r="AY154" s="762">
        <f>_xlfn.SUMIFS(Баланс!AX$26:AX$209,Баланс!$F$26:$F$209,$F154,Баланс!$G$26:$G$209,"ПО")</f>
        <v>0</v>
      </c>
      <c r="AZ154" s="762">
        <f>_xlfn.SUMIFS(Баланс!AY$26:AY$209,Баланс!$F$26:$F$209,$F154,Баланс!$G$26:$G$209,"ПО")</f>
        <v>0</v>
      </c>
      <c r="BA154" s="762">
        <f>_xlfn.SUMIFS(Баланс!AZ$26:AZ$209,Баланс!$F$26:$F$209,$F154,Баланс!$G$26:$G$209,"ПО")</f>
        <v>0</v>
      </c>
      <c r="BB154" s="762">
        <f>_xlfn.SUMIFS(Баланс!BA$26:BA$209,Баланс!$F$26:$F$209,$F154,Баланс!$G$26:$G$209,"ПО")</f>
        <v>0</v>
      </c>
      <c r="BC154" s="762">
        <f>_xlfn.SUMIFS(Баланс!BB$26:BB$209,Баланс!$F$26:$F$209,$F154,Баланс!$G$26:$G$209,"ПО")</f>
        <v>0</v>
      </c>
      <c r="BD154" s="740"/>
      <c r="BE154" s="740"/>
      <c r="BF154" s="740"/>
      <c r="BG154" s="740"/>
      <c r="BH154" s="740"/>
      <c r="BI154" s="740"/>
      <c r="BJ154" s="740"/>
      <c r="BK154" s="740"/>
      <c r="BL154" s="740"/>
      <c r="BM154" s="740"/>
      <c r="BN154" s="1234"/>
      <c r="BO154" s="1234"/>
      <c r="BP154" s="1234"/>
      <c r="BQ154" s="676"/>
      <c r="BR154" s="676"/>
      <c r="BS154" s="1040" t="s">
        <v>1717</v>
      </c>
      <c r="BT154" s="1047"/>
      <c r="BU154" s="1047"/>
      <c r="BV154" s="683"/>
      <c r="BW154" s="683"/>
    </row>
    <row customHeight="1" ht="14.625" hidden="1">
      <c r="A155" s="1256"/>
      <c r="B155" s="955"/>
      <c r="C155" s="1256"/>
      <c r="D155" s="73" cm="1" t="str">
        <f t="array" ref="D155:D155">D154</f>
        <v>11</v>
      </c>
      <c r="E155" s="679">
        <v>15</v>
      </c>
      <c r="F155" s="50" cm="1" t="str">
        <f t="array" ref="F155:F155">OFFSET(E155,-1,1)</f>
        <v>0</v>
      </c>
      <c r="G155" s="124" t="s">
        <v>1512</v>
      </c>
      <c r="H155" s="1256"/>
      <c r="I155" s="124" t="s">
        <v>2043</v>
      </c>
      <c r="J155" s="1256"/>
      <c r="K155" s="124" t="s">
        <v>2043</v>
      </c>
      <c r="L155" s="957" t="s">
        <v>1718</v>
      </c>
      <c r="M155" s="73"/>
      <c r="N155" s="1256"/>
      <c r="O155" s="1256"/>
      <c r="P155" s="1256"/>
      <c r="Q155" s="1256"/>
      <c r="R155" s="1256"/>
      <c r="S155" s="1256"/>
      <c r="T155" s="438" cm="1" t="str">
        <f t="array" ref="T155:T155">T154</f>
        <v>false</v>
      </c>
      <c r="U155" s="1256"/>
      <c r="V155" s="1256"/>
      <c r="W155" s="1256"/>
      <c r="X155" s="1511"/>
      <c r="Y155" s="1256"/>
      <c r="Z155" s="1494"/>
      <c r="AA155" s="1256"/>
      <c r="AB155" s="266" t="str">
        <f>D155&amp;".1"</f>
        <v>11.1</v>
      </c>
      <c r="AC155" s="1089" t="s">
        <v>1720</v>
      </c>
      <c r="AD155" s="266" t="s">
        <v>506</v>
      </c>
      <c r="AE155" s="1238">
        <f>AE154/2</f>
        <v>0</v>
      </c>
      <c r="AF155" s="1238">
        <f>AF154/2</f>
        <v>0</v>
      </c>
      <c r="AG155" s="1238">
        <f>AG154/2</f>
        <v>0</v>
      </c>
      <c r="AH155" s="918">
        <f>AG155-AF155</f>
        <v>0</v>
      </c>
      <c r="AI155" s="1239">
        <f>AI154/2</f>
        <v>0</v>
      </c>
      <c r="AJ155" s="3718">
        <f>IF(god=2026,AJ154/12*9,AJ154/2)</f>
        <v>0</v>
      </c>
      <c r="AK155" s="1238">
        <f>IF(god=2025,AK154/12*9,AK154/2)</f>
        <v>0</v>
      </c>
      <c r="AL155" s="1239">
        <f>AL154/2</f>
        <v>0</v>
      </c>
      <c r="AM155" s="1239">
        <f>AM154/2</f>
        <v>0</v>
      </c>
      <c r="AN155" s="1239">
        <f>AN154/2</f>
        <v>0</v>
      </c>
      <c r="AO155" s="1239">
        <f>AO154/2</f>
        <v>0</v>
      </c>
      <c r="AP155" s="1239">
        <f>AP154/2</f>
        <v>0</v>
      </c>
      <c r="AQ155" s="1239">
        <f>AQ154/2</f>
        <v>0</v>
      </c>
      <c r="AR155" s="1239">
        <f>AR154/2</f>
        <v>0</v>
      </c>
      <c r="AS155" s="1239">
        <f>AS154/2</f>
        <v>0</v>
      </c>
      <c r="AT155" s="3611">
        <f>IF(god=2026,AT154/12*9,AT154/2)</f>
        <v>0</v>
      </c>
      <c r="AU155" s="1239">
        <f>IF(god=2025,AU154/12*9,AU154/2)</f>
        <v>0</v>
      </c>
      <c r="AV155" s="1239">
        <f>AV154/2</f>
        <v>0</v>
      </c>
      <c r="AW155" s="1239">
        <f>AW154/2</f>
        <v>0</v>
      </c>
      <c r="AX155" s="1239">
        <f>AX154/2</f>
        <v>0</v>
      </c>
      <c r="AY155" s="1239">
        <f>AY154/2</f>
        <v>0</v>
      </c>
      <c r="AZ155" s="1239">
        <f>AZ154/2</f>
        <v>0</v>
      </c>
      <c r="BA155" s="1239">
        <f>BA154/2</f>
        <v>0</v>
      </c>
      <c r="BB155" s="1239">
        <f>BB154/2</f>
        <v>0</v>
      </c>
      <c r="BC155" s="1239">
        <f>BC154/2</f>
        <v>0</v>
      </c>
      <c r="BD155" s="919"/>
      <c r="BE155" s="919"/>
      <c r="BF155" s="919"/>
      <c r="BG155" s="919"/>
      <c r="BH155" s="919"/>
      <c r="BI155" s="919"/>
      <c r="BJ155" s="919"/>
      <c r="BK155" s="919"/>
      <c r="BL155" s="919"/>
      <c r="BM155" s="919"/>
      <c r="BN155" s="1234"/>
      <c r="BO155" s="1234"/>
      <c r="BP155" s="1234"/>
      <c r="BQ155" s="1256"/>
      <c r="BR155" s="1256"/>
      <c r="BS155" s="1039" t="s">
        <v>1721</v>
      </c>
      <c r="BT155" s="1041"/>
      <c r="BU155" s="1041"/>
      <c r="BV155" s="956"/>
      <c r="BW155" s="956"/>
    </row>
    <row customHeight="1" ht="14.625" hidden="1">
      <c r="A156" s="1256"/>
      <c r="B156" s="955"/>
      <c r="C156" s="1256"/>
      <c r="D156" s="73" cm="1" t="str">
        <f t="array" ref="D156:D156">D155</f>
        <v>11</v>
      </c>
      <c r="E156" s="679">
        <v>15</v>
      </c>
      <c r="F156" s="50" cm="1" t="str">
        <f t="array" ref="F156:F156">OFFSET(E156,-1,1)</f>
        <v>0</v>
      </c>
      <c r="G156" s="124" t="s">
        <v>1473</v>
      </c>
      <c r="H156" s="1256"/>
      <c r="I156" s="124" t="s">
        <v>2044</v>
      </c>
      <c r="J156" s="1256"/>
      <c r="K156" s="124" t="s">
        <v>2044</v>
      </c>
      <c r="L156" s="957" t="s">
        <v>1722</v>
      </c>
      <c r="M156" s="73"/>
      <c r="N156" s="1256"/>
      <c r="O156" s="1256"/>
      <c r="P156" s="1256"/>
      <c r="Q156" s="1256"/>
      <c r="R156" s="1256"/>
      <c r="S156" s="1256"/>
      <c r="T156" s="438" cm="1" t="str">
        <f t="array" ref="T156:T156">T155</f>
        <v>false</v>
      </c>
      <c r="U156" s="1256"/>
      <c r="V156" s="1256"/>
      <c r="W156" s="1256"/>
      <c r="X156" s="1511"/>
      <c r="Y156" s="1256"/>
      <c r="Z156" s="1494"/>
      <c r="AA156" s="1256"/>
      <c r="AB156" s="266" t="str">
        <f>D156&amp;".2"</f>
        <v>11.2</v>
      </c>
      <c r="AC156" s="1089" t="s">
        <v>1724</v>
      </c>
      <c r="AD156" s="266" t="s">
        <v>1476</v>
      </c>
      <c r="AE156" s="1233"/>
      <c r="AF156" s="1233"/>
      <c r="AG156" s="1233"/>
      <c r="AH156" s="920">
        <f>AG156-AF156</f>
        <v>0</v>
      </c>
      <c r="AI156" s="1240"/>
      <c r="AJ156" s="3616"/>
      <c r="AK156" s="1240"/>
      <c r="AL156" s="1240"/>
      <c r="AM156" s="1240"/>
      <c r="AN156" s="1240"/>
      <c r="AO156" s="1240"/>
      <c r="AP156" s="1240"/>
      <c r="AQ156" s="1240"/>
      <c r="AR156" s="1240"/>
      <c r="AS156" s="1240"/>
      <c r="AT156" s="3616"/>
      <c r="AU156" s="1240" cm="1" t="str">
        <f t="array" ref="AU156:AU156">AT158</f>
        <v>0</v>
      </c>
      <c r="AV156" s="1240" cm="1" t="str">
        <f t="array" ref="AV156:AV156">AU158</f>
        <v>0</v>
      </c>
      <c r="AW156" s="1240" cm="1" t="str">
        <f t="array" ref="AW156:AW156">AV158</f>
        <v>0</v>
      </c>
      <c r="AX156" s="1240" cm="1" t="str">
        <f t="array" ref="AX156:AX156">AW158</f>
        <v>0</v>
      </c>
      <c r="AY156" s="1240" cm="1" t="str">
        <f t="array" ref="AY156:AY156">AX158</f>
        <v>0</v>
      </c>
      <c r="AZ156" s="1240" cm="1" t="str">
        <f t="array" ref="AZ156:AZ156">AY158</f>
        <v>0</v>
      </c>
      <c r="BA156" s="1240" cm="1" t="str">
        <f t="array" ref="BA156:BA156">AZ158</f>
        <v>0</v>
      </c>
      <c r="BB156" s="1240" cm="1" t="str">
        <f t="array" ref="BB156:BB156">BA158</f>
        <v>0</v>
      </c>
      <c r="BC156" s="1240" cm="1" t="str">
        <f t="array" ref="BC156:BC156">BB158</f>
        <v>0</v>
      </c>
      <c r="BD156" s="919"/>
      <c r="BE156" s="919"/>
      <c r="BF156" s="919"/>
      <c r="BG156" s="919"/>
      <c r="BH156" s="919"/>
      <c r="BI156" s="919"/>
      <c r="BJ156" s="919"/>
      <c r="BK156" s="919"/>
      <c r="BL156" s="919"/>
      <c r="BM156" s="919"/>
      <c r="BN156" s="1234"/>
      <c r="BO156" s="1234"/>
      <c r="BP156" s="1234"/>
      <c r="BQ156" s="1256"/>
      <c r="BR156" s="1256"/>
      <c r="BS156" s="1039" t="s">
        <v>1725</v>
      </c>
      <c r="BT156" s="1041"/>
      <c r="BU156" s="1041"/>
      <c r="BV156" s="956"/>
      <c r="BW156" s="956"/>
    </row>
    <row customHeight="1" ht="14.625" hidden="1">
      <c r="A157" s="1256"/>
      <c r="B157" s="955"/>
      <c r="C157" s="1256"/>
      <c r="D157" s="73" cm="1" t="str">
        <f t="array" ref="D157:D157">D156</f>
        <v>11</v>
      </c>
      <c r="E157" s="679">
        <v>15</v>
      </c>
      <c r="F157" s="50" cm="1" t="str">
        <f t="array" ref="F157:F157">OFFSET(E157,-1,1)</f>
        <v>0</v>
      </c>
      <c r="G157" s="124" t="s">
        <v>1525</v>
      </c>
      <c r="H157" s="1256"/>
      <c r="I157" s="124" t="s">
        <v>2045</v>
      </c>
      <c r="J157" s="1256"/>
      <c r="K157" s="124" t="s">
        <v>2045</v>
      </c>
      <c r="L157" s="957" t="s">
        <v>1726</v>
      </c>
      <c r="M157" s="73"/>
      <c r="N157" s="1256"/>
      <c r="O157" s="1256"/>
      <c r="P157" s="1256"/>
      <c r="Q157" s="1256"/>
      <c r="R157" s="1256"/>
      <c r="S157" s="1256"/>
      <c r="T157" s="438" cm="1" t="str">
        <f t="array" ref="T157:T157">T156</f>
        <v>false</v>
      </c>
      <c r="U157" s="1256"/>
      <c r="V157" s="1256"/>
      <c r="W157" s="1256"/>
      <c r="X157" s="1511"/>
      <c r="Y157" s="1256"/>
      <c r="Z157" s="1494"/>
      <c r="AA157" s="1256"/>
      <c r="AB157" s="266" t="str">
        <f>D157&amp;".3"</f>
        <v>11.3</v>
      </c>
      <c r="AC157" s="1089" t="s">
        <v>2046</v>
      </c>
      <c r="AD157" s="266" t="s">
        <v>506</v>
      </c>
      <c r="AE157" s="923">
        <f>AE154-AE155</f>
        <v>0</v>
      </c>
      <c r="AF157" s="923">
        <f>AF154-AF155</f>
        <v>0</v>
      </c>
      <c r="AG157" s="923">
        <f>AG154-AG155</f>
        <v>0</v>
      </c>
      <c r="AH157" s="918">
        <f>AG157-AF157</f>
        <v>0</v>
      </c>
      <c r="AI157" s="801">
        <f>AI154-AI155</f>
        <v>0</v>
      </c>
      <c r="AJ157" s="801">
        <f>AJ154-AJ155</f>
        <v>0</v>
      </c>
      <c r="AK157" s="801">
        <f>AK154-AK155</f>
        <v>0</v>
      </c>
      <c r="AL157" s="801">
        <f>AL154-AL155</f>
        <v>0</v>
      </c>
      <c r="AM157" s="801">
        <f>AM154-AM155</f>
        <v>0</v>
      </c>
      <c r="AN157" s="801">
        <f>AN154-AN155</f>
        <v>0</v>
      </c>
      <c r="AO157" s="801">
        <f>AO154-AO155</f>
        <v>0</v>
      </c>
      <c r="AP157" s="801">
        <f>AP154-AP155</f>
        <v>0</v>
      </c>
      <c r="AQ157" s="801">
        <f>AQ154-AQ155</f>
        <v>0</v>
      </c>
      <c r="AR157" s="801">
        <f>AR154-AR155</f>
        <v>0</v>
      </c>
      <c r="AS157" s="801">
        <f>AS154-AS155</f>
        <v>0</v>
      </c>
      <c r="AT157" s="801">
        <f>AT154-AT155</f>
        <v>0</v>
      </c>
      <c r="AU157" s="801">
        <f>AU154-AU155</f>
        <v>0</v>
      </c>
      <c r="AV157" s="801">
        <f>AV154-AV155</f>
        <v>0</v>
      </c>
      <c r="AW157" s="801">
        <f>AW154-AW155</f>
        <v>0</v>
      </c>
      <c r="AX157" s="801">
        <f>AX154-AX155</f>
        <v>0</v>
      </c>
      <c r="AY157" s="801">
        <f>AY154-AY155</f>
        <v>0</v>
      </c>
      <c r="AZ157" s="801">
        <f>AZ154-AZ155</f>
        <v>0</v>
      </c>
      <c r="BA157" s="801">
        <f>BA154-BA155</f>
        <v>0</v>
      </c>
      <c r="BB157" s="801">
        <f>BB154-BB155</f>
        <v>0</v>
      </c>
      <c r="BC157" s="801">
        <f>BC154-BC155</f>
        <v>0</v>
      </c>
      <c r="BD157" s="919"/>
      <c r="BE157" s="919"/>
      <c r="BF157" s="919"/>
      <c r="BG157" s="919"/>
      <c r="BH157" s="919"/>
      <c r="BI157" s="919"/>
      <c r="BJ157" s="919"/>
      <c r="BK157" s="919"/>
      <c r="BL157" s="919"/>
      <c r="BM157" s="919"/>
      <c r="BN157" s="1234"/>
      <c r="BO157" s="1234"/>
      <c r="BP157" s="1234"/>
      <c r="BQ157" s="1256"/>
      <c r="BR157" s="1256"/>
      <c r="BS157" s="1039" t="s">
        <v>1729</v>
      </c>
      <c r="BT157" s="1041"/>
      <c r="BU157" s="1041"/>
      <c r="BV157" s="956"/>
      <c r="BW157" s="956"/>
    </row>
    <row customHeight="1" ht="14.625" hidden="1">
      <c r="A158" s="1256"/>
      <c r="B158" s="955"/>
      <c r="C158" s="1256"/>
      <c r="D158" s="73" cm="1" t="str">
        <f t="array" ref="D158:D158">D157</f>
        <v>11</v>
      </c>
      <c r="E158" s="679">
        <v>15</v>
      </c>
      <c r="F158" s="50" cm="1" t="str">
        <f t="array" ref="F158:F158">OFFSET(E158,-1,1)</f>
        <v>0</v>
      </c>
      <c r="G158" s="124" t="s">
        <v>1478</v>
      </c>
      <c r="H158" s="1256"/>
      <c r="I158" s="124" t="s">
        <v>2047</v>
      </c>
      <c r="J158" s="1256"/>
      <c r="K158" s="124" t="s">
        <v>2047</v>
      </c>
      <c r="L158" s="957" t="s">
        <v>1730</v>
      </c>
      <c r="M158" s="73"/>
      <c r="N158" s="1256"/>
      <c r="O158" s="1256"/>
      <c r="P158" s="1256"/>
      <c r="Q158" s="1256"/>
      <c r="R158" s="1256"/>
      <c r="S158" s="1256"/>
      <c r="T158" s="438" cm="1" t="str">
        <f t="array" ref="T158:T158">T157</f>
        <v>false</v>
      </c>
      <c r="U158" s="1256"/>
      <c r="V158" s="1256"/>
      <c r="W158" s="1256"/>
      <c r="X158" s="1511"/>
      <c r="Y158" s="1256"/>
      <c r="Z158" s="1494"/>
      <c r="AA158" s="1256"/>
      <c r="AB158" s="266" t="str">
        <f>D158&amp;".4"</f>
        <v>11.4</v>
      </c>
      <c r="AC158" s="1089" t="s">
        <v>1732</v>
      </c>
      <c r="AD158" s="266" t="s">
        <v>1476</v>
      </c>
      <c r="AE158" s="1233">
        <f>IF(AE157=0,0,(AE151-AE155*AE156)/AE157)</f>
        <v>0</v>
      </c>
      <c r="AF158" s="1233">
        <f>IF(AF157=0,0,(AF151-AF155*AF156)/AF157)</f>
        <v>0</v>
      </c>
      <c r="AG158" s="1233">
        <f>IF(AG157=0,0,(AG151-AG155*AG156)/AG157)</f>
        <v>0</v>
      </c>
      <c r="AH158" s="920">
        <f>AG158-AF158</f>
        <v>0</v>
      </c>
      <c r="AI158" s="1240">
        <f>IF(AI157=0,0,(AI151-AI155*AI156)/AI157)</f>
        <v>0</v>
      </c>
      <c r="AJ158" s="3616">
        <f>IF(AJ157=0,0,(AJ151-AJ155*AJ156)/AJ157)</f>
        <v>0</v>
      </c>
      <c r="AK158" s="1240">
        <f>IF(AK157=0,0,(AK151-AK155*AK156)/AK157)</f>
        <v>0</v>
      </c>
      <c r="AL158" s="1240">
        <f>IF(AL157=0,0,(AL151-AL155*AL156)/AL157)</f>
        <v>0</v>
      </c>
      <c r="AM158" s="1240">
        <f>IF(AM157=0,0,(AM151-AM155*AM156)/AM157)</f>
        <v>0</v>
      </c>
      <c r="AN158" s="1240">
        <f>IF(AN157=0,0,(AN151-AN155*AN156)/AN157)</f>
        <v>0</v>
      </c>
      <c r="AO158" s="1240">
        <f>IF(AO157=0,0,(AO151-AO155*AO156)/AO157)</f>
        <v>0</v>
      </c>
      <c r="AP158" s="1240">
        <f>IF(AP157=0,0,(AP151-AP155*AP156)/AP157)</f>
        <v>0</v>
      </c>
      <c r="AQ158" s="1240">
        <f>IF(AQ157=0,0,(AQ151-AQ155*AQ156)/AQ157)</f>
        <v>0</v>
      </c>
      <c r="AR158" s="1240">
        <f>IF(AR157=0,0,(AR151-AR155*AR156)/AR157)</f>
        <v>0</v>
      </c>
      <c r="AS158" s="1240">
        <f>IF(AS157=0,0,(AS151-AS155*AS156)/AS157)</f>
        <v>0</v>
      </c>
      <c r="AT158" s="3616">
        <f>IF(AT157=0,0,(AT151-AT155*AT156)/AT157)</f>
        <v>0</v>
      </c>
      <c r="AU158" s="1240">
        <f>IF(AU157=0,0,(AU151-AU155*AU156)/AU157)</f>
        <v>0</v>
      </c>
      <c r="AV158" s="1240">
        <f>IF(AV157=0,0,(AV151-AV155*AV156)/AV157)</f>
        <v>0</v>
      </c>
      <c r="AW158" s="1240">
        <f>IF(AW157=0,0,(AW151-AW155*AW156)/AW157)</f>
        <v>0</v>
      </c>
      <c r="AX158" s="1240">
        <f>IF(AX157=0,0,(AX151-AX155*AX156)/AX157)</f>
        <v>0</v>
      </c>
      <c r="AY158" s="1240">
        <f>IF(AY157=0,0,(AY151-AY155*AY156)/AY157)</f>
        <v>0</v>
      </c>
      <c r="AZ158" s="1240">
        <f>IF(AZ157=0,0,(AZ151-AZ155*AZ156)/AZ157)</f>
        <v>0</v>
      </c>
      <c r="BA158" s="1240">
        <f>IF(BA157=0,0,(BA151-BA155*BA156)/BA157)</f>
        <v>0</v>
      </c>
      <c r="BB158" s="1240">
        <f>IF(BB157=0,0,(BB151-BB155*BB156)/BB157)</f>
        <v>0</v>
      </c>
      <c r="BC158" s="1240">
        <f>IF(BC157=0,0,(BC151-BC155*BC156)/BC157)</f>
        <v>0</v>
      </c>
      <c r="BD158" s="919"/>
      <c r="BE158" s="919"/>
      <c r="BF158" s="919"/>
      <c r="BG158" s="919"/>
      <c r="BH158" s="919"/>
      <c r="BI158" s="919"/>
      <c r="BJ158" s="919"/>
      <c r="BK158" s="919"/>
      <c r="BL158" s="919"/>
      <c r="BM158" s="919"/>
      <c r="BN158" s="1234"/>
      <c r="BO158" s="1234"/>
      <c r="BP158" s="1234"/>
      <c r="BQ158" s="1256"/>
      <c r="BR158" s="1256"/>
      <c r="BS158" s="1039" t="s">
        <v>1733</v>
      </c>
      <c r="BT158" s="1041"/>
      <c r="BU158" s="1041"/>
      <c r="BV158" s="956"/>
      <c r="BW158" s="956"/>
    </row>
    <row customHeight="1" ht="14.625" hidden="1">
      <c r="A159" s="1256"/>
      <c r="B159" s="955"/>
      <c r="C159" s="1256"/>
      <c r="D159" s="73" cm="1" t="str">
        <f t="array" ref="D159:D159">D158</f>
        <v>11</v>
      </c>
      <c r="E159" s="679">
        <v>15</v>
      </c>
      <c r="F159" s="50" cm="1" t="str">
        <f t="array" ref="F159:F159">OFFSET(E159,-1,1)</f>
        <v>0</v>
      </c>
      <c r="G159" s="1256"/>
      <c r="H159" s="1256"/>
      <c r="I159" s="124" t="s">
        <v>2048</v>
      </c>
      <c r="J159" s="1256"/>
      <c r="K159" s="124" t="s">
        <v>2048</v>
      </c>
      <c r="L159" s="957" t="s">
        <v>1734</v>
      </c>
      <c r="M159" s="73"/>
      <c r="N159" s="1256"/>
      <c r="O159" s="1256"/>
      <c r="P159" s="1256"/>
      <c r="Q159" s="1256"/>
      <c r="R159" s="1256"/>
      <c r="S159" s="1256"/>
      <c r="T159" s="438" cm="1" t="str">
        <f t="array" ref="T159:T159">T158</f>
        <v>false</v>
      </c>
      <c r="U159" s="1256"/>
      <c r="V159" s="1256"/>
      <c r="W159" s="1256"/>
      <c r="X159" s="1511"/>
      <c r="Y159" s="1256"/>
      <c r="Z159" s="1494"/>
      <c r="AA159" s="1256"/>
      <c r="AB159" s="266" t="str">
        <f>D159&amp;".5"</f>
        <v>11.5</v>
      </c>
      <c r="AC159" s="1089" t="s">
        <v>1736</v>
      </c>
      <c r="AD159" s="266" t="s">
        <v>430</v>
      </c>
      <c r="AE159" s="225">
        <f>IF(AE156=0,0,AE158/AE156*100)</f>
        <v>0</v>
      </c>
      <c r="AF159" s="225">
        <f>IF(AF156=0,0,AF158/AF156*100)</f>
        <v>0</v>
      </c>
      <c r="AG159" s="225">
        <f>IF(AG156=0,0,AG158/AG156*100)</f>
        <v>0</v>
      </c>
      <c r="AH159" s="919"/>
      <c r="AI159" s="778">
        <f>IF(AI156=0,0,AI158/AI156*100)</f>
        <v>0</v>
      </c>
      <c r="AJ159" s="778">
        <f>IF(AJ156=0,0,AJ158/AJ156*100)</f>
        <v>0</v>
      </c>
      <c r="AK159" s="778">
        <f>IF(AK156=0,0,AK158/AK156*100)</f>
        <v>0</v>
      </c>
      <c r="AL159" s="778">
        <f>IF(AL156=0,0,AL158/AL156*100)</f>
        <v>0</v>
      </c>
      <c r="AM159" s="778">
        <f>IF(AM156=0,0,AM158/AM156*100)</f>
        <v>0</v>
      </c>
      <c r="AN159" s="778">
        <f>IF(AN156=0,0,AN158/AN156*100)</f>
        <v>0</v>
      </c>
      <c r="AO159" s="778">
        <f>IF(AO156=0,0,AO158/AO156*100)</f>
        <v>0</v>
      </c>
      <c r="AP159" s="778">
        <f>IF(AP156=0,0,AP158/AP156*100)</f>
        <v>0</v>
      </c>
      <c r="AQ159" s="778">
        <f>IF(AQ156=0,0,AQ158/AQ156*100)</f>
        <v>0</v>
      </c>
      <c r="AR159" s="778">
        <f>IF(AR156=0,0,AR158/AR156*100)</f>
        <v>0</v>
      </c>
      <c r="AS159" s="778">
        <f>IF(AS156=0,0,AS158/AS156*100)</f>
        <v>0</v>
      </c>
      <c r="AT159" s="778">
        <f>IF(AT156=0,0,AT158/AT156*100)</f>
        <v>0</v>
      </c>
      <c r="AU159" s="778">
        <f>IF(AU156=0,0,AU158/AU156*100)</f>
        <v>0</v>
      </c>
      <c r="AV159" s="778">
        <f>IF(AV156=0,0,AV158/AV156*100)</f>
        <v>0</v>
      </c>
      <c r="AW159" s="778">
        <f>IF(AW156=0,0,AW158/AW156*100)</f>
        <v>0</v>
      </c>
      <c r="AX159" s="778">
        <f>IF(AX156=0,0,AX158/AX156*100)</f>
        <v>0</v>
      </c>
      <c r="AY159" s="778">
        <f>IF(AY156=0,0,AY158/AY156*100)</f>
        <v>0</v>
      </c>
      <c r="AZ159" s="778">
        <f>IF(AZ156=0,0,AZ158/AZ156*100)</f>
        <v>0</v>
      </c>
      <c r="BA159" s="778">
        <f>IF(BA156=0,0,BA158/BA156*100)</f>
        <v>0</v>
      </c>
      <c r="BB159" s="778">
        <f>IF(BB156=0,0,BB158/BB156*100)</f>
        <v>0</v>
      </c>
      <c r="BC159" s="778">
        <f>IF(BC156=0,0,BC158/BC156*100)</f>
        <v>0</v>
      </c>
      <c r="BD159" s="919"/>
      <c r="BE159" s="919"/>
      <c r="BF159" s="919"/>
      <c r="BG159" s="919"/>
      <c r="BH159" s="919"/>
      <c r="BI159" s="919"/>
      <c r="BJ159" s="919"/>
      <c r="BK159" s="919"/>
      <c r="BL159" s="919"/>
      <c r="BM159" s="919"/>
      <c r="BN159" s="1234"/>
      <c r="BO159" s="1234"/>
      <c r="BP159" s="1234"/>
      <c r="BQ159" s="1256"/>
      <c r="BR159" s="1256"/>
      <c r="BS159" s="1039" t="s">
        <v>1737</v>
      </c>
      <c r="BT159" s="1041"/>
      <c r="BU159" s="1041"/>
      <c r="BV159" s="956"/>
      <c r="BW159" s="956"/>
    </row>
    <row customHeight="1" ht="14.625" hidden="1">
      <c r="A160" s="1256"/>
      <c r="B160" s="955"/>
      <c r="C160" s="1256"/>
      <c r="D160" s="73" cm="1" t="str">
        <f t="array" ref="D160:D160">D159</f>
        <v>11</v>
      </c>
      <c r="E160" s="679">
        <v>15</v>
      </c>
      <c r="F160" s="50" cm="1" t="str">
        <f t="array" ref="F160:F160">OFFSET(E160,-1,1)</f>
        <v>0</v>
      </c>
      <c r="G160" s="1256"/>
      <c r="H160" s="1256"/>
      <c r="I160" s="124" t="s">
        <v>2049</v>
      </c>
      <c r="J160" s="1256"/>
      <c r="K160" s="124" t="s">
        <v>2049</v>
      </c>
      <c r="L160" s="957" t="s">
        <v>1738</v>
      </c>
      <c r="M160" s="73"/>
      <c r="N160" s="1256"/>
      <c r="O160" s="1256"/>
      <c r="P160" s="1256"/>
      <c r="Q160" s="1256"/>
      <c r="R160" s="1256"/>
      <c r="S160" s="1256"/>
      <c r="T160" s="438" cm="1" t="str">
        <f t="array" ref="T160:T160">T159</f>
        <v>false</v>
      </c>
      <c r="U160" s="1256"/>
      <c r="V160" s="1256"/>
      <c r="W160" s="1256"/>
      <c r="X160" s="1511"/>
      <c r="Y160" s="1256"/>
      <c r="Z160" s="1494"/>
      <c r="AA160" s="1256"/>
      <c r="AB160" s="266" t="str">
        <f>D160&amp;".6"</f>
        <v>11.6</v>
      </c>
      <c r="AC160" s="1089" t="s">
        <v>1740</v>
      </c>
      <c r="AD160" s="266" t="s">
        <v>1476</v>
      </c>
      <c r="AE160" s="1233">
        <f>IF(AE154=0,0,AE151/AE154)</f>
        <v>0</v>
      </c>
      <c r="AF160" s="1233">
        <f>IF(AF154=0,0,AF151/AF154)</f>
        <v>0</v>
      </c>
      <c r="AG160" s="1233">
        <f>IF(AG154=0,0,AG151/AG154)</f>
        <v>0</v>
      </c>
      <c r="AH160" s="920">
        <f>AG160-AF160</f>
        <v>0</v>
      </c>
      <c r="AI160" s="1240">
        <f>IF(AI154=0,0,AI151/AI154)</f>
        <v>0</v>
      </c>
      <c r="AJ160" s="3616">
        <f>IF(AJ154=0,0,AJ151/AJ154)</f>
        <v>0</v>
      </c>
      <c r="AK160" s="1240">
        <f>IF(AK154=0,0,AK151/AK154)</f>
        <v>0</v>
      </c>
      <c r="AL160" s="1240">
        <f>IF(AL154=0,0,AL151/AL154)</f>
        <v>0</v>
      </c>
      <c r="AM160" s="1240">
        <f>IF(AM154=0,0,AM151/AM154)</f>
        <v>0</v>
      </c>
      <c r="AN160" s="1240">
        <f>IF(AN154=0,0,AN151/AN154)</f>
        <v>0</v>
      </c>
      <c r="AO160" s="1240">
        <f>IF(AO154=0,0,AO151/AO154)</f>
        <v>0</v>
      </c>
      <c r="AP160" s="1240">
        <f>IF(AP154=0,0,AP151/AP154)</f>
        <v>0</v>
      </c>
      <c r="AQ160" s="1240">
        <f>IF(AQ154=0,0,AQ151/AQ154)</f>
        <v>0</v>
      </c>
      <c r="AR160" s="1240">
        <f>IF(AR154=0,0,AR151/AR154)</f>
        <v>0</v>
      </c>
      <c r="AS160" s="1240">
        <f>IF(AS154=0,0,AS151/AS154)</f>
        <v>0</v>
      </c>
      <c r="AT160" s="3616">
        <f>IF(AT154=0,0,AT151/AT154)</f>
        <v>0</v>
      </c>
      <c r="AU160" s="1240">
        <f>IF(AU154=0,0,AU151/AU154)</f>
        <v>0</v>
      </c>
      <c r="AV160" s="1240">
        <f>IF(AV154=0,0,AV151/AV154)</f>
        <v>0</v>
      </c>
      <c r="AW160" s="1240">
        <f>IF(AW154=0,0,AW151/AW154)</f>
        <v>0</v>
      </c>
      <c r="AX160" s="1240">
        <f>IF(AX154=0,0,AX151/AX154)</f>
        <v>0</v>
      </c>
      <c r="AY160" s="1240">
        <f>IF(AY154=0,0,AY151/AY154)</f>
        <v>0</v>
      </c>
      <c r="AZ160" s="1240">
        <f>IF(AZ154=0,0,AZ151/AZ154)</f>
        <v>0</v>
      </c>
      <c r="BA160" s="1240">
        <f>IF(BA154=0,0,BA151/BA154)</f>
        <v>0</v>
      </c>
      <c r="BB160" s="1240">
        <f>IF(BB154=0,0,BB151/BB154)</f>
        <v>0</v>
      </c>
      <c r="BC160" s="1240">
        <f>IF(BC154=0,0,BC151/BC154)</f>
        <v>0</v>
      </c>
      <c r="BD160" s="919"/>
      <c r="BE160" s="919"/>
      <c r="BF160" s="919"/>
      <c r="BG160" s="919"/>
      <c r="BH160" s="919"/>
      <c r="BI160" s="919"/>
      <c r="BJ160" s="919"/>
      <c r="BK160" s="919"/>
      <c r="BL160" s="919"/>
      <c r="BM160" s="919"/>
      <c r="BN160" s="1234"/>
      <c r="BO160" s="1234"/>
      <c r="BP160" s="1234"/>
      <c r="BQ160" s="1256"/>
      <c r="BR160" s="1256"/>
      <c r="BS160" s="1039" t="s">
        <v>1741</v>
      </c>
      <c r="BT160" s="1041"/>
      <c r="BU160" s="1041"/>
      <c r="BV160" s="956"/>
      <c r="BW160" s="956"/>
    </row>
    <row s="676" customFormat="1" customHeight="1" ht="20.475" hidden="1">
      <c r="A161" s="676"/>
      <c r="B161" s="407"/>
      <c r="C161" s="676"/>
      <c r="D161" s="75">
        <f>D160+1</f>
        <v>12</v>
      </c>
      <c r="E161" s="683">
        <v>21</v>
      </c>
      <c r="F161" s="50" cm="1" t="str">
        <f t="array" ref="F161:F161">OFFSET(E161,-1,1)</f>
        <v>0</v>
      </c>
      <c r="G161" s="676"/>
      <c r="H161" s="124"/>
      <c r="I161" s="124" t="s">
        <v>1746</v>
      </c>
      <c r="J161" s="676"/>
      <c r="K161" s="124" t="s">
        <v>1746</v>
      </c>
      <c r="L161" s="962" t="s">
        <v>1742</v>
      </c>
      <c r="M161" s="75"/>
      <c r="N161" s="676"/>
      <c r="O161" s="676"/>
      <c r="P161" s="676"/>
      <c r="Q161" s="676"/>
      <c r="R161" s="676"/>
      <c r="S161" s="676"/>
      <c r="T161" s="438" cm="1" t="str">
        <f t="array" ref="T161:T161">T160</f>
        <v>false</v>
      </c>
      <c r="U161" s="676"/>
      <c r="V161" s="676"/>
      <c r="W161" s="676"/>
      <c r="X161" s="1511"/>
      <c r="Y161" s="676"/>
      <c r="Z161" s="1494"/>
      <c r="AA161" s="676"/>
      <c r="AB161" s="177" cm="1" t="str">
        <f t="array" ref="AB161:AB161">D161</f>
        <v>12</v>
      </c>
      <c r="AC161" s="178" t="s">
        <v>1744</v>
      </c>
      <c r="AD161" s="177" t="s">
        <v>789</v>
      </c>
      <c r="AE161" s="1228">
        <f>IF(AE154=0,0,AE151/AE154*AE162)</f>
        <v>0</v>
      </c>
      <c r="AF161" s="1228">
        <f>IF(AF154=0,0,AF151/AF154*AF162)</f>
        <v>0</v>
      </c>
      <c r="AG161" s="1228">
        <f>IF(AG154=0,0,AG151/AG154*AG162)</f>
        <v>0</v>
      </c>
      <c r="AH161" s="746">
        <f>AH163*AH164+AH165*AH166</f>
        <v>0</v>
      </c>
      <c r="AI161" s="1241">
        <f>IF(AI154=0,0,AI151/AI154*AI162)</f>
        <v>0</v>
      </c>
      <c r="AJ161" s="3721">
        <f>IF(AJ154=0,0,AJ151/AJ154*AJ162)</f>
        <v>0</v>
      </c>
      <c r="AK161" s="1241">
        <f>IF(AK154=0,0,AK151/AK154*AK162)</f>
        <v>0</v>
      </c>
      <c r="AL161" s="1241">
        <f>IF(AL154=0,0,AL151/AL154*AL162)</f>
        <v>0</v>
      </c>
      <c r="AM161" s="1241">
        <f>IF(AM154=0,0,AM151/AM154*AM162)</f>
        <v>0</v>
      </c>
      <c r="AN161" s="1241">
        <f>IF(AN154=0,0,AN151/AN154*AN162)</f>
        <v>0</v>
      </c>
      <c r="AO161" s="1241">
        <f>IF(AO154=0,0,AO151/AO154*AO162)</f>
        <v>0</v>
      </c>
      <c r="AP161" s="1241">
        <f>IF(AP154=0,0,AP151/AP154*AP162)</f>
        <v>0</v>
      </c>
      <c r="AQ161" s="1241">
        <f>IF(AQ154=0,0,AQ151/AQ154*AQ162)</f>
        <v>0</v>
      </c>
      <c r="AR161" s="1241">
        <f>IF(AR154=0,0,AR151/AR154*AR162)</f>
        <v>0</v>
      </c>
      <c r="AS161" s="1241">
        <f>IF(AS154=0,0,AS151/AS154*AS162)</f>
        <v>0</v>
      </c>
      <c r="AT161" s="3721">
        <f>IF(AT154=0,0,AT151/AT154*AT162)</f>
        <v>0</v>
      </c>
      <c r="AU161" s="1241">
        <f>IF(AU154=0,0,AU151/AU154*AU162)</f>
        <v>0</v>
      </c>
      <c r="AV161" s="1241">
        <f>IF(AV154=0,0,AV151/AV154*AV162)</f>
        <v>0</v>
      </c>
      <c r="AW161" s="1241">
        <f>IF(AW154=0,0,AW151/AW154*AW162)</f>
        <v>0</v>
      </c>
      <c r="AX161" s="1241">
        <f>IF(AX154=0,0,AX151/AX154*AX162)</f>
        <v>0</v>
      </c>
      <c r="AY161" s="1241">
        <f>IF(AY154=0,0,AY151/AY154*AY162)</f>
        <v>0</v>
      </c>
      <c r="AZ161" s="1241">
        <f>IF(AZ154=0,0,AZ151/AZ154*AZ162)</f>
        <v>0</v>
      </c>
      <c r="BA161" s="1241">
        <f>IF(BA154=0,0,BA151/BA154*BA162)</f>
        <v>0</v>
      </c>
      <c r="BB161" s="1241">
        <f>IF(BB154=0,0,BB151/BB154*BB162)</f>
        <v>0</v>
      </c>
      <c r="BC161" s="1241">
        <f>IF(BC154=0,0,BC151/BC154*BC162)</f>
        <v>0</v>
      </c>
      <c r="BD161" s="737">
        <f>IF(AI161=0,0,(AT161-AI161)/AI161*100)</f>
        <v>0</v>
      </c>
      <c r="BE161" s="737">
        <f>IF(AT161=0,0,(AU161-AT161)/AT161*100)</f>
        <v>0</v>
      </c>
      <c r="BF161" s="737">
        <f>IF(AU161=0,0,(AV161-AU161)/AU161*100)</f>
        <v>0</v>
      </c>
      <c r="BG161" s="737">
        <f>IF(AV161=0,0,(AW161-AV161)/AV161*100)</f>
        <v>0</v>
      </c>
      <c r="BH161" s="737">
        <f>IF(AW161=0,0,(AX161-AW161)/AW161*100)</f>
        <v>0</v>
      </c>
      <c r="BI161" s="737">
        <f>IF(AX161=0,0,(AY161-AX161)/AX161*100)</f>
        <v>0</v>
      </c>
      <c r="BJ161" s="737">
        <f>IF(AY161=0,0,(AZ161-AY161)/AY161*100)</f>
        <v>0</v>
      </c>
      <c r="BK161" s="737">
        <f>IF(AZ161=0,0,(BA161-AZ161)/AZ161*100)</f>
        <v>0</v>
      </c>
      <c r="BL161" s="737">
        <f>IF(BA161=0,0,(BB161-BA161)/BA161*100)</f>
        <v>0</v>
      </c>
      <c r="BM161" s="737">
        <f>IF(BB161=0,0,(BC161-BB161)/BB161*100)</f>
        <v>0</v>
      </c>
      <c r="BN161" s="1234"/>
      <c r="BO161" s="1234"/>
      <c r="BP161" s="1234"/>
      <c r="BQ161" s="676"/>
      <c r="BR161" s="676"/>
      <c r="BS161" s="1040" t="s">
        <v>1745</v>
      </c>
      <c r="BT161" s="1047"/>
      <c r="BU161" s="1047"/>
      <c r="BV161" s="683"/>
      <c r="BW161" s="683"/>
    </row>
    <row s="676" customFormat="1" customHeight="1" ht="20.475" hidden="1">
      <c r="A162" s="676"/>
      <c r="B162" s="407"/>
      <c r="C162" s="676"/>
      <c r="D162" s="75">
        <f>D161+1</f>
        <v>13</v>
      </c>
      <c r="E162" s="683">
        <v>21</v>
      </c>
      <c r="F162" s="50" cm="1" t="str">
        <f t="array" ref="F162:F162">OFFSET(E162,-1,1)</f>
        <v>0</v>
      </c>
      <c r="G162" s="124" t="s">
        <v>1498</v>
      </c>
      <c r="H162" s="124"/>
      <c r="I162" s="124" t="s">
        <v>2050</v>
      </c>
      <c r="J162" s="676"/>
      <c r="K162" s="124" t="s">
        <v>2050</v>
      </c>
      <c r="L162" s="962" t="s">
        <v>1746</v>
      </c>
      <c r="M162" s="75"/>
      <c r="N162" s="676"/>
      <c r="O162" s="676"/>
      <c r="P162" s="676"/>
      <c r="Q162" s="676"/>
      <c r="R162" s="676"/>
      <c r="S162" s="676"/>
      <c r="T162" s="438" cm="1" t="str">
        <f t="array" ref="T162:T162">T161</f>
        <v>false</v>
      </c>
      <c r="U162" s="676"/>
      <c r="V162" s="676"/>
      <c r="W162" s="676"/>
      <c r="X162" s="1511"/>
      <c r="Y162" s="676"/>
      <c r="Z162" s="1494"/>
      <c r="AA162" s="676"/>
      <c r="AB162" s="177" cm="1" t="str">
        <f t="array" ref="AB162:AB162">D162</f>
        <v>13</v>
      </c>
      <c r="AC162" s="178" t="s">
        <v>1748</v>
      </c>
      <c r="AD162" s="177" t="s">
        <v>506</v>
      </c>
      <c r="AE162" s="761">
        <f>_xlfn.SUMIFS(Баланс!AE$26:AE$209,Баланс!$F$26:$F$209,$F162,Баланс!$G$26:$G$209,"население")</f>
        <v>0</v>
      </c>
      <c r="AF162" s="761">
        <f>_xlfn.SUMIFS(Баланс!AF$26:AF$209,Баланс!$F$26:$F$209,$F162,Баланс!$G$26:$G$209,"население")</f>
        <v>0</v>
      </c>
      <c r="AG162" s="761">
        <f>_xlfn.SUMIFS(Баланс!AG$26:AG$209,Баланс!$F$26:$F$209,$F162,Баланс!$G$26:$G$209,"население")</f>
        <v>0</v>
      </c>
      <c r="AH162" s="762">
        <f>AG162-AF162</f>
        <v>0</v>
      </c>
      <c r="AI162" s="762">
        <f>_xlfn.SUMIFS(Баланс!AH$26:AH$209,Баланс!$F$26:$F$209,$F162,Баланс!$G$26:$G$209,"население")</f>
        <v>0</v>
      </c>
      <c r="AJ162" s="762">
        <f>_xlfn.SUMIFS(Баланс!AI$26:AI$209,Баланс!$F$26:$F$209,$F162,Баланс!$G$26:$G$209,"население")</f>
        <v>0</v>
      </c>
      <c r="AK162" s="762">
        <f>_xlfn.SUMIFS(Баланс!AJ$26:AJ$209,Баланс!$F$26:$F$209,$F162,Баланс!$G$26:$G$209,"население")</f>
        <v>0</v>
      </c>
      <c r="AL162" s="762">
        <f>_xlfn.SUMIFS(Баланс!AK$26:AK$209,Баланс!$F$26:$F$209,$F162,Баланс!$G$26:$G$209,"население")</f>
        <v>0</v>
      </c>
      <c r="AM162" s="762">
        <f>_xlfn.SUMIFS(Баланс!AL$26:AL$209,Баланс!$F$26:$F$209,$F162,Баланс!$G$26:$G$209,"население")</f>
        <v>0</v>
      </c>
      <c r="AN162" s="762">
        <f>_xlfn.SUMIFS(Баланс!AM$26:AM$209,Баланс!$F$26:$F$209,$F162,Баланс!$G$26:$G$209,"население")</f>
        <v>0</v>
      </c>
      <c r="AO162" s="762">
        <f>_xlfn.SUMIFS(Баланс!AN$26:AN$209,Баланс!$F$26:$F$209,$F162,Баланс!$G$26:$G$209,"население")</f>
        <v>0</v>
      </c>
      <c r="AP162" s="762">
        <f>_xlfn.SUMIFS(Баланс!AO$26:AO$209,Баланс!$F$26:$F$209,$F162,Баланс!$G$26:$G$209,"население")</f>
        <v>0</v>
      </c>
      <c r="AQ162" s="762">
        <f>_xlfn.SUMIFS(Баланс!AP$26:AP$209,Баланс!$F$26:$F$209,$F162,Баланс!$G$26:$G$209,"население")</f>
        <v>0</v>
      </c>
      <c r="AR162" s="762">
        <f>_xlfn.SUMIFS(Баланс!AQ$26:AQ$209,Баланс!$F$26:$F$209,$F162,Баланс!$G$26:$G$209,"население")</f>
        <v>0</v>
      </c>
      <c r="AS162" s="762">
        <f>_xlfn.SUMIFS(Баланс!AR$26:AR$209,Баланс!$F$26:$F$209,$F162,Баланс!$G$26:$G$209,"население")</f>
        <v>0</v>
      </c>
      <c r="AT162" s="762">
        <f>_xlfn.SUMIFS(Баланс!AS$26:AS$209,Баланс!$F$26:$F$209,$F162,Баланс!$G$26:$G$209,"население")</f>
        <v>0</v>
      </c>
      <c r="AU162" s="762">
        <f>_xlfn.SUMIFS(Баланс!AT$26:AT$209,Баланс!$F$26:$F$209,$F162,Баланс!$G$26:$G$209,"население")</f>
        <v>0</v>
      </c>
      <c r="AV162" s="762">
        <f>_xlfn.SUMIFS(Баланс!AU$26:AU$209,Баланс!$F$26:$F$209,$F162,Баланс!$G$26:$G$209,"население")</f>
        <v>0</v>
      </c>
      <c r="AW162" s="762">
        <f>_xlfn.SUMIFS(Баланс!AV$26:AV$209,Баланс!$F$26:$F$209,$F162,Баланс!$G$26:$G$209,"население")</f>
        <v>0</v>
      </c>
      <c r="AX162" s="762">
        <f>_xlfn.SUMIFS(Баланс!AW$26:AW$209,Баланс!$F$26:$F$209,$F162,Баланс!$G$26:$G$209,"население")</f>
        <v>0</v>
      </c>
      <c r="AY162" s="762">
        <f>_xlfn.SUMIFS(Баланс!AX$26:AX$209,Баланс!$F$26:$F$209,$F162,Баланс!$G$26:$G$209,"население")</f>
        <v>0</v>
      </c>
      <c r="AZ162" s="762">
        <f>_xlfn.SUMIFS(Баланс!AY$26:AY$209,Баланс!$F$26:$F$209,$F162,Баланс!$G$26:$G$209,"население")</f>
        <v>0</v>
      </c>
      <c r="BA162" s="762">
        <f>_xlfn.SUMIFS(Баланс!AZ$26:AZ$209,Баланс!$F$26:$F$209,$F162,Баланс!$G$26:$G$209,"население")</f>
        <v>0</v>
      </c>
      <c r="BB162" s="762">
        <f>_xlfn.SUMIFS(Баланс!BA$26:BA$209,Баланс!$F$26:$F$209,$F162,Баланс!$G$26:$G$209,"население")</f>
        <v>0</v>
      </c>
      <c r="BC162" s="762">
        <f>_xlfn.SUMIFS(Баланс!BB$26:BB$209,Баланс!$F$26:$F$209,$F162,Баланс!$G$26:$G$209,"население")</f>
        <v>0</v>
      </c>
      <c r="BD162" s="740"/>
      <c r="BE162" s="740"/>
      <c r="BF162" s="740"/>
      <c r="BG162" s="740"/>
      <c r="BH162" s="740"/>
      <c r="BI162" s="740"/>
      <c r="BJ162" s="740"/>
      <c r="BK162" s="740"/>
      <c r="BL162" s="740"/>
      <c r="BM162" s="740"/>
      <c r="BN162" s="1234"/>
      <c r="BO162" s="1234"/>
      <c r="BP162" s="1234"/>
      <c r="BQ162" s="676"/>
      <c r="BR162" s="676"/>
      <c r="BS162" s="1040" t="s">
        <v>1749</v>
      </c>
      <c r="BT162" s="1047"/>
      <c r="BU162" s="1047"/>
      <c r="BV162" s="683"/>
      <c r="BW162" s="683"/>
    </row>
    <row customHeight="1" ht="14.625" hidden="1">
      <c r="A163" s="1256"/>
      <c r="B163" s="955"/>
      <c r="C163" s="1256"/>
      <c r="D163" s="73" cm="1" t="str">
        <f t="array" ref="D163:D163">D162</f>
        <v>13</v>
      </c>
      <c r="E163" s="679">
        <v>15</v>
      </c>
      <c r="F163" s="50" cm="1" t="str">
        <f t="array" ref="F163:F163">OFFSET(E163,-1,1)</f>
        <v>0</v>
      </c>
      <c r="G163" s="124" t="s">
        <v>1532</v>
      </c>
      <c r="H163" s="1256"/>
      <c r="I163" s="124" t="s">
        <v>2051</v>
      </c>
      <c r="J163" s="1256"/>
      <c r="K163" s="124" t="s">
        <v>2051</v>
      </c>
      <c r="L163" s="957" t="s">
        <v>1750</v>
      </c>
      <c r="M163" s="73"/>
      <c r="N163" s="1256"/>
      <c r="O163" s="1256"/>
      <c r="P163" s="1256"/>
      <c r="Q163" s="1256"/>
      <c r="R163" s="1256"/>
      <c r="S163" s="1256"/>
      <c r="T163" s="438" cm="1" t="str">
        <f t="array" ref="T163:T163">T162</f>
        <v>false</v>
      </c>
      <c r="U163" s="1256"/>
      <c r="V163" s="1256"/>
      <c r="W163" s="1256"/>
      <c r="X163" s="1511"/>
      <c r="Y163" s="1256"/>
      <c r="Z163" s="1494"/>
      <c r="AA163" s="1256"/>
      <c r="AB163" s="266" t="str">
        <f>D163&amp;".1"</f>
        <v>13.1</v>
      </c>
      <c r="AC163" s="1089" t="s">
        <v>1752</v>
      </c>
      <c r="AD163" s="266" t="s">
        <v>506</v>
      </c>
      <c r="AE163" s="1238">
        <f>AE162/2</f>
        <v>0</v>
      </c>
      <c r="AF163" s="1238">
        <f>AF162/2</f>
        <v>0</v>
      </c>
      <c r="AG163" s="1238">
        <f>AG162/2</f>
        <v>0</v>
      </c>
      <c r="AH163" s="918">
        <f>AG163-AF163</f>
        <v>0</v>
      </c>
      <c r="AI163" s="1239">
        <f>AI162/2</f>
        <v>0</v>
      </c>
      <c r="AJ163" s="3718">
        <f>IF(god=2026,AJ162/12*9,AJ162/2)</f>
        <v>0</v>
      </c>
      <c r="AK163" s="1238">
        <f>IF(god=2025,AK162/12*9,AK162/2)</f>
        <v>0</v>
      </c>
      <c r="AL163" s="1239">
        <f>AL162/2</f>
        <v>0</v>
      </c>
      <c r="AM163" s="1239">
        <f>AM162/2</f>
        <v>0</v>
      </c>
      <c r="AN163" s="1239">
        <f>AN162/2</f>
        <v>0</v>
      </c>
      <c r="AO163" s="1239">
        <f>AO162/2</f>
        <v>0</v>
      </c>
      <c r="AP163" s="1239">
        <f>AP162/2</f>
        <v>0</v>
      </c>
      <c r="AQ163" s="1239">
        <f>AQ162/2</f>
        <v>0</v>
      </c>
      <c r="AR163" s="1239">
        <f>AR162/2</f>
        <v>0</v>
      </c>
      <c r="AS163" s="1239">
        <f>AS162/2</f>
        <v>0</v>
      </c>
      <c r="AT163" s="3611">
        <f>IF(god=2026,AT162/12*9,AT162/2)</f>
        <v>0</v>
      </c>
      <c r="AU163" s="1239">
        <f>IF(god=2025,AU162/12*9,AU162/2)</f>
        <v>0</v>
      </c>
      <c r="AV163" s="1239">
        <f>AV162/2</f>
        <v>0</v>
      </c>
      <c r="AW163" s="1239">
        <f>AW162/2</f>
        <v>0</v>
      </c>
      <c r="AX163" s="1239">
        <f>AX162/2</f>
        <v>0</v>
      </c>
      <c r="AY163" s="1239">
        <f>AY162/2</f>
        <v>0</v>
      </c>
      <c r="AZ163" s="1239">
        <f>AZ162/2</f>
        <v>0</v>
      </c>
      <c r="BA163" s="1239">
        <f>BA162/2</f>
        <v>0</v>
      </c>
      <c r="BB163" s="1239">
        <f>BB162/2</f>
        <v>0</v>
      </c>
      <c r="BC163" s="1239">
        <f>BC162/2</f>
        <v>0</v>
      </c>
      <c r="BD163" s="919"/>
      <c r="BE163" s="919"/>
      <c r="BF163" s="919"/>
      <c r="BG163" s="919"/>
      <c r="BH163" s="919"/>
      <c r="BI163" s="919"/>
      <c r="BJ163" s="919"/>
      <c r="BK163" s="919"/>
      <c r="BL163" s="919"/>
      <c r="BM163" s="919"/>
      <c r="BN163" s="1234"/>
      <c r="BO163" s="1234"/>
      <c r="BP163" s="1234"/>
      <c r="BQ163" s="1256"/>
      <c r="BR163" s="1256"/>
      <c r="BS163" s="1039" t="s">
        <v>1753</v>
      </c>
      <c r="BT163" s="1041"/>
      <c r="BU163" s="1041"/>
      <c r="BV163" s="956"/>
      <c r="BW163" s="956"/>
    </row>
    <row customHeight="1" ht="14.625" hidden="1">
      <c r="A164" s="1256"/>
      <c r="B164" s="955"/>
      <c r="C164" s="1256"/>
      <c r="D164" s="73" cm="1" t="str">
        <f t="array" ref="D164:D164">D163</f>
        <v>13</v>
      </c>
      <c r="E164" s="679">
        <v>15</v>
      </c>
      <c r="F164" s="50" cm="1" t="str">
        <f t="array" ref="F164:F164">OFFSET(E164,-1,1)</f>
        <v>0</v>
      </c>
      <c r="G164" s="124" t="s">
        <v>1488</v>
      </c>
      <c r="H164" s="1256"/>
      <c r="I164" s="124" t="s">
        <v>2052</v>
      </c>
      <c r="J164" s="1256"/>
      <c r="K164" s="124" t="s">
        <v>2052</v>
      </c>
      <c r="L164" s="957" t="s">
        <v>1754</v>
      </c>
      <c r="M164" s="73"/>
      <c r="N164" s="1256"/>
      <c r="O164" s="1256"/>
      <c r="P164" s="1256"/>
      <c r="Q164" s="1256"/>
      <c r="R164" s="1256"/>
      <c r="S164" s="1256"/>
      <c r="T164" s="438" cm="1" t="str">
        <f t="array" ref="T164:T164">T163</f>
        <v>false</v>
      </c>
      <c r="U164" s="1256"/>
      <c r="V164" s="1256"/>
      <c r="W164" s="1256"/>
      <c r="X164" s="1511"/>
      <c r="Y164" s="1256"/>
      <c r="Z164" s="1494"/>
      <c r="AA164" s="1256"/>
      <c r="AB164" s="266" t="str">
        <f>D164&amp;".2"</f>
        <v>13.2</v>
      </c>
      <c r="AC164" s="1089" t="s">
        <v>1756</v>
      </c>
      <c r="AD164" s="266" t="s">
        <v>1476</v>
      </c>
      <c r="AE164" s="1240">
        <f>IF(AE162=0,0,AE156*(1+Сценарии!AE$26))</f>
        <v>0</v>
      </c>
      <c r="AF164" s="1240">
        <f>IF(AF162=0,0,AF156*(1+Сценарии!AF$26))</f>
        <v>0</v>
      </c>
      <c r="AG164" s="1240">
        <f>IF(AG162=0,0,AG156*(1+Сценарии!AG$26))</f>
        <v>0</v>
      </c>
      <c r="AH164" s="920">
        <f>AG164-AF164</f>
        <v>0</v>
      </c>
      <c r="AI164" s="1240">
        <f>IF(AI162=0,0,AI156*(1+Сценарии!AI$26))</f>
        <v>0</v>
      </c>
      <c r="AJ164" s="3616">
        <f>IF(AJ162=0,0,AJ156*(1+Сценарии!AJ$26))</f>
        <v>0</v>
      </c>
      <c r="AK164" s="1240">
        <f>IF(AK162=0,0,AK156*(1+Сценарии!AO$26))</f>
        <v>0</v>
      </c>
      <c r="AL164" s="1240">
        <f>IF(AL162=0,0,AL156*(1+Сценарии!AP$26))</f>
        <v>0</v>
      </c>
      <c r="AM164" s="1240">
        <f>IF(AM162=0,0,AM156*(1+Сценарии!AQ$26))</f>
        <v>0</v>
      </c>
      <c r="AN164" s="1240">
        <f>IF(AN162=0,0,AN156*(1+Сценарии!AR$26))</f>
        <v>0</v>
      </c>
      <c r="AO164" s="1240">
        <f>IF(AO162=0,0,AO156*(1+Сценарии!AS$26))</f>
        <v>0</v>
      </c>
      <c r="AP164" s="1240">
        <f>IF(AP162=0,0,AP156*(1+Сценарии!AT$26))</f>
        <v>0</v>
      </c>
      <c r="AQ164" s="1240">
        <f>IF(AQ162=0,0,AQ156*(1+Сценарии!AU$26))</f>
        <v>0</v>
      </c>
      <c r="AR164" s="1240">
        <f>IF(AR162=0,0,AR156*(1+Сценарии!AV$26))</f>
        <v>0</v>
      </c>
      <c r="AS164" s="1240">
        <f>IF(AS162=0,0,AS156*(1+Сценарии!AW$26))</f>
        <v>0</v>
      </c>
      <c r="AT164" s="3616">
        <f>IF(AT162=0,0,AT156*(1+Сценарии!AK$26))</f>
        <v>0</v>
      </c>
      <c r="AU164" s="1240">
        <f>IF(AU162=0,0,AU156*(1+Сценарии!AX$26))</f>
        <v>0</v>
      </c>
      <c r="AV164" s="1240">
        <f>IF(AV162=0,0,AV156*(1+Сценарии!AY$26))</f>
        <v>0</v>
      </c>
      <c r="AW164" s="1240">
        <f>IF(AW162=0,0,AW156*(1+Сценарии!AZ$26))</f>
        <v>0</v>
      </c>
      <c r="AX164" s="1240">
        <f>IF(AX162=0,0,AX156*(1+Сценарии!BA$26))</f>
        <v>0</v>
      </c>
      <c r="AY164" s="1240">
        <f>IF(AY162=0,0,AY156*(1+Сценарии!BB$26))</f>
        <v>0</v>
      </c>
      <c r="AZ164" s="1240">
        <f>IF(AZ162=0,0,AZ156*(1+Сценарии!BC$26))</f>
        <v>0</v>
      </c>
      <c r="BA164" s="1240">
        <f>IF(BA162=0,0,BA156*(1+Сценарии!BD$26))</f>
        <v>0</v>
      </c>
      <c r="BB164" s="1240">
        <f>IF(BB162=0,0,BB156*(1+Сценарии!BE$26))</f>
        <v>0</v>
      </c>
      <c r="BC164" s="1240">
        <f>IF(BC162=0,0,BC156*(1+Сценарии!BF$26))</f>
        <v>0</v>
      </c>
      <c r="BD164" s="919"/>
      <c r="BE164" s="919"/>
      <c r="BF164" s="919"/>
      <c r="BG164" s="919"/>
      <c r="BH164" s="919"/>
      <c r="BI164" s="919"/>
      <c r="BJ164" s="919"/>
      <c r="BK164" s="919"/>
      <c r="BL164" s="919"/>
      <c r="BM164" s="919"/>
      <c r="BN164" s="1234"/>
      <c r="BO164" s="1234"/>
      <c r="BP164" s="1234"/>
      <c r="BQ164" s="1256"/>
      <c r="BR164" s="1256"/>
      <c r="BS164" s="1039" t="s">
        <v>1757</v>
      </c>
      <c r="BT164" s="1041"/>
      <c r="BU164" s="1041"/>
      <c r="BV164" s="956"/>
      <c r="BW164" s="956"/>
    </row>
    <row customHeight="1" ht="14.625" hidden="1">
      <c r="A165" s="1256"/>
      <c r="B165" s="62"/>
      <c r="C165" s="73"/>
      <c r="D165" s="73" cm="1" t="str">
        <f t="array" ref="D165:D165">D164</f>
        <v>13</v>
      </c>
      <c r="E165" s="596">
        <v>15</v>
      </c>
      <c r="F165" s="50" cm="1" t="str">
        <f t="array" ref="F165:F165">OFFSET(E165,-1,1)</f>
        <v>0</v>
      </c>
      <c r="G165" s="73" t="s">
        <v>1539</v>
      </c>
      <c r="H165" s="73"/>
      <c r="I165" s="73" t="s">
        <v>2053</v>
      </c>
      <c r="J165" s="73"/>
      <c r="K165" s="73" t="s">
        <v>2053</v>
      </c>
      <c r="L165" s="957" t="s">
        <v>1758</v>
      </c>
      <c r="M165" s="73"/>
      <c r="N165" s="73"/>
      <c r="O165" s="73"/>
      <c r="P165" s="73"/>
      <c r="Q165" s="73"/>
      <c r="R165" s="73"/>
      <c r="S165" s="73"/>
      <c r="T165" s="438" cm="1" t="str">
        <f t="array" ref="T165:T165">T164</f>
        <v>false</v>
      </c>
      <c r="U165" s="73"/>
      <c r="V165" s="73"/>
      <c r="W165" s="73"/>
      <c r="X165" s="1511"/>
      <c r="Y165" s="1256"/>
      <c r="Z165" s="1494"/>
      <c r="AA165" s="1256"/>
      <c r="AB165" s="266" t="str">
        <f>D165&amp;".3"</f>
        <v>13.3</v>
      </c>
      <c r="AC165" s="1089" t="s">
        <v>1728</v>
      </c>
      <c r="AD165" s="266" t="s">
        <v>506</v>
      </c>
      <c r="AE165" s="923">
        <f>AE162-AE163</f>
        <v>0</v>
      </c>
      <c r="AF165" s="923">
        <f>AF162-AF163</f>
        <v>0</v>
      </c>
      <c r="AG165" s="923">
        <f>AG162-AG163</f>
        <v>0</v>
      </c>
      <c r="AH165" s="918">
        <f>AG165-AF165</f>
        <v>0</v>
      </c>
      <c r="AI165" s="801">
        <f>AI162-AI163</f>
        <v>0</v>
      </c>
      <c r="AJ165" s="801">
        <f>AJ162-AJ163</f>
        <v>0</v>
      </c>
      <c r="AK165" s="801">
        <f>AK162-AK163</f>
        <v>0</v>
      </c>
      <c r="AL165" s="801">
        <f>AL162-AL163</f>
        <v>0</v>
      </c>
      <c r="AM165" s="801">
        <f>AM162-AM163</f>
        <v>0</v>
      </c>
      <c r="AN165" s="801">
        <f>AN162-AN163</f>
        <v>0</v>
      </c>
      <c r="AO165" s="801">
        <f>AO162-AO163</f>
        <v>0</v>
      </c>
      <c r="AP165" s="801">
        <f>AP162-AP163</f>
        <v>0</v>
      </c>
      <c r="AQ165" s="801">
        <f>AQ162-AQ163</f>
        <v>0</v>
      </c>
      <c r="AR165" s="801">
        <f>AR162-AR163</f>
        <v>0</v>
      </c>
      <c r="AS165" s="801">
        <f>AS162-AS163</f>
        <v>0</v>
      </c>
      <c r="AT165" s="801">
        <f>AT162-AT163</f>
        <v>0</v>
      </c>
      <c r="AU165" s="801">
        <f>AU162-AU163</f>
        <v>0</v>
      </c>
      <c r="AV165" s="801">
        <f>AV162-AV163</f>
        <v>0</v>
      </c>
      <c r="AW165" s="801">
        <f>AW162-AW163</f>
        <v>0</v>
      </c>
      <c r="AX165" s="801">
        <f>AX162-AX163</f>
        <v>0</v>
      </c>
      <c r="AY165" s="801">
        <f>AY162-AY163</f>
        <v>0</v>
      </c>
      <c r="AZ165" s="801">
        <f>AZ162-AZ163</f>
        <v>0</v>
      </c>
      <c r="BA165" s="801">
        <f>BA162-BA163</f>
        <v>0</v>
      </c>
      <c r="BB165" s="801">
        <f>BB162-BB163</f>
        <v>0</v>
      </c>
      <c r="BC165" s="801">
        <f>BC162-BC163</f>
        <v>0</v>
      </c>
      <c r="BD165" s="919"/>
      <c r="BE165" s="919"/>
      <c r="BF165" s="919"/>
      <c r="BG165" s="919"/>
      <c r="BH165" s="919"/>
      <c r="BI165" s="919"/>
      <c r="BJ165" s="919"/>
      <c r="BK165" s="919"/>
      <c r="BL165" s="919"/>
      <c r="BM165" s="919"/>
      <c r="BN165" s="1234"/>
      <c r="BO165" s="1234"/>
      <c r="BP165" s="1234"/>
      <c r="BQ165" s="1256"/>
      <c r="BR165" s="1256"/>
      <c r="BS165" s="1039" t="s">
        <v>1760</v>
      </c>
      <c r="BT165" s="1041"/>
      <c r="BU165" s="1041"/>
      <c r="BV165" s="956"/>
      <c r="BW165" s="956"/>
    </row>
    <row customHeight="1" ht="14.625" hidden="1">
      <c r="A166" s="1256"/>
      <c r="B166" s="62"/>
      <c r="C166" s="73"/>
      <c r="D166" s="73" cm="1" t="str">
        <f t="array" ref="D166:D166">D165</f>
        <v>13</v>
      </c>
      <c r="E166" s="596">
        <v>15</v>
      </c>
      <c r="F166" s="50" cm="1" t="str">
        <f t="array" ref="F166:F166">OFFSET(E166,-1,1)</f>
        <v>0</v>
      </c>
      <c r="G166" s="73" t="s">
        <v>1492</v>
      </c>
      <c r="H166" s="73"/>
      <c r="I166" s="73" t="s">
        <v>2054</v>
      </c>
      <c r="J166" s="73"/>
      <c r="K166" s="73" t="s">
        <v>2054</v>
      </c>
      <c r="L166" s="957" t="s">
        <v>1761</v>
      </c>
      <c r="M166" s="73"/>
      <c r="N166" s="73"/>
      <c r="O166" s="73"/>
      <c r="P166" s="73"/>
      <c r="Q166" s="73"/>
      <c r="R166" s="73"/>
      <c r="S166" s="73"/>
      <c r="T166" s="438" cm="1" t="str">
        <f t="array" ref="T166:T166">T165</f>
        <v>false</v>
      </c>
      <c r="U166" s="73"/>
      <c r="V166" s="73"/>
      <c r="W166" s="73"/>
      <c r="X166" s="1511"/>
      <c r="Y166" s="1256"/>
      <c r="Z166" s="1494"/>
      <c r="AA166" s="1256"/>
      <c r="AB166" s="266" t="str">
        <f>D166&amp;".4"</f>
        <v>13.4</v>
      </c>
      <c r="AC166" s="1089" t="s">
        <v>1732</v>
      </c>
      <c r="AD166" s="266" t="s">
        <v>1476</v>
      </c>
      <c r="AE166" s="1240">
        <f>IF(AE162=0,0,AE158*(1+Сценарии!AE$26))</f>
        <v>0</v>
      </c>
      <c r="AF166" s="1240">
        <f>IF(AF162=0,0,AF158*(1+Сценарии!AF$26))</f>
        <v>0</v>
      </c>
      <c r="AG166" s="1240">
        <f>IF(AG162=0,0,AG158*(1+Сценарии!AG$26))</f>
        <v>0</v>
      </c>
      <c r="AH166" s="920">
        <f>AG166-AF166</f>
        <v>0</v>
      </c>
      <c r="AI166" s="1240">
        <f>IF(AI162=0,0,AI158*(1+Сценарии!AI$26))</f>
        <v>0</v>
      </c>
      <c r="AJ166" s="3616">
        <f>IF(AJ162=0,0,AJ158*(1+Сценарии!AJ$26))</f>
        <v>0</v>
      </c>
      <c r="AK166" s="1240">
        <f>IF(AK162=0,0,AK158*(1+Сценарии!AO$26))</f>
        <v>0</v>
      </c>
      <c r="AL166" s="1240">
        <f>IF(AL162=0,0,AL158*(1+Сценарии!AP$26))</f>
        <v>0</v>
      </c>
      <c r="AM166" s="1240">
        <f>IF(AM162=0,0,AM158*(1+Сценарии!AQ$26))</f>
        <v>0</v>
      </c>
      <c r="AN166" s="1240">
        <f>IF(AN162=0,0,AN158*(1+Сценарии!AR$26))</f>
        <v>0</v>
      </c>
      <c r="AO166" s="1240">
        <f>IF(AO162=0,0,AO158*(1+Сценарии!AS$26))</f>
        <v>0</v>
      </c>
      <c r="AP166" s="1240">
        <f>IF(AP162=0,0,AP158*(1+Сценарии!AT$26))</f>
        <v>0</v>
      </c>
      <c r="AQ166" s="1240">
        <f>IF(AQ162=0,0,AQ158*(1+Сценарии!AU$26))</f>
        <v>0</v>
      </c>
      <c r="AR166" s="1240">
        <f>IF(AR162=0,0,AR158*(1+Сценарии!AV$26))</f>
        <v>0</v>
      </c>
      <c r="AS166" s="1240">
        <f>IF(AS162=0,0,AS158*(1+Сценарии!AW$26))</f>
        <v>0</v>
      </c>
      <c r="AT166" s="3616">
        <f>IF(AT162=0,0,AT158*(1+Сценарии!AK$26))</f>
        <v>0</v>
      </c>
      <c r="AU166" s="1240">
        <f>IF(AU162=0,0,AU158*(1+Сценарии!AX$26))</f>
        <v>0</v>
      </c>
      <c r="AV166" s="1240">
        <f>IF(AV162=0,0,AV158*(1+Сценарии!AY$26))</f>
        <v>0</v>
      </c>
      <c r="AW166" s="1240">
        <f>IF(AW162=0,0,AW158*(1+Сценарии!AZ$26))</f>
        <v>0</v>
      </c>
      <c r="AX166" s="1240">
        <f>IF(AX162=0,0,AX158*(1+Сценарии!BA$26))</f>
        <v>0</v>
      </c>
      <c r="AY166" s="1240">
        <f>IF(AY162=0,0,AY158*(1+Сценарии!BB$26))</f>
        <v>0</v>
      </c>
      <c r="AZ166" s="1240">
        <f>IF(AZ162=0,0,AZ158*(1+Сценарии!BC$26))</f>
        <v>0</v>
      </c>
      <c r="BA166" s="1240">
        <f>IF(BA162=0,0,BA158*(1+Сценарии!BD$26))</f>
        <v>0</v>
      </c>
      <c r="BB166" s="1240">
        <f>IF(BB162=0,0,BB158*(1+Сценарии!BE$26))</f>
        <v>0</v>
      </c>
      <c r="BC166" s="1240">
        <f>IF(BC162=0,0,BC158*(1+Сценарии!BF$26))</f>
        <v>0</v>
      </c>
      <c r="BD166" s="919"/>
      <c r="BE166" s="919"/>
      <c r="BF166" s="919"/>
      <c r="BG166" s="919"/>
      <c r="BH166" s="919"/>
      <c r="BI166" s="919"/>
      <c r="BJ166" s="919"/>
      <c r="BK166" s="919"/>
      <c r="BL166" s="919"/>
      <c r="BM166" s="919"/>
      <c r="BN166" s="1234"/>
      <c r="BO166" s="1234"/>
      <c r="BP166" s="1234"/>
      <c r="BQ166" s="1256"/>
      <c r="BR166" s="1256"/>
      <c r="BS166" s="1039" t="s">
        <v>1764</v>
      </c>
      <c r="BT166" s="1041"/>
      <c r="BU166" s="1041"/>
      <c r="BV166" s="956"/>
      <c r="BW166" s="956"/>
    </row>
    <row customHeight="1" ht="14.625" hidden="1">
      <c r="A167" s="1256"/>
      <c r="B167" s="62"/>
      <c r="C167" s="73"/>
      <c r="D167" s="73">
        <f>D166+1</f>
        <v>14</v>
      </c>
      <c r="E167" s="596">
        <v>15</v>
      </c>
      <c r="F167" s="50" cm="1" t="str">
        <f t="array" ref="F167:F167">OFFSET(E167,-1,1)</f>
        <v>0</v>
      </c>
      <c r="G167" s="73"/>
      <c r="H167" s="73"/>
      <c r="I167" s="73"/>
      <c r="J167" s="73"/>
      <c r="K167" s="73"/>
      <c r="L167" s="957"/>
      <c r="M167" s="73"/>
      <c r="N167" s="73"/>
      <c r="O167" s="73"/>
      <c r="P167" s="73"/>
      <c r="Q167" s="73"/>
      <c r="R167" s="73"/>
      <c r="S167" s="73"/>
      <c r="T167" s="438" cm="1" t="str">
        <f t="array" ref="T167:T167">T166</f>
        <v>false</v>
      </c>
      <c r="U167" s="73"/>
      <c r="V167" s="73"/>
      <c r="W167" s="73"/>
      <c r="X167" s="1511"/>
      <c r="Y167" s="1256"/>
      <c r="Z167" s="1494"/>
      <c r="AA167" s="1256"/>
      <c r="AB167" s="177" cm="1" t="str">
        <f t="array" ref="AB167:AB167">D167</f>
        <v>14</v>
      </c>
      <c r="AC167" s="178" t="s">
        <v>1766</v>
      </c>
      <c r="AD167" s="177" t="s">
        <v>789</v>
      </c>
      <c r="AE167" s="1233"/>
      <c r="AF167" s="1233"/>
      <c r="AG167" s="1233"/>
      <c r="AH167" s="920"/>
      <c r="AI167" s="1240"/>
      <c r="AJ167" s="3616"/>
      <c r="AK167" s="1240"/>
      <c r="AL167" s="1240"/>
      <c r="AM167" s="1240"/>
      <c r="AN167" s="1240"/>
      <c r="AO167" s="1240"/>
      <c r="AP167" s="1240"/>
      <c r="AQ167" s="1240"/>
      <c r="AR167" s="1240"/>
      <c r="AS167" s="1240"/>
      <c r="AT167" s="3616"/>
      <c r="AU167" s="1240"/>
      <c r="AV167" s="1240"/>
      <c r="AW167" s="1240"/>
      <c r="AX167" s="1240"/>
      <c r="AY167" s="1240"/>
      <c r="AZ167" s="1240"/>
      <c r="BA167" s="1240"/>
      <c r="BB167" s="1240"/>
      <c r="BC167" s="1240"/>
      <c r="BD167" s="919"/>
      <c r="BE167" s="919"/>
      <c r="BF167" s="919"/>
      <c r="BG167" s="919"/>
      <c r="BH167" s="919"/>
      <c r="BI167" s="919"/>
      <c r="BJ167" s="919"/>
      <c r="BK167" s="919"/>
      <c r="BL167" s="919"/>
      <c r="BM167" s="919"/>
      <c r="BN167" s="1234"/>
      <c r="BO167" s="1234"/>
      <c r="BP167" s="1234"/>
      <c r="BQ167" s="1256"/>
      <c r="BR167" s="1256"/>
      <c r="BS167" s="1039" t="s">
        <v>1767</v>
      </c>
      <c r="BT167" s="1041"/>
      <c r="BU167" s="1041"/>
      <c r="BV167" s="956"/>
      <c r="BW167" s="956"/>
    </row>
    <row customHeight="1" ht="20.475" hidden="1">
      <c r="A168" s="1256"/>
      <c r="B168" s="62"/>
      <c r="C168" s="73"/>
      <c r="D168" s="73" cm="1" t="str">
        <f t="array" ref="D168:D168">D167</f>
        <v>14</v>
      </c>
      <c r="E168" s="596">
        <v>21</v>
      </c>
      <c r="F168" s="50" cm="1" t="str">
        <f t="array" ref="F168:F168">OFFSET(E168,-1,1)</f>
        <v>0</v>
      </c>
      <c r="G168" s="73"/>
      <c r="H168" s="73"/>
      <c r="I168" s="73"/>
      <c r="J168" s="73"/>
      <c r="K168" s="73"/>
      <c r="L168" s="957"/>
      <c r="M168" s="73"/>
      <c r="N168" s="73"/>
      <c r="O168" s="73"/>
      <c r="P168" s="73"/>
      <c r="Q168" s="73"/>
      <c r="R168" s="73"/>
      <c r="S168" s="73"/>
      <c r="T168" s="438" cm="1" t="str">
        <f t="array" ref="T168:T168">T167</f>
        <v>false</v>
      </c>
      <c r="U168" s="73"/>
      <c r="V168" s="73"/>
      <c r="W168" s="73"/>
      <c r="X168" s="1511"/>
      <c r="Y168" s="1256"/>
      <c r="Z168" s="1494"/>
      <c r="AA168" s="1256"/>
      <c r="AB168" s="266" t="str">
        <f>D168&amp;".1"</f>
        <v>14.1</v>
      </c>
      <c r="AC168" s="738" t="s">
        <v>1769</v>
      </c>
      <c r="AD168" s="266" t="s">
        <v>789</v>
      </c>
      <c r="AE168" s="1233"/>
      <c r="AF168" s="1233"/>
      <c r="AG168" s="1233"/>
      <c r="AH168" s="920">
        <f>AG168-AF168</f>
        <v>0</v>
      </c>
      <c r="AI168" s="1240"/>
      <c r="AJ168" s="3616"/>
      <c r="AK168" s="1240"/>
      <c r="AL168" s="1240"/>
      <c r="AM168" s="1240"/>
      <c r="AN168" s="1240"/>
      <c r="AO168" s="1240"/>
      <c r="AP168" s="1240"/>
      <c r="AQ168" s="1240"/>
      <c r="AR168" s="1240"/>
      <c r="AS168" s="1240"/>
      <c r="AT168" s="3616"/>
      <c r="AU168" s="1240"/>
      <c r="AV168" s="1240"/>
      <c r="AW168" s="1240"/>
      <c r="AX168" s="1240"/>
      <c r="AY168" s="1240"/>
      <c r="AZ168" s="1240"/>
      <c r="BA168" s="1240"/>
      <c r="BB168" s="1240"/>
      <c r="BC168" s="1240"/>
      <c r="BD168" s="919"/>
      <c r="BE168" s="919"/>
      <c r="BF168" s="919"/>
      <c r="BG168" s="919"/>
      <c r="BH168" s="919"/>
      <c r="BI168" s="919"/>
      <c r="BJ168" s="919"/>
      <c r="BK168" s="919"/>
      <c r="BL168" s="919"/>
      <c r="BM168" s="919"/>
      <c r="BN168" s="1234"/>
      <c r="BO168" s="1234"/>
      <c r="BP168" s="1234"/>
      <c r="BQ168" s="1256"/>
      <c r="BR168" s="1256"/>
      <c r="BS168" s="1039" t="s">
        <v>1770</v>
      </c>
      <c r="BT168" s="1048"/>
      <c r="BU168" s="1048"/>
      <c r="BV168" s="1049"/>
      <c r="BW168" s="1049"/>
    </row>
    <row customHeight="1" ht="64.935" hidden="1">
      <c r="A169" s="1256"/>
      <c r="B169" s="62"/>
      <c r="C169" s="73"/>
      <c r="D169" s="73" cm="1" t="str">
        <f t="array" ref="D169:D169">D168</f>
        <v>14</v>
      </c>
      <c r="E169" s="596">
        <v>66.6</v>
      </c>
      <c r="F169" s="50" cm="1" t="str">
        <f t="array" ref="F169:F169">OFFSET(E169,-1,1)</f>
        <v>0</v>
      </c>
      <c r="G169" s="73"/>
      <c r="H169" s="73"/>
      <c r="I169" s="73"/>
      <c r="J169" s="73"/>
      <c r="K169" s="73"/>
      <c r="L169" s="957"/>
      <c r="M169" s="73"/>
      <c r="N169" s="73"/>
      <c r="O169" s="73"/>
      <c r="P169" s="73"/>
      <c r="Q169" s="73"/>
      <c r="R169" s="73"/>
      <c r="S169" s="73"/>
      <c r="T169" s="438" cm="1" t="str">
        <f t="array" ref="T169:T169">T168</f>
        <v>false</v>
      </c>
      <c r="U169" s="73"/>
      <c r="V169" s="73"/>
      <c r="W169" s="73"/>
      <c r="X169" s="1511"/>
      <c r="Y169" s="1256"/>
      <c r="Z169" s="1494"/>
      <c r="AA169" s="1256"/>
      <c r="AB169" s="266" t="str">
        <f>D169&amp;".2"</f>
        <v>14.2</v>
      </c>
      <c r="AC169" s="738" t="s">
        <v>1772</v>
      </c>
      <c r="AD169" s="266" t="s">
        <v>789</v>
      </c>
      <c r="AE169" s="1233"/>
      <c r="AF169" s="1233"/>
      <c r="AG169" s="1233"/>
      <c r="AH169" s="920">
        <f>AG169-AF169</f>
        <v>0</v>
      </c>
      <c r="AI169" s="1240"/>
      <c r="AJ169" s="3616"/>
      <c r="AK169" s="1240"/>
      <c r="AL169" s="1240"/>
      <c r="AM169" s="1240"/>
      <c r="AN169" s="1240"/>
      <c r="AO169" s="1240"/>
      <c r="AP169" s="1240"/>
      <c r="AQ169" s="1240"/>
      <c r="AR169" s="1240"/>
      <c r="AS169" s="1240"/>
      <c r="AT169" s="3616"/>
      <c r="AU169" s="1240"/>
      <c r="AV169" s="1240"/>
      <c r="AW169" s="1240"/>
      <c r="AX169" s="1240"/>
      <c r="AY169" s="1240"/>
      <c r="AZ169" s="1240"/>
      <c r="BA169" s="1240"/>
      <c r="BB169" s="1240"/>
      <c r="BC169" s="1240"/>
      <c r="BD169" s="919"/>
      <c r="BE169" s="919"/>
      <c r="BF169" s="919"/>
      <c r="BG169" s="919"/>
      <c r="BH169" s="919"/>
      <c r="BI169" s="919"/>
      <c r="BJ169" s="919"/>
      <c r="BK169" s="919"/>
      <c r="BL169" s="919"/>
      <c r="BM169" s="919"/>
      <c r="BN169" s="1234"/>
      <c r="BO169" s="1234"/>
      <c r="BP169" s="1234"/>
      <c r="BQ169" s="1256"/>
      <c r="BR169" s="1256"/>
      <c r="BS169" s="1039" t="s">
        <v>1773</v>
      </c>
      <c r="BT169" s="1048"/>
      <c r="BU169" s="1048"/>
      <c r="BV169" s="1049"/>
      <c r="BW169" s="1049"/>
    </row>
    <row customHeight="1" ht="44.46" hidden="1">
      <c r="A170" s="471"/>
      <c r="B170" s="729"/>
      <c r="C170" s="73"/>
      <c r="D170" s="73" cm="1" t="str">
        <f t="array" ref="D170:D170">D169</f>
        <v>14</v>
      </c>
      <c r="E170" s="596">
        <v>45.6</v>
      </c>
      <c r="F170" s="50" cm="1" t="str">
        <f t="array" ref="F170:F170">OFFSET(E170,-1,1)</f>
        <v>0</v>
      </c>
      <c r="G170" s="73"/>
      <c r="H170" s="73"/>
      <c r="I170" s="73"/>
      <c r="J170" s="73"/>
      <c r="K170" s="73"/>
      <c r="L170" s="957"/>
      <c r="M170" s="73"/>
      <c r="N170" s="73"/>
      <c r="O170" s="73"/>
      <c r="P170" s="73"/>
      <c r="Q170" s="73"/>
      <c r="R170" s="73"/>
      <c r="S170" s="73"/>
      <c r="T170" s="438" cm="1" t="str">
        <f t="array" ref="T170:T170">T169</f>
        <v>false</v>
      </c>
      <c r="U170" s="73"/>
      <c r="V170" s="73"/>
      <c r="W170" s="73"/>
      <c r="X170" s="1511"/>
      <c r="Y170" s="471"/>
      <c r="Z170" s="1494"/>
      <c r="AA170" s="471"/>
      <c r="AB170" s="266" t="str">
        <f>D170&amp;".3"</f>
        <v>14.3</v>
      </c>
      <c r="AC170" s="738" t="s">
        <v>2055</v>
      </c>
      <c r="AD170" s="266" t="s">
        <v>789</v>
      </c>
      <c r="AE170" s="922"/>
      <c r="AF170" s="1233"/>
      <c r="AG170" s="1233"/>
      <c r="AH170" s="225">
        <f>AG170-AF170</f>
        <v>0</v>
      </c>
      <c r="AI170" s="922"/>
      <c r="AJ170" s="922"/>
      <c r="AK170" s="922"/>
      <c r="AL170" s="922"/>
      <c r="AM170" s="922"/>
      <c r="AN170" s="922"/>
      <c r="AO170" s="922"/>
      <c r="AP170" s="922"/>
      <c r="AQ170" s="922"/>
      <c r="AR170" s="922"/>
      <c r="AS170" s="922"/>
      <c r="AT170" s="922"/>
      <c r="AU170" s="922"/>
      <c r="AV170" s="922"/>
      <c r="AW170" s="922"/>
      <c r="AX170" s="922"/>
      <c r="AY170" s="922"/>
      <c r="AZ170" s="922"/>
      <c r="BA170" s="922"/>
      <c r="BB170" s="922"/>
      <c r="BC170" s="922"/>
      <c r="BD170" s="922"/>
      <c r="BE170" s="922"/>
      <c r="BF170" s="922"/>
      <c r="BG170" s="922"/>
      <c r="BH170" s="922"/>
      <c r="BI170" s="922"/>
      <c r="BJ170" s="922"/>
      <c r="BK170" s="922"/>
      <c r="BL170" s="922"/>
      <c r="BM170" s="922"/>
      <c r="BN170" s="1234"/>
      <c r="BO170" s="1234"/>
      <c r="BP170" s="1234"/>
      <c r="BQ170" s="1256"/>
      <c r="BR170" s="1256"/>
      <c r="BS170" s="1048" t="s">
        <v>2056</v>
      </c>
      <c r="BT170" s="1048"/>
      <c r="BU170" s="1048"/>
      <c r="BV170" s="1049"/>
      <c r="BW170" s="1049"/>
    </row>
    <row s="511" customFormat="1" customHeight="1" ht="14.25">
      <c r="A171" s="1363"/>
      <c r="B171" s="400"/>
      <c r="C171" s="1363"/>
      <c r="D171" s="1363"/>
      <c r="E171" s="593">
        <v>15</v>
      </c>
      <c r="F171" s="64" cm="1" t="str">
        <f t="array" ref="F171:F171">X171</f>
        <v>1</v>
      </c>
      <c r="G171" s="64" cm="1" t="str">
        <f t="array" ref="G171:G171">INDEX('Общие сведения'!$AK$179:$AK$208,MATCH($X171,'Общие сведения'!$Z$179:$Z$208,0))</f>
        <v>одноставочный</v>
      </c>
      <c r="H171" s="1363"/>
      <c r="I171" s="64"/>
      <c r="J171" s="1363"/>
      <c r="K171" s="1363"/>
      <c r="L171" s="959"/>
      <c r="M171" s="398"/>
      <c r="N171" s="1363"/>
      <c r="O171" s="1363"/>
      <c r="P171" s="1363"/>
      <c r="Q171" s="1363"/>
      <c r="R171" s="1363"/>
      <c r="S171" s="88" cm="1" t="str">
        <f t="array" ref="S171:S171">INDEX('Общие сведения'!$AE$179:$AE$208,MATCH($X171,'Общие сведения'!$Z$179:$Z$208,0))</f>
        <v>Водоотведение</v>
      </c>
      <c r="T171" s="438">
        <f>X171&gt;0</f>
        <v>1</v>
      </c>
      <c r="U171" s="1363"/>
      <c r="V171" s="88" cm="1" t="str">
        <f t="array" ref="V171:V171">'Калькуляция (МИ)'!$AB$171</f>
        <v>Тариф 1 (Водоотведение) - тариф на транспортировку сточных вод</v>
      </c>
      <c r="W171" s="1363"/>
      <c r="X171" s="1511" t="s">
        <v>281</v>
      </c>
      <c r="Y171" s="1363"/>
      <c r="Z171" s="1494"/>
      <c r="AA171" s="1363"/>
      <c r="AB171" s="347" cm="1" t="str">
        <f t="array" ref="AB171:AB171">'Калькуляция (МИ)'!$AB$171</f>
        <v>Тариф 1 (Водоотведение) - тариф на транспортировку сточных вод</v>
      </c>
      <c r="AC171" s="218"/>
      <c r="AD171" s="218"/>
      <c r="AE171" s="218"/>
      <c r="AF171" s="218"/>
      <c r="AG171" s="218"/>
      <c r="AH171" s="218"/>
      <c r="AI171" s="218"/>
      <c r="AJ171" s="218"/>
      <c r="AK171" s="218"/>
      <c r="AL171" s="218"/>
      <c r="AM171" s="218"/>
      <c r="AN171" s="218"/>
      <c r="AO171" s="218"/>
      <c r="AP171" s="218"/>
      <c r="AQ171" s="218"/>
      <c r="AR171" s="218"/>
      <c r="AS171" s="218"/>
      <c r="AT171" s="218"/>
      <c r="AU171" s="218"/>
      <c r="AV171" s="218"/>
      <c r="AW171" s="218"/>
      <c r="AX171" s="218"/>
      <c r="AY171" s="218"/>
      <c r="AZ171" s="218"/>
      <c r="BA171" s="218"/>
      <c r="BB171" s="218"/>
      <c r="BC171" s="218"/>
      <c r="BD171" s="218"/>
      <c r="BE171" s="218"/>
      <c r="BF171" s="218"/>
      <c r="BG171" s="218"/>
      <c r="BH171" s="218"/>
      <c r="BI171" s="218"/>
      <c r="BJ171" s="218"/>
      <c r="BK171" s="218"/>
      <c r="BL171" s="218"/>
      <c r="BM171" s="218"/>
      <c r="BN171" s="218"/>
      <c r="BO171" s="218"/>
      <c r="BP171" s="218"/>
      <c r="BQ171" s="1363"/>
      <c r="BR171" s="1363"/>
      <c r="BS171" s="974"/>
      <c r="BT171" s="974"/>
      <c r="BU171" s="974"/>
      <c r="BV171" s="593"/>
      <c r="BW171" s="593"/>
    </row>
    <row s="3722" customFormat="1" customHeight="1" ht="20.25">
      <c r="A172" s="127"/>
      <c r="B172" s="406"/>
      <c r="C172" s="127"/>
      <c r="D172" s="127"/>
      <c r="E172" s="681">
        <v>21</v>
      </c>
      <c r="F172" s="50" cm="1" t="str">
        <f t="array" ref="F172:F172">OFFSET(E172,-1,1)</f>
        <v>1</v>
      </c>
      <c r="G172" s="127"/>
      <c r="H172" s="343"/>
      <c r="I172" s="343" t="s">
        <v>321</v>
      </c>
      <c r="J172" s="127"/>
      <c r="K172" s="343" t="s">
        <v>321</v>
      </c>
      <c r="L172" s="960"/>
      <c r="M172" s="831"/>
      <c r="N172" s="127"/>
      <c r="O172" s="127"/>
      <c r="P172" s="127"/>
      <c r="Q172" s="127"/>
      <c r="R172" s="127" t="s">
        <v>2058</v>
      </c>
      <c r="S172" s="127"/>
      <c r="T172" s="438" cm="1" t="str">
        <f t="array" ref="T172:T172">T171</f>
        <v>true</v>
      </c>
      <c r="U172" s="127"/>
      <c r="V172" s="127"/>
      <c r="W172" s="127"/>
      <c r="X172" s="1511"/>
      <c r="Y172" s="127"/>
      <c r="Z172" s="1494"/>
      <c r="AA172" s="127"/>
      <c r="AB172" s="213" t="s">
        <v>281</v>
      </c>
      <c r="AC172" s="178" t="s">
        <v>1780</v>
      </c>
      <c r="AD172" s="200" t="s">
        <v>789</v>
      </c>
      <c r="AE172" s="737">
        <f>SUM(AE174,AE191,AE197,AE217,AE218,AE219)</f>
        <v>0</v>
      </c>
      <c r="AF172" s="737">
        <f>SUM(AF174,AF191,AF197,AF217,AF218,AF219)</f>
        <v>0</v>
      </c>
      <c r="AG172" s="737">
        <f>SUM(AG174,AG191,AG197,AG217,AG218,AG219)</f>
        <v>0</v>
      </c>
      <c r="AH172" s="737">
        <f>AG172-AF172</f>
        <v>0</v>
      </c>
      <c r="AI172" s="3597">
        <f>AE172*AI173</f>
        <v>0</v>
      </c>
      <c r="AJ172" s="3597">
        <f>AI172*AJ173</f>
        <v>0</v>
      </c>
      <c r="AK172" s="3597">
        <f>AJ172*AK173</f>
        <v>0</v>
      </c>
      <c r="AL172" s="3597">
        <f>AK172*AL173</f>
        <v>0</v>
      </c>
      <c r="AM172" s="3597">
        <f>AL172*AM173</f>
        <v>0</v>
      </c>
      <c r="AN172" s="3597">
        <f>AM172*AN173</f>
        <v>0</v>
      </c>
      <c r="AO172" s="3597">
        <f>AN172*AO173</f>
        <v>0</v>
      </c>
      <c r="AP172" s="3597">
        <f>AO172*AP173</f>
        <v>0</v>
      </c>
      <c r="AQ172" s="3597">
        <f>AP172*AQ173</f>
        <v>0</v>
      </c>
      <c r="AR172" s="3597">
        <f>AQ172*AR173</f>
        <v>0</v>
      </c>
      <c r="AS172" s="3597">
        <f>AR172*AS173</f>
        <v>0</v>
      </c>
      <c r="AT172" s="3597">
        <f>AI172*AT173</f>
        <v>0</v>
      </c>
      <c r="AU172" s="3597">
        <f>AT172*AU173</f>
        <v>0</v>
      </c>
      <c r="AV172" s="3597">
        <f>AU172*AV173</f>
        <v>0</v>
      </c>
      <c r="AW172" s="3597">
        <f>AV172*AW173</f>
        <v>0</v>
      </c>
      <c r="AX172" s="3597">
        <f>AW172*AX173</f>
        <v>0</v>
      </c>
      <c r="AY172" s="3597">
        <f>AX172*AY173</f>
        <v>0</v>
      </c>
      <c r="AZ172" s="3597">
        <f>AY172*AZ173</f>
        <v>0</v>
      </c>
      <c r="BA172" s="3597">
        <f>AZ172*BA173</f>
        <v>0</v>
      </c>
      <c r="BB172" s="3597">
        <f>BA172*BB173</f>
        <v>0</v>
      </c>
      <c r="BC172" s="3597">
        <f>BB172*BC173</f>
        <v>0</v>
      </c>
      <c r="BD172" s="737">
        <f>IF(AI172=0,0,(AT172-AI172)/AI172*100)</f>
        <v>0</v>
      </c>
      <c r="BE172" s="737">
        <f>IF(AT172=0,0,(AU172-AT172)/AT172*100)</f>
        <v>0</v>
      </c>
      <c r="BF172" s="737">
        <f>IF(AU172=0,0,(AV172-AU172)/AU172*100)</f>
        <v>0</v>
      </c>
      <c r="BG172" s="737">
        <f>IF(AV172=0,0,(AW172-AV172)/AV172*100)</f>
        <v>0</v>
      </c>
      <c r="BH172" s="737">
        <f>IF(AW172=0,0,(AX172-AW172)/AW172*100)</f>
        <v>0</v>
      </c>
      <c r="BI172" s="737">
        <f>IF(AX172=0,0,(AY172-AX172)/AX172*100)</f>
        <v>0</v>
      </c>
      <c r="BJ172" s="737">
        <f>IF(AY172=0,0,(AZ172-AY172)/AY172*100)</f>
        <v>0</v>
      </c>
      <c r="BK172" s="737">
        <f>IF(AZ172=0,0,(BA172-AZ172)/AZ172*100)</f>
        <v>0</v>
      </c>
      <c r="BL172" s="737">
        <f>IF(BA172=0,0,(BB172-BA172)/BA172*100)</f>
        <v>0</v>
      </c>
      <c r="BM172" s="737">
        <f>IF(BB172=0,0,(BC172-BB172)/BB172*100)</f>
        <v>0</v>
      </c>
      <c r="BN172" s="3723"/>
      <c r="BO172" s="3723"/>
      <c r="BP172" s="3723"/>
      <c r="BQ172" s="126"/>
      <c r="BR172" s="127"/>
      <c r="BS172" s="1045" t="s">
        <v>497</v>
      </c>
      <c r="BT172" s="1045"/>
      <c r="BU172" s="1045"/>
      <c r="BV172" s="681"/>
      <c r="BW172" s="681"/>
    </row>
    <row s="1624" customFormat="1" customHeight="1" ht="14.25">
      <c r="A173" s="1256"/>
      <c r="B173" s="955"/>
      <c r="C173" s="1256"/>
      <c r="D173" s="1256"/>
      <c r="E173" s="679">
        <v>15</v>
      </c>
      <c r="F173" s="50" cm="1" t="str">
        <f t="array" ref="F173:F173">OFFSET(E173,-1,1)</f>
        <v>1</v>
      </c>
      <c r="G173" s="1256"/>
      <c r="H173" s="344"/>
      <c r="I173" s="344" t="s">
        <v>434</v>
      </c>
      <c r="J173" s="1256"/>
      <c r="K173" s="344" t="s">
        <v>434</v>
      </c>
      <c r="L173" s="957"/>
      <c r="M173" s="73"/>
      <c r="N173" s="1256"/>
      <c r="O173" s="1256"/>
      <c r="P173" s="1256"/>
      <c r="Q173" s="1256"/>
      <c r="R173" s="127" t="s">
        <v>2058</v>
      </c>
      <c r="S173" s="1256"/>
      <c r="T173" s="438" cm="1" t="str">
        <f t="array" ref="T173:T173">T172</f>
        <v>true</v>
      </c>
      <c r="U173" s="1256"/>
      <c r="V173" s="1256"/>
      <c r="W173" s="1256"/>
      <c r="X173" s="1511"/>
      <c r="Y173" s="1256"/>
      <c r="Z173" s="1494"/>
      <c r="AA173" s="1256"/>
      <c r="AB173" s="265" t="s">
        <v>844</v>
      </c>
      <c r="AC173" s="738" t="s">
        <v>1781</v>
      </c>
      <c r="AD173" s="266"/>
      <c r="AE173" s="3685"/>
      <c r="AF173" s="3685"/>
      <c r="AG173" s="3685"/>
      <c r="AH173" s="918">
        <f>AG173-AF173</f>
        <v>0</v>
      </c>
      <c r="AI173" s="3685">
        <f>_xlfn.SUMIFS(INDEX(Сценарии!$AE$25:$BF$82,,MATCH(AI$8,Сценарии!$AE$8:$BF$8,0)),Сценарии!$F$25:$F$82,$F173,Сценарии!$G$25:$G$82,"ИОР")</f>
        <v>1</v>
      </c>
      <c r="AJ173" s="3685">
        <f>_xlfn.SUMIFS(INDEX(Сценарии!$AE$25:$BF$82,,MATCH(AJ$8,Сценарии!$AE$8:$BF$8,0)),Сценарии!$F$25:$F$82,$F173,Сценарии!$G$25:$G$82,"ИОР")</f>
        <v>1</v>
      </c>
      <c r="AK173" s="3685">
        <f>_xlfn.SUMIFS(INDEX(Сценарии!$AE$25:$BF$82,,MATCH(AK$8,Сценарии!$AE$8:$BF$8,0)),Сценарии!$F$25:$F$82,$F173,Сценарии!$G$25:$G$82,"ИОР")</f>
        <v>1</v>
      </c>
      <c r="AL173" s="3685">
        <f>_xlfn.SUMIFS(INDEX(Сценарии!$AE$25:$BF$82,,MATCH(AL$8,Сценарии!$AE$8:$BF$8,0)),Сценарии!$F$25:$F$82,$F173,Сценарии!$G$25:$G$82,"ИОР")</f>
        <v>1</v>
      </c>
      <c r="AM173" s="3685">
        <f>_xlfn.SUMIFS(INDEX(Сценарии!$AE$25:$BF$82,,MATCH(AM$8,Сценарии!$AE$8:$BF$8,0)),Сценарии!$F$25:$F$82,$F173,Сценарии!$G$25:$G$82,"ИОР")</f>
        <v>1</v>
      </c>
      <c r="AN173" s="3685">
        <f>_xlfn.SUMIFS(INDEX(Сценарии!$AE$25:$BF$82,,MATCH(AN$8,Сценарии!$AE$8:$BF$8,0)),Сценарии!$F$25:$F$82,$F173,Сценарии!$G$25:$G$82,"ИОР")</f>
        <v>1</v>
      </c>
      <c r="AO173" s="3685">
        <f>_xlfn.SUMIFS(INDEX(Сценарии!$AE$25:$BF$82,,MATCH(AO$8,Сценарии!$AE$8:$BF$8,0)),Сценарии!$F$25:$F$82,$F173,Сценарии!$G$25:$G$82,"ИОР")</f>
        <v>1</v>
      </c>
      <c r="AP173" s="3685">
        <f>_xlfn.SUMIFS(INDEX(Сценарии!$AE$25:$BF$82,,MATCH(AP$8,Сценарии!$AE$8:$BF$8,0)),Сценарии!$F$25:$F$82,$F173,Сценарии!$G$25:$G$82,"ИОР")</f>
        <v>1</v>
      </c>
      <c r="AQ173" s="3685">
        <f>_xlfn.SUMIFS(INDEX(Сценарии!$AE$25:$BF$82,,MATCH(AQ$8,Сценарии!$AE$8:$BF$8,0)),Сценарии!$F$25:$F$82,$F173,Сценарии!$G$25:$G$82,"ИОР")</f>
        <v>1</v>
      </c>
      <c r="AR173" s="3685">
        <f>_xlfn.SUMIFS(INDEX(Сценарии!$AE$25:$BF$82,,MATCH(AR$8,Сценарии!$AE$8:$BF$8,0)),Сценарии!$F$25:$F$82,$F173,Сценарии!$G$25:$G$82,"ИОР")</f>
        <v>1</v>
      </c>
      <c r="AS173" s="3685">
        <f>_xlfn.SUMIFS(INDEX(Сценарии!$AE$25:$BF$82,,MATCH(AS$8,Сценарии!$AE$8:$BF$8,0)),Сценарии!$F$25:$F$82,$F173,Сценарии!$G$25:$G$82,"ИОР")</f>
        <v>1</v>
      </c>
      <c r="AT173" s="3685">
        <f>_xlfn.SUMIFS(INDEX(Сценарии!$AE$25:$BF$82,,MATCH(AT$8,Сценарии!$AE$8:$BF$8,0)),Сценарии!$F$25:$F$82,$F173,Сценарии!$G$25:$G$82,"ИОР")</f>
        <v>1</v>
      </c>
      <c r="AU173" s="3685">
        <f>_xlfn.SUMIFS(INDEX(Сценарии!$AE$25:$BF$82,,MATCH(AU$8,Сценарии!$AE$8:$BF$8,0)),Сценарии!$F$25:$F$82,$F173,Сценарии!$G$25:$G$82,"ИОР")</f>
        <v>1</v>
      </c>
      <c r="AV173" s="3685">
        <f>_xlfn.SUMIFS(INDEX(Сценарии!$AE$25:$BF$82,,MATCH(AV$8,Сценарии!$AE$8:$BF$8,0)),Сценарии!$F$25:$F$82,$F173,Сценарии!$G$25:$G$82,"ИОР")</f>
        <v>1</v>
      </c>
      <c r="AW173" s="3685">
        <f>_xlfn.SUMIFS(INDEX(Сценарии!$AE$25:$BF$82,,MATCH(AW$8,Сценарии!$AE$8:$BF$8,0)),Сценарии!$F$25:$F$82,$F173,Сценарии!$G$25:$G$82,"ИОР")</f>
        <v>1</v>
      </c>
      <c r="AX173" s="3685">
        <f>_xlfn.SUMIFS(INDEX(Сценарии!$AE$25:$BF$82,,MATCH(AX$8,Сценарии!$AE$8:$BF$8,0)),Сценарии!$F$25:$F$82,$F173,Сценарии!$G$25:$G$82,"ИОР")</f>
        <v>1</v>
      </c>
      <c r="AY173" s="3685">
        <f>_xlfn.SUMIFS(INDEX(Сценарии!$AE$25:$BF$82,,MATCH(AY$8,Сценарии!$AE$8:$BF$8,0)),Сценарии!$F$25:$F$82,$F173,Сценарии!$G$25:$G$82,"ИОР")</f>
        <v>1</v>
      </c>
      <c r="AZ173" s="3685">
        <f>_xlfn.SUMIFS(INDEX(Сценарии!$AE$25:$BF$82,,MATCH(AZ$8,Сценарии!$AE$8:$BF$8,0)),Сценарии!$F$25:$F$82,$F173,Сценарии!$G$25:$G$82,"ИОР")</f>
        <v>1</v>
      </c>
      <c r="BA173" s="3685">
        <f>_xlfn.SUMIFS(INDEX(Сценарии!$AE$25:$BF$82,,MATCH(BA$8,Сценарии!$AE$8:$BF$8,0)),Сценарии!$F$25:$F$82,$F173,Сценарии!$G$25:$G$82,"ИОР")</f>
        <v>1</v>
      </c>
      <c r="BB173" s="3685">
        <f>_xlfn.SUMIFS(INDEX(Сценарии!$AE$25:$BF$82,,MATCH(BB$8,Сценарии!$AE$8:$BF$8,0)),Сценарии!$F$25:$F$82,$F173,Сценарии!$G$25:$G$82,"ИОР")</f>
        <v>1</v>
      </c>
      <c r="BC173" s="3685">
        <f>_xlfn.SUMIFS(INDEX(Сценарии!$AE$25:$BF$82,,MATCH(BC$8,Сценарии!$AE$8:$BF$8,0)),Сценарии!$F$25:$F$82,$F173,Сценарии!$G$25:$G$82,"ИОР")</f>
        <v>1</v>
      </c>
      <c r="BD173" s="919"/>
      <c r="BE173" s="919"/>
      <c r="BF173" s="919"/>
      <c r="BG173" s="919"/>
      <c r="BH173" s="919"/>
      <c r="BI173" s="919"/>
      <c r="BJ173" s="919"/>
      <c r="BK173" s="919"/>
      <c r="BL173" s="919"/>
      <c r="BM173" s="919"/>
      <c r="BN173" s="3723"/>
      <c r="BO173" s="3723"/>
      <c r="BP173" s="3723"/>
      <c r="BQ173" s="1256"/>
      <c r="BR173" s="1256"/>
      <c r="BS173" s="1041" t="s">
        <v>1782</v>
      </c>
      <c r="BT173" s="1041"/>
      <c r="BU173" s="1041"/>
      <c r="BV173" s="956"/>
      <c r="BW173" s="956"/>
    </row>
    <row s="406" customFormat="1" customHeight="1" ht="20.25">
      <c r="A174" s="126"/>
      <c r="B174" s="406"/>
      <c r="C174" s="126"/>
      <c r="D174" s="126"/>
      <c r="E174" s="682">
        <v>21</v>
      </c>
      <c r="F174" s="50" cm="1" t="str">
        <f t="array" ref="F174:F174">OFFSET(E174,-1,1)</f>
        <v>1</v>
      </c>
      <c r="G174" s="126"/>
      <c r="H174" s="343"/>
      <c r="I174" s="343" t="s">
        <v>438</v>
      </c>
      <c r="J174" s="126"/>
      <c r="K174" s="343" t="s">
        <v>438</v>
      </c>
      <c r="L174" s="961" t="s">
        <v>321</v>
      </c>
      <c r="M174" s="834"/>
      <c r="N174" s="126"/>
      <c r="O174" s="126"/>
      <c r="P174" s="126"/>
      <c r="Q174" s="124" t="s">
        <v>2058</v>
      </c>
      <c r="R174" s="127" t="s">
        <v>2058</v>
      </c>
      <c r="S174" s="126"/>
      <c r="T174" s="438" cm="1" t="str">
        <f t="array" ref="T174:T174">T173</f>
        <v>true</v>
      </c>
      <c r="U174" s="126"/>
      <c r="V174" s="126"/>
      <c r="W174" s="126"/>
      <c r="X174" s="1511"/>
      <c r="Y174" s="126"/>
      <c r="Z174" s="1494"/>
      <c r="AA174" s="126"/>
      <c r="AB174" s="213" t="s">
        <v>847</v>
      </c>
      <c r="AC174" s="327" t="s">
        <v>1568</v>
      </c>
      <c r="AD174" s="200" t="s">
        <v>789</v>
      </c>
      <c r="AE174" s="737">
        <f>SUM(AE175,AE178,AE179,AE182,AE183)</f>
        <v>0</v>
      </c>
      <c r="AF174" s="737">
        <f>SUM(AF175,AF178,AF179,AF182,AF183)</f>
        <v>0</v>
      </c>
      <c r="AG174" s="737">
        <f>SUM(AG175,AG178,AG179,AG182,AG183)</f>
        <v>0</v>
      </c>
      <c r="AH174" s="737">
        <f>AG174-AF174</f>
        <v>0</v>
      </c>
      <c r="AI174" s="3687">
        <f>SUM(AI175,AI178,AI179,AI182,AI183)</f>
        <v>0</v>
      </c>
      <c r="AJ174" s="3685"/>
      <c r="AK174" s="740"/>
      <c r="AL174" s="740"/>
      <c r="AM174" s="740"/>
      <c r="AN174" s="740"/>
      <c r="AO174" s="740"/>
      <c r="AP174" s="740"/>
      <c r="AQ174" s="740"/>
      <c r="AR174" s="740"/>
      <c r="AS174" s="740"/>
      <c r="AT174" s="740"/>
      <c r="AU174" s="740"/>
      <c r="AV174" s="740"/>
      <c r="AW174" s="740"/>
      <c r="AX174" s="740"/>
      <c r="AY174" s="740"/>
      <c r="AZ174" s="740"/>
      <c r="BA174" s="740"/>
      <c r="BB174" s="740"/>
      <c r="BC174" s="740"/>
      <c r="BD174" s="740"/>
      <c r="BE174" s="740"/>
      <c r="BF174" s="740"/>
      <c r="BG174" s="740"/>
      <c r="BH174" s="740"/>
      <c r="BI174" s="740"/>
      <c r="BJ174" s="740"/>
      <c r="BK174" s="740"/>
      <c r="BL174" s="740"/>
      <c r="BM174" s="740"/>
      <c r="BN174" s="3724"/>
      <c r="BO174" s="3724"/>
      <c r="BP174" s="3724"/>
      <c r="BQ174" s="126"/>
      <c r="BR174" s="126"/>
      <c r="BS174" s="1039" t="s">
        <v>491</v>
      </c>
      <c r="BT174" s="1046"/>
      <c r="BU174" s="1046"/>
      <c r="BV174" s="682"/>
      <c r="BW174" s="682"/>
    </row>
    <row s="1624" customFormat="1" customHeight="1" ht="14.25">
      <c r="A175" s="1256"/>
      <c r="B175" s="955"/>
      <c r="C175" s="1256"/>
      <c r="D175" s="1256"/>
      <c r="E175" s="679">
        <v>15</v>
      </c>
      <c r="F175" s="50" cm="1" t="str">
        <f t="array" ref="F175:F175">OFFSET(E175,-1,1)</f>
        <v>1</v>
      </c>
      <c r="G175" s="1256"/>
      <c r="H175" s="344"/>
      <c r="I175" s="344" t="s">
        <v>1208</v>
      </c>
      <c r="J175" s="1256"/>
      <c r="K175" s="344" t="s">
        <v>1208</v>
      </c>
      <c r="L175" s="957" t="s">
        <v>434</v>
      </c>
      <c r="M175" s="73"/>
      <c r="N175" s="1256"/>
      <c r="O175" s="1256"/>
      <c r="P175" s="1256"/>
      <c r="Q175" s="124" t="s">
        <v>2058</v>
      </c>
      <c r="R175" s="127" t="s">
        <v>2058</v>
      </c>
      <c r="S175" s="1256"/>
      <c r="T175" s="438" cm="1" t="str">
        <f t="array" ref="T175:T175">T174</f>
        <v>true</v>
      </c>
      <c r="U175" s="1256"/>
      <c r="V175" s="1256"/>
      <c r="W175" s="1256"/>
      <c r="X175" s="1511"/>
      <c r="Y175" s="1256"/>
      <c r="Z175" s="1494"/>
      <c r="AA175" s="1256"/>
      <c r="AB175" s="265" t="s">
        <v>1209</v>
      </c>
      <c r="AC175" s="741" t="s">
        <v>1783</v>
      </c>
      <c r="AD175" s="742" t="s">
        <v>789</v>
      </c>
      <c r="AE175" s="920">
        <f>SUM(AE176,AE177)</f>
        <v>0</v>
      </c>
      <c r="AF175" s="920">
        <f>SUM(AF176,AF177)</f>
        <v>0</v>
      </c>
      <c r="AG175" s="920">
        <f>SUM(AG176,AG177)</f>
        <v>0</v>
      </c>
      <c r="AH175" s="920">
        <f>AG175-AF175</f>
        <v>0</v>
      </c>
      <c r="AI175" s="3690">
        <f>SUM(AI176,AI177)</f>
        <v>0</v>
      </c>
      <c r="AJ175" s="3685"/>
      <c r="AK175" s="919"/>
      <c r="AL175" s="919"/>
      <c r="AM175" s="919"/>
      <c r="AN175" s="919"/>
      <c r="AO175" s="919"/>
      <c r="AP175" s="919"/>
      <c r="AQ175" s="919"/>
      <c r="AR175" s="919"/>
      <c r="AS175" s="919"/>
      <c r="AT175" s="919"/>
      <c r="AU175" s="919"/>
      <c r="AV175" s="919"/>
      <c r="AW175" s="919"/>
      <c r="AX175" s="919"/>
      <c r="AY175" s="919"/>
      <c r="AZ175" s="919"/>
      <c r="BA175" s="919"/>
      <c r="BB175" s="919"/>
      <c r="BC175" s="919"/>
      <c r="BD175" s="919"/>
      <c r="BE175" s="919"/>
      <c r="BF175" s="919"/>
      <c r="BG175" s="919"/>
      <c r="BH175" s="919"/>
      <c r="BI175" s="919"/>
      <c r="BJ175" s="919"/>
      <c r="BK175" s="919"/>
      <c r="BL175" s="919"/>
      <c r="BM175" s="919"/>
      <c r="BN175" s="3723"/>
      <c r="BO175" s="3723"/>
      <c r="BP175" s="3723"/>
      <c r="BQ175" s="76"/>
      <c r="BR175" s="1256"/>
      <c r="BS175" s="1040" t="s">
        <v>1570</v>
      </c>
      <c r="BT175" s="1041"/>
      <c r="BU175" s="1041"/>
      <c r="BV175" s="956"/>
      <c r="BW175" s="956"/>
    </row>
    <row s="1624" customFormat="1" customHeight="1" ht="14.25">
      <c r="A176" s="1256"/>
      <c r="B176" s="955"/>
      <c r="C176" s="1256"/>
      <c r="D176" s="1256"/>
      <c r="E176" s="679">
        <v>15</v>
      </c>
      <c r="F176" s="50" cm="1" t="str">
        <f t="array" ref="F176:F176">OFFSET(E176,-1,1)</f>
        <v>1</v>
      </c>
      <c r="G176" s="1256"/>
      <c r="H176" s="344"/>
      <c r="I176" s="344" t="s">
        <v>1784</v>
      </c>
      <c r="J176" s="1256"/>
      <c r="K176" s="344" t="s">
        <v>1784</v>
      </c>
      <c r="L176" s="957" t="s">
        <v>951</v>
      </c>
      <c r="M176" s="73"/>
      <c r="N176" s="1256"/>
      <c r="O176" s="1256"/>
      <c r="P176" s="1256"/>
      <c r="Q176" s="124" t="s">
        <v>2058</v>
      </c>
      <c r="R176" s="127" t="s">
        <v>2058</v>
      </c>
      <c r="S176" s="1256"/>
      <c r="T176" s="438" cm="1" t="str">
        <f t="array" ref="T176:T176">T175</f>
        <v>true</v>
      </c>
      <c r="U176" s="1256"/>
      <c r="V176" s="1256"/>
      <c r="W176" s="1256"/>
      <c r="X176" s="1511"/>
      <c r="Y176" s="1256"/>
      <c r="Z176" s="1494"/>
      <c r="AA176" s="1256"/>
      <c r="AB176" s="265" t="s">
        <v>1785</v>
      </c>
      <c r="AC176" s="744" t="s">
        <v>1573</v>
      </c>
      <c r="AD176" s="742" t="s">
        <v>789</v>
      </c>
      <c r="AE176" s="3707"/>
      <c r="AF176" s="3707"/>
      <c r="AG176" s="3707"/>
      <c r="AH176" s="920">
        <f>AG176-AF176</f>
        <v>0</v>
      </c>
      <c r="AI176" s="3692"/>
      <c r="AJ176" s="3685"/>
      <c r="AK176" s="919"/>
      <c r="AL176" s="919"/>
      <c r="AM176" s="919"/>
      <c r="AN176" s="919"/>
      <c r="AO176" s="919"/>
      <c r="AP176" s="919"/>
      <c r="AQ176" s="919"/>
      <c r="AR176" s="919"/>
      <c r="AS176" s="919"/>
      <c r="AT176" s="919"/>
      <c r="AU176" s="919"/>
      <c r="AV176" s="919"/>
      <c r="AW176" s="919"/>
      <c r="AX176" s="919"/>
      <c r="AY176" s="919"/>
      <c r="AZ176" s="919"/>
      <c r="BA176" s="919"/>
      <c r="BB176" s="919"/>
      <c r="BC176" s="919"/>
      <c r="BD176" s="919"/>
      <c r="BE176" s="919"/>
      <c r="BF176" s="919"/>
      <c r="BG176" s="919"/>
      <c r="BH176" s="919"/>
      <c r="BI176" s="919"/>
      <c r="BJ176" s="919"/>
      <c r="BK176" s="919"/>
      <c r="BL176" s="919"/>
      <c r="BM176" s="919"/>
      <c r="BN176" s="3723"/>
      <c r="BO176" s="3723"/>
      <c r="BP176" s="3723"/>
      <c r="BQ176" s="1256"/>
      <c r="BR176" s="1256"/>
      <c r="BS176" s="1039" t="s">
        <v>1574</v>
      </c>
      <c r="BT176" s="1041"/>
      <c r="BU176" s="1041"/>
      <c r="BV176" s="956"/>
      <c r="BW176" s="956"/>
    </row>
    <row s="1624" customFormat="1" customHeight="1" ht="14.25">
      <c r="A177" s="1256"/>
      <c r="B177" s="955"/>
      <c r="C177" s="1256"/>
      <c r="D177" s="1256"/>
      <c r="E177" s="679">
        <v>15</v>
      </c>
      <c r="F177" s="50" cm="1" t="str">
        <f t="array" ref="F177:F177">OFFSET(E177,-1,1)</f>
        <v>1</v>
      </c>
      <c r="G177" s="1256"/>
      <c r="H177" s="344"/>
      <c r="I177" s="344" t="s">
        <v>1786</v>
      </c>
      <c r="J177" s="1256"/>
      <c r="K177" s="344" t="s">
        <v>1786</v>
      </c>
      <c r="L177" s="957" t="s">
        <v>1183</v>
      </c>
      <c r="M177" s="73"/>
      <c r="N177" s="1256"/>
      <c r="O177" s="1256"/>
      <c r="P177" s="1256"/>
      <c r="Q177" s="124" t="s">
        <v>2058</v>
      </c>
      <c r="R177" s="127" t="s">
        <v>2058</v>
      </c>
      <c r="S177" s="1256"/>
      <c r="T177" s="438" cm="1" t="str">
        <f t="array" ref="T177:T177">T176</f>
        <v>true</v>
      </c>
      <c r="U177" s="1256"/>
      <c r="V177" s="1256"/>
      <c r="W177" s="1256"/>
      <c r="X177" s="1511"/>
      <c r="Y177" s="1256"/>
      <c r="Z177" s="1494"/>
      <c r="AA177" s="1256"/>
      <c r="AB177" s="265" t="s">
        <v>1787</v>
      </c>
      <c r="AC177" s="744" t="s">
        <v>1575</v>
      </c>
      <c r="AD177" s="742" t="s">
        <v>789</v>
      </c>
      <c r="AE177" s="3707"/>
      <c r="AF177" s="3707"/>
      <c r="AG177" s="3707"/>
      <c r="AH177" s="920">
        <f>AG177-AF177</f>
        <v>0</v>
      </c>
      <c r="AI177" s="3692"/>
      <c r="AJ177" s="3685"/>
      <c r="AK177" s="919"/>
      <c r="AL177" s="919"/>
      <c r="AM177" s="919"/>
      <c r="AN177" s="919"/>
      <c r="AO177" s="919"/>
      <c r="AP177" s="919"/>
      <c r="AQ177" s="919"/>
      <c r="AR177" s="919"/>
      <c r="AS177" s="919"/>
      <c r="AT177" s="919"/>
      <c r="AU177" s="919"/>
      <c r="AV177" s="919"/>
      <c r="AW177" s="919"/>
      <c r="AX177" s="919"/>
      <c r="AY177" s="919"/>
      <c r="AZ177" s="919"/>
      <c r="BA177" s="919"/>
      <c r="BB177" s="919"/>
      <c r="BC177" s="919"/>
      <c r="BD177" s="919"/>
      <c r="BE177" s="919"/>
      <c r="BF177" s="919"/>
      <c r="BG177" s="919"/>
      <c r="BH177" s="919"/>
      <c r="BI177" s="919"/>
      <c r="BJ177" s="919"/>
      <c r="BK177" s="919"/>
      <c r="BL177" s="919"/>
      <c r="BM177" s="919"/>
      <c r="BN177" s="3723"/>
      <c r="BO177" s="3723"/>
      <c r="BP177" s="3723"/>
      <c r="BQ177" s="1256"/>
      <c r="BR177" s="1256"/>
      <c r="BS177" s="1039" t="s">
        <v>1576</v>
      </c>
      <c r="BT177" s="1041"/>
      <c r="BU177" s="1041"/>
      <c r="BV177" s="956"/>
      <c r="BW177" s="956"/>
    </row>
    <row s="1624" customFormat="1" customHeight="1" ht="21.75">
      <c r="A178" s="1256"/>
      <c r="B178" s="955"/>
      <c r="C178" s="1256"/>
      <c r="D178" s="1256"/>
      <c r="E178" s="679">
        <v>22.5</v>
      </c>
      <c r="F178" s="50" cm="1" t="str">
        <f t="array" ref="F178:F178">OFFSET(E178,-1,1)</f>
        <v>1</v>
      </c>
      <c r="G178" s="1256"/>
      <c r="H178" s="344"/>
      <c r="I178" s="344" t="s">
        <v>1211</v>
      </c>
      <c r="J178" s="1256"/>
      <c r="K178" s="344" t="s">
        <v>1211</v>
      </c>
      <c r="L178" s="957" t="s">
        <v>441</v>
      </c>
      <c r="M178" s="73"/>
      <c r="N178" s="1256"/>
      <c r="O178" s="1256"/>
      <c r="P178" s="1256"/>
      <c r="Q178" s="124" t="s">
        <v>2058</v>
      </c>
      <c r="R178" s="127" t="s">
        <v>2058</v>
      </c>
      <c r="S178" s="1256"/>
      <c r="T178" s="438" cm="1" t="str">
        <f t="array" ref="T178:T178">T177</f>
        <v>true</v>
      </c>
      <c r="U178" s="1256"/>
      <c r="V178" s="1256"/>
      <c r="W178" s="1256"/>
      <c r="X178" s="1511"/>
      <c r="Y178" s="1256"/>
      <c r="Z178" s="1494"/>
      <c r="AA178" s="1256"/>
      <c r="AB178" s="265" t="s">
        <v>1212</v>
      </c>
      <c r="AC178" s="741" t="s">
        <v>1788</v>
      </c>
      <c r="AD178" s="742" t="s">
        <v>789</v>
      </c>
      <c r="AE178" s="3707"/>
      <c r="AF178" s="3707"/>
      <c r="AG178" s="3707"/>
      <c r="AH178" s="920">
        <f>AG178-AF178</f>
        <v>0</v>
      </c>
      <c r="AI178" s="3692"/>
      <c r="AJ178" s="3685"/>
      <c r="AK178" s="919"/>
      <c r="AL178" s="919"/>
      <c r="AM178" s="919"/>
      <c r="AN178" s="919"/>
      <c r="AO178" s="919"/>
      <c r="AP178" s="919"/>
      <c r="AQ178" s="919"/>
      <c r="AR178" s="919"/>
      <c r="AS178" s="919"/>
      <c r="AT178" s="919"/>
      <c r="AU178" s="919"/>
      <c r="AV178" s="919"/>
      <c r="AW178" s="919"/>
      <c r="AX178" s="919"/>
      <c r="AY178" s="919"/>
      <c r="AZ178" s="919"/>
      <c r="BA178" s="919"/>
      <c r="BB178" s="919"/>
      <c r="BC178" s="919"/>
      <c r="BD178" s="919"/>
      <c r="BE178" s="919"/>
      <c r="BF178" s="919"/>
      <c r="BG178" s="919"/>
      <c r="BH178" s="919"/>
      <c r="BI178" s="919"/>
      <c r="BJ178" s="919"/>
      <c r="BK178" s="919"/>
      <c r="BL178" s="919"/>
      <c r="BM178" s="919"/>
      <c r="BN178" s="3723"/>
      <c r="BO178" s="3723"/>
      <c r="BP178" s="3723"/>
      <c r="BQ178" s="1256"/>
      <c r="BR178" s="1256"/>
      <c r="BS178" s="1040" t="s">
        <v>1601</v>
      </c>
      <c r="BT178" s="1041"/>
      <c r="BU178" s="1041"/>
      <c r="BV178" s="956"/>
      <c r="BW178" s="956"/>
    </row>
    <row s="1624" customFormat="1" customHeight="1" ht="21.75">
      <c r="A179" s="1256"/>
      <c r="B179" s="955"/>
      <c r="C179" s="1256"/>
      <c r="D179" s="1256"/>
      <c r="E179" s="679">
        <v>22.5</v>
      </c>
      <c r="F179" s="50" cm="1" t="str">
        <f t="array" ref="F179:F179">OFFSET(E179,-1,1)</f>
        <v>1</v>
      </c>
      <c r="G179" s="1256"/>
      <c r="H179" s="344"/>
      <c r="I179" s="344" t="s">
        <v>1215</v>
      </c>
      <c r="J179" s="1256"/>
      <c r="K179" s="344" t="s">
        <v>1215</v>
      </c>
      <c r="L179" s="957" t="s">
        <v>445</v>
      </c>
      <c r="M179" s="73"/>
      <c r="N179" s="1256"/>
      <c r="O179" s="1256"/>
      <c r="P179" s="1256"/>
      <c r="Q179" s="124" t="s">
        <v>2058</v>
      </c>
      <c r="R179" s="127" t="s">
        <v>2058</v>
      </c>
      <c r="S179" s="1256"/>
      <c r="T179" s="438" cm="1" t="str">
        <f t="array" ref="T179:T179">T178</f>
        <v>true</v>
      </c>
      <c r="U179" s="1256"/>
      <c r="V179" s="1256"/>
      <c r="W179" s="1256"/>
      <c r="X179" s="1511"/>
      <c r="Y179" s="1256"/>
      <c r="Z179" s="1494"/>
      <c r="AA179" s="1256"/>
      <c r="AB179" s="265" t="s">
        <v>1216</v>
      </c>
      <c r="AC179" s="741" t="s">
        <v>1789</v>
      </c>
      <c r="AD179" s="742" t="s">
        <v>789</v>
      </c>
      <c r="AE179" s="921">
        <f>AE180+AE181</f>
        <v>0</v>
      </c>
      <c r="AF179" s="921">
        <f>AF180+AF181</f>
        <v>0</v>
      </c>
      <c r="AG179" s="921">
        <f>AG180+AG181</f>
        <v>0</v>
      </c>
      <c r="AH179" s="920">
        <f>AG179-AF179</f>
        <v>0</v>
      </c>
      <c r="AI179" s="3694">
        <f>AI180+AI181</f>
        <v>0</v>
      </c>
      <c r="AJ179" s="3685"/>
      <c r="AK179" s="919"/>
      <c r="AL179" s="919"/>
      <c r="AM179" s="919"/>
      <c r="AN179" s="919"/>
      <c r="AO179" s="919"/>
      <c r="AP179" s="919"/>
      <c r="AQ179" s="919"/>
      <c r="AR179" s="919"/>
      <c r="AS179" s="919"/>
      <c r="AT179" s="919"/>
      <c r="AU179" s="919"/>
      <c r="AV179" s="919"/>
      <c r="AW179" s="919"/>
      <c r="AX179" s="919"/>
      <c r="AY179" s="919"/>
      <c r="AZ179" s="919"/>
      <c r="BA179" s="919"/>
      <c r="BB179" s="919"/>
      <c r="BC179" s="919"/>
      <c r="BD179" s="919"/>
      <c r="BE179" s="919"/>
      <c r="BF179" s="919"/>
      <c r="BG179" s="919"/>
      <c r="BH179" s="919"/>
      <c r="BI179" s="919"/>
      <c r="BJ179" s="919"/>
      <c r="BK179" s="919"/>
      <c r="BL179" s="919"/>
      <c r="BM179" s="919"/>
      <c r="BN179" s="3723"/>
      <c r="BO179" s="3723"/>
      <c r="BP179" s="3723"/>
      <c r="BQ179" s="1256"/>
      <c r="BR179" s="1256"/>
      <c r="BS179" s="1040" t="s">
        <v>1790</v>
      </c>
      <c r="BT179" s="1041"/>
      <c r="BU179" s="1041"/>
      <c r="BV179" s="956"/>
      <c r="BW179" s="956"/>
    </row>
    <row s="1624" customFormat="1" customHeight="1" ht="14.25">
      <c r="A180" s="1256"/>
      <c r="B180" s="955"/>
      <c r="C180" s="1256"/>
      <c r="D180" s="1256"/>
      <c r="E180" s="679">
        <v>15</v>
      </c>
      <c r="F180" s="50" cm="1" t="str">
        <f t="array" ref="F180:F180">OFFSET(E180,-1,1)</f>
        <v>1</v>
      </c>
      <c r="G180" s="315" t="s">
        <v>1033</v>
      </c>
      <c r="H180" s="344"/>
      <c r="I180" s="344" t="s">
        <v>1359</v>
      </c>
      <c r="J180" s="1256"/>
      <c r="K180" s="344" t="s">
        <v>1359</v>
      </c>
      <c r="L180" s="957" t="s">
        <v>1235</v>
      </c>
      <c r="M180" s="73"/>
      <c r="N180" s="1256"/>
      <c r="O180" s="1256"/>
      <c r="P180" s="1256"/>
      <c r="Q180" s="124" t="s">
        <v>2058</v>
      </c>
      <c r="R180" s="127" t="s">
        <v>2058</v>
      </c>
      <c r="S180" s="1256"/>
      <c r="T180" s="438" cm="1" t="str">
        <f t="array" ref="T180:T180">T179</f>
        <v>true</v>
      </c>
      <c r="U180" s="1256"/>
      <c r="V180" s="1256"/>
      <c r="W180" s="1256"/>
      <c r="X180" s="1511"/>
      <c r="Y180" s="1256"/>
      <c r="Z180" s="1494"/>
      <c r="AA180" s="1256"/>
      <c r="AB180" s="265" t="s">
        <v>1791</v>
      </c>
      <c r="AC180" s="744" t="s">
        <v>1604</v>
      </c>
      <c r="AD180" s="742" t="s">
        <v>789</v>
      </c>
      <c r="AE180" s="3707"/>
      <c r="AF180" s="3707"/>
      <c r="AG180" s="3707"/>
      <c r="AH180" s="920">
        <f>AG180-AF180</f>
        <v>0</v>
      </c>
      <c r="AI180" s="3692"/>
      <c r="AJ180" s="3685"/>
      <c r="AK180" s="919"/>
      <c r="AL180" s="919"/>
      <c r="AM180" s="919"/>
      <c r="AN180" s="919"/>
      <c r="AO180" s="919"/>
      <c r="AP180" s="919"/>
      <c r="AQ180" s="919"/>
      <c r="AR180" s="919"/>
      <c r="AS180" s="919"/>
      <c r="AT180" s="919"/>
      <c r="AU180" s="919"/>
      <c r="AV180" s="919"/>
      <c r="AW180" s="919"/>
      <c r="AX180" s="919"/>
      <c r="AY180" s="919"/>
      <c r="AZ180" s="919"/>
      <c r="BA180" s="919"/>
      <c r="BB180" s="919"/>
      <c r="BC180" s="919"/>
      <c r="BD180" s="919"/>
      <c r="BE180" s="919"/>
      <c r="BF180" s="919"/>
      <c r="BG180" s="919"/>
      <c r="BH180" s="919"/>
      <c r="BI180" s="919"/>
      <c r="BJ180" s="919"/>
      <c r="BK180" s="919"/>
      <c r="BL180" s="919"/>
      <c r="BM180" s="919"/>
      <c r="BN180" s="3723"/>
      <c r="BO180" s="3725" t="str">
        <f>IF(_xlfn.IFERROR(INDEX(ФОТ!$K$26:$L$77,MATCH($F180&amp;"1komm",ФОТ!$K$26:$K$77,0),2),"")=0,"",_xlfn.IFERROR(INDEX(ФОТ!$K$26:$L$77,MATCH($F180&amp;"1komm",ФОТ!$K$26:$K$77,0),2),""))</f>
        <v/>
      </c>
      <c r="BP180" s="3723"/>
      <c r="BQ180" s="1256"/>
      <c r="BR180" s="1256"/>
      <c r="BS180" s="1039" t="s">
        <v>1605</v>
      </c>
      <c r="BT180" s="1041"/>
      <c r="BU180" s="1041"/>
      <c r="BV180" s="956"/>
      <c r="BW180" s="956"/>
    </row>
    <row s="1624" customFormat="1" customHeight="1" ht="21.75">
      <c r="A181" s="1256"/>
      <c r="B181" s="955"/>
      <c r="C181" s="1256"/>
      <c r="D181" s="1256"/>
      <c r="E181" s="679">
        <v>22.5</v>
      </c>
      <c r="F181" s="50" cm="1" t="str">
        <f t="array" ref="F181:F181">OFFSET(E181,-1,1)</f>
        <v>1</v>
      </c>
      <c r="G181" s="315" t="s">
        <v>1045</v>
      </c>
      <c r="H181" s="344"/>
      <c r="I181" s="344" t="s">
        <v>1363</v>
      </c>
      <c r="J181" s="1256"/>
      <c r="K181" s="344" t="s">
        <v>1363</v>
      </c>
      <c r="L181" s="957" t="s">
        <v>1236</v>
      </c>
      <c r="M181" s="73"/>
      <c r="N181" s="1256"/>
      <c r="O181" s="1256"/>
      <c r="P181" s="1256"/>
      <c r="Q181" s="124" t="s">
        <v>2058</v>
      </c>
      <c r="R181" s="127" t="s">
        <v>2058</v>
      </c>
      <c r="S181" s="1256"/>
      <c r="T181" s="438" cm="1" t="str">
        <f t="array" ref="T181:T181">T180</f>
        <v>true</v>
      </c>
      <c r="U181" s="1256"/>
      <c r="V181" s="1256"/>
      <c r="W181" s="1256"/>
      <c r="X181" s="1511"/>
      <c r="Y181" s="1256"/>
      <c r="Z181" s="1494"/>
      <c r="AA181" s="1256"/>
      <c r="AB181" s="265" t="s">
        <v>1792</v>
      </c>
      <c r="AC181" s="744" t="s">
        <v>1793</v>
      </c>
      <c r="AD181" s="742" t="s">
        <v>789</v>
      </c>
      <c r="AE181" s="3707">
        <f>AE180*_xlfn.SUMIFS(INDEX(Сценарии!$AE$25:$BF$82,,MATCH(AE$8,Сценарии!$AE$8:$BF$8,0)),Сценарии!$F$25:$F$82,$F181,Сценарии!$G$25:$G$82,"СВФОТ")/100</f>
        <v>0</v>
      </c>
      <c r="AF181" s="3707">
        <f>AF180*_xlfn.SUMIFS(INDEX(Сценарии!$AE$25:$BF$82,,MATCH(AF$8,Сценарии!$AE$8:$BF$8,0)),Сценарии!$F$25:$F$82,$F181,Сценарии!$G$25:$G$82,"СВФОТ")/100</f>
        <v>0</v>
      </c>
      <c r="AG181" s="3707">
        <f>AG180*_xlfn.SUMIFS(INDEX(Сценарии!$AE$25:$BF$82,,MATCH(AG$8,Сценарии!$AE$8:$BF$8,0)),Сценарии!$F$25:$F$82,$F181,Сценарии!$G$25:$G$82,"СВФОТ")/100</f>
        <v>0</v>
      </c>
      <c r="AH181" s="920">
        <f>AG181-AF181</f>
        <v>0</v>
      </c>
      <c r="AI181" s="3692">
        <f>AI180*_xlfn.SUMIFS(INDEX(Сценарии!$AE$25:$BF$82,,MATCH(AG$8,Сценарии!$AE$8:$BF$8,0)),Сценарии!$F$25:$F$82,$F181,Сценарии!$G$25:$G$82,"СВФОТ")/100</f>
        <v>0</v>
      </c>
      <c r="AJ181" s="3685"/>
      <c r="AK181" s="919"/>
      <c r="AL181" s="919"/>
      <c r="AM181" s="919"/>
      <c r="AN181" s="919"/>
      <c r="AO181" s="919"/>
      <c r="AP181" s="919"/>
      <c r="AQ181" s="919"/>
      <c r="AR181" s="919"/>
      <c r="AS181" s="919"/>
      <c r="AT181" s="919"/>
      <c r="AU181" s="919"/>
      <c r="AV181" s="919"/>
      <c r="AW181" s="919"/>
      <c r="AX181" s="919"/>
      <c r="AY181" s="919"/>
      <c r="AZ181" s="919"/>
      <c r="BA181" s="919"/>
      <c r="BB181" s="919"/>
      <c r="BC181" s="919"/>
      <c r="BD181" s="919"/>
      <c r="BE181" s="919"/>
      <c r="BF181" s="919"/>
      <c r="BG181" s="919"/>
      <c r="BH181" s="919"/>
      <c r="BI181" s="919"/>
      <c r="BJ181" s="919"/>
      <c r="BK181" s="919"/>
      <c r="BL181" s="919"/>
      <c r="BM181" s="919"/>
      <c r="BN181" s="3723"/>
      <c r="BO181" s="3725" t="str">
        <f>IF(_xlfn.IFERROR(INDEX(ФОТ!$K$26:$L$77,MATCH($F181&amp;"2komm",ФОТ!$K$26:$K$77,0),2),"")=0,"",_xlfn.IFERROR(INDEX(ФОТ!$K$26:$L$77,MATCH($F181&amp;"2komm",ФОТ!$K$26:$K$77,0),2),""))</f>
        <v/>
      </c>
      <c r="BP181" s="3723"/>
      <c r="BQ181" s="1256"/>
      <c r="BR181" s="1256"/>
      <c r="BS181" s="1039" t="s">
        <v>1607</v>
      </c>
      <c r="BT181" s="1041"/>
      <c r="BU181" s="1041"/>
      <c r="BV181" s="956"/>
      <c r="BW181" s="956"/>
    </row>
    <row s="1624" customFormat="1" customHeight="1" ht="14.25">
      <c r="A182" s="1256"/>
      <c r="B182" s="955"/>
      <c r="C182" s="1256"/>
      <c r="D182" s="1256"/>
      <c r="E182" s="679">
        <v>15</v>
      </c>
      <c r="F182" s="50" cm="1" t="str">
        <f t="array" ref="F182:F182">OFFSET(E182,-1,1)</f>
        <v>1</v>
      </c>
      <c r="G182" s="1256"/>
      <c r="H182" s="344"/>
      <c r="I182" s="344" t="s">
        <v>1374</v>
      </c>
      <c r="J182" s="1256"/>
      <c r="K182" s="344" t="s">
        <v>1374</v>
      </c>
      <c r="L182" s="957" t="s">
        <v>1609</v>
      </c>
      <c r="M182" s="73"/>
      <c r="N182" s="1256"/>
      <c r="O182" s="1256"/>
      <c r="P182" s="1256"/>
      <c r="Q182" s="124" t="s">
        <v>2058</v>
      </c>
      <c r="R182" s="127" t="s">
        <v>2058</v>
      </c>
      <c r="S182" s="1256"/>
      <c r="T182" s="438" cm="1" t="str">
        <f t="array" ref="T182:T182">T181</f>
        <v>true</v>
      </c>
      <c r="U182" s="1256"/>
      <c r="V182" s="1256"/>
      <c r="W182" s="1256"/>
      <c r="X182" s="1511"/>
      <c r="Y182" s="1256"/>
      <c r="Z182" s="1494"/>
      <c r="AA182" s="1256"/>
      <c r="AB182" s="265" t="s">
        <v>1583</v>
      </c>
      <c r="AC182" s="741" t="s">
        <v>1794</v>
      </c>
      <c r="AD182" s="742" t="s">
        <v>789</v>
      </c>
      <c r="AE182" s="3707"/>
      <c r="AF182" s="3707"/>
      <c r="AG182" s="3707"/>
      <c r="AH182" s="920">
        <f>AG182-AF182</f>
        <v>0</v>
      </c>
      <c r="AI182" s="3692"/>
      <c r="AJ182" s="3685"/>
      <c r="AK182" s="919"/>
      <c r="AL182" s="919"/>
      <c r="AM182" s="919"/>
      <c r="AN182" s="919"/>
      <c r="AO182" s="919"/>
      <c r="AP182" s="919"/>
      <c r="AQ182" s="919"/>
      <c r="AR182" s="919"/>
      <c r="AS182" s="919"/>
      <c r="AT182" s="919"/>
      <c r="AU182" s="919"/>
      <c r="AV182" s="919"/>
      <c r="AW182" s="919"/>
      <c r="AX182" s="919"/>
      <c r="AY182" s="919"/>
      <c r="AZ182" s="919"/>
      <c r="BA182" s="919"/>
      <c r="BB182" s="919"/>
      <c r="BC182" s="919"/>
      <c r="BD182" s="919"/>
      <c r="BE182" s="919"/>
      <c r="BF182" s="919"/>
      <c r="BG182" s="919"/>
      <c r="BH182" s="919"/>
      <c r="BI182" s="919"/>
      <c r="BJ182" s="919"/>
      <c r="BK182" s="919"/>
      <c r="BL182" s="919"/>
      <c r="BM182" s="919"/>
      <c r="BN182" s="3723"/>
      <c r="BO182" s="3723"/>
      <c r="BP182" s="3723"/>
      <c r="BQ182" s="1256"/>
      <c r="BR182" s="1256"/>
      <c r="BS182" s="1040" t="s">
        <v>1612</v>
      </c>
      <c r="BT182" s="1041"/>
      <c r="BU182" s="1041"/>
      <c r="BV182" s="956"/>
      <c r="BW182" s="956"/>
    </row>
    <row s="1624" customFormat="1" customHeight="1" ht="14.25">
      <c r="A183" s="1256"/>
      <c r="B183" s="955"/>
      <c r="C183" s="1256"/>
      <c r="D183" s="1256"/>
      <c r="E183" s="679">
        <v>15</v>
      </c>
      <c r="F183" s="50" cm="1" t="str">
        <f t="array" ref="F183:F183">OFFSET(E183,-1,1)</f>
        <v>1</v>
      </c>
      <c r="G183" s="1256"/>
      <c r="H183" s="344"/>
      <c r="I183" s="344" t="s">
        <v>1378</v>
      </c>
      <c r="J183" s="1256"/>
      <c r="K183" s="344" t="s">
        <v>1378</v>
      </c>
      <c r="L183" s="957" t="s">
        <v>1613</v>
      </c>
      <c r="M183" s="1256"/>
      <c r="N183" s="1256"/>
      <c r="O183" s="1256"/>
      <c r="P183" s="1256"/>
      <c r="Q183" s="124" t="s">
        <v>2058</v>
      </c>
      <c r="R183" s="127" t="s">
        <v>2058</v>
      </c>
      <c r="S183" s="1256"/>
      <c r="T183" s="438" cm="1" t="str">
        <f t="array" ref="T183:T183">T182</f>
        <v>true</v>
      </c>
      <c r="U183" s="1256"/>
      <c r="V183" s="1256"/>
      <c r="W183" s="1256"/>
      <c r="X183" s="1511"/>
      <c r="Y183" s="1256"/>
      <c r="Z183" s="1494"/>
      <c r="AA183" s="1256"/>
      <c r="AB183" s="265" t="s">
        <v>1585</v>
      </c>
      <c r="AC183" s="741" t="s">
        <v>1795</v>
      </c>
      <c r="AD183" s="266" t="s">
        <v>789</v>
      </c>
      <c r="AE183" s="921">
        <f>SUM(AE184:AE190)</f>
        <v>0</v>
      </c>
      <c r="AF183" s="921">
        <f>SUM(AF184:AF190)</f>
        <v>0</v>
      </c>
      <c r="AG183" s="921">
        <f>SUM(AG184:AG190)</f>
        <v>0</v>
      </c>
      <c r="AH183" s="920">
        <f>AG183-AF183</f>
        <v>0</v>
      </c>
      <c r="AI183" s="3694">
        <f>SUM(AI184:AI190)</f>
        <v>0</v>
      </c>
      <c r="AJ183" s="3685"/>
      <c r="AK183" s="919"/>
      <c r="AL183" s="919"/>
      <c r="AM183" s="919"/>
      <c r="AN183" s="919"/>
      <c r="AO183" s="919"/>
      <c r="AP183" s="919"/>
      <c r="AQ183" s="919"/>
      <c r="AR183" s="919"/>
      <c r="AS183" s="919"/>
      <c r="AT183" s="919"/>
      <c r="AU183" s="919"/>
      <c r="AV183" s="919"/>
      <c r="AW183" s="919"/>
      <c r="AX183" s="919"/>
      <c r="AY183" s="919"/>
      <c r="AZ183" s="919"/>
      <c r="BA183" s="919"/>
      <c r="BB183" s="919"/>
      <c r="BC183" s="919"/>
      <c r="BD183" s="919"/>
      <c r="BE183" s="919"/>
      <c r="BF183" s="919"/>
      <c r="BG183" s="919"/>
      <c r="BH183" s="919"/>
      <c r="BI183" s="919"/>
      <c r="BJ183" s="919"/>
      <c r="BK183" s="919"/>
      <c r="BL183" s="919"/>
      <c r="BM183" s="919"/>
      <c r="BN183" s="3723"/>
      <c r="BO183" s="3723"/>
      <c r="BP183" s="3723"/>
      <c r="BQ183" s="1256"/>
      <c r="BR183" s="1256"/>
      <c r="BS183" s="1040" t="s">
        <v>1796</v>
      </c>
      <c r="BT183" s="1041"/>
      <c r="BU183" s="1041"/>
      <c r="BV183" s="956"/>
      <c r="BW183" s="956"/>
    </row>
    <row s="1624" customFormat="1" customHeight="1" ht="14.25">
      <c r="A184" s="1256"/>
      <c r="B184" s="955"/>
      <c r="C184" s="1256"/>
      <c r="D184" s="1256"/>
      <c r="E184" s="679">
        <v>15</v>
      </c>
      <c r="F184" s="50" cm="1" t="str">
        <f t="array" ref="F184:F184">OFFSET(E184,-1,1)</f>
        <v>1</v>
      </c>
      <c r="G184" s="1256"/>
      <c r="H184" s="344"/>
      <c r="I184" s="344" t="s">
        <v>1797</v>
      </c>
      <c r="J184" s="1256"/>
      <c r="K184" s="344" t="s">
        <v>1797</v>
      </c>
      <c r="L184" s="957" t="s">
        <v>1613</v>
      </c>
      <c r="M184" s="73" t="s">
        <v>1621</v>
      </c>
      <c r="N184" s="1256"/>
      <c r="O184" s="1256"/>
      <c r="P184" s="1256"/>
      <c r="Q184" s="124" t="s">
        <v>2058</v>
      </c>
      <c r="R184" s="127" t="s">
        <v>2058</v>
      </c>
      <c r="S184" s="1256"/>
      <c r="T184" s="438" cm="1" t="str">
        <f t="array" ref="T184:T184">T183</f>
        <v>true</v>
      </c>
      <c r="U184" s="1256"/>
      <c r="V184" s="1256"/>
      <c r="W184" s="1256"/>
      <c r="X184" s="1511"/>
      <c r="Y184" s="1256"/>
      <c r="Z184" s="1494"/>
      <c r="AA184" s="1256"/>
      <c r="AB184" s="265" t="s">
        <v>1798</v>
      </c>
      <c r="AC184" s="744" t="s">
        <v>1799</v>
      </c>
      <c r="AD184" s="266" t="s">
        <v>789</v>
      </c>
      <c r="AE184" s="3707"/>
      <c r="AF184" s="3707"/>
      <c r="AG184" s="3707"/>
      <c r="AH184" s="920">
        <f>AG184-AF184</f>
        <v>0</v>
      </c>
      <c r="AI184" s="3692"/>
      <c r="AJ184" s="3685"/>
      <c r="AK184" s="919"/>
      <c r="AL184" s="919"/>
      <c r="AM184" s="919"/>
      <c r="AN184" s="919"/>
      <c r="AO184" s="919"/>
      <c r="AP184" s="919"/>
      <c r="AQ184" s="919"/>
      <c r="AR184" s="919"/>
      <c r="AS184" s="919"/>
      <c r="AT184" s="919"/>
      <c r="AU184" s="919"/>
      <c r="AV184" s="919"/>
      <c r="AW184" s="919"/>
      <c r="AX184" s="919"/>
      <c r="AY184" s="919"/>
      <c r="AZ184" s="919"/>
      <c r="BA184" s="919"/>
      <c r="BB184" s="919"/>
      <c r="BC184" s="919"/>
      <c r="BD184" s="919"/>
      <c r="BE184" s="919"/>
      <c r="BF184" s="919"/>
      <c r="BG184" s="919"/>
      <c r="BH184" s="919"/>
      <c r="BI184" s="919"/>
      <c r="BJ184" s="919"/>
      <c r="BK184" s="919"/>
      <c r="BL184" s="919"/>
      <c r="BM184" s="919"/>
      <c r="BN184" s="3723"/>
      <c r="BO184" s="3723"/>
      <c r="BP184" s="3723"/>
      <c r="BQ184" s="1256"/>
      <c r="BR184" s="1256"/>
      <c r="BS184" s="1039" t="s">
        <v>1624</v>
      </c>
      <c r="BT184" s="1041"/>
      <c r="BU184" s="1041"/>
      <c r="BV184" s="956"/>
      <c r="BW184" s="956"/>
    </row>
    <row s="1624" customFormat="1" customHeight="1" ht="21.75">
      <c r="A185" s="1256"/>
      <c r="B185" s="955"/>
      <c r="C185" s="1256"/>
      <c r="D185" s="1256"/>
      <c r="E185" s="679">
        <v>22.5</v>
      </c>
      <c r="F185" s="50" cm="1" t="str">
        <f t="array" ref="F185:F185">OFFSET(E185,-1,1)</f>
        <v>1</v>
      </c>
      <c r="G185" s="1256"/>
      <c r="H185" s="344"/>
      <c r="I185" s="344" t="s">
        <v>1800</v>
      </c>
      <c r="J185" s="1256"/>
      <c r="K185" s="344" t="s">
        <v>1800</v>
      </c>
      <c r="L185" s="957" t="s">
        <v>1613</v>
      </c>
      <c r="M185" s="73" t="s">
        <v>1617</v>
      </c>
      <c r="N185" s="1256"/>
      <c r="O185" s="1256"/>
      <c r="P185" s="1256"/>
      <c r="Q185" s="124" t="s">
        <v>2058</v>
      </c>
      <c r="R185" s="127" t="s">
        <v>2058</v>
      </c>
      <c r="S185" s="1256"/>
      <c r="T185" s="438" cm="1" t="str">
        <f t="array" ref="T185:T185">T184</f>
        <v>true</v>
      </c>
      <c r="U185" s="1256"/>
      <c r="V185" s="1256"/>
      <c r="W185" s="1256"/>
      <c r="X185" s="1511"/>
      <c r="Y185" s="1256"/>
      <c r="Z185" s="1494"/>
      <c r="AA185" s="1256"/>
      <c r="AB185" s="265" t="s">
        <v>1801</v>
      </c>
      <c r="AC185" s="744" t="s">
        <v>1802</v>
      </c>
      <c r="AD185" s="266" t="s">
        <v>789</v>
      </c>
      <c r="AE185" s="3707"/>
      <c r="AF185" s="3707"/>
      <c r="AG185" s="3707"/>
      <c r="AH185" s="920">
        <f>AG185-AF185</f>
        <v>0</v>
      </c>
      <c r="AI185" s="3692"/>
      <c r="AJ185" s="3685"/>
      <c r="AK185" s="919"/>
      <c r="AL185" s="919"/>
      <c r="AM185" s="919"/>
      <c r="AN185" s="919"/>
      <c r="AO185" s="919"/>
      <c r="AP185" s="919"/>
      <c r="AQ185" s="919"/>
      <c r="AR185" s="919"/>
      <c r="AS185" s="919"/>
      <c r="AT185" s="919"/>
      <c r="AU185" s="919"/>
      <c r="AV185" s="919"/>
      <c r="AW185" s="919"/>
      <c r="AX185" s="919"/>
      <c r="AY185" s="919"/>
      <c r="AZ185" s="919"/>
      <c r="BA185" s="919"/>
      <c r="BB185" s="919"/>
      <c r="BC185" s="919"/>
      <c r="BD185" s="919"/>
      <c r="BE185" s="919"/>
      <c r="BF185" s="919"/>
      <c r="BG185" s="919"/>
      <c r="BH185" s="919"/>
      <c r="BI185" s="919"/>
      <c r="BJ185" s="919"/>
      <c r="BK185" s="919"/>
      <c r="BL185" s="919"/>
      <c r="BM185" s="919"/>
      <c r="BN185" s="3723"/>
      <c r="BO185" s="3723"/>
      <c r="BP185" s="3723"/>
      <c r="BQ185" s="1256"/>
      <c r="BR185" s="1256"/>
      <c r="BS185" s="1041" t="s">
        <v>1803</v>
      </c>
      <c r="BT185" s="1041"/>
      <c r="BU185" s="1041"/>
      <c r="BV185" s="956"/>
      <c r="BW185" s="956"/>
    </row>
    <row s="1624" customFormat="1" customHeight="1" ht="21.75">
      <c r="A186" s="1256"/>
      <c r="B186" s="955"/>
      <c r="C186" s="1256"/>
      <c r="D186" s="1256"/>
      <c r="E186" s="679">
        <v>22.5</v>
      </c>
      <c r="F186" s="50" cm="1" t="str">
        <f t="array" ref="F186:F186">OFFSET(E186,-1,1)</f>
        <v>1</v>
      </c>
      <c r="G186" s="1256"/>
      <c r="H186" s="344"/>
      <c r="I186" s="344" t="s">
        <v>1804</v>
      </c>
      <c r="J186" s="1256"/>
      <c r="K186" s="344" t="s">
        <v>1804</v>
      </c>
      <c r="L186" s="1256"/>
      <c r="M186" s="1256"/>
      <c r="N186" s="1256"/>
      <c r="O186" s="1256"/>
      <c r="P186" s="1256"/>
      <c r="Q186" s="124" t="s">
        <v>2058</v>
      </c>
      <c r="R186" s="127" t="s">
        <v>2058</v>
      </c>
      <c r="S186" s="1256"/>
      <c r="T186" s="438" cm="1" t="str">
        <f t="array" ref="T186:T186">T185</f>
        <v>true</v>
      </c>
      <c r="U186" s="1256"/>
      <c r="V186" s="1256"/>
      <c r="W186" s="1256"/>
      <c r="X186" s="1511"/>
      <c r="Y186" s="1256"/>
      <c r="Z186" s="1494"/>
      <c r="AA186" s="1256"/>
      <c r="AB186" s="265" t="s">
        <v>1805</v>
      </c>
      <c r="AC186" s="745" t="s">
        <v>1806</v>
      </c>
      <c r="AD186" s="266" t="s">
        <v>789</v>
      </c>
      <c r="AE186" s="3707"/>
      <c r="AF186" s="3707"/>
      <c r="AG186" s="3707"/>
      <c r="AH186" s="920">
        <f>AG186-AF186</f>
        <v>0</v>
      </c>
      <c r="AI186" s="3692"/>
      <c r="AJ186" s="3685"/>
      <c r="AK186" s="919"/>
      <c r="AL186" s="919"/>
      <c r="AM186" s="919"/>
      <c r="AN186" s="919"/>
      <c r="AO186" s="919"/>
      <c r="AP186" s="919"/>
      <c r="AQ186" s="919"/>
      <c r="AR186" s="919"/>
      <c r="AS186" s="919"/>
      <c r="AT186" s="919"/>
      <c r="AU186" s="919"/>
      <c r="AV186" s="919"/>
      <c r="AW186" s="919"/>
      <c r="AX186" s="919"/>
      <c r="AY186" s="919"/>
      <c r="AZ186" s="919"/>
      <c r="BA186" s="919"/>
      <c r="BB186" s="919"/>
      <c r="BC186" s="919"/>
      <c r="BD186" s="919"/>
      <c r="BE186" s="919"/>
      <c r="BF186" s="919"/>
      <c r="BG186" s="919"/>
      <c r="BH186" s="919"/>
      <c r="BI186" s="919"/>
      <c r="BJ186" s="919"/>
      <c r="BK186" s="919"/>
      <c r="BL186" s="919"/>
      <c r="BM186" s="919"/>
      <c r="BN186" s="3723"/>
      <c r="BO186" s="3723"/>
      <c r="BP186" s="3723"/>
      <c r="BQ186" s="1256"/>
      <c r="BR186" s="1256"/>
      <c r="BS186" s="1041" t="s">
        <v>1807</v>
      </c>
      <c r="BT186" s="1041"/>
      <c r="BU186" s="1041"/>
      <c r="BV186" s="956"/>
      <c r="BW186" s="956"/>
    </row>
    <row s="1624" customFormat="1" customHeight="1" ht="21.75">
      <c r="A187" s="1256"/>
      <c r="B187" s="955"/>
      <c r="C187" s="1256"/>
      <c r="D187" s="1256"/>
      <c r="E187" s="679">
        <v>22.5</v>
      </c>
      <c r="F187" s="50" cm="1" t="str">
        <f t="array" ref="F187:F187">OFFSET(E187,-1,1)</f>
        <v>1</v>
      </c>
      <c r="G187" s="1256"/>
      <c r="H187" s="344"/>
      <c r="I187" s="344" t="s">
        <v>1808</v>
      </c>
      <c r="J187" s="1256"/>
      <c r="K187" s="344" t="s">
        <v>1808</v>
      </c>
      <c r="L187" s="957"/>
      <c r="M187" s="1256"/>
      <c r="N187" s="1256"/>
      <c r="O187" s="1256"/>
      <c r="P187" s="1256"/>
      <c r="Q187" s="124" t="s">
        <v>2058</v>
      </c>
      <c r="R187" s="127" t="s">
        <v>2058</v>
      </c>
      <c r="S187" s="1256"/>
      <c r="T187" s="438" cm="1" t="str">
        <f t="array" ref="T187:T187">T186</f>
        <v>true</v>
      </c>
      <c r="U187" s="1256"/>
      <c r="V187" s="1256"/>
      <c r="W187" s="1256"/>
      <c r="X187" s="1511"/>
      <c r="Y187" s="1256"/>
      <c r="Z187" s="1494"/>
      <c r="AA187" s="1256"/>
      <c r="AB187" s="265" t="s">
        <v>1809</v>
      </c>
      <c r="AC187" s="745" t="s">
        <v>1810</v>
      </c>
      <c r="AD187" s="266" t="s">
        <v>789</v>
      </c>
      <c r="AE187" s="3707"/>
      <c r="AF187" s="3707"/>
      <c r="AG187" s="3707"/>
      <c r="AH187" s="920">
        <f>AG187-AF187</f>
        <v>0</v>
      </c>
      <c r="AI187" s="3692"/>
      <c r="AJ187" s="3685"/>
      <c r="AK187" s="919"/>
      <c r="AL187" s="919"/>
      <c r="AM187" s="919"/>
      <c r="AN187" s="919"/>
      <c r="AO187" s="919"/>
      <c r="AP187" s="919"/>
      <c r="AQ187" s="919"/>
      <c r="AR187" s="919"/>
      <c r="AS187" s="919"/>
      <c r="AT187" s="919"/>
      <c r="AU187" s="919"/>
      <c r="AV187" s="919"/>
      <c r="AW187" s="919"/>
      <c r="AX187" s="919"/>
      <c r="AY187" s="919"/>
      <c r="AZ187" s="919"/>
      <c r="BA187" s="919"/>
      <c r="BB187" s="919"/>
      <c r="BC187" s="919"/>
      <c r="BD187" s="919"/>
      <c r="BE187" s="919"/>
      <c r="BF187" s="919"/>
      <c r="BG187" s="919"/>
      <c r="BH187" s="919"/>
      <c r="BI187" s="919"/>
      <c r="BJ187" s="919"/>
      <c r="BK187" s="919"/>
      <c r="BL187" s="919"/>
      <c r="BM187" s="919"/>
      <c r="BN187" s="3723"/>
      <c r="BO187" s="3723"/>
      <c r="BP187" s="3723"/>
      <c r="BQ187" s="1256"/>
      <c r="BR187" s="1256"/>
      <c r="BS187" s="1041" t="s">
        <v>1811</v>
      </c>
      <c r="BT187" s="1041"/>
      <c r="BU187" s="1041"/>
      <c r="BV187" s="956"/>
      <c r="BW187" s="956"/>
    </row>
    <row s="1624" customFormat="1" customHeight="1" ht="43.5">
      <c r="A188" s="1256"/>
      <c r="B188" s="955"/>
      <c r="C188" s="1256"/>
      <c r="D188" s="1256"/>
      <c r="E188" s="679">
        <v>45</v>
      </c>
      <c r="F188" s="50" cm="1" t="str">
        <f t="array" ref="F188:F188">OFFSET(E188,-1,1)</f>
        <v>1</v>
      </c>
      <c r="G188" s="1256"/>
      <c r="H188" s="344"/>
      <c r="I188" s="344" t="s">
        <v>1812</v>
      </c>
      <c r="J188" s="1256"/>
      <c r="K188" s="344" t="s">
        <v>1812</v>
      </c>
      <c r="L188" s="957" t="s">
        <v>1613</v>
      </c>
      <c r="M188" s="73" t="s">
        <v>1625</v>
      </c>
      <c r="N188" s="1256"/>
      <c r="O188" s="1256"/>
      <c r="P188" s="1256"/>
      <c r="Q188" s="124" t="s">
        <v>2058</v>
      </c>
      <c r="R188" s="127" t="s">
        <v>2058</v>
      </c>
      <c r="S188" s="1256"/>
      <c r="T188" s="438" cm="1" t="str">
        <f t="array" ref="T188:T188">T187</f>
        <v>true</v>
      </c>
      <c r="U188" s="1256"/>
      <c r="V188" s="1256"/>
      <c r="W188" s="1256"/>
      <c r="X188" s="1511"/>
      <c r="Y188" s="1256"/>
      <c r="Z188" s="1494"/>
      <c r="AA188" s="1256"/>
      <c r="AB188" s="265" t="s">
        <v>1813</v>
      </c>
      <c r="AC188" s="744" t="s">
        <v>1814</v>
      </c>
      <c r="AD188" s="266" t="s">
        <v>789</v>
      </c>
      <c r="AE188" s="3707"/>
      <c r="AF188" s="3707"/>
      <c r="AG188" s="3707"/>
      <c r="AH188" s="920">
        <f>AG188-AF188</f>
        <v>0</v>
      </c>
      <c r="AI188" s="3692"/>
      <c r="AJ188" s="3685"/>
      <c r="AK188" s="919"/>
      <c r="AL188" s="919"/>
      <c r="AM188" s="919"/>
      <c r="AN188" s="919"/>
      <c r="AO188" s="919"/>
      <c r="AP188" s="919"/>
      <c r="AQ188" s="919"/>
      <c r="AR188" s="919"/>
      <c r="AS188" s="919"/>
      <c r="AT188" s="919"/>
      <c r="AU188" s="919"/>
      <c r="AV188" s="919"/>
      <c r="AW188" s="919"/>
      <c r="AX188" s="919"/>
      <c r="AY188" s="919"/>
      <c r="AZ188" s="919"/>
      <c r="BA188" s="919"/>
      <c r="BB188" s="919"/>
      <c r="BC188" s="919"/>
      <c r="BD188" s="919"/>
      <c r="BE188" s="919"/>
      <c r="BF188" s="919"/>
      <c r="BG188" s="919"/>
      <c r="BH188" s="919"/>
      <c r="BI188" s="919"/>
      <c r="BJ188" s="919"/>
      <c r="BK188" s="919"/>
      <c r="BL188" s="919"/>
      <c r="BM188" s="919"/>
      <c r="BN188" s="3723"/>
      <c r="BO188" s="3723"/>
      <c r="BP188" s="3723"/>
      <c r="BQ188" s="1256"/>
      <c r="BR188" s="1256"/>
      <c r="BS188" s="1041" t="s">
        <v>1628</v>
      </c>
      <c r="BT188" s="1041"/>
      <c r="BU188" s="1041"/>
      <c r="BV188" s="956"/>
      <c r="BW188" s="956"/>
    </row>
    <row s="1624" customFormat="1" customHeight="1" ht="14.25">
      <c r="A189" s="1256"/>
      <c r="B189" s="955"/>
      <c r="C189" s="1256"/>
      <c r="D189" s="1256"/>
      <c r="E189" s="679">
        <v>15</v>
      </c>
      <c r="F189" s="50" cm="1" t="str">
        <f t="array" ref="F189:F189">OFFSET(E189,-1,1)</f>
        <v>1</v>
      </c>
      <c r="G189" s="1256"/>
      <c r="H189" s="344"/>
      <c r="I189" s="344" t="s">
        <v>1815</v>
      </c>
      <c r="J189" s="1256"/>
      <c r="K189" s="344" t="s">
        <v>1815</v>
      </c>
      <c r="L189" s="957" t="s">
        <v>1613</v>
      </c>
      <c r="M189" s="73" t="s">
        <v>1629</v>
      </c>
      <c r="N189" s="1256"/>
      <c r="O189" s="1256"/>
      <c r="P189" s="1256"/>
      <c r="Q189" s="124" t="s">
        <v>2058</v>
      </c>
      <c r="R189" s="127" t="s">
        <v>2058</v>
      </c>
      <c r="S189" s="1256"/>
      <c r="T189" s="438" cm="1" t="str">
        <f t="array" ref="T189:T189">T188</f>
        <v>true</v>
      </c>
      <c r="U189" s="1256"/>
      <c r="V189" s="1256"/>
      <c r="W189" s="1256"/>
      <c r="X189" s="1511"/>
      <c r="Y189" s="1256"/>
      <c r="Z189" s="1494"/>
      <c r="AA189" s="1256"/>
      <c r="AB189" s="265" t="s">
        <v>1816</v>
      </c>
      <c r="AC189" s="744" t="s">
        <v>1631</v>
      </c>
      <c r="AD189" s="266" t="s">
        <v>789</v>
      </c>
      <c r="AE189" s="3707"/>
      <c r="AF189" s="3707"/>
      <c r="AG189" s="3707"/>
      <c r="AH189" s="920">
        <f>AG189-AF189</f>
        <v>0</v>
      </c>
      <c r="AI189" s="3692"/>
      <c r="AJ189" s="3685"/>
      <c r="AK189" s="919"/>
      <c r="AL189" s="919"/>
      <c r="AM189" s="919"/>
      <c r="AN189" s="919"/>
      <c r="AO189" s="919"/>
      <c r="AP189" s="919"/>
      <c r="AQ189" s="919"/>
      <c r="AR189" s="919"/>
      <c r="AS189" s="919"/>
      <c r="AT189" s="919"/>
      <c r="AU189" s="919"/>
      <c r="AV189" s="919"/>
      <c r="AW189" s="919"/>
      <c r="AX189" s="919"/>
      <c r="AY189" s="919"/>
      <c r="AZ189" s="919"/>
      <c r="BA189" s="919"/>
      <c r="BB189" s="919"/>
      <c r="BC189" s="919"/>
      <c r="BD189" s="919"/>
      <c r="BE189" s="919"/>
      <c r="BF189" s="919"/>
      <c r="BG189" s="919"/>
      <c r="BH189" s="919"/>
      <c r="BI189" s="919"/>
      <c r="BJ189" s="919"/>
      <c r="BK189" s="919"/>
      <c r="BL189" s="919"/>
      <c r="BM189" s="919"/>
      <c r="BN189" s="3723"/>
      <c r="BO189" s="3723"/>
      <c r="BP189" s="3723"/>
      <c r="BQ189" s="1256"/>
      <c r="BR189" s="1256"/>
      <c r="BS189" s="1041" t="s">
        <v>1632</v>
      </c>
      <c r="BT189" s="1041"/>
      <c r="BU189" s="1041"/>
      <c r="BV189" s="956"/>
      <c r="BW189" s="956"/>
    </row>
    <row s="1624" customFormat="1" customHeight="1" ht="14.25">
      <c r="A190" s="1256"/>
      <c r="B190" s="955"/>
      <c r="C190" s="1256"/>
      <c r="D190" s="1256"/>
      <c r="E190" s="679">
        <v>15</v>
      </c>
      <c r="F190" s="50" cm="1" t="str">
        <f t="array" ref="F190:F190">OFFSET(E190,-1,1)</f>
        <v>1</v>
      </c>
      <c r="G190" s="1256"/>
      <c r="H190" s="344"/>
      <c r="I190" s="344" t="s">
        <v>1817</v>
      </c>
      <c r="J190" s="1256"/>
      <c r="K190" s="344" t="s">
        <v>1817</v>
      </c>
      <c r="L190" s="957"/>
      <c r="M190" s="73"/>
      <c r="N190" s="1256"/>
      <c r="O190" s="1256"/>
      <c r="P190" s="1256"/>
      <c r="Q190" s="124" t="s">
        <v>2058</v>
      </c>
      <c r="R190" s="127" t="s">
        <v>2058</v>
      </c>
      <c r="S190" s="1256"/>
      <c r="T190" s="438" cm="1" t="str">
        <f t="array" ref="T190:T190">T189</f>
        <v>true</v>
      </c>
      <c r="U190" s="1256"/>
      <c r="V190" s="1256"/>
      <c r="W190" s="1256"/>
      <c r="X190" s="1511"/>
      <c r="Y190" s="1256"/>
      <c r="Z190" s="1494"/>
      <c r="AA190" s="1256"/>
      <c r="AB190" s="265" t="s">
        <v>1818</v>
      </c>
      <c r="AC190" s="744" t="s">
        <v>1819</v>
      </c>
      <c r="AD190" s="266" t="s">
        <v>789</v>
      </c>
      <c r="AE190" s="3707"/>
      <c r="AF190" s="3707"/>
      <c r="AG190" s="3707"/>
      <c r="AH190" s="920">
        <f>AG190-AF190</f>
        <v>0</v>
      </c>
      <c r="AI190" s="3692"/>
      <c r="AJ190" s="1332"/>
      <c r="AK190" s="919"/>
      <c r="AL190" s="919"/>
      <c r="AM190" s="919"/>
      <c r="AN190" s="919"/>
      <c r="AO190" s="919"/>
      <c r="AP190" s="919"/>
      <c r="AQ190" s="919"/>
      <c r="AR190" s="919"/>
      <c r="AS190" s="919"/>
      <c r="AT190" s="919"/>
      <c r="AU190" s="919"/>
      <c r="AV190" s="919"/>
      <c r="AW190" s="919"/>
      <c r="AX190" s="919"/>
      <c r="AY190" s="919"/>
      <c r="AZ190" s="919"/>
      <c r="BA190" s="919"/>
      <c r="BB190" s="919"/>
      <c r="BC190" s="919"/>
      <c r="BD190" s="919"/>
      <c r="BE190" s="919"/>
      <c r="BF190" s="919"/>
      <c r="BG190" s="919"/>
      <c r="BH190" s="919"/>
      <c r="BI190" s="919"/>
      <c r="BJ190" s="919"/>
      <c r="BK190" s="919"/>
      <c r="BL190" s="919"/>
      <c r="BM190" s="919"/>
      <c r="BN190" s="3723"/>
      <c r="BO190" s="3723"/>
      <c r="BP190" s="3723"/>
      <c r="BQ190" s="1256"/>
      <c r="BR190" s="1256"/>
      <c r="BS190" s="1041" t="s">
        <v>1616</v>
      </c>
      <c r="BT190" s="1041"/>
      <c r="BU190" s="1041"/>
      <c r="BV190" s="956"/>
      <c r="BW190" s="956"/>
    </row>
    <row s="3726" customFormat="1" customHeight="1" ht="20.25">
      <c r="A191" s="676"/>
      <c r="B191" s="407"/>
      <c r="C191" s="676"/>
      <c r="D191" s="676"/>
      <c r="E191" s="683">
        <v>21</v>
      </c>
      <c r="F191" s="50" cm="1" t="str">
        <f t="array" ref="F191:F191">OFFSET(E191,-1,1)</f>
        <v>1</v>
      </c>
      <c r="G191" s="676"/>
      <c r="H191" s="344"/>
      <c r="I191" s="344" t="s">
        <v>441</v>
      </c>
      <c r="J191" s="676"/>
      <c r="K191" s="344" t="s">
        <v>441</v>
      </c>
      <c r="L191" s="962"/>
      <c r="M191" s="75"/>
      <c r="N191" s="676"/>
      <c r="O191" s="676"/>
      <c r="P191" s="676"/>
      <c r="Q191" s="124" t="s">
        <v>2058</v>
      </c>
      <c r="R191" s="127" t="s">
        <v>2058</v>
      </c>
      <c r="S191" s="676"/>
      <c r="T191" s="438" cm="1" t="str">
        <f t="array" ref="T191:T191">T190</f>
        <v>true</v>
      </c>
      <c r="U191" s="676"/>
      <c r="V191" s="676"/>
      <c r="W191" s="676"/>
      <c r="X191" s="1511"/>
      <c r="Y191" s="676"/>
      <c r="Z191" s="1494"/>
      <c r="AA191" s="676"/>
      <c r="AB191" s="184" t="s">
        <v>850</v>
      </c>
      <c r="AC191" s="327" t="s">
        <v>1636</v>
      </c>
      <c r="AD191" s="177" t="s">
        <v>789</v>
      </c>
      <c r="AE191" s="746">
        <f>AE192+AE193+AE194</f>
        <v>0</v>
      </c>
      <c r="AF191" s="746">
        <f>AF192+AF193+AF194</f>
        <v>0</v>
      </c>
      <c r="AG191" s="746">
        <f>AG192+AG193+AG194</f>
        <v>0</v>
      </c>
      <c r="AH191" s="737">
        <f>AG191-AF191</f>
        <v>0</v>
      </c>
      <c r="AI191" s="3698">
        <f>AI192+AI193+AI194</f>
        <v>0</v>
      </c>
      <c r="AJ191" s="3685"/>
      <c r="AK191" s="740"/>
      <c r="AL191" s="740"/>
      <c r="AM191" s="740"/>
      <c r="AN191" s="740"/>
      <c r="AO191" s="740"/>
      <c r="AP191" s="740"/>
      <c r="AQ191" s="740"/>
      <c r="AR191" s="740"/>
      <c r="AS191" s="740"/>
      <c r="AT191" s="740"/>
      <c r="AU191" s="740"/>
      <c r="AV191" s="740"/>
      <c r="AW191" s="740"/>
      <c r="AX191" s="740"/>
      <c r="AY191" s="740"/>
      <c r="AZ191" s="740"/>
      <c r="BA191" s="740"/>
      <c r="BB191" s="740"/>
      <c r="BC191" s="740"/>
      <c r="BD191" s="740"/>
      <c r="BE191" s="740"/>
      <c r="BF191" s="740"/>
      <c r="BG191" s="740"/>
      <c r="BH191" s="740"/>
      <c r="BI191" s="740"/>
      <c r="BJ191" s="740"/>
      <c r="BK191" s="740"/>
      <c r="BL191" s="740"/>
      <c r="BM191" s="740"/>
      <c r="BN191" s="3724"/>
      <c r="BO191" s="3724"/>
      <c r="BP191" s="3724"/>
      <c r="BQ191" s="676"/>
      <c r="BR191" s="676"/>
      <c r="BS191" s="1040" t="s">
        <v>1637</v>
      </c>
      <c r="BT191" s="1047"/>
      <c r="BU191" s="1047"/>
      <c r="BV191" s="683"/>
      <c r="BW191" s="683"/>
    </row>
    <row s="1624" customFormat="1" customHeight="1" ht="21.75">
      <c r="A192" s="1256"/>
      <c r="B192" s="955"/>
      <c r="C192" s="1256"/>
      <c r="D192" s="1256"/>
      <c r="E192" s="679">
        <v>22.5</v>
      </c>
      <c r="F192" s="50" cm="1" t="str">
        <f t="array" ref="F192:F192">OFFSET(E192,-1,1)</f>
        <v>1</v>
      </c>
      <c r="G192" s="1256"/>
      <c r="H192" s="344"/>
      <c r="I192" s="344" t="s">
        <v>1221</v>
      </c>
      <c r="J192" s="1256"/>
      <c r="K192" s="344" t="s">
        <v>1221</v>
      </c>
      <c r="L192" s="957"/>
      <c r="M192" s="73"/>
      <c r="N192" s="1256"/>
      <c r="O192" s="1256"/>
      <c r="P192" s="1256"/>
      <c r="Q192" s="124" t="s">
        <v>2058</v>
      </c>
      <c r="R192" s="127" t="s">
        <v>2058</v>
      </c>
      <c r="S192" s="1256"/>
      <c r="T192" s="438" cm="1" t="str">
        <f t="array" ref="T192:T192">T191</f>
        <v>true</v>
      </c>
      <c r="U192" s="1256"/>
      <c r="V192" s="1256"/>
      <c r="W192" s="1256"/>
      <c r="X192" s="1511"/>
      <c r="Y192" s="1256"/>
      <c r="Z192" s="1494"/>
      <c r="AA192" s="1256"/>
      <c r="AB192" s="265" t="s">
        <v>1222</v>
      </c>
      <c r="AC192" s="741" t="s">
        <v>1820</v>
      </c>
      <c r="AD192" s="266" t="s">
        <v>789</v>
      </c>
      <c r="AE192" s="3707"/>
      <c r="AF192" s="3707"/>
      <c r="AG192" s="3707"/>
      <c r="AH192" s="920">
        <f>AG192-AF192</f>
        <v>0</v>
      </c>
      <c r="AI192" s="3692"/>
      <c r="AJ192" s="3685"/>
      <c r="AK192" s="919"/>
      <c r="AL192" s="919"/>
      <c r="AM192" s="919"/>
      <c r="AN192" s="919"/>
      <c r="AO192" s="919"/>
      <c r="AP192" s="919"/>
      <c r="AQ192" s="919"/>
      <c r="AR192" s="919"/>
      <c r="AS192" s="919"/>
      <c r="AT192" s="919"/>
      <c r="AU192" s="919"/>
      <c r="AV192" s="919"/>
      <c r="AW192" s="919"/>
      <c r="AX192" s="919"/>
      <c r="AY192" s="919"/>
      <c r="AZ192" s="919"/>
      <c r="BA192" s="919"/>
      <c r="BB192" s="919"/>
      <c r="BC192" s="919"/>
      <c r="BD192" s="919"/>
      <c r="BE192" s="919"/>
      <c r="BF192" s="919"/>
      <c r="BG192" s="919"/>
      <c r="BH192" s="919"/>
      <c r="BI192" s="919"/>
      <c r="BJ192" s="919"/>
      <c r="BK192" s="919"/>
      <c r="BL192" s="919"/>
      <c r="BM192" s="919"/>
      <c r="BN192" s="3723"/>
      <c r="BO192" s="3723"/>
      <c r="BP192" s="3723"/>
      <c r="BQ192" s="1256"/>
      <c r="BR192" s="1256"/>
      <c r="BS192" s="1039" t="s">
        <v>1639</v>
      </c>
      <c r="BT192" s="1041"/>
      <c r="BU192" s="1041"/>
      <c r="BV192" s="956"/>
      <c r="BW192" s="956"/>
    </row>
    <row s="1624" customFormat="1" customHeight="1" ht="21.75">
      <c r="A193" s="1256"/>
      <c r="B193" s="955"/>
      <c r="C193" s="1256"/>
      <c r="D193" s="1256"/>
      <c r="E193" s="679">
        <v>22.5</v>
      </c>
      <c r="F193" s="50" cm="1" t="str">
        <f t="array" ref="F193:F193">OFFSET(E193,-1,1)</f>
        <v>1</v>
      </c>
      <c r="G193" s="1256"/>
      <c r="H193" s="344"/>
      <c r="I193" s="344" t="s">
        <v>1225</v>
      </c>
      <c r="J193" s="1256"/>
      <c r="K193" s="344" t="s">
        <v>1225</v>
      </c>
      <c r="L193" s="957"/>
      <c r="M193" s="73"/>
      <c r="N193" s="1256"/>
      <c r="O193" s="1256"/>
      <c r="P193" s="1256"/>
      <c r="Q193" s="124" t="s">
        <v>2058</v>
      </c>
      <c r="R193" s="127" t="s">
        <v>2058</v>
      </c>
      <c r="S193" s="1256"/>
      <c r="T193" s="438" cm="1" t="str">
        <f t="array" ref="T193:T193">T192</f>
        <v>true</v>
      </c>
      <c r="U193" s="1256"/>
      <c r="V193" s="1256"/>
      <c r="W193" s="1256"/>
      <c r="X193" s="1511"/>
      <c r="Y193" s="1256"/>
      <c r="Z193" s="1494"/>
      <c r="AA193" s="1256"/>
      <c r="AB193" s="265" t="s">
        <v>1226</v>
      </c>
      <c r="AC193" s="741" t="s">
        <v>1821</v>
      </c>
      <c r="AD193" s="266" t="s">
        <v>789</v>
      </c>
      <c r="AE193" s="3707"/>
      <c r="AF193" s="3707"/>
      <c r="AG193" s="3707"/>
      <c r="AH193" s="920">
        <f>AG193-AF193</f>
        <v>0</v>
      </c>
      <c r="AI193" s="3692"/>
      <c r="AJ193" s="3685"/>
      <c r="AK193" s="919"/>
      <c r="AL193" s="919"/>
      <c r="AM193" s="919"/>
      <c r="AN193" s="919"/>
      <c r="AO193" s="919"/>
      <c r="AP193" s="919"/>
      <c r="AQ193" s="919"/>
      <c r="AR193" s="919"/>
      <c r="AS193" s="919"/>
      <c r="AT193" s="919"/>
      <c r="AU193" s="919"/>
      <c r="AV193" s="919"/>
      <c r="AW193" s="919"/>
      <c r="AX193" s="919"/>
      <c r="AY193" s="919"/>
      <c r="AZ193" s="919"/>
      <c r="BA193" s="919"/>
      <c r="BB193" s="919"/>
      <c r="BC193" s="919"/>
      <c r="BD193" s="919"/>
      <c r="BE193" s="919"/>
      <c r="BF193" s="919"/>
      <c r="BG193" s="919"/>
      <c r="BH193" s="919"/>
      <c r="BI193" s="919"/>
      <c r="BJ193" s="919"/>
      <c r="BK193" s="919"/>
      <c r="BL193" s="919"/>
      <c r="BM193" s="919"/>
      <c r="BN193" s="3723"/>
      <c r="BO193" s="3723"/>
      <c r="BP193" s="3723"/>
      <c r="BQ193" s="1256"/>
      <c r="BR193" s="1256"/>
      <c r="BS193" s="1041" t="s">
        <v>1822</v>
      </c>
      <c r="BT193" s="1041"/>
      <c r="BU193" s="1041"/>
      <c r="BV193" s="956"/>
      <c r="BW193" s="956"/>
    </row>
    <row s="1624" customFormat="1" customHeight="1" ht="21.75">
      <c r="A194" s="1256"/>
      <c r="B194" s="955"/>
      <c r="C194" s="1256"/>
      <c r="D194" s="1256"/>
      <c r="E194" s="679">
        <v>22.5</v>
      </c>
      <c r="F194" s="50" cm="1" t="str">
        <f t="array" ref="F194:F194">OFFSET(E194,-1,1)</f>
        <v>1</v>
      </c>
      <c r="G194" s="1256"/>
      <c r="H194" s="344"/>
      <c r="I194" s="344" t="s">
        <v>1229</v>
      </c>
      <c r="J194" s="1256"/>
      <c r="K194" s="344" t="s">
        <v>1229</v>
      </c>
      <c r="L194" s="957" t="s">
        <v>455</v>
      </c>
      <c r="M194" s="73"/>
      <c r="N194" s="1256"/>
      <c r="O194" s="1256"/>
      <c r="P194" s="1256"/>
      <c r="Q194" s="124" t="s">
        <v>2058</v>
      </c>
      <c r="R194" s="127" t="s">
        <v>2058</v>
      </c>
      <c r="S194" s="1256"/>
      <c r="T194" s="438" cm="1" t="str">
        <f t="array" ref="T194:T194">T193</f>
        <v>true</v>
      </c>
      <c r="U194" s="1256"/>
      <c r="V194" s="1256"/>
      <c r="W194" s="1256"/>
      <c r="X194" s="1511"/>
      <c r="Y194" s="1256"/>
      <c r="Z194" s="1494"/>
      <c r="AA194" s="1256"/>
      <c r="AB194" s="265" t="s">
        <v>1230</v>
      </c>
      <c r="AC194" s="741" t="s">
        <v>1823</v>
      </c>
      <c r="AD194" s="266" t="s">
        <v>789</v>
      </c>
      <c r="AE194" s="3707"/>
      <c r="AF194" s="3707"/>
      <c r="AG194" s="3707"/>
      <c r="AH194" s="920">
        <f>AG194-AF194</f>
        <v>0</v>
      </c>
      <c r="AI194" s="3692"/>
      <c r="AJ194" s="3685"/>
      <c r="AK194" s="919"/>
      <c r="AL194" s="919"/>
      <c r="AM194" s="919"/>
      <c r="AN194" s="919"/>
      <c r="AO194" s="919"/>
      <c r="AP194" s="919"/>
      <c r="AQ194" s="919"/>
      <c r="AR194" s="919"/>
      <c r="AS194" s="919"/>
      <c r="AT194" s="919"/>
      <c r="AU194" s="919"/>
      <c r="AV194" s="919"/>
      <c r="AW194" s="919"/>
      <c r="AX194" s="919"/>
      <c r="AY194" s="919"/>
      <c r="AZ194" s="919"/>
      <c r="BA194" s="919"/>
      <c r="BB194" s="919"/>
      <c r="BC194" s="919"/>
      <c r="BD194" s="919"/>
      <c r="BE194" s="919"/>
      <c r="BF194" s="919"/>
      <c r="BG194" s="919"/>
      <c r="BH194" s="919"/>
      <c r="BI194" s="919"/>
      <c r="BJ194" s="919"/>
      <c r="BK194" s="919"/>
      <c r="BL194" s="919"/>
      <c r="BM194" s="919"/>
      <c r="BN194" s="3723"/>
      <c r="BO194" s="3723"/>
      <c r="BP194" s="3723"/>
      <c r="BQ194" s="1256"/>
      <c r="BR194" s="1256"/>
      <c r="BS194" s="1039" t="s">
        <v>1641</v>
      </c>
      <c r="BT194" s="1041"/>
      <c r="BU194" s="1041"/>
      <c r="BV194" s="956"/>
      <c r="BW194" s="956"/>
    </row>
    <row s="1624" customFormat="1" customHeight="1" ht="14.25">
      <c r="A195" s="1256"/>
      <c r="B195" s="955"/>
      <c r="C195" s="1256"/>
      <c r="D195" s="1256"/>
      <c r="E195" s="679">
        <v>15</v>
      </c>
      <c r="F195" s="50" cm="1" t="str">
        <f t="array" ref="F195:F195">OFFSET(E195,-1,1)</f>
        <v>1</v>
      </c>
      <c r="G195" s="49" t="s">
        <v>1048</v>
      </c>
      <c r="H195" s="344"/>
      <c r="I195" s="344" t="s">
        <v>1824</v>
      </c>
      <c r="J195" s="1256"/>
      <c r="K195" s="344" t="s">
        <v>1824</v>
      </c>
      <c r="L195" s="957" t="s">
        <v>1642</v>
      </c>
      <c r="M195" s="73"/>
      <c r="N195" s="1256"/>
      <c r="O195" s="1256"/>
      <c r="P195" s="1256"/>
      <c r="Q195" s="124" t="s">
        <v>2058</v>
      </c>
      <c r="R195" s="127" t="s">
        <v>2058</v>
      </c>
      <c r="S195" s="1256"/>
      <c r="T195" s="438" cm="1" t="str">
        <f t="array" ref="T195:T195">T194</f>
        <v>true</v>
      </c>
      <c r="U195" s="1256"/>
      <c r="V195" s="1256"/>
      <c r="W195" s="1256"/>
      <c r="X195" s="1511"/>
      <c r="Y195" s="1256"/>
      <c r="Z195" s="1494"/>
      <c r="AA195" s="1256"/>
      <c r="AB195" s="265" t="s">
        <v>1825</v>
      </c>
      <c r="AC195" s="744" t="s">
        <v>1643</v>
      </c>
      <c r="AD195" s="266" t="s">
        <v>789</v>
      </c>
      <c r="AE195" s="3707"/>
      <c r="AF195" s="3707"/>
      <c r="AG195" s="3707"/>
      <c r="AH195" s="920">
        <f>AG195-AF195</f>
        <v>0</v>
      </c>
      <c r="AI195" s="3692"/>
      <c r="AJ195" s="3685"/>
      <c r="AK195" s="919"/>
      <c r="AL195" s="919"/>
      <c r="AM195" s="919"/>
      <c r="AN195" s="919"/>
      <c r="AO195" s="919"/>
      <c r="AP195" s="919"/>
      <c r="AQ195" s="919"/>
      <c r="AR195" s="919"/>
      <c r="AS195" s="919"/>
      <c r="AT195" s="919"/>
      <c r="AU195" s="919"/>
      <c r="AV195" s="919"/>
      <c r="AW195" s="919"/>
      <c r="AX195" s="919"/>
      <c r="AY195" s="919"/>
      <c r="AZ195" s="919"/>
      <c r="BA195" s="919"/>
      <c r="BB195" s="919"/>
      <c r="BC195" s="919"/>
      <c r="BD195" s="919"/>
      <c r="BE195" s="919"/>
      <c r="BF195" s="919"/>
      <c r="BG195" s="919"/>
      <c r="BH195" s="919"/>
      <c r="BI195" s="919"/>
      <c r="BJ195" s="919"/>
      <c r="BK195" s="919"/>
      <c r="BL195" s="919"/>
      <c r="BM195" s="919"/>
      <c r="BN195" s="3723"/>
      <c r="BO195" s="3725" t="str">
        <f>IF(_xlfn.IFERROR(INDEX(ФОТ!$K$26:$L$77,MATCH($F195&amp;"3komm",ФОТ!$K$26:$K$77,0),2),"")=0,"",_xlfn.IFERROR(INDEX(ФОТ!$K$26:$L$77,MATCH($F195&amp;"3komm",ФОТ!$K$26:$K$77,0),2),""))</f>
        <v/>
      </c>
      <c r="BP195" s="3723"/>
      <c r="BQ195" s="1256"/>
      <c r="BR195" s="1256"/>
      <c r="BS195" s="1039" t="s">
        <v>1644</v>
      </c>
      <c r="BT195" s="1041"/>
      <c r="BU195" s="1041"/>
      <c r="BV195" s="956"/>
      <c r="BW195" s="956"/>
    </row>
    <row s="1624" customFormat="1" customHeight="1" ht="21.75">
      <c r="A196" s="1256"/>
      <c r="B196" s="955"/>
      <c r="C196" s="1256"/>
      <c r="D196" s="1256"/>
      <c r="E196" s="679">
        <v>22.5</v>
      </c>
      <c r="F196" s="50" cm="1" t="str">
        <f t="array" ref="F196:F196">OFFSET(E196,-1,1)</f>
        <v>1</v>
      </c>
      <c r="G196" s="49" t="s">
        <v>1053</v>
      </c>
      <c r="H196" s="344"/>
      <c r="I196" s="344" t="s">
        <v>1826</v>
      </c>
      <c r="J196" s="1256"/>
      <c r="K196" s="344" t="s">
        <v>1826</v>
      </c>
      <c r="L196" s="957" t="s">
        <v>1645</v>
      </c>
      <c r="M196" s="73"/>
      <c r="N196" s="1256"/>
      <c r="O196" s="1256"/>
      <c r="P196" s="1256"/>
      <c r="Q196" s="124" t="s">
        <v>2058</v>
      </c>
      <c r="R196" s="127" t="s">
        <v>2058</v>
      </c>
      <c r="S196" s="1256"/>
      <c r="T196" s="438" cm="1" t="str">
        <f t="array" ref="T196:T196">T195</f>
        <v>true</v>
      </c>
      <c r="U196" s="1256"/>
      <c r="V196" s="1256"/>
      <c r="W196" s="1256"/>
      <c r="X196" s="1511"/>
      <c r="Y196" s="1256"/>
      <c r="Z196" s="1494"/>
      <c r="AA196" s="1256"/>
      <c r="AB196" s="265" t="s">
        <v>1827</v>
      </c>
      <c r="AC196" s="744" t="s">
        <v>1828</v>
      </c>
      <c r="AD196" s="266" t="s">
        <v>789</v>
      </c>
      <c r="AE196" s="3707">
        <f>AE195*_xlfn.SUMIFS(INDEX(Сценарии!$AE$25:$BF$82,,MATCH(AE$8,Сценарии!$AE$8:$BF$8,0)),Сценарии!$F$25:$F$82,$F196,Сценарии!$G$25:$G$82,"СВФОТ")/100</f>
        <v>0</v>
      </c>
      <c r="AF196" s="3707">
        <f>AF195*_xlfn.SUMIFS(INDEX(Сценарии!$AE$25:$BF$82,,MATCH(AF$8,Сценарии!$AE$8:$BF$8,0)),Сценарии!$F$25:$F$82,$F196,Сценарии!$G$25:$G$82,"СВФОТ")/100</f>
        <v>0</v>
      </c>
      <c r="AG196" s="3707">
        <f>AG195*_xlfn.SUMIFS(INDEX(Сценарии!$AE$25:$BF$82,,MATCH(AG$8,Сценарии!$AE$8:$BF$8,0)),Сценарии!$F$25:$F$82,$F196,Сценарии!$G$25:$G$82,"СВФОТ")/100</f>
        <v>0</v>
      </c>
      <c r="AH196" s="920">
        <f>AG196-AF196</f>
        <v>0</v>
      </c>
      <c r="AI196" s="3692">
        <f>AI195*_xlfn.SUMIFS(INDEX(Сценарии!$AE$25:$BF$82,,MATCH(AG$8,Сценарии!$AE$8:$BF$8,0)),Сценарии!$F$25:$F$82,$F196,Сценарии!$G$25:$G$82,"СВФОТ")/100</f>
        <v>0</v>
      </c>
      <c r="AJ196" s="3685"/>
      <c r="AK196" s="919"/>
      <c r="AL196" s="919"/>
      <c r="AM196" s="919"/>
      <c r="AN196" s="919"/>
      <c r="AO196" s="919"/>
      <c r="AP196" s="919"/>
      <c r="AQ196" s="919"/>
      <c r="AR196" s="919"/>
      <c r="AS196" s="919"/>
      <c r="AT196" s="919"/>
      <c r="AU196" s="919"/>
      <c r="AV196" s="919"/>
      <c r="AW196" s="919"/>
      <c r="AX196" s="919"/>
      <c r="AY196" s="919"/>
      <c r="AZ196" s="919"/>
      <c r="BA196" s="919"/>
      <c r="BB196" s="919"/>
      <c r="BC196" s="919"/>
      <c r="BD196" s="919"/>
      <c r="BE196" s="919"/>
      <c r="BF196" s="919"/>
      <c r="BG196" s="919"/>
      <c r="BH196" s="919"/>
      <c r="BI196" s="919"/>
      <c r="BJ196" s="919"/>
      <c r="BK196" s="919"/>
      <c r="BL196" s="919"/>
      <c r="BM196" s="919"/>
      <c r="BN196" s="3723"/>
      <c r="BO196" s="3725" t="str">
        <f>IF(_xlfn.IFERROR(INDEX(ФОТ!$K$26:$L$77,MATCH($F196&amp;"4komm",ФОТ!$K$26:$K$77,0),2),"")=0,"",_xlfn.IFERROR(INDEX(ФОТ!$K$26:$L$77,MATCH($F196&amp;"4komm",ФОТ!$K$26:$K$77,0),2),""))</f>
        <v/>
      </c>
      <c r="BP196" s="3723"/>
      <c r="BQ196" s="1256"/>
      <c r="BR196" s="1256"/>
      <c r="BS196" s="1039" t="s">
        <v>1647</v>
      </c>
      <c r="BT196" s="1041"/>
      <c r="BU196" s="1041"/>
      <c r="BV196" s="956"/>
      <c r="BW196" s="956"/>
    </row>
    <row s="3727" customFormat="1" customHeight="1" ht="20.25">
      <c r="A197" s="676"/>
      <c r="B197" s="407"/>
      <c r="C197" s="676"/>
      <c r="D197" s="676"/>
      <c r="E197" s="683">
        <v>21</v>
      </c>
      <c r="F197" s="50" cm="1" t="str">
        <f t="array" ref="F197:F197">OFFSET(E197,-1,1)</f>
        <v>1</v>
      </c>
      <c r="G197" s="676"/>
      <c r="H197" s="344"/>
      <c r="I197" s="344" t="s">
        <v>445</v>
      </c>
      <c r="J197" s="676"/>
      <c r="K197" s="344" t="s">
        <v>445</v>
      </c>
      <c r="L197" s="962" t="s">
        <v>323</v>
      </c>
      <c r="M197" s="75"/>
      <c r="N197" s="676"/>
      <c r="O197" s="676"/>
      <c r="P197" s="676"/>
      <c r="Q197" s="124" t="s">
        <v>2058</v>
      </c>
      <c r="R197" s="127" t="s">
        <v>2058</v>
      </c>
      <c r="S197" s="676"/>
      <c r="T197" s="438" cm="1" t="str">
        <f t="array" ref="T197:T197">T196</f>
        <v>true</v>
      </c>
      <c r="U197" s="676"/>
      <c r="V197" s="676"/>
      <c r="W197" s="676"/>
      <c r="X197" s="1511"/>
      <c r="Y197" s="676"/>
      <c r="Z197" s="1494"/>
      <c r="AA197" s="676"/>
      <c r="AB197" s="184" t="s">
        <v>853</v>
      </c>
      <c r="AC197" s="327" t="s">
        <v>1829</v>
      </c>
      <c r="AD197" s="177" t="s">
        <v>789</v>
      </c>
      <c r="AE197" s="746">
        <f>AE198+AE206+AE209+AE210+AE211+AE212+AE213</f>
        <v>0</v>
      </c>
      <c r="AF197" s="746">
        <f>AF198+AF206+AF209+AF210+AF211+AF212+AF213</f>
        <v>0</v>
      </c>
      <c r="AG197" s="746">
        <f>AG198+AG206+AG209+AG210+AG211+AG212+AG213</f>
        <v>0</v>
      </c>
      <c r="AH197" s="737">
        <f>AG197-AF197</f>
        <v>0</v>
      </c>
      <c r="AI197" s="3698">
        <f>AI198+AI206+AI209+AI210+AI211+AI212+AI213</f>
        <v>0</v>
      </c>
      <c r="AJ197" s="3685"/>
      <c r="AK197" s="740"/>
      <c r="AL197" s="740"/>
      <c r="AM197" s="740"/>
      <c r="AN197" s="740"/>
      <c r="AO197" s="740"/>
      <c r="AP197" s="740"/>
      <c r="AQ197" s="740"/>
      <c r="AR197" s="740"/>
      <c r="AS197" s="740"/>
      <c r="AT197" s="740"/>
      <c r="AU197" s="740"/>
      <c r="AV197" s="740"/>
      <c r="AW197" s="740"/>
      <c r="AX197" s="740"/>
      <c r="AY197" s="740"/>
      <c r="AZ197" s="740"/>
      <c r="BA197" s="740"/>
      <c r="BB197" s="740"/>
      <c r="BC197" s="740"/>
      <c r="BD197" s="740"/>
      <c r="BE197" s="740"/>
      <c r="BF197" s="740"/>
      <c r="BG197" s="740"/>
      <c r="BH197" s="740"/>
      <c r="BI197" s="740"/>
      <c r="BJ197" s="740"/>
      <c r="BK197" s="740"/>
      <c r="BL197" s="740"/>
      <c r="BM197" s="740"/>
      <c r="BN197" s="3724"/>
      <c r="BO197" s="3724"/>
      <c r="BP197" s="3724"/>
      <c r="BQ197" s="676"/>
      <c r="BR197" s="676"/>
      <c r="BS197" s="1040" t="s">
        <v>1649</v>
      </c>
      <c r="BT197" s="1047"/>
      <c r="BU197" s="1047"/>
      <c r="BV197" s="683"/>
      <c r="BW197" s="683"/>
    </row>
    <row s="1624" customFormat="1" customHeight="1" ht="21.75">
      <c r="A198" s="1256"/>
      <c r="B198" s="955"/>
      <c r="C198" s="1256"/>
      <c r="D198" s="1256"/>
      <c r="E198" s="679">
        <v>22.5</v>
      </c>
      <c r="F198" s="50" cm="1" t="str">
        <f t="array" ref="F198:F198">OFFSET(E198,-1,1)</f>
        <v>1</v>
      </c>
      <c r="G198" s="124" t="s">
        <v>1074</v>
      </c>
      <c r="H198" s="344"/>
      <c r="I198" s="344" t="s">
        <v>1235</v>
      </c>
      <c r="J198" s="1256"/>
      <c r="K198" s="344" t="s">
        <v>1235</v>
      </c>
      <c r="L198" s="957" t="s">
        <v>874</v>
      </c>
      <c r="M198" s="73"/>
      <c r="N198" s="1256"/>
      <c r="O198" s="1256"/>
      <c r="P198" s="1256"/>
      <c r="Q198" s="124" t="s">
        <v>2058</v>
      </c>
      <c r="R198" s="127" t="s">
        <v>2058</v>
      </c>
      <c r="S198" s="1256"/>
      <c r="T198" s="438" cm="1" t="str">
        <f t="array" ref="T198:T198">T197</f>
        <v>true</v>
      </c>
      <c r="U198" s="1256"/>
      <c r="V198" s="1256"/>
      <c r="W198" s="1256"/>
      <c r="X198" s="1511"/>
      <c r="Y198" s="1256"/>
      <c r="Z198" s="1494"/>
      <c r="AA198" s="1256"/>
      <c r="AB198" s="265" t="s">
        <v>964</v>
      </c>
      <c r="AC198" s="741" t="s">
        <v>1830</v>
      </c>
      <c r="AD198" s="266" t="s">
        <v>789</v>
      </c>
      <c r="AE198" s="921">
        <f>SUM(AE199:AE205)</f>
        <v>0</v>
      </c>
      <c r="AF198" s="921">
        <f>SUM(AF199:AF205)</f>
        <v>0</v>
      </c>
      <c r="AG198" s="921">
        <f>SUM(AG199:AG205)</f>
        <v>0</v>
      </c>
      <c r="AH198" s="920">
        <f>AG198-AF198</f>
        <v>0</v>
      </c>
      <c r="AI198" s="3694">
        <f>SUM(AI199:AI205)</f>
        <v>0</v>
      </c>
      <c r="AJ198" s="3685"/>
      <c r="AK198" s="919"/>
      <c r="AL198" s="919"/>
      <c r="AM198" s="919"/>
      <c r="AN198" s="919"/>
      <c r="AO198" s="919"/>
      <c r="AP198" s="919"/>
      <c r="AQ198" s="919"/>
      <c r="AR198" s="919"/>
      <c r="AS198" s="919"/>
      <c r="AT198" s="919"/>
      <c r="AU198" s="919"/>
      <c r="AV198" s="919"/>
      <c r="AW198" s="919"/>
      <c r="AX198" s="919"/>
      <c r="AY198" s="919"/>
      <c r="AZ198" s="919"/>
      <c r="BA198" s="919"/>
      <c r="BB198" s="919"/>
      <c r="BC198" s="919"/>
      <c r="BD198" s="919"/>
      <c r="BE198" s="919"/>
      <c r="BF198" s="919"/>
      <c r="BG198" s="919"/>
      <c r="BH198" s="919"/>
      <c r="BI198" s="919"/>
      <c r="BJ198" s="919"/>
      <c r="BK198" s="919"/>
      <c r="BL198" s="919"/>
      <c r="BM198" s="919"/>
      <c r="BN198" s="3723"/>
      <c r="BO198" s="3725" t="str">
        <f>IF(_xlfn.IFERROR(INDEX(Административные!$K$26:$L$65,MATCH($F198&amp;"17komm",Административные!$K$26:$K$65,0),2),"")=0,"",_xlfn.IFERROR(INDEX(Административные!$K$26:$L$65,MATCH($F198&amp;"17komm",Административные!$K$26:$K$65,0),2),""))</f>
        <v/>
      </c>
      <c r="BP198" s="3723"/>
      <c r="BQ198" s="1256"/>
      <c r="BR198" s="1256"/>
      <c r="BS198" s="1039" t="s">
        <v>1076</v>
      </c>
      <c r="BT198" s="1041"/>
      <c r="BU198" s="1041"/>
      <c r="BV198" s="956"/>
      <c r="BW198" s="956"/>
    </row>
    <row s="1624" customFormat="1" customHeight="1" ht="14.25">
      <c r="A199" s="1256"/>
      <c r="B199" s="955"/>
      <c r="C199" s="1256"/>
      <c r="D199" s="1256"/>
      <c r="E199" s="679">
        <v>15</v>
      </c>
      <c r="F199" s="50" cm="1" t="str">
        <f t="array" ref="F199:F199">OFFSET(E199,-1,1)</f>
        <v>1</v>
      </c>
      <c r="G199" s="124" t="s">
        <v>1077</v>
      </c>
      <c r="H199" s="344"/>
      <c r="I199" s="344" t="s">
        <v>1831</v>
      </c>
      <c r="J199" s="1256"/>
      <c r="K199" s="344" t="s">
        <v>1831</v>
      </c>
      <c r="L199" s="957"/>
      <c r="M199" s="73"/>
      <c r="N199" s="1256"/>
      <c r="O199" s="1256"/>
      <c r="P199" s="1256"/>
      <c r="Q199" s="124" t="s">
        <v>2058</v>
      </c>
      <c r="R199" s="127" t="s">
        <v>2058</v>
      </c>
      <c r="S199" s="1256"/>
      <c r="T199" s="438" cm="1" t="str">
        <f t="array" ref="T199:T199">T198</f>
        <v>true</v>
      </c>
      <c r="U199" s="1256"/>
      <c r="V199" s="1256"/>
      <c r="W199" s="1256"/>
      <c r="X199" s="1511"/>
      <c r="Y199" s="1256"/>
      <c r="Z199" s="1494"/>
      <c r="AA199" s="1256"/>
      <c r="AB199" s="265" t="s">
        <v>1832</v>
      </c>
      <c r="AC199" s="744" t="s">
        <v>1078</v>
      </c>
      <c r="AD199" s="266" t="s">
        <v>789</v>
      </c>
      <c r="AE199" s="3707"/>
      <c r="AF199" s="3707"/>
      <c r="AG199" s="3707"/>
      <c r="AH199" s="920">
        <f>AG199-AF199</f>
        <v>0</v>
      </c>
      <c r="AI199" s="3692"/>
      <c r="AJ199" s="3685"/>
      <c r="AK199" s="919"/>
      <c r="AL199" s="919"/>
      <c r="AM199" s="919"/>
      <c r="AN199" s="919"/>
      <c r="AO199" s="919"/>
      <c r="AP199" s="919"/>
      <c r="AQ199" s="919"/>
      <c r="AR199" s="919"/>
      <c r="AS199" s="919"/>
      <c r="AT199" s="919"/>
      <c r="AU199" s="919"/>
      <c r="AV199" s="919"/>
      <c r="AW199" s="919"/>
      <c r="AX199" s="919"/>
      <c r="AY199" s="919"/>
      <c r="AZ199" s="919"/>
      <c r="BA199" s="919"/>
      <c r="BB199" s="919"/>
      <c r="BC199" s="919"/>
      <c r="BD199" s="919"/>
      <c r="BE199" s="919"/>
      <c r="BF199" s="919"/>
      <c r="BG199" s="919"/>
      <c r="BH199" s="919"/>
      <c r="BI199" s="919"/>
      <c r="BJ199" s="919"/>
      <c r="BK199" s="919"/>
      <c r="BL199" s="919"/>
      <c r="BM199" s="919"/>
      <c r="BN199" s="3723"/>
      <c r="BO199" s="3725" t="str">
        <f>IF(_xlfn.IFERROR(INDEX(Административные!$K$26:$L$65,MATCH($F199&amp;"18komm",Административные!$K$26:$K$65,0),2),"")=0,"",_xlfn.IFERROR(INDEX(Административные!$K$26:$L$65,MATCH($F199&amp;"18komm",Административные!$K$26:$K$65,0),2),""))</f>
        <v/>
      </c>
      <c r="BP199" s="3723"/>
      <c r="BQ199" s="1256"/>
      <c r="BR199" s="1256"/>
      <c r="BS199" s="1041" t="s">
        <v>1079</v>
      </c>
      <c r="BT199" s="1041"/>
      <c r="BU199" s="1041"/>
      <c r="BV199" s="956"/>
      <c r="BW199" s="956"/>
    </row>
    <row s="1624" customFormat="1" customHeight="1" ht="14.25">
      <c r="A200" s="1256"/>
      <c r="B200" s="955"/>
      <c r="C200" s="1256"/>
      <c r="D200" s="1256"/>
      <c r="E200" s="679">
        <v>15</v>
      </c>
      <c r="F200" s="50" cm="1" t="str">
        <f t="array" ref="F200:F200">OFFSET(E200,-1,1)</f>
        <v>1</v>
      </c>
      <c r="G200" s="124" t="s">
        <v>1080</v>
      </c>
      <c r="H200" s="344"/>
      <c r="I200" s="344" t="s">
        <v>1833</v>
      </c>
      <c r="J200" s="1256"/>
      <c r="K200" s="344" t="s">
        <v>1833</v>
      </c>
      <c r="L200" s="957"/>
      <c r="M200" s="73"/>
      <c r="N200" s="1256"/>
      <c r="O200" s="1256"/>
      <c r="P200" s="1256"/>
      <c r="Q200" s="124" t="s">
        <v>2058</v>
      </c>
      <c r="R200" s="127" t="s">
        <v>2058</v>
      </c>
      <c r="S200" s="1256"/>
      <c r="T200" s="438" cm="1" t="str">
        <f t="array" ref="T200:T200">T199</f>
        <v>true</v>
      </c>
      <c r="U200" s="1256"/>
      <c r="V200" s="1256"/>
      <c r="W200" s="1256"/>
      <c r="X200" s="1511"/>
      <c r="Y200" s="1256"/>
      <c r="Z200" s="1494"/>
      <c r="AA200" s="1256"/>
      <c r="AB200" s="265" t="s">
        <v>1834</v>
      </c>
      <c r="AC200" s="744" t="s">
        <v>1081</v>
      </c>
      <c r="AD200" s="266" t="s">
        <v>789</v>
      </c>
      <c r="AE200" s="3707"/>
      <c r="AF200" s="3707"/>
      <c r="AG200" s="3707"/>
      <c r="AH200" s="920">
        <f>AG200-AF200</f>
        <v>0</v>
      </c>
      <c r="AI200" s="3692"/>
      <c r="AJ200" s="3685"/>
      <c r="AK200" s="919"/>
      <c r="AL200" s="919"/>
      <c r="AM200" s="919"/>
      <c r="AN200" s="919"/>
      <c r="AO200" s="919"/>
      <c r="AP200" s="919"/>
      <c r="AQ200" s="919"/>
      <c r="AR200" s="919"/>
      <c r="AS200" s="919"/>
      <c r="AT200" s="919"/>
      <c r="AU200" s="919"/>
      <c r="AV200" s="919"/>
      <c r="AW200" s="919"/>
      <c r="AX200" s="919"/>
      <c r="AY200" s="919"/>
      <c r="AZ200" s="919"/>
      <c r="BA200" s="919"/>
      <c r="BB200" s="919"/>
      <c r="BC200" s="919"/>
      <c r="BD200" s="919"/>
      <c r="BE200" s="919"/>
      <c r="BF200" s="919"/>
      <c r="BG200" s="919"/>
      <c r="BH200" s="919"/>
      <c r="BI200" s="919"/>
      <c r="BJ200" s="919"/>
      <c r="BK200" s="919"/>
      <c r="BL200" s="919"/>
      <c r="BM200" s="919"/>
      <c r="BN200" s="3723"/>
      <c r="BO200" s="3725" t="str">
        <f>IF(_xlfn.IFERROR(INDEX(Административные!$K$26:$L$65,MATCH($F200&amp;"11komm",Административные!$K$26:$K$65,0),2),"")=0,"",_xlfn.IFERROR(INDEX(Административные!$K$26:$L$65,MATCH($F200&amp;"11komm",Административные!$K$26:$K$65,0),2),""))</f>
        <v/>
      </c>
      <c r="BP200" s="3723"/>
      <c r="BQ200" s="1256"/>
      <c r="BR200" s="1256"/>
      <c r="BS200" s="1041" t="s">
        <v>1082</v>
      </c>
      <c r="BT200" s="1041"/>
      <c r="BU200" s="1041"/>
      <c r="BV200" s="956"/>
      <c r="BW200" s="956"/>
    </row>
    <row s="1624" customFormat="1" customHeight="1" ht="14.25">
      <c r="A201" s="1256"/>
      <c r="B201" s="955"/>
      <c r="C201" s="1256"/>
      <c r="D201" s="1256"/>
      <c r="E201" s="679">
        <v>15</v>
      </c>
      <c r="F201" s="50" cm="1" t="str">
        <f t="array" ref="F201:F201">OFFSET(E201,-1,1)</f>
        <v>1</v>
      </c>
      <c r="G201" s="124" t="s">
        <v>1083</v>
      </c>
      <c r="H201" s="344"/>
      <c r="I201" s="344" t="s">
        <v>1835</v>
      </c>
      <c r="J201" s="1256"/>
      <c r="K201" s="344" t="s">
        <v>1835</v>
      </c>
      <c r="L201" s="957"/>
      <c r="M201" s="73"/>
      <c r="N201" s="1256"/>
      <c r="O201" s="1256"/>
      <c r="P201" s="1256"/>
      <c r="Q201" s="124" t="s">
        <v>2058</v>
      </c>
      <c r="R201" s="127" t="s">
        <v>2058</v>
      </c>
      <c r="S201" s="1256"/>
      <c r="T201" s="438" cm="1" t="str">
        <f t="array" ref="T201:T201">T200</f>
        <v>true</v>
      </c>
      <c r="U201" s="1256"/>
      <c r="V201" s="1256"/>
      <c r="W201" s="1256"/>
      <c r="X201" s="1511"/>
      <c r="Y201" s="1256"/>
      <c r="Z201" s="1494"/>
      <c r="AA201" s="1256"/>
      <c r="AB201" s="265" t="s">
        <v>1836</v>
      </c>
      <c r="AC201" s="744" t="s">
        <v>1084</v>
      </c>
      <c r="AD201" s="266" t="s">
        <v>789</v>
      </c>
      <c r="AE201" s="3707"/>
      <c r="AF201" s="3707"/>
      <c r="AG201" s="3707"/>
      <c r="AH201" s="920">
        <f>AG201-AF201</f>
        <v>0</v>
      </c>
      <c r="AI201" s="3692"/>
      <c r="AJ201" s="3685"/>
      <c r="AK201" s="919"/>
      <c r="AL201" s="919"/>
      <c r="AM201" s="919"/>
      <c r="AN201" s="919"/>
      <c r="AO201" s="919"/>
      <c r="AP201" s="919"/>
      <c r="AQ201" s="919"/>
      <c r="AR201" s="919"/>
      <c r="AS201" s="919"/>
      <c r="AT201" s="919"/>
      <c r="AU201" s="919"/>
      <c r="AV201" s="919"/>
      <c r="AW201" s="919"/>
      <c r="AX201" s="919"/>
      <c r="AY201" s="919"/>
      <c r="AZ201" s="919"/>
      <c r="BA201" s="919"/>
      <c r="BB201" s="919"/>
      <c r="BC201" s="919"/>
      <c r="BD201" s="919"/>
      <c r="BE201" s="919"/>
      <c r="BF201" s="919"/>
      <c r="BG201" s="919"/>
      <c r="BH201" s="919"/>
      <c r="BI201" s="919"/>
      <c r="BJ201" s="919"/>
      <c r="BK201" s="919"/>
      <c r="BL201" s="919"/>
      <c r="BM201" s="919"/>
      <c r="BN201" s="3723"/>
      <c r="BO201" s="3725" t="str">
        <f>IF(_xlfn.IFERROR(INDEX(Административные!$K$26:$L$65,MATCH($F201&amp;"12komm",Административные!$K$26:$K$65,0),2),"")=0,"",_xlfn.IFERROR(INDEX(Административные!$K$26:$L$65,MATCH($F201&amp;"12komm",Административные!$K$26:$K$65,0),2),""))</f>
        <v/>
      </c>
      <c r="BP201" s="3723"/>
      <c r="BQ201" s="1256"/>
      <c r="BR201" s="1256"/>
      <c r="BS201" s="1041" t="s">
        <v>1085</v>
      </c>
      <c r="BT201" s="1041"/>
      <c r="BU201" s="1041"/>
      <c r="BV201" s="956"/>
      <c r="BW201" s="956"/>
    </row>
    <row s="1624" customFormat="1" customHeight="1" ht="14.25">
      <c r="A202" s="1256"/>
      <c r="B202" s="955"/>
      <c r="C202" s="1256"/>
      <c r="D202" s="1256"/>
      <c r="E202" s="679">
        <v>15</v>
      </c>
      <c r="F202" s="50" cm="1" t="str">
        <f t="array" ref="F202:F202">OFFSET(E202,-1,1)</f>
        <v>1</v>
      </c>
      <c r="G202" s="124" t="s">
        <v>1086</v>
      </c>
      <c r="H202" s="344"/>
      <c r="I202" s="344" t="s">
        <v>1837</v>
      </c>
      <c r="J202" s="1256"/>
      <c r="K202" s="344" t="s">
        <v>1837</v>
      </c>
      <c r="L202" s="957"/>
      <c r="M202" s="73"/>
      <c r="N202" s="1256"/>
      <c r="O202" s="1256"/>
      <c r="P202" s="1256"/>
      <c r="Q202" s="124" t="s">
        <v>2058</v>
      </c>
      <c r="R202" s="127" t="s">
        <v>2058</v>
      </c>
      <c r="S202" s="1256"/>
      <c r="T202" s="438" cm="1" t="str">
        <f t="array" ref="T202:T202">T201</f>
        <v>true</v>
      </c>
      <c r="U202" s="1256"/>
      <c r="V202" s="1256"/>
      <c r="W202" s="1256"/>
      <c r="X202" s="1511"/>
      <c r="Y202" s="1256"/>
      <c r="Z202" s="1494"/>
      <c r="AA202" s="1256"/>
      <c r="AB202" s="265" t="s">
        <v>1838</v>
      </c>
      <c r="AC202" s="744" t="s">
        <v>1087</v>
      </c>
      <c r="AD202" s="266" t="s">
        <v>789</v>
      </c>
      <c r="AE202" s="3707"/>
      <c r="AF202" s="3707"/>
      <c r="AG202" s="3707"/>
      <c r="AH202" s="920">
        <f>AG202-AF202</f>
        <v>0</v>
      </c>
      <c r="AI202" s="3692"/>
      <c r="AJ202" s="3685"/>
      <c r="AK202" s="919"/>
      <c r="AL202" s="919"/>
      <c r="AM202" s="919"/>
      <c r="AN202" s="919"/>
      <c r="AO202" s="919"/>
      <c r="AP202" s="919"/>
      <c r="AQ202" s="919"/>
      <c r="AR202" s="919"/>
      <c r="AS202" s="919"/>
      <c r="AT202" s="919"/>
      <c r="AU202" s="919"/>
      <c r="AV202" s="919"/>
      <c r="AW202" s="919"/>
      <c r="AX202" s="919"/>
      <c r="AY202" s="919"/>
      <c r="AZ202" s="919"/>
      <c r="BA202" s="919"/>
      <c r="BB202" s="919"/>
      <c r="BC202" s="919"/>
      <c r="BD202" s="919"/>
      <c r="BE202" s="919"/>
      <c r="BF202" s="919"/>
      <c r="BG202" s="919"/>
      <c r="BH202" s="919"/>
      <c r="BI202" s="919"/>
      <c r="BJ202" s="919"/>
      <c r="BK202" s="919"/>
      <c r="BL202" s="919"/>
      <c r="BM202" s="919"/>
      <c r="BN202" s="3723"/>
      <c r="BO202" s="3725" t="str">
        <f>IF(_xlfn.IFERROR(INDEX(Административные!$K$26:$L$65,MATCH($F202&amp;"13komm",Административные!$K$26:$K$65,0),2),"")=0,"",_xlfn.IFERROR(INDEX(Административные!$K$26:$L$65,MATCH($F202&amp;"13komm",Административные!$K$26:$K$65,0),2),""))</f>
        <v/>
      </c>
      <c r="BP202" s="3723"/>
      <c r="BQ202" s="1256"/>
      <c r="BR202" s="1256"/>
      <c r="BS202" s="1041" t="s">
        <v>1088</v>
      </c>
      <c r="BT202" s="1041"/>
      <c r="BU202" s="1041"/>
      <c r="BV202" s="956"/>
      <c r="BW202" s="956"/>
    </row>
    <row s="1624" customFormat="1" customHeight="1" ht="14.25">
      <c r="A203" s="1256"/>
      <c r="B203" s="955"/>
      <c r="C203" s="1256"/>
      <c r="D203" s="1256"/>
      <c r="E203" s="679">
        <v>15</v>
      </c>
      <c r="F203" s="50" cm="1" t="str">
        <f t="array" ref="F203:F203">OFFSET(E203,-1,1)</f>
        <v>1</v>
      </c>
      <c r="G203" s="124" t="s">
        <v>1089</v>
      </c>
      <c r="H203" s="344"/>
      <c r="I203" s="344" t="s">
        <v>1839</v>
      </c>
      <c r="J203" s="1256"/>
      <c r="K203" s="344" t="s">
        <v>1839</v>
      </c>
      <c r="L203" s="957"/>
      <c r="M203" s="73"/>
      <c r="N203" s="1256"/>
      <c r="O203" s="1256"/>
      <c r="P203" s="1256"/>
      <c r="Q203" s="124" t="s">
        <v>2058</v>
      </c>
      <c r="R203" s="127" t="s">
        <v>2058</v>
      </c>
      <c r="S203" s="1256"/>
      <c r="T203" s="438" cm="1" t="str">
        <f t="array" ref="T203:T203">T202</f>
        <v>true</v>
      </c>
      <c r="U203" s="1256"/>
      <c r="V203" s="1256"/>
      <c r="W203" s="1256"/>
      <c r="X203" s="1511"/>
      <c r="Y203" s="1256"/>
      <c r="Z203" s="1494"/>
      <c r="AA203" s="1256"/>
      <c r="AB203" s="265" t="s">
        <v>1840</v>
      </c>
      <c r="AC203" s="744" t="s">
        <v>1090</v>
      </c>
      <c r="AD203" s="266" t="s">
        <v>789</v>
      </c>
      <c r="AE203" s="3707"/>
      <c r="AF203" s="3707"/>
      <c r="AG203" s="3707"/>
      <c r="AH203" s="920">
        <f>AG203-AF203</f>
        <v>0</v>
      </c>
      <c r="AI203" s="3692"/>
      <c r="AJ203" s="3685"/>
      <c r="AK203" s="919"/>
      <c r="AL203" s="919"/>
      <c r="AM203" s="919"/>
      <c r="AN203" s="919"/>
      <c r="AO203" s="919"/>
      <c r="AP203" s="919"/>
      <c r="AQ203" s="919"/>
      <c r="AR203" s="919"/>
      <c r="AS203" s="919"/>
      <c r="AT203" s="919"/>
      <c r="AU203" s="919"/>
      <c r="AV203" s="919"/>
      <c r="AW203" s="919"/>
      <c r="AX203" s="919"/>
      <c r="AY203" s="919"/>
      <c r="AZ203" s="919"/>
      <c r="BA203" s="919"/>
      <c r="BB203" s="919"/>
      <c r="BC203" s="919"/>
      <c r="BD203" s="919"/>
      <c r="BE203" s="919"/>
      <c r="BF203" s="919"/>
      <c r="BG203" s="919"/>
      <c r="BH203" s="919"/>
      <c r="BI203" s="919"/>
      <c r="BJ203" s="919"/>
      <c r="BK203" s="919"/>
      <c r="BL203" s="919"/>
      <c r="BM203" s="919"/>
      <c r="BN203" s="3723"/>
      <c r="BO203" s="3725" t="str">
        <f>IF(_xlfn.IFERROR(INDEX(Административные!$K$26:$L$65,MATCH($F203&amp;"14komm",Административные!$K$26:$K$65,0),2),"")=0,"",_xlfn.IFERROR(INDEX(Административные!$K$26:$L$65,MATCH($F203&amp;"14komm",Административные!$K$26:$K$65,0),2),""))</f>
        <v/>
      </c>
      <c r="BP203" s="3723"/>
      <c r="BQ203" s="1256"/>
      <c r="BR203" s="1256"/>
      <c r="BS203" s="1041" t="s">
        <v>1841</v>
      </c>
      <c r="BT203" s="1041"/>
      <c r="BU203" s="1041"/>
      <c r="BV203" s="956"/>
      <c r="BW203" s="956"/>
    </row>
    <row s="1624" customFormat="1" customHeight="1" ht="14.25">
      <c r="A204" s="1256"/>
      <c r="B204" s="955"/>
      <c r="C204" s="1256"/>
      <c r="D204" s="1256"/>
      <c r="E204" s="679">
        <v>15</v>
      </c>
      <c r="F204" s="50" cm="1" t="str">
        <f t="array" ref="F204:F204">OFFSET(E204,-1,1)</f>
        <v>1</v>
      </c>
      <c r="G204" s="124" t="s">
        <v>1092</v>
      </c>
      <c r="H204" s="344"/>
      <c r="I204" s="344" t="s">
        <v>1842</v>
      </c>
      <c r="J204" s="1256"/>
      <c r="K204" s="344" t="s">
        <v>1842</v>
      </c>
      <c r="L204" s="957"/>
      <c r="M204" s="73"/>
      <c r="N204" s="1256"/>
      <c r="O204" s="1256"/>
      <c r="P204" s="1256"/>
      <c r="Q204" s="124" t="s">
        <v>2058</v>
      </c>
      <c r="R204" s="127" t="s">
        <v>2058</v>
      </c>
      <c r="S204" s="1256"/>
      <c r="T204" s="438" cm="1" t="str">
        <f t="array" ref="T204:T204">T203</f>
        <v>true</v>
      </c>
      <c r="U204" s="1256"/>
      <c r="V204" s="1256"/>
      <c r="W204" s="1256"/>
      <c r="X204" s="1511"/>
      <c r="Y204" s="1256"/>
      <c r="Z204" s="1494"/>
      <c r="AA204" s="1256"/>
      <c r="AB204" s="265" t="s">
        <v>1843</v>
      </c>
      <c r="AC204" s="744" t="s">
        <v>1095</v>
      </c>
      <c r="AD204" s="266" t="s">
        <v>789</v>
      </c>
      <c r="AE204" s="3707"/>
      <c r="AF204" s="3707"/>
      <c r="AG204" s="3707"/>
      <c r="AH204" s="920">
        <f>AG204-AF204</f>
        <v>0</v>
      </c>
      <c r="AI204" s="3692"/>
      <c r="AJ204" s="3685"/>
      <c r="AK204" s="919"/>
      <c r="AL204" s="919"/>
      <c r="AM204" s="919"/>
      <c r="AN204" s="919"/>
      <c r="AO204" s="919"/>
      <c r="AP204" s="919"/>
      <c r="AQ204" s="919"/>
      <c r="AR204" s="919"/>
      <c r="AS204" s="919"/>
      <c r="AT204" s="919"/>
      <c r="AU204" s="919"/>
      <c r="AV204" s="919"/>
      <c r="AW204" s="919"/>
      <c r="AX204" s="919"/>
      <c r="AY204" s="919"/>
      <c r="AZ204" s="919"/>
      <c r="BA204" s="919"/>
      <c r="BB204" s="919"/>
      <c r="BC204" s="919"/>
      <c r="BD204" s="919"/>
      <c r="BE204" s="919"/>
      <c r="BF204" s="919"/>
      <c r="BG204" s="919"/>
      <c r="BH204" s="919"/>
      <c r="BI204" s="919"/>
      <c r="BJ204" s="919"/>
      <c r="BK204" s="919"/>
      <c r="BL204" s="919"/>
      <c r="BM204" s="919"/>
      <c r="BN204" s="3723"/>
      <c r="BO204" s="3725" t="str">
        <f>IF(_xlfn.IFERROR(INDEX(Административные!$K$26:$L$65,MATCH($F204&amp;"15komm",Административные!$K$26:$K$65,0),2),"")=0,"",_xlfn.IFERROR(INDEX(Административные!$K$26:$L$65,MATCH($F204&amp;"15komm",Административные!$K$26:$K$65,0),2),""))</f>
        <v/>
      </c>
      <c r="BP204" s="3723"/>
      <c r="BQ204" s="1256"/>
      <c r="BR204" s="1256"/>
      <c r="BS204" s="1041" t="s">
        <v>1096</v>
      </c>
      <c r="BT204" s="1041"/>
      <c r="BU204" s="1041"/>
      <c r="BV204" s="956"/>
      <c r="BW204" s="956"/>
    </row>
    <row s="1624" customFormat="1" customHeight="1" ht="14.25">
      <c r="A205" s="1256"/>
      <c r="B205" s="955"/>
      <c r="C205" s="1256"/>
      <c r="D205" s="1256"/>
      <c r="E205" s="679">
        <v>15</v>
      </c>
      <c r="F205" s="50" cm="1" t="str">
        <f t="array" ref="F205:F205">OFFSET(E205,-1,1)</f>
        <v>1</v>
      </c>
      <c r="G205" s="124" t="s">
        <v>1097</v>
      </c>
      <c r="H205" s="344"/>
      <c r="I205" s="344" t="s">
        <v>1844</v>
      </c>
      <c r="J205" s="1256"/>
      <c r="K205" s="344" t="s">
        <v>1844</v>
      </c>
      <c r="L205" s="957"/>
      <c r="M205" s="73"/>
      <c r="N205" s="1256"/>
      <c r="O205" s="1256"/>
      <c r="P205" s="1256"/>
      <c r="Q205" s="124" t="s">
        <v>2058</v>
      </c>
      <c r="R205" s="127" t="s">
        <v>2058</v>
      </c>
      <c r="S205" s="1256"/>
      <c r="T205" s="438" cm="1" t="str">
        <f t="array" ref="T205:T205">T204</f>
        <v>true</v>
      </c>
      <c r="U205" s="1256"/>
      <c r="V205" s="1256"/>
      <c r="W205" s="1256"/>
      <c r="X205" s="1511"/>
      <c r="Y205" s="1256"/>
      <c r="Z205" s="1494"/>
      <c r="AA205" s="1256"/>
      <c r="AB205" s="265" t="s">
        <v>1845</v>
      </c>
      <c r="AC205" s="744" t="s">
        <v>1100</v>
      </c>
      <c r="AD205" s="266" t="s">
        <v>789</v>
      </c>
      <c r="AE205" s="3707"/>
      <c r="AF205" s="3707"/>
      <c r="AG205" s="3707"/>
      <c r="AH205" s="920">
        <f>AG205-AF205</f>
        <v>0</v>
      </c>
      <c r="AI205" s="3692"/>
      <c r="AJ205" s="3685"/>
      <c r="AK205" s="919"/>
      <c r="AL205" s="919"/>
      <c r="AM205" s="919"/>
      <c r="AN205" s="919"/>
      <c r="AO205" s="919"/>
      <c r="AP205" s="919"/>
      <c r="AQ205" s="919"/>
      <c r="AR205" s="919"/>
      <c r="AS205" s="919"/>
      <c r="AT205" s="919"/>
      <c r="AU205" s="919"/>
      <c r="AV205" s="919"/>
      <c r="AW205" s="919"/>
      <c r="AX205" s="919"/>
      <c r="AY205" s="919"/>
      <c r="AZ205" s="919"/>
      <c r="BA205" s="919"/>
      <c r="BB205" s="919"/>
      <c r="BC205" s="919"/>
      <c r="BD205" s="919"/>
      <c r="BE205" s="919"/>
      <c r="BF205" s="919"/>
      <c r="BG205" s="919"/>
      <c r="BH205" s="919"/>
      <c r="BI205" s="919"/>
      <c r="BJ205" s="919"/>
      <c r="BK205" s="919"/>
      <c r="BL205" s="919"/>
      <c r="BM205" s="919"/>
      <c r="BN205" s="3723"/>
      <c r="BO205" s="3725" t="str">
        <f>IF(_xlfn.IFERROR(INDEX(Административные!$K$26:$L$65,MATCH($F205&amp;"16komm",Административные!$K$26:$K$65,0),2),"")=0,"",_xlfn.IFERROR(INDEX(Административные!$K$26:$L$65,MATCH($F205&amp;"16komm",Административные!$K$26:$K$65,0),2),""))</f>
        <v/>
      </c>
      <c r="BP205" s="3723"/>
      <c r="BQ205" s="1256"/>
      <c r="BR205" s="1256"/>
      <c r="BS205" s="1041" t="s">
        <v>1846</v>
      </c>
      <c r="BT205" s="1041"/>
      <c r="BU205" s="1041"/>
      <c r="BV205" s="956"/>
      <c r="BW205" s="956"/>
    </row>
    <row s="1624" customFormat="1" customHeight="1" ht="21.75">
      <c r="A206" s="1256"/>
      <c r="B206" s="955"/>
      <c r="C206" s="1256"/>
      <c r="D206" s="1256"/>
      <c r="E206" s="679">
        <v>22.5</v>
      </c>
      <c r="F206" s="50" cm="1" t="str">
        <f t="array" ref="F206:F206">OFFSET(E206,-1,1)</f>
        <v>1</v>
      </c>
      <c r="G206" s="1256"/>
      <c r="H206" s="344"/>
      <c r="I206" s="344" t="s">
        <v>1236</v>
      </c>
      <c r="J206" s="1256"/>
      <c r="K206" s="344" t="s">
        <v>1236</v>
      </c>
      <c r="L206" s="957" t="s">
        <v>876</v>
      </c>
      <c r="M206" s="73"/>
      <c r="N206" s="1256"/>
      <c r="O206" s="1256"/>
      <c r="P206" s="1256"/>
      <c r="Q206" s="124" t="s">
        <v>2058</v>
      </c>
      <c r="R206" s="127" t="s">
        <v>2058</v>
      </c>
      <c r="S206" s="1256"/>
      <c r="T206" s="438" cm="1" t="str">
        <f t="array" ref="T206:T206">T205</f>
        <v>true</v>
      </c>
      <c r="U206" s="1256"/>
      <c r="V206" s="1256"/>
      <c r="W206" s="1256"/>
      <c r="X206" s="1511"/>
      <c r="Y206" s="1256"/>
      <c r="Z206" s="1494"/>
      <c r="AA206" s="1256"/>
      <c r="AB206" s="265" t="s">
        <v>967</v>
      </c>
      <c r="AC206" s="741" t="s">
        <v>1847</v>
      </c>
      <c r="AD206" s="266" t="s">
        <v>789</v>
      </c>
      <c r="AE206" s="921">
        <f>AE207+AE208</f>
        <v>0</v>
      </c>
      <c r="AF206" s="921">
        <f>AF207+AF208</f>
        <v>0</v>
      </c>
      <c r="AG206" s="921">
        <f>AG207+AG208</f>
        <v>0</v>
      </c>
      <c r="AH206" s="920">
        <f>AG206-AF206</f>
        <v>0</v>
      </c>
      <c r="AI206" s="3694">
        <f>AI207+AI208</f>
        <v>0</v>
      </c>
      <c r="AJ206" s="3685"/>
      <c r="AK206" s="919"/>
      <c r="AL206" s="919"/>
      <c r="AM206" s="919"/>
      <c r="AN206" s="919"/>
      <c r="AO206" s="919"/>
      <c r="AP206" s="919"/>
      <c r="AQ206" s="919"/>
      <c r="AR206" s="919"/>
      <c r="AS206" s="919"/>
      <c r="AT206" s="919"/>
      <c r="AU206" s="919"/>
      <c r="AV206" s="919"/>
      <c r="AW206" s="919"/>
      <c r="AX206" s="919"/>
      <c r="AY206" s="919"/>
      <c r="AZ206" s="919"/>
      <c r="BA206" s="919"/>
      <c r="BB206" s="919"/>
      <c r="BC206" s="919"/>
      <c r="BD206" s="919"/>
      <c r="BE206" s="919"/>
      <c r="BF206" s="919"/>
      <c r="BG206" s="919"/>
      <c r="BH206" s="919"/>
      <c r="BI206" s="919"/>
      <c r="BJ206" s="919"/>
      <c r="BK206" s="919"/>
      <c r="BL206" s="919"/>
      <c r="BM206" s="919"/>
      <c r="BN206" s="3723"/>
      <c r="BO206" s="3723"/>
      <c r="BP206" s="3723"/>
      <c r="BQ206" s="1256"/>
      <c r="BR206" s="1256"/>
      <c r="BS206" s="1039" t="s">
        <v>1652</v>
      </c>
      <c r="BT206" s="1041"/>
      <c r="BU206" s="1041"/>
      <c r="BV206" s="956"/>
      <c r="BW206" s="956"/>
    </row>
    <row s="1624" customFormat="1" customHeight="1" ht="14.25">
      <c r="A207" s="1256"/>
      <c r="B207" s="955"/>
      <c r="C207" s="1256"/>
      <c r="D207" s="1256"/>
      <c r="E207" s="679">
        <v>15</v>
      </c>
      <c r="F207" s="50" cm="1" t="str">
        <f t="array" ref="F207:F207">OFFSET(E207,-1,1)</f>
        <v>1</v>
      </c>
      <c r="G207" s="124" t="s">
        <v>1056</v>
      </c>
      <c r="H207" s="344"/>
      <c r="I207" s="344" t="s">
        <v>1848</v>
      </c>
      <c r="J207" s="1256"/>
      <c r="K207" s="344" t="s">
        <v>1848</v>
      </c>
      <c r="L207" s="957" t="s">
        <v>470</v>
      </c>
      <c r="M207" s="73"/>
      <c r="N207" s="1256"/>
      <c r="O207" s="1256"/>
      <c r="P207" s="1256"/>
      <c r="Q207" s="124" t="s">
        <v>2058</v>
      </c>
      <c r="R207" s="127" t="s">
        <v>2058</v>
      </c>
      <c r="S207" s="1256"/>
      <c r="T207" s="438" cm="1" t="str">
        <f t="array" ref="T207:T207">T206</f>
        <v>true</v>
      </c>
      <c r="U207" s="1256"/>
      <c r="V207" s="1256"/>
      <c r="W207" s="1256"/>
      <c r="X207" s="1511"/>
      <c r="Y207" s="1256"/>
      <c r="Z207" s="1494"/>
      <c r="AA207" s="1256"/>
      <c r="AB207" s="265" t="s">
        <v>1849</v>
      </c>
      <c r="AC207" s="744" t="s">
        <v>1653</v>
      </c>
      <c r="AD207" s="747" t="s">
        <v>789</v>
      </c>
      <c r="AE207" s="3707"/>
      <c r="AF207" s="3707"/>
      <c r="AG207" s="3707"/>
      <c r="AH207" s="920">
        <f>AG207-AF207</f>
        <v>0</v>
      </c>
      <c r="AI207" s="3692"/>
      <c r="AJ207" s="3685"/>
      <c r="AK207" s="919"/>
      <c r="AL207" s="919"/>
      <c r="AM207" s="919"/>
      <c r="AN207" s="919"/>
      <c r="AO207" s="919"/>
      <c r="AP207" s="919"/>
      <c r="AQ207" s="919"/>
      <c r="AR207" s="919"/>
      <c r="AS207" s="919"/>
      <c r="AT207" s="919"/>
      <c r="AU207" s="919"/>
      <c r="AV207" s="919"/>
      <c r="AW207" s="919"/>
      <c r="AX207" s="919"/>
      <c r="AY207" s="919"/>
      <c r="AZ207" s="919"/>
      <c r="BA207" s="919"/>
      <c r="BB207" s="919"/>
      <c r="BC207" s="919"/>
      <c r="BD207" s="919"/>
      <c r="BE207" s="919"/>
      <c r="BF207" s="919"/>
      <c r="BG207" s="919"/>
      <c r="BH207" s="919"/>
      <c r="BI207" s="919"/>
      <c r="BJ207" s="919"/>
      <c r="BK207" s="919"/>
      <c r="BL207" s="919"/>
      <c r="BM207" s="919"/>
      <c r="BN207" s="3723"/>
      <c r="BO207" s="3725" t="str">
        <f>IF(_xlfn.IFERROR(INDEX(ФОТ!$K$26:$L$77,MATCH($F207&amp;"5komm",ФОТ!$K$26:$K$77,0),2),"")=0,"",_xlfn.IFERROR(INDEX(ФОТ!$K$26:$L$77,MATCH($F207&amp;"5komm",ФОТ!$K$26:$K$77,0),2),""))</f>
        <v/>
      </c>
      <c r="BP207" s="3723"/>
      <c r="BQ207" s="1256"/>
      <c r="BR207" s="1256"/>
      <c r="BS207" s="1039" t="s">
        <v>1073</v>
      </c>
      <c r="BT207" s="1041"/>
      <c r="BU207" s="1041"/>
      <c r="BV207" s="956"/>
      <c r="BW207" s="956"/>
    </row>
    <row s="1624" customFormat="1" customHeight="1" ht="21.75">
      <c r="A208" s="1256"/>
      <c r="B208" s="955"/>
      <c r="C208" s="1256"/>
      <c r="D208" s="1256"/>
      <c r="E208" s="679">
        <v>22.5</v>
      </c>
      <c r="F208" s="50" cm="1" t="str">
        <f t="array" ref="F208:F208">OFFSET(E208,-1,1)</f>
        <v>1</v>
      </c>
      <c r="G208" s="124" t="s">
        <v>1061</v>
      </c>
      <c r="H208" s="344"/>
      <c r="I208" s="344" t="s">
        <v>1850</v>
      </c>
      <c r="J208" s="1256"/>
      <c r="K208" s="344" t="s">
        <v>1850</v>
      </c>
      <c r="L208" s="957" t="s">
        <v>475</v>
      </c>
      <c r="M208" s="73"/>
      <c r="N208" s="1256"/>
      <c r="O208" s="1256"/>
      <c r="P208" s="1256"/>
      <c r="Q208" s="124" t="s">
        <v>2058</v>
      </c>
      <c r="R208" s="127" t="s">
        <v>2058</v>
      </c>
      <c r="S208" s="1256"/>
      <c r="T208" s="438" cm="1" t="str">
        <f t="array" ref="T208:T208">T207</f>
        <v>true</v>
      </c>
      <c r="U208" s="1256"/>
      <c r="V208" s="1256"/>
      <c r="W208" s="1256"/>
      <c r="X208" s="1511"/>
      <c r="Y208" s="1256"/>
      <c r="Z208" s="1494"/>
      <c r="AA208" s="1256"/>
      <c r="AB208" s="265" t="s">
        <v>1851</v>
      </c>
      <c r="AC208" s="744" t="s">
        <v>1852</v>
      </c>
      <c r="AD208" s="266" t="s">
        <v>789</v>
      </c>
      <c r="AE208" s="3707">
        <f>AE207*_xlfn.SUMIFS(INDEX(Сценарии!$AE$25:$BF$82,,MATCH(AE$8,Сценарии!$AE$8:$BF$8,0)),Сценарии!$F$25:$F$82,$F208,Сценарии!$G$25:$G$82,"СВФОТ")/100</f>
        <v>0</v>
      </c>
      <c r="AF208" s="3707">
        <f>AF207*_xlfn.SUMIFS(INDEX(Сценарии!$AE$25:$BF$82,,MATCH(AF$8,Сценарии!$AE$8:$BF$8,0)),Сценарии!$F$25:$F$82,$F208,Сценарии!$G$25:$G$82,"СВФОТ")/100</f>
        <v>0</v>
      </c>
      <c r="AG208" s="3707">
        <f>AG207*_xlfn.SUMIFS(INDEX(Сценарии!$AE$25:$BF$82,,MATCH(AG$8,Сценарии!$AE$8:$BF$8,0)),Сценарии!$F$25:$F$82,$F208,Сценарии!$G$25:$G$82,"СВФОТ")/100</f>
        <v>0</v>
      </c>
      <c r="AH208" s="920">
        <f>AG208-AF208</f>
        <v>0</v>
      </c>
      <c r="AI208" s="3692">
        <f>AI207*_xlfn.SUMIFS(INDEX(Сценарии!$AE$25:$BF$82,,MATCH(AG$8,Сценарии!$AE$8:$BF$8,0)),Сценарии!$F$25:$F$82,$F208,Сценарии!$G$25:$G$82,"СВФОТ")/100</f>
        <v>0</v>
      </c>
      <c r="AJ208" s="3685"/>
      <c r="AK208" s="919"/>
      <c r="AL208" s="919"/>
      <c r="AM208" s="919"/>
      <c r="AN208" s="919"/>
      <c r="AO208" s="919"/>
      <c r="AP208" s="919"/>
      <c r="AQ208" s="919"/>
      <c r="AR208" s="919"/>
      <c r="AS208" s="919"/>
      <c r="AT208" s="919"/>
      <c r="AU208" s="919"/>
      <c r="AV208" s="919"/>
      <c r="AW208" s="919"/>
      <c r="AX208" s="919"/>
      <c r="AY208" s="919"/>
      <c r="AZ208" s="919"/>
      <c r="BA208" s="919"/>
      <c r="BB208" s="919"/>
      <c r="BC208" s="919"/>
      <c r="BD208" s="919"/>
      <c r="BE208" s="919"/>
      <c r="BF208" s="919"/>
      <c r="BG208" s="919"/>
      <c r="BH208" s="919"/>
      <c r="BI208" s="919"/>
      <c r="BJ208" s="919"/>
      <c r="BK208" s="919"/>
      <c r="BL208" s="919"/>
      <c r="BM208" s="919"/>
      <c r="BN208" s="3723"/>
      <c r="BO208" s="3725" t="str">
        <f>IF(_xlfn.IFERROR(INDEX(ФОТ!$K$26:$L$77,MATCH($F208&amp;"6komm",ФОТ!$K$26:$K$77,0),2),"")=0,"",_xlfn.IFERROR(INDEX(ФОТ!$K$26:$L$77,MATCH($F208&amp;"6komm",ФОТ!$K$26:$K$77,0),2),""))</f>
        <v/>
      </c>
      <c r="BP208" s="3723"/>
      <c r="BQ208" s="1256"/>
      <c r="BR208" s="1256"/>
      <c r="BS208" s="1039" t="s">
        <v>1655</v>
      </c>
      <c r="BT208" s="1041"/>
      <c r="BU208" s="1041"/>
      <c r="BV208" s="956"/>
      <c r="BW208" s="956"/>
    </row>
    <row s="1624" customFormat="1" customHeight="1" ht="32.25">
      <c r="A209" s="1256"/>
      <c r="B209" s="955"/>
      <c r="C209" s="1256"/>
      <c r="D209" s="1256"/>
      <c r="E209" s="679">
        <v>33.75</v>
      </c>
      <c r="F209" s="50" cm="1" t="str">
        <f t="array" ref="F209:F209">OFFSET(E209,-1,1)</f>
        <v>1</v>
      </c>
      <c r="G209" s="49" t="s">
        <v>1102</v>
      </c>
      <c r="H209" s="344"/>
      <c r="I209" s="344" t="s">
        <v>1239</v>
      </c>
      <c r="J209" s="1256"/>
      <c r="K209" s="344" t="s">
        <v>1239</v>
      </c>
      <c r="L209" s="957" t="s">
        <v>878</v>
      </c>
      <c r="M209" s="73"/>
      <c r="N209" s="1256"/>
      <c r="O209" s="1256"/>
      <c r="P209" s="1256"/>
      <c r="Q209" s="124" t="s">
        <v>2058</v>
      </c>
      <c r="R209" s="127" t="s">
        <v>2058</v>
      </c>
      <c r="S209" s="1256"/>
      <c r="T209" s="438" cm="1" t="str">
        <f t="array" ref="T209:T209">T208</f>
        <v>true</v>
      </c>
      <c r="U209" s="1256"/>
      <c r="V209" s="1256"/>
      <c r="W209" s="1256"/>
      <c r="X209" s="1511"/>
      <c r="Y209" s="1256"/>
      <c r="Z209" s="1494"/>
      <c r="AA209" s="1256"/>
      <c r="AB209" s="265" t="s">
        <v>1240</v>
      </c>
      <c r="AC209" s="741" t="s">
        <v>1853</v>
      </c>
      <c r="AD209" s="266" t="s">
        <v>789</v>
      </c>
      <c r="AE209" s="3707"/>
      <c r="AF209" s="3707"/>
      <c r="AG209" s="3707"/>
      <c r="AH209" s="920">
        <f>AG209-AF209</f>
        <v>0</v>
      </c>
      <c r="AI209" s="3692"/>
      <c r="AJ209" s="3685"/>
      <c r="AK209" s="919"/>
      <c r="AL209" s="919"/>
      <c r="AM209" s="919"/>
      <c r="AN209" s="919"/>
      <c r="AO209" s="919"/>
      <c r="AP209" s="919"/>
      <c r="AQ209" s="919"/>
      <c r="AR209" s="919"/>
      <c r="AS209" s="919"/>
      <c r="AT209" s="919"/>
      <c r="AU209" s="919"/>
      <c r="AV209" s="919"/>
      <c r="AW209" s="919"/>
      <c r="AX209" s="919"/>
      <c r="AY209" s="919"/>
      <c r="AZ209" s="919"/>
      <c r="BA209" s="919"/>
      <c r="BB209" s="919"/>
      <c r="BC209" s="919"/>
      <c r="BD209" s="919"/>
      <c r="BE209" s="919"/>
      <c r="BF209" s="919"/>
      <c r="BG209" s="919"/>
      <c r="BH209" s="919"/>
      <c r="BI209" s="919"/>
      <c r="BJ209" s="919"/>
      <c r="BK209" s="919"/>
      <c r="BL209" s="919"/>
      <c r="BM209" s="919"/>
      <c r="BN209" s="3723"/>
      <c r="BO209" s="3725" t="str">
        <f>IF(_xlfn.IFERROR(INDEX(Административные!$K$26:$L$65,MATCH($F209&amp;"2komm",Административные!$K$26:$K$65,0),2),"")=0,"",_xlfn.IFERROR(INDEX(Административные!$K$26:$L$65,MATCH($F209&amp;"2komm",Административные!$K$26:$K$65,0),2),""))</f>
        <v/>
      </c>
      <c r="BP209" s="3723"/>
      <c r="BQ209" s="1256"/>
      <c r="BR209" s="1256"/>
      <c r="BS209" s="1039" t="s">
        <v>1104</v>
      </c>
      <c r="BT209" s="1041"/>
      <c r="BU209" s="1041"/>
      <c r="BV209" s="956"/>
      <c r="BW209" s="956"/>
    </row>
    <row s="1624" customFormat="1" customHeight="1" ht="14.25">
      <c r="A210" s="1256"/>
      <c r="B210" s="955"/>
      <c r="C210" s="1256"/>
      <c r="D210" s="1256"/>
      <c r="E210" s="679">
        <v>15</v>
      </c>
      <c r="F210" s="50" cm="1" t="str">
        <f t="array" ref="F210:F210">OFFSET(E210,-1,1)</f>
        <v>1</v>
      </c>
      <c r="G210" s="49" t="s">
        <v>1105</v>
      </c>
      <c r="H210" s="344"/>
      <c r="I210" s="344" t="s">
        <v>1243</v>
      </c>
      <c r="J210" s="1256"/>
      <c r="K210" s="344" t="s">
        <v>1243</v>
      </c>
      <c r="L210" s="957" t="s">
        <v>880</v>
      </c>
      <c r="M210" s="73"/>
      <c r="N210" s="1256"/>
      <c r="O210" s="1256"/>
      <c r="P210" s="1256"/>
      <c r="Q210" s="124" t="s">
        <v>2058</v>
      </c>
      <c r="R210" s="127" t="s">
        <v>2058</v>
      </c>
      <c r="S210" s="1256"/>
      <c r="T210" s="438" cm="1" t="str">
        <f t="array" ref="T210:T210">T209</f>
        <v>true</v>
      </c>
      <c r="U210" s="1256"/>
      <c r="V210" s="1256"/>
      <c r="W210" s="1256"/>
      <c r="X210" s="1511"/>
      <c r="Y210" s="1256"/>
      <c r="Z210" s="1494"/>
      <c r="AA210" s="1256"/>
      <c r="AB210" s="265" t="s">
        <v>1244</v>
      </c>
      <c r="AC210" s="741" t="s">
        <v>1854</v>
      </c>
      <c r="AD210" s="266" t="s">
        <v>789</v>
      </c>
      <c r="AE210" s="3707"/>
      <c r="AF210" s="3707"/>
      <c r="AG210" s="3707"/>
      <c r="AH210" s="920">
        <f>AG210-AF210</f>
        <v>0</v>
      </c>
      <c r="AI210" s="3692"/>
      <c r="AJ210" s="3685"/>
      <c r="AK210" s="919"/>
      <c r="AL210" s="919"/>
      <c r="AM210" s="919"/>
      <c r="AN210" s="919"/>
      <c r="AO210" s="919"/>
      <c r="AP210" s="919"/>
      <c r="AQ210" s="919"/>
      <c r="AR210" s="919"/>
      <c r="AS210" s="919"/>
      <c r="AT210" s="919"/>
      <c r="AU210" s="919"/>
      <c r="AV210" s="919"/>
      <c r="AW210" s="919"/>
      <c r="AX210" s="919"/>
      <c r="AY210" s="919"/>
      <c r="AZ210" s="919"/>
      <c r="BA210" s="919"/>
      <c r="BB210" s="919"/>
      <c r="BC210" s="919"/>
      <c r="BD210" s="919"/>
      <c r="BE210" s="919"/>
      <c r="BF210" s="919"/>
      <c r="BG210" s="919"/>
      <c r="BH210" s="919"/>
      <c r="BI210" s="919"/>
      <c r="BJ210" s="919"/>
      <c r="BK210" s="919"/>
      <c r="BL210" s="919"/>
      <c r="BM210" s="919"/>
      <c r="BN210" s="3723"/>
      <c r="BO210" s="3725" t="str">
        <f>IF(_xlfn.IFERROR(INDEX(Административные!$K$26:$L$65,MATCH($F210&amp;"3komm",Административные!$K$26:$K$65,0),2),"")=0,"",_xlfn.IFERROR(INDEX(Административные!$K$26:$L$65,MATCH($F210&amp;"3komm",Административные!$K$26:$K$65,0),2),""))</f>
        <v/>
      </c>
      <c r="BP210" s="3723"/>
      <c r="BQ210" s="1256"/>
      <c r="BR210" s="1256"/>
      <c r="BS210" s="1039" t="s">
        <v>1107</v>
      </c>
      <c r="BT210" s="1041"/>
      <c r="BU210" s="1041"/>
      <c r="BV210" s="956"/>
      <c r="BW210" s="956"/>
    </row>
    <row s="1624" customFormat="1" customHeight="1" ht="14.25">
      <c r="A211" s="1256"/>
      <c r="B211" s="955"/>
      <c r="C211" s="1256"/>
      <c r="D211" s="1256"/>
      <c r="E211" s="679">
        <v>15</v>
      </c>
      <c r="F211" s="50" cm="1" t="str">
        <f t="array" ref="F211:F211">OFFSET(E211,-1,1)</f>
        <v>1</v>
      </c>
      <c r="G211" s="49" t="s">
        <v>1108</v>
      </c>
      <c r="H211" s="344"/>
      <c r="I211" s="344" t="s">
        <v>1855</v>
      </c>
      <c r="J211" s="1256"/>
      <c r="K211" s="344" t="s">
        <v>1855</v>
      </c>
      <c r="L211" s="957" t="s">
        <v>883</v>
      </c>
      <c r="M211" s="73"/>
      <c r="N211" s="1256"/>
      <c r="O211" s="1256"/>
      <c r="P211" s="1256"/>
      <c r="Q211" s="124" t="s">
        <v>2058</v>
      </c>
      <c r="R211" s="127" t="s">
        <v>2058</v>
      </c>
      <c r="S211" s="1256"/>
      <c r="T211" s="438" cm="1" t="str">
        <f t="array" ref="T211:T211">T210</f>
        <v>true</v>
      </c>
      <c r="U211" s="1256"/>
      <c r="V211" s="1256"/>
      <c r="W211" s="1256"/>
      <c r="X211" s="1511"/>
      <c r="Y211" s="1256"/>
      <c r="Z211" s="1494"/>
      <c r="AA211" s="1256"/>
      <c r="AB211" s="265" t="s">
        <v>1856</v>
      </c>
      <c r="AC211" s="741" t="s">
        <v>1857</v>
      </c>
      <c r="AD211" s="266" t="s">
        <v>789</v>
      </c>
      <c r="AE211" s="3707"/>
      <c r="AF211" s="3707"/>
      <c r="AG211" s="3707"/>
      <c r="AH211" s="920">
        <f>AG211-AF211</f>
        <v>0</v>
      </c>
      <c r="AI211" s="3692"/>
      <c r="AJ211" s="3685"/>
      <c r="AK211" s="919"/>
      <c r="AL211" s="919"/>
      <c r="AM211" s="919"/>
      <c r="AN211" s="919"/>
      <c r="AO211" s="919"/>
      <c r="AP211" s="919"/>
      <c r="AQ211" s="919"/>
      <c r="AR211" s="919"/>
      <c r="AS211" s="919"/>
      <c r="AT211" s="919"/>
      <c r="AU211" s="919"/>
      <c r="AV211" s="919"/>
      <c r="AW211" s="919"/>
      <c r="AX211" s="919"/>
      <c r="AY211" s="919"/>
      <c r="AZ211" s="919"/>
      <c r="BA211" s="919"/>
      <c r="BB211" s="919"/>
      <c r="BC211" s="919"/>
      <c r="BD211" s="919"/>
      <c r="BE211" s="919"/>
      <c r="BF211" s="919"/>
      <c r="BG211" s="919"/>
      <c r="BH211" s="919"/>
      <c r="BI211" s="919"/>
      <c r="BJ211" s="919"/>
      <c r="BK211" s="919"/>
      <c r="BL211" s="919"/>
      <c r="BM211" s="919"/>
      <c r="BN211" s="3723"/>
      <c r="BO211" s="3725" t="str">
        <f>IF(_xlfn.IFERROR(INDEX(Административные!$K$26:$L$65,MATCH($F211&amp;"4komm",Административные!$K$26:$K$65,0),2),"")=0,"",_xlfn.IFERROR(INDEX(Административные!$K$26:$L$65,MATCH($F211&amp;"4komm",Административные!$K$26:$K$65,0),2),""))</f>
        <v/>
      </c>
      <c r="BP211" s="3723"/>
      <c r="BQ211" s="1256"/>
      <c r="BR211" s="1256"/>
      <c r="BS211" s="1039" t="s">
        <v>1110</v>
      </c>
      <c r="BT211" s="1041"/>
      <c r="BU211" s="1041"/>
      <c r="BV211" s="956"/>
      <c r="BW211" s="956"/>
    </row>
    <row s="1624" customFormat="1" customHeight="1" ht="14.25">
      <c r="A212" s="1256"/>
      <c r="B212" s="955"/>
      <c r="C212" s="1256"/>
      <c r="D212" s="1256"/>
      <c r="E212" s="679">
        <v>15</v>
      </c>
      <c r="F212" s="50" cm="1" t="str">
        <f t="array" ref="F212:F212">OFFSET(E212,-1,1)</f>
        <v>1</v>
      </c>
      <c r="G212" s="49" t="s">
        <v>1111</v>
      </c>
      <c r="H212" s="344"/>
      <c r="I212" s="344" t="s">
        <v>1858</v>
      </c>
      <c r="J212" s="1256"/>
      <c r="K212" s="344" t="s">
        <v>1858</v>
      </c>
      <c r="L212" s="957" t="s">
        <v>1093</v>
      </c>
      <c r="M212" s="73"/>
      <c r="N212" s="1256"/>
      <c r="O212" s="1256"/>
      <c r="P212" s="1256"/>
      <c r="Q212" s="124" t="s">
        <v>2058</v>
      </c>
      <c r="R212" s="127" t="s">
        <v>2058</v>
      </c>
      <c r="S212" s="1256"/>
      <c r="T212" s="438" cm="1" t="str">
        <f t="array" ref="T212:T212">T211</f>
        <v>true</v>
      </c>
      <c r="U212" s="1256"/>
      <c r="V212" s="1256"/>
      <c r="W212" s="1256"/>
      <c r="X212" s="1511"/>
      <c r="Y212" s="1256"/>
      <c r="Z212" s="1494"/>
      <c r="AA212" s="1256"/>
      <c r="AB212" s="265" t="s">
        <v>1859</v>
      </c>
      <c r="AC212" s="741" t="s">
        <v>1860</v>
      </c>
      <c r="AD212" s="266" t="s">
        <v>789</v>
      </c>
      <c r="AE212" s="3707"/>
      <c r="AF212" s="3707"/>
      <c r="AG212" s="3707"/>
      <c r="AH212" s="920">
        <f>AG212-AF212</f>
        <v>0</v>
      </c>
      <c r="AI212" s="3692"/>
      <c r="AJ212" s="3685"/>
      <c r="AK212" s="919"/>
      <c r="AL212" s="919"/>
      <c r="AM212" s="919"/>
      <c r="AN212" s="919"/>
      <c r="AO212" s="919"/>
      <c r="AP212" s="919"/>
      <c r="AQ212" s="919"/>
      <c r="AR212" s="919"/>
      <c r="AS212" s="919"/>
      <c r="AT212" s="919"/>
      <c r="AU212" s="919"/>
      <c r="AV212" s="919"/>
      <c r="AW212" s="919"/>
      <c r="AX212" s="919"/>
      <c r="AY212" s="919"/>
      <c r="AZ212" s="919"/>
      <c r="BA212" s="919"/>
      <c r="BB212" s="919"/>
      <c r="BC212" s="919"/>
      <c r="BD212" s="919"/>
      <c r="BE212" s="919"/>
      <c r="BF212" s="919"/>
      <c r="BG212" s="919"/>
      <c r="BH212" s="919"/>
      <c r="BI212" s="919"/>
      <c r="BJ212" s="919"/>
      <c r="BK212" s="919"/>
      <c r="BL212" s="919"/>
      <c r="BM212" s="919"/>
      <c r="BN212" s="3723"/>
      <c r="BO212" s="3725" t="str">
        <f>IF(_xlfn.IFERROR(INDEX(Административные!$K$26:$L$65,MATCH($F212&amp;"5komm",Административные!$K$26:$K$65,0),2),"")=0,"",_xlfn.IFERROR(INDEX(Административные!$K$26:$L$65,MATCH($F212&amp;"5komm",Административные!$K$26:$K$65,0),2),""))</f>
        <v/>
      </c>
      <c r="BP212" s="3723"/>
      <c r="BQ212" s="1256"/>
      <c r="BR212" s="1256"/>
      <c r="BS212" s="1039" t="s">
        <v>1657</v>
      </c>
      <c r="BT212" s="1041"/>
      <c r="BU212" s="1041"/>
      <c r="BV212" s="956"/>
      <c r="BW212" s="956"/>
    </row>
    <row s="1624" customFormat="1" customHeight="1" ht="14.25">
      <c r="A213" s="1256"/>
      <c r="B213" s="955"/>
      <c r="C213" s="1256"/>
      <c r="D213" s="1256"/>
      <c r="E213" s="679">
        <v>15</v>
      </c>
      <c r="F213" s="50" cm="1" t="str">
        <f t="array" ref="F213:F213">OFFSET(E213,-1,1)</f>
        <v>1</v>
      </c>
      <c r="G213" s="49" t="s">
        <v>1114</v>
      </c>
      <c r="H213" s="344"/>
      <c r="I213" s="344" t="s">
        <v>1861</v>
      </c>
      <c r="J213" s="1256"/>
      <c r="K213" s="344" t="s">
        <v>1861</v>
      </c>
      <c r="L213" s="957" t="s">
        <v>1098</v>
      </c>
      <c r="M213" s="73"/>
      <c r="N213" s="1256"/>
      <c r="O213" s="1256"/>
      <c r="P213" s="1256"/>
      <c r="Q213" s="124" t="s">
        <v>2058</v>
      </c>
      <c r="R213" s="127" t="s">
        <v>2058</v>
      </c>
      <c r="S213" s="1256"/>
      <c r="T213" s="438" cm="1" t="str">
        <f t="array" ref="T213:T213">T212</f>
        <v>true</v>
      </c>
      <c r="U213" s="1256"/>
      <c r="V213" s="1256"/>
      <c r="W213" s="1256"/>
      <c r="X213" s="1511"/>
      <c r="Y213" s="1256"/>
      <c r="Z213" s="1494"/>
      <c r="AA213" s="1256"/>
      <c r="AB213" s="265" t="s">
        <v>1862</v>
      </c>
      <c r="AC213" s="741" t="s">
        <v>1863</v>
      </c>
      <c r="AD213" s="266" t="s">
        <v>789</v>
      </c>
      <c r="AE213" s="920">
        <f>SUM(AE214:AE216)</f>
        <v>0</v>
      </c>
      <c r="AF213" s="920">
        <f>SUM(AF214:AF216)</f>
        <v>0</v>
      </c>
      <c r="AG213" s="920">
        <f>SUM(AG214:AG216)</f>
        <v>0</v>
      </c>
      <c r="AH213" s="920">
        <f>AG213-AF213</f>
        <v>0</v>
      </c>
      <c r="AI213" s="3690">
        <f>SUM(AI214:AI216)</f>
        <v>0</v>
      </c>
      <c r="AJ213" s="3685"/>
      <c r="AK213" s="919"/>
      <c r="AL213" s="919"/>
      <c r="AM213" s="919"/>
      <c r="AN213" s="919"/>
      <c r="AO213" s="919"/>
      <c r="AP213" s="919"/>
      <c r="AQ213" s="919"/>
      <c r="AR213" s="919"/>
      <c r="AS213" s="919"/>
      <c r="AT213" s="919"/>
      <c r="AU213" s="919"/>
      <c r="AV213" s="919"/>
      <c r="AW213" s="919"/>
      <c r="AX213" s="919"/>
      <c r="AY213" s="919"/>
      <c r="AZ213" s="919"/>
      <c r="BA213" s="919"/>
      <c r="BB213" s="919"/>
      <c r="BC213" s="919"/>
      <c r="BD213" s="919"/>
      <c r="BE213" s="919"/>
      <c r="BF213" s="919"/>
      <c r="BG213" s="919"/>
      <c r="BH213" s="919"/>
      <c r="BI213" s="919"/>
      <c r="BJ213" s="919"/>
      <c r="BK213" s="919"/>
      <c r="BL213" s="919"/>
      <c r="BM213" s="919"/>
      <c r="BN213" s="3723"/>
      <c r="BO213" s="3725" t="str">
        <f>IF(_xlfn.IFERROR(INDEX(Административные!$K$26:$L$65,MATCH($F213&amp;"6komm",Административные!$K$26:$K$65,0),2),"")=0,"",_xlfn.IFERROR(INDEX(Административные!$K$26:$L$65,MATCH($F213&amp;"6komm",Административные!$K$26:$K$65,0),2),""))</f>
        <v/>
      </c>
      <c r="BP213" s="3723"/>
      <c r="BQ213" s="1256"/>
      <c r="BR213" s="1256"/>
      <c r="BS213" s="1039" t="s">
        <v>1659</v>
      </c>
      <c r="BT213" s="1041"/>
      <c r="BU213" s="1041"/>
      <c r="BV213" s="956"/>
      <c r="BW213" s="956"/>
    </row>
    <row s="1624" customFormat="1" customHeight="1" ht="14.25">
      <c r="A214" s="1256"/>
      <c r="B214" s="955"/>
      <c r="C214" s="1256"/>
      <c r="D214" s="1256"/>
      <c r="E214" s="679">
        <v>15</v>
      </c>
      <c r="F214" s="50" cm="1" t="str">
        <f t="array" ref="F214:F214">OFFSET(E214,-1,1)</f>
        <v>1</v>
      </c>
      <c r="G214" s="49" t="s">
        <v>1116</v>
      </c>
      <c r="H214" s="344"/>
      <c r="I214" s="344" t="s">
        <v>1864</v>
      </c>
      <c r="J214" s="1256"/>
      <c r="K214" s="344" t="s">
        <v>1864</v>
      </c>
      <c r="L214" s="957" t="s">
        <v>1660</v>
      </c>
      <c r="M214" s="73"/>
      <c r="N214" s="1256"/>
      <c r="O214" s="1256"/>
      <c r="P214" s="1256"/>
      <c r="Q214" s="124" t="s">
        <v>2058</v>
      </c>
      <c r="R214" s="127" t="s">
        <v>2058</v>
      </c>
      <c r="S214" s="1256"/>
      <c r="T214" s="438" cm="1" t="str">
        <f t="array" ref="T214:T214">T213</f>
        <v>true</v>
      </c>
      <c r="U214" s="1256"/>
      <c r="V214" s="1256"/>
      <c r="W214" s="1256"/>
      <c r="X214" s="1511"/>
      <c r="Y214" s="1256"/>
      <c r="Z214" s="1494"/>
      <c r="AA214" s="1256"/>
      <c r="AB214" s="265" t="s">
        <v>1865</v>
      </c>
      <c r="AC214" s="744" t="s">
        <v>1662</v>
      </c>
      <c r="AD214" s="266" t="s">
        <v>789</v>
      </c>
      <c r="AE214" s="3707"/>
      <c r="AF214" s="3707"/>
      <c r="AG214" s="3707"/>
      <c r="AH214" s="920">
        <f>AG214-AF214</f>
        <v>0</v>
      </c>
      <c r="AI214" s="3692"/>
      <c r="AJ214" s="3685"/>
      <c r="AK214" s="919"/>
      <c r="AL214" s="919"/>
      <c r="AM214" s="919"/>
      <c r="AN214" s="919"/>
      <c r="AO214" s="919"/>
      <c r="AP214" s="919"/>
      <c r="AQ214" s="919"/>
      <c r="AR214" s="919"/>
      <c r="AS214" s="919"/>
      <c r="AT214" s="919"/>
      <c r="AU214" s="919"/>
      <c r="AV214" s="919"/>
      <c r="AW214" s="919"/>
      <c r="AX214" s="919"/>
      <c r="AY214" s="919"/>
      <c r="AZ214" s="919"/>
      <c r="BA214" s="919"/>
      <c r="BB214" s="919"/>
      <c r="BC214" s="919"/>
      <c r="BD214" s="919"/>
      <c r="BE214" s="919"/>
      <c r="BF214" s="919"/>
      <c r="BG214" s="919"/>
      <c r="BH214" s="919"/>
      <c r="BI214" s="919"/>
      <c r="BJ214" s="919"/>
      <c r="BK214" s="919"/>
      <c r="BL214" s="919"/>
      <c r="BM214" s="919"/>
      <c r="BN214" s="3723"/>
      <c r="BO214" s="3725" t="str">
        <f>IF(_xlfn.IFERROR(INDEX(Административные!$K$26:$L$65,MATCH($F214&amp;"7komm",Административные!$K$26:$K$65,0),2),"")=0,"",_xlfn.IFERROR(INDEX(Административные!$K$26:$L$65,MATCH($F214&amp;"7komm",Административные!$K$26:$K$65,0),2),""))</f>
        <v/>
      </c>
      <c r="BP214" s="3723"/>
      <c r="BQ214" s="1256"/>
      <c r="BR214" s="1256"/>
      <c r="BS214" s="1039" t="s">
        <v>1663</v>
      </c>
      <c r="BT214" s="1041"/>
      <c r="BU214" s="1041"/>
      <c r="BV214" s="956"/>
      <c r="BW214" s="956"/>
    </row>
    <row s="1624" customFormat="1" customHeight="1" ht="14.25">
      <c r="A215" s="1256"/>
      <c r="B215" s="955"/>
      <c r="C215" s="1256"/>
      <c r="D215" s="1256"/>
      <c r="E215" s="679">
        <v>15</v>
      </c>
      <c r="F215" s="50" cm="1" t="str">
        <f t="array" ref="F215:F215">OFFSET(E215,-1,1)</f>
        <v>1</v>
      </c>
      <c r="G215" s="49" t="s">
        <v>1119</v>
      </c>
      <c r="H215" s="344"/>
      <c r="I215" s="344" t="s">
        <v>1866</v>
      </c>
      <c r="J215" s="1256"/>
      <c r="K215" s="344" t="s">
        <v>1866</v>
      </c>
      <c r="L215" s="957" t="s">
        <v>1664</v>
      </c>
      <c r="M215" s="73"/>
      <c r="N215" s="1256"/>
      <c r="O215" s="1256"/>
      <c r="P215" s="1256"/>
      <c r="Q215" s="124" t="s">
        <v>2058</v>
      </c>
      <c r="R215" s="127" t="s">
        <v>2058</v>
      </c>
      <c r="S215" s="1256"/>
      <c r="T215" s="438" cm="1" t="str">
        <f t="array" ref="T215:T215">T214</f>
        <v>true</v>
      </c>
      <c r="U215" s="1256"/>
      <c r="V215" s="1256"/>
      <c r="W215" s="1256"/>
      <c r="X215" s="1511"/>
      <c r="Y215" s="1256"/>
      <c r="Z215" s="1494"/>
      <c r="AA215" s="1256"/>
      <c r="AB215" s="265" t="s">
        <v>1867</v>
      </c>
      <c r="AC215" s="744" t="s">
        <v>1120</v>
      </c>
      <c r="AD215" s="266" t="s">
        <v>789</v>
      </c>
      <c r="AE215" s="3707"/>
      <c r="AF215" s="3707"/>
      <c r="AG215" s="3707"/>
      <c r="AH215" s="920">
        <f>AG215-AF215</f>
        <v>0</v>
      </c>
      <c r="AI215" s="3692"/>
      <c r="AJ215" s="3685"/>
      <c r="AK215" s="919"/>
      <c r="AL215" s="919"/>
      <c r="AM215" s="919"/>
      <c r="AN215" s="919"/>
      <c r="AO215" s="919"/>
      <c r="AP215" s="919"/>
      <c r="AQ215" s="919"/>
      <c r="AR215" s="919"/>
      <c r="AS215" s="919"/>
      <c r="AT215" s="919"/>
      <c r="AU215" s="919"/>
      <c r="AV215" s="919"/>
      <c r="AW215" s="919"/>
      <c r="AX215" s="919"/>
      <c r="AY215" s="919"/>
      <c r="AZ215" s="919"/>
      <c r="BA215" s="919"/>
      <c r="BB215" s="919"/>
      <c r="BC215" s="919"/>
      <c r="BD215" s="919"/>
      <c r="BE215" s="919"/>
      <c r="BF215" s="919"/>
      <c r="BG215" s="919"/>
      <c r="BH215" s="919"/>
      <c r="BI215" s="919"/>
      <c r="BJ215" s="919"/>
      <c r="BK215" s="919"/>
      <c r="BL215" s="919"/>
      <c r="BM215" s="919"/>
      <c r="BN215" s="3723"/>
      <c r="BO215" s="3725" t="str">
        <f>IF(_xlfn.IFERROR(INDEX(Административные!$K$26:$L$65,MATCH($F215&amp;"8komm",Административные!$K$26:$K$65,0),2),"")=0,"",_xlfn.IFERROR(INDEX(Административные!$K$26:$L$65,MATCH($F215&amp;"8komm",Административные!$K$26:$K$65,0),2),""))</f>
        <v/>
      </c>
      <c r="BP215" s="3723"/>
      <c r="BQ215" s="1256"/>
      <c r="BR215" s="1256"/>
      <c r="BS215" s="1039" t="s">
        <v>1666</v>
      </c>
      <c r="BT215" s="1041"/>
      <c r="BU215" s="1041"/>
      <c r="BV215" s="956"/>
      <c r="BW215" s="956"/>
    </row>
    <row s="1624" customFormat="1" customHeight="1" ht="14.25">
      <c r="A216" s="1256"/>
      <c r="B216" s="955"/>
      <c r="C216" s="1256"/>
      <c r="D216" s="1256"/>
      <c r="E216" s="679">
        <v>15</v>
      </c>
      <c r="F216" s="50" cm="1" t="str">
        <f t="array" ref="F216:F216">OFFSET(E216,-1,1)</f>
        <v>1</v>
      </c>
      <c r="G216" s="124" t="s">
        <v>1122</v>
      </c>
      <c r="H216" s="344"/>
      <c r="I216" s="344" t="s">
        <v>1868</v>
      </c>
      <c r="J216" s="1256"/>
      <c r="K216" s="344" t="s">
        <v>1868</v>
      </c>
      <c r="L216" s="957" t="s">
        <v>1667</v>
      </c>
      <c r="M216" s="73"/>
      <c r="N216" s="1256"/>
      <c r="O216" s="1256"/>
      <c r="P216" s="1256"/>
      <c r="Q216" s="124" t="s">
        <v>2058</v>
      </c>
      <c r="R216" s="127" t="s">
        <v>2058</v>
      </c>
      <c r="S216" s="1256"/>
      <c r="T216" s="438" cm="1" t="str">
        <f t="array" ref="T216:T216">T215</f>
        <v>true</v>
      </c>
      <c r="U216" s="1256"/>
      <c r="V216" s="1256"/>
      <c r="W216" s="1256"/>
      <c r="X216" s="1511"/>
      <c r="Y216" s="1256"/>
      <c r="Z216" s="1494"/>
      <c r="AA216" s="1256"/>
      <c r="AB216" s="265" t="s">
        <v>1869</v>
      </c>
      <c r="AC216" s="744" t="s">
        <v>1123</v>
      </c>
      <c r="AD216" s="266" t="s">
        <v>789</v>
      </c>
      <c r="AE216" s="3707"/>
      <c r="AF216" s="3707"/>
      <c r="AG216" s="3707"/>
      <c r="AH216" s="920">
        <f>AG216-AF216</f>
        <v>0</v>
      </c>
      <c r="AI216" s="3692"/>
      <c r="AJ216" s="1332"/>
      <c r="AK216" s="919"/>
      <c r="AL216" s="919"/>
      <c r="AM216" s="919"/>
      <c r="AN216" s="919"/>
      <c r="AO216" s="919"/>
      <c r="AP216" s="919"/>
      <c r="AQ216" s="919"/>
      <c r="AR216" s="919"/>
      <c r="AS216" s="919"/>
      <c r="AT216" s="919"/>
      <c r="AU216" s="919"/>
      <c r="AV216" s="919"/>
      <c r="AW216" s="919"/>
      <c r="AX216" s="919"/>
      <c r="AY216" s="919"/>
      <c r="AZ216" s="919"/>
      <c r="BA216" s="919"/>
      <c r="BB216" s="919"/>
      <c r="BC216" s="919"/>
      <c r="BD216" s="919"/>
      <c r="BE216" s="919"/>
      <c r="BF216" s="919"/>
      <c r="BG216" s="919"/>
      <c r="BH216" s="919"/>
      <c r="BI216" s="919"/>
      <c r="BJ216" s="919"/>
      <c r="BK216" s="919"/>
      <c r="BL216" s="919"/>
      <c r="BM216" s="919"/>
      <c r="BN216" s="3723"/>
      <c r="BO216" s="3725" t="str">
        <f>IF(_xlfn.IFERROR(INDEX(Административные!$K$26:$L$65,MATCH($F216&amp;"9komm",Административные!$K$26:$K$65,0),2),"")=0,"",_xlfn.IFERROR(INDEX(Административные!$K$26:$L$65,MATCH($F216&amp;"9komm",Административные!$K$26:$K$65,0),2),""))</f>
        <v/>
      </c>
      <c r="BP216" s="3723"/>
      <c r="BQ216" s="1256"/>
      <c r="BR216" s="1256"/>
      <c r="BS216" s="1039" t="s">
        <v>1669</v>
      </c>
      <c r="BT216" s="1041"/>
      <c r="BU216" s="1041"/>
      <c r="BV216" s="956"/>
      <c r="BW216" s="956"/>
    </row>
    <row s="1624" customFormat="1" customHeight="1" ht="21.75" hidden="1">
      <c r="A217" s="1256"/>
      <c r="B217" s="404">
        <f>STATUS_GO="да"</f>
        <v>0</v>
      </c>
      <c r="C217" s="1256"/>
      <c r="D217" s="1256"/>
      <c r="E217" s="679">
        <v>22.5</v>
      </c>
      <c r="F217" s="50" cm="1" t="str">
        <f t="array" ref="F217:F217">OFFSET(E217,-1,1)</f>
        <v>1</v>
      </c>
      <c r="G217" s="1256"/>
      <c r="H217" s="344"/>
      <c r="I217" s="344" t="s">
        <v>856</v>
      </c>
      <c r="J217" s="1256"/>
      <c r="K217" s="344" t="s">
        <v>856</v>
      </c>
      <c r="L217" s="957" t="s">
        <v>325</v>
      </c>
      <c r="M217" s="73"/>
      <c r="N217" s="1256"/>
      <c r="O217" s="1256"/>
      <c r="P217" s="1256"/>
      <c r="Q217" s="124" t="s">
        <v>2058</v>
      </c>
      <c r="R217" s="127" t="s">
        <v>2058</v>
      </c>
      <c r="S217" s="1256"/>
      <c r="T217" s="438" cm="1" t="str">
        <f t="array" ref="T217:T217">T216</f>
        <v>true</v>
      </c>
      <c r="U217" s="1256"/>
      <c r="V217" s="1256"/>
      <c r="W217" s="1256"/>
      <c r="X217" s="1511"/>
      <c r="Y217" s="1256"/>
      <c r="Z217" s="1494"/>
      <c r="AA217" s="1256"/>
      <c r="AB217" s="265" t="s">
        <v>857</v>
      </c>
      <c r="AC217" s="738" t="s">
        <v>1870</v>
      </c>
      <c r="AD217" s="266" t="s">
        <v>789</v>
      </c>
      <c r="AE217" s="1231"/>
      <c r="AF217" s="1231"/>
      <c r="AG217" s="1231"/>
      <c r="AH217" s="920">
        <f>AG217-AF217</f>
        <v>0</v>
      </c>
      <c r="AI217" s="3692"/>
      <c r="AJ217" s="3685"/>
      <c r="AK217" s="919"/>
      <c r="AL217" s="919"/>
      <c r="AM217" s="919"/>
      <c r="AN217" s="919"/>
      <c r="AO217" s="919"/>
      <c r="AP217" s="919"/>
      <c r="AQ217" s="919"/>
      <c r="AR217" s="919"/>
      <c r="AS217" s="919"/>
      <c r="AT217" s="919"/>
      <c r="AU217" s="919"/>
      <c r="AV217" s="919"/>
      <c r="AW217" s="919"/>
      <c r="AX217" s="919"/>
      <c r="AY217" s="919"/>
      <c r="AZ217" s="919"/>
      <c r="BA217" s="919"/>
      <c r="BB217" s="919"/>
      <c r="BC217" s="919"/>
      <c r="BD217" s="919"/>
      <c r="BE217" s="919"/>
      <c r="BF217" s="919"/>
      <c r="BG217" s="919"/>
      <c r="BH217" s="919"/>
      <c r="BI217" s="919"/>
      <c r="BJ217" s="919"/>
      <c r="BK217" s="919"/>
      <c r="BL217" s="919"/>
      <c r="BM217" s="919"/>
      <c r="BN217" s="1229"/>
      <c r="BO217" s="1229"/>
      <c r="BP217" s="1229"/>
      <c r="BQ217" s="1256"/>
      <c r="BR217" s="1256"/>
      <c r="BS217" s="1040" t="s">
        <v>1671</v>
      </c>
      <c r="BT217" s="1041"/>
      <c r="BU217" s="1041"/>
      <c r="BV217" s="956"/>
      <c r="BW217" s="956"/>
    </row>
    <row s="1624" customFormat="1" customHeight="1" ht="14.25">
      <c r="A218" s="1256"/>
      <c r="B218" s="955"/>
      <c r="C218" s="1256"/>
      <c r="D218" s="1256"/>
      <c r="E218" s="679">
        <v>15</v>
      </c>
      <c r="F218" s="50" cm="1" t="str">
        <f t="array" ref="F218:F218">OFFSET(E218,-1,1)</f>
        <v>1</v>
      </c>
      <c r="G218" s="1256"/>
      <c r="H218" s="344"/>
      <c r="I218" s="344" t="s">
        <v>1609</v>
      </c>
      <c r="J218" s="1256"/>
      <c r="K218" s="344" t="s">
        <v>1609</v>
      </c>
      <c r="L218" s="957"/>
      <c r="M218" s="73"/>
      <c r="N218" s="1256"/>
      <c r="O218" s="1256"/>
      <c r="P218" s="1256"/>
      <c r="Q218" s="124" t="s">
        <v>2058</v>
      </c>
      <c r="R218" s="127" t="s">
        <v>2058</v>
      </c>
      <c r="S218" s="1256"/>
      <c r="T218" s="438" cm="1" t="str">
        <f t="array" ref="T218:T218">T217</f>
        <v>true</v>
      </c>
      <c r="U218" s="1256"/>
      <c r="V218" s="1256"/>
      <c r="W218" s="1256"/>
      <c r="X218" s="1511"/>
      <c r="Y218" s="1256"/>
      <c r="Z218" s="1494"/>
      <c r="AA218" s="1256"/>
      <c r="AB218" s="265" t="s">
        <v>1610</v>
      </c>
      <c r="AC218" s="738" t="s">
        <v>1871</v>
      </c>
      <c r="AD218" s="266" t="s">
        <v>789</v>
      </c>
      <c r="AE218" s="3707"/>
      <c r="AF218" s="3707"/>
      <c r="AG218" s="3707"/>
      <c r="AH218" s="920">
        <f>AG218-AF218</f>
        <v>0</v>
      </c>
      <c r="AI218" s="3692"/>
      <c r="AJ218" s="3685"/>
      <c r="AK218" s="919"/>
      <c r="AL218" s="919"/>
      <c r="AM218" s="919"/>
      <c r="AN218" s="919"/>
      <c r="AO218" s="919"/>
      <c r="AP218" s="919"/>
      <c r="AQ218" s="919"/>
      <c r="AR218" s="919"/>
      <c r="AS218" s="919"/>
      <c r="AT218" s="919"/>
      <c r="AU218" s="919"/>
      <c r="AV218" s="919"/>
      <c r="AW218" s="919"/>
      <c r="AX218" s="919"/>
      <c r="AY218" s="919"/>
      <c r="AZ218" s="919"/>
      <c r="BA218" s="919"/>
      <c r="BB218" s="919"/>
      <c r="BC218" s="919"/>
      <c r="BD218" s="919"/>
      <c r="BE218" s="919"/>
      <c r="BF218" s="919"/>
      <c r="BG218" s="919"/>
      <c r="BH218" s="919"/>
      <c r="BI218" s="919"/>
      <c r="BJ218" s="919"/>
      <c r="BK218" s="919"/>
      <c r="BL218" s="919"/>
      <c r="BM218" s="919"/>
      <c r="BN218" s="3723"/>
      <c r="BO218" s="3723"/>
      <c r="BP218" s="3723"/>
      <c r="BQ218" s="1256"/>
      <c r="BR218" s="1256"/>
      <c r="BS218" s="1041" t="s">
        <v>1872</v>
      </c>
      <c r="BT218" s="1041"/>
      <c r="BU218" s="1041"/>
      <c r="BV218" s="956"/>
      <c r="BW218" s="956"/>
    </row>
    <row s="3728" customFormat="1" customHeight="1" ht="20.25">
      <c r="A219" s="676"/>
      <c r="B219" s="407"/>
      <c r="C219" s="676"/>
      <c r="D219" s="676"/>
      <c r="E219" s="683">
        <v>21</v>
      </c>
      <c r="F219" s="50" cm="1" t="str">
        <f t="array" ref="F219:F219">OFFSET(E219,-1,1)</f>
        <v>1</v>
      </c>
      <c r="G219" s="676"/>
      <c r="H219" s="344"/>
      <c r="I219" s="344" t="s">
        <v>1613</v>
      </c>
      <c r="J219" s="676"/>
      <c r="K219" s="344" t="s">
        <v>1613</v>
      </c>
      <c r="L219" s="962"/>
      <c r="M219" s="75"/>
      <c r="N219" s="676"/>
      <c r="O219" s="676"/>
      <c r="P219" s="676"/>
      <c r="Q219" s="124" t="s">
        <v>2058</v>
      </c>
      <c r="R219" s="127" t="s">
        <v>2058</v>
      </c>
      <c r="S219" s="676"/>
      <c r="T219" s="438" cm="1" t="str">
        <f t="array" ref="T219:T219">T218</f>
        <v>true</v>
      </c>
      <c r="U219" s="676"/>
      <c r="V219" s="676"/>
      <c r="W219" s="676"/>
      <c r="X219" s="1511"/>
      <c r="Y219" s="676"/>
      <c r="Z219" s="1494"/>
      <c r="AA219" s="676"/>
      <c r="AB219" s="184" t="s">
        <v>1614</v>
      </c>
      <c r="AC219" s="327" t="s">
        <v>1873</v>
      </c>
      <c r="AD219" s="177" t="s">
        <v>789</v>
      </c>
      <c r="AE219" s="746">
        <f>SUM(AE220:AE221)</f>
        <v>0</v>
      </c>
      <c r="AF219" s="746">
        <f>SUM(AF220:AF221)</f>
        <v>0</v>
      </c>
      <c r="AG219" s="746">
        <f>SUM(AG220:AG221)</f>
        <v>0</v>
      </c>
      <c r="AH219" s="737">
        <f>AG219-AF219</f>
        <v>0</v>
      </c>
      <c r="AI219" s="3698">
        <f>SUM(AI220:AI221)</f>
        <v>0</v>
      </c>
      <c r="AJ219" s="3685"/>
      <c r="AK219" s="740"/>
      <c r="AL219" s="740"/>
      <c r="AM219" s="740"/>
      <c r="AN219" s="740"/>
      <c r="AO219" s="740"/>
      <c r="AP219" s="740"/>
      <c r="AQ219" s="740"/>
      <c r="AR219" s="740"/>
      <c r="AS219" s="740"/>
      <c r="AT219" s="919"/>
      <c r="AU219" s="919"/>
      <c r="AV219" s="740"/>
      <c r="AW219" s="740"/>
      <c r="AX219" s="740"/>
      <c r="AY219" s="740"/>
      <c r="AZ219" s="740"/>
      <c r="BA219" s="740"/>
      <c r="BB219" s="740"/>
      <c r="BC219" s="740"/>
      <c r="BD219" s="740"/>
      <c r="BE219" s="740"/>
      <c r="BF219" s="740"/>
      <c r="BG219" s="740"/>
      <c r="BH219" s="740"/>
      <c r="BI219" s="740"/>
      <c r="BJ219" s="740"/>
      <c r="BK219" s="740"/>
      <c r="BL219" s="740"/>
      <c r="BM219" s="740"/>
      <c r="BN219" s="3724"/>
      <c r="BO219" s="3724"/>
      <c r="BP219" s="3724"/>
      <c r="BQ219" s="676"/>
      <c r="BR219" s="676"/>
      <c r="BS219" s="1047" t="s">
        <v>1874</v>
      </c>
      <c r="BT219" s="1047"/>
      <c r="BU219" s="1047"/>
      <c r="BV219" s="683"/>
      <c r="BW219" s="683"/>
    </row>
    <row s="1624" customFormat="1" customHeight="1" ht="14.25" hidden="1">
      <c r="A220" s="1256"/>
      <c r="B220" s="955"/>
      <c r="C220" s="1256"/>
      <c r="D220" s="1256"/>
      <c r="E220" s="679">
        <v>15</v>
      </c>
      <c r="F220" s="50" cm="1" t="str">
        <f t="array" ref="F220:F220">OFFSET(E220,-1,1)</f>
        <v>1</v>
      </c>
      <c r="G220" s="1256"/>
      <c r="H220" s="1256"/>
      <c r="I220" s="344" t="s">
        <v>1613</v>
      </c>
      <c r="J220" s="124" cm="1" t="str">
        <f t="array" ref="J220:J220">AC220</f>
        <v>0</v>
      </c>
      <c r="K220" s="344" t="s">
        <v>1613</v>
      </c>
      <c r="L220" s="957"/>
      <c r="M220" s="73"/>
      <c r="N220" s="1256"/>
      <c r="O220" s="1256"/>
      <c r="P220" s="1256"/>
      <c r="Q220" s="124" t="s">
        <v>2058</v>
      </c>
      <c r="R220" s="127" t="s">
        <v>2058</v>
      </c>
      <c r="S220" s="1256"/>
      <c r="T220" s="438">
        <f>AND(F220&gt;0,Y220&gt;0)</f>
        <v>0</v>
      </c>
      <c r="U220" s="1256"/>
      <c r="V220" s="1256"/>
      <c r="W220" s="124" t="s">
        <v>172</v>
      </c>
      <c r="X220" s="1511"/>
      <c r="Y220" s="124">
        <v>0</v>
      </c>
      <c r="Z220" s="1494"/>
      <c r="AA220" s="392" t="s">
        <v>173</v>
      </c>
      <c r="AB220" s="266" t="str">
        <f>"1.7."&amp;Y220</f>
        <v>1.7.0</v>
      </c>
      <c r="AC220" s="1221"/>
      <c r="AD220" s="266" t="s">
        <v>789</v>
      </c>
      <c r="AE220" s="1233"/>
      <c r="AF220" s="1233"/>
      <c r="AG220" s="1233"/>
      <c r="AH220" s="225">
        <f>AG220-AF220</f>
        <v>0</v>
      </c>
      <c r="AI220" s="3700"/>
      <c r="AJ220" s="3701"/>
      <c r="AK220" s="922"/>
      <c r="AL220" s="922"/>
      <c r="AM220" s="922"/>
      <c r="AN220" s="922"/>
      <c r="AO220" s="922"/>
      <c r="AP220" s="922"/>
      <c r="AQ220" s="922"/>
      <c r="AR220" s="922"/>
      <c r="AS220" s="922"/>
      <c r="AT220" s="919"/>
      <c r="AU220" s="922"/>
      <c r="AV220" s="922"/>
      <c r="AW220" s="922"/>
      <c r="AX220" s="922"/>
      <c r="AY220" s="922"/>
      <c r="AZ220" s="922"/>
      <c r="BA220" s="922"/>
      <c r="BB220" s="922"/>
      <c r="BC220" s="922"/>
      <c r="BD220" s="740"/>
      <c r="BE220" s="922"/>
      <c r="BF220" s="922"/>
      <c r="BG220" s="922"/>
      <c r="BH220" s="922"/>
      <c r="BI220" s="922"/>
      <c r="BJ220" s="922"/>
      <c r="BK220" s="922"/>
      <c r="BL220" s="922"/>
      <c r="BM220" s="922"/>
      <c r="BN220" s="1234"/>
      <c r="BO220" s="1234"/>
      <c r="BP220" s="1234"/>
      <c r="BQ220" s="1256"/>
      <c r="BR220" s="1256"/>
      <c r="BS220" s="1041" t="s">
        <v>1874</v>
      </c>
      <c r="BT220" s="1041" t="s">
        <v>1875</v>
      </c>
      <c r="BU220" s="1041" cm="1" t="str">
        <f t="array" ref="BU220:BU220">AC220</f>
        <v>0</v>
      </c>
      <c r="BV220" s="956"/>
      <c r="BW220" s="679" t="b">
        <v>1</v>
      </c>
    </row>
    <row s="1624" customFormat="1" customHeight="1" ht="14.25">
      <c r="A221" s="1256"/>
      <c r="B221" s="955"/>
      <c r="C221" s="1256"/>
      <c r="D221" s="1256"/>
      <c r="E221" s="679">
        <v>15</v>
      </c>
      <c r="F221" s="50" cm="1" t="str">
        <f t="array" ref="F221:F221">OFFSET(E221,-1,1)</f>
        <v>1</v>
      </c>
      <c r="G221" s="330"/>
      <c r="H221" s="1256"/>
      <c r="I221" s="1256"/>
      <c r="J221" s="124" t="s">
        <v>1876</v>
      </c>
      <c r="K221" s="1256"/>
      <c r="L221" s="957"/>
      <c r="M221" s="73"/>
      <c r="N221" s="1256"/>
      <c r="O221" s="1256"/>
      <c r="P221" s="1256"/>
      <c r="Q221" s="1256"/>
      <c r="R221" s="1256"/>
      <c r="S221" s="1256"/>
      <c r="T221" s="438">
        <f>F221&gt;0</f>
        <v>1</v>
      </c>
      <c r="U221" s="1256"/>
      <c r="V221" s="1256"/>
      <c r="W221" s="678" t="s">
        <v>2059</v>
      </c>
      <c r="X221" s="1511"/>
      <c r="Y221" s="1256"/>
      <c r="Z221" s="1494"/>
      <c r="AA221" s="1256"/>
      <c r="AB221" s="751"/>
      <c r="AC221" s="226" t="s">
        <v>176</v>
      </c>
      <c r="AD221" s="752"/>
      <c r="AE221" s="752"/>
      <c r="AF221" s="752"/>
      <c r="AG221" s="752"/>
      <c r="AH221" s="752"/>
      <c r="AI221" s="752"/>
      <c r="AJ221" s="752"/>
      <c r="AK221" s="752"/>
      <c r="AL221" s="752"/>
      <c r="AM221" s="752"/>
      <c r="AN221" s="752"/>
      <c r="AO221" s="752"/>
      <c r="AP221" s="752"/>
      <c r="AQ221" s="752"/>
      <c r="AR221" s="752"/>
      <c r="AS221" s="752"/>
      <c r="AT221" s="752"/>
      <c r="AU221" s="752"/>
      <c r="AV221" s="752"/>
      <c r="AW221" s="752"/>
      <c r="AX221" s="752"/>
      <c r="AY221" s="752"/>
      <c r="AZ221" s="752"/>
      <c r="BA221" s="752"/>
      <c r="BB221" s="752"/>
      <c r="BC221" s="752"/>
      <c r="BD221" s="752"/>
      <c r="BE221" s="752"/>
      <c r="BF221" s="752"/>
      <c r="BG221" s="752"/>
      <c r="BH221" s="752"/>
      <c r="BI221" s="752"/>
      <c r="BJ221" s="752"/>
      <c r="BK221" s="752"/>
      <c r="BL221" s="752"/>
      <c r="BM221" s="752"/>
      <c r="BN221" s="752"/>
      <c r="BO221" s="752"/>
      <c r="BP221" s="753"/>
      <c r="BQ221" s="1256"/>
      <c r="BR221" s="1256"/>
      <c r="BS221" s="1041"/>
      <c r="BT221" s="1041"/>
      <c r="BU221" s="1041"/>
      <c r="BV221" s="679" t="s">
        <v>1875</v>
      </c>
      <c r="BW221" s="956"/>
    </row>
    <row s="3770" customFormat="1" customHeight="1" ht="20.25">
      <c r="A222" s="676"/>
      <c r="B222" s="407"/>
      <c r="C222" s="676"/>
      <c r="D222" s="676"/>
      <c r="E222" s="683">
        <v>21</v>
      </c>
      <c r="F222" s="50" cm="1" t="str">
        <f t="array" ref="F222:F222">OFFSET(E222,-1,1)</f>
        <v>1</v>
      </c>
      <c r="G222" s="676"/>
      <c r="H222" s="124"/>
      <c r="I222" s="124" t="s">
        <v>322</v>
      </c>
      <c r="J222" s="676"/>
      <c r="K222" s="124" t="s">
        <v>322</v>
      </c>
      <c r="L222" s="962"/>
      <c r="M222" s="75"/>
      <c r="N222" s="676"/>
      <c r="O222" s="676"/>
      <c r="P222" s="676"/>
      <c r="Q222" s="676"/>
      <c r="R222" s="676"/>
      <c r="S222" s="676"/>
      <c r="T222" s="438" cm="1" t="str">
        <f t="array" ref="T222:T222">T221</f>
        <v>true</v>
      </c>
      <c r="U222" s="676"/>
      <c r="V222" s="676"/>
      <c r="W222" s="676"/>
      <c r="X222" s="1511"/>
      <c r="Y222" s="676"/>
      <c r="Z222" s="1494"/>
      <c r="AA222" s="676"/>
      <c r="AB222" s="213" t="s">
        <v>504</v>
      </c>
      <c r="AC222" s="178" t="s">
        <v>1877</v>
      </c>
      <c r="AD222" s="200" t="s">
        <v>789</v>
      </c>
      <c r="AE222" s="179">
        <f>AE223+AE235+AE236++AE247+AE248+AE249+AE251+AE252+AE253+AE254+AE257</f>
        <v>0</v>
      </c>
      <c r="AF222" s="179">
        <f>AF223+AF235+AF236++AF247+AF248+AF249+AF251+AF252+AF253+AF254+AF257</f>
        <v>0</v>
      </c>
      <c r="AG222" s="179">
        <f>AG223+AG235+AG236++AG247+AG248+AG249+AG251+AG252+AG253+AG254+AG257</f>
        <v>0</v>
      </c>
      <c r="AH222" s="737">
        <f>AG222-AF222</f>
        <v>0</v>
      </c>
      <c r="AI222" s="746">
        <f>AI223+AI235+AI236++AI247+AI248+AI249+AI251+AI252+AI253+AI254+AI257</f>
        <v>0</v>
      </c>
      <c r="AJ222" s="746">
        <f>AJ223+AJ235+AJ236++AJ247+AJ248+AJ249+AJ251+AJ252+AJ253+AJ254+AJ257</f>
        <v>0</v>
      </c>
      <c r="AK222" s="746">
        <f>AK223+AK235+AK236++AK247+AK248+AK249+AK251+AK252+AK253+AK254+AK257</f>
        <v>0</v>
      </c>
      <c r="AL222" s="746">
        <f>AL223+AL235+AL236++AL247+AL248+AL249+AL251+AL252+AL253+AL254+AL257</f>
        <v>0</v>
      </c>
      <c r="AM222" s="746">
        <f>AM223+AM235+AM236++AM247+AM248+AM249+AM251+AM252+AM253+AM254+AM257</f>
        <v>0</v>
      </c>
      <c r="AN222" s="746">
        <f>AN223+AN235+AN236++AN247+AN248+AN249+AN251+AN252+AN253+AN254+AN257</f>
        <v>0</v>
      </c>
      <c r="AO222" s="746">
        <f>AO223+AO235+AO236++AO247+AO248+AO249+AO251+AO252+AO253+AO254+AO257</f>
        <v>0</v>
      </c>
      <c r="AP222" s="746">
        <f>AP223+AP235+AP236++AP247+AP248+AP249+AP251+AP252+AP253+AP254+AP257</f>
        <v>0</v>
      </c>
      <c r="AQ222" s="746">
        <f>AQ223+AQ235+AQ236++AQ247+AQ248+AQ249+AQ251+AQ252+AQ253+AQ254+AQ257</f>
        <v>0</v>
      </c>
      <c r="AR222" s="746">
        <f>AR223+AR235+AR236++AR247+AR248+AR249+AR251+AR252+AR253+AR254+AR257</f>
        <v>0</v>
      </c>
      <c r="AS222" s="746">
        <f>AS223+AS235+AS236++AS247+AS248+AS249+AS251+AS252+AS253+AS254+AS257</f>
        <v>0</v>
      </c>
      <c r="AT222" s="746">
        <f>AT223+AT235+AT236++AT247+AT248+AT249+AT251+AT252+AT253+AT254+AT257</f>
        <v>0</v>
      </c>
      <c r="AU222" s="746">
        <f>AU223+AU235+AU236++AU247+AU248+AU249+AU251+AU252+AU253+AU254+AU257</f>
        <v>0</v>
      </c>
      <c r="AV222" s="746">
        <f>AV223+AV235+AV236++AV247+AV248+AV249+AV251+AV252+AV253+AV254+AV257</f>
        <v>0</v>
      </c>
      <c r="AW222" s="746">
        <f>AW223+AW235+AW236++AW247+AW248+AW249+AW251+AW252+AW253+AW254+AW257</f>
        <v>0</v>
      </c>
      <c r="AX222" s="746">
        <f>AX223+AX235+AX236++AX247+AX248+AX249+AX251+AX252+AX253+AX254+AX257</f>
        <v>0</v>
      </c>
      <c r="AY222" s="746">
        <f>AY223+AY235+AY236++AY247+AY248+AY249+AY251+AY252+AY253+AY254+AY257</f>
        <v>0</v>
      </c>
      <c r="AZ222" s="746">
        <f>AZ223+AZ235+AZ236++AZ247+AZ248+AZ249+AZ251+AZ252+AZ253+AZ254+AZ257</f>
        <v>0</v>
      </c>
      <c r="BA222" s="746">
        <f>BA223+BA235+BA236++BA247+BA248+BA249+BA251+BA252+BA253+BA254+BA257</f>
        <v>0</v>
      </c>
      <c r="BB222" s="746">
        <f>BB223+BB235+BB236++BB247+BB248+BB249+BB251+BB252+BB253+BB254+BB257</f>
        <v>0</v>
      </c>
      <c r="BC222" s="746">
        <f>BC223+BC235+BC236++BC247+BC248+BC249+BC251+BC252+BC253+BC254+BC257</f>
        <v>0</v>
      </c>
      <c r="BD222" s="737">
        <f>IF(AI222=0,0,(AT222-AI222)/AI222*100)</f>
        <v>0</v>
      </c>
      <c r="BE222" s="737">
        <f>IF(AT222=0,0,(AU222-AT222)/AT222*100)</f>
        <v>0</v>
      </c>
      <c r="BF222" s="737">
        <f>IF(AU222=0,0,(AV222-AU222)/AU222*100)</f>
        <v>0</v>
      </c>
      <c r="BG222" s="737">
        <f>IF(AV222=0,0,(AW222-AV222)/AV222*100)</f>
        <v>0</v>
      </c>
      <c r="BH222" s="737">
        <f>IF(AW222=0,0,(AX222-AW222)/AW222*100)</f>
        <v>0</v>
      </c>
      <c r="BI222" s="737">
        <f>IF(AX222=0,0,(AY222-AX222)/AX222*100)</f>
        <v>0</v>
      </c>
      <c r="BJ222" s="737">
        <f>IF(AY222=0,0,(AZ222-AY222)/AY222*100)</f>
        <v>0</v>
      </c>
      <c r="BK222" s="737">
        <f>IF(AZ222=0,0,(BA222-AZ222)/AZ222*100)</f>
        <v>0</v>
      </c>
      <c r="BL222" s="737">
        <f>IF(BA222=0,0,(BB222-BA222)/BA222*100)</f>
        <v>0</v>
      </c>
      <c r="BM222" s="737">
        <f>IF(BB222=0,0,(BC222-BB222)/BB222*100)</f>
        <v>0</v>
      </c>
      <c r="BN222" s="3771"/>
      <c r="BO222" s="3771"/>
      <c r="BP222" s="3771"/>
      <c r="BQ222" s="126"/>
      <c r="BR222" s="676"/>
      <c r="BS222" s="1047" t="s">
        <v>1878</v>
      </c>
      <c r="BT222" s="1047"/>
      <c r="BU222" s="1047"/>
      <c r="BV222" s="683"/>
      <c r="BW222" s="683"/>
    </row>
    <row s="3772" customFormat="1" customHeight="1" ht="21.75">
      <c r="A223" s="676"/>
      <c r="B223" s="407"/>
      <c r="C223" s="676"/>
      <c r="D223" s="676"/>
      <c r="E223" s="683">
        <v>22.5</v>
      </c>
      <c r="F223" s="50" cm="1" t="str">
        <f t="array" ref="F223:F223">OFFSET(E223,-1,1)</f>
        <v>1</v>
      </c>
      <c r="G223" s="676"/>
      <c r="H223" s="124"/>
      <c r="I223" s="124" t="s">
        <v>452</v>
      </c>
      <c r="J223" s="676"/>
      <c r="K223" s="124" t="s">
        <v>452</v>
      </c>
      <c r="L223" s="962" t="s">
        <v>438</v>
      </c>
      <c r="M223" s="75"/>
      <c r="N223" s="676"/>
      <c r="O223" s="676"/>
      <c r="P223" s="676"/>
      <c r="Q223" s="676"/>
      <c r="R223" s="676"/>
      <c r="S223" s="676"/>
      <c r="T223" s="438" cm="1" t="str">
        <f t="array" ref="T223:T223">T222</f>
        <v>true</v>
      </c>
      <c r="U223" s="676"/>
      <c r="V223" s="676"/>
      <c r="W223" s="676"/>
      <c r="X223" s="1511"/>
      <c r="Y223" s="676"/>
      <c r="Z223" s="1494"/>
      <c r="AA223" s="676"/>
      <c r="AB223" s="184" t="s">
        <v>509</v>
      </c>
      <c r="AC223" s="327" t="s">
        <v>1879</v>
      </c>
      <c r="AD223" s="177" t="s">
        <v>789</v>
      </c>
      <c r="AE223" s="179">
        <f>SUM(AE224:AE234)</f>
        <v>0</v>
      </c>
      <c r="AF223" s="179">
        <f>SUM(AF224:AF234)</f>
        <v>0</v>
      </c>
      <c r="AG223" s="179">
        <f>SUM(AG224:AG234)</f>
        <v>0</v>
      </c>
      <c r="AH223" s="737">
        <f>AG223-AF223</f>
        <v>0</v>
      </c>
      <c r="AI223" s="179">
        <f>SUM(AI224:AI234)</f>
        <v>0</v>
      </c>
      <c r="AJ223" s="179">
        <f>SUM(AJ224:AJ234)</f>
        <v>0</v>
      </c>
      <c r="AK223" s="179">
        <f>SUM(AK224:AK234)</f>
        <v>0</v>
      </c>
      <c r="AL223" s="179">
        <f>SUM(AL224:AL234)</f>
        <v>0</v>
      </c>
      <c r="AM223" s="179">
        <f>SUM(AM224:AM234)</f>
        <v>0</v>
      </c>
      <c r="AN223" s="179">
        <f>SUM(AN224:AN234)</f>
        <v>0</v>
      </c>
      <c r="AO223" s="179">
        <f>SUM(AO224:AO234)</f>
        <v>0</v>
      </c>
      <c r="AP223" s="179">
        <f>SUM(AP224:AP234)</f>
        <v>0</v>
      </c>
      <c r="AQ223" s="179">
        <f>SUM(AQ224:AQ234)</f>
        <v>0</v>
      </c>
      <c r="AR223" s="179">
        <f>SUM(AR224:AR234)</f>
        <v>0</v>
      </c>
      <c r="AS223" s="179">
        <f>SUM(AS224:AS234)</f>
        <v>0</v>
      </c>
      <c r="AT223" s="179">
        <f>SUM(AT224:AT234)</f>
        <v>0</v>
      </c>
      <c r="AU223" s="179">
        <f>SUM(AU224:AU234)</f>
        <v>0</v>
      </c>
      <c r="AV223" s="179">
        <f>SUM(AV224:AV234)</f>
        <v>0</v>
      </c>
      <c r="AW223" s="179">
        <f>SUM(AW224:AW234)</f>
        <v>0</v>
      </c>
      <c r="AX223" s="179">
        <f>SUM(AX224:AX234)</f>
        <v>0</v>
      </c>
      <c r="AY223" s="179">
        <f>SUM(AY224:AY234)</f>
        <v>0</v>
      </c>
      <c r="AZ223" s="179">
        <f>SUM(AZ224:AZ234)</f>
        <v>0</v>
      </c>
      <c r="BA223" s="179">
        <f>SUM(BA224:BA234)</f>
        <v>0</v>
      </c>
      <c r="BB223" s="179">
        <f>SUM(BB224:BB234)</f>
        <v>0</v>
      </c>
      <c r="BC223" s="179">
        <f>SUM(BC224:BC234)</f>
        <v>0</v>
      </c>
      <c r="BD223" s="737">
        <f>IF(AI223=0,0,(AT223-AI223)/AI223*100)</f>
        <v>0</v>
      </c>
      <c r="BE223" s="737">
        <f>IF(AT223=0,0,(AU223-AT223)/AT223*100)</f>
        <v>0</v>
      </c>
      <c r="BF223" s="737">
        <f>IF(AU223=0,0,(AV223-AU223)/AU223*100)</f>
        <v>0</v>
      </c>
      <c r="BG223" s="737">
        <f>IF(AV223=0,0,(AW223-AV223)/AV223*100)</f>
        <v>0</v>
      </c>
      <c r="BH223" s="737">
        <f>IF(AW223=0,0,(AX223-AW223)/AW223*100)</f>
        <v>0</v>
      </c>
      <c r="BI223" s="737">
        <f>IF(AX223=0,0,(AY223-AX223)/AX223*100)</f>
        <v>0</v>
      </c>
      <c r="BJ223" s="737">
        <f>IF(AY223=0,0,(AZ223-AY223)/AY223*100)</f>
        <v>0</v>
      </c>
      <c r="BK223" s="737">
        <f>IF(AZ223=0,0,(BA223-AZ223)/AZ223*100)</f>
        <v>0</v>
      </c>
      <c r="BL223" s="737">
        <f>IF(BA223=0,0,(BB223-BA223)/BA223*100)</f>
        <v>0</v>
      </c>
      <c r="BM223" s="737">
        <f>IF(BB223=0,0,(BC223-BB223)/BB223*100)</f>
        <v>0</v>
      </c>
      <c r="BN223" s="3619"/>
      <c r="BO223" s="3619"/>
      <c r="BP223" s="3619"/>
      <c r="BQ223" s="676"/>
      <c r="BR223" s="676"/>
      <c r="BS223" s="1047" t="s">
        <v>1880</v>
      </c>
      <c r="BT223" s="1047"/>
      <c r="BU223" s="1047"/>
      <c r="BV223" s="683"/>
      <c r="BW223" s="683"/>
    </row>
    <row s="1624" customFormat="1" customHeight="1" ht="14.25">
      <c r="A224" s="1256"/>
      <c r="B224" s="955"/>
      <c r="C224" s="1256"/>
      <c r="D224" s="1256"/>
      <c r="E224" s="679">
        <v>15</v>
      </c>
      <c r="F224" s="50" cm="1" t="str">
        <f t="array" ref="F224:F224">OFFSET(E224,-1,1)</f>
        <v>1</v>
      </c>
      <c r="G224" s="124" t="s">
        <v>1023</v>
      </c>
      <c r="H224" s="1256"/>
      <c r="I224" s="124" t="s">
        <v>1434</v>
      </c>
      <c r="J224" s="1256"/>
      <c r="K224" s="124" t="s">
        <v>1434</v>
      </c>
      <c r="L224" s="957" t="s">
        <v>1211</v>
      </c>
      <c r="M224" s="73"/>
      <c r="N224" s="1256"/>
      <c r="O224" s="1256"/>
      <c r="P224" s="1256"/>
      <c r="Q224" s="1256"/>
      <c r="R224" s="1256"/>
      <c r="S224" s="1256"/>
      <c r="T224" s="438" cm="1" t="str">
        <f t="array" ref="T224:T224">T223</f>
        <v>true</v>
      </c>
      <c r="U224" s="1256"/>
      <c r="V224" s="1256"/>
      <c r="W224" s="1256"/>
      <c r="X224" s="1511"/>
      <c r="Y224" s="1256"/>
      <c r="Z224" s="1494"/>
      <c r="AA224" s="1256"/>
      <c r="AB224" s="265" t="s">
        <v>460</v>
      </c>
      <c r="AC224" s="741" t="s">
        <v>1881</v>
      </c>
      <c r="AD224" s="266" t="s">
        <v>789</v>
      </c>
      <c r="AE224" s="225">
        <f>_xlfn.SUMIFS(Покупка!AE$25:AE$87,Покупка!$F$25:$F$87,$F224,Покупка!$AC$25:$AC$87,$G224)</f>
        <v>0</v>
      </c>
      <c r="AF224" s="225">
        <f>_xlfn.SUMIFS(Покупка!AF$25:AF$87,Покупка!$F$25:$F$87,$F224,Покупка!$AC$25:$AC$87,$G224)</f>
        <v>0</v>
      </c>
      <c r="AG224" s="225">
        <f>_xlfn.SUMIFS(Покупка!AG$25:AG$87,Покупка!$F$25:$F$87,$F224,Покупка!$AC$25:$AC$87,$G224)</f>
        <v>0</v>
      </c>
      <c r="AH224" s="920">
        <f>AG224-AF224</f>
        <v>0</v>
      </c>
      <c r="AI224" s="920">
        <f>_xlfn.SUMIFS(Покупка!AH$25:AH$87,Покупка!$F$25:$F$87,$F224,Покупка!$AC$25:$AC$87,$G224)</f>
        <v>0</v>
      </c>
      <c r="AJ224" s="920">
        <f>_xlfn.SUMIFS(Покупка!AI$25:AI$87,Покупка!$F$25:$F$87,$F224,Покупка!$AC$25:$AC$87,$G224)</f>
        <v>0</v>
      </c>
      <c r="AK224" s="920">
        <f>_xlfn.SUMIFS(Покупка!AJ$25:AJ$87,Покупка!$F$25:$F$87,$F224,Покупка!$AC$25:$AC$87,$G224)</f>
        <v>0</v>
      </c>
      <c r="AL224" s="920">
        <f>_xlfn.SUMIFS(Покупка!AK$25:AK$87,Покупка!$F$25:$F$87,$F224,Покупка!$AC$25:$AC$87,$G224)</f>
        <v>0</v>
      </c>
      <c r="AM224" s="920">
        <f>_xlfn.SUMIFS(Покупка!AL$25:AL$87,Покупка!$F$25:$F$87,$F224,Покупка!$AC$25:$AC$87,$G224)</f>
        <v>0</v>
      </c>
      <c r="AN224" s="920">
        <f>_xlfn.SUMIFS(Покупка!AM$25:AM$87,Покупка!$F$25:$F$87,$F224,Покупка!$AC$25:$AC$87,$G224)</f>
        <v>0</v>
      </c>
      <c r="AO224" s="920">
        <f>_xlfn.SUMIFS(Покупка!AN$25:AN$87,Покупка!$F$25:$F$87,$F224,Покупка!$AC$25:$AC$87,$G224)</f>
        <v>0</v>
      </c>
      <c r="AP224" s="920">
        <f>_xlfn.SUMIFS(Покупка!AO$25:AO$87,Покупка!$F$25:$F$87,$F224,Покупка!$AC$25:$AC$87,$G224)</f>
        <v>0</v>
      </c>
      <c r="AQ224" s="920">
        <f>_xlfn.SUMIFS(Покупка!AP$25:AP$87,Покупка!$F$25:$F$87,$F224,Покупка!$AC$25:$AC$87,$G224)</f>
        <v>0</v>
      </c>
      <c r="AR224" s="920">
        <f>_xlfn.SUMIFS(Покупка!AQ$25:AQ$87,Покупка!$F$25:$F$87,$F224,Покупка!$AC$25:$AC$87,$G224)</f>
        <v>0</v>
      </c>
      <c r="AS224" s="920">
        <f>_xlfn.SUMIFS(Покупка!AR$25:AR$87,Покупка!$F$25:$F$87,$F224,Покупка!$AC$25:$AC$87,$G224)</f>
        <v>0</v>
      </c>
      <c r="AT224" s="920">
        <f>_xlfn.SUMIFS(Покупка!AS$25:AS$87,Покупка!$F$25:$F$87,$F224,Покупка!$AC$25:$AC$87,$G224)</f>
        <v>0</v>
      </c>
      <c r="AU224" s="920">
        <f>_xlfn.SUMIFS(Покупка!AT$25:AT$87,Покупка!$F$25:$F$87,$F224,Покупка!$AC$25:$AC$87,$G224)</f>
        <v>0</v>
      </c>
      <c r="AV224" s="920">
        <f>_xlfn.SUMIFS(Покупка!AU$25:AU$87,Покупка!$F$25:$F$87,$F224,Покупка!$AC$25:$AC$87,$G224)</f>
        <v>0</v>
      </c>
      <c r="AW224" s="920">
        <f>_xlfn.SUMIFS(Покупка!AV$25:AV$87,Покупка!$F$25:$F$87,$F224,Покупка!$AC$25:$AC$87,$G224)</f>
        <v>0</v>
      </c>
      <c r="AX224" s="920">
        <f>_xlfn.SUMIFS(Покупка!AW$25:AW$87,Покупка!$F$25:$F$87,$F224,Покупка!$AC$25:$AC$87,$G224)</f>
        <v>0</v>
      </c>
      <c r="AY224" s="920">
        <f>_xlfn.SUMIFS(Покупка!AX$25:AX$87,Покупка!$F$25:$F$87,$F224,Покупка!$AC$25:$AC$87,$G224)</f>
        <v>0</v>
      </c>
      <c r="AZ224" s="920">
        <f>_xlfn.SUMIFS(Покупка!AY$25:AY$87,Покупка!$F$25:$F$87,$F224,Покупка!$AC$25:$AC$87,$G224)</f>
        <v>0</v>
      </c>
      <c r="BA224" s="920">
        <f>_xlfn.SUMIFS(Покупка!AZ$25:AZ$87,Покупка!$F$25:$F$87,$F224,Покупка!$AC$25:$AC$87,$G224)</f>
        <v>0</v>
      </c>
      <c r="BB224" s="920">
        <f>_xlfn.SUMIFS(Покупка!BA$25:BA$87,Покупка!$F$25:$F$87,$F224,Покупка!$AC$25:$AC$87,$G224)</f>
        <v>0</v>
      </c>
      <c r="BC224" s="920">
        <f>_xlfn.SUMIFS(Покупка!BB$25:BB$87,Покупка!$F$25:$F$87,$F224,Покупка!$AC$25:$AC$87,$G224)</f>
        <v>0</v>
      </c>
      <c r="BD224" s="920">
        <f>IF(AI224=0,0,(AT224-AI224)/AI224*100)</f>
        <v>0</v>
      </c>
      <c r="BE224" s="920">
        <f>IF(AT224=0,0,(AU224-AT224)/AT224*100)</f>
        <v>0</v>
      </c>
      <c r="BF224" s="920">
        <f>IF(AU224=0,0,(AV224-AU224)/AU224*100)</f>
        <v>0</v>
      </c>
      <c r="BG224" s="920">
        <f>IF(AV224=0,0,(AW224-AV224)/AV224*100)</f>
        <v>0</v>
      </c>
      <c r="BH224" s="920">
        <f>IF(AW224=0,0,(AX224-AW224)/AW224*100)</f>
        <v>0</v>
      </c>
      <c r="BI224" s="920">
        <f>IF(AX224=0,0,(AY224-AX224)/AX224*100)</f>
        <v>0</v>
      </c>
      <c r="BJ224" s="920">
        <f>IF(AY224=0,0,(AZ224-AY224)/AY224*100)</f>
        <v>0</v>
      </c>
      <c r="BK224" s="920">
        <f>IF(AZ224=0,0,(BA224-AZ224)/AZ224*100)</f>
        <v>0</v>
      </c>
      <c r="BL224" s="920">
        <f>IF(BA224=0,0,(BB224-BA224)/BA224*100)</f>
        <v>0</v>
      </c>
      <c r="BM224" s="920">
        <f>IF(BB224=0,0,(BC224-BB224)/BB224*100)</f>
        <v>0</v>
      </c>
      <c r="BN224" s="3771"/>
      <c r="BO224" s="3725" t="str">
        <f>IF(_xlfn.IFERROR(INDEX(Покупка!$K$26:$L$87,MATCH($F224&amp;"6komm",Покупка!$K$26:$K$87,0),2),"")=0,"",_xlfn.IFERROR(INDEX(Покупка!$K$26:$L$87,MATCH($F224&amp;"6komm",Покупка!$K$26:$K$87,0),2),""))</f>
        <v/>
      </c>
      <c r="BP224" s="3771"/>
      <c r="BQ224" s="1256"/>
      <c r="BR224" s="1256"/>
      <c r="BS224" s="1041" t="s">
        <v>1024</v>
      </c>
      <c r="BT224" s="1041"/>
      <c r="BU224" s="1041"/>
      <c r="BV224" s="956"/>
      <c r="BW224" s="956"/>
    </row>
    <row s="1624" customFormat="1" customHeight="1" ht="14.25">
      <c r="A225" s="1256"/>
      <c r="B225" s="62"/>
      <c r="C225" s="73"/>
      <c r="D225" s="73"/>
      <c r="E225" s="596">
        <v>15</v>
      </c>
      <c r="F225" s="50" cm="1" t="str">
        <f t="array" ref="F225:F225">OFFSET(E225,-1,1)</f>
        <v>1</v>
      </c>
      <c r="G225" s="73" t="s">
        <v>1025</v>
      </c>
      <c r="H225" s="73"/>
      <c r="I225" s="73" t="s">
        <v>1438</v>
      </c>
      <c r="J225" s="73"/>
      <c r="K225" s="73" t="s">
        <v>1438</v>
      </c>
      <c r="L225" s="957" t="s">
        <v>1215</v>
      </c>
      <c r="M225" s="73"/>
      <c r="N225" s="73"/>
      <c r="O225" s="73"/>
      <c r="P225" s="73"/>
      <c r="Q225" s="73"/>
      <c r="R225" s="73"/>
      <c r="S225" s="73"/>
      <c r="T225" s="438" cm="1" t="str">
        <f t="array" ref="T225:T225">T224</f>
        <v>true</v>
      </c>
      <c r="U225" s="73"/>
      <c r="V225" s="73"/>
      <c r="W225" s="1256"/>
      <c r="X225" s="1511"/>
      <c r="Y225" s="1256"/>
      <c r="Z225" s="1494"/>
      <c r="AA225" s="1256"/>
      <c r="AB225" s="265" t="s">
        <v>1882</v>
      </c>
      <c r="AC225" s="741" t="s">
        <v>1883</v>
      </c>
      <c r="AD225" s="266" t="s">
        <v>789</v>
      </c>
      <c r="AE225" s="225">
        <f>_xlfn.SUMIFS(Покупка!AE$25:AE$87,Покупка!$F$25:$F$87,$F225,Покупка!$AC$25:$AC$87,$G225)</f>
        <v>0</v>
      </c>
      <c r="AF225" s="225">
        <f>_xlfn.SUMIFS(Покупка!AF$25:AF$87,Покупка!$F$25:$F$87,$F225,Покупка!$AC$25:$AC$87,$G225)</f>
        <v>0</v>
      </c>
      <c r="AG225" s="225">
        <f>_xlfn.SUMIFS(Покупка!AG$25:AG$87,Покупка!$F$25:$F$87,$F225,Покупка!$AC$25:$AC$87,$G225)</f>
        <v>0</v>
      </c>
      <c r="AH225" s="920">
        <f>AG225-AF225</f>
        <v>0</v>
      </c>
      <c r="AI225" s="920">
        <f>_xlfn.SUMIFS(Покупка!AH$25:AH$87,Покупка!$F$25:$F$87,$F225,Покупка!$AC$25:$AC$87,$G225)</f>
        <v>0</v>
      </c>
      <c r="AJ225" s="920">
        <f>_xlfn.SUMIFS(Покупка!AI$25:AI$87,Покупка!$F$25:$F$87,$F225,Покупка!$AC$25:$AC$87,$G225)</f>
        <v>0</v>
      </c>
      <c r="AK225" s="920">
        <f>_xlfn.SUMIFS(Покупка!AJ$25:AJ$87,Покупка!$F$25:$F$87,$F225,Покупка!$AC$25:$AC$87,$G225)</f>
        <v>0</v>
      </c>
      <c r="AL225" s="920">
        <f>_xlfn.SUMIFS(Покупка!AK$25:AK$87,Покупка!$F$25:$F$87,$F225,Покупка!$AC$25:$AC$87,$G225)</f>
        <v>0</v>
      </c>
      <c r="AM225" s="920">
        <f>_xlfn.SUMIFS(Покупка!AL$25:AL$87,Покупка!$F$25:$F$87,$F225,Покупка!$AC$25:$AC$87,$G225)</f>
        <v>0</v>
      </c>
      <c r="AN225" s="920">
        <f>_xlfn.SUMIFS(Покупка!AM$25:AM$87,Покупка!$F$25:$F$87,$F225,Покупка!$AC$25:$AC$87,$G225)</f>
        <v>0</v>
      </c>
      <c r="AO225" s="920">
        <f>_xlfn.SUMIFS(Покупка!AN$25:AN$87,Покупка!$F$25:$F$87,$F225,Покупка!$AC$25:$AC$87,$G225)</f>
        <v>0</v>
      </c>
      <c r="AP225" s="920">
        <f>_xlfn.SUMIFS(Покупка!AO$25:AO$87,Покупка!$F$25:$F$87,$F225,Покупка!$AC$25:$AC$87,$G225)</f>
        <v>0</v>
      </c>
      <c r="AQ225" s="920">
        <f>_xlfn.SUMIFS(Покупка!AP$25:AP$87,Покупка!$F$25:$F$87,$F225,Покупка!$AC$25:$AC$87,$G225)</f>
        <v>0</v>
      </c>
      <c r="AR225" s="920">
        <f>_xlfn.SUMIFS(Покупка!AQ$25:AQ$87,Покупка!$F$25:$F$87,$F225,Покупка!$AC$25:$AC$87,$G225)</f>
        <v>0</v>
      </c>
      <c r="AS225" s="920">
        <f>_xlfn.SUMIFS(Покупка!AR$25:AR$87,Покупка!$F$25:$F$87,$F225,Покупка!$AC$25:$AC$87,$G225)</f>
        <v>0</v>
      </c>
      <c r="AT225" s="920">
        <f>_xlfn.SUMIFS(Покупка!AS$25:AS$87,Покупка!$F$25:$F$87,$F225,Покупка!$AC$25:$AC$87,$G225)</f>
        <v>0</v>
      </c>
      <c r="AU225" s="920">
        <f>_xlfn.SUMIFS(Покупка!AT$25:AT$87,Покупка!$F$25:$F$87,$F225,Покупка!$AC$25:$AC$87,$G225)</f>
        <v>0</v>
      </c>
      <c r="AV225" s="920">
        <f>_xlfn.SUMIFS(Покупка!AU$25:AU$87,Покупка!$F$25:$F$87,$F225,Покупка!$AC$25:$AC$87,$G225)</f>
        <v>0</v>
      </c>
      <c r="AW225" s="920">
        <f>_xlfn.SUMIFS(Покупка!AV$25:AV$87,Покупка!$F$25:$F$87,$F225,Покупка!$AC$25:$AC$87,$G225)</f>
        <v>0</v>
      </c>
      <c r="AX225" s="920">
        <f>_xlfn.SUMIFS(Покупка!AW$25:AW$87,Покупка!$F$25:$F$87,$F225,Покупка!$AC$25:$AC$87,$G225)</f>
        <v>0</v>
      </c>
      <c r="AY225" s="920">
        <f>_xlfn.SUMIFS(Покупка!AX$25:AX$87,Покупка!$F$25:$F$87,$F225,Покупка!$AC$25:$AC$87,$G225)</f>
        <v>0</v>
      </c>
      <c r="AZ225" s="920">
        <f>_xlfn.SUMIFS(Покупка!AY$25:AY$87,Покупка!$F$25:$F$87,$F225,Покупка!$AC$25:$AC$87,$G225)</f>
        <v>0</v>
      </c>
      <c r="BA225" s="920">
        <f>_xlfn.SUMIFS(Покупка!AZ$25:AZ$87,Покупка!$F$25:$F$87,$F225,Покупка!$AC$25:$AC$87,$G225)</f>
        <v>0</v>
      </c>
      <c r="BB225" s="920">
        <f>_xlfn.SUMIFS(Покупка!BA$25:BA$87,Покупка!$F$25:$F$87,$F225,Покупка!$AC$25:$AC$87,$G225)</f>
        <v>0</v>
      </c>
      <c r="BC225" s="920">
        <f>_xlfn.SUMIFS(Покупка!BB$25:BB$87,Покупка!$F$25:$F$87,$F225,Покупка!$AC$25:$AC$87,$G225)</f>
        <v>0</v>
      </c>
      <c r="BD225" s="920">
        <f>IF(AI225=0,0,(AT225-AI225)/AI225*100)</f>
        <v>0</v>
      </c>
      <c r="BE225" s="920">
        <f>IF(AT225=0,0,(AU225-AT225)/AT225*100)</f>
        <v>0</v>
      </c>
      <c r="BF225" s="920">
        <f>IF(AU225=0,0,(AV225-AU225)/AU225*100)</f>
        <v>0</v>
      </c>
      <c r="BG225" s="920">
        <f>IF(AV225=0,0,(AW225-AV225)/AV225*100)</f>
        <v>0</v>
      </c>
      <c r="BH225" s="920">
        <f>IF(AW225=0,0,(AX225-AW225)/AW225*100)</f>
        <v>0</v>
      </c>
      <c r="BI225" s="920">
        <f>IF(AX225=0,0,(AY225-AX225)/AX225*100)</f>
        <v>0</v>
      </c>
      <c r="BJ225" s="920">
        <f>IF(AY225=0,0,(AZ225-AY225)/AY225*100)</f>
        <v>0</v>
      </c>
      <c r="BK225" s="920">
        <f>IF(AZ225=0,0,(BA225-AZ225)/AZ225*100)</f>
        <v>0</v>
      </c>
      <c r="BL225" s="920">
        <f>IF(BA225=0,0,(BB225-BA225)/BA225*100)</f>
        <v>0</v>
      </c>
      <c r="BM225" s="920">
        <f>IF(BB225=0,0,(BC225-BB225)/BB225*100)</f>
        <v>0</v>
      </c>
      <c r="BN225" s="3771"/>
      <c r="BO225" s="3725" t="str">
        <f>IF(_xlfn.IFERROR(INDEX(Покупка!$K$26:$L$87,MATCH($F225&amp;"7komm",Покупка!$K$26:$K$87,0),2),"")=0,"",_xlfn.IFERROR(INDEX(Покупка!$K$26:$L$87,MATCH($F225&amp;"7komm",Покупка!$K$26:$K$87,0),2),""))</f>
        <v/>
      </c>
      <c r="BP225" s="3771"/>
      <c r="BQ225" s="1256"/>
      <c r="BR225" s="1256"/>
      <c r="BS225" s="1041" t="s">
        <v>1026</v>
      </c>
      <c r="BT225" s="1041"/>
      <c r="BU225" s="1041"/>
      <c r="BV225" s="956"/>
      <c r="BW225" s="956"/>
    </row>
    <row s="1624" customFormat="1" customHeight="1" ht="14.25">
      <c r="A226" s="1256"/>
      <c r="B226" s="62"/>
      <c r="C226" s="73"/>
      <c r="D226" s="73"/>
      <c r="E226" s="596">
        <v>15</v>
      </c>
      <c r="F226" s="50" cm="1" t="str">
        <f t="array" ref="F226:F226">OFFSET(E226,-1,1)</f>
        <v>1</v>
      </c>
      <c r="G226" s="73" t="s">
        <v>1000</v>
      </c>
      <c r="H226" s="73"/>
      <c r="I226" s="73" t="s">
        <v>1513</v>
      </c>
      <c r="J226" s="73"/>
      <c r="K226" s="73" t="s">
        <v>1513</v>
      </c>
      <c r="L226" s="957" t="s">
        <v>1383</v>
      </c>
      <c r="M226" s="73"/>
      <c r="N226" s="73"/>
      <c r="O226" s="73"/>
      <c r="P226" s="73"/>
      <c r="Q226" s="73"/>
      <c r="R226" s="73"/>
      <c r="S226" s="73"/>
      <c r="T226" s="438" cm="1" t="str">
        <f t="array" ref="T226:T226">T225</f>
        <v>true</v>
      </c>
      <c r="U226" s="73"/>
      <c r="V226" s="73"/>
      <c r="W226" s="1256"/>
      <c r="X226" s="1511"/>
      <c r="Y226" s="1256"/>
      <c r="Z226" s="1494"/>
      <c r="AA226" s="1256"/>
      <c r="AB226" s="265" t="s">
        <v>1884</v>
      </c>
      <c r="AC226" s="741" t="s">
        <v>1885</v>
      </c>
      <c r="AD226" s="266" t="s">
        <v>789</v>
      </c>
      <c r="AE226" s="225">
        <f>_xlfn.SUMIFS(Покупка!AE$25:AE$87,Покупка!$F$25:$F$87,$F226,Покупка!$AC$25:$AC$87,$G226)</f>
        <v>0</v>
      </c>
      <c r="AF226" s="225">
        <f>_xlfn.SUMIFS(Покупка!AF$25:AF$87,Покупка!$F$25:$F$87,$F226,Покупка!$AC$25:$AC$87,$G226)</f>
        <v>0</v>
      </c>
      <c r="AG226" s="225">
        <f>_xlfn.SUMIFS(Покупка!AG$25:AG$87,Покупка!$F$25:$F$87,$F226,Покупка!$AC$25:$AC$87,$G226)</f>
        <v>0</v>
      </c>
      <c r="AH226" s="920">
        <f>AG226-AF226</f>
        <v>0</v>
      </c>
      <c r="AI226" s="920">
        <f>_xlfn.SUMIFS(Покупка!AH$25:AH$87,Покупка!$F$25:$F$87,$F226,Покупка!$AC$25:$AC$87,$G226)</f>
        <v>0</v>
      </c>
      <c r="AJ226" s="920">
        <f>_xlfn.SUMIFS(Покупка!AI$25:AI$87,Покупка!$F$25:$F$87,$F226,Покупка!$AC$25:$AC$87,$G226)</f>
        <v>0</v>
      </c>
      <c r="AK226" s="920">
        <f>_xlfn.SUMIFS(Покупка!AJ$25:AJ$87,Покупка!$F$25:$F$87,$F226,Покупка!$AC$25:$AC$87,$G226)</f>
        <v>0</v>
      </c>
      <c r="AL226" s="920">
        <f>_xlfn.SUMIFS(Покупка!AK$25:AK$87,Покупка!$F$25:$F$87,$F226,Покупка!$AC$25:$AC$87,$G226)</f>
        <v>0</v>
      </c>
      <c r="AM226" s="920">
        <f>_xlfn.SUMIFS(Покупка!AL$25:AL$87,Покупка!$F$25:$F$87,$F226,Покупка!$AC$25:$AC$87,$G226)</f>
        <v>0</v>
      </c>
      <c r="AN226" s="920">
        <f>_xlfn.SUMIFS(Покупка!AM$25:AM$87,Покупка!$F$25:$F$87,$F226,Покупка!$AC$25:$AC$87,$G226)</f>
        <v>0</v>
      </c>
      <c r="AO226" s="920">
        <f>_xlfn.SUMIFS(Покупка!AN$25:AN$87,Покупка!$F$25:$F$87,$F226,Покупка!$AC$25:$AC$87,$G226)</f>
        <v>0</v>
      </c>
      <c r="AP226" s="920">
        <f>_xlfn.SUMIFS(Покупка!AO$25:AO$87,Покупка!$F$25:$F$87,$F226,Покупка!$AC$25:$AC$87,$G226)</f>
        <v>0</v>
      </c>
      <c r="AQ226" s="920">
        <f>_xlfn.SUMIFS(Покупка!AP$25:AP$87,Покупка!$F$25:$F$87,$F226,Покупка!$AC$25:$AC$87,$G226)</f>
        <v>0</v>
      </c>
      <c r="AR226" s="920">
        <f>_xlfn.SUMIFS(Покупка!AQ$25:AQ$87,Покупка!$F$25:$F$87,$F226,Покупка!$AC$25:$AC$87,$G226)</f>
        <v>0</v>
      </c>
      <c r="AS226" s="920">
        <f>_xlfn.SUMIFS(Покупка!AR$25:AR$87,Покупка!$F$25:$F$87,$F226,Покупка!$AC$25:$AC$87,$G226)</f>
        <v>0</v>
      </c>
      <c r="AT226" s="920">
        <f>_xlfn.SUMIFS(Покупка!AS$25:AS$87,Покупка!$F$25:$F$87,$F226,Покупка!$AC$25:$AC$87,$G226)</f>
        <v>0</v>
      </c>
      <c r="AU226" s="920">
        <f>_xlfn.SUMIFS(Покупка!AT$25:AT$87,Покупка!$F$25:$F$87,$F226,Покупка!$AC$25:$AC$87,$G226)</f>
        <v>0</v>
      </c>
      <c r="AV226" s="920">
        <f>_xlfn.SUMIFS(Покупка!AU$25:AU$87,Покупка!$F$25:$F$87,$F226,Покупка!$AC$25:$AC$87,$G226)</f>
        <v>0</v>
      </c>
      <c r="AW226" s="920">
        <f>_xlfn.SUMIFS(Покупка!AV$25:AV$87,Покупка!$F$25:$F$87,$F226,Покупка!$AC$25:$AC$87,$G226)</f>
        <v>0</v>
      </c>
      <c r="AX226" s="920">
        <f>_xlfn.SUMIFS(Покупка!AW$25:AW$87,Покупка!$F$25:$F$87,$F226,Покупка!$AC$25:$AC$87,$G226)</f>
        <v>0</v>
      </c>
      <c r="AY226" s="920">
        <f>_xlfn.SUMIFS(Покупка!AX$25:AX$87,Покупка!$F$25:$F$87,$F226,Покупка!$AC$25:$AC$87,$G226)</f>
        <v>0</v>
      </c>
      <c r="AZ226" s="920">
        <f>_xlfn.SUMIFS(Покупка!AY$25:AY$87,Покупка!$F$25:$F$87,$F226,Покупка!$AC$25:$AC$87,$G226)</f>
        <v>0</v>
      </c>
      <c r="BA226" s="920">
        <f>_xlfn.SUMIFS(Покупка!AZ$25:AZ$87,Покупка!$F$25:$F$87,$F226,Покупка!$AC$25:$AC$87,$G226)</f>
        <v>0</v>
      </c>
      <c r="BB226" s="920">
        <f>_xlfn.SUMIFS(Покупка!BA$25:BA$87,Покупка!$F$25:$F$87,$F226,Покупка!$AC$25:$AC$87,$G226)</f>
        <v>0</v>
      </c>
      <c r="BC226" s="920">
        <f>_xlfn.SUMIFS(Покупка!BB$25:BB$87,Покупка!$F$25:$F$87,$F226,Покупка!$AC$25:$AC$87,$G226)</f>
        <v>0</v>
      </c>
      <c r="BD226" s="920">
        <f>IF(AI226=0,0,(AT226-AI226)/AI226*100)</f>
        <v>0</v>
      </c>
      <c r="BE226" s="920">
        <f>IF(AT226=0,0,(AU226-AT226)/AT226*100)</f>
        <v>0</v>
      </c>
      <c r="BF226" s="920">
        <f>IF(AU226=0,0,(AV226-AU226)/AU226*100)</f>
        <v>0</v>
      </c>
      <c r="BG226" s="920">
        <f>IF(AV226=0,0,(AW226-AV226)/AV226*100)</f>
        <v>0</v>
      </c>
      <c r="BH226" s="920">
        <f>IF(AW226=0,0,(AX226-AW226)/AW226*100)</f>
        <v>0</v>
      </c>
      <c r="BI226" s="920">
        <f>IF(AX226=0,0,(AY226-AX226)/AX226*100)</f>
        <v>0</v>
      </c>
      <c r="BJ226" s="920">
        <f>IF(AY226=0,0,(AZ226-AY226)/AY226*100)</f>
        <v>0</v>
      </c>
      <c r="BK226" s="920">
        <f>IF(AZ226=0,0,(BA226-AZ226)/AZ226*100)</f>
        <v>0</v>
      </c>
      <c r="BL226" s="920">
        <f>IF(BA226=0,0,(BB226-BA226)/BA226*100)</f>
        <v>0</v>
      </c>
      <c r="BM226" s="920">
        <f>IF(BB226=0,0,(BC226-BB226)/BB226*100)</f>
        <v>0</v>
      </c>
      <c r="BN226" s="3771"/>
      <c r="BO226" s="3725" t="str">
        <f>IF(_xlfn.IFERROR(INDEX(Покупка!$K$26:$L$87,MATCH($F226&amp;"2komm",Покупка!$K$26:$K$87,0),2),"")=0,"",_xlfn.IFERROR(INDEX(Покупка!$K$26:$L$87,MATCH($F226&amp;"2komm",Покупка!$K$26:$K$87,0),2),""))</f>
        <v/>
      </c>
      <c r="BP226" s="3771"/>
      <c r="BQ226" s="1256"/>
      <c r="BR226" s="1256"/>
      <c r="BS226" s="1041" t="s">
        <v>1886</v>
      </c>
      <c r="BT226" s="1041"/>
      <c r="BU226" s="1041"/>
      <c r="BV226" s="956"/>
      <c r="BW226" s="956"/>
    </row>
    <row s="1624" customFormat="1" customHeight="1" ht="14.25">
      <c r="A227" s="1256"/>
      <c r="B227" s="62"/>
      <c r="C227" s="73"/>
      <c r="D227" s="73"/>
      <c r="E227" s="596">
        <v>15</v>
      </c>
      <c r="F227" s="50" cm="1" t="str">
        <f t="array" ref="F227:F227">OFFSET(E227,-1,1)</f>
        <v>1</v>
      </c>
      <c r="G227" s="73" t="s">
        <v>991</v>
      </c>
      <c r="H227" s="73"/>
      <c r="I227" s="73" t="s">
        <v>1515</v>
      </c>
      <c r="J227" s="73"/>
      <c r="K227" s="73" t="s">
        <v>1515</v>
      </c>
      <c r="L227" s="957" t="s">
        <v>1378</v>
      </c>
      <c r="M227" s="73"/>
      <c r="N227" s="73"/>
      <c r="O227" s="73"/>
      <c r="P227" s="73"/>
      <c r="Q227" s="73"/>
      <c r="R227" s="73"/>
      <c r="S227" s="73"/>
      <c r="T227" s="438" cm="1" t="str">
        <f t="array" ref="T227:T227">T226</f>
        <v>true</v>
      </c>
      <c r="U227" s="73"/>
      <c r="V227" s="73"/>
      <c r="W227" s="1256"/>
      <c r="X227" s="1511"/>
      <c r="Y227" s="1256"/>
      <c r="Z227" s="1494"/>
      <c r="AA227" s="1256"/>
      <c r="AB227" s="265" t="s">
        <v>1887</v>
      </c>
      <c r="AC227" s="741" t="s">
        <v>1888</v>
      </c>
      <c r="AD227" s="266" t="s">
        <v>789</v>
      </c>
      <c r="AE227" s="225">
        <f>_xlfn.SUMIFS(Покупка!AE$25:AE$87,Покупка!$F$25:$F$87,$F227,Покупка!$AC$25:$AC$87,$G227)</f>
        <v>0</v>
      </c>
      <c r="AF227" s="225">
        <f>_xlfn.SUMIFS(Покупка!AF$25:AF$87,Покупка!$F$25:$F$87,$F227,Покупка!$AC$25:$AC$87,$G227)</f>
        <v>0</v>
      </c>
      <c r="AG227" s="225">
        <f>_xlfn.SUMIFS(Покупка!AG$25:AG$87,Покупка!$F$25:$F$87,$F227,Покупка!$AC$25:$AC$87,$G227)</f>
        <v>0</v>
      </c>
      <c r="AH227" s="920">
        <f>AG227-AF227</f>
        <v>0</v>
      </c>
      <c r="AI227" s="920">
        <f>_xlfn.SUMIFS(Покупка!AH$25:AH$87,Покупка!$F$25:$F$87,$F227,Покупка!$AC$25:$AC$87,$G227)</f>
        <v>0</v>
      </c>
      <c r="AJ227" s="920">
        <f>_xlfn.SUMIFS(Покупка!AI$25:AI$87,Покупка!$F$25:$F$87,$F227,Покупка!$AC$25:$AC$87,$G227)</f>
        <v>0</v>
      </c>
      <c r="AK227" s="920">
        <f>_xlfn.SUMIFS(Покупка!AJ$25:AJ$87,Покупка!$F$25:$F$87,$F227,Покупка!$AC$25:$AC$87,$G227)</f>
        <v>0</v>
      </c>
      <c r="AL227" s="920">
        <f>_xlfn.SUMIFS(Покупка!AK$25:AK$87,Покупка!$F$25:$F$87,$F227,Покупка!$AC$25:$AC$87,$G227)</f>
        <v>0</v>
      </c>
      <c r="AM227" s="920">
        <f>_xlfn.SUMIFS(Покупка!AL$25:AL$87,Покупка!$F$25:$F$87,$F227,Покупка!$AC$25:$AC$87,$G227)</f>
        <v>0</v>
      </c>
      <c r="AN227" s="920">
        <f>_xlfn.SUMIFS(Покупка!AM$25:AM$87,Покупка!$F$25:$F$87,$F227,Покупка!$AC$25:$AC$87,$G227)</f>
        <v>0</v>
      </c>
      <c r="AO227" s="920">
        <f>_xlfn.SUMIFS(Покупка!AN$25:AN$87,Покупка!$F$25:$F$87,$F227,Покупка!$AC$25:$AC$87,$G227)</f>
        <v>0</v>
      </c>
      <c r="AP227" s="920">
        <f>_xlfn.SUMIFS(Покупка!AO$25:AO$87,Покупка!$F$25:$F$87,$F227,Покупка!$AC$25:$AC$87,$G227)</f>
        <v>0</v>
      </c>
      <c r="AQ227" s="920">
        <f>_xlfn.SUMIFS(Покупка!AP$25:AP$87,Покупка!$F$25:$F$87,$F227,Покупка!$AC$25:$AC$87,$G227)</f>
        <v>0</v>
      </c>
      <c r="AR227" s="920">
        <f>_xlfn.SUMIFS(Покупка!AQ$25:AQ$87,Покупка!$F$25:$F$87,$F227,Покупка!$AC$25:$AC$87,$G227)</f>
        <v>0</v>
      </c>
      <c r="AS227" s="920">
        <f>_xlfn.SUMIFS(Покупка!AR$25:AR$87,Покупка!$F$25:$F$87,$F227,Покупка!$AC$25:$AC$87,$G227)</f>
        <v>0</v>
      </c>
      <c r="AT227" s="920">
        <f>_xlfn.SUMIFS(Покупка!AS$25:AS$87,Покупка!$F$25:$F$87,$F227,Покупка!$AC$25:$AC$87,$G227)</f>
        <v>0</v>
      </c>
      <c r="AU227" s="920">
        <f>_xlfn.SUMIFS(Покупка!AT$25:AT$87,Покупка!$F$25:$F$87,$F227,Покупка!$AC$25:$AC$87,$G227)</f>
        <v>0</v>
      </c>
      <c r="AV227" s="920">
        <f>_xlfn.SUMIFS(Покупка!AU$25:AU$87,Покупка!$F$25:$F$87,$F227,Покупка!$AC$25:$AC$87,$G227)</f>
        <v>0</v>
      </c>
      <c r="AW227" s="920">
        <f>_xlfn.SUMIFS(Покупка!AV$25:AV$87,Покупка!$F$25:$F$87,$F227,Покупка!$AC$25:$AC$87,$G227)</f>
        <v>0</v>
      </c>
      <c r="AX227" s="920">
        <f>_xlfn.SUMIFS(Покупка!AW$25:AW$87,Покупка!$F$25:$F$87,$F227,Покупка!$AC$25:$AC$87,$G227)</f>
        <v>0</v>
      </c>
      <c r="AY227" s="920">
        <f>_xlfn.SUMIFS(Покупка!AX$25:AX$87,Покупка!$F$25:$F$87,$F227,Покупка!$AC$25:$AC$87,$G227)</f>
        <v>0</v>
      </c>
      <c r="AZ227" s="920">
        <f>_xlfn.SUMIFS(Покупка!AY$25:AY$87,Покупка!$F$25:$F$87,$F227,Покупка!$AC$25:$AC$87,$G227)</f>
        <v>0</v>
      </c>
      <c r="BA227" s="920">
        <f>_xlfn.SUMIFS(Покупка!AZ$25:AZ$87,Покупка!$F$25:$F$87,$F227,Покупка!$AC$25:$AC$87,$G227)</f>
        <v>0</v>
      </c>
      <c r="BB227" s="920">
        <f>_xlfn.SUMIFS(Покупка!BA$25:BA$87,Покупка!$F$25:$F$87,$F227,Покупка!$AC$25:$AC$87,$G227)</f>
        <v>0</v>
      </c>
      <c r="BC227" s="920">
        <f>_xlfn.SUMIFS(Покупка!BB$25:BB$87,Покупка!$F$25:$F$87,$F227,Покупка!$AC$25:$AC$87,$G227)</f>
        <v>0</v>
      </c>
      <c r="BD227" s="920">
        <f>IF(AI227=0,0,(AT227-AI227)/AI227*100)</f>
        <v>0</v>
      </c>
      <c r="BE227" s="920">
        <f>IF(AT227=0,0,(AU227-AT227)/AT227*100)</f>
        <v>0</v>
      </c>
      <c r="BF227" s="920">
        <f>IF(AU227=0,0,(AV227-AU227)/AU227*100)</f>
        <v>0</v>
      </c>
      <c r="BG227" s="920">
        <f>IF(AV227=0,0,(AW227-AV227)/AV227*100)</f>
        <v>0</v>
      </c>
      <c r="BH227" s="920">
        <f>IF(AW227=0,0,(AX227-AW227)/AW227*100)</f>
        <v>0</v>
      </c>
      <c r="BI227" s="920">
        <f>IF(AX227=0,0,(AY227-AX227)/AX227*100)</f>
        <v>0</v>
      </c>
      <c r="BJ227" s="920">
        <f>IF(AY227=0,0,(AZ227-AY227)/AY227*100)</f>
        <v>0</v>
      </c>
      <c r="BK227" s="920">
        <f>IF(AZ227=0,0,(BA227-AZ227)/AZ227*100)</f>
        <v>0</v>
      </c>
      <c r="BL227" s="920">
        <f>IF(BA227=0,0,(BB227-BA227)/BA227*100)</f>
        <v>0</v>
      </c>
      <c r="BM227" s="920">
        <f>IF(BB227=0,0,(BC227-BB227)/BB227*100)</f>
        <v>0</v>
      </c>
      <c r="BN227" s="3771"/>
      <c r="BO227" s="3725" t="str">
        <f>IF(_xlfn.IFERROR(INDEX(Покупка!$K$26:$L$87,MATCH($F227&amp;"1komm",Покупка!$K$26:$K$87,0),2),"")=0,"",_xlfn.IFERROR(INDEX(Покупка!$K$26:$L$87,MATCH($F227&amp;"1komm",Покупка!$K$26:$K$87,0),2),""))</f>
        <v/>
      </c>
      <c r="BP227" s="3771"/>
      <c r="BQ227" s="1256"/>
      <c r="BR227" s="1256"/>
      <c r="BS227" s="1041" t="s">
        <v>1889</v>
      </c>
      <c r="BT227" s="1041"/>
      <c r="BU227" s="1041"/>
      <c r="BV227" s="956"/>
      <c r="BW227" s="956"/>
    </row>
    <row s="1624" customFormat="1" customHeight="1" ht="14.25">
      <c r="A228" s="1256"/>
      <c r="B228" s="62"/>
      <c r="C228" s="73"/>
      <c r="D228" s="73"/>
      <c r="E228" s="596">
        <v>15</v>
      </c>
      <c r="F228" s="50" cm="1" t="str">
        <f t="array" ref="F228:F228">OFFSET(E228,-1,1)</f>
        <v>1</v>
      </c>
      <c r="G228" s="73" t="s">
        <v>1027</v>
      </c>
      <c r="H228" s="73"/>
      <c r="I228" s="73" t="s">
        <v>1518</v>
      </c>
      <c r="J228" s="73"/>
      <c r="K228" s="73" t="s">
        <v>1518</v>
      </c>
      <c r="L228" s="957"/>
      <c r="M228" s="73"/>
      <c r="N228" s="73"/>
      <c r="O228" s="73"/>
      <c r="P228" s="73"/>
      <c r="Q228" s="73"/>
      <c r="R228" s="73"/>
      <c r="S228" s="73"/>
      <c r="T228" s="438" cm="1" t="str">
        <f t="array" ref="T228:T228">T227</f>
        <v>true</v>
      </c>
      <c r="U228" s="73"/>
      <c r="V228" s="73"/>
      <c r="W228" s="1256"/>
      <c r="X228" s="1511"/>
      <c r="Y228" s="1256"/>
      <c r="Z228" s="1494"/>
      <c r="AA228" s="1256"/>
      <c r="AB228" s="265" t="s">
        <v>1890</v>
      </c>
      <c r="AC228" s="741" t="s">
        <v>1891</v>
      </c>
      <c r="AD228" s="266" t="s">
        <v>789</v>
      </c>
      <c r="AE228" s="225">
        <f>_xlfn.SUMIFS(Покупка!AE$25:AE$87,Покупка!$F$25:$F$87,$F228,Покупка!$AC$25:$AC$87,$G228)</f>
        <v>0</v>
      </c>
      <c r="AF228" s="225">
        <f>_xlfn.SUMIFS(Покупка!AF$25:AF$87,Покупка!$F$25:$F$87,$F228,Покупка!$AC$25:$AC$87,$G228)</f>
        <v>0</v>
      </c>
      <c r="AG228" s="225">
        <f>_xlfn.SUMIFS(Покупка!AG$25:AG$87,Покупка!$F$25:$F$87,$F228,Покупка!$AC$25:$AC$87,$G228)</f>
        <v>0</v>
      </c>
      <c r="AH228" s="920">
        <f>AG228-AF228</f>
        <v>0</v>
      </c>
      <c r="AI228" s="920">
        <f>_xlfn.SUMIFS(Покупка!AH$25:AH$87,Покупка!$F$25:$F$87,$F228,Покупка!$AC$25:$AC$87,$G228)</f>
        <v>0</v>
      </c>
      <c r="AJ228" s="920">
        <f>_xlfn.SUMIFS(Покупка!AI$25:AI$87,Покупка!$F$25:$F$87,$F228,Покупка!$AC$25:$AC$87,$G228)</f>
        <v>0</v>
      </c>
      <c r="AK228" s="920">
        <f>_xlfn.SUMIFS(Покупка!AJ$25:AJ$87,Покупка!$F$25:$F$87,$F228,Покупка!$AC$25:$AC$87,$G228)</f>
        <v>0</v>
      </c>
      <c r="AL228" s="920">
        <f>_xlfn.SUMIFS(Покупка!AK$25:AK$87,Покупка!$F$25:$F$87,$F228,Покупка!$AC$25:$AC$87,$G228)</f>
        <v>0</v>
      </c>
      <c r="AM228" s="920">
        <f>_xlfn.SUMIFS(Покупка!AL$25:AL$87,Покупка!$F$25:$F$87,$F228,Покупка!$AC$25:$AC$87,$G228)</f>
        <v>0</v>
      </c>
      <c r="AN228" s="920">
        <f>_xlfn.SUMIFS(Покупка!AM$25:AM$87,Покупка!$F$25:$F$87,$F228,Покупка!$AC$25:$AC$87,$G228)</f>
        <v>0</v>
      </c>
      <c r="AO228" s="920">
        <f>_xlfn.SUMIFS(Покупка!AN$25:AN$87,Покупка!$F$25:$F$87,$F228,Покупка!$AC$25:$AC$87,$G228)</f>
        <v>0</v>
      </c>
      <c r="AP228" s="920">
        <f>_xlfn.SUMIFS(Покупка!AO$25:AO$87,Покупка!$F$25:$F$87,$F228,Покупка!$AC$25:$AC$87,$G228)</f>
        <v>0</v>
      </c>
      <c r="AQ228" s="920">
        <f>_xlfn.SUMIFS(Покупка!AP$25:AP$87,Покупка!$F$25:$F$87,$F228,Покупка!$AC$25:$AC$87,$G228)</f>
        <v>0</v>
      </c>
      <c r="AR228" s="920">
        <f>_xlfn.SUMIFS(Покупка!AQ$25:AQ$87,Покупка!$F$25:$F$87,$F228,Покупка!$AC$25:$AC$87,$G228)</f>
        <v>0</v>
      </c>
      <c r="AS228" s="920">
        <f>_xlfn.SUMIFS(Покупка!AR$25:AR$87,Покупка!$F$25:$F$87,$F228,Покупка!$AC$25:$AC$87,$G228)</f>
        <v>0</v>
      </c>
      <c r="AT228" s="920">
        <f>_xlfn.SUMIFS(Покупка!AS$25:AS$87,Покупка!$F$25:$F$87,$F228,Покупка!$AC$25:$AC$87,$G228)</f>
        <v>0</v>
      </c>
      <c r="AU228" s="920">
        <f>_xlfn.SUMIFS(Покупка!AT$25:AT$87,Покупка!$F$25:$F$87,$F228,Покупка!$AC$25:$AC$87,$G228)</f>
        <v>0</v>
      </c>
      <c r="AV228" s="920">
        <f>_xlfn.SUMIFS(Покупка!AU$25:AU$87,Покупка!$F$25:$F$87,$F228,Покупка!$AC$25:$AC$87,$G228)</f>
        <v>0</v>
      </c>
      <c r="AW228" s="920">
        <f>_xlfn.SUMIFS(Покупка!AV$25:AV$87,Покупка!$F$25:$F$87,$F228,Покупка!$AC$25:$AC$87,$G228)</f>
        <v>0</v>
      </c>
      <c r="AX228" s="920">
        <f>_xlfn.SUMIFS(Покупка!AW$25:AW$87,Покупка!$F$25:$F$87,$F228,Покупка!$AC$25:$AC$87,$G228)</f>
        <v>0</v>
      </c>
      <c r="AY228" s="920">
        <f>_xlfn.SUMIFS(Покупка!AX$25:AX$87,Покупка!$F$25:$F$87,$F228,Покупка!$AC$25:$AC$87,$G228)</f>
        <v>0</v>
      </c>
      <c r="AZ228" s="920">
        <f>_xlfn.SUMIFS(Покупка!AY$25:AY$87,Покупка!$F$25:$F$87,$F228,Покупка!$AC$25:$AC$87,$G228)</f>
        <v>0</v>
      </c>
      <c r="BA228" s="920">
        <f>_xlfn.SUMIFS(Покупка!AZ$25:AZ$87,Покупка!$F$25:$F$87,$F228,Покупка!$AC$25:$AC$87,$G228)</f>
        <v>0</v>
      </c>
      <c r="BB228" s="920">
        <f>_xlfn.SUMIFS(Покупка!BA$25:BA$87,Покупка!$F$25:$F$87,$F228,Покупка!$AC$25:$AC$87,$G228)</f>
        <v>0</v>
      </c>
      <c r="BC228" s="920">
        <f>_xlfn.SUMIFS(Покупка!BB$25:BB$87,Покупка!$F$25:$F$87,$F228,Покупка!$AC$25:$AC$87,$G228)</f>
        <v>0</v>
      </c>
      <c r="BD228" s="920">
        <f>IF(AI228=0,0,(AT228-AI228)/AI228*100)</f>
        <v>0</v>
      </c>
      <c r="BE228" s="920">
        <f>IF(AT228=0,0,(AU228-AT228)/AT228*100)</f>
        <v>0</v>
      </c>
      <c r="BF228" s="920">
        <f>IF(AU228=0,0,(AV228-AU228)/AU228*100)</f>
        <v>0</v>
      </c>
      <c r="BG228" s="920">
        <f>IF(AV228=0,0,(AW228-AV228)/AV228*100)</f>
        <v>0</v>
      </c>
      <c r="BH228" s="920">
        <f>IF(AW228=0,0,(AX228-AW228)/AW228*100)</f>
        <v>0</v>
      </c>
      <c r="BI228" s="920">
        <f>IF(AX228=0,0,(AY228-AX228)/AX228*100)</f>
        <v>0</v>
      </c>
      <c r="BJ228" s="920">
        <f>IF(AY228=0,0,(AZ228-AY228)/AY228*100)</f>
        <v>0</v>
      </c>
      <c r="BK228" s="920">
        <f>IF(AZ228=0,0,(BA228-AZ228)/AZ228*100)</f>
        <v>0</v>
      </c>
      <c r="BL228" s="920">
        <f>IF(BA228=0,0,(BB228-BA228)/BA228*100)</f>
        <v>0</v>
      </c>
      <c r="BM228" s="920">
        <f>IF(BB228=0,0,(BC228-BB228)/BB228*100)</f>
        <v>0</v>
      </c>
      <c r="BN228" s="3771"/>
      <c r="BO228" s="3725" t="str">
        <f>IF(_xlfn.IFERROR(INDEX(Покупка!$K$26:$L$87,MATCH($F228&amp;"8komm",Покупка!$K$26:$K$87,0),2),"")=0,"",_xlfn.IFERROR(INDEX(Покупка!$K$26:$L$87,MATCH($F228&amp;"8komm",Покупка!$K$26:$K$87,0),2),""))</f>
        <v/>
      </c>
      <c r="BP228" s="3771"/>
      <c r="BQ228" s="1256"/>
      <c r="BR228" s="1256"/>
      <c r="BS228" s="1041" t="s">
        <v>1028</v>
      </c>
      <c r="BT228" s="1041"/>
      <c r="BU228" s="1041"/>
      <c r="BV228" s="956"/>
      <c r="BW228" s="956"/>
    </row>
    <row s="1624" customFormat="1" customHeight="1" ht="14.25">
      <c r="A229" s="1256"/>
      <c r="B229" s="62"/>
      <c r="C229" s="73"/>
      <c r="D229" s="73"/>
      <c r="E229" s="596">
        <v>15</v>
      </c>
      <c r="F229" s="50" cm="1" t="str">
        <f t="array" ref="F229:F229">OFFSET(E229,-1,1)</f>
        <v>1</v>
      </c>
      <c r="G229" s="73"/>
      <c r="H229" s="73"/>
      <c r="I229" s="73" t="s">
        <v>1892</v>
      </c>
      <c r="J229" s="73"/>
      <c r="K229" s="73" t="s">
        <v>1892</v>
      </c>
      <c r="L229" s="957"/>
      <c r="M229" s="73"/>
      <c r="N229" s="73"/>
      <c r="O229" s="73"/>
      <c r="P229" s="73"/>
      <c r="Q229" s="73"/>
      <c r="R229" s="73"/>
      <c r="S229" s="73"/>
      <c r="T229" s="438" cm="1" t="str">
        <f t="array" ref="T229:T229">T228</f>
        <v>true</v>
      </c>
      <c r="U229" s="73"/>
      <c r="V229" s="73"/>
      <c r="W229" s="1256"/>
      <c r="X229" s="1511"/>
      <c r="Y229" s="1256"/>
      <c r="Z229" s="1494"/>
      <c r="AA229" s="1256"/>
      <c r="AB229" s="265" t="s">
        <v>1893</v>
      </c>
      <c r="AC229" s="741" t="s">
        <v>1894</v>
      </c>
      <c r="AD229" s="266" t="s">
        <v>789</v>
      </c>
      <c r="AE229" s="3701"/>
      <c r="AF229" s="3701"/>
      <c r="AG229" s="3701"/>
      <c r="AH229" s="920">
        <f>AG229-AF229</f>
        <v>0</v>
      </c>
      <c r="AI229" s="3707"/>
      <c r="AJ229" s="3707"/>
      <c r="AK229" s="3707"/>
      <c r="AL229" s="3707"/>
      <c r="AM229" s="3707"/>
      <c r="AN229" s="3707"/>
      <c r="AO229" s="3707"/>
      <c r="AP229" s="3707"/>
      <c r="AQ229" s="3707"/>
      <c r="AR229" s="3707"/>
      <c r="AS229" s="3707"/>
      <c r="AT229" s="3707"/>
      <c r="AU229" s="3707"/>
      <c r="AV229" s="3707"/>
      <c r="AW229" s="3707"/>
      <c r="AX229" s="3707"/>
      <c r="AY229" s="3707"/>
      <c r="AZ229" s="3707"/>
      <c r="BA229" s="3707"/>
      <c r="BB229" s="3707"/>
      <c r="BC229" s="3707"/>
      <c r="BD229" s="920">
        <f>IF(AI229=0,0,(AT229-AI229)/AI229*100)</f>
        <v>0</v>
      </c>
      <c r="BE229" s="920">
        <f>IF(AT229=0,0,(AU229-AT229)/AT229*100)</f>
        <v>0</v>
      </c>
      <c r="BF229" s="920">
        <f>IF(AU229=0,0,(AV229-AU229)/AU229*100)</f>
        <v>0</v>
      </c>
      <c r="BG229" s="920">
        <f>IF(AV229=0,0,(AW229-AV229)/AV229*100)</f>
        <v>0</v>
      </c>
      <c r="BH229" s="920">
        <f>IF(AW229=0,0,(AX229-AW229)/AW229*100)</f>
        <v>0</v>
      </c>
      <c r="BI229" s="920">
        <f>IF(AX229=0,0,(AY229-AX229)/AX229*100)</f>
        <v>0</v>
      </c>
      <c r="BJ229" s="920">
        <f>IF(AY229=0,0,(AZ229-AY229)/AY229*100)</f>
        <v>0</v>
      </c>
      <c r="BK229" s="920">
        <f>IF(AZ229=0,0,(BA229-AZ229)/AZ229*100)</f>
        <v>0</v>
      </c>
      <c r="BL229" s="920">
        <f>IF(BA229=0,0,(BB229-BA229)/BA229*100)</f>
        <v>0</v>
      </c>
      <c r="BM229" s="920">
        <f>IF(BB229=0,0,(BC229-BB229)/BB229*100)</f>
        <v>0</v>
      </c>
      <c r="BN229" s="3771"/>
      <c r="BO229" s="3771"/>
      <c r="BP229" s="3771"/>
      <c r="BQ229" s="1256"/>
      <c r="BR229" s="1256"/>
      <c r="BS229" s="1041" t="s">
        <v>1895</v>
      </c>
      <c r="BT229" s="1041"/>
      <c r="BU229" s="1041"/>
      <c r="BV229" s="956"/>
      <c r="BW229" s="956"/>
    </row>
    <row s="1624" customFormat="1" customHeight="1" ht="14.25">
      <c r="A230" s="1256"/>
      <c r="B230" s="62"/>
      <c r="C230" s="73"/>
      <c r="D230" s="73"/>
      <c r="E230" s="596">
        <v>15</v>
      </c>
      <c r="F230" s="50" cm="1" t="str">
        <f t="array" ref="F230:F230">OFFSET(E230,-1,1)</f>
        <v>1</v>
      </c>
      <c r="G230" s="73"/>
      <c r="H230" s="73"/>
      <c r="I230" s="73" t="s">
        <v>1896</v>
      </c>
      <c r="J230" s="73"/>
      <c r="K230" s="73" t="s">
        <v>1896</v>
      </c>
      <c r="L230" s="957"/>
      <c r="M230" s="73"/>
      <c r="N230" s="73"/>
      <c r="O230" s="73"/>
      <c r="P230" s="73"/>
      <c r="Q230" s="73"/>
      <c r="R230" s="73"/>
      <c r="S230" s="73"/>
      <c r="T230" s="438" cm="1" t="str">
        <f t="array" ref="T230:T230">T229</f>
        <v>true</v>
      </c>
      <c r="U230" s="73"/>
      <c r="V230" s="73"/>
      <c r="W230" s="1256"/>
      <c r="X230" s="1511"/>
      <c r="Y230" s="1256"/>
      <c r="Z230" s="1494"/>
      <c r="AA230" s="1256"/>
      <c r="AB230" s="265" t="s">
        <v>1897</v>
      </c>
      <c r="AC230" s="741" t="s">
        <v>1898</v>
      </c>
      <c r="AD230" s="266" t="s">
        <v>789</v>
      </c>
      <c r="AE230" s="3701"/>
      <c r="AF230" s="3701"/>
      <c r="AG230" s="3701"/>
      <c r="AH230" s="920">
        <f>AG230-AF230</f>
        <v>0</v>
      </c>
      <c r="AI230" s="3707"/>
      <c r="AJ230" s="3707"/>
      <c r="AK230" s="3707"/>
      <c r="AL230" s="3707"/>
      <c r="AM230" s="3707"/>
      <c r="AN230" s="3707"/>
      <c r="AO230" s="3707"/>
      <c r="AP230" s="3707"/>
      <c r="AQ230" s="3707"/>
      <c r="AR230" s="3707"/>
      <c r="AS230" s="3707"/>
      <c r="AT230" s="3707"/>
      <c r="AU230" s="3707"/>
      <c r="AV230" s="3707"/>
      <c r="AW230" s="3707"/>
      <c r="AX230" s="3707"/>
      <c r="AY230" s="3707"/>
      <c r="AZ230" s="3707"/>
      <c r="BA230" s="3707"/>
      <c r="BB230" s="3707"/>
      <c r="BC230" s="3707"/>
      <c r="BD230" s="920">
        <f>IF(AI230=0,0,(AT230-AI230)/AI230*100)</f>
        <v>0</v>
      </c>
      <c r="BE230" s="920">
        <f>IF(AT230=0,0,(AU230-AT230)/AT230*100)</f>
        <v>0</v>
      </c>
      <c r="BF230" s="920">
        <f>IF(AU230=0,0,(AV230-AU230)/AU230*100)</f>
        <v>0</v>
      </c>
      <c r="BG230" s="920">
        <f>IF(AV230=0,0,(AW230-AV230)/AV230*100)</f>
        <v>0</v>
      </c>
      <c r="BH230" s="920">
        <f>IF(AW230=0,0,(AX230-AW230)/AW230*100)</f>
        <v>0</v>
      </c>
      <c r="BI230" s="920">
        <f>IF(AX230=0,0,(AY230-AX230)/AX230*100)</f>
        <v>0</v>
      </c>
      <c r="BJ230" s="920">
        <f>IF(AY230=0,0,(AZ230-AY230)/AY230*100)</f>
        <v>0</v>
      </c>
      <c r="BK230" s="920">
        <f>IF(AZ230=0,0,(BA230-AZ230)/AZ230*100)</f>
        <v>0</v>
      </c>
      <c r="BL230" s="920">
        <f>IF(BA230=0,0,(BB230-BA230)/BA230*100)</f>
        <v>0</v>
      </c>
      <c r="BM230" s="920">
        <f>IF(BB230=0,0,(BC230-BB230)/BB230*100)</f>
        <v>0</v>
      </c>
      <c r="BN230" s="3771"/>
      <c r="BO230" s="3771"/>
      <c r="BP230" s="3771"/>
      <c r="BQ230" s="1256"/>
      <c r="BR230" s="1256"/>
      <c r="BS230" s="1041" t="s">
        <v>1899</v>
      </c>
      <c r="BT230" s="1041"/>
      <c r="BU230" s="1041"/>
      <c r="BV230" s="956"/>
      <c r="BW230" s="956"/>
    </row>
    <row s="1624" customFormat="1" customHeight="1" ht="14.25">
      <c r="A231" s="1256"/>
      <c r="B231" s="62"/>
      <c r="C231" s="73"/>
      <c r="D231" s="73"/>
      <c r="E231" s="596">
        <v>15</v>
      </c>
      <c r="F231" s="50" cm="1" t="str">
        <f t="array" ref="F231:F231">OFFSET(E231,-1,1)</f>
        <v>1</v>
      </c>
      <c r="G231" s="73" t="s">
        <v>1005</v>
      </c>
      <c r="H231" s="73"/>
      <c r="I231" s="73" t="s">
        <v>1900</v>
      </c>
      <c r="J231" s="73"/>
      <c r="K231" s="73" t="s">
        <v>1900</v>
      </c>
      <c r="L231" s="957" t="s">
        <v>1392</v>
      </c>
      <c r="M231" s="73"/>
      <c r="N231" s="73"/>
      <c r="O231" s="73"/>
      <c r="P231" s="73"/>
      <c r="Q231" s="73"/>
      <c r="R231" s="73"/>
      <c r="S231" s="73"/>
      <c r="T231" s="438" cm="1" t="str">
        <f t="array" ref="T231:T231">T230</f>
        <v>true</v>
      </c>
      <c r="U231" s="73"/>
      <c r="V231" s="73"/>
      <c r="W231" s="1256"/>
      <c r="X231" s="1511"/>
      <c r="Y231" s="1256"/>
      <c r="Z231" s="1494"/>
      <c r="AA231" s="1256"/>
      <c r="AB231" s="265" t="s">
        <v>1901</v>
      </c>
      <c r="AC231" s="741" t="s">
        <v>1902</v>
      </c>
      <c r="AD231" s="266" t="s">
        <v>789</v>
      </c>
      <c r="AE231" s="225">
        <f>_xlfn.SUMIFS(Покупка!AE$25:AE$87,Покупка!$F$25:$F$87,$F231,Покупка!$AC$25:$AC$87,$G231)</f>
        <v>0</v>
      </c>
      <c r="AF231" s="225">
        <f>_xlfn.SUMIFS(Покупка!AF$25:AF$87,Покупка!$F$25:$F$87,$F231,Покупка!$AC$25:$AC$87,$G231)</f>
        <v>0</v>
      </c>
      <c r="AG231" s="225">
        <f>_xlfn.SUMIFS(Покупка!AG$25:AG$87,Покупка!$F$25:$F$87,$F231,Покупка!$AC$25:$AC$87,$G231)</f>
        <v>0</v>
      </c>
      <c r="AH231" s="920">
        <f>AG231-AF231</f>
        <v>0</v>
      </c>
      <c r="AI231" s="920">
        <f>_xlfn.SUMIFS(Покупка!AH$25:AH$87,Покупка!$F$25:$F$87,$F231,Покупка!$AC$25:$AC$87,$G231)</f>
        <v>0</v>
      </c>
      <c r="AJ231" s="920">
        <f>_xlfn.SUMIFS(Покупка!AI$25:AI$87,Покупка!$F$25:$F$87,$F231,Покупка!$AC$25:$AC$87,$G231)</f>
        <v>0</v>
      </c>
      <c r="AK231" s="920">
        <f>_xlfn.SUMIFS(Покупка!AJ$25:AJ$87,Покупка!$F$25:$F$87,$F231,Покупка!$AC$25:$AC$87,$G231)</f>
        <v>0</v>
      </c>
      <c r="AL231" s="920">
        <f>_xlfn.SUMIFS(Покупка!AK$25:AK$87,Покупка!$F$25:$F$87,$F231,Покупка!$AC$25:$AC$87,$G231)</f>
        <v>0</v>
      </c>
      <c r="AM231" s="920">
        <f>_xlfn.SUMIFS(Покупка!AL$25:AL$87,Покупка!$F$25:$F$87,$F231,Покупка!$AC$25:$AC$87,$G231)</f>
        <v>0</v>
      </c>
      <c r="AN231" s="920">
        <f>_xlfn.SUMIFS(Покупка!AM$25:AM$87,Покупка!$F$25:$F$87,$F231,Покупка!$AC$25:$AC$87,$G231)</f>
        <v>0</v>
      </c>
      <c r="AO231" s="920">
        <f>_xlfn.SUMIFS(Покупка!AN$25:AN$87,Покупка!$F$25:$F$87,$F231,Покупка!$AC$25:$AC$87,$G231)</f>
        <v>0</v>
      </c>
      <c r="AP231" s="920">
        <f>_xlfn.SUMIFS(Покупка!AO$25:AO$87,Покупка!$F$25:$F$87,$F231,Покупка!$AC$25:$AC$87,$G231)</f>
        <v>0</v>
      </c>
      <c r="AQ231" s="920">
        <f>_xlfn.SUMIFS(Покупка!AP$25:AP$87,Покупка!$F$25:$F$87,$F231,Покупка!$AC$25:$AC$87,$G231)</f>
        <v>0</v>
      </c>
      <c r="AR231" s="920">
        <f>_xlfn.SUMIFS(Покупка!AQ$25:AQ$87,Покупка!$F$25:$F$87,$F231,Покупка!$AC$25:$AC$87,$G231)</f>
        <v>0</v>
      </c>
      <c r="AS231" s="920">
        <f>_xlfn.SUMIFS(Покупка!AR$25:AR$87,Покупка!$F$25:$F$87,$F231,Покупка!$AC$25:$AC$87,$G231)</f>
        <v>0</v>
      </c>
      <c r="AT231" s="920">
        <f>_xlfn.SUMIFS(Покупка!AS$25:AS$87,Покупка!$F$25:$F$87,$F231,Покупка!$AC$25:$AC$87,$G231)</f>
        <v>0</v>
      </c>
      <c r="AU231" s="920">
        <f>_xlfn.SUMIFS(Покупка!AT$25:AT$87,Покупка!$F$25:$F$87,$F231,Покупка!$AC$25:$AC$87,$G231)</f>
        <v>0</v>
      </c>
      <c r="AV231" s="920">
        <f>_xlfn.SUMIFS(Покупка!AU$25:AU$87,Покупка!$F$25:$F$87,$F231,Покупка!$AC$25:$AC$87,$G231)</f>
        <v>0</v>
      </c>
      <c r="AW231" s="920">
        <f>_xlfn.SUMIFS(Покупка!AV$25:AV$87,Покупка!$F$25:$F$87,$F231,Покупка!$AC$25:$AC$87,$G231)</f>
        <v>0</v>
      </c>
      <c r="AX231" s="920">
        <f>_xlfn.SUMIFS(Покупка!AW$25:AW$87,Покупка!$F$25:$F$87,$F231,Покупка!$AC$25:$AC$87,$G231)</f>
        <v>0</v>
      </c>
      <c r="AY231" s="920">
        <f>_xlfn.SUMIFS(Покупка!AX$25:AX$87,Покупка!$F$25:$F$87,$F231,Покупка!$AC$25:$AC$87,$G231)</f>
        <v>0</v>
      </c>
      <c r="AZ231" s="920">
        <f>_xlfn.SUMIFS(Покупка!AY$25:AY$87,Покупка!$F$25:$F$87,$F231,Покупка!$AC$25:$AC$87,$G231)</f>
        <v>0</v>
      </c>
      <c r="BA231" s="920">
        <f>_xlfn.SUMIFS(Покупка!AZ$25:AZ$87,Покупка!$F$25:$F$87,$F231,Покупка!$AC$25:$AC$87,$G231)</f>
        <v>0</v>
      </c>
      <c r="BB231" s="920">
        <f>_xlfn.SUMIFS(Покупка!BA$25:BA$87,Покупка!$F$25:$F$87,$F231,Покупка!$AC$25:$AC$87,$G231)</f>
        <v>0</v>
      </c>
      <c r="BC231" s="920">
        <f>_xlfn.SUMIFS(Покупка!BB$25:BB$87,Покупка!$F$25:$F$87,$F231,Покупка!$AC$25:$AC$87,$G231)</f>
        <v>0</v>
      </c>
      <c r="BD231" s="920">
        <f>IF(AI231=0,0,(AT231-AI231)/AI231*100)</f>
        <v>0</v>
      </c>
      <c r="BE231" s="920">
        <f>IF(AT231=0,0,(AU231-AT231)/AT231*100)</f>
        <v>0</v>
      </c>
      <c r="BF231" s="920">
        <f>IF(AU231=0,0,(AV231-AU231)/AU231*100)</f>
        <v>0</v>
      </c>
      <c r="BG231" s="920">
        <f>IF(AV231=0,0,(AW231-AV231)/AV231*100)</f>
        <v>0</v>
      </c>
      <c r="BH231" s="920">
        <f>IF(AW231=0,0,(AX231-AW231)/AW231*100)</f>
        <v>0</v>
      </c>
      <c r="BI231" s="920">
        <f>IF(AX231=0,0,(AY231-AX231)/AX231*100)</f>
        <v>0</v>
      </c>
      <c r="BJ231" s="920">
        <f>IF(AY231=0,0,(AZ231-AY231)/AY231*100)</f>
        <v>0</v>
      </c>
      <c r="BK231" s="920">
        <f>IF(AZ231=0,0,(BA231-AZ231)/AZ231*100)</f>
        <v>0</v>
      </c>
      <c r="BL231" s="920">
        <f>IF(BA231=0,0,(BB231-BA231)/BA231*100)</f>
        <v>0</v>
      </c>
      <c r="BM231" s="920">
        <f>IF(BB231=0,0,(BC231-BB231)/BB231*100)</f>
        <v>0</v>
      </c>
      <c r="BN231" s="3771"/>
      <c r="BO231" s="3725" t="str">
        <f>IF(_xlfn.IFERROR(INDEX(Покупка!$K$26:$L$87,MATCH($F231&amp;"3komm",Покупка!$K$26:$K$87,0),2),"")=0,"",_xlfn.IFERROR(INDEX(Покупка!$K$26:$L$87,MATCH($F231&amp;"3komm",Покупка!$K$26:$K$87,0),2),""))</f>
        <v/>
      </c>
      <c r="BP231" s="3771"/>
      <c r="BQ231" s="1256"/>
      <c r="BR231" s="1256"/>
      <c r="BS231" s="1041" t="s">
        <v>1593</v>
      </c>
      <c r="BT231" s="1041"/>
      <c r="BU231" s="1041"/>
      <c r="BV231" s="956"/>
      <c r="BW231" s="956"/>
    </row>
    <row s="1624" customFormat="1" customHeight="1" ht="14.25">
      <c r="A232" s="1256"/>
      <c r="B232" s="62"/>
      <c r="C232" s="73"/>
      <c r="D232" s="73"/>
      <c r="E232" s="596">
        <v>15</v>
      </c>
      <c r="F232" s="50" cm="1" t="str">
        <f t="array" ref="F232:F232">OFFSET(E232,-1,1)</f>
        <v>1</v>
      </c>
      <c r="G232" s="73" t="s">
        <v>1011</v>
      </c>
      <c r="H232" s="73"/>
      <c r="I232" s="73" t="s">
        <v>1903</v>
      </c>
      <c r="J232" s="73"/>
      <c r="K232" s="73" t="s">
        <v>1903</v>
      </c>
      <c r="L232" s="957" t="s">
        <v>1397</v>
      </c>
      <c r="M232" s="73"/>
      <c r="N232" s="73"/>
      <c r="O232" s="73"/>
      <c r="P232" s="73"/>
      <c r="Q232" s="73"/>
      <c r="R232" s="73"/>
      <c r="S232" s="73"/>
      <c r="T232" s="438" cm="1" t="str">
        <f t="array" ref="T232:T232">T231</f>
        <v>true</v>
      </c>
      <c r="U232" s="73"/>
      <c r="V232" s="73"/>
      <c r="W232" s="1256"/>
      <c r="X232" s="1511"/>
      <c r="Y232" s="1256"/>
      <c r="Z232" s="1494"/>
      <c r="AA232" s="1256"/>
      <c r="AB232" s="265" t="s">
        <v>1904</v>
      </c>
      <c r="AC232" s="741" t="s">
        <v>1905</v>
      </c>
      <c r="AD232" s="266" t="s">
        <v>789</v>
      </c>
      <c r="AE232" s="225">
        <f>_xlfn.SUMIFS(Покупка!AE$25:AE$87,Покупка!$F$25:$F$87,$F232,Покупка!$AC$25:$AC$87,$G232)</f>
        <v>0</v>
      </c>
      <c r="AF232" s="225">
        <f>_xlfn.SUMIFS(Покупка!AF$25:AF$87,Покупка!$F$25:$F$87,$F232,Покупка!$AC$25:$AC$87,$G232)</f>
        <v>0</v>
      </c>
      <c r="AG232" s="225">
        <f>_xlfn.SUMIFS(Покупка!AG$25:AG$87,Покупка!$F$25:$F$87,$F232,Покупка!$AC$25:$AC$87,$G232)</f>
        <v>0</v>
      </c>
      <c r="AH232" s="920">
        <f>AG232-AF232</f>
        <v>0</v>
      </c>
      <c r="AI232" s="920">
        <f>_xlfn.SUMIFS(Покупка!AH$25:AH$87,Покупка!$F$25:$F$87,$F232,Покупка!$AC$25:$AC$87,$G232)</f>
        <v>0</v>
      </c>
      <c r="AJ232" s="920">
        <f>_xlfn.SUMIFS(Покупка!AI$25:AI$87,Покупка!$F$25:$F$87,$F232,Покупка!$AC$25:$AC$87,$G232)</f>
        <v>0</v>
      </c>
      <c r="AK232" s="920">
        <f>_xlfn.SUMIFS(Покупка!AJ$25:AJ$87,Покупка!$F$25:$F$87,$F232,Покупка!$AC$25:$AC$87,$G232)</f>
        <v>0</v>
      </c>
      <c r="AL232" s="920">
        <f>_xlfn.SUMIFS(Покупка!AK$25:AK$87,Покупка!$F$25:$F$87,$F232,Покупка!$AC$25:$AC$87,$G232)</f>
        <v>0</v>
      </c>
      <c r="AM232" s="920">
        <f>_xlfn.SUMIFS(Покупка!AL$25:AL$87,Покупка!$F$25:$F$87,$F232,Покупка!$AC$25:$AC$87,$G232)</f>
        <v>0</v>
      </c>
      <c r="AN232" s="920">
        <f>_xlfn.SUMIFS(Покупка!AM$25:AM$87,Покупка!$F$25:$F$87,$F232,Покупка!$AC$25:$AC$87,$G232)</f>
        <v>0</v>
      </c>
      <c r="AO232" s="920">
        <f>_xlfn.SUMIFS(Покупка!AN$25:AN$87,Покупка!$F$25:$F$87,$F232,Покупка!$AC$25:$AC$87,$G232)</f>
        <v>0</v>
      </c>
      <c r="AP232" s="920">
        <f>_xlfn.SUMIFS(Покупка!AO$25:AO$87,Покупка!$F$25:$F$87,$F232,Покупка!$AC$25:$AC$87,$G232)</f>
        <v>0</v>
      </c>
      <c r="AQ232" s="920">
        <f>_xlfn.SUMIFS(Покупка!AP$25:AP$87,Покупка!$F$25:$F$87,$F232,Покупка!$AC$25:$AC$87,$G232)</f>
        <v>0</v>
      </c>
      <c r="AR232" s="920">
        <f>_xlfn.SUMIFS(Покупка!AQ$25:AQ$87,Покупка!$F$25:$F$87,$F232,Покупка!$AC$25:$AC$87,$G232)</f>
        <v>0</v>
      </c>
      <c r="AS232" s="920">
        <f>_xlfn.SUMIFS(Покупка!AR$25:AR$87,Покупка!$F$25:$F$87,$F232,Покупка!$AC$25:$AC$87,$G232)</f>
        <v>0</v>
      </c>
      <c r="AT232" s="920">
        <f>_xlfn.SUMIFS(Покупка!AS$25:AS$87,Покупка!$F$25:$F$87,$F232,Покупка!$AC$25:$AC$87,$G232)</f>
        <v>0</v>
      </c>
      <c r="AU232" s="920">
        <f>_xlfn.SUMIFS(Покупка!AT$25:AT$87,Покупка!$F$25:$F$87,$F232,Покупка!$AC$25:$AC$87,$G232)</f>
        <v>0</v>
      </c>
      <c r="AV232" s="920">
        <f>_xlfn.SUMIFS(Покупка!AU$25:AU$87,Покупка!$F$25:$F$87,$F232,Покупка!$AC$25:$AC$87,$G232)</f>
        <v>0</v>
      </c>
      <c r="AW232" s="920">
        <f>_xlfn.SUMIFS(Покупка!AV$25:AV$87,Покупка!$F$25:$F$87,$F232,Покупка!$AC$25:$AC$87,$G232)</f>
        <v>0</v>
      </c>
      <c r="AX232" s="920">
        <f>_xlfn.SUMIFS(Покупка!AW$25:AW$87,Покупка!$F$25:$F$87,$F232,Покупка!$AC$25:$AC$87,$G232)</f>
        <v>0</v>
      </c>
      <c r="AY232" s="920">
        <f>_xlfn.SUMIFS(Покупка!AX$25:AX$87,Покупка!$F$25:$F$87,$F232,Покупка!$AC$25:$AC$87,$G232)</f>
        <v>0</v>
      </c>
      <c r="AZ232" s="920">
        <f>_xlfn.SUMIFS(Покупка!AY$25:AY$87,Покупка!$F$25:$F$87,$F232,Покупка!$AC$25:$AC$87,$G232)</f>
        <v>0</v>
      </c>
      <c r="BA232" s="920">
        <f>_xlfn.SUMIFS(Покупка!AZ$25:AZ$87,Покупка!$F$25:$F$87,$F232,Покупка!$AC$25:$AC$87,$G232)</f>
        <v>0</v>
      </c>
      <c r="BB232" s="920">
        <f>_xlfn.SUMIFS(Покупка!BA$25:BA$87,Покупка!$F$25:$F$87,$F232,Покупка!$AC$25:$AC$87,$G232)</f>
        <v>0</v>
      </c>
      <c r="BC232" s="920">
        <f>_xlfn.SUMIFS(Покупка!BB$25:BB$87,Покупка!$F$25:$F$87,$F232,Покупка!$AC$25:$AC$87,$G232)</f>
        <v>0</v>
      </c>
      <c r="BD232" s="920">
        <f>IF(AI232=0,0,(AT232-AI232)/AI232*100)</f>
        <v>0</v>
      </c>
      <c r="BE232" s="920">
        <f>IF(AT232=0,0,(AU232-AT232)/AT232*100)</f>
        <v>0</v>
      </c>
      <c r="BF232" s="920">
        <f>IF(AU232=0,0,(AV232-AU232)/AU232*100)</f>
        <v>0</v>
      </c>
      <c r="BG232" s="920">
        <f>IF(AV232=0,0,(AW232-AV232)/AV232*100)</f>
        <v>0</v>
      </c>
      <c r="BH232" s="920">
        <f>IF(AW232=0,0,(AX232-AW232)/AW232*100)</f>
        <v>0</v>
      </c>
      <c r="BI232" s="920">
        <f>IF(AX232=0,0,(AY232-AX232)/AX232*100)</f>
        <v>0</v>
      </c>
      <c r="BJ232" s="920">
        <f>IF(AY232=0,0,(AZ232-AY232)/AY232*100)</f>
        <v>0</v>
      </c>
      <c r="BK232" s="920">
        <f>IF(AZ232=0,0,(BA232-AZ232)/AZ232*100)</f>
        <v>0</v>
      </c>
      <c r="BL232" s="920">
        <f>IF(BA232=0,0,(BB232-BA232)/BA232*100)</f>
        <v>0</v>
      </c>
      <c r="BM232" s="920">
        <f>IF(BB232=0,0,(BC232-BB232)/BB232*100)</f>
        <v>0</v>
      </c>
      <c r="BN232" s="3771"/>
      <c r="BO232" s="3725" t="str">
        <f>IF(_xlfn.IFERROR(INDEX(Покупка!$K$26:$L$87,MATCH($F232&amp;"4komm",Покупка!$K$26:$K$87,0),2),"")=0,"",_xlfn.IFERROR(INDEX(Покупка!$K$26:$L$87,MATCH($F231&amp;"3komm",Покупка!$K$26:$K$87,0),2),""))</f>
        <v/>
      </c>
      <c r="BP232" s="3771"/>
      <c r="BQ232" s="1256"/>
      <c r="BR232" s="1256"/>
      <c r="BS232" s="1041" t="s">
        <v>1596</v>
      </c>
      <c r="BT232" s="1041"/>
      <c r="BU232" s="1041"/>
      <c r="BV232" s="956"/>
      <c r="BW232" s="956"/>
    </row>
    <row s="1624" customFormat="1" customHeight="1" ht="14.25">
      <c r="A233" s="1256"/>
      <c r="B233" s="62"/>
      <c r="C233" s="73"/>
      <c r="D233" s="73"/>
      <c r="E233" s="596">
        <v>15</v>
      </c>
      <c r="F233" s="50" cm="1" t="str">
        <f t="array" ref="F233:F233">OFFSET(E233,-1,1)</f>
        <v>1</v>
      </c>
      <c r="G233" s="73" t="s">
        <v>1017</v>
      </c>
      <c r="H233" s="73"/>
      <c r="I233" s="73" t="s">
        <v>1906</v>
      </c>
      <c r="J233" s="73"/>
      <c r="K233" s="73" t="s">
        <v>1906</v>
      </c>
      <c r="L233" s="957" t="s">
        <v>1407</v>
      </c>
      <c r="M233" s="73"/>
      <c r="N233" s="73"/>
      <c r="O233" s="73"/>
      <c r="P233" s="73"/>
      <c r="Q233" s="73"/>
      <c r="R233" s="73"/>
      <c r="S233" s="73"/>
      <c r="T233" s="438" cm="1" t="str">
        <f t="array" ref="T233:T233">T232</f>
        <v>true</v>
      </c>
      <c r="U233" s="73"/>
      <c r="V233" s="73"/>
      <c r="W233" s="1256"/>
      <c r="X233" s="1511"/>
      <c r="Y233" s="1256"/>
      <c r="Z233" s="1494"/>
      <c r="AA233" s="1256"/>
      <c r="AB233" s="265" t="s">
        <v>1907</v>
      </c>
      <c r="AC233" s="741" t="s">
        <v>1908</v>
      </c>
      <c r="AD233" s="266" t="s">
        <v>789</v>
      </c>
      <c r="AE233" s="225">
        <f>_xlfn.SUMIFS(Покупка!AE$25:AE$87,Покупка!$F$25:$F$87,$F233,Покупка!$AC$25:$AC$87,$G233)</f>
        <v>0</v>
      </c>
      <c r="AF233" s="225">
        <f>_xlfn.SUMIFS(Покупка!AF$25:AF$87,Покупка!$F$25:$F$87,$F233,Покупка!$AC$25:$AC$87,$G233)</f>
        <v>0</v>
      </c>
      <c r="AG233" s="225">
        <f>_xlfn.SUMIFS(Покупка!AG$25:AG$87,Покупка!$F$25:$F$87,$F233,Покупка!$AC$25:$AC$87,$G233)</f>
        <v>0</v>
      </c>
      <c r="AH233" s="920">
        <f>AG233-AF233</f>
        <v>0</v>
      </c>
      <c r="AI233" s="920">
        <f>_xlfn.SUMIFS(Покупка!AH$25:AH$87,Покупка!$F$25:$F$87,$F233,Покупка!$AC$25:$AC$87,$G233)</f>
        <v>0</v>
      </c>
      <c r="AJ233" s="920">
        <f>_xlfn.SUMIFS(Покупка!AI$25:AI$87,Покупка!$F$25:$F$87,$F233,Покупка!$AC$25:$AC$87,$G233)</f>
        <v>0</v>
      </c>
      <c r="AK233" s="920">
        <f>_xlfn.SUMIFS(Покупка!AJ$25:AJ$87,Покупка!$F$25:$F$87,$F233,Покупка!$AC$25:$AC$87,$G233)</f>
        <v>0</v>
      </c>
      <c r="AL233" s="920">
        <f>_xlfn.SUMIFS(Покупка!AK$25:AK$87,Покупка!$F$25:$F$87,$F233,Покупка!$AC$25:$AC$87,$G233)</f>
        <v>0</v>
      </c>
      <c r="AM233" s="920">
        <f>_xlfn.SUMIFS(Покупка!AL$25:AL$87,Покупка!$F$25:$F$87,$F233,Покупка!$AC$25:$AC$87,$G233)</f>
        <v>0</v>
      </c>
      <c r="AN233" s="920">
        <f>_xlfn.SUMIFS(Покупка!AM$25:AM$87,Покупка!$F$25:$F$87,$F233,Покупка!$AC$25:$AC$87,$G233)</f>
        <v>0</v>
      </c>
      <c r="AO233" s="920">
        <f>_xlfn.SUMIFS(Покупка!AN$25:AN$87,Покупка!$F$25:$F$87,$F233,Покупка!$AC$25:$AC$87,$G233)</f>
        <v>0</v>
      </c>
      <c r="AP233" s="920">
        <f>_xlfn.SUMIFS(Покупка!AO$25:AO$87,Покупка!$F$25:$F$87,$F233,Покупка!$AC$25:$AC$87,$G233)</f>
        <v>0</v>
      </c>
      <c r="AQ233" s="920">
        <f>_xlfn.SUMIFS(Покупка!AP$25:AP$87,Покупка!$F$25:$F$87,$F233,Покупка!$AC$25:$AC$87,$G233)</f>
        <v>0</v>
      </c>
      <c r="AR233" s="920">
        <f>_xlfn.SUMIFS(Покупка!AQ$25:AQ$87,Покупка!$F$25:$F$87,$F233,Покупка!$AC$25:$AC$87,$G233)</f>
        <v>0</v>
      </c>
      <c r="AS233" s="920">
        <f>_xlfn.SUMIFS(Покупка!AR$25:AR$87,Покупка!$F$25:$F$87,$F233,Покупка!$AC$25:$AC$87,$G233)</f>
        <v>0</v>
      </c>
      <c r="AT233" s="920">
        <f>_xlfn.SUMIFS(Покупка!AS$25:AS$87,Покупка!$F$25:$F$87,$F233,Покупка!$AC$25:$AC$87,$G233)</f>
        <v>0</v>
      </c>
      <c r="AU233" s="920">
        <f>_xlfn.SUMIFS(Покупка!AT$25:AT$87,Покупка!$F$25:$F$87,$F233,Покупка!$AC$25:$AC$87,$G233)</f>
        <v>0</v>
      </c>
      <c r="AV233" s="920">
        <f>_xlfn.SUMIFS(Покупка!AU$25:AU$87,Покупка!$F$25:$F$87,$F233,Покупка!$AC$25:$AC$87,$G233)</f>
        <v>0</v>
      </c>
      <c r="AW233" s="920">
        <f>_xlfn.SUMIFS(Покупка!AV$25:AV$87,Покупка!$F$25:$F$87,$F233,Покупка!$AC$25:$AC$87,$G233)</f>
        <v>0</v>
      </c>
      <c r="AX233" s="920">
        <f>_xlfn.SUMIFS(Покупка!AW$25:AW$87,Покупка!$F$25:$F$87,$F233,Покупка!$AC$25:$AC$87,$G233)</f>
        <v>0</v>
      </c>
      <c r="AY233" s="920">
        <f>_xlfn.SUMIFS(Покупка!AX$25:AX$87,Покупка!$F$25:$F$87,$F233,Покупка!$AC$25:$AC$87,$G233)</f>
        <v>0</v>
      </c>
      <c r="AZ233" s="920">
        <f>_xlfn.SUMIFS(Покупка!AY$25:AY$87,Покупка!$F$25:$F$87,$F233,Покупка!$AC$25:$AC$87,$G233)</f>
        <v>0</v>
      </c>
      <c r="BA233" s="920">
        <f>_xlfn.SUMIFS(Покупка!AZ$25:AZ$87,Покупка!$F$25:$F$87,$F233,Покупка!$AC$25:$AC$87,$G233)</f>
        <v>0</v>
      </c>
      <c r="BB233" s="920">
        <f>_xlfn.SUMIFS(Покупка!BA$25:BA$87,Покупка!$F$25:$F$87,$F233,Покупка!$AC$25:$AC$87,$G233)</f>
        <v>0</v>
      </c>
      <c r="BC233" s="920">
        <f>_xlfn.SUMIFS(Покупка!BB$25:BB$87,Покупка!$F$25:$F$87,$F233,Покупка!$AC$25:$AC$87,$G233)</f>
        <v>0</v>
      </c>
      <c r="BD233" s="920">
        <f>IF(AI233=0,0,(AT233-AI233)/AI233*100)</f>
        <v>0</v>
      </c>
      <c r="BE233" s="920">
        <f>IF(AT233=0,0,(AU233-AT233)/AT233*100)</f>
        <v>0</v>
      </c>
      <c r="BF233" s="920">
        <f>IF(AU233=0,0,(AV233-AU233)/AU233*100)</f>
        <v>0</v>
      </c>
      <c r="BG233" s="920">
        <f>IF(AV233=0,0,(AW233-AV233)/AV233*100)</f>
        <v>0</v>
      </c>
      <c r="BH233" s="920">
        <f>IF(AW233=0,0,(AX233-AW233)/AW233*100)</f>
        <v>0</v>
      </c>
      <c r="BI233" s="920">
        <f>IF(AX233=0,0,(AY233-AX233)/AX233*100)</f>
        <v>0</v>
      </c>
      <c r="BJ233" s="920">
        <f>IF(AY233=0,0,(AZ233-AY233)/AY233*100)</f>
        <v>0</v>
      </c>
      <c r="BK233" s="920">
        <f>IF(AZ233=0,0,(BA233-AZ233)/AZ233*100)</f>
        <v>0</v>
      </c>
      <c r="BL233" s="920">
        <f>IF(BA233=0,0,(BB233-BA233)/BA233*100)</f>
        <v>0</v>
      </c>
      <c r="BM233" s="920">
        <f>IF(BB233=0,0,(BC233-BB233)/BB233*100)</f>
        <v>0</v>
      </c>
      <c r="BN233" s="3771"/>
      <c r="BO233" s="3725" t="str">
        <f>IF(_xlfn.IFERROR(INDEX(Покупка!$K$26:$L$87,MATCH($F233&amp;"5komm",Покупка!$K$26:$K$87,0),2),"")=0,"",_xlfn.IFERROR(INDEX(Покупка!$K$26:$L$87,MATCH($F233&amp;"5komm",Покупка!$K$26:$K$87,0),2),""))</f>
        <v/>
      </c>
      <c r="BP233" s="3771"/>
      <c r="BQ233" s="1256"/>
      <c r="BR233" s="1256"/>
      <c r="BS233" s="1041" t="s">
        <v>1599</v>
      </c>
      <c r="BT233" s="1041"/>
      <c r="BU233" s="1041"/>
      <c r="BV233" s="956"/>
      <c r="BW233" s="956"/>
    </row>
    <row s="1211" customFormat="1" customHeight="1" ht="14.25">
      <c r="A234" s="1211"/>
      <c r="B234" s="62"/>
      <c r="C234" s="73"/>
      <c r="D234" s="73"/>
      <c r="E234" s="596">
        <v>15</v>
      </c>
      <c r="F234" s="50" cm="1" t="str">
        <f t="array" ref="F234:F234">OFFSET(E234,-1,1)</f>
        <v>1</v>
      </c>
      <c r="G234" s="73" t="s">
        <v>1029</v>
      </c>
      <c r="H234" s="73"/>
      <c r="I234" s="73"/>
      <c r="J234" s="73"/>
      <c r="K234" s="73"/>
      <c r="L234" s="957" t="s">
        <v>1374</v>
      </c>
      <c r="M234" s="73"/>
      <c r="N234" s="73"/>
      <c r="O234" s="73"/>
      <c r="P234" s="73"/>
      <c r="Q234" s="73"/>
      <c r="R234" s="73"/>
      <c r="S234" s="73"/>
      <c r="T234" s="438" cm="1" t="str">
        <f t="array" ref="T234:T234">T233</f>
        <v>true</v>
      </c>
      <c r="U234" s="73"/>
      <c r="V234" s="73"/>
      <c r="W234" s="1211"/>
      <c r="X234" s="1511"/>
      <c r="Y234" s="1211"/>
      <c r="Z234" s="1494"/>
      <c r="AA234" s="1211"/>
      <c r="AB234" s="265" t="s">
        <v>1909</v>
      </c>
      <c r="AC234" s="741" t="s">
        <v>1910</v>
      </c>
      <c r="AD234" s="266" t="s">
        <v>789</v>
      </c>
      <c r="AE234" s="225">
        <f>_xlfn.SUMIFS(Покупка!AE$25:AE$87,Покупка!$F$25:$F$87,$F234,Покупка!$AC$25:$AC$87,$G234)</f>
        <v>0</v>
      </c>
      <c r="AF234" s="225">
        <f>_xlfn.SUMIFS(Покупка!AF$25:AF$87,Покупка!$F$25:$F$87,$F234,Покупка!$AC$25:$AC$87,$G234)</f>
        <v>0</v>
      </c>
      <c r="AG234" s="225">
        <f>_xlfn.SUMIFS(Покупка!AG$25:AG$87,Покупка!$F$25:$F$87,$F234,Покупка!$AC$25:$AC$87,$G234)</f>
        <v>0</v>
      </c>
      <c r="AH234" s="920">
        <f>AG234-AF234</f>
        <v>0</v>
      </c>
      <c r="AI234" s="920">
        <f>_xlfn.SUMIFS(Покупка!AH$25:AH$87,Покупка!$F$25:$F$87,$F234,Покупка!$AC$25:$AC$87,$G234)</f>
        <v>0</v>
      </c>
      <c r="AJ234" s="1094">
        <f>_xlfn.SUMIFS(Покупка!AI$25:AI$87,Покупка!$F$25:$F$87,$F234,Покупка!$AC$25:$AC$87,$G234)</f>
        <v>0</v>
      </c>
      <c r="AK234" s="1094">
        <f>_xlfn.SUMIFS(Покупка!AJ$25:AJ$87,Покупка!$F$25:$F$87,$F234,Покупка!$AC$25:$AC$87,$G234)</f>
        <v>0</v>
      </c>
      <c r="AL234" s="1094">
        <f>_xlfn.SUMIFS(Покупка!AK$25:AK$87,Покупка!$F$25:$F$87,$F234,Покупка!$AC$25:$AC$87,$G234)</f>
        <v>0</v>
      </c>
      <c r="AM234" s="1094">
        <f>_xlfn.SUMIFS(Покупка!AL$25:AL$87,Покупка!$F$25:$F$87,$F234,Покупка!$AC$25:$AC$87,$G234)</f>
        <v>0</v>
      </c>
      <c r="AN234" s="1094">
        <f>_xlfn.SUMIFS(Покупка!AM$25:AM$87,Покупка!$F$25:$F$87,$F234,Покупка!$AC$25:$AC$87,$G234)</f>
        <v>0</v>
      </c>
      <c r="AO234" s="1094">
        <f>_xlfn.SUMIFS(Покупка!AN$25:AN$87,Покупка!$F$25:$F$87,$F234,Покупка!$AC$25:$AC$87,$G234)</f>
        <v>0</v>
      </c>
      <c r="AP234" s="1094">
        <f>_xlfn.SUMIFS(Покупка!AO$25:AO$87,Покупка!$F$25:$F$87,$F234,Покупка!$AC$25:$AC$87,$G234)</f>
        <v>0</v>
      </c>
      <c r="AQ234" s="1094">
        <f>_xlfn.SUMIFS(Покупка!AP$25:AP$87,Покупка!$F$25:$F$87,$F234,Покупка!$AC$25:$AC$87,$G234)</f>
        <v>0</v>
      </c>
      <c r="AR234" s="1094">
        <f>_xlfn.SUMIFS(Покупка!AQ$25:AQ$87,Покупка!$F$25:$F$87,$F234,Покупка!$AC$25:$AC$87,$G234)</f>
        <v>0</v>
      </c>
      <c r="AS234" s="1094">
        <f>_xlfn.SUMIFS(Покупка!AR$25:AR$87,Покупка!$F$25:$F$87,$F234,Покупка!$AC$25:$AC$87,$G234)</f>
        <v>0</v>
      </c>
      <c r="AT234" s="1094">
        <f>_xlfn.SUMIFS(Покупка!AS$25:AS$87,Покупка!$F$25:$F$87,$F234,Покупка!$AC$25:$AC$87,$G234)</f>
        <v>0</v>
      </c>
      <c r="AU234" s="1094">
        <f>_xlfn.SUMIFS(Покупка!AT$25:AT$87,Покупка!$F$25:$F$87,$F234,Покупка!$AC$25:$AC$87,$G234)</f>
        <v>0</v>
      </c>
      <c r="AV234" s="1094">
        <f>_xlfn.SUMIFS(Покупка!AU$25:AU$87,Покупка!$F$25:$F$87,$F234,Покупка!$AC$25:$AC$87,$G234)</f>
        <v>0</v>
      </c>
      <c r="AW234" s="1094">
        <f>_xlfn.SUMIFS(Покупка!AV$25:AV$87,Покупка!$F$25:$F$87,$F234,Покупка!$AC$25:$AC$87,$G234)</f>
        <v>0</v>
      </c>
      <c r="AX234" s="1094">
        <f>_xlfn.SUMIFS(Покупка!AW$25:AW$87,Покупка!$F$25:$F$87,$F234,Покупка!$AC$25:$AC$87,$G234)</f>
        <v>0</v>
      </c>
      <c r="AY234" s="1094">
        <f>_xlfn.SUMIFS(Покупка!AX$25:AX$87,Покупка!$F$25:$F$87,$F234,Покупка!$AC$25:$AC$87,$G234)</f>
        <v>0</v>
      </c>
      <c r="AZ234" s="1094">
        <f>_xlfn.SUMIFS(Покупка!AY$25:AY$87,Покупка!$F$25:$F$87,$F234,Покупка!$AC$25:$AC$87,$G234)</f>
        <v>0</v>
      </c>
      <c r="BA234" s="1094">
        <f>_xlfn.SUMIFS(Покупка!AZ$25:AZ$87,Покупка!$F$25:$F$87,$F234,Покупка!$AC$25:$AC$87,$G234)</f>
        <v>0</v>
      </c>
      <c r="BB234" s="1094">
        <f>_xlfn.SUMIFS(Покупка!BA$25:BA$87,Покупка!$F$25:$F$87,$F234,Покупка!$AC$25:$AC$87,$G234)</f>
        <v>0</v>
      </c>
      <c r="BC234" s="1094">
        <f>_xlfn.SUMIFS(Покупка!BB$25:BB$87,Покупка!$F$25:$F$87,$F234,Покупка!$AC$25:$AC$87,$G234)</f>
        <v>0</v>
      </c>
      <c r="BD234" s="920">
        <f>IF(AI234=0,0,(AT234-AI234)/AI234*100)</f>
        <v>0</v>
      </c>
      <c r="BE234" s="920">
        <f>IF(AT234=0,0,(AU234-AT234)/AT234*100)</f>
        <v>0</v>
      </c>
      <c r="BF234" s="920">
        <f>IF(AU234=0,0,(AV234-AU234)/AU234*100)</f>
        <v>0</v>
      </c>
      <c r="BG234" s="920">
        <f>IF(AV234=0,0,(AW234-AV234)/AV234*100)</f>
        <v>0</v>
      </c>
      <c r="BH234" s="920">
        <f>IF(AW234=0,0,(AX234-AW234)/AW234*100)</f>
        <v>0</v>
      </c>
      <c r="BI234" s="920">
        <f>IF(AX234=0,0,(AY234-AX234)/AX234*100)</f>
        <v>0</v>
      </c>
      <c r="BJ234" s="920">
        <f>IF(AY234=0,0,(AZ234-AY234)/AY234*100)</f>
        <v>0</v>
      </c>
      <c r="BK234" s="920">
        <f>IF(AZ234=0,0,(BA234-AZ234)/AZ234*100)</f>
        <v>0</v>
      </c>
      <c r="BL234" s="920">
        <f>IF(BA234=0,0,(BB234-BA234)/BA234*100)</f>
        <v>0</v>
      </c>
      <c r="BM234" s="920">
        <f>IF(BB234=0,0,(BC234-BB234)/BB234*100)</f>
        <v>0</v>
      </c>
      <c r="BN234" s="3771"/>
      <c r="BO234" s="3725" t="str">
        <f>IF(_xlfn.IFERROR(INDEX(Покупка!$K$26:$L$87,MATCH($F234&amp;"9komm",Покупка!$K$26:$K$87,0),2),"")=0,"",_xlfn.IFERROR(INDEX(Покупка!$K$26:$L$87,MATCH($F234&amp;"9komm",Покупка!$K$26:$K$87,0),2),""))</f>
        <v/>
      </c>
      <c r="BP234" s="3771"/>
      <c r="BQ234" s="1211"/>
      <c r="BR234" s="1211"/>
      <c r="BS234" s="1041" t="s">
        <v>1030</v>
      </c>
      <c r="BT234" s="1041"/>
      <c r="BU234" s="1041"/>
      <c r="BV234" s="679"/>
      <c r="BW234" s="679"/>
    </row>
    <row s="1624" customFormat="1" customHeight="1" ht="14.25">
      <c r="A235" s="1256"/>
      <c r="B235" s="62"/>
      <c r="C235" s="73"/>
      <c r="D235" s="73"/>
      <c r="E235" s="596">
        <v>15</v>
      </c>
      <c r="F235" s="50" cm="1" t="str">
        <f t="array" ref="F235:F235">OFFSET(E235,-1,1)</f>
        <v>1</v>
      </c>
      <c r="G235" s="73"/>
      <c r="H235" s="73"/>
      <c r="I235" s="73" t="s">
        <v>455</v>
      </c>
      <c r="J235" s="73"/>
      <c r="K235" s="73" t="s">
        <v>455</v>
      </c>
      <c r="L235" s="957"/>
      <c r="M235" s="73"/>
      <c r="N235" s="73"/>
      <c r="O235" s="73"/>
      <c r="P235" s="73"/>
      <c r="Q235" s="73"/>
      <c r="R235" s="73"/>
      <c r="S235" s="73"/>
      <c r="T235" s="438" cm="1" t="str">
        <f t="array" ref="T235:T235">T234</f>
        <v>true</v>
      </c>
      <c r="U235" s="73"/>
      <c r="V235" s="73"/>
      <c r="W235" s="1256"/>
      <c r="X235" s="1511"/>
      <c r="Y235" s="1256"/>
      <c r="Z235" s="1494"/>
      <c r="AA235" s="1256"/>
      <c r="AB235" s="265" t="s">
        <v>513</v>
      </c>
      <c r="AC235" s="738" t="s">
        <v>1911</v>
      </c>
      <c r="AD235" s="755" t="s">
        <v>789</v>
      </c>
      <c r="AE235" s="225">
        <f>_xlfn.SUMIFS('Сырье и материалы'!AE$25:AE$35,'Сырье и материалы'!$F$25:$F$35,$F235,'Сырье и материалы'!$AC$25:$AC$35,"Всего по тарифу")</f>
        <v>0</v>
      </c>
      <c r="AF235" s="225">
        <f>_xlfn.SUMIFS('Сырье и материалы'!AF$25:AF$35,'Сырье и материалы'!$F$25:$F$35,$F235,'Сырье и материалы'!$AC$25:$AC$35,"Всего по тарифу")</f>
        <v>0</v>
      </c>
      <c r="AG235" s="225">
        <f>_xlfn.SUMIFS('Сырье и материалы'!AG$25:AG$35,'Сырье и материалы'!$F$25:$F$35,$F235,'Сырье и материалы'!$AC$25:$AC$35,"Всего по тарифу")</f>
        <v>0</v>
      </c>
      <c r="AH235" s="920">
        <f>AG235-AF235</f>
        <v>0</v>
      </c>
      <c r="AI235" s="920">
        <f>_xlfn.SUMIFS('Сырье и материалы'!AH$25:AH$35,'Сырье и материалы'!$F$25:$F$35,$F235,'Сырье и материалы'!$AC$25:$AC$35,"Всего по тарифу")</f>
        <v>0</v>
      </c>
      <c r="AJ235" s="920">
        <f>_xlfn.SUMIFS('Сырье и материалы'!AI$25:AI$35,'Сырье и материалы'!$F$25:$F$35,$F235,'Сырье и материалы'!$AC$25:$AC$35,"Всего по тарифу")</f>
        <v>0</v>
      </c>
      <c r="AK235" s="920">
        <f>_xlfn.SUMIFS('Сырье и материалы'!AJ$25:AJ$35,'Сырье и материалы'!$F$25:$F$35,$F235,'Сырье и материалы'!$AC$25:$AC$35,"Всего по тарифу")</f>
        <v>0</v>
      </c>
      <c r="AL235" s="920">
        <f>_xlfn.SUMIFS('Сырье и материалы'!AK$25:AK$35,'Сырье и материалы'!$F$25:$F$35,$F235,'Сырье и материалы'!$AC$25:$AC$35,"Всего по тарифу")</f>
        <v>0</v>
      </c>
      <c r="AM235" s="920">
        <f>_xlfn.SUMIFS('Сырье и материалы'!AL$25:AL$35,'Сырье и материалы'!$F$25:$F$35,$F235,'Сырье и материалы'!$AC$25:$AC$35,"Всего по тарифу")</f>
        <v>0</v>
      </c>
      <c r="AN235" s="920">
        <f>_xlfn.SUMIFS('Сырье и материалы'!AM$25:AM$35,'Сырье и материалы'!$F$25:$F$35,$F235,'Сырье и материалы'!$AC$25:$AC$35,"Всего по тарифу")</f>
        <v>0</v>
      </c>
      <c r="AO235" s="920">
        <f>_xlfn.SUMIFS('Сырье и материалы'!AN$25:AN$35,'Сырье и материалы'!$F$25:$F$35,$F235,'Сырье и материалы'!$AC$25:$AC$35,"Всего по тарифу")</f>
        <v>0</v>
      </c>
      <c r="AP235" s="920">
        <f>_xlfn.SUMIFS('Сырье и материалы'!AO$25:AO$35,'Сырье и материалы'!$F$25:$F$35,$F235,'Сырье и материалы'!$AC$25:$AC$35,"Всего по тарифу")</f>
        <v>0</v>
      </c>
      <c r="AQ235" s="920">
        <f>_xlfn.SUMIFS('Сырье и материалы'!AP$25:AP$35,'Сырье и материалы'!$F$25:$F$35,$F235,'Сырье и материалы'!$AC$25:$AC$35,"Всего по тарифу")</f>
        <v>0</v>
      </c>
      <c r="AR235" s="920">
        <f>_xlfn.SUMIFS('Сырье и материалы'!AQ$25:AQ$35,'Сырье и материалы'!$F$25:$F$35,$F235,'Сырье и материалы'!$AC$25:$AC$35,"Всего по тарифу")</f>
        <v>0</v>
      </c>
      <c r="AS235" s="920">
        <f>_xlfn.SUMIFS('Сырье и материалы'!AR$25:AR$35,'Сырье и материалы'!$F$25:$F$35,$F235,'Сырье и материалы'!$AC$25:$AC$35,"Всего по тарифу")</f>
        <v>0</v>
      </c>
      <c r="AT235" s="920">
        <f>_xlfn.SUMIFS('Сырье и материалы'!AS$25:AS$35,'Сырье и материалы'!$F$25:$F$35,$F235,'Сырье и материалы'!$AC$25:$AC$35,"Всего по тарифу")</f>
        <v>0</v>
      </c>
      <c r="AU235" s="920">
        <f>_xlfn.SUMIFS('Сырье и материалы'!AT$25:AT$35,'Сырье и материалы'!$F$25:$F$35,$F235,'Сырье и материалы'!$AC$25:$AC$35,"Всего по тарифу")</f>
        <v>0</v>
      </c>
      <c r="AV235" s="920">
        <f>_xlfn.SUMIFS('Сырье и материалы'!AU$25:AU$35,'Сырье и материалы'!$F$25:$F$35,$F235,'Сырье и материалы'!$AC$25:$AC$35,"Всего по тарифу")</f>
        <v>0</v>
      </c>
      <c r="AW235" s="920">
        <f>_xlfn.SUMIFS('Сырье и материалы'!AV$25:AV$35,'Сырье и материалы'!$F$25:$F$35,$F235,'Сырье и материалы'!$AC$25:$AC$35,"Всего по тарифу")</f>
        <v>0</v>
      </c>
      <c r="AX235" s="920">
        <f>_xlfn.SUMIFS('Сырье и материалы'!AW$25:AW$35,'Сырье и материалы'!$F$25:$F$35,$F235,'Сырье и материалы'!$AC$25:$AC$35,"Всего по тарифу")</f>
        <v>0</v>
      </c>
      <c r="AY235" s="920">
        <f>_xlfn.SUMIFS('Сырье и материалы'!AX$25:AX$35,'Сырье и материалы'!$F$25:$F$35,$F235,'Сырье и материалы'!$AC$25:$AC$35,"Всего по тарифу")</f>
        <v>0</v>
      </c>
      <c r="AZ235" s="920">
        <f>_xlfn.SUMIFS('Сырье и материалы'!AY$25:AY$35,'Сырье и материалы'!$F$25:$F$35,$F235,'Сырье и материалы'!$AC$25:$AC$35,"Всего по тарифу")</f>
        <v>0</v>
      </c>
      <c r="BA235" s="920">
        <f>_xlfn.SUMIFS('Сырье и материалы'!AZ$25:AZ$35,'Сырье и материалы'!$F$25:$F$35,$F235,'Сырье и материалы'!$AC$25:$AC$35,"Всего по тарифу")</f>
        <v>0</v>
      </c>
      <c r="BB235" s="920">
        <f>_xlfn.SUMIFS('Сырье и материалы'!BA$25:BA$35,'Сырье и материалы'!$F$25:$F$35,$F235,'Сырье и материалы'!$AC$25:$AC$35,"Всего по тарифу")</f>
        <v>0</v>
      </c>
      <c r="BC235" s="920">
        <f>_xlfn.SUMIFS('Сырье и материалы'!BB$25:BB$35,'Сырье и материалы'!$F$25:$F$35,$F235,'Сырье и материалы'!$AC$25:$AC$35,"Всего по тарифу")</f>
        <v>0</v>
      </c>
      <c r="BD235" s="920">
        <f>IF(AI235=0,0,(AT235-AI235)/AI235*100)</f>
        <v>0</v>
      </c>
      <c r="BE235" s="920">
        <f>IF(AT235=0,0,(AU235-AT235)/AT235*100)</f>
        <v>0</v>
      </c>
      <c r="BF235" s="920">
        <f>IF(AU235=0,0,(AV235-AU235)/AU235*100)</f>
        <v>0</v>
      </c>
      <c r="BG235" s="920">
        <f>IF(AV235=0,0,(AW235-AV235)/AV235*100)</f>
        <v>0</v>
      </c>
      <c r="BH235" s="920">
        <f>IF(AW235=0,0,(AX235-AW235)/AW235*100)</f>
        <v>0</v>
      </c>
      <c r="BI235" s="920">
        <f>IF(AX235=0,0,(AY235-AX235)/AX235*100)</f>
        <v>0</v>
      </c>
      <c r="BJ235" s="920">
        <f>IF(AY235=0,0,(AZ235-AY235)/AY235*100)</f>
        <v>0</v>
      </c>
      <c r="BK235" s="920">
        <f>IF(AZ235=0,0,(BA235-AZ235)/AZ235*100)</f>
        <v>0</v>
      </c>
      <c r="BL235" s="920">
        <f>IF(BA235=0,0,(BB235-BA235)/BA235*100)</f>
        <v>0</v>
      </c>
      <c r="BM235" s="920">
        <f>IF(BB235=0,0,(BC235-BB235)/BB235*100)</f>
        <v>0</v>
      </c>
      <c r="BN235" s="3771"/>
      <c r="BO235" s="3725" t="str">
        <f>IF(_xlfn.IFERROR(INDEX('Сырье и материалы'!$K$26:$L$35,MATCH($F235&amp;"komm",'Сырье и материалы'!$K$26:$K$35,0),2),"")=0,"",_xlfn.IFERROR(INDEX('Сырье и материалы'!$K$26:$L$35,MATCH($F235&amp;"komm",'Сырье и материалы'!$K$26:$K$35,0),2),""))</f>
        <v/>
      </c>
      <c r="BP235" s="3771"/>
      <c r="BQ235" s="1256"/>
      <c r="BR235" s="1256"/>
      <c r="BS235" s="1041" t="s">
        <v>1572</v>
      </c>
      <c r="BT235" s="1041"/>
      <c r="BU235" s="1041"/>
      <c r="BV235" s="956"/>
      <c r="BW235" s="956"/>
    </row>
    <row s="3773" customFormat="1" customHeight="1" ht="20.25">
      <c r="A236" s="676"/>
      <c r="B236" s="77"/>
      <c r="C236" s="75"/>
      <c r="D236" s="75"/>
      <c r="E236" s="802">
        <v>21</v>
      </c>
      <c r="F236" s="50" cm="1" t="str">
        <f t="array" ref="F236:F236">OFFSET(E236,-1,1)</f>
        <v>1</v>
      </c>
      <c r="G236" s="75"/>
      <c r="H236" s="73"/>
      <c r="I236" s="73" t="s">
        <v>864</v>
      </c>
      <c r="J236" s="75"/>
      <c r="K236" s="73" t="s">
        <v>864</v>
      </c>
      <c r="L236" s="962" t="s">
        <v>488</v>
      </c>
      <c r="M236" s="75"/>
      <c r="N236" s="75"/>
      <c r="O236" s="75"/>
      <c r="P236" s="75"/>
      <c r="Q236" s="75"/>
      <c r="R236" s="75"/>
      <c r="S236" s="75"/>
      <c r="T236" s="438" cm="1" t="str">
        <f t="array" ref="T236:T236">T235</f>
        <v>true</v>
      </c>
      <c r="U236" s="75"/>
      <c r="V236" s="75"/>
      <c r="W236" s="676"/>
      <c r="X236" s="1511"/>
      <c r="Y236" s="676"/>
      <c r="Z236" s="1494"/>
      <c r="AA236" s="676"/>
      <c r="AB236" s="184" t="s">
        <v>517</v>
      </c>
      <c r="AC236" s="327" t="s">
        <v>1912</v>
      </c>
      <c r="AD236" s="177" t="s">
        <v>789</v>
      </c>
      <c r="AE236" s="754">
        <f>SUM(AE237:AE246)</f>
        <v>0</v>
      </c>
      <c r="AF236" s="754">
        <f>SUM(AF237:AF246)</f>
        <v>0</v>
      </c>
      <c r="AG236" s="754">
        <f>SUM(AG237:AG246)</f>
        <v>0</v>
      </c>
      <c r="AH236" s="737">
        <f>AG236-AF236</f>
        <v>0</v>
      </c>
      <c r="AI236" s="737">
        <f>SUM(AI237:AI246)</f>
        <v>0</v>
      </c>
      <c r="AJ236" s="746">
        <f>SUM(AJ237:AJ246)</f>
        <v>0</v>
      </c>
      <c r="AK236" s="737">
        <f>SUM(AK237:AK246)</f>
        <v>0</v>
      </c>
      <c r="AL236" s="737">
        <f>SUM(AL237:AL246)</f>
        <v>0</v>
      </c>
      <c r="AM236" s="737">
        <f>SUM(AM237:AM246)</f>
        <v>0</v>
      </c>
      <c r="AN236" s="737">
        <f>SUM(AN237:AN246)</f>
        <v>0</v>
      </c>
      <c r="AO236" s="737">
        <f>SUM(AO237:AO246)</f>
        <v>0</v>
      </c>
      <c r="AP236" s="737">
        <f>SUM(AP237:AP246)</f>
        <v>0</v>
      </c>
      <c r="AQ236" s="737">
        <f>SUM(AQ237:AQ246)</f>
        <v>0</v>
      </c>
      <c r="AR236" s="737">
        <f>SUM(AR237:AR246)</f>
        <v>0</v>
      </c>
      <c r="AS236" s="737">
        <f>SUM(AS237:AS246)</f>
        <v>0</v>
      </c>
      <c r="AT236" s="746">
        <f>SUM(AT237:AT246)</f>
        <v>0</v>
      </c>
      <c r="AU236" s="737">
        <f>SUM(AU237:AU246)</f>
        <v>0</v>
      </c>
      <c r="AV236" s="737">
        <f>SUM(AV237:AV246)</f>
        <v>0</v>
      </c>
      <c r="AW236" s="737">
        <f>SUM(AW237:AW246)</f>
        <v>0</v>
      </c>
      <c r="AX236" s="737">
        <f>SUM(AX237:AX246)</f>
        <v>0</v>
      </c>
      <c r="AY236" s="737">
        <f>SUM(AY237:AY246)</f>
        <v>0</v>
      </c>
      <c r="AZ236" s="737">
        <f>SUM(AZ237:AZ246)</f>
        <v>0</v>
      </c>
      <c r="BA236" s="737">
        <f>SUM(BA237:BA246)</f>
        <v>0</v>
      </c>
      <c r="BB236" s="737">
        <f>SUM(BB237:BB246)</f>
        <v>0</v>
      </c>
      <c r="BC236" s="737">
        <f>SUM(BC237:BC246)</f>
        <v>0</v>
      </c>
      <c r="BD236" s="737">
        <f>IF(AI236=0,0,(AT236-AI236)/AI236*100)</f>
        <v>0</v>
      </c>
      <c r="BE236" s="737">
        <f>IF(AT236=0,0,(AU236-AT236)/AT236*100)</f>
        <v>0</v>
      </c>
      <c r="BF236" s="737">
        <f>IF(AU236=0,0,(AV236-AU236)/AU236*100)</f>
        <v>0</v>
      </c>
      <c r="BG236" s="737">
        <f>IF(AV236=0,0,(AW236-AV236)/AV236*100)</f>
        <v>0</v>
      </c>
      <c r="BH236" s="737">
        <f>IF(AW236=0,0,(AX236-AW236)/AW236*100)</f>
        <v>0</v>
      </c>
      <c r="BI236" s="737">
        <f>IF(AX236=0,0,(AY236-AX236)/AX236*100)</f>
        <v>0</v>
      </c>
      <c r="BJ236" s="737">
        <f>IF(AY236=0,0,(AZ236-AY236)/AY236*100)</f>
        <v>0</v>
      </c>
      <c r="BK236" s="737">
        <f>IF(AZ236=0,0,(BA236-AZ236)/AZ236*100)</f>
        <v>0</v>
      </c>
      <c r="BL236" s="737">
        <f>IF(BA236=0,0,(BB236-BA236)/BA236*100)</f>
        <v>0</v>
      </c>
      <c r="BM236" s="737">
        <f>IF(BB236=0,0,(BC236-BB236)/BB236*100)</f>
        <v>0</v>
      </c>
      <c r="BN236" s="3619"/>
      <c r="BO236" s="3725" t="str">
        <f>IF(_xlfn.IFERROR(INDEX(Налоги!$K$26:$L$55,MATCH($F236&amp;"komm",Налоги!$K$26:$K$55,0),2),"")=0,"",_xlfn.IFERROR(INDEX(Налоги!$K$26:$L$55,MATCH($F236&amp;"komm",Налоги!$K$26:$K$55,0),2),""))</f>
        <v/>
      </c>
      <c r="BP236" s="3619"/>
      <c r="BQ236" s="676"/>
      <c r="BR236" s="676"/>
      <c r="BS236" s="1047" t="s">
        <v>1146</v>
      </c>
      <c r="BT236" s="1047"/>
      <c r="BU236" s="1047"/>
      <c r="BV236" s="683"/>
      <c r="BW236" s="683"/>
    </row>
    <row s="1624" customFormat="1" customHeight="1" ht="14.25">
      <c r="A237" s="1256"/>
      <c r="B237" s="62"/>
      <c r="C237" s="73"/>
      <c r="D237" s="73"/>
      <c r="E237" s="596">
        <v>15</v>
      </c>
      <c r="F237" s="50" cm="1" t="str">
        <f t="array" ref="F237:F237">OFFSET(E237,-1,1)</f>
        <v>1</v>
      </c>
      <c r="G237" s="898">
        <v>7</v>
      </c>
      <c r="H237" s="73"/>
      <c r="I237" s="73" t="s">
        <v>1913</v>
      </c>
      <c r="J237" s="73"/>
      <c r="K237" s="73" t="s">
        <v>1913</v>
      </c>
      <c r="L237" s="957"/>
      <c r="M237" s="73"/>
      <c r="N237" s="73"/>
      <c r="O237" s="73"/>
      <c r="P237" s="73"/>
      <c r="Q237" s="73"/>
      <c r="R237" s="73"/>
      <c r="S237" s="73"/>
      <c r="T237" s="438" cm="1" t="str">
        <f t="array" ref="T237:T237">T236</f>
        <v>true</v>
      </c>
      <c r="U237" s="73"/>
      <c r="V237" s="73"/>
      <c r="W237" s="1256"/>
      <c r="X237" s="1511"/>
      <c r="Y237" s="1256"/>
      <c r="Z237" s="1494"/>
      <c r="AA237" s="1256"/>
      <c r="AB237" s="265" t="s">
        <v>471</v>
      </c>
      <c r="AC237" s="741" t="s">
        <v>1160</v>
      </c>
      <c r="AD237" s="266" t="s">
        <v>789</v>
      </c>
      <c r="AE237" s="225">
        <f>_xlfn.SUMIFS(Налоги!AE$25:AE$55,Налоги!$F$25:$F$55,$F237,Налоги!$AB$25:$AB$55,$G237)</f>
        <v>0</v>
      </c>
      <c r="AF237" s="225">
        <f>_xlfn.SUMIFS(Налоги!AF$25:AF$55,Налоги!$F$25:$F$55,$F237,Налоги!$AB$25:$AB$55,$G237)</f>
        <v>0</v>
      </c>
      <c r="AG237" s="225">
        <f>_xlfn.SUMIFS(Налоги!AG$25:AG$55,Налоги!$F$25:$F$55,$F237,Налоги!$AB$25:$AB$55,$G237)</f>
        <v>0</v>
      </c>
      <c r="AH237" s="920">
        <f>AG237-AF237</f>
        <v>0</v>
      </c>
      <c r="AI237" s="920">
        <f>_xlfn.SUMIFS(Налоги!AH$25:AH$55,Налоги!$F$25:$F$55,$F237,Налоги!$AB$25:$AB$55,$G237)</f>
        <v>0</v>
      </c>
      <c r="AJ237" s="920">
        <f>_xlfn.SUMIFS(Налоги!AI$25:AI$55,Налоги!$F$25:$F$55,$F237,Налоги!$AB$25:$AB$55,$G237)</f>
        <v>0</v>
      </c>
      <c r="AK237" s="920">
        <f>_xlfn.SUMIFS(Налоги!AJ$25:AJ$55,Налоги!$F$25:$F$55,$F237,Налоги!$AB$25:$AB$55,$G237)</f>
        <v>0</v>
      </c>
      <c r="AL237" s="920">
        <f>_xlfn.SUMIFS(Налоги!AK$25:AK$55,Налоги!$F$25:$F$55,$F237,Налоги!$AB$25:$AB$55,$G237)</f>
        <v>0</v>
      </c>
      <c r="AM237" s="920">
        <f>_xlfn.SUMIFS(Налоги!AL$25:AL$55,Налоги!$F$25:$F$55,$F237,Налоги!$AB$25:$AB$55,$G237)</f>
        <v>0</v>
      </c>
      <c r="AN237" s="920">
        <f>_xlfn.SUMIFS(Налоги!AM$25:AM$55,Налоги!$F$25:$F$55,$F237,Налоги!$AB$25:$AB$55,$G237)</f>
        <v>0</v>
      </c>
      <c r="AO237" s="920">
        <f>_xlfn.SUMIFS(Налоги!AN$25:AN$55,Налоги!$F$25:$F$55,$F237,Налоги!$AB$25:$AB$55,$G237)</f>
        <v>0</v>
      </c>
      <c r="AP237" s="920">
        <f>_xlfn.SUMIFS(Налоги!AO$25:AO$55,Налоги!$F$25:$F$55,$F237,Налоги!$AB$25:$AB$55,$G237)</f>
        <v>0</v>
      </c>
      <c r="AQ237" s="920">
        <f>_xlfn.SUMIFS(Налоги!AP$25:AP$55,Налоги!$F$25:$F$55,$F237,Налоги!$AB$25:$AB$55,$G237)</f>
        <v>0</v>
      </c>
      <c r="AR237" s="920">
        <f>_xlfn.SUMIFS(Налоги!AQ$25:AQ$55,Налоги!$F$25:$F$55,$F237,Налоги!$AB$25:$AB$55,$G237)</f>
        <v>0</v>
      </c>
      <c r="AS237" s="920">
        <f>_xlfn.SUMIFS(Налоги!AR$25:AR$55,Налоги!$F$25:$F$55,$F237,Налоги!$AB$25:$AB$55,$G237)</f>
        <v>0</v>
      </c>
      <c r="AT237" s="920">
        <f>_xlfn.SUMIFS(Налоги!AS$25:AS$55,Налоги!$F$25:$F$55,$F237,Налоги!$AB$25:$AB$55,$G237)</f>
        <v>0</v>
      </c>
      <c r="AU237" s="920">
        <f>_xlfn.SUMIFS(Налоги!AT$25:AT$55,Налоги!$F$25:$F$55,$F237,Налоги!$AB$25:$AB$55,$G237)</f>
        <v>0</v>
      </c>
      <c r="AV237" s="920">
        <f>_xlfn.SUMIFS(Налоги!AU$25:AU$55,Налоги!$F$25:$F$55,$F237,Налоги!$AB$25:$AB$55,$G237)</f>
        <v>0</v>
      </c>
      <c r="AW237" s="920">
        <f>_xlfn.SUMIFS(Налоги!AV$25:AV$55,Налоги!$F$25:$F$55,$F237,Налоги!$AB$25:$AB$55,$G237)</f>
        <v>0</v>
      </c>
      <c r="AX237" s="920">
        <f>_xlfn.SUMIFS(Налоги!AW$25:AW$55,Налоги!$F$25:$F$55,$F237,Налоги!$AB$25:$AB$55,$G237)</f>
        <v>0</v>
      </c>
      <c r="AY237" s="920">
        <f>_xlfn.SUMIFS(Налоги!AX$25:AX$55,Налоги!$F$25:$F$55,$F237,Налоги!$AB$25:$AB$55,$G237)</f>
        <v>0</v>
      </c>
      <c r="AZ237" s="920">
        <f>_xlfn.SUMIFS(Налоги!AY$25:AY$55,Налоги!$F$25:$F$55,$F237,Налоги!$AB$25:$AB$55,$G237)</f>
        <v>0</v>
      </c>
      <c r="BA237" s="920">
        <f>_xlfn.SUMIFS(Налоги!AZ$25:AZ$55,Налоги!$F$25:$F$55,$F237,Налоги!$AB$25:$AB$55,$G237)</f>
        <v>0</v>
      </c>
      <c r="BB237" s="920">
        <f>_xlfn.SUMIFS(Налоги!BA$25:BA$55,Налоги!$F$25:$F$55,$F237,Налоги!$AB$25:$AB$55,$G237)</f>
        <v>0</v>
      </c>
      <c r="BC237" s="920">
        <f>_xlfn.SUMIFS(Налоги!BB$25:BB$55,Налоги!$F$25:$F$55,$F237,Налоги!$AB$25:$AB$55,$G237)</f>
        <v>0</v>
      </c>
      <c r="BD237" s="920">
        <f>IF(AI237=0,0,(AT237-AI237)/AI237*100)</f>
        <v>0</v>
      </c>
      <c r="BE237" s="920">
        <f>IF(AT237=0,0,(AU237-AT237)/AT237*100)</f>
        <v>0</v>
      </c>
      <c r="BF237" s="920">
        <f>IF(AU237=0,0,(AV237-AU237)/AU237*100)</f>
        <v>0</v>
      </c>
      <c r="BG237" s="920">
        <f>IF(AV237=0,0,(AW237-AV237)/AV237*100)</f>
        <v>0</v>
      </c>
      <c r="BH237" s="920">
        <f>IF(AW237=0,0,(AX237-AW237)/AW237*100)</f>
        <v>0</v>
      </c>
      <c r="BI237" s="920">
        <f>IF(AX237=0,0,(AY237-AX237)/AX237*100)</f>
        <v>0</v>
      </c>
      <c r="BJ237" s="920">
        <f>IF(AY237=0,0,(AZ237-AY237)/AY237*100)</f>
        <v>0</v>
      </c>
      <c r="BK237" s="920">
        <f>IF(AZ237=0,0,(BA237-AZ237)/AZ237*100)</f>
        <v>0</v>
      </c>
      <c r="BL237" s="920">
        <f>IF(BA237=0,0,(BB237-BA237)/BA237*100)</f>
        <v>0</v>
      </c>
      <c r="BM237" s="920">
        <f>IF(BB237=0,0,(BC237-BB237)/BB237*100)</f>
        <v>0</v>
      </c>
      <c r="BN237" s="3771"/>
      <c r="BO237" s="3725" t="str">
        <f>IF(_xlfn.IFERROR(INDEX(Налоги!$K$26:$L$55,MATCH($F237&amp;"7komm",Налоги!$K$26:$K$55,0),2),"")=0,"",_xlfn.IFERROR(INDEX(Налоги!$K$26:$L$55,MATCH($F237&amp;"7komm",Налоги!$K$26:$K$55,0),2),""))</f>
        <v/>
      </c>
      <c r="BP237" s="3771"/>
      <c r="BQ237" s="1256"/>
      <c r="BR237" s="1256"/>
      <c r="BS237" s="1041" t="s">
        <v>1914</v>
      </c>
      <c r="BT237" s="1041"/>
      <c r="BU237" s="1041"/>
      <c r="BV237" s="956"/>
      <c r="BW237" s="956"/>
    </row>
    <row s="1624" customFormat="1" customHeight="1" ht="14.25">
      <c r="A238" s="1256"/>
      <c r="B238" s="62"/>
      <c r="C238" s="73"/>
      <c r="D238" s="73"/>
      <c r="E238" s="596">
        <v>15</v>
      </c>
      <c r="F238" s="50" cm="1" t="str">
        <f t="array" ref="F238:F238">OFFSET(E238,-1,1)</f>
        <v>1</v>
      </c>
      <c r="G238" s="898">
        <v>6</v>
      </c>
      <c r="H238" s="73"/>
      <c r="I238" s="73" t="s">
        <v>1915</v>
      </c>
      <c r="J238" s="73"/>
      <c r="K238" s="73" t="s">
        <v>1915</v>
      </c>
      <c r="L238" s="957"/>
      <c r="M238" s="73"/>
      <c r="N238" s="73"/>
      <c r="O238" s="73"/>
      <c r="P238" s="73"/>
      <c r="Q238" s="73"/>
      <c r="R238" s="73"/>
      <c r="S238" s="73"/>
      <c r="T238" s="438" cm="1" t="str">
        <f t="array" ref="T238:T238">T237</f>
        <v>true</v>
      </c>
      <c r="U238" s="73"/>
      <c r="V238" s="73"/>
      <c r="W238" s="1256"/>
      <c r="X238" s="1511"/>
      <c r="Y238" s="1256"/>
      <c r="Z238" s="1494"/>
      <c r="AA238" s="1256"/>
      <c r="AB238" s="265" t="s">
        <v>1364</v>
      </c>
      <c r="AC238" s="741" t="s">
        <v>1916</v>
      </c>
      <c r="AD238" s="266" t="s">
        <v>789</v>
      </c>
      <c r="AE238" s="225">
        <f>_xlfn.SUMIFS(Налоги!AE$25:AE$55,Налоги!$F$25:$F$55,$F238,Налоги!$AB$25:$AB$55,$G238)</f>
        <v>0</v>
      </c>
      <c r="AF238" s="225">
        <f>_xlfn.SUMIFS(Налоги!AF$25:AF$55,Налоги!$F$25:$F$55,$F238,Налоги!$AB$25:$AB$55,$G238)</f>
        <v>0</v>
      </c>
      <c r="AG238" s="225">
        <f>_xlfn.SUMIFS(Налоги!AG$25:AG$55,Налоги!$F$25:$F$55,$F238,Налоги!$AB$25:$AB$55,$G238)</f>
        <v>0</v>
      </c>
      <c r="AH238" s="920">
        <f>AG238-AF238</f>
        <v>0</v>
      </c>
      <c r="AI238" s="920">
        <f>_xlfn.SUMIFS(Налоги!AH$25:AH$55,Налоги!$F$25:$F$55,$F238,Налоги!$AB$25:$AB$55,$G238)</f>
        <v>0</v>
      </c>
      <c r="AJ238" s="920">
        <f>_xlfn.SUMIFS(Налоги!AI$25:AI$55,Налоги!$F$25:$F$55,$F238,Налоги!$AB$25:$AB$55,$G238)</f>
        <v>0</v>
      </c>
      <c r="AK238" s="920">
        <f>_xlfn.SUMIFS(Налоги!AJ$25:AJ$55,Налоги!$F$25:$F$55,$F238,Налоги!$AB$25:$AB$55,$G238)</f>
        <v>0</v>
      </c>
      <c r="AL238" s="920">
        <f>_xlfn.SUMIFS(Налоги!AK$25:AK$55,Налоги!$F$25:$F$55,$F238,Налоги!$AB$25:$AB$55,$G238)</f>
        <v>0</v>
      </c>
      <c r="AM238" s="920">
        <f>_xlfn.SUMIFS(Налоги!AL$25:AL$55,Налоги!$F$25:$F$55,$F238,Налоги!$AB$25:$AB$55,$G238)</f>
        <v>0</v>
      </c>
      <c r="AN238" s="920">
        <f>_xlfn.SUMIFS(Налоги!AM$25:AM$55,Налоги!$F$25:$F$55,$F238,Налоги!$AB$25:$AB$55,$G238)</f>
        <v>0</v>
      </c>
      <c r="AO238" s="920">
        <f>_xlfn.SUMIFS(Налоги!AN$25:AN$55,Налоги!$F$25:$F$55,$F238,Налоги!$AB$25:$AB$55,$G238)</f>
        <v>0</v>
      </c>
      <c r="AP238" s="920">
        <f>_xlfn.SUMIFS(Налоги!AO$25:AO$55,Налоги!$F$25:$F$55,$F238,Налоги!$AB$25:$AB$55,$G238)</f>
        <v>0</v>
      </c>
      <c r="AQ238" s="920">
        <f>_xlfn.SUMIFS(Налоги!AP$25:AP$55,Налоги!$F$25:$F$55,$F238,Налоги!$AB$25:$AB$55,$G238)</f>
        <v>0</v>
      </c>
      <c r="AR238" s="920">
        <f>_xlfn.SUMIFS(Налоги!AQ$25:AQ$55,Налоги!$F$25:$F$55,$F238,Налоги!$AB$25:$AB$55,$G238)</f>
        <v>0</v>
      </c>
      <c r="AS238" s="920">
        <f>_xlfn.SUMIFS(Налоги!AR$25:AR$55,Налоги!$F$25:$F$55,$F238,Налоги!$AB$25:$AB$55,$G238)</f>
        <v>0</v>
      </c>
      <c r="AT238" s="920">
        <f>_xlfn.SUMIFS(Налоги!AS$25:AS$55,Налоги!$F$25:$F$55,$F238,Налоги!$AB$25:$AB$55,$G238)</f>
        <v>0</v>
      </c>
      <c r="AU238" s="920">
        <f>_xlfn.SUMIFS(Налоги!AT$25:AT$55,Налоги!$F$25:$F$55,$F238,Налоги!$AB$25:$AB$55,$G238)</f>
        <v>0</v>
      </c>
      <c r="AV238" s="920">
        <f>_xlfn.SUMIFS(Налоги!AU$25:AU$55,Налоги!$F$25:$F$55,$F238,Налоги!$AB$25:$AB$55,$G238)</f>
        <v>0</v>
      </c>
      <c r="AW238" s="920">
        <f>_xlfn.SUMIFS(Налоги!AV$25:AV$55,Налоги!$F$25:$F$55,$F238,Налоги!$AB$25:$AB$55,$G238)</f>
        <v>0</v>
      </c>
      <c r="AX238" s="920">
        <f>_xlfn.SUMIFS(Налоги!AW$25:AW$55,Налоги!$F$25:$F$55,$F238,Налоги!$AB$25:$AB$55,$G238)</f>
        <v>0</v>
      </c>
      <c r="AY238" s="920">
        <f>_xlfn.SUMIFS(Налоги!AX$25:AX$55,Налоги!$F$25:$F$55,$F238,Налоги!$AB$25:$AB$55,$G238)</f>
        <v>0</v>
      </c>
      <c r="AZ238" s="920">
        <f>_xlfn.SUMIFS(Налоги!AY$25:AY$55,Налоги!$F$25:$F$55,$F238,Налоги!$AB$25:$AB$55,$G238)</f>
        <v>0</v>
      </c>
      <c r="BA238" s="920">
        <f>_xlfn.SUMIFS(Налоги!AZ$25:AZ$55,Налоги!$F$25:$F$55,$F238,Налоги!$AB$25:$AB$55,$G238)</f>
        <v>0</v>
      </c>
      <c r="BB238" s="920">
        <f>_xlfn.SUMIFS(Налоги!BA$25:BA$55,Налоги!$F$25:$F$55,$F238,Налоги!$AB$25:$AB$55,$G238)</f>
        <v>0</v>
      </c>
      <c r="BC238" s="920">
        <f>_xlfn.SUMIFS(Налоги!BB$25:BB$55,Налоги!$F$25:$F$55,$F238,Налоги!$AB$25:$AB$55,$G238)</f>
        <v>0</v>
      </c>
      <c r="BD238" s="920">
        <f>IF(AI238=0,0,(AT238-AI238)/AI238*100)</f>
        <v>0</v>
      </c>
      <c r="BE238" s="920">
        <f>IF(AT238=0,0,(AU238-AT238)/AT238*100)</f>
        <v>0</v>
      </c>
      <c r="BF238" s="920">
        <f>IF(AU238=0,0,(AV238-AU238)/AU238*100)</f>
        <v>0</v>
      </c>
      <c r="BG238" s="920">
        <f>IF(AV238=0,0,(AW238-AV238)/AV238*100)</f>
        <v>0</v>
      </c>
      <c r="BH238" s="920">
        <f>IF(AW238=0,0,(AX238-AW238)/AW238*100)</f>
        <v>0</v>
      </c>
      <c r="BI238" s="920">
        <f>IF(AX238=0,0,(AY238-AX238)/AX238*100)</f>
        <v>0</v>
      </c>
      <c r="BJ238" s="920">
        <f>IF(AY238=0,0,(AZ238-AY238)/AY238*100)</f>
        <v>0</v>
      </c>
      <c r="BK238" s="920">
        <f>IF(AZ238=0,0,(BA238-AZ238)/AZ238*100)</f>
        <v>0</v>
      </c>
      <c r="BL238" s="920">
        <f>IF(BA238=0,0,(BB238-BA238)/BA238*100)</f>
        <v>0</v>
      </c>
      <c r="BM238" s="920">
        <f>IF(BB238=0,0,(BC238-BB238)/BB238*100)</f>
        <v>0</v>
      </c>
      <c r="BN238" s="3771"/>
      <c r="BO238" s="3725" t="str">
        <f>IF(_xlfn.IFERROR(INDEX(Налоги!$K$26:$L$55,MATCH($F238&amp;"6komm",Налоги!$K$26:$K$55,0),2),"")=0,"",_xlfn.IFERROR(INDEX(Налоги!$K$26:$L$55,MATCH($F238&amp;"6komm",Налоги!$K$26:$K$55,0),2),""))</f>
        <v/>
      </c>
      <c r="BP238" s="3771"/>
      <c r="BQ238" s="1256"/>
      <c r="BR238" s="1256"/>
      <c r="BS238" s="1041" t="s">
        <v>1917</v>
      </c>
      <c r="BT238" s="1041"/>
      <c r="BU238" s="1041"/>
      <c r="BV238" s="956"/>
      <c r="BW238" s="956"/>
    </row>
    <row s="1624" customFormat="1" customHeight="1" ht="14.25">
      <c r="A239" s="1256"/>
      <c r="B239" s="62"/>
      <c r="C239" s="73"/>
      <c r="D239" s="73"/>
      <c r="E239" s="596">
        <v>15</v>
      </c>
      <c r="F239" s="50" cm="1" t="str">
        <f t="array" ref="F239:F239">OFFSET(E239,-1,1)</f>
        <v>1</v>
      </c>
      <c r="G239" s="898">
        <v>2</v>
      </c>
      <c r="H239" s="73"/>
      <c r="I239" s="73" t="s">
        <v>1918</v>
      </c>
      <c r="J239" s="73"/>
      <c r="K239" s="73" t="s">
        <v>1918</v>
      </c>
      <c r="L239" s="957"/>
      <c r="M239" s="73"/>
      <c r="N239" s="73"/>
      <c r="O239" s="73"/>
      <c r="P239" s="73"/>
      <c r="Q239" s="73"/>
      <c r="R239" s="73"/>
      <c r="S239" s="73"/>
      <c r="T239" s="438" cm="1" t="str">
        <f t="array" ref="T239:T239">T238</f>
        <v>true</v>
      </c>
      <c r="U239" s="73"/>
      <c r="V239" s="73"/>
      <c r="W239" s="1256"/>
      <c r="X239" s="1511"/>
      <c r="Y239" s="1256"/>
      <c r="Z239" s="1494"/>
      <c r="AA239" s="1256"/>
      <c r="AB239" s="265" t="s">
        <v>1369</v>
      </c>
      <c r="AC239" s="741" t="s">
        <v>1919</v>
      </c>
      <c r="AD239" s="266" t="s">
        <v>789</v>
      </c>
      <c r="AE239" s="225">
        <f>_xlfn.SUMIFS(Налоги!AE$25:AE$55,Налоги!$F$25:$F$55,$F239,Налоги!$AB$25:$AB$55,$G239)</f>
        <v>0</v>
      </c>
      <c r="AF239" s="225">
        <f>_xlfn.SUMIFS(Налоги!AF$25:AF$55,Налоги!$F$25:$F$55,$F239,Налоги!$AB$25:$AB$55,$G239)</f>
        <v>0</v>
      </c>
      <c r="AG239" s="225">
        <f>_xlfn.SUMIFS(Налоги!AG$25:AG$55,Налоги!$F$25:$F$55,$F239,Налоги!$AB$25:$AB$55,$G239)</f>
        <v>0</v>
      </c>
      <c r="AH239" s="920">
        <f>AG239-AF239</f>
        <v>0</v>
      </c>
      <c r="AI239" s="920">
        <f>_xlfn.SUMIFS(Налоги!AH$25:AH$55,Налоги!$F$25:$F$55,$F239,Налоги!$AB$25:$AB$55,$G239)</f>
        <v>0</v>
      </c>
      <c r="AJ239" s="920">
        <f>_xlfn.SUMIFS(Налоги!AI$25:AI$55,Налоги!$F$25:$F$55,$F239,Налоги!$AB$25:$AB$55,$G239)</f>
        <v>0</v>
      </c>
      <c r="AK239" s="920">
        <f>_xlfn.SUMIFS(Налоги!AJ$25:AJ$55,Налоги!$F$25:$F$55,$F239,Налоги!$AB$25:$AB$55,$G239)</f>
        <v>0</v>
      </c>
      <c r="AL239" s="920">
        <f>_xlfn.SUMIFS(Налоги!AK$25:AK$55,Налоги!$F$25:$F$55,$F239,Налоги!$AB$25:$AB$55,$G239)</f>
        <v>0</v>
      </c>
      <c r="AM239" s="920">
        <f>_xlfn.SUMIFS(Налоги!AL$25:AL$55,Налоги!$F$25:$F$55,$F239,Налоги!$AB$25:$AB$55,$G239)</f>
        <v>0</v>
      </c>
      <c r="AN239" s="920">
        <f>_xlfn.SUMIFS(Налоги!AM$25:AM$55,Налоги!$F$25:$F$55,$F239,Налоги!$AB$25:$AB$55,$G239)</f>
        <v>0</v>
      </c>
      <c r="AO239" s="920">
        <f>_xlfn.SUMIFS(Налоги!AN$25:AN$55,Налоги!$F$25:$F$55,$F239,Налоги!$AB$25:$AB$55,$G239)</f>
        <v>0</v>
      </c>
      <c r="AP239" s="920">
        <f>_xlfn.SUMIFS(Налоги!AO$25:AO$55,Налоги!$F$25:$F$55,$F239,Налоги!$AB$25:$AB$55,$G239)</f>
        <v>0</v>
      </c>
      <c r="AQ239" s="920">
        <f>_xlfn.SUMIFS(Налоги!AP$25:AP$55,Налоги!$F$25:$F$55,$F239,Налоги!$AB$25:$AB$55,$G239)</f>
        <v>0</v>
      </c>
      <c r="AR239" s="920">
        <f>_xlfn.SUMIFS(Налоги!AQ$25:AQ$55,Налоги!$F$25:$F$55,$F239,Налоги!$AB$25:$AB$55,$G239)</f>
        <v>0</v>
      </c>
      <c r="AS239" s="920">
        <f>_xlfn.SUMIFS(Налоги!AR$25:AR$55,Налоги!$F$25:$F$55,$F239,Налоги!$AB$25:$AB$55,$G239)</f>
        <v>0</v>
      </c>
      <c r="AT239" s="920">
        <f>_xlfn.SUMIFS(Налоги!AS$25:AS$55,Налоги!$F$25:$F$55,$F239,Налоги!$AB$25:$AB$55,$G239)</f>
        <v>0</v>
      </c>
      <c r="AU239" s="920">
        <f>_xlfn.SUMIFS(Налоги!AT$25:AT$55,Налоги!$F$25:$F$55,$F239,Налоги!$AB$25:$AB$55,$G239)</f>
        <v>0</v>
      </c>
      <c r="AV239" s="920">
        <f>_xlfn.SUMIFS(Налоги!AU$25:AU$55,Налоги!$F$25:$F$55,$F239,Налоги!$AB$25:$AB$55,$G239)</f>
        <v>0</v>
      </c>
      <c r="AW239" s="920">
        <f>_xlfn.SUMIFS(Налоги!AV$25:AV$55,Налоги!$F$25:$F$55,$F239,Налоги!$AB$25:$AB$55,$G239)</f>
        <v>0</v>
      </c>
      <c r="AX239" s="920">
        <f>_xlfn.SUMIFS(Налоги!AW$25:AW$55,Налоги!$F$25:$F$55,$F239,Налоги!$AB$25:$AB$55,$G239)</f>
        <v>0</v>
      </c>
      <c r="AY239" s="920">
        <f>_xlfn.SUMIFS(Налоги!AX$25:AX$55,Налоги!$F$25:$F$55,$F239,Налоги!$AB$25:$AB$55,$G239)</f>
        <v>0</v>
      </c>
      <c r="AZ239" s="920">
        <f>_xlfn.SUMIFS(Налоги!AY$25:AY$55,Налоги!$F$25:$F$55,$F239,Налоги!$AB$25:$AB$55,$G239)</f>
        <v>0</v>
      </c>
      <c r="BA239" s="920">
        <f>_xlfn.SUMIFS(Налоги!AZ$25:AZ$55,Налоги!$F$25:$F$55,$F239,Налоги!$AB$25:$AB$55,$G239)</f>
        <v>0</v>
      </c>
      <c r="BB239" s="920">
        <f>_xlfn.SUMIFS(Налоги!BA$25:BA$55,Налоги!$F$25:$F$55,$F239,Налоги!$AB$25:$AB$55,$G239)</f>
        <v>0</v>
      </c>
      <c r="BC239" s="920">
        <f>_xlfn.SUMIFS(Налоги!BB$25:BB$55,Налоги!$F$25:$F$55,$F239,Налоги!$AB$25:$AB$55,$G239)</f>
        <v>0</v>
      </c>
      <c r="BD239" s="920">
        <f>IF(AI239=0,0,(AT239-AI239)/AI239*100)</f>
        <v>0</v>
      </c>
      <c r="BE239" s="920">
        <f>IF(AT239=0,0,(AU239-AT239)/AT239*100)</f>
        <v>0</v>
      </c>
      <c r="BF239" s="920">
        <f>IF(AU239=0,0,(AV239-AU239)/AU239*100)</f>
        <v>0</v>
      </c>
      <c r="BG239" s="920">
        <f>IF(AV239=0,0,(AW239-AV239)/AV239*100)</f>
        <v>0</v>
      </c>
      <c r="BH239" s="920">
        <f>IF(AW239=0,0,(AX239-AW239)/AW239*100)</f>
        <v>0</v>
      </c>
      <c r="BI239" s="920">
        <f>IF(AX239=0,0,(AY239-AX239)/AX239*100)</f>
        <v>0</v>
      </c>
      <c r="BJ239" s="920">
        <f>IF(AY239=0,0,(AZ239-AY239)/AY239*100)</f>
        <v>0</v>
      </c>
      <c r="BK239" s="920">
        <f>IF(AZ239=0,0,(BA239-AZ239)/AZ239*100)</f>
        <v>0</v>
      </c>
      <c r="BL239" s="920">
        <f>IF(BA239=0,0,(BB239-BA239)/BA239*100)</f>
        <v>0</v>
      </c>
      <c r="BM239" s="920">
        <f>IF(BB239=0,0,(BC239-BB239)/BB239*100)</f>
        <v>0</v>
      </c>
      <c r="BN239" s="3771"/>
      <c r="BO239" s="3725" t="str">
        <f>IF(_xlfn.IFERROR(INDEX(Налоги!$K$26:$L$55,MATCH($F239&amp;"2komm",Налоги!$K$26:$K$55,0),2),"")=0,"",_xlfn.IFERROR(INDEX(Налоги!$K$26:$L$55,MATCH($F239&amp;"2komm",Налоги!$K$26:$K$55,0),2),""))</f>
        <v/>
      </c>
      <c r="BP239" s="3771"/>
      <c r="BQ239" s="1256"/>
      <c r="BR239" s="1256"/>
      <c r="BS239" s="1041" t="s">
        <v>1920</v>
      </c>
      <c r="BT239" s="1041"/>
      <c r="BU239" s="1041"/>
      <c r="BV239" s="956"/>
      <c r="BW239" s="956"/>
    </row>
    <row s="1624" customFormat="1" customHeight="1" ht="14.25">
      <c r="A240" s="1256"/>
      <c r="B240" s="62"/>
      <c r="C240" s="73"/>
      <c r="D240" s="73"/>
      <c r="E240" s="596">
        <v>15</v>
      </c>
      <c r="F240" s="50" cm="1" t="str">
        <f t="array" ref="F240:F240">OFFSET(E240,-1,1)</f>
        <v>1</v>
      </c>
      <c r="G240" s="898">
        <v>4</v>
      </c>
      <c r="H240" s="73"/>
      <c r="I240" s="73" t="s">
        <v>1921</v>
      </c>
      <c r="J240" s="73"/>
      <c r="K240" s="73" t="s">
        <v>1921</v>
      </c>
      <c r="L240" s="957"/>
      <c r="M240" s="73"/>
      <c r="N240" s="73"/>
      <c r="O240" s="73"/>
      <c r="P240" s="73"/>
      <c r="Q240" s="73"/>
      <c r="R240" s="73"/>
      <c r="S240" s="73"/>
      <c r="T240" s="438" cm="1" t="str">
        <f t="array" ref="T240:T240">T239</f>
        <v>true</v>
      </c>
      <c r="U240" s="73"/>
      <c r="V240" s="73"/>
      <c r="W240" s="1256"/>
      <c r="X240" s="1511"/>
      <c r="Y240" s="1256"/>
      <c r="Z240" s="1494"/>
      <c r="AA240" s="1256"/>
      <c r="AB240" s="265" t="s">
        <v>1922</v>
      </c>
      <c r="AC240" s="741" t="s">
        <v>1923</v>
      </c>
      <c r="AD240" s="266" t="s">
        <v>789</v>
      </c>
      <c r="AE240" s="225">
        <f>_xlfn.SUMIFS(Налоги!AE$25:AE$55,Налоги!$F$25:$F$55,$F240,Налоги!$AB$25:$AB$55,$G240)</f>
        <v>0</v>
      </c>
      <c r="AF240" s="225">
        <f>_xlfn.SUMIFS(Налоги!AF$25:AF$55,Налоги!$F$25:$F$55,$F240,Налоги!$AB$25:$AB$55,$G240)</f>
        <v>0</v>
      </c>
      <c r="AG240" s="225">
        <f>_xlfn.SUMIFS(Налоги!AG$25:AG$55,Налоги!$F$25:$F$55,$F240,Налоги!$AB$25:$AB$55,$G240)</f>
        <v>0</v>
      </c>
      <c r="AH240" s="920">
        <f>AG240-AF240</f>
        <v>0</v>
      </c>
      <c r="AI240" s="920">
        <f>_xlfn.SUMIFS(Налоги!AH$25:AH$55,Налоги!$F$25:$F$55,$F240,Налоги!$AB$25:$AB$55,$G240)</f>
        <v>0</v>
      </c>
      <c r="AJ240" s="920">
        <f>_xlfn.SUMIFS(Налоги!AI$25:AI$55,Налоги!$F$25:$F$55,$F240,Налоги!$AB$25:$AB$55,$G240)</f>
        <v>0</v>
      </c>
      <c r="AK240" s="920">
        <f>_xlfn.SUMIFS(Налоги!AJ$25:AJ$55,Налоги!$F$25:$F$55,$F240,Налоги!$AB$25:$AB$55,$G240)</f>
        <v>0</v>
      </c>
      <c r="AL240" s="920">
        <f>_xlfn.SUMIFS(Налоги!AK$25:AK$55,Налоги!$F$25:$F$55,$F240,Налоги!$AB$25:$AB$55,$G240)</f>
        <v>0</v>
      </c>
      <c r="AM240" s="920">
        <f>_xlfn.SUMIFS(Налоги!AL$25:AL$55,Налоги!$F$25:$F$55,$F240,Налоги!$AB$25:$AB$55,$G240)</f>
        <v>0</v>
      </c>
      <c r="AN240" s="920">
        <f>_xlfn.SUMIFS(Налоги!AM$25:AM$55,Налоги!$F$25:$F$55,$F240,Налоги!$AB$25:$AB$55,$G240)</f>
        <v>0</v>
      </c>
      <c r="AO240" s="920">
        <f>_xlfn.SUMIFS(Налоги!AN$25:AN$55,Налоги!$F$25:$F$55,$F240,Налоги!$AB$25:$AB$55,$G240)</f>
        <v>0</v>
      </c>
      <c r="AP240" s="920">
        <f>_xlfn.SUMIFS(Налоги!AO$25:AO$55,Налоги!$F$25:$F$55,$F240,Налоги!$AB$25:$AB$55,$G240)</f>
        <v>0</v>
      </c>
      <c r="AQ240" s="920">
        <f>_xlfn.SUMIFS(Налоги!AP$25:AP$55,Налоги!$F$25:$F$55,$F240,Налоги!$AB$25:$AB$55,$G240)</f>
        <v>0</v>
      </c>
      <c r="AR240" s="920">
        <f>_xlfn.SUMIFS(Налоги!AQ$25:AQ$55,Налоги!$F$25:$F$55,$F240,Налоги!$AB$25:$AB$55,$G240)</f>
        <v>0</v>
      </c>
      <c r="AS240" s="920">
        <f>_xlfn.SUMIFS(Налоги!AR$25:AR$55,Налоги!$F$25:$F$55,$F240,Налоги!$AB$25:$AB$55,$G240)</f>
        <v>0</v>
      </c>
      <c r="AT240" s="920">
        <f>_xlfn.SUMIFS(Налоги!AS$25:AS$55,Налоги!$F$25:$F$55,$F240,Налоги!$AB$25:$AB$55,$G240)</f>
        <v>0</v>
      </c>
      <c r="AU240" s="920">
        <f>_xlfn.SUMIFS(Налоги!AT$25:AT$55,Налоги!$F$25:$F$55,$F240,Налоги!$AB$25:$AB$55,$G240)</f>
        <v>0</v>
      </c>
      <c r="AV240" s="920">
        <f>_xlfn.SUMIFS(Налоги!AU$25:AU$55,Налоги!$F$25:$F$55,$F240,Налоги!$AB$25:$AB$55,$G240)</f>
        <v>0</v>
      </c>
      <c r="AW240" s="920">
        <f>_xlfn.SUMIFS(Налоги!AV$25:AV$55,Налоги!$F$25:$F$55,$F240,Налоги!$AB$25:$AB$55,$G240)</f>
        <v>0</v>
      </c>
      <c r="AX240" s="920">
        <f>_xlfn.SUMIFS(Налоги!AW$25:AW$55,Налоги!$F$25:$F$55,$F240,Налоги!$AB$25:$AB$55,$G240)</f>
        <v>0</v>
      </c>
      <c r="AY240" s="920">
        <f>_xlfn.SUMIFS(Налоги!AX$25:AX$55,Налоги!$F$25:$F$55,$F240,Налоги!$AB$25:$AB$55,$G240)</f>
        <v>0</v>
      </c>
      <c r="AZ240" s="920">
        <f>_xlfn.SUMIFS(Налоги!AY$25:AY$55,Налоги!$F$25:$F$55,$F240,Налоги!$AB$25:$AB$55,$G240)</f>
        <v>0</v>
      </c>
      <c r="BA240" s="920">
        <f>_xlfn.SUMIFS(Налоги!AZ$25:AZ$55,Налоги!$F$25:$F$55,$F240,Налоги!$AB$25:$AB$55,$G240)</f>
        <v>0</v>
      </c>
      <c r="BB240" s="920">
        <f>_xlfn.SUMIFS(Налоги!BA$25:BA$55,Налоги!$F$25:$F$55,$F240,Налоги!$AB$25:$AB$55,$G240)</f>
        <v>0</v>
      </c>
      <c r="BC240" s="920">
        <f>_xlfn.SUMIFS(Налоги!BB$25:BB$55,Налоги!$F$25:$F$55,$F240,Налоги!$AB$25:$AB$55,$G240)</f>
        <v>0</v>
      </c>
      <c r="BD240" s="920">
        <f>IF(AI240=0,0,(AT240-AI240)/AI240*100)</f>
        <v>0</v>
      </c>
      <c r="BE240" s="920">
        <f>IF(AT240=0,0,(AU240-AT240)/AT240*100)</f>
        <v>0</v>
      </c>
      <c r="BF240" s="920">
        <f>IF(AU240=0,0,(AV240-AU240)/AU240*100)</f>
        <v>0</v>
      </c>
      <c r="BG240" s="920">
        <f>IF(AV240=0,0,(AW240-AV240)/AV240*100)</f>
        <v>0</v>
      </c>
      <c r="BH240" s="920">
        <f>IF(AW240=0,0,(AX240-AW240)/AW240*100)</f>
        <v>0</v>
      </c>
      <c r="BI240" s="920">
        <f>IF(AX240=0,0,(AY240-AX240)/AX240*100)</f>
        <v>0</v>
      </c>
      <c r="BJ240" s="920">
        <f>IF(AY240=0,0,(AZ240-AY240)/AY240*100)</f>
        <v>0</v>
      </c>
      <c r="BK240" s="920">
        <f>IF(AZ240=0,0,(BA240-AZ240)/AZ240*100)</f>
        <v>0</v>
      </c>
      <c r="BL240" s="920">
        <f>IF(BA240=0,0,(BB240-BA240)/BA240*100)</f>
        <v>0</v>
      </c>
      <c r="BM240" s="920">
        <f>IF(BB240=0,0,(BC240-BB240)/BB240*100)</f>
        <v>0</v>
      </c>
      <c r="BN240" s="3771"/>
      <c r="BO240" s="3725" t="str">
        <f>IF(_xlfn.IFERROR(INDEX(Налоги!$K$26:$L$55,MATCH($F240&amp;"4komm",Налоги!$K$26:$K$55,0),2),"")=0,"",_xlfn.IFERROR(INDEX(Налоги!$K$26:$L$55,MATCH($F240&amp;"4komm",Налоги!$K$26:$K$55,0),2),""))</f>
        <v/>
      </c>
      <c r="BP240" s="3771"/>
      <c r="BQ240" s="1256"/>
      <c r="BR240" s="1256"/>
      <c r="BS240" s="1041" t="s">
        <v>1924</v>
      </c>
      <c r="BT240" s="1041"/>
      <c r="BU240" s="1041"/>
      <c r="BV240" s="956"/>
      <c r="BW240" s="956"/>
    </row>
    <row s="1624" customFormat="1" customHeight="1" ht="14.25">
      <c r="A241" s="1256"/>
      <c r="B241" s="62"/>
      <c r="C241" s="73"/>
      <c r="D241" s="73"/>
      <c r="E241" s="596">
        <v>15</v>
      </c>
      <c r="F241" s="50" cm="1" t="str">
        <f t="array" ref="F241:F241">OFFSET(E241,-1,1)</f>
        <v>1</v>
      </c>
      <c r="G241" s="898">
        <v>5</v>
      </c>
      <c r="H241" s="73"/>
      <c r="I241" s="73" t="s">
        <v>1925</v>
      </c>
      <c r="J241" s="73"/>
      <c r="K241" s="73" t="s">
        <v>1925</v>
      </c>
      <c r="L241" s="957"/>
      <c r="M241" s="73"/>
      <c r="N241" s="73"/>
      <c r="O241" s="73"/>
      <c r="P241" s="73"/>
      <c r="Q241" s="73"/>
      <c r="R241" s="73"/>
      <c r="S241" s="73"/>
      <c r="T241" s="438" cm="1" t="str">
        <f t="array" ref="T241:T241">T240</f>
        <v>true</v>
      </c>
      <c r="U241" s="73"/>
      <c r="V241" s="73"/>
      <c r="W241" s="1256"/>
      <c r="X241" s="1511"/>
      <c r="Y241" s="1256"/>
      <c r="Z241" s="1494"/>
      <c r="AA241" s="1256"/>
      <c r="AB241" s="265" t="s">
        <v>1926</v>
      </c>
      <c r="AC241" s="741" t="s">
        <v>1927</v>
      </c>
      <c r="AD241" s="266" t="s">
        <v>789</v>
      </c>
      <c r="AE241" s="225">
        <f>_xlfn.SUMIFS(Налоги!AE$25:AE$55,Налоги!$F$25:$F$55,$F241,Налоги!$AB$25:$AB$55,$G241)</f>
        <v>0</v>
      </c>
      <c r="AF241" s="225">
        <f>_xlfn.SUMIFS(Налоги!AF$25:AF$55,Налоги!$F$25:$F$55,$F241,Налоги!$AB$25:$AB$55,$G241)</f>
        <v>0</v>
      </c>
      <c r="AG241" s="225">
        <f>_xlfn.SUMIFS(Налоги!AG$25:AG$55,Налоги!$F$25:$F$55,$F241,Налоги!$AB$25:$AB$55,$G241)</f>
        <v>0</v>
      </c>
      <c r="AH241" s="920">
        <f>AG241-AF241</f>
        <v>0</v>
      </c>
      <c r="AI241" s="920">
        <f>_xlfn.SUMIFS(Налоги!AH$25:AH$55,Налоги!$F$25:$F$55,$F241,Налоги!$AB$25:$AB$55,$G241)</f>
        <v>0</v>
      </c>
      <c r="AJ241" s="920">
        <f>_xlfn.SUMIFS(Налоги!AI$25:AI$55,Налоги!$F$25:$F$55,$F241,Налоги!$AB$25:$AB$55,$G241)</f>
        <v>0</v>
      </c>
      <c r="AK241" s="920">
        <f>_xlfn.SUMIFS(Налоги!AJ$25:AJ$55,Налоги!$F$25:$F$55,$F241,Налоги!$AB$25:$AB$55,$G241)</f>
        <v>0</v>
      </c>
      <c r="AL241" s="920">
        <f>_xlfn.SUMIFS(Налоги!AK$25:AK$55,Налоги!$F$25:$F$55,$F241,Налоги!$AB$25:$AB$55,$G241)</f>
        <v>0</v>
      </c>
      <c r="AM241" s="920">
        <f>_xlfn.SUMIFS(Налоги!AL$25:AL$55,Налоги!$F$25:$F$55,$F241,Налоги!$AB$25:$AB$55,$G241)</f>
        <v>0</v>
      </c>
      <c r="AN241" s="920">
        <f>_xlfn.SUMIFS(Налоги!AM$25:AM$55,Налоги!$F$25:$F$55,$F241,Налоги!$AB$25:$AB$55,$G241)</f>
        <v>0</v>
      </c>
      <c r="AO241" s="920">
        <f>_xlfn.SUMIFS(Налоги!AN$25:AN$55,Налоги!$F$25:$F$55,$F241,Налоги!$AB$25:$AB$55,$G241)</f>
        <v>0</v>
      </c>
      <c r="AP241" s="920">
        <f>_xlfn.SUMIFS(Налоги!AO$25:AO$55,Налоги!$F$25:$F$55,$F241,Налоги!$AB$25:$AB$55,$G241)</f>
        <v>0</v>
      </c>
      <c r="AQ241" s="920">
        <f>_xlfn.SUMIFS(Налоги!AP$25:AP$55,Налоги!$F$25:$F$55,$F241,Налоги!$AB$25:$AB$55,$G241)</f>
        <v>0</v>
      </c>
      <c r="AR241" s="920">
        <f>_xlfn.SUMIFS(Налоги!AQ$25:AQ$55,Налоги!$F$25:$F$55,$F241,Налоги!$AB$25:$AB$55,$G241)</f>
        <v>0</v>
      </c>
      <c r="AS241" s="920">
        <f>_xlfn.SUMIFS(Налоги!AR$25:AR$55,Налоги!$F$25:$F$55,$F241,Налоги!$AB$25:$AB$55,$G241)</f>
        <v>0</v>
      </c>
      <c r="AT241" s="920">
        <f>_xlfn.SUMIFS(Налоги!AS$25:AS$55,Налоги!$F$25:$F$55,$F241,Налоги!$AB$25:$AB$55,$G241)</f>
        <v>0</v>
      </c>
      <c r="AU241" s="920">
        <f>_xlfn.SUMIFS(Налоги!AT$25:AT$55,Налоги!$F$25:$F$55,$F241,Налоги!$AB$25:$AB$55,$G241)</f>
        <v>0</v>
      </c>
      <c r="AV241" s="920">
        <f>_xlfn.SUMIFS(Налоги!AU$25:AU$55,Налоги!$F$25:$F$55,$F241,Налоги!$AB$25:$AB$55,$G241)</f>
        <v>0</v>
      </c>
      <c r="AW241" s="920">
        <f>_xlfn.SUMIFS(Налоги!AV$25:AV$55,Налоги!$F$25:$F$55,$F241,Налоги!$AB$25:$AB$55,$G241)</f>
        <v>0</v>
      </c>
      <c r="AX241" s="920">
        <f>_xlfn.SUMIFS(Налоги!AW$25:AW$55,Налоги!$F$25:$F$55,$F241,Налоги!$AB$25:$AB$55,$G241)</f>
        <v>0</v>
      </c>
      <c r="AY241" s="920">
        <f>_xlfn.SUMIFS(Налоги!AX$25:AX$55,Налоги!$F$25:$F$55,$F241,Налоги!$AB$25:$AB$55,$G241)</f>
        <v>0</v>
      </c>
      <c r="AZ241" s="920">
        <f>_xlfn.SUMIFS(Налоги!AY$25:AY$55,Налоги!$F$25:$F$55,$F241,Налоги!$AB$25:$AB$55,$G241)</f>
        <v>0</v>
      </c>
      <c r="BA241" s="920">
        <f>_xlfn.SUMIFS(Налоги!AZ$25:AZ$55,Налоги!$F$25:$F$55,$F241,Налоги!$AB$25:$AB$55,$G241)</f>
        <v>0</v>
      </c>
      <c r="BB241" s="920">
        <f>_xlfn.SUMIFS(Налоги!BA$25:BA$55,Налоги!$F$25:$F$55,$F241,Налоги!$AB$25:$AB$55,$G241)</f>
        <v>0</v>
      </c>
      <c r="BC241" s="920">
        <f>_xlfn.SUMIFS(Налоги!BB$25:BB$55,Налоги!$F$25:$F$55,$F241,Налоги!$AB$25:$AB$55,$G241)</f>
        <v>0</v>
      </c>
      <c r="BD241" s="920">
        <f>IF(AI241=0,0,(AT241-AI241)/AI241*100)</f>
        <v>0</v>
      </c>
      <c r="BE241" s="920">
        <f>IF(AT241=0,0,(AU241-AT241)/AT241*100)</f>
        <v>0</v>
      </c>
      <c r="BF241" s="920">
        <f>IF(AU241=0,0,(AV241-AU241)/AU241*100)</f>
        <v>0</v>
      </c>
      <c r="BG241" s="920">
        <f>IF(AV241=0,0,(AW241-AV241)/AV241*100)</f>
        <v>0</v>
      </c>
      <c r="BH241" s="920">
        <f>IF(AW241=0,0,(AX241-AW241)/AW241*100)</f>
        <v>0</v>
      </c>
      <c r="BI241" s="920">
        <f>IF(AX241=0,0,(AY241-AX241)/AX241*100)</f>
        <v>0</v>
      </c>
      <c r="BJ241" s="920">
        <f>IF(AY241=0,0,(AZ241-AY241)/AY241*100)</f>
        <v>0</v>
      </c>
      <c r="BK241" s="920">
        <f>IF(AZ241=0,0,(BA241-AZ241)/AZ241*100)</f>
        <v>0</v>
      </c>
      <c r="BL241" s="920">
        <f>IF(BA241=0,0,(BB241-BA241)/BA241*100)</f>
        <v>0</v>
      </c>
      <c r="BM241" s="920">
        <f>IF(BB241=0,0,(BC241-BB241)/BB241*100)</f>
        <v>0</v>
      </c>
      <c r="BN241" s="3771"/>
      <c r="BO241" s="3725" t="str">
        <f>IF(_xlfn.IFERROR(INDEX(Налоги!$K$26:$L$55,MATCH($F241&amp;"5komm",Налоги!$K$26:$K$55,0),2),"")=0,"",_xlfn.IFERROR(INDEX(Налоги!$K$26:$L$55,MATCH($F241&amp;"5komm",Налоги!$K$26:$K$55,0),2),""))</f>
        <v/>
      </c>
      <c r="BP241" s="3771"/>
      <c r="BQ241" s="1256"/>
      <c r="BR241" s="1256"/>
      <c r="BS241" s="1041" t="s">
        <v>1928</v>
      </c>
      <c r="BT241" s="1041"/>
      <c r="BU241" s="1041"/>
      <c r="BV241" s="956"/>
      <c r="BW241" s="956"/>
    </row>
    <row s="1624" customFormat="1" customHeight="1" ht="14.25">
      <c r="A242" s="1256"/>
      <c r="B242" s="62"/>
      <c r="C242" s="73"/>
      <c r="D242" s="73"/>
      <c r="E242" s="596">
        <v>15</v>
      </c>
      <c r="F242" s="50" cm="1" t="str">
        <f t="array" ref="F242:F242">OFFSET(E242,-1,1)</f>
        <v>1</v>
      </c>
      <c r="G242" s="898">
        <v>1</v>
      </c>
      <c r="H242" s="73"/>
      <c r="I242" s="73" t="s">
        <v>1929</v>
      </c>
      <c r="J242" s="73"/>
      <c r="K242" s="73" t="s">
        <v>1929</v>
      </c>
      <c r="L242" s="957"/>
      <c r="M242" s="73"/>
      <c r="N242" s="73"/>
      <c r="O242" s="73"/>
      <c r="P242" s="73"/>
      <c r="Q242" s="73"/>
      <c r="R242" s="73"/>
      <c r="S242" s="73"/>
      <c r="T242" s="438" cm="1" t="str">
        <f t="array" ref="T242:T242">T241</f>
        <v>true</v>
      </c>
      <c r="U242" s="73"/>
      <c r="V242" s="73"/>
      <c r="W242" s="1256"/>
      <c r="X242" s="1511"/>
      <c r="Y242" s="1256"/>
      <c r="Z242" s="1494"/>
      <c r="AA242" s="1256"/>
      <c r="AB242" s="265" t="s">
        <v>1930</v>
      </c>
      <c r="AC242" s="741" t="s">
        <v>1931</v>
      </c>
      <c r="AD242" s="266" t="s">
        <v>789</v>
      </c>
      <c r="AE242" s="225">
        <f>_xlfn.SUMIFS(Налоги!AE$25:AE$55,Налоги!$F$25:$F$55,$F242,Налоги!$AB$25:$AB$55,$G242)</f>
        <v>0</v>
      </c>
      <c r="AF242" s="225">
        <f>_xlfn.SUMIFS(Налоги!AF$25:AF$55,Налоги!$F$25:$F$55,$F242,Налоги!$AB$25:$AB$55,$G242)</f>
        <v>0</v>
      </c>
      <c r="AG242" s="225">
        <f>_xlfn.SUMIFS(Налоги!AG$25:AG$55,Налоги!$F$25:$F$55,$F242,Налоги!$AB$25:$AB$55,$G242)</f>
        <v>0</v>
      </c>
      <c r="AH242" s="920">
        <f>AG242-AF242</f>
        <v>0</v>
      </c>
      <c r="AI242" s="920">
        <f>_xlfn.SUMIFS(Налоги!AH$25:AH$55,Налоги!$F$25:$F$55,$F242,Налоги!$AB$25:$AB$55,$G242)</f>
        <v>0</v>
      </c>
      <c r="AJ242" s="920">
        <f>_xlfn.SUMIFS(Налоги!AI$25:AI$55,Налоги!$F$25:$F$55,$F242,Налоги!$AB$25:$AB$55,$G242)</f>
        <v>0</v>
      </c>
      <c r="AK242" s="920">
        <f>_xlfn.SUMIFS(Налоги!AJ$25:AJ$55,Налоги!$F$25:$F$55,$F242,Налоги!$AB$25:$AB$55,$G242)</f>
        <v>0</v>
      </c>
      <c r="AL242" s="920">
        <f>_xlfn.SUMIFS(Налоги!AK$25:AK$55,Налоги!$F$25:$F$55,$F242,Налоги!$AB$25:$AB$55,$G242)</f>
        <v>0</v>
      </c>
      <c r="AM242" s="920">
        <f>_xlfn.SUMIFS(Налоги!AL$25:AL$55,Налоги!$F$25:$F$55,$F242,Налоги!$AB$25:$AB$55,$G242)</f>
        <v>0</v>
      </c>
      <c r="AN242" s="920">
        <f>_xlfn.SUMIFS(Налоги!AM$25:AM$55,Налоги!$F$25:$F$55,$F242,Налоги!$AB$25:$AB$55,$G242)</f>
        <v>0</v>
      </c>
      <c r="AO242" s="920">
        <f>_xlfn.SUMIFS(Налоги!AN$25:AN$55,Налоги!$F$25:$F$55,$F242,Налоги!$AB$25:$AB$55,$G242)</f>
        <v>0</v>
      </c>
      <c r="AP242" s="920">
        <f>_xlfn.SUMIFS(Налоги!AO$25:AO$55,Налоги!$F$25:$F$55,$F242,Налоги!$AB$25:$AB$55,$G242)</f>
        <v>0</v>
      </c>
      <c r="AQ242" s="920">
        <f>_xlfn.SUMIFS(Налоги!AP$25:AP$55,Налоги!$F$25:$F$55,$F242,Налоги!$AB$25:$AB$55,$G242)</f>
        <v>0</v>
      </c>
      <c r="AR242" s="920">
        <f>_xlfn.SUMIFS(Налоги!AQ$25:AQ$55,Налоги!$F$25:$F$55,$F242,Налоги!$AB$25:$AB$55,$G242)</f>
        <v>0</v>
      </c>
      <c r="AS242" s="920">
        <f>_xlfn.SUMIFS(Налоги!AR$25:AR$55,Налоги!$F$25:$F$55,$F242,Налоги!$AB$25:$AB$55,$G242)</f>
        <v>0</v>
      </c>
      <c r="AT242" s="920">
        <f>_xlfn.SUMIFS(Налоги!AS$25:AS$55,Налоги!$F$25:$F$55,$F242,Налоги!$AB$25:$AB$55,$G242)</f>
        <v>0</v>
      </c>
      <c r="AU242" s="920">
        <f>_xlfn.SUMIFS(Налоги!AT$25:AT$55,Налоги!$F$25:$F$55,$F242,Налоги!$AB$25:$AB$55,$G242)</f>
        <v>0</v>
      </c>
      <c r="AV242" s="920">
        <f>_xlfn.SUMIFS(Налоги!AU$25:AU$55,Налоги!$F$25:$F$55,$F242,Налоги!$AB$25:$AB$55,$G242)</f>
        <v>0</v>
      </c>
      <c r="AW242" s="920">
        <f>_xlfn.SUMIFS(Налоги!AV$25:AV$55,Налоги!$F$25:$F$55,$F242,Налоги!$AB$25:$AB$55,$G242)</f>
        <v>0</v>
      </c>
      <c r="AX242" s="920">
        <f>_xlfn.SUMIFS(Налоги!AW$25:AW$55,Налоги!$F$25:$F$55,$F242,Налоги!$AB$25:$AB$55,$G242)</f>
        <v>0</v>
      </c>
      <c r="AY242" s="920">
        <f>_xlfn.SUMIFS(Налоги!AX$25:AX$55,Налоги!$F$25:$F$55,$F242,Налоги!$AB$25:$AB$55,$G242)</f>
        <v>0</v>
      </c>
      <c r="AZ242" s="920">
        <f>_xlfn.SUMIFS(Налоги!AY$25:AY$55,Налоги!$F$25:$F$55,$F242,Налоги!$AB$25:$AB$55,$G242)</f>
        <v>0</v>
      </c>
      <c r="BA242" s="920">
        <f>_xlfn.SUMIFS(Налоги!AZ$25:AZ$55,Налоги!$F$25:$F$55,$F242,Налоги!$AB$25:$AB$55,$G242)</f>
        <v>0</v>
      </c>
      <c r="BB242" s="920">
        <f>_xlfn.SUMIFS(Налоги!BA$25:BA$55,Налоги!$F$25:$F$55,$F242,Налоги!$AB$25:$AB$55,$G242)</f>
        <v>0</v>
      </c>
      <c r="BC242" s="920">
        <f>_xlfn.SUMIFS(Налоги!BB$25:BB$55,Налоги!$F$25:$F$55,$F242,Налоги!$AB$25:$AB$55,$G242)</f>
        <v>0</v>
      </c>
      <c r="BD242" s="920">
        <f>IF(AI242=0,0,(AT242-AI242)/AI242*100)</f>
        <v>0</v>
      </c>
      <c r="BE242" s="920">
        <f>IF(AT242=0,0,(AU242-AT242)/AT242*100)</f>
        <v>0</v>
      </c>
      <c r="BF242" s="920">
        <f>IF(AU242=0,0,(AV242-AU242)/AU242*100)</f>
        <v>0</v>
      </c>
      <c r="BG242" s="920">
        <f>IF(AV242=0,0,(AW242-AV242)/AV242*100)</f>
        <v>0</v>
      </c>
      <c r="BH242" s="920">
        <f>IF(AW242=0,0,(AX242-AW242)/AW242*100)</f>
        <v>0</v>
      </c>
      <c r="BI242" s="920">
        <f>IF(AX242=0,0,(AY242-AX242)/AX242*100)</f>
        <v>0</v>
      </c>
      <c r="BJ242" s="920">
        <f>IF(AY242=0,0,(AZ242-AY242)/AY242*100)</f>
        <v>0</v>
      </c>
      <c r="BK242" s="920">
        <f>IF(AZ242=0,0,(BA242-AZ242)/AZ242*100)</f>
        <v>0</v>
      </c>
      <c r="BL242" s="920">
        <f>IF(BA242=0,0,(BB242-BA242)/BA242*100)</f>
        <v>0</v>
      </c>
      <c r="BM242" s="920">
        <f>IF(BB242=0,0,(BC242-BB242)/BB242*100)</f>
        <v>0</v>
      </c>
      <c r="BN242" s="3771"/>
      <c r="BO242" s="3725" t="str">
        <f>IF(_xlfn.IFERROR(INDEX(Налоги!$K$26:$L$55,MATCH($F242&amp;"1komm",Налоги!$K$26:$K$55,0),2),"")=0,"",_xlfn.IFERROR(INDEX(Налоги!$K$26:$L$55,MATCH($F242&amp;"1komm",Налоги!$K$26:$K$55,0),2),""))</f>
        <v/>
      </c>
      <c r="BP242" s="3771"/>
      <c r="BQ242" s="1256"/>
      <c r="BR242" s="1256"/>
      <c r="BS242" s="1041" t="s">
        <v>1932</v>
      </c>
      <c r="BT242" s="1041"/>
      <c r="BU242" s="1041"/>
      <c r="BV242" s="956"/>
      <c r="BW242" s="956"/>
    </row>
    <row s="1624" customFormat="1" customHeight="1" ht="14.25">
      <c r="A243" s="1256"/>
      <c r="B243" s="62"/>
      <c r="C243" s="73"/>
      <c r="D243" s="73"/>
      <c r="E243" s="596">
        <v>15</v>
      </c>
      <c r="F243" s="50" cm="1" t="str">
        <f t="array" ref="F243:F243">OFFSET(E243,-1,1)</f>
        <v>1</v>
      </c>
      <c r="G243" s="898">
        <v>3</v>
      </c>
      <c r="H243" s="73"/>
      <c r="I243" s="73" t="s">
        <v>1933</v>
      </c>
      <c r="J243" s="73"/>
      <c r="K243" s="73" t="s">
        <v>1933</v>
      </c>
      <c r="L243" s="957"/>
      <c r="M243" s="73"/>
      <c r="N243" s="73"/>
      <c r="O243" s="73"/>
      <c r="P243" s="73"/>
      <c r="Q243" s="73"/>
      <c r="R243" s="73"/>
      <c r="S243" s="73"/>
      <c r="T243" s="438" cm="1" t="str">
        <f t="array" ref="T243:T243">T242</f>
        <v>true</v>
      </c>
      <c r="U243" s="73"/>
      <c r="V243" s="73"/>
      <c r="W243" s="1256"/>
      <c r="X243" s="1511"/>
      <c r="Y243" s="1256"/>
      <c r="Z243" s="1494"/>
      <c r="AA243" s="1256"/>
      <c r="AB243" s="265" t="s">
        <v>1934</v>
      </c>
      <c r="AC243" s="741" t="s">
        <v>1935</v>
      </c>
      <c r="AD243" s="266" t="s">
        <v>789</v>
      </c>
      <c r="AE243" s="3701">
        <f>_xlfn.SUMIFS(Налоги!AE$25:AE$55,Налоги!$F$25:$F$55,$F243,Налоги!$AB$25:$AB$55,$G243)</f>
        <v>0</v>
      </c>
      <c r="AF243" s="3701">
        <f>_xlfn.SUMIFS(Налоги!AF$25:AF$55,Налоги!$F$25:$F$55,$F243,Налоги!$AB$25:$AB$55,$G243)</f>
        <v>0</v>
      </c>
      <c r="AG243" s="3701">
        <f>_xlfn.SUMIFS(Налоги!AG$25:AG$55,Налоги!$F$25:$F$55,$F243,Налоги!$AB$25:$AB$55,$G243)</f>
        <v>0</v>
      </c>
      <c r="AH243" s="920">
        <f>AG243-AF243</f>
        <v>0</v>
      </c>
      <c r="AI243" s="3707">
        <f>_xlfn.SUMIFS(Налоги!AH$25:AH$55,Налоги!$F$25:$F$55,$F243,Налоги!$AB$25:$AB$55,$G243)</f>
        <v>0</v>
      </c>
      <c r="AJ243" s="3707">
        <f>_xlfn.SUMIFS(Налоги!AI$25:AI$55,Налоги!$F$25:$F$55,$F243,Налоги!$AB$25:$AB$55,$G243)</f>
        <v>0</v>
      </c>
      <c r="AK243" s="3707">
        <f>_xlfn.SUMIFS(Налоги!AJ$25:AJ$55,Налоги!$F$25:$F$55,$F243,Налоги!$AB$25:$AB$55,$G243)</f>
        <v>0</v>
      </c>
      <c r="AL243" s="3707">
        <f>_xlfn.SUMIFS(Налоги!AK$25:AK$55,Налоги!$F$25:$F$55,$F243,Налоги!$AB$25:$AB$55,$G243)</f>
        <v>0</v>
      </c>
      <c r="AM243" s="3707">
        <f>_xlfn.SUMIFS(Налоги!AL$25:AL$55,Налоги!$F$25:$F$55,$F243,Налоги!$AB$25:$AB$55,$G243)</f>
        <v>0</v>
      </c>
      <c r="AN243" s="3707">
        <f>_xlfn.SUMIFS(Налоги!AM$25:AM$55,Налоги!$F$25:$F$55,$F243,Налоги!$AB$25:$AB$55,$G243)</f>
        <v>0</v>
      </c>
      <c r="AO243" s="3707">
        <f>_xlfn.SUMIFS(Налоги!AN$25:AN$55,Налоги!$F$25:$F$55,$F243,Налоги!$AB$25:$AB$55,$G243)</f>
        <v>0</v>
      </c>
      <c r="AP243" s="3707">
        <f>_xlfn.SUMIFS(Налоги!AO$25:AO$55,Налоги!$F$25:$F$55,$F243,Налоги!$AB$25:$AB$55,$G243)</f>
        <v>0</v>
      </c>
      <c r="AQ243" s="3707">
        <f>_xlfn.SUMIFS(Налоги!AP$25:AP$55,Налоги!$F$25:$F$55,$F243,Налоги!$AB$25:$AB$55,$G243)</f>
        <v>0</v>
      </c>
      <c r="AR243" s="3707">
        <f>_xlfn.SUMIFS(Налоги!AQ$25:AQ$55,Налоги!$F$25:$F$55,$F243,Налоги!$AB$25:$AB$55,$G243)</f>
        <v>0</v>
      </c>
      <c r="AS243" s="3707">
        <f>_xlfn.SUMIFS(Налоги!AR$25:AR$55,Налоги!$F$25:$F$55,$F243,Налоги!$AB$25:$AB$55,$G243)</f>
        <v>0</v>
      </c>
      <c r="AT243" s="3707">
        <f>_xlfn.SUMIFS(Налоги!AS$25:AS$55,Налоги!$F$25:$F$55,$F243,Налоги!$AB$25:$AB$55,$G243)</f>
        <v>0</v>
      </c>
      <c r="AU243" s="3707">
        <f>_xlfn.SUMIFS(Налоги!AT$25:AT$55,Налоги!$F$25:$F$55,$F243,Налоги!$AB$25:$AB$55,$G243)</f>
        <v>0</v>
      </c>
      <c r="AV243" s="3707">
        <f>_xlfn.SUMIFS(Налоги!AU$25:AU$55,Налоги!$F$25:$F$55,$F243,Налоги!$AB$25:$AB$55,$G243)</f>
        <v>0</v>
      </c>
      <c r="AW243" s="3707">
        <f>_xlfn.SUMIFS(Налоги!AV$25:AV$55,Налоги!$F$25:$F$55,$F243,Налоги!$AB$25:$AB$55,$G243)</f>
        <v>0</v>
      </c>
      <c r="AX243" s="3707">
        <f>_xlfn.SUMIFS(Налоги!AW$25:AW$55,Налоги!$F$25:$F$55,$F243,Налоги!$AB$25:$AB$55,$G243)</f>
        <v>0</v>
      </c>
      <c r="AY243" s="3707">
        <f>_xlfn.SUMIFS(Налоги!AX$25:AX$55,Налоги!$F$25:$F$55,$F243,Налоги!$AB$25:$AB$55,$G243)</f>
        <v>0</v>
      </c>
      <c r="AZ243" s="3707">
        <f>_xlfn.SUMIFS(Налоги!AY$25:AY$55,Налоги!$F$25:$F$55,$F243,Налоги!$AB$25:$AB$55,$G243)</f>
        <v>0</v>
      </c>
      <c r="BA243" s="3707">
        <f>_xlfn.SUMIFS(Налоги!AZ$25:AZ$55,Налоги!$F$25:$F$55,$F243,Налоги!$AB$25:$AB$55,$G243)</f>
        <v>0</v>
      </c>
      <c r="BB243" s="3707">
        <f>_xlfn.SUMIFS(Налоги!BA$25:BA$55,Налоги!$F$25:$F$55,$F243,Налоги!$AB$25:$AB$55,$G243)</f>
        <v>0</v>
      </c>
      <c r="BC243" s="3707">
        <f>_xlfn.SUMIFS(Налоги!BB$25:BB$55,Налоги!$F$25:$F$55,$F243,Налоги!$AB$25:$AB$55,$G243)</f>
        <v>0</v>
      </c>
      <c r="BD243" s="920">
        <f>IF(AI243=0,0,(AT243-AI243)/AI243*100)</f>
        <v>0</v>
      </c>
      <c r="BE243" s="920">
        <f>IF(AT243=0,0,(AU243-AT243)/AT243*100)</f>
        <v>0</v>
      </c>
      <c r="BF243" s="920">
        <f>IF(AU243=0,0,(AV243-AU243)/AU243*100)</f>
        <v>0</v>
      </c>
      <c r="BG243" s="920">
        <f>IF(AV243=0,0,(AW243-AV243)/AV243*100)</f>
        <v>0</v>
      </c>
      <c r="BH243" s="920">
        <f>IF(AW243=0,0,(AX243-AW243)/AW243*100)</f>
        <v>0</v>
      </c>
      <c r="BI243" s="920">
        <f>IF(AX243=0,0,(AY243-AX243)/AX243*100)</f>
        <v>0</v>
      </c>
      <c r="BJ243" s="920">
        <f>IF(AY243=0,0,(AZ243-AY243)/AY243*100)</f>
        <v>0</v>
      </c>
      <c r="BK243" s="920">
        <f>IF(AZ243=0,0,(BA243-AZ243)/AZ243*100)</f>
        <v>0</v>
      </c>
      <c r="BL243" s="920">
        <f>IF(BA243=0,0,(BB243-BA243)/BA243*100)</f>
        <v>0</v>
      </c>
      <c r="BM243" s="920">
        <f>IF(BB243=0,0,(BC243-BB243)/BB243*100)</f>
        <v>0</v>
      </c>
      <c r="BN243" s="3771"/>
      <c r="BO243" s="3725" t="str">
        <f>IF(_xlfn.IFERROR(INDEX(Налоги!$K$26:$L$55,MATCH($F243&amp;"5komm",Налоги!$K$26:$K$55,0),2),"")=0,"",_xlfn.IFERROR(INDEX(Налоги!$K$26:$L$55,MATCH($F243&amp;"5komm",Налоги!$K$26:$K$55,0),2),""))</f>
        <v/>
      </c>
      <c r="BP243" s="3771"/>
      <c r="BQ243" s="1256"/>
      <c r="BR243" s="1256"/>
      <c r="BS243" s="1041" t="s">
        <v>1936</v>
      </c>
      <c r="BT243" s="1041"/>
      <c r="BU243" s="1041"/>
      <c r="BV243" s="956"/>
      <c r="BW243" s="956"/>
    </row>
    <row s="1624" customFormat="1" customHeight="1" ht="14.25">
      <c r="A244" s="1256"/>
      <c r="B244" s="62"/>
      <c r="C244" s="73"/>
      <c r="D244" s="73"/>
      <c r="E244" s="596">
        <v>15</v>
      </c>
      <c r="F244" s="50" cm="1" t="str">
        <f t="array" ref="F244:F244">OFFSET(E244,-1,1)</f>
        <v>1</v>
      </c>
      <c r="G244" s="898">
        <v>8</v>
      </c>
      <c r="H244" s="73"/>
      <c r="I244" s="73" t="s">
        <v>1937</v>
      </c>
      <c r="J244" s="73"/>
      <c r="K244" s="73" t="s">
        <v>1937</v>
      </c>
      <c r="L244" s="957"/>
      <c r="M244" s="73"/>
      <c r="N244" s="73"/>
      <c r="O244" s="73"/>
      <c r="P244" s="73"/>
      <c r="Q244" s="73"/>
      <c r="R244" s="73"/>
      <c r="S244" s="73"/>
      <c r="T244" s="438" cm="1" t="str">
        <f t="array" ref="T244:T244">T243</f>
        <v>true</v>
      </c>
      <c r="U244" s="73"/>
      <c r="V244" s="73"/>
      <c r="W244" s="1256"/>
      <c r="X244" s="1511"/>
      <c r="Y244" s="1256"/>
      <c r="Z244" s="1494"/>
      <c r="AA244" s="1256"/>
      <c r="AB244" s="265" t="s">
        <v>1938</v>
      </c>
      <c r="AC244" s="741" t="s">
        <v>1939</v>
      </c>
      <c r="AD244" s="266" t="s">
        <v>789</v>
      </c>
      <c r="AE244" s="225">
        <f>_xlfn.SUMIFS(Налоги!AE$25:AE$55,Налоги!$F$25:$F$55,$F244,Налоги!$AB$25:$AB$55,$G244)</f>
        <v>0</v>
      </c>
      <c r="AF244" s="225">
        <f>_xlfn.SUMIFS(Налоги!AF$25:AF$55,Налоги!$F$25:$F$55,$F244,Налоги!$AB$25:$AB$55,$G244)</f>
        <v>0</v>
      </c>
      <c r="AG244" s="225">
        <f>_xlfn.SUMIFS(Налоги!AG$25:AG$55,Налоги!$F$25:$F$55,$F244,Налоги!$AB$25:$AB$55,$G244)</f>
        <v>0</v>
      </c>
      <c r="AH244" s="920">
        <f>AG244-AF244</f>
        <v>0</v>
      </c>
      <c r="AI244" s="920">
        <f>_xlfn.SUMIFS(Налоги!AH$25:AH$55,Налоги!$F$25:$F$55,$F244,Налоги!$AB$25:$AB$55,$G244)</f>
        <v>0</v>
      </c>
      <c r="AJ244" s="920">
        <f>_xlfn.SUMIFS(Налоги!AI$25:AI$55,Налоги!$F$25:$F$55,$F244,Налоги!$AB$25:$AB$55,$G244)</f>
        <v>0</v>
      </c>
      <c r="AK244" s="920">
        <f>_xlfn.SUMIFS(Налоги!AJ$25:AJ$55,Налоги!$F$25:$F$55,$F244,Налоги!$AB$25:$AB$55,$G244)</f>
        <v>0</v>
      </c>
      <c r="AL244" s="920">
        <f>_xlfn.SUMIFS(Налоги!AK$25:AK$55,Налоги!$F$25:$F$55,$F244,Налоги!$AB$25:$AB$55,$G244)</f>
        <v>0</v>
      </c>
      <c r="AM244" s="920">
        <f>_xlfn.SUMIFS(Налоги!AL$25:AL$55,Налоги!$F$25:$F$55,$F244,Налоги!$AB$25:$AB$55,$G244)</f>
        <v>0</v>
      </c>
      <c r="AN244" s="920">
        <f>_xlfn.SUMIFS(Налоги!AM$25:AM$55,Налоги!$F$25:$F$55,$F244,Налоги!$AB$25:$AB$55,$G244)</f>
        <v>0</v>
      </c>
      <c r="AO244" s="920">
        <f>_xlfn.SUMIFS(Налоги!AN$25:AN$55,Налоги!$F$25:$F$55,$F244,Налоги!$AB$25:$AB$55,$G244)</f>
        <v>0</v>
      </c>
      <c r="AP244" s="920">
        <f>_xlfn.SUMIFS(Налоги!AO$25:AO$55,Налоги!$F$25:$F$55,$F244,Налоги!$AB$25:$AB$55,$G244)</f>
        <v>0</v>
      </c>
      <c r="AQ244" s="920">
        <f>_xlfn.SUMIFS(Налоги!AP$25:AP$55,Налоги!$F$25:$F$55,$F244,Налоги!$AB$25:$AB$55,$G244)</f>
        <v>0</v>
      </c>
      <c r="AR244" s="920">
        <f>_xlfn.SUMIFS(Налоги!AQ$25:AQ$55,Налоги!$F$25:$F$55,$F244,Налоги!$AB$25:$AB$55,$G244)</f>
        <v>0</v>
      </c>
      <c r="AS244" s="920">
        <f>_xlfn.SUMIFS(Налоги!AR$25:AR$55,Налоги!$F$25:$F$55,$F244,Налоги!$AB$25:$AB$55,$G244)</f>
        <v>0</v>
      </c>
      <c r="AT244" s="920">
        <f>_xlfn.SUMIFS(Налоги!AS$25:AS$55,Налоги!$F$25:$F$55,$F244,Налоги!$AB$25:$AB$55,$G244)</f>
        <v>0</v>
      </c>
      <c r="AU244" s="920">
        <f>_xlfn.SUMIFS(Налоги!AT$25:AT$55,Налоги!$F$25:$F$55,$F244,Налоги!$AB$25:$AB$55,$G244)</f>
        <v>0</v>
      </c>
      <c r="AV244" s="920">
        <f>_xlfn.SUMIFS(Налоги!AU$25:AU$55,Налоги!$F$25:$F$55,$F244,Налоги!$AB$25:$AB$55,$G244)</f>
        <v>0</v>
      </c>
      <c r="AW244" s="920">
        <f>_xlfn.SUMIFS(Налоги!AV$25:AV$55,Налоги!$F$25:$F$55,$F244,Налоги!$AB$25:$AB$55,$G244)</f>
        <v>0</v>
      </c>
      <c r="AX244" s="920">
        <f>_xlfn.SUMIFS(Налоги!AW$25:AW$55,Налоги!$F$25:$F$55,$F244,Налоги!$AB$25:$AB$55,$G244)</f>
        <v>0</v>
      </c>
      <c r="AY244" s="920">
        <f>_xlfn.SUMIFS(Налоги!AX$25:AX$55,Налоги!$F$25:$F$55,$F244,Налоги!$AB$25:$AB$55,$G244)</f>
        <v>0</v>
      </c>
      <c r="AZ244" s="920">
        <f>_xlfn.SUMIFS(Налоги!AY$25:AY$55,Налоги!$F$25:$F$55,$F244,Налоги!$AB$25:$AB$55,$G244)</f>
        <v>0</v>
      </c>
      <c r="BA244" s="920">
        <f>_xlfn.SUMIFS(Налоги!AZ$25:AZ$55,Налоги!$F$25:$F$55,$F244,Налоги!$AB$25:$AB$55,$G244)</f>
        <v>0</v>
      </c>
      <c r="BB244" s="920">
        <f>_xlfn.SUMIFS(Налоги!BA$25:BA$55,Налоги!$F$25:$F$55,$F244,Налоги!$AB$25:$AB$55,$G244)</f>
        <v>0</v>
      </c>
      <c r="BC244" s="920">
        <f>_xlfn.SUMIFS(Налоги!BB$25:BB$55,Налоги!$F$25:$F$55,$F244,Налоги!$AB$25:$AB$55,$G244)</f>
        <v>0</v>
      </c>
      <c r="BD244" s="920">
        <f>IF(AI244=0,0,(AT244-AI244)/AI244*100)</f>
        <v>0</v>
      </c>
      <c r="BE244" s="920">
        <f>IF(AT244=0,0,(AU244-AT244)/AT244*100)</f>
        <v>0</v>
      </c>
      <c r="BF244" s="920">
        <f>IF(AU244=0,0,(AV244-AU244)/AU244*100)</f>
        <v>0</v>
      </c>
      <c r="BG244" s="920">
        <f>IF(AV244=0,0,(AW244-AV244)/AV244*100)</f>
        <v>0</v>
      </c>
      <c r="BH244" s="920">
        <f>IF(AW244=0,0,(AX244-AW244)/AW244*100)</f>
        <v>0</v>
      </c>
      <c r="BI244" s="920">
        <f>IF(AX244=0,0,(AY244-AX244)/AX244*100)</f>
        <v>0</v>
      </c>
      <c r="BJ244" s="920">
        <f>IF(AY244=0,0,(AZ244-AY244)/AY244*100)</f>
        <v>0</v>
      </c>
      <c r="BK244" s="920">
        <f>IF(AZ244=0,0,(BA244-AZ244)/AZ244*100)</f>
        <v>0</v>
      </c>
      <c r="BL244" s="920">
        <f>IF(BA244=0,0,(BB244-BA244)/BA244*100)</f>
        <v>0</v>
      </c>
      <c r="BM244" s="920">
        <f>IF(BB244=0,0,(BC244-BB244)/BB244*100)</f>
        <v>0</v>
      </c>
      <c r="BN244" s="3771"/>
      <c r="BO244" s="3725" t="str">
        <f>IF(_xlfn.IFERROR(INDEX(Налоги!$K$26:$L$55,MATCH($F244&amp;"8komm",Налоги!$K$26:$K$55,0),2),"")=0,"",_xlfn.IFERROR(INDEX(Налоги!$K$26:$L$55,MATCH($F244&amp;"8komm",Налоги!$K$26:$K$55,0),2),""))</f>
        <v/>
      </c>
      <c r="BP244" s="3771"/>
      <c r="BQ244" s="1256"/>
      <c r="BR244" s="1256"/>
      <c r="BS244" s="1041" t="s">
        <v>1164</v>
      </c>
      <c r="BT244" s="1041"/>
      <c r="BU244" s="1041"/>
      <c r="BV244" s="956"/>
      <c r="BW244" s="956"/>
    </row>
    <row s="1211" customFormat="1" customHeight="1" ht="14.25">
      <c r="A245" s="1211"/>
      <c r="B245" s="62"/>
      <c r="C245" s="73"/>
      <c r="D245" s="73"/>
      <c r="E245" s="596">
        <v>15</v>
      </c>
      <c r="F245" s="50" cm="1" t="str">
        <f t="array" ref="F245:F245">OFFSET(E245,-1,1)</f>
        <v>1</v>
      </c>
      <c r="G245" s="898">
        <v>9</v>
      </c>
      <c r="H245" s="73"/>
      <c r="I245" s="73"/>
      <c r="J245" s="73"/>
      <c r="K245" s="73"/>
      <c r="L245" s="957"/>
      <c r="M245" s="73"/>
      <c r="N245" s="73"/>
      <c r="O245" s="73"/>
      <c r="P245" s="73"/>
      <c r="Q245" s="73"/>
      <c r="R245" s="73"/>
      <c r="S245" s="73"/>
      <c r="T245" s="438" cm="1" t="str">
        <f t="array" ref="T245:T245">T244</f>
        <v>true</v>
      </c>
      <c r="U245" s="73"/>
      <c r="V245" s="73"/>
      <c r="W245" s="1211"/>
      <c r="X245" s="1511"/>
      <c r="Y245" s="1211"/>
      <c r="Z245" s="1494"/>
      <c r="AA245" s="1211"/>
      <c r="AB245" s="265" t="s">
        <v>1940</v>
      </c>
      <c r="AC245" s="756" t="s">
        <v>1941</v>
      </c>
      <c r="AD245" s="266" t="s">
        <v>789</v>
      </c>
      <c r="AE245" s="225">
        <f>_xlfn.SUMIFS(Налоги!AE$25:AE$55,Налоги!$F$25:$F$55,$F245,Налоги!$AB$25:$AB$55,$G245)</f>
        <v>0</v>
      </c>
      <c r="AF245" s="225">
        <f>_xlfn.SUMIFS(Налоги!AF$25:AF$55,Налоги!$F$25:$F$55,$F245,Налоги!$AB$25:$AB$55,$G245)</f>
        <v>0</v>
      </c>
      <c r="AG245" s="225">
        <f>_xlfn.SUMIFS(Налоги!AG$25:AG$55,Налоги!$F$25:$F$55,$F245,Налоги!$AB$25:$AB$55,$G245)</f>
        <v>0</v>
      </c>
      <c r="AH245" s="920">
        <f>AG245-AF245</f>
        <v>0</v>
      </c>
      <c r="AI245" s="920">
        <f>_xlfn.SUMIFS(Налоги!AH$25:AH$55,Налоги!$F$25:$F$55,$F245,Налоги!$AB$25:$AB$55,$G245)</f>
        <v>0</v>
      </c>
      <c r="AJ245" s="920">
        <f>_xlfn.SUMIFS(Налоги!AI$25:AI$55,Налоги!$F$25:$F$55,$F245,Налоги!$AB$25:$AB$55,$G245)</f>
        <v>0</v>
      </c>
      <c r="AK245" s="920">
        <f>_xlfn.SUMIFS(Налоги!AJ$25:AJ$55,Налоги!$F$25:$F$55,$F245,Налоги!$AB$25:$AB$55,$G245)</f>
        <v>0</v>
      </c>
      <c r="AL245" s="920">
        <f>_xlfn.SUMIFS(Налоги!AK$25:AK$55,Налоги!$F$25:$F$55,$F245,Налоги!$AB$25:$AB$55,$G245)</f>
        <v>0</v>
      </c>
      <c r="AM245" s="920">
        <f>_xlfn.SUMIFS(Налоги!AL$25:AL$55,Налоги!$F$25:$F$55,$F245,Налоги!$AB$25:$AB$55,$G245)</f>
        <v>0</v>
      </c>
      <c r="AN245" s="920">
        <f>_xlfn.SUMIFS(Налоги!AM$25:AM$55,Налоги!$F$25:$F$55,$F245,Налоги!$AB$25:$AB$55,$G245)</f>
        <v>0</v>
      </c>
      <c r="AO245" s="920">
        <f>_xlfn.SUMIFS(Налоги!AN$25:AN$55,Налоги!$F$25:$F$55,$F245,Налоги!$AB$25:$AB$55,$G245)</f>
        <v>0</v>
      </c>
      <c r="AP245" s="920">
        <f>_xlfn.SUMIFS(Налоги!AO$25:AO$55,Налоги!$F$25:$F$55,$F245,Налоги!$AB$25:$AB$55,$G245)</f>
        <v>0</v>
      </c>
      <c r="AQ245" s="920">
        <f>_xlfn.SUMIFS(Налоги!AP$25:AP$55,Налоги!$F$25:$F$55,$F245,Налоги!$AB$25:$AB$55,$G245)</f>
        <v>0</v>
      </c>
      <c r="AR245" s="920">
        <f>_xlfn.SUMIFS(Налоги!AQ$25:AQ$55,Налоги!$F$25:$F$55,$F245,Налоги!$AB$25:$AB$55,$G245)</f>
        <v>0</v>
      </c>
      <c r="AS245" s="920">
        <f>_xlfn.SUMIFS(Налоги!AR$25:AR$55,Налоги!$F$25:$F$55,$F245,Налоги!$AB$25:$AB$55,$G245)</f>
        <v>0</v>
      </c>
      <c r="AT245" s="920">
        <f>_xlfn.SUMIFS(Налоги!AS$25:AS$55,Налоги!$F$25:$F$55,$F245,Налоги!$AB$25:$AB$55,$G245)</f>
        <v>0</v>
      </c>
      <c r="AU245" s="920">
        <f>_xlfn.SUMIFS(Налоги!AT$25:AT$55,Налоги!$F$25:$F$55,$F245,Налоги!$AB$25:$AB$55,$G245)</f>
        <v>0</v>
      </c>
      <c r="AV245" s="920">
        <f>_xlfn.SUMIFS(Налоги!AU$25:AU$55,Налоги!$F$25:$F$55,$F245,Налоги!$AB$25:$AB$55,$G245)</f>
        <v>0</v>
      </c>
      <c r="AW245" s="920">
        <f>_xlfn.SUMIFS(Налоги!AV$25:AV$55,Налоги!$F$25:$F$55,$F245,Налоги!$AB$25:$AB$55,$G245)</f>
        <v>0</v>
      </c>
      <c r="AX245" s="920">
        <f>_xlfn.SUMIFS(Налоги!AW$25:AW$55,Налоги!$F$25:$F$55,$F245,Налоги!$AB$25:$AB$55,$G245)</f>
        <v>0</v>
      </c>
      <c r="AY245" s="920">
        <f>_xlfn.SUMIFS(Налоги!AX$25:AX$55,Налоги!$F$25:$F$55,$F245,Налоги!$AB$25:$AB$55,$G245)</f>
        <v>0</v>
      </c>
      <c r="AZ245" s="920">
        <f>_xlfn.SUMIFS(Налоги!AY$25:AY$55,Налоги!$F$25:$F$55,$F245,Налоги!$AB$25:$AB$55,$G245)</f>
        <v>0</v>
      </c>
      <c r="BA245" s="920">
        <f>_xlfn.SUMIFS(Налоги!AZ$25:AZ$55,Налоги!$F$25:$F$55,$F245,Налоги!$AB$25:$AB$55,$G245)</f>
        <v>0</v>
      </c>
      <c r="BB245" s="920">
        <f>_xlfn.SUMIFS(Налоги!BA$25:BA$55,Налоги!$F$25:$F$55,$F245,Налоги!$AB$25:$AB$55,$G245)</f>
        <v>0</v>
      </c>
      <c r="BC245" s="920">
        <f>_xlfn.SUMIFS(Налоги!BB$25:BB$55,Налоги!$F$25:$F$55,$F245,Налоги!$AB$25:$AB$55,$G245)</f>
        <v>0</v>
      </c>
      <c r="BD245" s="920">
        <f>IF(AI245=0,0,(AT245-AI245)/AI245*100)</f>
        <v>0</v>
      </c>
      <c r="BE245" s="920">
        <f>IF(AT245=0,0,(AU245-AT245)/AT245*100)</f>
        <v>0</v>
      </c>
      <c r="BF245" s="920">
        <f>IF(AU245=0,0,(AV245-AU245)/AU245*100)</f>
        <v>0</v>
      </c>
      <c r="BG245" s="920">
        <f>IF(AV245=0,0,(AW245-AV245)/AV245*100)</f>
        <v>0</v>
      </c>
      <c r="BH245" s="920">
        <f>IF(AW245=0,0,(AX245-AW245)/AW245*100)</f>
        <v>0</v>
      </c>
      <c r="BI245" s="920">
        <f>IF(AX245=0,0,(AY245-AX245)/AX245*100)</f>
        <v>0</v>
      </c>
      <c r="BJ245" s="920">
        <f>IF(AY245=0,0,(AZ245-AY245)/AY245*100)</f>
        <v>0</v>
      </c>
      <c r="BK245" s="920">
        <f>IF(AZ245=0,0,(BA245-AZ245)/AZ245*100)</f>
        <v>0</v>
      </c>
      <c r="BL245" s="920">
        <f>IF(BA245=0,0,(BB245-BA245)/BA245*100)</f>
        <v>0</v>
      </c>
      <c r="BM245" s="920">
        <f>IF(BB245=0,0,(BC245-BB245)/BB245*100)</f>
        <v>0</v>
      </c>
      <c r="BN245" s="3771"/>
      <c r="BO245" s="3725" t="str">
        <f>IF(_xlfn.IFERROR(INDEX(Налоги!$K$26:$L$55,MATCH($F245&amp;"9komm",Налоги!$K$26:$K$55,0),2),"")=0,"",_xlfn.IFERROR(INDEX(Налоги!$K$26:$L$55,MATCH($F245&amp;"9komm",Налоги!$K$26:$K$55,0),2),""))</f>
        <v/>
      </c>
      <c r="BP245" s="3771"/>
      <c r="BQ245" s="1211"/>
      <c r="BR245" s="1211"/>
      <c r="BS245" s="1048" t="s">
        <v>1942</v>
      </c>
      <c r="BT245" s="1048"/>
      <c r="BU245" s="1048"/>
      <c r="BV245" s="1049"/>
      <c r="BW245" s="1049"/>
    </row>
    <row s="1624" customFormat="1" customHeight="1" ht="14.25">
      <c r="A246" s="1256"/>
      <c r="B246" s="62"/>
      <c r="C246" s="73"/>
      <c r="D246" s="73"/>
      <c r="E246" s="596">
        <v>15</v>
      </c>
      <c r="F246" s="50" cm="1" t="str">
        <f t="array" ref="F246:F246">OFFSET(E246,-1,1)</f>
        <v>1</v>
      </c>
      <c r="G246" s="898">
        <v>10</v>
      </c>
      <c r="H246" s="73"/>
      <c r="I246" s="73" t="s">
        <v>1943</v>
      </c>
      <c r="J246" s="73"/>
      <c r="K246" s="73" t="s">
        <v>1943</v>
      </c>
      <c r="L246" s="957"/>
      <c r="M246" s="73"/>
      <c r="N246" s="73"/>
      <c r="O246" s="73"/>
      <c r="P246" s="73"/>
      <c r="Q246" s="73"/>
      <c r="R246" s="73"/>
      <c r="S246" s="73"/>
      <c r="T246" s="438" cm="1" t="str">
        <f t="array" ref="T246:T246">T245</f>
        <v>true</v>
      </c>
      <c r="U246" s="73"/>
      <c r="V246" s="73"/>
      <c r="W246" s="1256"/>
      <c r="X246" s="1511"/>
      <c r="Y246" s="1256"/>
      <c r="Z246" s="1494"/>
      <c r="AA246" s="1256"/>
      <c r="AB246" s="265" t="s">
        <v>1944</v>
      </c>
      <c r="AC246" s="757" t="s">
        <v>1945</v>
      </c>
      <c r="AD246" s="266" t="s">
        <v>789</v>
      </c>
      <c r="AE246" s="225">
        <f>_xlfn.SUMIFS(Налоги!AE$25:AE$55,Налоги!$F$25:$F$55,$F246,Налоги!$AB$25:$AB$55,$G246)</f>
        <v>0</v>
      </c>
      <c r="AF246" s="225">
        <f>_xlfn.SUMIFS(Налоги!AF$25:AF$55,Налоги!$F$25:$F$55,$F246,Налоги!$AB$25:$AB$55,$G246)</f>
        <v>0</v>
      </c>
      <c r="AG246" s="225">
        <f>_xlfn.SUMIFS(Налоги!AG$25:AG$55,Налоги!$F$25:$F$55,$F246,Налоги!$AB$25:$AB$55,$G246)</f>
        <v>0</v>
      </c>
      <c r="AH246" s="920">
        <f>AG246-AF246</f>
        <v>0</v>
      </c>
      <c r="AI246" s="920">
        <f>_xlfn.SUMIFS(Налоги!AH$25:AH$55,Налоги!$F$25:$F$55,$F246,Налоги!$AB$25:$AB$55,$G246)</f>
        <v>0</v>
      </c>
      <c r="AJ246" s="920">
        <f>_xlfn.SUMIFS(Налоги!AI$25:AI$55,Налоги!$F$25:$F$55,$F246,Налоги!$AB$25:$AB$55,$G246)</f>
        <v>0</v>
      </c>
      <c r="AK246" s="920">
        <f>_xlfn.SUMIFS(Налоги!AJ$25:AJ$55,Налоги!$F$25:$F$55,$F246,Налоги!$AB$25:$AB$55,$G246)</f>
        <v>0</v>
      </c>
      <c r="AL246" s="920">
        <f>_xlfn.SUMIFS(Налоги!AK$25:AK$55,Налоги!$F$25:$F$55,$F246,Налоги!$AB$25:$AB$55,$G246)</f>
        <v>0</v>
      </c>
      <c r="AM246" s="920">
        <f>_xlfn.SUMIFS(Налоги!AL$25:AL$55,Налоги!$F$25:$F$55,$F246,Налоги!$AB$25:$AB$55,$G246)</f>
        <v>0</v>
      </c>
      <c r="AN246" s="920">
        <f>_xlfn.SUMIFS(Налоги!AM$25:AM$55,Налоги!$F$25:$F$55,$F246,Налоги!$AB$25:$AB$55,$G246)</f>
        <v>0</v>
      </c>
      <c r="AO246" s="920">
        <f>_xlfn.SUMIFS(Налоги!AN$25:AN$55,Налоги!$F$25:$F$55,$F246,Налоги!$AB$25:$AB$55,$G246)</f>
        <v>0</v>
      </c>
      <c r="AP246" s="920">
        <f>_xlfn.SUMIFS(Налоги!AO$25:AO$55,Налоги!$F$25:$F$55,$F246,Налоги!$AB$25:$AB$55,$G246)</f>
        <v>0</v>
      </c>
      <c r="AQ246" s="920">
        <f>_xlfn.SUMIFS(Налоги!AP$25:AP$55,Налоги!$F$25:$F$55,$F246,Налоги!$AB$25:$AB$55,$G246)</f>
        <v>0</v>
      </c>
      <c r="AR246" s="920">
        <f>_xlfn.SUMIFS(Налоги!AQ$25:AQ$55,Налоги!$F$25:$F$55,$F246,Налоги!$AB$25:$AB$55,$G246)</f>
        <v>0</v>
      </c>
      <c r="AS246" s="920">
        <f>_xlfn.SUMIFS(Налоги!AR$25:AR$55,Налоги!$F$25:$F$55,$F246,Налоги!$AB$25:$AB$55,$G246)</f>
        <v>0</v>
      </c>
      <c r="AT246" s="920">
        <f>_xlfn.SUMIFS(Налоги!AS$25:AS$55,Налоги!$F$25:$F$55,$F246,Налоги!$AB$25:$AB$55,$G246)</f>
        <v>0</v>
      </c>
      <c r="AU246" s="920">
        <f>_xlfn.SUMIFS(Налоги!AT$25:AT$55,Налоги!$F$25:$F$55,$F246,Налоги!$AB$25:$AB$55,$G246)</f>
        <v>0</v>
      </c>
      <c r="AV246" s="920">
        <f>_xlfn.SUMIFS(Налоги!AU$25:AU$55,Налоги!$F$25:$F$55,$F246,Налоги!$AB$25:$AB$55,$G246)</f>
        <v>0</v>
      </c>
      <c r="AW246" s="920">
        <f>_xlfn.SUMIFS(Налоги!AV$25:AV$55,Налоги!$F$25:$F$55,$F246,Налоги!$AB$25:$AB$55,$G246)</f>
        <v>0</v>
      </c>
      <c r="AX246" s="920">
        <f>_xlfn.SUMIFS(Налоги!AW$25:AW$55,Налоги!$F$25:$F$55,$F246,Налоги!$AB$25:$AB$55,$G246)</f>
        <v>0</v>
      </c>
      <c r="AY246" s="920">
        <f>_xlfn.SUMIFS(Налоги!AX$25:AX$55,Налоги!$F$25:$F$55,$F246,Налоги!$AB$25:$AB$55,$G246)</f>
        <v>0</v>
      </c>
      <c r="AZ246" s="920">
        <f>_xlfn.SUMIFS(Налоги!AY$25:AY$55,Налоги!$F$25:$F$55,$F246,Налоги!$AB$25:$AB$55,$G246)</f>
        <v>0</v>
      </c>
      <c r="BA246" s="920">
        <f>_xlfn.SUMIFS(Налоги!AZ$25:AZ$55,Налоги!$F$25:$F$55,$F246,Налоги!$AB$25:$AB$55,$G246)</f>
        <v>0</v>
      </c>
      <c r="BB246" s="920">
        <f>_xlfn.SUMIFS(Налоги!BA$25:BA$55,Налоги!$F$25:$F$55,$F246,Налоги!$AB$25:$AB$55,$G246)</f>
        <v>0</v>
      </c>
      <c r="BC246" s="920">
        <f>_xlfn.SUMIFS(Налоги!BB$25:BB$55,Налоги!$F$25:$F$55,$F246,Налоги!$AB$25:$AB$55,$G246)</f>
        <v>0</v>
      </c>
      <c r="BD246" s="920">
        <f>IF(AI246=0,0,(AT246-AI246)/AI246*100)</f>
        <v>0</v>
      </c>
      <c r="BE246" s="920">
        <f>IF(AT246=0,0,(AU246-AT246)/AT246*100)</f>
        <v>0</v>
      </c>
      <c r="BF246" s="920">
        <f>IF(AU246=0,0,(AV246-AU246)/AU246*100)</f>
        <v>0</v>
      </c>
      <c r="BG246" s="920">
        <f>IF(AV246=0,0,(AW246-AV246)/AV246*100)</f>
        <v>0</v>
      </c>
      <c r="BH246" s="920">
        <f>IF(AW246=0,0,(AX246-AW246)/AW246*100)</f>
        <v>0</v>
      </c>
      <c r="BI246" s="920">
        <f>IF(AX246=0,0,(AY246-AX246)/AX246*100)</f>
        <v>0</v>
      </c>
      <c r="BJ246" s="920">
        <f>IF(AY246=0,0,(AZ246-AY246)/AY246*100)</f>
        <v>0</v>
      </c>
      <c r="BK246" s="920">
        <f>IF(AZ246=0,0,(BA246-AZ246)/AZ246*100)</f>
        <v>0</v>
      </c>
      <c r="BL246" s="920">
        <f>IF(BA246=0,0,(BB246-BA246)/BA246*100)</f>
        <v>0</v>
      </c>
      <c r="BM246" s="920">
        <f>IF(BB246=0,0,(BC246-BB246)/BB246*100)</f>
        <v>0</v>
      </c>
      <c r="BN246" s="3771"/>
      <c r="BO246" s="3725" t="str">
        <f>IF(_xlfn.IFERROR(INDEX(Налоги!$K$26:$L$55,MATCH($F246&amp;"10komm",Налоги!$K$26:$K$55,0),2),"")=0,"",_xlfn.IFERROR(INDEX(Налоги!$K$26:$L$55,MATCH($F246&amp;"10komm",Налоги!$K$26:$K$55,0),2),""))</f>
        <v/>
      </c>
      <c r="BP246" s="3771"/>
      <c r="BQ246" s="1256"/>
      <c r="BR246" s="1256"/>
      <c r="BS246" s="1041" t="s">
        <v>1946</v>
      </c>
      <c r="BT246" s="1041"/>
      <c r="BU246" s="1041"/>
      <c r="BV246" s="956"/>
      <c r="BW246" s="956"/>
    </row>
    <row s="1624" customFormat="1" customHeight="1" ht="65.25">
      <c r="A247" s="1256"/>
      <c r="B247" s="955"/>
      <c r="C247" s="1256"/>
      <c r="D247" s="1256"/>
      <c r="E247" s="679">
        <v>67.5</v>
      </c>
      <c r="F247" s="50" cm="1" t="str">
        <f t="array" ref="F247:F247">OFFSET(E247,-1,1)</f>
        <v>1</v>
      </c>
      <c r="G247" s="124" t="s">
        <v>1317</v>
      </c>
      <c r="H247" s="1256"/>
      <c r="I247" s="124" t="s">
        <v>866</v>
      </c>
      <c r="J247" s="1256"/>
      <c r="K247" s="124" t="s">
        <v>866</v>
      </c>
      <c r="L247" s="957"/>
      <c r="M247" s="73"/>
      <c r="N247" s="1256"/>
      <c r="O247" s="1256"/>
      <c r="P247" s="1256"/>
      <c r="Q247" s="1256"/>
      <c r="R247" s="1256"/>
      <c r="S247" s="1256"/>
      <c r="T247" s="438" cm="1" t="str">
        <f t="array" ref="T247:T247">T246</f>
        <v>true</v>
      </c>
      <c r="U247" s="1256"/>
      <c r="V247" s="1256"/>
      <c r="W247" s="1256"/>
      <c r="X247" s="1511"/>
      <c r="Y247" s="1256"/>
      <c r="Z247" s="1494"/>
      <c r="AA247" s="1256"/>
      <c r="AB247" s="265" t="s">
        <v>867</v>
      </c>
      <c r="AC247" s="758" t="s">
        <v>1320</v>
      </c>
      <c r="AD247" s="266" t="s">
        <v>789</v>
      </c>
      <c r="AE247" s="3774"/>
      <c r="AF247" s="3774"/>
      <c r="AG247" s="3774"/>
      <c r="AH247" s="920">
        <f>AG247-AF247</f>
        <v>0</v>
      </c>
      <c r="AI247" s="3711"/>
      <c r="AJ247" s="3711"/>
      <c r="AK247" s="3711"/>
      <c r="AL247" s="3711"/>
      <c r="AM247" s="3711"/>
      <c r="AN247" s="3711"/>
      <c r="AO247" s="3711"/>
      <c r="AP247" s="3711"/>
      <c r="AQ247" s="3711"/>
      <c r="AR247" s="3711"/>
      <c r="AS247" s="3711"/>
      <c r="AT247" s="3711"/>
      <c r="AU247" s="3711"/>
      <c r="AV247" s="3711"/>
      <c r="AW247" s="3711"/>
      <c r="AX247" s="3711"/>
      <c r="AY247" s="3711"/>
      <c r="AZ247" s="3711"/>
      <c r="BA247" s="3711"/>
      <c r="BB247" s="3711"/>
      <c r="BC247" s="3711"/>
      <c r="BD247" s="920">
        <f>IF(AI247=0,0,(AT247-AI247)/AI247*100)</f>
        <v>0</v>
      </c>
      <c r="BE247" s="920">
        <f>IF(AT247=0,0,(AU247-AT247)/AT247*100)</f>
        <v>0</v>
      </c>
      <c r="BF247" s="920">
        <f>IF(AU247=0,0,(AV247-AU247)/AU247*100)</f>
        <v>0</v>
      </c>
      <c r="BG247" s="920">
        <f>IF(AV247=0,0,(AW247-AV247)/AV247*100)</f>
        <v>0</v>
      </c>
      <c r="BH247" s="920">
        <f>IF(AW247=0,0,(AX247-AW247)/AW247*100)</f>
        <v>0</v>
      </c>
      <c r="BI247" s="920">
        <f>IF(AX247=0,0,(AY247-AX247)/AX247*100)</f>
        <v>0</v>
      </c>
      <c r="BJ247" s="920">
        <f>IF(AY247=0,0,(AZ247-AY247)/AY247*100)</f>
        <v>0</v>
      </c>
      <c r="BK247" s="920">
        <f>IF(AZ247=0,0,(BA247-AZ247)/AZ247*100)</f>
        <v>0</v>
      </c>
      <c r="BL247" s="920">
        <f>IF(BA247=0,0,(BB247-BA247)/BA247*100)</f>
        <v>0</v>
      </c>
      <c r="BM247" s="920">
        <f>IF(BB247=0,0,(BC247-BB247)/BB247*100)</f>
        <v>0</v>
      </c>
      <c r="BN247" s="3771"/>
      <c r="BO247" s="3771"/>
      <c r="BP247" s="3771"/>
      <c r="BQ247" s="1256"/>
      <c r="BR247" s="1256"/>
      <c r="BS247" s="1041" t="s">
        <v>1947</v>
      </c>
      <c r="BT247" s="1041"/>
      <c r="BU247" s="1041"/>
      <c r="BV247" s="956"/>
      <c r="BW247" s="956"/>
    </row>
    <row s="1624" customFormat="1" customHeight="1" ht="14.25">
      <c r="A248" s="1256"/>
      <c r="B248" s="955"/>
      <c r="C248" s="1256"/>
      <c r="D248" s="1256"/>
      <c r="E248" s="679">
        <v>15</v>
      </c>
      <c r="F248" s="50" cm="1" t="str">
        <f t="array" ref="F248:F248">OFFSET(E248,-1,1)</f>
        <v>1</v>
      </c>
      <c r="G248" s="124" t="s">
        <v>942</v>
      </c>
      <c r="H248" s="1256"/>
      <c r="I248" s="124" t="s">
        <v>869</v>
      </c>
      <c r="J248" s="1256"/>
      <c r="K248" s="124" t="s">
        <v>869</v>
      </c>
      <c r="L248" s="957" t="s">
        <v>484</v>
      </c>
      <c r="M248" s="73"/>
      <c r="N248" s="1256"/>
      <c r="O248" s="1256"/>
      <c r="P248" s="1256"/>
      <c r="Q248" s="1256"/>
      <c r="R248" s="1256"/>
      <c r="S248" s="1256"/>
      <c r="T248" s="438" cm="1" t="str">
        <f t="array" ref="T248:T248">T247</f>
        <v>true</v>
      </c>
      <c r="U248" s="1256"/>
      <c r="V248" s="1256"/>
      <c r="W248" s="1256"/>
      <c r="X248" s="1511"/>
      <c r="Y248" s="1256"/>
      <c r="Z248" s="1494"/>
      <c r="AA248" s="1256"/>
      <c r="AB248" s="265" t="s">
        <v>870</v>
      </c>
      <c r="AC248" s="738" t="s">
        <v>942</v>
      </c>
      <c r="AD248" s="266" t="s">
        <v>789</v>
      </c>
      <c r="AE248" s="225">
        <f>_xlfn.SUMIFS(Аренда!AE$25:AE$47,Аренда!$F$25:$F$47,$F248,Аренда!$G$25:$G$47,"Арендная и концессионная плата, лизинговые платежи")</f>
        <v>0</v>
      </c>
      <c r="AF248" s="225">
        <f>_xlfn.SUMIFS(Аренда!AF$25:AF$47,Аренда!$F$25:$F$47,$F248,Аренда!$G$25:$G$47,"Арендная и концессионная плата, лизинговые платежи")</f>
        <v>0</v>
      </c>
      <c r="AG248" s="225">
        <f>_xlfn.SUMIFS(Аренда!AG$25:AG$47,Аренда!$F$25:$F$47,$F248,Аренда!$G$25:$G$47,"Арендная и концессионная плата, лизинговые платежи")</f>
        <v>0</v>
      </c>
      <c r="AH248" s="920">
        <f>AG248-AF248</f>
        <v>0</v>
      </c>
      <c r="AI248" s="225">
        <f>_xlfn.SUMIFS(Аренда!AH$25:AH$47,Аренда!$F$25:$F$47,$F248,Аренда!$G$25:$G$47,"Арендная и концессионная плата, лизинговые платежи")</f>
        <v>0</v>
      </c>
      <c r="AJ248" s="225">
        <f>_xlfn.SUMIFS(Аренда!AI$25:AI$47,Аренда!$F$25:$F$47,$F248,Аренда!$G$25:$G$47,"Арендная и концессионная плата, лизинговые платежи")</f>
        <v>0</v>
      </c>
      <c r="AK248" s="225">
        <f>_xlfn.SUMIFS(Аренда!AJ$25:AJ$47,Аренда!$F$25:$F$47,$F248,Аренда!$G$25:$G$47,"Арендная и концессионная плата, лизинговые платежи")</f>
        <v>0</v>
      </c>
      <c r="AL248" s="225">
        <f>_xlfn.SUMIFS(Аренда!AK$25:AK$47,Аренда!$F$25:$F$47,$F248,Аренда!$G$25:$G$47,"Арендная и концессионная плата, лизинговые платежи")</f>
        <v>0</v>
      </c>
      <c r="AM248" s="225">
        <f>_xlfn.SUMIFS(Аренда!AL$25:AL$47,Аренда!$F$25:$F$47,$F248,Аренда!$G$25:$G$47,"Арендная и концессионная плата, лизинговые платежи")</f>
        <v>0</v>
      </c>
      <c r="AN248" s="225">
        <f>_xlfn.SUMIFS(Аренда!AM$25:AM$47,Аренда!$F$25:$F$47,$F248,Аренда!$G$25:$G$47,"Арендная и концессионная плата, лизинговые платежи")</f>
        <v>0</v>
      </c>
      <c r="AO248" s="225">
        <f>_xlfn.SUMIFS(Аренда!AN$25:AN$47,Аренда!$F$25:$F$47,$F248,Аренда!$G$25:$G$47,"Арендная и концессионная плата, лизинговые платежи")</f>
        <v>0</v>
      </c>
      <c r="AP248" s="225">
        <f>_xlfn.SUMIFS(Аренда!AO$25:AO$47,Аренда!$F$25:$F$47,$F248,Аренда!$G$25:$G$47,"Арендная и концессионная плата, лизинговые платежи")</f>
        <v>0</v>
      </c>
      <c r="AQ248" s="225">
        <f>_xlfn.SUMIFS(Аренда!AP$25:AP$47,Аренда!$F$25:$F$47,$F248,Аренда!$G$25:$G$47,"Арендная и концессионная плата, лизинговые платежи")</f>
        <v>0</v>
      </c>
      <c r="AR248" s="225">
        <f>_xlfn.SUMIFS(Аренда!AQ$25:AQ$47,Аренда!$F$25:$F$47,$F248,Аренда!$G$25:$G$47,"Арендная и концессионная плата, лизинговые платежи")</f>
        <v>0</v>
      </c>
      <c r="AS248" s="225">
        <f>_xlfn.SUMIFS(Аренда!AR$25:AR$47,Аренда!$F$25:$F$47,$F248,Аренда!$G$25:$G$47,"Арендная и концессионная плата, лизинговые платежи")</f>
        <v>0</v>
      </c>
      <c r="AT248" s="225">
        <f>_xlfn.SUMIFS(Аренда!AS$25:AS$47,Аренда!$F$25:$F$47,$F248,Аренда!$G$25:$G$47,"Арендная и концессионная плата, лизинговые платежи")</f>
        <v>0</v>
      </c>
      <c r="AU248" s="225">
        <f>_xlfn.SUMIFS(Аренда!AT$25:AT$47,Аренда!$F$25:$F$47,$F248,Аренда!$G$25:$G$47,"Арендная и концессионная плата, лизинговые платежи")</f>
        <v>0</v>
      </c>
      <c r="AV248" s="225">
        <f>_xlfn.SUMIFS(Аренда!AU$25:AU$47,Аренда!$F$25:$F$47,$F248,Аренда!$G$25:$G$47,"Арендная и концессионная плата, лизинговые платежи")</f>
        <v>0</v>
      </c>
      <c r="AW248" s="225">
        <f>_xlfn.SUMIFS(Аренда!AV$25:AV$47,Аренда!$F$25:$F$47,$F248,Аренда!$G$25:$G$47,"Арендная и концессионная плата, лизинговые платежи")</f>
        <v>0</v>
      </c>
      <c r="AX248" s="225">
        <f>_xlfn.SUMIFS(Аренда!AW$25:AW$47,Аренда!$F$25:$F$47,$F248,Аренда!$G$25:$G$47,"Арендная и концессионная плата, лизинговые платежи")</f>
        <v>0</v>
      </c>
      <c r="AY248" s="225">
        <f>_xlfn.SUMIFS(Аренда!AX$25:AX$47,Аренда!$F$25:$F$47,$F248,Аренда!$G$25:$G$47,"Арендная и концессионная плата, лизинговые платежи")</f>
        <v>0</v>
      </c>
      <c r="AZ248" s="225">
        <f>_xlfn.SUMIFS(Аренда!AY$25:AY$47,Аренда!$F$25:$F$47,$F248,Аренда!$G$25:$G$47,"Арендная и концессионная плата, лизинговые платежи")</f>
        <v>0</v>
      </c>
      <c r="BA248" s="225">
        <f>_xlfn.SUMIFS(Аренда!AZ$25:AZ$47,Аренда!$F$25:$F$47,$F248,Аренда!$G$25:$G$47,"Арендная и концессионная плата, лизинговые платежи")</f>
        <v>0</v>
      </c>
      <c r="BB248" s="225">
        <f>_xlfn.SUMIFS(Аренда!BA$25:BA$47,Аренда!$F$25:$F$47,$F248,Аренда!$G$25:$G$47,"Арендная и концессионная плата, лизинговые платежи")</f>
        <v>0</v>
      </c>
      <c r="BC248" s="225">
        <f>_xlfn.SUMIFS(Аренда!BB$25:BB$47,Аренда!$F$25:$F$47,$F248,Аренда!$G$25:$G$47,"Арендная и концессионная плата, лизинговые платежи")</f>
        <v>0</v>
      </c>
      <c r="BD248" s="920">
        <f>IF(AI248=0,0,(AT248-AI248)/AI248*100)</f>
        <v>0</v>
      </c>
      <c r="BE248" s="920">
        <f>IF(AT248=0,0,(AU248-AT248)/AT248*100)</f>
        <v>0</v>
      </c>
      <c r="BF248" s="920">
        <f>IF(AU248=0,0,(AV248-AU248)/AU248*100)</f>
        <v>0</v>
      </c>
      <c r="BG248" s="920">
        <f>IF(AV248=0,0,(AW248-AV248)/AV248*100)</f>
        <v>0</v>
      </c>
      <c r="BH248" s="920">
        <f>IF(AW248=0,0,(AX248-AW248)/AW248*100)</f>
        <v>0</v>
      </c>
      <c r="BI248" s="920">
        <f>IF(AX248=0,0,(AY248-AX248)/AX248*100)</f>
        <v>0</v>
      </c>
      <c r="BJ248" s="920">
        <f>IF(AY248=0,0,(AZ248-AY248)/AY248*100)</f>
        <v>0</v>
      </c>
      <c r="BK248" s="920">
        <f>IF(AZ248=0,0,(BA248-AZ248)/AZ248*100)</f>
        <v>0</v>
      </c>
      <c r="BL248" s="920">
        <f>IF(BA248=0,0,(BB248-BA248)/BA248*100)</f>
        <v>0</v>
      </c>
      <c r="BM248" s="920">
        <f>IF(BB248=0,0,(BC248-BB248)/BB248*100)</f>
        <v>0</v>
      </c>
      <c r="BN248" s="3771"/>
      <c r="BO248" s="3775" t="str">
        <f>IF(_xlfn.IFERROR(INDEX(Аренда!$K$26:$L$47,MATCH($F248&amp;"komm",Аренда!$K$26:$K$47,0),2),"")=0,"",_xlfn.IFERROR(INDEX(Аренда!$K$26:$L$47,MATCH($F248&amp;"komm",Аренда!$K$26:$K$47,0),2),""))</f>
        <v/>
      </c>
      <c r="BP248" s="3771"/>
      <c r="BQ248" s="1256"/>
      <c r="BR248" s="1256"/>
      <c r="BS248" s="1041" t="s">
        <v>1948</v>
      </c>
      <c r="BT248" s="1041"/>
      <c r="BU248" s="1041"/>
      <c r="BV248" s="956"/>
      <c r="BW248" s="956"/>
    </row>
    <row s="1624" customFormat="1" customHeight="1" ht="14.25" hidden="1">
      <c r="A249" s="1256"/>
      <c r="B249" s="404">
        <f>STATUS_GO="да"</f>
        <v>0</v>
      </c>
      <c r="C249" s="1256"/>
      <c r="D249" s="1256"/>
      <c r="E249" s="679">
        <v>15</v>
      </c>
      <c r="F249" s="50" cm="1" t="str">
        <f t="array" ref="F249:F249">OFFSET(E249,-1,1)</f>
        <v>1</v>
      </c>
      <c r="G249" s="1256"/>
      <c r="H249" s="1256"/>
      <c r="I249" s="124" t="s">
        <v>1949</v>
      </c>
      <c r="J249" s="1256"/>
      <c r="K249" s="124" t="s">
        <v>1949</v>
      </c>
      <c r="L249" s="957"/>
      <c r="M249" s="73"/>
      <c r="N249" s="1256"/>
      <c r="O249" s="1256"/>
      <c r="P249" s="1256"/>
      <c r="Q249" s="1256"/>
      <c r="R249" s="1256"/>
      <c r="S249" s="1256"/>
      <c r="T249" s="438" cm="1" t="str">
        <f t="array" ref="T249:T249">T248</f>
        <v>true</v>
      </c>
      <c r="U249" s="1256"/>
      <c r="V249" s="1256"/>
      <c r="W249" s="1256"/>
      <c r="X249" s="1511"/>
      <c r="Y249" s="1256"/>
      <c r="Z249" s="1494"/>
      <c r="AA249" s="1256"/>
      <c r="AB249" s="265" t="s">
        <v>1384</v>
      </c>
      <c r="AC249" s="738" t="s">
        <v>1950</v>
      </c>
      <c r="AD249" s="266" t="s">
        <v>789</v>
      </c>
      <c r="AE249" s="1233"/>
      <c r="AF249" s="1233"/>
      <c r="AG249" s="1233"/>
      <c r="AH249" s="920">
        <f>AG249-AF249</f>
        <v>0</v>
      </c>
      <c r="AI249" s="1231"/>
      <c r="AJ249" s="3707"/>
      <c r="AK249" s="1231"/>
      <c r="AL249" s="1231"/>
      <c r="AM249" s="1231"/>
      <c r="AN249" s="1231"/>
      <c r="AO249" s="1231"/>
      <c r="AP249" s="1231"/>
      <c r="AQ249" s="1231"/>
      <c r="AR249" s="1231"/>
      <c r="AS249" s="1231"/>
      <c r="AT249" s="3707"/>
      <c r="AU249" s="1231"/>
      <c r="AV249" s="1231"/>
      <c r="AW249" s="1231"/>
      <c r="AX249" s="1231"/>
      <c r="AY249" s="1231"/>
      <c r="AZ249" s="1231"/>
      <c r="BA249" s="1231"/>
      <c r="BB249" s="1231"/>
      <c r="BC249" s="1231"/>
      <c r="BD249" s="920">
        <f>IF(AI249=0,0,(AT249-AI249)/AI249*100)</f>
        <v>0</v>
      </c>
      <c r="BE249" s="920">
        <f>IF(AT249=0,0,(AU249-AT249)/AT249*100)</f>
        <v>0</v>
      </c>
      <c r="BF249" s="920">
        <f>IF(AU249=0,0,(AV249-AU249)/AU249*100)</f>
        <v>0</v>
      </c>
      <c r="BG249" s="920">
        <f>IF(AV249=0,0,(AW249-AV249)/AV249*100)</f>
        <v>0</v>
      </c>
      <c r="BH249" s="920">
        <f>IF(AW249=0,0,(AX249-AW249)/AW249*100)</f>
        <v>0</v>
      </c>
      <c r="BI249" s="920">
        <f>IF(AX249=0,0,(AY249-AX249)/AX249*100)</f>
        <v>0</v>
      </c>
      <c r="BJ249" s="920">
        <f>IF(AY249=0,0,(AZ249-AY249)/AY249*100)</f>
        <v>0</v>
      </c>
      <c r="BK249" s="920">
        <f>IF(AZ249=0,0,(BA249-AZ249)/AZ249*100)</f>
        <v>0</v>
      </c>
      <c r="BL249" s="920">
        <f>IF(BA249=0,0,(BB249-BA249)/BA249*100)</f>
        <v>0</v>
      </c>
      <c r="BM249" s="920">
        <f>IF(BB249=0,0,(BC249-BB249)/BB249*100)</f>
        <v>0</v>
      </c>
      <c r="BN249" s="1234"/>
      <c r="BO249" s="1234"/>
      <c r="BP249" s="1234"/>
      <c r="BQ249" s="1256"/>
      <c r="BR249" s="1256"/>
      <c r="BS249" s="1041" t="s">
        <v>1951</v>
      </c>
      <c r="BT249" s="1041"/>
      <c r="BU249" s="1041"/>
      <c r="BV249" s="956"/>
      <c r="BW249" s="956"/>
    </row>
    <row s="1624" customFormat="1" customHeight="1" ht="14.25" hidden="1">
      <c r="A250" s="1256"/>
      <c r="B250" s="404">
        <f>STATUS_GO="да"</f>
        <v>0</v>
      </c>
      <c r="C250" s="1256"/>
      <c r="D250" s="1256"/>
      <c r="E250" s="679">
        <v>15</v>
      </c>
      <c r="F250" s="50" cm="1" t="str">
        <f t="array" ref="F250:F250">OFFSET(E250,-1,1)</f>
        <v>1</v>
      </c>
      <c r="G250" s="124" t="s">
        <v>1326</v>
      </c>
      <c r="H250" s="1256"/>
      <c r="I250" s="124" t="s">
        <v>1952</v>
      </c>
      <c r="J250" s="1256"/>
      <c r="K250" s="124" t="s">
        <v>1952</v>
      </c>
      <c r="L250" s="957"/>
      <c r="M250" s="73"/>
      <c r="N250" s="1256"/>
      <c r="O250" s="1256"/>
      <c r="P250" s="1256"/>
      <c r="Q250" s="1256"/>
      <c r="R250" s="1256"/>
      <c r="S250" s="1256"/>
      <c r="T250" s="438" cm="1" t="str">
        <f t="array" ref="T250:T250">T249</f>
        <v>true</v>
      </c>
      <c r="U250" s="1256"/>
      <c r="V250" s="1256"/>
      <c r="W250" s="1256"/>
      <c r="X250" s="1511"/>
      <c r="Y250" s="1256"/>
      <c r="Z250" s="1494"/>
      <c r="AA250" s="1256"/>
      <c r="AB250" s="265" t="s">
        <v>1953</v>
      </c>
      <c r="AC250" s="741" t="s">
        <v>1326</v>
      </c>
      <c r="AD250" s="266" t="s">
        <v>789</v>
      </c>
      <c r="AE250" s="1233"/>
      <c r="AF250" s="1233"/>
      <c r="AG250" s="1233"/>
      <c r="AH250" s="920">
        <f>AG250-AF250</f>
        <v>0</v>
      </c>
      <c r="AI250" s="1231"/>
      <c r="AJ250" s="3707"/>
      <c r="AK250" s="1231"/>
      <c r="AL250" s="1231"/>
      <c r="AM250" s="1231"/>
      <c r="AN250" s="1231"/>
      <c r="AO250" s="1231"/>
      <c r="AP250" s="1231"/>
      <c r="AQ250" s="1231"/>
      <c r="AR250" s="1231"/>
      <c r="AS250" s="1231"/>
      <c r="AT250" s="3707"/>
      <c r="AU250" s="1231"/>
      <c r="AV250" s="1231"/>
      <c r="AW250" s="1231"/>
      <c r="AX250" s="1231"/>
      <c r="AY250" s="1231"/>
      <c r="AZ250" s="1231"/>
      <c r="BA250" s="1231"/>
      <c r="BB250" s="1231"/>
      <c r="BC250" s="1231"/>
      <c r="BD250" s="920">
        <f>IF(AI250=0,0,(AT250-AI250)/AI250*100)</f>
        <v>0</v>
      </c>
      <c r="BE250" s="920">
        <f>IF(AT250=0,0,(AU250-AT250)/AT250*100)</f>
        <v>0</v>
      </c>
      <c r="BF250" s="920">
        <f>IF(AU250=0,0,(AV250-AU250)/AU250*100)</f>
        <v>0</v>
      </c>
      <c r="BG250" s="920">
        <f>IF(AV250=0,0,(AW250-AV250)/AV250*100)</f>
        <v>0</v>
      </c>
      <c r="BH250" s="920">
        <f>IF(AW250=0,0,(AX250-AW250)/AW250*100)</f>
        <v>0</v>
      </c>
      <c r="BI250" s="920">
        <f>IF(AX250=0,0,(AY250-AX250)/AX250*100)</f>
        <v>0</v>
      </c>
      <c r="BJ250" s="920">
        <f>IF(AY250=0,0,(AZ250-AY250)/AY250*100)</f>
        <v>0</v>
      </c>
      <c r="BK250" s="920">
        <f>IF(AZ250=0,0,(BA250-AZ250)/AZ250*100)</f>
        <v>0</v>
      </c>
      <c r="BL250" s="920">
        <f>IF(BA250=0,0,(BB250-BA250)/BA250*100)</f>
        <v>0</v>
      </c>
      <c r="BM250" s="920">
        <f>IF(BB250=0,0,(BC250-BB250)/BB250*100)</f>
        <v>0</v>
      </c>
      <c r="BN250" s="1234"/>
      <c r="BO250" s="1237" t="str">
        <f>IF(_xlfn.IFERROR(INDEX('Сбытовые расходы ГО'!$K$26:$M$51,MATCH($F250&amp;"komm",'Сбытовые расходы ГО'!$K$26:$K$51,0),2),"")=0,"",_xlfn.IFERROR(INDEX('Сбытовые расходы ГО'!$K$26:$M$51,MATCH($F250&amp;"komm",'Сбытовые расходы ГО'!$K$26:$K$51,0),2),""))</f>
        <v/>
      </c>
      <c r="BP250" s="1234"/>
      <c r="BQ250" s="1256"/>
      <c r="BR250" s="1256"/>
      <c r="BS250" s="1041" t="s">
        <v>1954</v>
      </c>
      <c r="BT250" s="1041"/>
      <c r="BU250" s="1041"/>
      <c r="BV250" s="956"/>
      <c r="BW250" s="956"/>
    </row>
    <row s="1624" customFormat="1" customHeight="1" ht="14.25">
      <c r="A251" s="1256"/>
      <c r="B251" s="955"/>
      <c r="C251" s="1256"/>
      <c r="D251" s="1256"/>
      <c r="E251" s="679">
        <v>15</v>
      </c>
      <c r="F251" s="50" cm="1" t="str">
        <f t="array" ref="F251:F251">OFFSET(E251,-1,1)</f>
        <v>1</v>
      </c>
      <c r="G251" s="124" t="s">
        <v>1331</v>
      </c>
      <c r="H251" s="1256"/>
      <c r="I251" s="124" t="s">
        <v>1955</v>
      </c>
      <c r="J251" s="1256"/>
      <c r="K251" s="124" t="s">
        <v>1955</v>
      </c>
      <c r="L251" s="957"/>
      <c r="M251" s="73"/>
      <c r="N251" s="1256"/>
      <c r="O251" s="1256"/>
      <c r="P251" s="1256"/>
      <c r="Q251" s="1256"/>
      <c r="R251" s="1256"/>
      <c r="S251" s="1256"/>
      <c r="T251" s="438" cm="1" t="str">
        <f t="array" ref="T251:T251">T250</f>
        <v>true</v>
      </c>
      <c r="U251" s="1256"/>
      <c r="V251" s="1256"/>
      <c r="W251" s="1256"/>
      <c r="X251" s="1511"/>
      <c r="Y251" s="1256"/>
      <c r="Z251" s="1494"/>
      <c r="AA251" s="1256"/>
      <c r="AB251" s="265" t="s">
        <v>1389</v>
      </c>
      <c r="AC251" s="738" t="s">
        <v>1331</v>
      </c>
      <c r="AD251" s="266" t="s">
        <v>789</v>
      </c>
      <c r="AE251" s="3701"/>
      <c r="AF251" s="3701"/>
      <c r="AG251" s="3701"/>
      <c r="AH251" s="920">
        <f>AG251-AF251</f>
        <v>0</v>
      </c>
      <c r="AI251" s="3707"/>
      <c r="AJ251" s="3707">
        <f>_xlfn.SUMIFS(Экономия_корр!AE$25:AE$43,Экономия_корр!$F$25:$F$43,$F251,Экономия_корр!$AC$25:$AC$43,"Экономия расходов с учетом ИПЦ")</f>
        <v>0</v>
      </c>
      <c r="AK251" s="3707">
        <f>_xlfn.SUMIFS(Экономия_корр!AF$25:AF$43,Экономия_корр!$F$25:$F$43,$F251,Экономия_корр!$AC$25:$AC$43,"Экономия расходов с учетом ИПЦ")</f>
        <v>0</v>
      </c>
      <c r="AL251" s="3707">
        <f>_xlfn.SUMIFS(Экономия_корр!AG$25:AG$43,Экономия_корр!$F$25:$F$43,$F251,Экономия_корр!$AC$25:$AC$43,"Экономия расходов с учетом ИПЦ")</f>
        <v>0</v>
      </c>
      <c r="AM251" s="3707">
        <f>_xlfn.SUMIFS(Экономия_корр!AH$25:AH$43,Экономия_корр!$F$25:$F$43,$F251,Экономия_корр!$AC$25:$AC$43,"Экономия расходов с учетом ИПЦ")</f>
        <v>0</v>
      </c>
      <c r="AN251" s="3707">
        <f>_xlfn.SUMIFS(Экономия_корр!AI$25:AI$43,Экономия_корр!$F$25:$F$43,$F251,Экономия_корр!$AC$25:$AC$43,"Экономия расходов с учетом ИПЦ")</f>
        <v>0</v>
      </c>
      <c r="AO251" s="3707">
        <f>_xlfn.SUMIFS(Экономия_корр!AJ$25:AJ$43,Экономия_корр!$F$25:$F$43,$F251,Экономия_корр!$AC$25:$AC$43,"Экономия расходов с учетом ИПЦ")</f>
        <v>0</v>
      </c>
      <c r="AP251" s="3707">
        <f>_xlfn.SUMIFS(Экономия_корр!AK$25:AK$43,Экономия_корр!$F$25:$F$43,$F251,Экономия_корр!$AC$25:$AC$43,"Экономия расходов с учетом ИПЦ")</f>
        <v>0</v>
      </c>
      <c r="AQ251" s="3707">
        <f>_xlfn.SUMIFS(Экономия_корр!AL$25:AL$43,Экономия_корр!$F$25:$F$43,$F251,Экономия_корр!$AC$25:$AC$43,"Экономия расходов с учетом ИПЦ")</f>
        <v>0</v>
      </c>
      <c r="AR251" s="3707">
        <f>_xlfn.SUMIFS(Экономия_корр!AM$25:AM$43,Экономия_корр!$F$25:$F$43,$F251,Экономия_корр!$AC$25:$AC$43,"Экономия расходов с учетом ИПЦ")</f>
        <v>0</v>
      </c>
      <c r="AS251" s="3707">
        <f>_xlfn.SUMIFS(Экономия_корр!AN$25:AN$43,Экономия_корр!$F$25:$F$43,$F251,Экономия_корр!$AC$25:$AC$43,"Экономия расходов с учетом ИПЦ")</f>
        <v>0</v>
      </c>
      <c r="AT251" s="3707">
        <f>_xlfn.SUMIFS(Экономия_корр!AO$25:AO$43,Экономия_корр!$F$25:$F$43,$F251,Экономия_корр!$AC$25:$AC$43,"Экономия расходов с учетом ИПЦ")</f>
        <v>0</v>
      </c>
      <c r="AU251" s="3707">
        <f>_xlfn.SUMIFS(Экономия_корр!AP$25:AP$43,Экономия_корр!$F$25:$F$43,$F251,Экономия_корр!$AC$25:$AC$43,"Экономия расходов с учетом ИПЦ")</f>
        <v>0</v>
      </c>
      <c r="AV251" s="3707">
        <f>_xlfn.SUMIFS(Экономия_корр!AQ$25:AQ$43,Экономия_корр!$F$25:$F$43,$F251,Экономия_корр!$AC$25:$AC$43,"Экономия расходов с учетом ИПЦ")</f>
        <v>0</v>
      </c>
      <c r="AW251" s="3707">
        <f>_xlfn.SUMIFS(Экономия_корр!AR$25:AR$43,Экономия_корр!$F$25:$F$43,$F251,Экономия_корр!$AC$25:$AC$43,"Экономия расходов с учетом ИПЦ")</f>
        <v>0</v>
      </c>
      <c r="AX251" s="3707">
        <f>_xlfn.SUMIFS(Экономия_корр!AS$25:AS$43,Экономия_корр!$F$25:$F$43,$F251,Экономия_корр!$AC$25:$AC$43,"Экономия расходов с учетом ИПЦ")</f>
        <v>0</v>
      </c>
      <c r="AY251" s="3707">
        <f>_xlfn.SUMIFS(Экономия_корр!AT$25:AT$43,Экономия_корр!$F$25:$F$43,$F251,Экономия_корр!$AC$25:$AC$43,"Экономия расходов с учетом ИПЦ")</f>
        <v>0</v>
      </c>
      <c r="AZ251" s="3707">
        <f>_xlfn.SUMIFS(Экономия_корр!AU$25:AU$43,Экономия_корр!$F$25:$F$43,$F251,Экономия_корр!$AC$25:$AC$43,"Экономия расходов с учетом ИПЦ")</f>
        <v>0</v>
      </c>
      <c r="BA251" s="3707">
        <f>_xlfn.SUMIFS(Экономия_корр!AV$25:AV$43,Экономия_корр!$F$25:$F$43,$F251,Экономия_корр!$AC$25:$AC$43,"Экономия расходов с учетом ИПЦ")</f>
        <v>0</v>
      </c>
      <c r="BB251" s="3707">
        <f>_xlfn.SUMIFS(Экономия_корр!AW$25:AW$43,Экономия_корр!$F$25:$F$43,$F251,Экономия_корр!$AC$25:$AC$43,"Экономия расходов с учетом ИПЦ")</f>
        <v>0</v>
      </c>
      <c r="BC251" s="3707">
        <f>_xlfn.SUMIFS(Экономия_корр!AX$25:AX$43,Экономия_корр!$F$25:$F$43,$F251,Экономия_корр!$AC$25:$AC$43,"Экономия расходов с учетом ИПЦ")</f>
        <v>0</v>
      </c>
      <c r="BD251" s="920">
        <f>IF(AI251=0,0,(AT251-AI251)/AI251*100)</f>
        <v>0</v>
      </c>
      <c r="BE251" s="920">
        <f>IF(AT251=0,0,(AU251-AT251)/AT251*100)</f>
        <v>0</v>
      </c>
      <c r="BF251" s="920">
        <f>IF(AU251=0,0,(AV251-AU251)/AU251*100)</f>
        <v>0</v>
      </c>
      <c r="BG251" s="920">
        <f>IF(AV251=0,0,(AW251-AV251)/AV251*100)</f>
        <v>0</v>
      </c>
      <c r="BH251" s="920">
        <f>IF(AW251=0,0,(AX251-AW251)/AW251*100)</f>
        <v>0</v>
      </c>
      <c r="BI251" s="920">
        <f>IF(AX251=0,0,(AY251-AX251)/AX251*100)</f>
        <v>0</v>
      </c>
      <c r="BJ251" s="920">
        <f>IF(AY251=0,0,(AZ251-AY251)/AY251*100)</f>
        <v>0</v>
      </c>
      <c r="BK251" s="920">
        <f>IF(AZ251=0,0,(BA251-AZ251)/AZ251*100)</f>
        <v>0</v>
      </c>
      <c r="BL251" s="920">
        <f>IF(BA251=0,0,(BB251-BA251)/BA251*100)</f>
        <v>0</v>
      </c>
      <c r="BM251" s="920">
        <f>IF(BB251=0,0,(BC251-BB251)/BB251*100)</f>
        <v>0</v>
      </c>
      <c r="BN251" s="3771"/>
      <c r="BO251" s="3771"/>
      <c r="BP251" s="3771"/>
      <c r="BQ251" s="1256"/>
      <c r="BR251" s="1256"/>
      <c r="BS251" s="1041" t="s">
        <v>1956</v>
      </c>
      <c r="BT251" s="1041"/>
      <c r="BU251" s="1041"/>
      <c r="BV251" s="956"/>
      <c r="BW251" s="956"/>
    </row>
    <row s="1624" customFormat="1" customHeight="1" ht="14.25">
      <c r="A252" s="1256"/>
      <c r="B252" s="955"/>
      <c r="C252" s="1256"/>
      <c r="D252" s="1256"/>
      <c r="E252" s="679">
        <v>15</v>
      </c>
      <c r="F252" s="50" cm="1" t="str">
        <f t="array" ref="F252:F252">OFFSET(E252,-1,1)</f>
        <v>1</v>
      </c>
      <c r="G252" s="124" t="s">
        <v>1336</v>
      </c>
      <c r="H252" s="1256"/>
      <c r="I252" s="124" t="s">
        <v>1957</v>
      </c>
      <c r="J252" s="1256"/>
      <c r="K252" s="124" t="s">
        <v>1957</v>
      </c>
      <c r="L252" s="957"/>
      <c r="M252" s="73"/>
      <c r="N252" s="1256"/>
      <c r="O252" s="1256"/>
      <c r="P252" s="1256"/>
      <c r="Q252" s="1256"/>
      <c r="R252" s="1256"/>
      <c r="S252" s="1256"/>
      <c r="T252" s="438" cm="1" t="str">
        <f t="array" ref="T252:T252">T251</f>
        <v>true</v>
      </c>
      <c r="U252" s="1256"/>
      <c r="V252" s="1256"/>
      <c r="W252" s="1256"/>
      <c r="X252" s="1511"/>
      <c r="Y252" s="1256"/>
      <c r="Z252" s="1494"/>
      <c r="AA252" s="1256"/>
      <c r="AB252" s="265" t="s">
        <v>1958</v>
      </c>
      <c r="AC252" s="738" t="s">
        <v>1336</v>
      </c>
      <c r="AD252" s="266" t="s">
        <v>789</v>
      </c>
      <c r="AE252" s="3701"/>
      <c r="AF252" s="3701"/>
      <c r="AG252" s="3701"/>
      <c r="AH252" s="920">
        <f>AG252-AF252</f>
        <v>0</v>
      </c>
      <c r="AI252" s="3707"/>
      <c r="AJ252" s="3707"/>
      <c r="AK252" s="3707"/>
      <c r="AL252" s="3707"/>
      <c r="AM252" s="3707"/>
      <c r="AN252" s="3707"/>
      <c r="AO252" s="3707"/>
      <c r="AP252" s="3707"/>
      <c r="AQ252" s="3707"/>
      <c r="AR252" s="3707"/>
      <c r="AS252" s="3707"/>
      <c r="AT252" s="3707"/>
      <c r="AU252" s="3707"/>
      <c r="AV252" s="3707"/>
      <c r="AW252" s="3707"/>
      <c r="AX252" s="3707"/>
      <c r="AY252" s="3707"/>
      <c r="AZ252" s="3707"/>
      <c r="BA252" s="3707"/>
      <c r="BB252" s="3707"/>
      <c r="BC252" s="3707"/>
      <c r="BD252" s="920">
        <f>IF(AI252=0,0,(AT252-AI252)/AI252*100)</f>
        <v>0</v>
      </c>
      <c r="BE252" s="920">
        <f>IF(AT252=0,0,(AU252-AT252)/AT252*100)</f>
        <v>0</v>
      </c>
      <c r="BF252" s="920">
        <f>IF(AU252=0,0,(AV252-AU252)/AU252*100)</f>
        <v>0</v>
      </c>
      <c r="BG252" s="920">
        <f>IF(AV252=0,0,(AW252-AV252)/AV252*100)</f>
        <v>0</v>
      </c>
      <c r="BH252" s="920">
        <f>IF(AW252=0,0,(AX252-AW252)/AW252*100)</f>
        <v>0</v>
      </c>
      <c r="BI252" s="920">
        <f>IF(AX252=0,0,(AY252-AX252)/AX252*100)</f>
        <v>0</v>
      </c>
      <c r="BJ252" s="920">
        <f>IF(AY252=0,0,(AZ252-AY252)/AY252*100)</f>
        <v>0</v>
      </c>
      <c r="BK252" s="920">
        <f>IF(AZ252=0,0,(BA252-AZ252)/AZ252*100)</f>
        <v>0</v>
      </c>
      <c r="BL252" s="920">
        <f>IF(BA252=0,0,(BB252-BA252)/BA252*100)</f>
        <v>0</v>
      </c>
      <c r="BM252" s="920">
        <f>IF(BB252=0,0,(BC252-BB252)/BB252*100)</f>
        <v>0</v>
      </c>
      <c r="BN252" s="3771"/>
      <c r="BO252" s="3771"/>
      <c r="BP252" s="3771"/>
      <c r="BQ252" s="1256"/>
      <c r="BR252" s="1256"/>
      <c r="BS252" s="1041" t="s">
        <v>1686</v>
      </c>
      <c r="BT252" s="1041"/>
      <c r="BU252" s="1041"/>
      <c r="BV252" s="956"/>
      <c r="BW252" s="956"/>
    </row>
    <row s="1624" customFormat="1" customHeight="1" ht="14.25">
      <c r="A253" s="1256"/>
      <c r="B253" s="955"/>
      <c r="C253" s="1256"/>
      <c r="D253" s="1256"/>
      <c r="E253" s="679">
        <v>15</v>
      </c>
      <c r="F253" s="50" cm="1" t="str">
        <f t="array" ref="F253:F253">OFFSET(E253,-1,1)</f>
        <v>1</v>
      </c>
      <c r="G253" s="124" t="s">
        <v>1341</v>
      </c>
      <c r="H253" s="1256"/>
      <c r="I253" s="124" t="s">
        <v>1959</v>
      </c>
      <c r="J253" s="1256"/>
      <c r="K253" s="124" t="s">
        <v>1959</v>
      </c>
      <c r="L253" s="957"/>
      <c r="M253" s="73"/>
      <c r="N253" s="1256"/>
      <c r="O253" s="1256"/>
      <c r="P253" s="1256"/>
      <c r="Q253" s="1256"/>
      <c r="R253" s="1256"/>
      <c r="S253" s="1256"/>
      <c r="T253" s="438" cm="1" t="str">
        <f t="array" ref="T253:T253">T252</f>
        <v>true</v>
      </c>
      <c r="U253" s="1256"/>
      <c r="V253" s="1256"/>
      <c r="W253" s="1256"/>
      <c r="X253" s="1511"/>
      <c r="Y253" s="1256"/>
      <c r="Z253" s="1494"/>
      <c r="AA253" s="1256"/>
      <c r="AB253" s="265" t="s">
        <v>1408</v>
      </c>
      <c r="AC253" s="738" t="s">
        <v>1341</v>
      </c>
      <c r="AD253" s="266" t="s">
        <v>789</v>
      </c>
      <c r="AE253" s="3701"/>
      <c r="AF253" s="3701"/>
      <c r="AG253" s="3701"/>
      <c r="AH253" s="920">
        <f>AG253-AF253</f>
        <v>0</v>
      </c>
      <c r="AI253" s="3707"/>
      <c r="AJ253" s="3707"/>
      <c r="AK253" s="3707"/>
      <c r="AL253" s="3707"/>
      <c r="AM253" s="3707"/>
      <c r="AN253" s="3707"/>
      <c r="AO253" s="3707"/>
      <c r="AP253" s="3707"/>
      <c r="AQ253" s="3707"/>
      <c r="AR253" s="3707"/>
      <c r="AS253" s="3707"/>
      <c r="AT253" s="3707"/>
      <c r="AU253" s="3707"/>
      <c r="AV253" s="3707"/>
      <c r="AW253" s="3707"/>
      <c r="AX253" s="3707"/>
      <c r="AY253" s="3707"/>
      <c r="AZ253" s="3707"/>
      <c r="BA253" s="3707"/>
      <c r="BB253" s="3707"/>
      <c r="BC253" s="3707"/>
      <c r="BD253" s="920">
        <f>IF(AI253=0,0,(AT253-AI253)/AI253*100)</f>
        <v>0</v>
      </c>
      <c r="BE253" s="920">
        <f>IF(AT253=0,0,(AU253-AT253)/AT253*100)</f>
        <v>0</v>
      </c>
      <c r="BF253" s="920">
        <f>IF(AU253=0,0,(AV253-AU253)/AU253*100)</f>
        <v>0</v>
      </c>
      <c r="BG253" s="920">
        <f>IF(AV253=0,0,(AW253-AV253)/AV253*100)</f>
        <v>0</v>
      </c>
      <c r="BH253" s="920">
        <f>IF(AW253=0,0,(AX253-AW253)/AW253*100)</f>
        <v>0</v>
      </c>
      <c r="BI253" s="920">
        <f>IF(AX253=0,0,(AY253-AX253)/AX253*100)</f>
        <v>0</v>
      </c>
      <c r="BJ253" s="920">
        <f>IF(AY253=0,0,(AZ253-AY253)/AY253*100)</f>
        <v>0</v>
      </c>
      <c r="BK253" s="920">
        <f>IF(AZ253=0,0,(BA253-AZ253)/AZ253*100)</f>
        <v>0</v>
      </c>
      <c r="BL253" s="920">
        <f>IF(BA253=0,0,(BB253-BA253)/BA253*100)</f>
        <v>0</v>
      </c>
      <c r="BM253" s="920">
        <f>IF(BB253=0,0,(BC253-BB253)/BB253*100)</f>
        <v>0</v>
      </c>
      <c r="BN253" s="3771"/>
      <c r="BO253" s="3771"/>
      <c r="BP253" s="3771"/>
      <c r="BQ253" s="1256"/>
      <c r="BR253" s="1256"/>
      <c r="BS253" s="1041" t="s">
        <v>1960</v>
      </c>
      <c r="BT253" s="1041"/>
      <c r="BU253" s="1041"/>
      <c r="BV253" s="956"/>
      <c r="BW253" s="956"/>
    </row>
    <row s="1624" customFormat="1" customHeight="1" ht="14.25">
      <c r="A254" s="1256"/>
      <c r="B254" s="955"/>
      <c r="C254" s="1256"/>
      <c r="D254" s="1256"/>
      <c r="E254" s="679">
        <v>15</v>
      </c>
      <c r="F254" s="50" cm="1" t="str">
        <f t="array" ref="F254:F254">OFFSET(E254,-1,1)</f>
        <v>1</v>
      </c>
      <c r="G254" s="124" t="s">
        <v>1346</v>
      </c>
      <c r="H254" s="1256"/>
      <c r="I254" s="124" t="s">
        <v>1961</v>
      </c>
      <c r="J254" s="1256"/>
      <c r="K254" s="124" t="s">
        <v>1961</v>
      </c>
      <c r="L254" s="957"/>
      <c r="M254" s="73"/>
      <c r="N254" s="1256"/>
      <c r="O254" s="1256"/>
      <c r="P254" s="1256"/>
      <c r="Q254" s="1256"/>
      <c r="R254" s="1256"/>
      <c r="S254" s="1256"/>
      <c r="T254" s="438" cm="1" t="str">
        <f t="array" ref="T254:T254">T253</f>
        <v>true</v>
      </c>
      <c r="U254" s="1256"/>
      <c r="V254" s="1256"/>
      <c r="W254" s="1256"/>
      <c r="X254" s="1511"/>
      <c r="Y254" s="1256"/>
      <c r="Z254" s="1494"/>
      <c r="AA254" s="1256"/>
      <c r="AB254" s="265" t="s">
        <v>1412</v>
      </c>
      <c r="AC254" s="738" t="s">
        <v>1346</v>
      </c>
      <c r="AD254" s="266" t="s">
        <v>789</v>
      </c>
      <c r="AE254" s="319">
        <f>SUM(AE255,AE256)</f>
        <v>0</v>
      </c>
      <c r="AF254" s="225">
        <f>SUM(AF255,AF256)</f>
        <v>0</v>
      </c>
      <c r="AG254" s="225">
        <f>SUM(AG255,AG256)</f>
        <v>0</v>
      </c>
      <c r="AH254" s="920">
        <f>AG254-AF254</f>
        <v>0</v>
      </c>
      <c r="AI254" s="920">
        <f>SUM(AI255,AI256)</f>
        <v>0</v>
      </c>
      <c r="AJ254" s="921">
        <f>SUM(AJ255,AJ256)</f>
        <v>0</v>
      </c>
      <c r="AK254" s="920">
        <f>SUM(AK255,AK256)</f>
        <v>0</v>
      </c>
      <c r="AL254" s="920">
        <f>SUM(AL255,AL256)</f>
        <v>0</v>
      </c>
      <c r="AM254" s="920">
        <f>SUM(AM255,AM256)</f>
        <v>0</v>
      </c>
      <c r="AN254" s="920">
        <f>SUM(AN255,AN256)</f>
        <v>0</v>
      </c>
      <c r="AO254" s="920">
        <f>SUM(AO255,AO256)</f>
        <v>0</v>
      </c>
      <c r="AP254" s="920">
        <f>SUM(AP255,AP256)</f>
        <v>0</v>
      </c>
      <c r="AQ254" s="920">
        <f>SUM(AQ255,AQ256)</f>
        <v>0</v>
      </c>
      <c r="AR254" s="920">
        <f>SUM(AR255,AR256)</f>
        <v>0</v>
      </c>
      <c r="AS254" s="920">
        <f>SUM(AS255,AS256)</f>
        <v>0</v>
      </c>
      <c r="AT254" s="921">
        <f>SUM(AT255,AT256)</f>
        <v>0</v>
      </c>
      <c r="AU254" s="920">
        <f>SUM(AU255,AU256)</f>
        <v>0</v>
      </c>
      <c r="AV254" s="920">
        <f>SUM(AV255,AV256)</f>
        <v>0</v>
      </c>
      <c r="AW254" s="920">
        <f>SUM(AW255,AW256)</f>
        <v>0</v>
      </c>
      <c r="AX254" s="920">
        <f>SUM(AX255,AX256)</f>
        <v>0</v>
      </c>
      <c r="AY254" s="920">
        <f>SUM(AY255,AY256)</f>
        <v>0</v>
      </c>
      <c r="AZ254" s="920">
        <f>SUM(AZ255,AZ256)</f>
        <v>0</v>
      </c>
      <c r="BA254" s="920">
        <f>SUM(BA255,BA256)</f>
        <v>0</v>
      </c>
      <c r="BB254" s="920">
        <f>SUM(BB255,BB256)</f>
        <v>0</v>
      </c>
      <c r="BC254" s="920">
        <f>SUM(BC255,BC256)</f>
        <v>0</v>
      </c>
      <c r="BD254" s="920">
        <f>IF(AI254=0,0,(AT254-AI254)/AI254*100)</f>
        <v>0</v>
      </c>
      <c r="BE254" s="920">
        <f>IF(AT254=0,0,(AU254-AT254)/AT254*100)</f>
        <v>0</v>
      </c>
      <c r="BF254" s="920">
        <f>IF(AU254=0,0,(AV254-AU254)/AU254*100)</f>
        <v>0</v>
      </c>
      <c r="BG254" s="920">
        <f>IF(AV254=0,0,(AW254-AV254)/AV254*100)</f>
        <v>0</v>
      </c>
      <c r="BH254" s="920">
        <f>IF(AW254=0,0,(AX254-AW254)/AW254*100)</f>
        <v>0</v>
      </c>
      <c r="BI254" s="920">
        <f>IF(AX254=0,0,(AY254-AX254)/AX254*100)</f>
        <v>0</v>
      </c>
      <c r="BJ254" s="920">
        <f>IF(AY254=0,0,(AZ254-AY254)/AY254*100)</f>
        <v>0</v>
      </c>
      <c r="BK254" s="920">
        <f>IF(AZ254=0,0,(BA254-AZ254)/AZ254*100)</f>
        <v>0</v>
      </c>
      <c r="BL254" s="920">
        <f>IF(BA254=0,0,(BB254-BA254)/BA254*100)</f>
        <v>0</v>
      </c>
      <c r="BM254" s="920">
        <f>IF(BB254=0,0,(BC254-BB254)/BB254*100)</f>
        <v>0</v>
      </c>
      <c r="BN254" s="3771"/>
      <c r="BO254" s="3771"/>
      <c r="BP254" s="3771"/>
      <c r="BQ254" s="1256"/>
      <c r="BR254" s="1256"/>
      <c r="BS254" s="1041" t="s">
        <v>1962</v>
      </c>
      <c r="BT254" s="1041"/>
      <c r="BU254" s="1041"/>
      <c r="BV254" s="956"/>
      <c r="BW254" s="956"/>
    </row>
    <row s="1624" customFormat="1" customHeight="1" ht="14.25">
      <c r="A255" s="1256"/>
      <c r="B255" s="955"/>
      <c r="C255" s="1256"/>
      <c r="D255" s="1256"/>
      <c r="E255" s="679">
        <v>15</v>
      </c>
      <c r="F255" s="50" cm="1" t="str">
        <f t="array" ref="F255:F255">OFFSET(E255,-1,1)</f>
        <v>1</v>
      </c>
      <c r="G255" s="1256"/>
      <c r="H255" s="1256"/>
      <c r="I255" s="124" t="s">
        <v>1963</v>
      </c>
      <c r="J255" s="1256"/>
      <c r="K255" s="124" t="s">
        <v>1963</v>
      </c>
      <c r="L255" s="957"/>
      <c r="M255" s="73"/>
      <c r="N255" s="1256"/>
      <c r="O255" s="1256"/>
      <c r="P255" s="1256"/>
      <c r="Q255" s="1256"/>
      <c r="R255" s="1256"/>
      <c r="S255" s="1256"/>
      <c r="T255" s="438" cm="1" t="str">
        <f t="array" ref="T255:T255">T254</f>
        <v>true</v>
      </c>
      <c r="U255" s="1256"/>
      <c r="V255" s="1256"/>
      <c r="W255" s="1256"/>
      <c r="X255" s="1511"/>
      <c r="Y255" s="1256"/>
      <c r="Z255" s="1494"/>
      <c r="AA255" s="1256"/>
      <c r="AB255" s="265" t="s">
        <v>1964</v>
      </c>
      <c r="AC255" s="741" t="s">
        <v>1965</v>
      </c>
      <c r="AD255" s="266" t="s">
        <v>789</v>
      </c>
      <c r="AE255" s="3701"/>
      <c r="AF255" s="3701"/>
      <c r="AG255" s="3701"/>
      <c r="AH255" s="920">
        <f>AG255-AF255</f>
        <v>0</v>
      </c>
      <c r="AI255" s="3707"/>
      <c r="AJ255" s="3707"/>
      <c r="AK255" s="3707"/>
      <c r="AL255" s="3707"/>
      <c r="AM255" s="3707"/>
      <c r="AN255" s="3707"/>
      <c r="AO255" s="3707"/>
      <c r="AP255" s="3707"/>
      <c r="AQ255" s="3707"/>
      <c r="AR255" s="3707"/>
      <c r="AS255" s="3707"/>
      <c r="AT255" s="3707"/>
      <c r="AU255" s="3707"/>
      <c r="AV255" s="3707"/>
      <c r="AW255" s="3707"/>
      <c r="AX255" s="3707"/>
      <c r="AY255" s="3707"/>
      <c r="AZ255" s="3707"/>
      <c r="BA255" s="3707"/>
      <c r="BB255" s="3707"/>
      <c r="BC255" s="3707"/>
      <c r="BD255" s="920">
        <f>IF(AI255=0,0,(AT255-AI255)/AI255*100)</f>
        <v>0</v>
      </c>
      <c r="BE255" s="920">
        <f>IF(AT255=0,0,(AU255-AT255)/AT255*100)</f>
        <v>0</v>
      </c>
      <c r="BF255" s="920">
        <f>IF(AU255=0,0,(AV255-AU255)/AU255*100)</f>
        <v>0</v>
      </c>
      <c r="BG255" s="920">
        <f>IF(AV255=0,0,(AW255-AV255)/AV255*100)</f>
        <v>0</v>
      </c>
      <c r="BH255" s="920">
        <f>IF(AW255=0,0,(AX255-AW255)/AW255*100)</f>
        <v>0</v>
      </c>
      <c r="BI255" s="920">
        <f>IF(AX255=0,0,(AY255-AX255)/AX255*100)</f>
        <v>0</v>
      </c>
      <c r="BJ255" s="920">
        <f>IF(AY255=0,0,(AZ255-AY255)/AY255*100)</f>
        <v>0</v>
      </c>
      <c r="BK255" s="920">
        <f>IF(AZ255=0,0,(BA255-AZ255)/AZ255*100)</f>
        <v>0</v>
      </c>
      <c r="BL255" s="920">
        <f>IF(BA255=0,0,(BB255-BA255)/BA255*100)</f>
        <v>0</v>
      </c>
      <c r="BM255" s="920">
        <f>IF(BB255=0,0,(BC255-BB255)/BB255*100)</f>
        <v>0</v>
      </c>
      <c r="BN255" s="3771"/>
      <c r="BO255" s="3771"/>
      <c r="BP255" s="3771"/>
      <c r="BQ255" s="1256"/>
      <c r="BR255" s="1256"/>
      <c r="BS255" s="1041" t="s">
        <v>1139</v>
      </c>
      <c r="BT255" s="1041"/>
      <c r="BU255" s="1041"/>
      <c r="BV255" s="956"/>
      <c r="BW255" s="956"/>
    </row>
    <row s="1624" customFormat="1" customHeight="1" ht="14.25">
      <c r="A256" s="1256"/>
      <c r="B256" s="955"/>
      <c r="C256" s="1256"/>
      <c r="D256" s="1256"/>
      <c r="E256" s="679">
        <v>15</v>
      </c>
      <c r="F256" s="50" cm="1" t="str">
        <f t="array" ref="F256:F256">OFFSET(E256,-1,1)</f>
        <v>1</v>
      </c>
      <c r="G256" s="1256"/>
      <c r="H256" s="1256"/>
      <c r="I256" s="124" t="s">
        <v>1966</v>
      </c>
      <c r="J256" s="1256"/>
      <c r="K256" s="124" t="s">
        <v>1966</v>
      </c>
      <c r="L256" s="957" t="s">
        <v>856</v>
      </c>
      <c r="M256" s="73"/>
      <c r="N256" s="1256"/>
      <c r="O256" s="1256"/>
      <c r="P256" s="1256"/>
      <c r="Q256" s="1256"/>
      <c r="R256" s="1256"/>
      <c r="S256" s="1256"/>
      <c r="T256" s="438" cm="1" t="str">
        <f t="array" ref="T256:T256">T255</f>
        <v>true</v>
      </c>
      <c r="U256" s="1256"/>
      <c r="V256" s="1256"/>
      <c r="W256" s="1256"/>
      <c r="X256" s="1511"/>
      <c r="Y256" s="1256"/>
      <c r="Z256" s="1494"/>
      <c r="AA256" s="1256"/>
      <c r="AB256" s="265" t="s">
        <v>1967</v>
      </c>
      <c r="AC256" s="741" t="s">
        <v>1968</v>
      </c>
      <c r="AD256" s="266" t="s">
        <v>789</v>
      </c>
      <c r="AE256" s="3701"/>
      <c r="AF256" s="3701"/>
      <c r="AG256" s="3701"/>
      <c r="AH256" s="920">
        <f>AG256-AF256</f>
        <v>0</v>
      </c>
      <c r="AI256" s="3707"/>
      <c r="AJ256" s="3707"/>
      <c r="AK256" s="3707"/>
      <c r="AL256" s="3707"/>
      <c r="AM256" s="3707"/>
      <c r="AN256" s="3707"/>
      <c r="AO256" s="3707"/>
      <c r="AP256" s="3707"/>
      <c r="AQ256" s="3707"/>
      <c r="AR256" s="3707"/>
      <c r="AS256" s="3707"/>
      <c r="AT256" s="3707"/>
      <c r="AU256" s="3707"/>
      <c r="AV256" s="3707"/>
      <c r="AW256" s="3707"/>
      <c r="AX256" s="3707"/>
      <c r="AY256" s="3707"/>
      <c r="AZ256" s="3707"/>
      <c r="BA256" s="3707"/>
      <c r="BB256" s="3707"/>
      <c r="BC256" s="3707"/>
      <c r="BD256" s="920">
        <f>IF(AI256=0,0,(AT256-AI256)/AI256*100)</f>
        <v>0</v>
      </c>
      <c r="BE256" s="920">
        <f>IF(AT256=0,0,(AU256-AT256)/AT256*100)</f>
        <v>0</v>
      </c>
      <c r="BF256" s="920">
        <f>IF(AU256=0,0,(AV256-AU256)/AU256*100)</f>
        <v>0</v>
      </c>
      <c r="BG256" s="920">
        <f>IF(AV256=0,0,(AW256-AV256)/AV256*100)</f>
        <v>0</v>
      </c>
      <c r="BH256" s="920">
        <f>IF(AW256=0,0,(AX256-AW256)/AW256*100)</f>
        <v>0</v>
      </c>
      <c r="BI256" s="920">
        <f>IF(AX256=0,0,(AY256-AX256)/AX256*100)</f>
        <v>0</v>
      </c>
      <c r="BJ256" s="920">
        <f>IF(AY256=0,0,(AZ256-AY256)/AY256*100)</f>
        <v>0</v>
      </c>
      <c r="BK256" s="920">
        <f>IF(AZ256=0,0,(BA256-AZ256)/AZ256*100)</f>
        <v>0</v>
      </c>
      <c r="BL256" s="920">
        <f>IF(BA256=0,0,(BB256-BA256)/BA256*100)</f>
        <v>0</v>
      </c>
      <c r="BM256" s="920">
        <f>IF(BB256=0,0,(BC256-BB256)/BB256*100)</f>
        <v>0</v>
      </c>
      <c r="BN256" s="3771"/>
      <c r="BO256" s="3771"/>
      <c r="BP256" s="3771"/>
      <c r="BQ256" s="1256"/>
      <c r="BR256" s="1256"/>
      <c r="BS256" s="1041" t="s">
        <v>1969</v>
      </c>
      <c r="BT256" s="1041"/>
      <c r="BU256" s="1041"/>
      <c r="BV256" s="956"/>
      <c r="BW256" s="956"/>
    </row>
    <row s="1624" customFormat="1" customHeight="1" ht="21.75">
      <c r="A257" s="1256"/>
      <c r="B257" s="955"/>
      <c r="C257" s="1256"/>
      <c r="D257" s="1256"/>
      <c r="E257" s="679">
        <v>22.5</v>
      </c>
      <c r="F257" s="50" cm="1" t="str">
        <f t="array" ref="F257:F257">OFFSET(E257,-1,1)</f>
        <v>1</v>
      </c>
      <c r="G257" s="124" t="s">
        <v>1351</v>
      </c>
      <c r="H257" s="1256"/>
      <c r="I257" s="124" t="s">
        <v>1970</v>
      </c>
      <c r="J257" s="1256"/>
      <c r="K257" s="124" t="s">
        <v>1970</v>
      </c>
      <c r="L257" s="957"/>
      <c r="M257" s="73"/>
      <c r="N257" s="1256"/>
      <c r="O257" s="1256"/>
      <c r="P257" s="1256"/>
      <c r="Q257" s="1256"/>
      <c r="R257" s="1256"/>
      <c r="S257" s="1256"/>
      <c r="T257" s="438" cm="1" t="str">
        <f t="array" ref="T257:T257">T256</f>
        <v>true</v>
      </c>
      <c r="U257" s="1256"/>
      <c r="V257" s="1256"/>
      <c r="W257" s="1256"/>
      <c r="X257" s="1511"/>
      <c r="Y257" s="1256"/>
      <c r="Z257" s="1494"/>
      <c r="AA257" s="1256"/>
      <c r="AB257" s="265" t="s">
        <v>1415</v>
      </c>
      <c r="AC257" s="738" t="s">
        <v>1971</v>
      </c>
      <c r="AD257" s="266" t="s">
        <v>789</v>
      </c>
      <c r="AE257" s="3701"/>
      <c r="AF257" s="3701"/>
      <c r="AG257" s="3701"/>
      <c r="AH257" s="920">
        <f>AG257-AF257</f>
        <v>0</v>
      </c>
      <c r="AI257" s="3707"/>
      <c r="AJ257" s="3707"/>
      <c r="AK257" s="3707"/>
      <c r="AL257" s="3707"/>
      <c r="AM257" s="3707"/>
      <c r="AN257" s="3707"/>
      <c r="AO257" s="3707"/>
      <c r="AP257" s="3707"/>
      <c r="AQ257" s="3707"/>
      <c r="AR257" s="3707"/>
      <c r="AS257" s="3707"/>
      <c r="AT257" s="3707"/>
      <c r="AU257" s="3707"/>
      <c r="AV257" s="3707"/>
      <c r="AW257" s="3707"/>
      <c r="AX257" s="3707"/>
      <c r="AY257" s="3707"/>
      <c r="AZ257" s="3707"/>
      <c r="BA257" s="3707"/>
      <c r="BB257" s="3707"/>
      <c r="BC257" s="3707"/>
      <c r="BD257" s="920">
        <f>IF(AI257=0,0,(AT257-AI257)/AI257*100)</f>
        <v>0</v>
      </c>
      <c r="BE257" s="920">
        <f>IF(AT257=0,0,(AU257-AT257)/AT257*100)</f>
        <v>0</v>
      </c>
      <c r="BF257" s="920">
        <f>IF(AU257=0,0,(AV257-AU257)/AU257*100)</f>
        <v>0</v>
      </c>
      <c r="BG257" s="920">
        <f>IF(AV257=0,0,(AW257-AV257)/AV257*100)</f>
        <v>0</v>
      </c>
      <c r="BH257" s="920">
        <f>IF(AW257=0,0,(AX257-AW257)/AW257*100)</f>
        <v>0</v>
      </c>
      <c r="BI257" s="920">
        <f>IF(AX257=0,0,(AY257-AX257)/AX257*100)</f>
        <v>0</v>
      </c>
      <c r="BJ257" s="920">
        <f>IF(AY257=0,0,(AZ257-AY257)/AY257*100)</f>
        <v>0</v>
      </c>
      <c r="BK257" s="920">
        <f>IF(AZ257=0,0,(BA257-AZ257)/AZ257*100)</f>
        <v>0</v>
      </c>
      <c r="BL257" s="920">
        <f>IF(BA257=0,0,(BB257-BA257)/BA257*100)</f>
        <v>0</v>
      </c>
      <c r="BM257" s="920">
        <f>IF(BB257=0,0,(BC257-BB257)/BB257*100)</f>
        <v>0</v>
      </c>
      <c r="BN257" s="3771"/>
      <c r="BO257" s="3771"/>
      <c r="BP257" s="3771"/>
      <c r="BQ257" s="1256"/>
      <c r="BR257" s="1256"/>
      <c r="BS257" s="1041" t="s">
        <v>1972</v>
      </c>
      <c r="BT257" s="1041"/>
      <c r="BU257" s="1041"/>
      <c r="BV257" s="956"/>
      <c r="BW257" s="956"/>
    </row>
    <row s="3776" customFormat="1" customHeight="1" ht="20.25">
      <c r="A258" s="676"/>
      <c r="B258" s="407"/>
      <c r="C258" s="676"/>
      <c r="D258" s="676"/>
      <c r="E258" s="683">
        <v>21</v>
      </c>
      <c r="F258" s="50" cm="1" t="str">
        <f t="array" ref="F258:F258">OFFSET(E258,-1,1)</f>
        <v>1</v>
      </c>
      <c r="G258" s="124" t="s">
        <v>1973</v>
      </c>
      <c r="H258" s="124"/>
      <c r="I258" s="124" t="s">
        <v>323</v>
      </c>
      <c r="J258" s="676"/>
      <c r="K258" s="124" t="s">
        <v>323</v>
      </c>
      <c r="L258" s="962" t="s">
        <v>1208</v>
      </c>
      <c r="M258" s="75"/>
      <c r="N258" s="676"/>
      <c r="O258" s="676"/>
      <c r="P258" s="676"/>
      <c r="Q258" s="676"/>
      <c r="R258" s="676"/>
      <c r="S258" s="676"/>
      <c r="T258" s="438" cm="1" t="str">
        <f t="array" ref="T258:T258">T257</f>
        <v>true</v>
      </c>
      <c r="U258" s="676"/>
      <c r="V258" s="676"/>
      <c r="W258" s="676"/>
      <c r="X258" s="1511"/>
      <c r="Y258" s="676"/>
      <c r="Z258" s="1494"/>
      <c r="AA258" s="676"/>
      <c r="AB258" s="184" t="s">
        <v>319</v>
      </c>
      <c r="AC258" s="178" t="s">
        <v>1974</v>
      </c>
      <c r="AD258" s="177" t="s">
        <v>789</v>
      </c>
      <c r="AE258" s="754">
        <f>_xlfn.SUMIFS(ЭЭ!AE$25:AE$67,ЭЭ!$F$25:$F$67,$F258,ЭЭ!$AC$25:$AC$67,"Всего по тарифу")</f>
        <v>0</v>
      </c>
      <c r="AF258" s="754">
        <f>_xlfn.SUMIFS(ЭЭ!AF$25:AF$67,ЭЭ!$F$25:$F$67,$F258,ЭЭ!$AC$25:$AC$67,"Всего по тарифу")</f>
        <v>0</v>
      </c>
      <c r="AG258" s="754">
        <f>_xlfn.SUMIFS(ЭЭ!AG$25:AG$67,ЭЭ!$F$25:$F$67,$F258,ЭЭ!$AC$25:$AC$67,"Всего по тарифу")</f>
        <v>0</v>
      </c>
      <c r="AH258" s="737">
        <f>AG258-AF258</f>
        <v>0</v>
      </c>
      <c r="AI258" s="737">
        <f>_xlfn.SUMIFS(ЭЭ!AH$25:AH$67,ЭЭ!$F$25:$F$67,$F258,ЭЭ!$AC$25:$AC$67,"Всего по тарифу")</f>
        <v>0</v>
      </c>
      <c r="AJ258" s="737">
        <f>_xlfn.SUMIFS(ЭЭ!AI$25:AI$67,ЭЭ!$F$25:$F$67,$F258,ЭЭ!$AC$25:$AC$67,"Всего по тарифу")</f>
        <v>0</v>
      </c>
      <c r="AK258" s="737">
        <f>_xlfn.SUMIFS(ЭЭ!AJ$25:AJ$67,ЭЭ!$F$25:$F$67,$F258,ЭЭ!$AC$25:$AC$67,"Всего по тарифу")</f>
        <v>0</v>
      </c>
      <c r="AL258" s="737">
        <f>_xlfn.SUMIFS(ЭЭ!AK$25:AK$67,ЭЭ!$F$25:$F$67,$F258,ЭЭ!$AC$25:$AC$67,"Всего по тарифу")</f>
        <v>0</v>
      </c>
      <c r="AM258" s="737">
        <f>_xlfn.SUMIFS(ЭЭ!AL$25:AL$67,ЭЭ!$F$25:$F$67,$F258,ЭЭ!$AC$25:$AC$67,"Всего по тарифу")</f>
        <v>0</v>
      </c>
      <c r="AN258" s="737">
        <f>_xlfn.SUMIFS(ЭЭ!AM$25:AM$67,ЭЭ!$F$25:$F$67,$F258,ЭЭ!$AC$25:$AC$67,"Всего по тарифу")</f>
        <v>0</v>
      </c>
      <c r="AO258" s="737">
        <f>_xlfn.SUMIFS(ЭЭ!AN$25:AN$67,ЭЭ!$F$25:$F$67,$F258,ЭЭ!$AC$25:$AC$67,"Всего по тарифу")</f>
        <v>0</v>
      </c>
      <c r="AP258" s="737">
        <f>_xlfn.SUMIFS(ЭЭ!AO$25:AO$67,ЭЭ!$F$25:$F$67,$F258,ЭЭ!$AC$25:$AC$67,"Всего по тарифу")</f>
        <v>0</v>
      </c>
      <c r="AQ258" s="737">
        <f>_xlfn.SUMIFS(ЭЭ!AP$25:AP$67,ЭЭ!$F$25:$F$67,$F258,ЭЭ!$AC$25:$AC$67,"Всего по тарифу")</f>
        <v>0</v>
      </c>
      <c r="AR258" s="737">
        <f>_xlfn.SUMIFS(ЭЭ!AQ$25:AQ$67,ЭЭ!$F$25:$F$67,$F258,ЭЭ!$AC$25:$AC$67,"Всего по тарифу")</f>
        <v>0</v>
      </c>
      <c r="AS258" s="737">
        <f>_xlfn.SUMIFS(ЭЭ!AR$25:AR$67,ЭЭ!$F$25:$F$67,$F258,ЭЭ!$AC$25:$AC$67,"Всего по тарифу")</f>
        <v>0</v>
      </c>
      <c r="AT258" s="737">
        <f>_xlfn.SUMIFS(ЭЭ!AS$25:AS$67,ЭЭ!$F$25:$F$67,$F258,ЭЭ!$AC$25:$AC$67,"Всего по тарифу")</f>
        <v>0</v>
      </c>
      <c r="AU258" s="737">
        <f>_xlfn.SUMIFS(ЭЭ!AT$25:AT$67,ЭЭ!$F$25:$F$67,$F258,ЭЭ!$AC$25:$AC$67,"Всего по тарифу")</f>
        <v>0</v>
      </c>
      <c r="AV258" s="737">
        <f>_xlfn.SUMIFS(ЭЭ!AU$25:AU$67,ЭЭ!$F$25:$F$67,$F258,ЭЭ!$AC$25:$AC$67,"Всего по тарифу")</f>
        <v>0</v>
      </c>
      <c r="AW258" s="737">
        <f>_xlfn.SUMIFS(ЭЭ!AV$25:AV$67,ЭЭ!$F$25:$F$67,$F258,ЭЭ!$AC$25:$AC$67,"Всего по тарифу")</f>
        <v>0</v>
      </c>
      <c r="AX258" s="737">
        <f>_xlfn.SUMIFS(ЭЭ!AW$25:AW$67,ЭЭ!$F$25:$F$67,$F258,ЭЭ!$AC$25:$AC$67,"Всего по тарифу")</f>
        <v>0</v>
      </c>
      <c r="AY258" s="737">
        <f>_xlfn.SUMIFS(ЭЭ!AX$25:AX$67,ЭЭ!$F$25:$F$67,$F258,ЭЭ!$AC$25:$AC$67,"Всего по тарифу")</f>
        <v>0</v>
      </c>
      <c r="AZ258" s="737">
        <f>_xlfn.SUMIFS(ЭЭ!AY$25:AY$67,ЭЭ!$F$25:$F$67,$F258,ЭЭ!$AC$25:$AC$67,"Всего по тарифу")</f>
        <v>0</v>
      </c>
      <c r="BA258" s="737">
        <f>_xlfn.SUMIFS(ЭЭ!AZ$25:AZ$67,ЭЭ!$F$25:$F$67,$F258,ЭЭ!$AC$25:$AC$67,"Всего по тарифу")</f>
        <v>0</v>
      </c>
      <c r="BB258" s="737">
        <f>_xlfn.SUMIFS(ЭЭ!BA$25:BA$67,ЭЭ!$F$25:$F$67,$F258,ЭЭ!$AC$25:$AC$67,"Всего по тарифу")</f>
        <v>0</v>
      </c>
      <c r="BC258" s="737">
        <f>_xlfn.SUMIFS(ЭЭ!BB$25:BB$67,ЭЭ!$F$25:$F$67,$F258,ЭЭ!$AC$25:$AC$67,"Всего по тарифу")</f>
        <v>0</v>
      </c>
      <c r="BD258" s="737">
        <f>IF(AI258=0,0,(AT258-AI258)/AI258*100)</f>
        <v>0</v>
      </c>
      <c r="BE258" s="737">
        <f>IF(AT258=0,0,(AU258-AT258)/AT258*100)</f>
        <v>0</v>
      </c>
      <c r="BF258" s="737">
        <f>IF(AU258=0,0,(AV258-AU258)/AU258*100)</f>
        <v>0</v>
      </c>
      <c r="BG258" s="737">
        <f>IF(AV258=0,0,(AW258-AV258)/AV258*100)</f>
        <v>0</v>
      </c>
      <c r="BH258" s="737">
        <f>IF(AW258=0,0,(AX258-AW258)/AW258*100)</f>
        <v>0</v>
      </c>
      <c r="BI258" s="737">
        <f>IF(AX258=0,0,(AY258-AX258)/AX258*100)</f>
        <v>0</v>
      </c>
      <c r="BJ258" s="737">
        <f>IF(AY258=0,0,(AZ258-AY258)/AY258*100)</f>
        <v>0</v>
      </c>
      <c r="BK258" s="737">
        <f>IF(AZ258=0,0,(BA258-AZ258)/AZ258*100)</f>
        <v>0</v>
      </c>
      <c r="BL258" s="737">
        <f>IF(BA258=0,0,(BB258-BA258)/BA258*100)</f>
        <v>0</v>
      </c>
      <c r="BM258" s="737">
        <f>IF(BB258=0,0,(BC258-BB258)/BB258*100)</f>
        <v>0</v>
      </c>
      <c r="BN258" s="3771"/>
      <c r="BO258" s="3775" t="str">
        <f>IF(_xlfn.IFERROR(INDEX(ЭЭ!$K$26:$L$67,MATCH($F258&amp;"komm",ЭЭ!$K$26:$K$67,0),2),"")=0,"",_xlfn.IFERROR(INDEX(ЭЭ!$K$26:$L$67,MATCH($F258&amp;"komm",ЭЭ!$K$26:$K$67,0),2),""))</f>
        <v/>
      </c>
      <c r="BP258" s="3771"/>
      <c r="BQ258" s="676"/>
      <c r="BR258" s="676"/>
      <c r="BS258" s="1047" t="s">
        <v>1580</v>
      </c>
      <c r="BT258" s="1047"/>
      <c r="BU258" s="1047"/>
      <c r="BV258" s="683"/>
      <c r="BW258" s="683"/>
    </row>
    <row s="3777" customFormat="1" customHeight="1" ht="21.75" hidden="1">
      <c r="A259" s="676"/>
      <c r="B259" s="128">
        <f>method_reg="Метод индексации"</f>
        <v>0</v>
      </c>
      <c r="C259" s="676"/>
      <c r="D259" s="676"/>
      <c r="E259" s="683">
        <v>22.5</v>
      </c>
      <c r="F259" s="50" cm="1" t="str">
        <f t="array" ref="F259:F259">OFFSET(E259,-1,1)</f>
        <v>1</v>
      </c>
      <c r="G259" s="124" t="s">
        <v>1373</v>
      </c>
      <c r="H259" s="124"/>
      <c r="I259" s="124" t="s">
        <v>325</v>
      </c>
      <c r="J259" s="676"/>
      <c r="K259" s="124" t="s">
        <v>325</v>
      </c>
      <c r="L259" s="962" t="s">
        <v>324</v>
      </c>
      <c r="M259" s="75"/>
      <c r="N259" s="676"/>
      <c r="O259" s="676"/>
      <c r="P259" s="676"/>
      <c r="Q259" s="676"/>
      <c r="R259" s="676"/>
      <c r="S259" s="676"/>
      <c r="T259" s="438" cm="1" t="str">
        <f t="array" ref="T259:T259">T258</f>
        <v>true</v>
      </c>
      <c r="U259" s="676"/>
      <c r="V259" s="676"/>
      <c r="W259" s="676"/>
      <c r="X259" s="1511"/>
      <c r="Y259" s="676"/>
      <c r="Z259" s="1494"/>
      <c r="AA259" s="676"/>
      <c r="AB259" s="184" t="s">
        <v>530</v>
      </c>
      <c r="AC259" s="178" t="s">
        <v>1975</v>
      </c>
      <c r="AD259" s="177" t="s">
        <v>789</v>
      </c>
      <c r="AE259" s="754">
        <f>_xlfn.SUMIFS(Амортизация!AE$25:AE$125,Амортизация!$F$25:$F$125,$F259,Амортизация!$AC$25:$AC$125,"Сумма амортизационных отчислений")</f>
        <v>0</v>
      </c>
      <c r="AF259" s="754">
        <f>_xlfn.SUMIFS(Амортизация!AF$25:AF$125,Амортизация!$F$25:$F$125,$F259,Амортизация!$AC$25:$AC$125,"Сумма амортизационных отчислений")</f>
        <v>0</v>
      </c>
      <c r="AG259" s="754">
        <f>_xlfn.SUMIFS(Амортизация!AG$25:AG$125,Амортизация!$F$25:$F$125,$F259,Амортизация!$AC$25:$AC$125,"Сумма амортизационных отчислений")</f>
        <v>0</v>
      </c>
      <c r="AH259" s="737">
        <f>AG259-AF259</f>
        <v>0</v>
      </c>
      <c r="AI259" s="737">
        <f>_xlfn.SUMIFS(Амортизация!AH$25:AH$125,Амортизация!$F$25:$F$125,$F259,Амортизация!$AC$25:$AC$125,"Сумма амортизационных отчислений")</f>
        <v>0</v>
      </c>
      <c r="AJ259" s="737">
        <f>_xlfn.SUMIFS(Амортизация!AI$25:AI$125,Амортизация!$F$25:$F$125,$F259,Амортизация!$AC$25:$AC$125,"Сумма амортизационных отчислений")</f>
        <v>0</v>
      </c>
      <c r="AK259" s="737">
        <f>_xlfn.SUMIFS(Амортизация!AJ$25:AJ$125,Амортизация!$F$25:$F$125,$F259,Амортизация!$AC$25:$AC$125,"Сумма амортизационных отчислений")</f>
        <v>0</v>
      </c>
      <c r="AL259" s="737">
        <f>_xlfn.SUMIFS(Амортизация!AK$25:AK$125,Амортизация!$F$25:$F$125,$F259,Амортизация!$AC$25:$AC$125,"Сумма амортизационных отчислений")</f>
        <v>0</v>
      </c>
      <c r="AM259" s="737">
        <f>_xlfn.SUMIFS(Амортизация!AL$25:AL$125,Амортизация!$F$25:$F$125,$F259,Амортизация!$AC$25:$AC$125,"Сумма амортизационных отчислений")</f>
        <v>0</v>
      </c>
      <c r="AN259" s="737">
        <f>_xlfn.SUMIFS(Амортизация!AM$25:AM$125,Амортизация!$F$25:$F$125,$F259,Амортизация!$AC$25:$AC$125,"Сумма амортизационных отчислений")</f>
        <v>0</v>
      </c>
      <c r="AO259" s="737">
        <f>_xlfn.SUMIFS(Амортизация!AN$25:AN$125,Амортизация!$F$25:$F$125,$F259,Амортизация!$AC$25:$AC$125,"Сумма амортизационных отчислений")</f>
        <v>0</v>
      </c>
      <c r="AP259" s="737">
        <f>_xlfn.SUMIFS(Амортизация!AO$25:AO$125,Амортизация!$F$25:$F$125,$F259,Амортизация!$AC$25:$AC$125,"Сумма амортизационных отчислений")</f>
        <v>0</v>
      </c>
      <c r="AQ259" s="737">
        <f>_xlfn.SUMIFS(Амортизация!AP$25:AP$125,Амортизация!$F$25:$F$125,$F259,Амортизация!$AC$25:$AC$125,"Сумма амортизационных отчислений")</f>
        <v>0</v>
      </c>
      <c r="AR259" s="737">
        <f>_xlfn.SUMIFS(Амортизация!AQ$25:AQ$125,Амортизация!$F$25:$F$125,$F259,Амортизация!$AC$25:$AC$125,"Сумма амортизационных отчислений")</f>
        <v>0</v>
      </c>
      <c r="AS259" s="737">
        <f>_xlfn.SUMIFS(Амортизация!AR$25:AR$125,Амортизация!$F$25:$F$125,$F259,Амортизация!$AC$25:$AC$125,"Сумма амортизационных отчислений")</f>
        <v>0</v>
      </c>
      <c r="AT259" s="737">
        <f>_xlfn.SUMIFS(Амортизация!AS$25:AS$125,Амортизация!$F$25:$F$125,$F259,Амортизация!$AC$25:$AC$125,"Сумма амортизационных отчислений")</f>
        <v>0</v>
      </c>
      <c r="AU259" s="737">
        <f>_xlfn.SUMIFS(Амортизация!AT$25:AT$125,Амортизация!$F$25:$F$125,$F259,Амортизация!$AC$25:$AC$125,"Сумма амортизационных отчислений")</f>
        <v>0</v>
      </c>
      <c r="AV259" s="737">
        <f>_xlfn.SUMIFS(Амортизация!AU$25:AU$125,Амортизация!$F$25:$F$125,$F259,Амортизация!$AC$25:$AC$125,"Сумма амортизационных отчислений")</f>
        <v>0</v>
      </c>
      <c r="AW259" s="737">
        <f>_xlfn.SUMIFS(Амортизация!AV$25:AV$125,Амортизация!$F$25:$F$125,$F259,Амортизация!$AC$25:$AC$125,"Сумма амортизационных отчислений")</f>
        <v>0</v>
      </c>
      <c r="AX259" s="737">
        <f>_xlfn.SUMIFS(Амортизация!AW$25:AW$125,Амортизация!$F$25:$F$125,$F259,Амортизация!$AC$25:$AC$125,"Сумма амортизационных отчислений")</f>
        <v>0</v>
      </c>
      <c r="AY259" s="737">
        <f>_xlfn.SUMIFS(Амортизация!AX$25:AX$125,Амортизация!$F$25:$F$125,$F259,Амортизация!$AC$25:$AC$125,"Сумма амортизационных отчислений")</f>
        <v>0</v>
      </c>
      <c r="AZ259" s="737">
        <f>_xlfn.SUMIFS(Амортизация!AY$25:AY$125,Амортизация!$F$25:$F$125,$F259,Амортизация!$AC$25:$AC$125,"Сумма амортизационных отчислений")</f>
        <v>0</v>
      </c>
      <c r="BA259" s="737">
        <f>_xlfn.SUMIFS(Амортизация!AZ$25:AZ$125,Амортизация!$F$25:$F$125,$F259,Амортизация!$AC$25:$AC$125,"Сумма амортизационных отчислений")</f>
        <v>0</v>
      </c>
      <c r="BB259" s="737">
        <f>_xlfn.SUMIFS(Амортизация!BA$25:BA$125,Амортизация!$F$25:$F$125,$F259,Амортизация!$AC$25:$AC$125,"Сумма амортизационных отчислений")</f>
        <v>0</v>
      </c>
      <c r="BC259" s="737">
        <f>_xlfn.SUMIFS(Амортизация!BB$25:BB$125,Амортизация!$F$25:$F$125,$F259,Амортизация!$AC$25:$AC$125,"Сумма амортизационных отчислений")</f>
        <v>0</v>
      </c>
      <c r="BD259" s="737">
        <f>IF(AI259=0,0,(AT259-AI259)/AI259*100)</f>
        <v>0</v>
      </c>
      <c r="BE259" s="737">
        <f>IF(AT259=0,0,(AU259-AT259)/AT259*100)</f>
        <v>0</v>
      </c>
      <c r="BF259" s="737">
        <f>IF(AU259=0,0,(AV259-AU259)/AU259*100)</f>
        <v>0</v>
      </c>
      <c r="BG259" s="737">
        <f>IF(AV259=0,0,(AW259-AV259)/AV259*100)</f>
        <v>0</v>
      </c>
      <c r="BH259" s="737">
        <f>IF(AW259=0,0,(AX259-AW259)/AW259*100)</f>
        <v>0</v>
      </c>
      <c r="BI259" s="737">
        <f>IF(AX259=0,0,(AY259-AX259)/AX259*100)</f>
        <v>0</v>
      </c>
      <c r="BJ259" s="737">
        <f>IF(AY259=0,0,(AZ259-AY259)/AY259*100)</f>
        <v>0</v>
      </c>
      <c r="BK259" s="737">
        <f>IF(AZ259=0,0,(BA259-AZ259)/AZ259*100)</f>
        <v>0</v>
      </c>
      <c r="BL259" s="737">
        <f>IF(BA259=0,0,(BB259-BA259)/BA259*100)</f>
        <v>0</v>
      </c>
      <c r="BM259" s="737">
        <f>IF(BB259=0,0,(BC259-BB259)/BB259*100)</f>
        <v>0</v>
      </c>
      <c r="BN259" s="1234"/>
      <c r="BO259" s="1232" t="str">
        <f>IF(_xlfn.IFERROR(INDEX(Амортизация!$K$26:$L$125,MATCH($F259&amp;"komm",Амортизация!$K$26:$K$125,0),2),"")=0,"",_xlfn.IFERROR(INDEX(Амортизация!$K$26:$L$125,MATCH($F259&amp;"komm",Амортизация!$K$26:$K$125,0),2),""))</f>
        <v/>
      </c>
      <c r="BP259" s="1234"/>
      <c r="BQ259" s="676"/>
      <c r="BR259" s="676"/>
      <c r="BS259" s="1047" t="s">
        <v>1118</v>
      </c>
      <c r="BT259" s="1047"/>
      <c r="BU259" s="1047"/>
      <c r="BV259" s="683"/>
      <c r="BW259" s="683"/>
    </row>
    <row s="1624" customFormat="1" customHeight="1" ht="14.25" hidden="1">
      <c r="A260" s="1256"/>
      <c r="B260" s="404" cm="1" t="str">
        <f t="array" ref="B260:B260">B259</f>
        <v>false</v>
      </c>
      <c r="C260" s="1256"/>
      <c r="D260" s="1256"/>
      <c r="E260" s="679">
        <v>15</v>
      </c>
      <c r="F260" s="50" cm="1" t="str">
        <f t="array" ref="F260:F260">OFFSET(E260,-1,1)</f>
        <v>1</v>
      </c>
      <c r="G260" s="1256"/>
      <c r="H260" s="1256"/>
      <c r="I260" s="124" t="s">
        <v>508</v>
      </c>
      <c r="J260" s="1256"/>
      <c r="K260" s="124" t="s">
        <v>508</v>
      </c>
      <c r="L260" s="957" t="s">
        <v>522</v>
      </c>
      <c r="M260" s="73"/>
      <c r="N260" s="1256"/>
      <c r="O260" s="1256"/>
      <c r="P260" s="1256"/>
      <c r="Q260" s="1256"/>
      <c r="R260" s="1256"/>
      <c r="S260" s="1256"/>
      <c r="T260" s="438" cm="1" t="str">
        <f t="array" ref="T260:T260">T259</f>
        <v>true</v>
      </c>
      <c r="U260" s="1256"/>
      <c r="V260" s="1256"/>
      <c r="W260" s="1256"/>
      <c r="X260" s="1511"/>
      <c r="Y260" s="1256"/>
      <c r="Z260" s="1494"/>
      <c r="AA260" s="1256"/>
      <c r="AB260" s="265" t="s">
        <v>646</v>
      </c>
      <c r="AC260" s="738" t="s">
        <v>1673</v>
      </c>
      <c r="AD260" s="266" t="s">
        <v>789</v>
      </c>
      <c r="AE260" s="1233">
        <f>_xlfn.SUMIFS('ИП + источники'!AF$27:AF$87,'ИП + источники'!$F$27:$F$87,$F260,'ИП + источники'!$AC$27:$AC$87,"Амортизационные отчисления")+_xlfn.SUMIFS('ИП + источники'!AF$27:AF$87,'ИП + источники'!$F$27:$F$87,$F260,'ИП + источники'!$AC$27:$AC$87,"погашение займов и кредитов из амортизации")</f>
        <v>0</v>
      </c>
      <c r="AF260" s="1233">
        <f>_xlfn.SUMIFS('ИП + источники'!AG$27:AG$87,'ИП + источники'!$F$27:$F$87,$F260,'ИП + источники'!$AC$27:$AC$87,"Амортизационные отчисления")+_xlfn.SUMIFS('ИП + источники'!AG$27:AG$87,'ИП + источники'!$F$27:$F$87,$F260,'ИП + источники'!$AC$27:$AC$87,"погашение займов и кредитов из амортизации")</f>
        <v>0</v>
      </c>
      <c r="AG260" s="1233">
        <f>_xlfn.SUMIFS('ИП + источники'!AH$27:AH$87,'ИП + источники'!$F$27:$F$87,$F260,'ИП + источники'!$AC$27:$AC$87,"Амортизационные отчисления")+_xlfn.SUMIFS('ИП + источники'!AH$27:AH$87,'ИП + источники'!$F$27:$F$87,$F260,'ИП + источники'!$AC$27:$AC$87,"погашение займов и кредитов из амортизации")</f>
        <v>0</v>
      </c>
      <c r="AH260" s="920">
        <f>AG260-AF260</f>
        <v>0</v>
      </c>
      <c r="AI260" s="1231">
        <f>_xlfn.SUMIFS('ИП + источники'!AJ$27:AJ$87,'ИП + источники'!$F$27:$F$87,$F260,'ИП + источники'!$AC$27:$AC$87,"Амортизационные отчисления")+_xlfn.SUMIFS('ИП + источники'!AJ$27:AJ$87,'ИП + источники'!$F$27:$F$87,$F260,'ИП + источники'!$AC$27:$AC$87,"погашение займов и кредитов из амортизации")</f>
        <v>0</v>
      </c>
      <c r="AJ260" s="3707">
        <f>_xlfn.SUMIFS('ИП + источники'!AK$27:AK$87,'ИП + источники'!$F$27:$F$87,$F260,'ИП + источники'!$AC$27:$AC$87,"Амортизационные отчисления")+_xlfn.SUMIFS('ИП + источники'!AK$27:AK$87,'ИП + источники'!$F$27:$F$87,$F260,'ИП + источники'!$AC$27:$AC$87,"погашение займов и кредитов из амортизации")</f>
        <v>0</v>
      </c>
      <c r="AK260" s="1231">
        <f>_xlfn.SUMIFS('ИП + источники'!AL$27:AL$87,'ИП + источники'!$F$27:$F$87,$F260,'ИП + источники'!$AC$27:$AC$87,"Амортизационные отчисления")+_xlfn.SUMIFS('ИП + источники'!AL$27:AL$87,'ИП + источники'!$F$27:$F$87,$F260,'ИП + источники'!$AC$27:$AC$87,"погашение займов и кредитов из амортизации")</f>
        <v>0</v>
      </c>
      <c r="AL260" s="1231">
        <f>_xlfn.SUMIFS('ИП + источники'!AM$27:AM$87,'ИП + источники'!$F$27:$F$87,$F260,'ИП + источники'!$AC$27:$AC$87,"Амортизационные отчисления")+_xlfn.SUMIFS('ИП + источники'!AM$27:AM$87,'ИП + источники'!$F$27:$F$87,$F260,'ИП + источники'!$AC$27:$AC$87,"погашение займов и кредитов из амортизации")</f>
        <v>0</v>
      </c>
      <c r="AM260" s="1231">
        <f>_xlfn.SUMIFS('ИП + источники'!AN$27:AN$87,'ИП + источники'!$F$27:$F$87,$F260,'ИП + источники'!$AC$27:$AC$87,"Амортизационные отчисления")+_xlfn.SUMIFS('ИП + источники'!AN$27:AN$87,'ИП + источники'!$F$27:$F$87,$F260,'ИП + источники'!$AC$27:$AC$87,"погашение займов и кредитов из амортизации")</f>
        <v>0</v>
      </c>
      <c r="AN260" s="1231">
        <f>_xlfn.SUMIFS('ИП + источники'!AO$27:AO$87,'ИП + источники'!$F$27:$F$87,$F260,'ИП + источники'!$AC$27:$AC$87,"Амортизационные отчисления")+_xlfn.SUMIFS('ИП + источники'!AO$27:AO$87,'ИП + источники'!$F$27:$F$87,$F260,'ИП + источники'!$AC$27:$AC$87,"погашение займов и кредитов из амортизации")</f>
        <v>0</v>
      </c>
      <c r="AO260" s="1231">
        <f>_xlfn.SUMIFS('ИП + источники'!AP$27:AP$87,'ИП + источники'!$F$27:$F$87,$F260,'ИП + источники'!$AC$27:$AC$87,"Амортизационные отчисления")+_xlfn.SUMIFS('ИП + источники'!AP$27:AP$87,'ИП + источники'!$F$27:$F$87,$F260,'ИП + источники'!$AC$27:$AC$87,"погашение займов и кредитов из амортизации")</f>
        <v>0</v>
      </c>
      <c r="AP260" s="1231">
        <f>_xlfn.SUMIFS('ИП + источники'!AQ$27:AQ$87,'ИП + источники'!$F$27:$F$87,$F260,'ИП + источники'!$AC$27:$AC$87,"Амортизационные отчисления")+_xlfn.SUMIFS('ИП + источники'!AQ$27:AQ$87,'ИП + источники'!$F$27:$F$87,$F260,'ИП + источники'!$AC$27:$AC$87,"погашение займов и кредитов из амортизации")</f>
        <v>0</v>
      </c>
      <c r="AQ260" s="1231">
        <f>_xlfn.SUMIFS('ИП + источники'!AR$27:AR$87,'ИП + источники'!$F$27:$F$87,$F260,'ИП + источники'!$AC$27:$AC$87,"Амортизационные отчисления")+_xlfn.SUMIFS('ИП + источники'!AR$27:AR$87,'ИП + источники'!$F$27:$F$87,$F260,'ИП + источники'!$AC$27:$AC$87,"погашение займов и кредитов из амортизации")</f>
        <v>0</v>
      </c>
      <c r="AR260" s="1231">
        <f>_xlfn.SUMIFS('ИП + источники'!AS$27:AS$87,'ИП + источники'!$F$27:$F$87,$F260,'ИП + источники'!$AC$27:$AC$87,"Амортизационные отчисления")+_xlfn.SUMIFS('ИП + источники'!AS$27:AS$87,'ИП + источники'!$F$27:$F$87,$F260,'ИП + источники'!$AC$27:$AC$87,"погашение займов и кредитов из амортизации")</f>
        <v>0</v>
      </c>
      <c r="AS260" s="1231">
        <f>_xlfn.SUMIFS('ИП + источники'!AT$27:AT$87,'ИП + источники'!$F$27:$F$87,$F260,'ИП + источники'!$AC$27:$AC$87,"Амортизационные отчисления")+_xlfn.SUMIFS('ИП + источники'!AT$27:AT$87,'ИП + источники'!$F$27:$F$87,$F260,'ИП + источники'!$AC$27:$AC$87,"погашение займов и кредитов из амортизации")</f>
        <v>0</v>
      </c>
      <c r="AT260" s="3707">
        <f>_xlfn.SUMIFS('ИП + источники'!AU$27:AU$87,'ИП + источники'!$F$27:$F$87,$F260,'ИП + источники'!$AC$27:$AC$87,"Амортизационные отчисления")+_xlfn.SUMIFS('ИП + источники'!AU$27:AU$87,'ИП + источники'!$F$27:$F$87,$F260,'ИП + источники'!$AC$27:$AC$87,"погашение займов и кредитов из амортизации")</f>
        <v>0</v>
      </c>
      <c r="AU260" s="1231">
        <f>_xlfn.SUMIFS('ИП + источники'!AV$27:AV$87,'ИП + источники'!$F$27:$F$87,$F260,'ИП + источники'!$AC$27:$AC$87,"Амортизационные отчисления")+_xlfn.SUMIFS('ИП + источники'!AV$27:AV$87,'ИП + источники'!$F$27:$F$87,$F260,'ИП + источники'!$AC$27:$AC$87,"погашение займов и кредитов из амортизации")</f>
        <v>0</v>
      </c>
      <c r="AV260" s="1231">
        <f>_xlfn.SUMIFS('ИП + источники'!AW$27:AW$87,'ИП + источники'!$F$27:$F$87,$F260,'ИП + источники'!$AC$27:$AC$87,"Амортизационные отчисления")+_xlfn.SUMIFS('ИП + источники'!AW$27:AW$87,'ИП + источники'!$F$27:$F$87,$F260,'ИП + источники'!$AC$27:$AC$87,"погашение займов и кредитов из амортизации")</f>
        <v>0</v>
      </c>
      <c r="AW260" s="1231">
        <f>_xlfn.SUMIFS('ИП + источники'!AX$27:AX$87,'ИП + источники'!$F$27:$F$87,$F260,'ИП + источники'!$AC$27:$AC$87,"Амортизационные отчисления")+_xlfn.SUMIFS('ИП + источники'!AX$27:AX$87,'ИП + источники'!$F$27:$F$87,$F260,'ИП + источники'!$AC$27:$AC$87,"погашение займов и кредитов из амортизации")</f>
        <v>0</v>
      </c>
      <c r="AX260" s="1231">
        <f>_xlfn.SUMIFS('ИП + источники'!AY$27:AY$87,'ИП + источники'!$F$27:$F$87,$F260,'ИП + источники'!$AC$27:$AC$87,"Амортизационные отчисления")+_xlfn.SUMIFS('ИП + источники'!AY$27:AY$87,'ИП + источники'!$F$27:$F$87,$F260,'ИП + источники'!$AC$27:$AC$87,"погашение займов и кредитов из амортизации")</f>
        <v>0</v>
      </c>
      <c r="AY260" s="1231">
        <f>_xlfn.SUMIFS('ИП + источники'!AZ$27:AZ$87,'ИП + источники'!$F$27:$F$87,$F260,'ИП + источники'!$AC$27:$AC$87,"Амортизационные отчисления")+_xlfn.SUMIFS('ИП + источники'!AZ$27:AZ$87,'ИП + источники'!$F$27:$F$87,$F260,'ИП + источники'!$AC$27:$AC$87,"погашение займов и кредитов из амортизации")</f>
        <v>0</v>
      </c>
      <c r="AZ260" s="1231">
        <f>_xlfn.SUMIFS('ИП + источники'!BA$27:BA$87,'ИП + источники'!$F$27:$F$87,$F260,'ИП + источники'!$AC$27:$AC$87,"Амортизационные отчисления")+_xlfn.SUMIFS('ИП + источники'!BA$27:BA$87,'ИП + источники'!$F$27:$F$87,$F260,'ИП + источники'!$AC$27:$AC$87,"погашение займов и кредитов из амортизации")</f>
        <v>0</v>
      </c>
      <c r="BA260" s="1231">
        <f>_xlfn.SUMIFS('ИП + источники'!BB$27:BB$87,'ИП + источники'!$F$27:$F$87,$F260,'ИП + источники'!$AC$27:$AC$87,"Амортизационные отчисления")+_xlfn.SUMIFS('ИП + источники'!BB$27:BB$87,'ИП + источники'!$F$27:$F$87,$F260,'ИП + источники'!$AC$27:$AC$87,"погашение займов и кредитов из амортизации")</f>
        <v>0</v>
      </c>
      <c r="BB260" s="1231">
        <f>_xlfn.SUMIFS('ИП + источники'!BC$27:BC$87,'ИП + источники'!$F$27:$F$87,$F260,'ИП + источники'!$AC$27:$AC$87,"Амортизационные отчисления")+_xlfn.SUMIFS('ИП + источники'!BC$27:BC$87,'ИП + источники'!$F$27:$F$87,$F260,'ИП + источники'!$AC$27:$AC$87,"погашение займов и кредитов из амортизации")</f>
        <v>0</v>
      </c>
      <c r="BC260" s="1231">
        <f>_xlfn.SUMIFS('ИП + источники'!BD$27:BD$87,'ИП + источники'!$F$27:$F$87,$F260,'ИП + источники'!$AC$27:$AC$87,"Амортизационные отчисления")+_xlfn.SUMIFS('ИП + источники'!BD$27:BD$87,'ИП + источники'!$F$27:$F$87,$F260,'ИП + источники'!$AC$27:$AC$87,"погашение займов и кредитов из амортизации")</f>
        <v>0</v>
      </c>
      <c r="BD260" s="920">
        <f>IF(AI260=0,0,(AT260-AI260)/AI260*100)</f>
        <v>0</v>
      </c>
      <c r="BE260" s="920">
        <f>IF(AT260=0,0,(AU260-AT260)/AT260*100)</f>
        <v>0</v>
      </c>
      <c r="BF260" s="920">
        <f>IF(AU260=0,0,(AV260-AU260)/AU260*100)</f>
        <v>0</v>
      </c>
      <c r="BG260" s="920">
        <f>IF(AV260=0,0,(AW260-AV260)/AV260*100)</f>
        <v>0</v>
      </c>
      <c r="BH260" s="920">
        <f>IF(AW260=0,0,(AX260-AW260)/AW260*100)</f>
        <v>0</v>
      </c>
      <c r="BI260" s="920">
        <f>IF(AX260=0,0,(AY260-AX260)/AX260*100)</f>
        <v>0</v>
      </c>
      <c r="BJ260" s="920">
        <f>IF(AY260=0,0,(AZ260-AY260)/AY260*100)</f>
        <v>0</v>
      </c>
      <c r="BK260" s="920">
        <f>IF(AZ260=0,0,(BA260-AZ260)/AZ260*100)</f>
        <v>0</v>
      </c>
      <c r="BL260" s="920">
        <f>IF(BA260=0,0,(BB260-BA260)/BA260*100)</f>
        <v>0</v>
      </c>
      <c r="BM260" s="920">
        <f>IF(BB260=0,0,(BC260-BB260)/BB260*100)</f>
        <v>0</v>
      </c>
      <c r="BN260" s="1234"/>
      <c r="BO260" s="1234"/>
      <c r="BP260" s="1234"/>
      <c r="BQ260" s="1256"/>
      <c r="BR260" s="1256"/>
      <c r="BS260" s="1041" t="s">
        <v>1674</v>
      </c>
      <c r="BT260" s="1041"/>
      <c r="BU260" s="1041"/>
      <c r="BV260" s="956"/>
      <c r="BW260" s="956"/>
    </row>
    <row s="3778" customFormat="1" customHeight="1" ht="20.25" hidden="1">
      <c r="A261" s="676"/>
      <c r="B261" s="404" cm="1" t="str">
        <f t="array" ref="B261:B261">B260</f>
        <v>false</v>
      </c>
      <c r="C261" s="676"/>
      <c r="D261" s="676"/>
      <c r="E261" s="683">
        <v>21</v>
      </c>
      <c r="F261" s="50" cm="1" t="str">
        <f t="array" ref="F261:F261">OFFSET(E261,-1,1)</f>
        <v>1</v>
      </c>
      <c r="G261" s="124" t="s">
        <v>1377</v>
      </c>
      <c r="H261" s="124"/>
      <c r="I261" s="124" t="s">
        <v>324</v>
      </c>
      <c r="J261" s="676"/>
      <c r="K261" s="124" t="s">
        <v>324</v>
      </c>
      <c r="L261" s="962" t="s">
        <v>535</v>
      </c>
      <c r="M261" s="75"/>
      <c r="N261" s="676"/>
      <c r="O261" s="676"/>
      <c r="P261" s="676"/>
      <c r="Q261" s="676"/>
      <c r="R261" s="676"/>
      <c r="S261" s="676"/>
      <c r="T261" s="438" cm="1" t="str">
        <f t="array" ref="T261:T261">T260</f>
        <v>true</v>
      </c>
      <c r="U261" s="676"/>
      <c r="V261" s="676"/>
      <c r="W261" s="676"/>
      <c r="X261" s="1511"/>
      <c r="Y261" s="676"/>
      <c r="Z261" s="1494"/>
      <c r="AA261" s="676"/>
      <c r="AB261" s="184" t="s">
        <v>485</v>
      </c>
      <c r="AC261" s="178" t="s">
        <v>1377</v>
      </c>
      <c r="AD261" s="200" t="s">
        <v>789</v>
      </c>
      <c r="AE261" s="179">
        <f>AE262+AE263+AE264+AE265</f>
        <v>0</v>
      </c>
      <c r="AF261" s="179">
        <f>AF262+AF263+AF264+AF265</f>
        <v>0</v>
      </c>
      <c r="AG261" s="179">
        <f>AG262+AG263+AG264+AG265</f>
        <v>0</v>
      </c>
      <c r="AH261" s="746">
        <f>AG261-AF261</f>
        <v>0</v>
      </c>
      <c r="AI261" s="746">
        <f>AI262+AI263+AI264+AI265</f>
        <v>0</v>
      </c>
      <c r="AJ261" s="746">
        <f>AJ262+AJ263+AJ264+AJ265</f>
        <v>0</v>
      </c>
      <c r="AK261" s="746">
        <f>AK262+AK263+AK264+AK265</f>
        <v>0</v>
      </c>
      <c r="AL261" s="746">
        <f>AL262+AL263+AL264+AL265</f>
        <v>0</v>
      </c>
      <c r="AM261" s="746">
        <f>AM262+AM263+AM264+AM265</f>
        <v>0</v>
      </c>
      <c r="AN261" s="746">
        <f>AN262+AN263+AN264+AN265</f>
        <v>0</v>
      </c>
      <c r="AO261" s="746">
        <f>AO262+AO263+AO264+AO265</f>
        <v>0</v>
      </c>
      <c r="AP261" s="746">
        <f>AP262+AP263+AP264+AP265</f>
        <v>0</v>
      </c>
      <c r="AQ261" s="746">
        <f>AQ262+AQ263+AQ264+AQ265</f>
        <v>0</v>
      </c>
      <c r="AR261" s="746">
        <f>AR262+AR263+AR264+AR265</f>
        <v>0</v>
      </c>
      <c r="AS261" s="746">
        <f>AS262+AS263+AS264+AS265</f>
        <v>0</v>
      </c>
      <c r="AT261" s="746">
        <f>AT262+AT263+AT264+AT265</f>
        <v>0</v>
      </c>
      <c r="AU261" s="746">
        <f>AU262+AU263+AU264+AU265</f>
        <v>0</v>
      </c>
      <c r="AV261" s="746">
        <f>AV262+AV263+AV264+AV265</f>
        <v>0</v>
      </c>
      <c r="AW261" s="746">
        <f>AW262+AW263+AW264+AW265</f>
        <v>0</v>
      </c>
      <c r="AX261" s="746">
        <f>AX262+AX263+AX264+AX265</f>
        <v>0</v>
      </c>
      <c r="AY261" s="746">
        <f>AY262+AY263+AY264+AY265</f>
        <v>0</v>
      </c>
      <c r="AZ261" s="746">
        <f>AZ262+AZ263+AZ264+AZ265</f>
        <v>0</v>
      </c>
      <c r="BA261" s="746">
        <f>BA262+BA263+BA264+BA265</f>
        <v>0</v>
      </c>
      <c r="BB261" s="746">
        <f>BB262+BB263+BB264+BB265</f>
        <v>0</v>
      </c>
      <c r="BC261" s="746">
        <f>BC262+BC263+BC264+BC265</f>
        <v>0</v>
      </c>
      <c r="BD261" s="737">
        <f>IF(AI261=0,0,(AT261-AI261)/AI261*100)</f>
        <v>0</v>
      </c>
      <c r="BE261" s="737">
        <f>IF(AT261=0,0,(AU261-AT261)/AT261*100)</f>
        <v>0</v>
      </c>
      <c r="BF261" s="737">
        <f>IF(AU261=0,0,(AV261-AU261)/AU261*100)</f>
        <v>0</v>
      </c>
      <c r="BG261" s="737">
        <f>IF(AV261=0,0,(AW261-AV261)/AV261*100)</f>
        <v>0</v>
      </c>
      <c r="BH261" s="737">
        <f>IF(AW261=0,0,(AX261-AW261)/AW261*100)</f>
        <v>0</v>
      </c>
      <c r="BI261" s="737">
        <f>IF(AX261=0,0,(AY261-AX261)/AX261*100)</f>
        <v>0</v>
      </c>
      <c r="BJ261" s="737">
        <f>IF(AY261=0,0,(AZ261-AY261)/AY261*100)</f>
        <v>0</v>
      </c>
      <c r="BK261" s="737">
        <f>IF(AZ261=0,0,(BA261-AZ261)/AZ261*100)</f>
        <v>0</v>
      </c>
      <c r="BL261" s="737">
        <f>IF(BA261=0,0,(BB261-BA261)/BA261*100)</f>
        <v>0</v>
      </c>
      <c r="BM261" s="737">
        <f>IF(BB261=0,0,(BC261-BB261)/BB261*100)</f>
        <v>0</v>
      </c>
      <c r="BN261" s="1234"/>
      <c r="BO261" s="1234"/>
      <c r="BP261" s="1234"/>
      <c r="BQ261" s="676"/>
      <c r="BR261" s="676"/>
      <c r="BS261" s="1040" t="s">
        <v>1381</v>
      </c>
      <c r="BT261" s="1047"/>
      <c r="BU261" s="1047"/>
      <c r="BV261" s="683"/>
      <c r="BW261" s="683"/>
    </row>
    <row s="1624" customFormat="1" customHeight="1" ht="14.25" hidden="1">
      <c r="A262" s="1256"/>
      <c r="B262" s="404" cm="1" t="str">
        <f t="array" ref="B262:B262">B261</f>
        <v>false</v>
      </c>
      <c r="C262" s="1256"/>
      <c r="D262" s="1256"/>
      <c r="E262" s="679">
        <v>15</v>
      </c>
      <c r="F262" s="50" cm="1" t="str">
        <f t="array" ref="F262:F262">OFFSET(E262,-1,1)</f>
        <v>1</v>
      </c>
      <c r="G262" s="1256"/>
      <c r="H262" s="1256"/>
      <c r="I262" s="124" t="s">
        <v>522</v>
      </c>
      <c r="J262" s="1256"/>
      <c r="K262" s="124" t="s">
        <v>522</v>
      </c>
      <c r="L262" s="957"/>
      <c r="M262" s="73"/>
      <c r="N262" s="1256"/>
      <c r="O262" s="1256"/>
      <c r="P262" s="1256"/>
      <c r="Q262" s="1256"/>
      <c r="R262" s="1256"/>
      <c r="S262" s="1256"/>
      <c r="T262" s="438" cm="1" t="str">
        <f t="array" ref="T262:T262">T261</f>
        <v>true</v>
      </c>
      <c r="U262" s="1256"/>
      <c r="V262" s="1256"/>
      <c r="W262" s="1256"/>
      <c r="X262" s="1511"/>
      <c r="Y262" s="1256"/>
      <c r="Z262" s="1494"/>
      <c r="AA262" s="1256"/>
      <c r="AB262" s="265" t="s">
        <v>653</v>
      </c>
      <c r="AC262" s="738" t="s">
        <v>1976</v>
      </c>
      <c r="AD262" s="266" t="s">
        <v>789</v>
      </c>
      <c r="AE262" s="1233">
        <f>_xlfn.SUMIFS('ИП + источники'!AF$27:AF$87,'ИП + источники'!$F$27:$F$87,$F262,'ИП + источники'!$AC$27:$AC$87,"погашение займов и кредитов из нормативной прибыли")</f>
        <v>0</v>
      </c>
      <c r="AF262" s="1233">
        <f>_xlfn.SUMIFS('ИП + источники'!AG$27:AG$87,'ИП + источники'!$F$27:$F$87,$F262,'ИП + источники'!$AC$27:$AC$87,"погашение займов и кредитов из нормативной прибыли")</f>
        <v>0</v>
      </c>
      <c r="AG262" s="1233">
        <f>_xlfn.SUMIFS('ИП + источники'!AH$27:AH$87,'ИП + источники'!$F$27:$F$87,$F262,'ИП + источники'!$AC$27:$AC$87,"погашение займов и кредитов из нормативной прибыли")</f>
        <v>0</v>
      </c>
      <c r="AH262" s="920">
        <f>AG262-AF262</f>
        <v>0</v>
      </c>
      <c r="AI262" s="1231">
        <f>_xlfn.SUMIFS('ИП + источники'!AJ$27:AJ$87,'ИП + источники'!$F$27:$F$87,$F262,'ИП + источники'!$AC$27:$AC$87,"погашение займов и кредитов из нормативной прибыли")</f>
        <v>0</v>
      </c>
      <c r="AJ262" s="3707">
        <f>_xlfn.SUMIFS('ИП + источники'!AK$27:AK$87,'ИП + источники'!$F$27:$F$87,$F262,'ИП + источники'!$AC$27:$AC$87,"погашение займов и кредитов из нормативной прибыли")</f>
        <v>0</v>
      </c>
      <c r="AK262" s="1231">
        <f>_xlfn.SUMIFS('ИП + источники'!AL$27:AL$87,'ИП + источники'!$F$27:$F$87,$F262,'ИП + источники'!$AC$27:$AC$87,"погашение займов и кредитов из нормативной прибыли")</f>
        <v>0</v>
      </c>
      <c r="AL262" s="1231">
        <f>_xlfn.SUMIFS('ИП + источники'!AM$27:AM$87,'ИП + источники'!$F$27:$F$87,$F262,'ИП + источники'!$AC$27:$AC$87,"погашение займов и кредитов из нормативной прибыли")</f>
        <v>0</v>
      </c>
      <c r="AM262" s="1231">
        <f>_xlfn.SUMIFS('ИП + источники'!AN$27:AN$87,'ИП + источники'!$F$27:$F$87,$F262,'ИП + источники'!$AC$27:$AC$87,"погашение займов и кредитов из нормативной прибыли")</f>
        <v>0</v>
      </c>
      <c r="AN262" s="1231">
        <f>_xlfn.SUMIFS('ИП + источники'!AO$27:AO$87,'ИП + источники'!$F$27:$F$87,$F262,'ИП + источники'!$AC$27:$AC$87,"погашение займов и кредитов из нормативной прибыли")</f>
        <v>0</v>
      </c>
      <c r="AO262" s="1231">
        <f>_xlfn.SUMIFS('ИП + источники'!AP$27:AP$87,'ИП + источники'!$F$27:$F$87,$F262,'ИП + источники'!$AC$27:$AC$87,"погашение займов и кредитов из нормативной прибыли")</f>
        <v>0</v>
      </c>
      <c r="AP262" s="1231">
        <f>_xlfn.SUMIFS('ИП + источники'!AQ$27:AQ$87,'ИП + источники'!$F$27:$F$87,$F262,'ИП + источники'!$AC$27:$AC$87,"погашение займов и кредитов из нормативной прибыли")</f>
        <v>0</v>
      </c>
      <c r="AQ262" s="1231">
        <f>_xlfn.SUMIFS('ИП + источники'!AR$27:AR$87,'ИП + источники'!$F$27:$F$87,$F262,'ИП + источники'!$AC$27:$AC$87,"погашение займов и кредитов из нормативной прибыли")</f>
        <v>0</v>
      </c>
      <c r="AR262" s="1231">
        <f>_xlfn.SUMIFS('ИП + источники'!AS$27:AS$87,'ИП + источники'!$F$27:$F$87,$F262,'ИП + источники'!$AC$27:$AC$87,"погашение займов и кредитов из нормативной прибыли")</f>
        <v>0</v>
      </c>
      <c r="AS262" s="1231">
        <f>_xlfn.SUMIFS('ИП + источники'!AT$27:AT$87,'ИП + источники'!$F$27:$F$87,$F262,'ИП + источники'!$AC$27:$AC$87,"погашение займов и кредитов из нормативной прибыли")</f>
        <v>0</v>
      </c>
      <c r="AT262" s="3707">
        <f>_xlfn.SUMIFS('ИП + источники'!AU$27:AU$87,'ИП + источники'!$F$27:$F$87,$F262,'ИП + источники'!$AC$27:$AC$87,"погашение займов и кредитов из нормативной прибыли")</f>
        <v>0</v>
      </c>
      <c r="AU262" s="1231">
        <f>_xlfn.SUMIFS('ИП + источники'!AV$27:AV$87,'ИП + источники'!$F$27:$F$87,$F262,'ИП + источники'!$AC$27:$AC$87,"погашение займов и кредитов из нормативной прибыли")</f>
        <v>0</v>
      </c>
      <c r="AV262" s="1231">
        <f>_xlfn.SUMIFS('ИП + источники'!AW$27:AW$87,'ИП + источники'!$F$27:$F$87,$F262,'ИП + источники'!$AC$27:$AC$87,"погашение займов и кредитов из нормативной прибыли")</f>
        <v>0</v>
      </c>
      <c r="AW262" s="1231">
        <f>_xlfn.SUMIFS('ИП + источники'!AX$27:AX$87,'ИП + источники'!$F$27:$F$87,$F262,'ИП + источники'!$AC$27:$AC$87,"погашение займов и кредитов из нормативной прибыли")</f>
        <v>0</v>
      </c>
      <c r="AX262" s="1231">
        <f>_xlfn.SUMIFS('ИП + источники'!AY$27:AY$87,'ИП + источники'!$F$27:$F$87,$F262,'ИП + источники'!$AC$27:$AC$87,"погашение займов и кредитов из нормативной прибыли")</f>
        <v>0</v>
      </c>
      <c r="AY262" s="1231">
        <f>_xlfn.SUMIFS('ИП + источники'!AZ$27:AZ$87,'ИП + источники'!$F$27:$F$87,$F262,'ИП + источники'!$AC$27:$AC$87,"погашение займов и кредитов из нормативной прибыли")</f>
        <v>0</v>
      </c>
      <c r="AZ262" s="1231">
        <f>_xlfn.SUMIFS('ИП + источники'!BA$27:BA$87,'ИП + источники'!$F$27:$F$87,$F262,'ИП + источники'!$AC$27:$AC$87,"погашение займов и кредитов из нормативной прибыли")</f>
        <v>0</v>
      </c>
      <c r="BA262" s="1231">
        <f>_xlfn.SUMIFS('ИП + источники'!BB$27:BB$87,'ИП + источники'!$F$27:$F$87,$F262,'ИП + источники'!$AC$27:$AC$87,"погашение займов и кредитов из нормативной прибыли")</f>
        <v>0</v>
      </c>
      <c r="BB262" s="1231">
        <f>_xlfn.SUMIFS('ИП + источники'!BC$27:BC$87,'ИП + источники'!$F$27:$F$87,$F262,'ИП + источники'!$AC$27:$AC$87,"погашение займов и кредитов из нормативной прибыли")</f>
        <v>0</v>
      </c>
      <c r="BC262" s="1231">
        <f>_xlfn.SUMIFS('ИП + источники'!BD$27:BD$87,'ИП + источники'!$F$27:$F$87,$F262,'ИП + источники'!$AC$27:$AC$87,"погашение займов и кредитов из нормативной прибыли")</f>
        <v>0</v>
      </c>
      <c r="BD262" s="920">
        <f>IF(AI262=0,0,(AT262-AI262)/AI262*100)</f>
        <v>0</v>
      </c>
      <c r="BE262" s="920">
        <f>IF(AT262=0,0,(AU262-AT262)/AT262*100)</f>
        <v>0</v>
      </c>
      <c r="BF262" s="920">
        <f>IF(AU262=0,0,(AV262-AU262)/AU262*100)</f>
        <v>0</v>
      </c>
      <c r="BG262" s="920">
        <f>IF(AV262=0,0,(AW262-AV262)/AV262*100)</f>
        <v>0</v>
      </c>
      <c r="BH262" s="920">
        <f>IF(AW262=0,0,(AX262-AW262)/AW262*100)</f>
        <v>0</v>
      </c>
      <c r="BI262" s="920">
        <f>IF(AX262=0,0,(AY262-AX262)/AX262*100)</f>
        <v>0</v>
      </c>
      <c r="BJ262" s="920">
        <f>IF(AY262=0,0,(AZ262-AY262)/AY262*100)</f>
        <v>0</v>
      </c>
      <c r="BK262" s="920">
        <f>IF(AZ262=0,0,(BA262-AZ262)/AZ262*100)</f>
        <v>0</v>
      </c>
      <c r="BL262" s="920">
        <f>IF(BA262=0,0,(BB262-BA262)/BA262*100)</f>
        <v>0</v>
      </c>
      <c r="BM262" s="920">
        <f>IF(BB262=0,0,(BC262-BB262)/BB262*100)</f>
        <v>0</v>
      </c>
      <c r="BN262" s="1234"/>
      <c r="BO262" s="1232" t="str">
        <f>IF(_xlfn.IFERROR(INDEX('ИП + источники'!$K$28:$L$87,MATCH($F262&amp;"2komm",'ИП + источники'!$K$28:$K$87,0),2),"")=0,"",_xlfn.IFERROR(INDEX('ИП + источники'!$K$28:$L$87,MATCH($F262&amp;"2komm",'ИП + источники'!$K$28:$K$87,0),2),""))</f>
        <v/>
      </c>
      <c r="BP262" s="1234"/>
      <c r="BQ262" s="1256"/>
      <c r="BR262" s="1256"/>
      <c r="BS262" s="1041" t="s">
        <v>1977</v>
      </c>
      <c r="BT262" s="1041"/>
      <c r="BU262" s="1041"/>
      <c r="BV262" s="956"/>
      <c r="BW262" s="956"/>
    </row>
    <row s="1624" customFormat="1" customHeight="1" ht="14.25" hidden="1">
      <c r="A263" s="1256"/>
      <c r="B263" s="404" cm="1" t="str">
        <f t="array" ref="B263:B263">B262</f>
        <v>false</v>
      </c>
      <c r="C263" s="1256"/>
      <c r="D263" s="1256"/>
      <c r="E263" s="679">
        <v>15</v>
      </c>
      <c r="F263" s="50" cm="1" t="str">
        <f t="array" ref="F263:F263">OFFSET(E263,-1,1)</f>
        <v>1</v>
      </c>
      <c r="G263" s="1256"/>
      <c r="H263" s="1256"/>
      <c r="I263" s="124" t="s">
        <v>526</v>
      </c>
      <c r="J263" s="1256"/>
      <c r="K263" s="124" t="s">
        <v>526</v>
      </c>
      <c r="L263" s="957"/>
      <c r="M263" s="73"/>
      <c r="N263" s="1256"/>
      <c r="O263" s="1256"/>
      <c r="P263" s="1256"/>
      <c r="Q263" s="1256"/>
      <c r="R263" s="1256"/>
      <c r="S263" s="1256"/>
      <c r="T263" s="438" cm="1" t="str">
        <f t="array" ref="T263:T263">T262</f>
        <v>true</v>
      </c>
      <c r="U263" s="1256"/>
      <c r="V263" s="1256"/>
      <c r="W263" s="1256"/>
      <c r="X263" s="1511"/>
      <c r="Y263" s="1256"/>
      <c r="Z263" s="1494"/>
      <c r="AA263" s="1256"/>
      <c r="AB263" s="265" t="s">
        <v>656</v>
      </c>
      <c r="AC263" s="738" t="s">
        <v>1978</v>
      </c>
      <c r="AD263" s="266" t="s">
        <v>789</v>
      </c>
      <c r="AE263" s="1233">
        <f>_xlfn.SUMIFS('ИП + источники'!AF$27:AF$87,'ИП + источники'!$F$27:$F$87,$F263,'ИП + источники'!$AC$27:$AC$87,"уплата процентов по кредитам из нормативной прибыли")</f>
        <v>0</v>
      </c>
      <c r="AF263" s="1233">
        <f>_xlfn.SUMIFS('ИП + источники'!AG$27:AG$87,'ИП + источники'!$F$27:$F$87,$F263,'ИП + источники'!$AC$27:$AC$87,"уплата процентов по кредитам из нормативной прибыли")</f>
        <v>0</v>
      </c>
      <c r="AG263" s="1233">
        <f>_xlfn.SUMIFS('ИП + источники'!AH$27:AH$87,'ИП + источники'!$F$27:$F$87,$F263,'ИП + источники'!$AC$27:$AC$87,"уплата процентов по кредитам из нормативной прибыли")</f>
        <v>0</v>
      </c>
      <c r="AH263" s="920">
        <f>AG263-AF263</f>
        <v>0</v>
      </c>
      <c r="AI263" s="1231">
        <f>_xlfn.SUMIFS('ИП + источники'!AJ$27:AJ$87,'ИП + источники'!$F$27:$F$87,$F263,'ИП + источники'!$AC$27:$AC$87,"уплата процентов по кредитам из нормативной прибыли")</f>
        <v>0</v>
      </c>
      <c r="AJ263" s="3707">
        <f>_xlfn.SUMIFS('ИП + источники'!AK$27:AK$87,'ИП + источники'!$F$27:$F$87,$F263,'ИП + источники'!$AC$27:$AC$87,"уплата процентов по кредитам из нормативной прибыли")</f>
        <v>0</v>
      </c>
      <c r="AK263" s="1231">
        <f>_xlfn.SUMIFS('ИП + источники'!AL$27:AL$87,'ИП + источники'!$F$27:$F$87,$F263,'ИП + источники'!$AC$27:$AC$87,"уплата процентов по кредитам из нормативной прибыли")</f>
        <v>0</v>
      </c>
      <c r="AL263" s="1231">
        <f>_xlfn.SUMIFS('ИП + источники'!AM$27:AM$87,'ИП + источники'!$F$27:$F$87,$F263,'ИП + источники'!$AC$27:$AC$87,"уплата процентов по кредитам из нормативной прибыли")</f>
        <v>0</v>
      </c>
      <c r="AM263" s="1231">
        <f>_xlfn.SUMIFS('ИП + источники'!AN$27:AN$87,'ИП + источники'!$F$27:$F$87,$F263,'ИП + источники'!$AC$27:$AC$87,"уплата процентов по кредитам из нормативной прибыли")</f>
        <v>0</v>
      </c>
      <c r="AN263" s="1231">
        <f>_xlfn.SUMIFS('ИП + источники'!AO$27:AO$87,'ИП + источники'!$F$27:$F$87,$F263,'ИП + источники'!$AC$27:$AC$87,"уплата процентов по кредитам из нормативной прибыли")</f>
        <v>0</v>
      </c>
      <c r="AO263" s="1231">
        <f>_xlfn.SUMIFS('ИП + источники'!AP$27:AP$87,'ИП + источники'!$F$27:$F$87,$F263,'ИП + источники'!$AC$27:$AC$87,"уплата процентов по кредитам из нормативной прибыли")</f>
        <v>0</v>
      </c>
      <c r="AP263" s="1231">
        <f>_xlfn.SUMIFS('ИП + источники'!AQ$27:AQ$87,'ИП + источники'!$F$27:$F$87,$F263,'ИП + источники'!$AC$27:$AC$87,"уплата процентов по кредитам из нормативной прибыли")</f>
        <v>0</v>
      </c>
      <c r="AQ263" s="1231">
        <f>_xlfn.SUMIFS('ИП + источники'!AR$27:AR$87,'ИП + источники'!$F$27:$F$87,$F263,'ИП + источники'!$AC$27:$AC$87,"уплата процентов по кредитам из нормативной прибыли")</f>
        <v>0</v>
      </c>
      <c r="AR263" s="1231">
        <f>_xlfn.SUMIFS('ИП + источники'!AS$27:AS$87,'ИП + источники'!$F$27:$F$87,$F263,'ИП + источники'!$AC$27:$AC$87,"уплата процентов по кредитам из нормативной прибыли")</f>
        <v>0</v>
      </c>
      <c r="AS263" s="1231">
        <f>_xlfn.SUMIFS('ИП + источники'!AT$27:AT$87,'ИП + источники'!$F$27:$F$87,$F263,'ИП + источники'!$AC$27:$AC$87,"уплата процентов по кредитам из нормативной прибыли")</f>
        <v>0</v>
      </c>
      <c r="AT263" s="3707">
        <f>_xlfn.SUMIFS('ИП + источники'!AU$27:AU$87,'ИП + источники'!$F$27:$F$87,$F263,'ИП + источники'!$AC$27:$AC$87,"уплата процентов по кредитам из нормативной прибыли")</f>
        <v>0</v>
      </c>
      <c r="AU263" s="1231">
        <f>_xlfn.SUMIFS('ИП + источники'!AV$27:AV$87,'ИП + источники'!$F$27:$F$87,$F263,'ИП + источники'!$AC$27:$AC$87,"уплата процентов по кредитам из нормативной прибыли")</f>
        <v>0</v>
      </c>
      <c r="AV263" s="1231">
        <f>_xlfn.SUMIFS('ИП + источники'!AW$27:AW$87,'ИП + источники'!$F$27:$F$87,$F263,'ИП + источники'!$AC$27:$AC$87,"уплата процентов по кредитам из нормативной прибыли")</f>
        <v>0</v>
      </c>
      <c r="AW263" s="1231">
        <f>_xlfn.SUMIFS('ИП + источники'!AX$27:AX$87,'ИП + источники'!$F$27:$F$87,$F263,'ИП + источники'!$AC$27:$AC$87,"уплата процентов по кредитам из нормативной прибыли")</f>
        <v>0</v>
      </c>
      <c r="AX263" s="1231">
        <f>_xlfn.SUMIFS('ИП + источники'!AY$27:AY$87,'ИП + источники'!$F$27:$F$87,$F263,'ИП + источники'!$AC$27:$AC$87,"уплата процентов по кредитам из нормативной прибыли")</f>
        <v>0</v>
      </c>
      <c r="AY263" s="1231">
        <f>_xlfn.SUMIFS('ИП + источники'!AZ$27:AZ$87,'ИП + источники'!$F$27:$F$87,$F263,'ИП + источники'!$AC$27:$AC$87,"уплата процентов по кредитам из нормативной прибыли")</f>
        <v>0</v>
      </c>
      <c r="AZ263" s="1231">
        <f>_xlfn.SUMIFS('ИП + источники'!BA$27:BA$87,'ИП + источники'!$F$27:$F$87,$F263,'ИП + источники'!$AC$27:$AC$87,"уплата процентов по кредитам из нормативной прибыли")</f>
        <v>0</v>
      </c>
      <c r="BA263" s="1231">
        <f>_xlfn.SUMIFS('ИП + источники'!BB$27:BB$87,'ИП + источники'!$F$27:$F$87,$F263,'ИП + источники'!$AC$27:$AC$87,"уплата процентов по кредитам из нормативной прибыли")</f>
        <v>0</v>
      </c>
      <c r="BB263" s="1231">
        <f>_xlfn.SUMIFS('ИП + источники'!BC$27:BC$87,'ИП + источники'!$F$27:$F$87,$F263,'ИП + источники'!$AC$27:$AC$87,"уплата процентов по кредитам из нормативной прибыли")</f>
        <v>0</v>
      </c>
      <c r="BC263" s="1231">
        <f>_xlfn.SUMIFS('ИП + источники'!BD$27:BD$87,'ИП + источники'!$F$27:$F$87,$F263,'ИП + источники'!$AC$27:$AC$87,"уплата процентов по кредитам из нормативной прибыли")</f>
        <v>0</v>
      </c>
      <c r="BD263" s="920">
        <f>IF(AI263=0,0,(AT263-AI263)/AI263*100)</f>
        <v>0</v>
      </c>
      <c r="BE263" s="920">
        <f>IF(AT263=0,0,(AU263-AT263)/AT263*100)</f>
        <v>0</v>
      </c>
      <c r="BF263" s="920">
        <f>IF(AU263=0,0,(AV263-AU263)/AU263*100)</f>
        <v>0</v>
      </c>
      <c r="BG263" s="920">
        <f>IF(AV263=0,0,(AW263-AV263)/AV263*100)</f>
        <v>0</v>
      </c>
      <c r="BH263" s="920">
        <f>IF(AW263=0,0,(AX263-AW263)/AW263*100)</f>
        <v>0</v>
      </c>
      <c r="BI263" s="920">
        <f>IF(AX263=0,0,(AY263-AX263)/AX263*100)</f>
        <v>0</v>
      </c>
      <c r="BJ263" s="920">
        <f>IF(AY263=0,0,(AZ263-AY263)/AY263*100)</f>
        <v>0</v>
      </c>
      <c r="BK263" s="920">
        <f>IF(AZ263=0,0,(BA263-AZ263)/AZ263*100)</f>
        <v>0</v>
      </c>
      <c r="BL263" s="920">
        <f>IF(BA263=0,0,(BB263-BA263)/BA263*100)</f>
        <v>0</v>
      </c>
      <c r="BM263" s="920">
        <f>IF(BB263=0,0,(BC263-BB263)/BB263*100)</f>
        <v>0</v>
      </c>
      <c r="BN263" s="1234"/>
      <c r="BO263" s="1232" t="str">
        <f>IF(_xlfn.IFERROR(INDEX('ИП + источники'!$K$28:$L$87,MATCH($F263&amp;"3komm",'ИП + источники'!$K$28:$K$87,0),2),"")=0,"",_xlfn.IFERROR(INDEX('ИП + источники'!$K$28:$L$87,MATCH($F263&amp;"3komm",'ИП + источники'!$K$28:$K$87,0),2),""))</f>
        <v/>
      </c>
      <c r="BP263" s="1234"/>
      <c r="BQ263" s="1256"/>
      <c r="BR263" s="1256"/>
      <c r="BS263" s="1041" t="s">
        <v>1979</v>
      </c>
      <c r="BT263" s="1041"/>
      <c r="BU263" s="1041"/>
      <c r="BV263" s="956"/>
      <c r="BW263" s="956"/>
    </row>
    <row s="1624" customFormat="1" customHeight="1" ht="14.25" hidden="1">
      <c r="A264" s="1256"/>
      <c r="B264" s="404" cm="1" t="str">
        <f t="array" ref="B264:B264">B263</f>
        <v>false</v>
      </c>
      <c r="C264" s="1256"/>
      <c r="D264" s="1256"/>
      <c r="E264" s="679">
        <v>15</v>
      </c>
      <c r="F264" s="50" cm="1" t="str">
        <f t="array" ref="F264:F264">OFFSET(E264,-1,1)</f>
        <v>1</v>
      </c>
      <c r="G264" s="1256"/>
      <c r="H264" s="1256"/>
      <c r="I264" s="124" t="s">
        <v>743</v>
      </c>
      <c r="J264" s="1256"/>
      <c r="K264" s="124" t="s">
        <v>743</v>
      </c>
      <c r="L264" s="957" t="s">
        <v>542</v>
      </c>
      <c r="M264" s="73"/>
      <c r="N264" s="1256"/>
      <c r="O264" s="1256"/>
      <c r="P264" s="1256"/>
      <c r="Q264" s="1256"/>
      <c r="R264" s="1256"/>
      <c r="S264" s="1256"/>
      <c r="T264" s="438" cm="1" t="str">
        <f t="array" ref="T264:T264">T263</f>
        <v>true</v>
      </c>
      <c r="U264" s="1256"/>
      <c r="V264" s="1256"/>
      <c r="W264" s="1256"/>
      <c r="X264" s="1511"/>
      <c r="Y264" s="1256"/>
      <c r="Z264" s="1494"/>
      <c r="AA264" s="1256"/>
      <c r="AB264" s="265" t="s">
        <v>899</v>
      </c>
      <c r="AC264" s="738" t="s">
        <v>1980</v>
      </c>
      <c r="AD264" s="266" t="s">
        <v>789</v>
      </c>
      <c r="AE264" s="1233">
        <f>_xlfn.SUMIFS('ИП + источники'!AF$27:AF$87,'ИП + источники'!$F$27:$F$87,$F264,'ИП + источники'!$AC$27:$AC$87,"Прибыль на капвложения")</f>
        <v>0</v>
      </c>
      <c r="AF264" s="1233">
        <f>_xlfn.SUMIFS('ИП + источники'!AG$27:AG$87,'ИП + источники'!$F$27:$F$87,$F264,'ИП + источники'!$AC$27:$AC$87,"Прибыль на капвложения")</f>
        <v>0</v>
      </c>
      <c r="AG264" s="1233">
        <f>_xlfn.SUMIFS('ИП + источники'!AH$27:AH$87,'ИП + источники'!$F$27:$F$87,$F264,'ИП + источники'!$AC$27:$AC$87,"Прибыль на капвложения")</f>
        <v>0</v>
      </c>
      <c r="AH264" s="920">
        <f>AG264-AF264</f>
        <v>0</v>
      </c>
      <c r="AI264" s="1231">
        <f>_xlfn.SUMIFS('ИП + источники'!AJ$27:AJ$87,'ИП + источники'!$F$27:$F$87,$F264,'ИП + источники'!$AC$27:$AC$87,"Прибыль на капвложения")</f>
        <v>0</v>
      </c>
      <c r="AJ264" s="3707">
        <f>_xlfn.SUMIFS('ИП + источники'!AK$27:AK$87,'ИП + источники'!$F$27:$F$87,$F264,'ИП + источники'!$AC$27:$AC$87,"Прибыль на капвложения")</f>
        <v>0</v>
      </c>
      <c r="AK264" s="1231">
        <f>_xlfn.SUMIFS('ИП + источники'!AL$27:AL$87,'ИП + источники'!$F$27:$F$87,$F264,'ИП + источники'!$AC$27:$AC$87,"Прибыль на капвложения")</f>
        <v>0</v>
      </c>
      <c r="AL264" s="1231">
        <f>_xlfn.SUMIFS('ИП + источники'!AM$27:AM$87,'ИП + источники'!$F$27:$F$87,$F264,'ИП + источники'!$AC$27:$AC$87,"Прибыль на капвложения")</f>
        <v>0</v>
      </c>
      <c r="AM264" s="1231">
        <f>_xlfn.SUMIFS('ИП + источники'!AN$27:AN$87,'ИП + источники'!$F$27:$F$87,$F264,'ИП + источники'!$AC$27:$AC$87,"Прибыль на капвложения")</f>
        <v>0</v>
      </c>
      <c r="AN264" s="1231">
        <f>_xlfn.SUMIFS('ИП + источники'!AO$27:AO$87,'ИП + источники'!$F$27:$F$87,$F264,'ИП + источники'!$AC$27:$AC$87,"Прибыль на капвложения")</f>
        <v>0</v>
      </c>
      <c r="AO264" s="1231">
        <f>_xlfn.SUMIFS('ИП + источники'!AP$27:AP$87,'ИП + источники'!$F$27:$F$87,$F264,'ИП + источники'!$AC$27:$AC$87,"Прибыль на капвложения")</f>
        <v>0</v>
      </c>
      <c r="AP264" s="1231">
        <f>_xlfn.SUMIFS('ИП + источники'!AQ$27:AQ$87,'ИП + источники'!$F$27:$F$87,$F264,'ИП + источники'!$AC$27:$AC$87,"Прибыль на капвложения")</f>
        <v>0</v>
      </c>
      <c r="AQ264" s="1231">
        <f>_xlfn.SUMIFS('ИП + источники'!AR$27:AR$87,'ИП + источники'!$F$27:$F$87,$F264,'ИП + источники'!$AC$27:$AC$87,"Прибыль на капвложения")</f>
        <v>0</v>
      </c>
      <c r="AR264" s="1231">
        <f>_xlfn.SUMIFS('ИП + источники'!AS$27:AS$87,'ИП + источники'!$F$27:$F$87,$F264,'ИП + источники'!$AC$27:$AC$87,"Прибыль на капвложения")</f>
        <v>0</v>
      </c>
      <c r="AS264" s="1231">
        <f>_xlfn.SUMIFS('ИП + источники'!AT$27:AT$87,'ИП + источники'!$F$27:$F$87,$F264,'ИП + источники'!$AC$27:$AC$87,"Прибыль на капвложения")</f>
        <v>0</v>
      </c>
      <c r="AT264" s="3707">
        <f>_xlfn.SUMIFS('ИП + источники'!AU$27:AU$87,'ИП + источники'!$F$27:$F$87,$F264,'ИП + источники'!$AC$27:$AC$87,"Прибыль на капвложения")</f>
        <v>0</v>
      </c>
      <c r="AU264" s="1231">
        <f>_xlfn.SUMIFS('ИП + источники'!AV$27:AV$87,'ИП + источники'!$F$27:$F$87,$F264,'ИП + источники'!$AC$27:$AC$87,"Прибыль на капвложения")</f>
        <v>0</v>
      </c>
      <c r="AV264" s="1231">
        <f>_xlfn.SUMIFS('ИП + источники'!AW$27:AW$87,'ИП + источники'!$F$27:$F$87,$F264,'ИП + источники'!$AC$27:$AC$87,"Прибыль на капвложения")</f>
        <v>0</v>
      </c>
      <c r="AW264" s="1231">
        <f>_xlfn.SUMIFS('ИП + источники'!AX$27:AX$87,'ИП + источники'!$F$27:$F$87,$F264,'ИП + источники'!$AC$27:$AC$87,"Прибыль на капвложения")</f>
        <v>0</v>
      </c>
      <c r="AX264" s="1231">
        <f>_xlfn.SUMIFS('ИП + источники'!AY$27:AY$87,'ИП + источники'!$F$27:$F$87,$F264,'ИП + источники'!$AC$27:$AC$87,"Прибыль на капвложения")</f>
        <v>0</v>
      </c>
      <c r="AY264" s="1231">
        <f>_xlfn.SUMIFS('ИП + источники'!AZ$27:AZ$87,'ИП + источники'!$F$27:$F$87,$F264,'ИП + источники'!$AC$27:$AC$87,"Прибыль на капвложения")</f>
        <v>0</v>
      </c>
      <c r="AZ264" s="1231">
        <f>_xlfn.SUMIFS('ИП + источники'!BA$27:BA$87,'ИП + источники'!$F$27:$F$87,$F264,'ИП + источники'!$AC$27:$AC$87,"Прибыль на капвложения")</f>
        <v>0</v>
      </c>
      <c r="BA264" s="1231">
        <f>_xlfn.SUMIFS('ИП + источники'!BB$27:BB$87,'ИП + источники'!$F$27:$F$87,$F264,'ИП + источники'!$AC$27:$AC$87,"Прибыль на капвложения")</f>
        <v>0</v>
      </c>
      <c r="BB264" s="1231">
        <f>_xlfn.SUMIFS('ИП + источники'!BC$27:BC$87,'ИП + источники'!$F$27:$F$87,$F264,'ИП + источники'!$AC$27:$AC$87,"Прибыль на капвложения")</f>
        <v>0</v>
      </c>
      <c r="BC264" s="1231">
        <f>_xlfn.SUMIFS('ИП + источники'!BD$27:BD$87,'ИП + источники'!$F$27:$F$87,$F264,'ИП + источники'!$AC$27:$AC$87,"Прибыль на капвложения")</f>
        <v>0</v>
      </c>
      <c r="BD264" s="920">
        <f>IF(AI264=0,0,(AT264-AI264)/AI264*100)</f>
        <v>0</v>
      </c>
      <c r="BE264" s="920">
        <f>IF(AT264=0,0,(AU264-AT264)/AT264*100)</f>
        <v>0</v>
      </c>
      <c r="BF264" s="920">
        <f>IF(AU264=0,0,(AV264-AU264)/AU264*100)</f>
        <v>0</v>
      </c>
      <c r="BG264" s="920">
        <f>IF(AV264=0,0,(AW264-AV264)/AV264*100)</f>
        <v>0</v>
      </c>
      <c r="BH264" s="920">
        <f>IF(AW264=0,0,(AX264-AW264)/AW264*100)</f>
        <v>0</v>
      </c>
      <c r="BI264" s="920">
        <f>IF(AX264=0,0,(AY264-AX264)/AX264*100)</f>
        <v>0</v>
      </c>
      <c r="BJ264" s="920">
        <f>IF(AY264=0,0,(AZ264-AY264)/AY264*100)</f>
        <v>0</v>
      </c>
      <c r="BK264" s="920">
        <f>IF(AZ264=0,0,(BA264-AZ264)/AZ264*100)</f>
        <v>0</v>
      </c>
      <c r="BL264" s="920">
        <f>IF(BA264=0,0,(BB264-BA264)/BA264*100)</f>
        <v>0</v>
      </c>
      <c r="BM264" s="920">
        <f>IF(BB264=0,0,(BC264-BB264)/BB264*100)</f>
        <v>0</v>
      </c>
      <c r="BN264" s="1234"/>
      <c r="BO264" s="1232" t="str">
        <f>IF(_xlfn.IFERROR(INDEX('ИП + источники'!$K$28:$L$87,MATCH($F264&amp;"1komm",'ИП + источники'!$K$28:$K$87,0),2),"")=0,"",_xlfn.IFERROR(INDEX('ИП + источники'!$K$28:$L$87,MATCH($F264&amp;"1komm",'ИП + источники'!$K$28:$K$87,0),2),""))</f>
        <v/>
      </c>
      <c r="BP264" s="1234"/>
      <c r="BQ264" s="1256"/>
      <c r="BR264" s="1256"/>
      <c r="BS264" s="1041" t="s">
        <v>1681</v>
      </c>
      <c r="BT264" s="1041"/>
      <c r="BU264" s="1041"/>
      <c r="BV264" s="956"/>
      <c r="BW264" s="956"/>
    </row>
    <row s="1624" customFormat="1" customHeight="1" ht="21.75" hidden="1">
      <c r="A265" s="1256"/>
      <c r="B265" s="404" cm="1" t="str">
        <f t="array" ref="B265:B265">B264</f>
        <v>false</v>
      </c>
      <c r="C265" s="1256"/>
      <c r="D265" s="1256"/>
      <c r="E265" s="679">
        <v>22.5</v>
      </c>
      <c r="F265" s="50" cm="1" t="str">
        <f t="array" ref="F265:F265">OFFSET(E265,-1,1)</f>
        <v>1</v>
      </c>
      <c r="G265" s="124" t="s">
        <v>1981</v>
      </c>
      <c r="H265" s="1256"/>
      <c r="I265" s="124" t="s">
        <v>901</v>
      </c>
      <c r="J265" s="1256"/>
      <c r="K265" s="124" t="s">
        <v>901</v>
      </c>
      <c r="L265" s="957" t="s">
        <v>546</v>
      </c>
      <c r="M265" s="73"/>
      <c r="N265" s="1256"/>
      <c r="O265" s="1256"/>
      <c r="P265" s="1256"/>
      <c r="Q265" s="1256"/>
      <c r="R265" s="1256"/>
      <c r="S265" s="1256"/>
      <c r="T265" s="438" cm="1" t="str">
        <f t="array" ref="T265:T265">T264</f>
        <v>true</v>
      </c>
      <c r="U265" s="1256"/>
      <c r="V265" s="1256"/>
      <c r="W265" s="1256"/>
      <c r="X265" s="1511"/>
      <c r="Y265" s="1256"/>
      <c r="Z265" s="1494"/>
      <c r="AA265" s="1256"/>
      <c r="AB265" s="265" t="s">
        <v>902</v>
      </c>
      <c r="AC265" s="738" t="s">
        <v>1982</v>
      </c>
      <c r="AD265" s="266" t="s">
        <v>789</v>
      </c>
      <c r="AE265" s="1233"/>
      <c r="AF265" s="1233"/>
      <c r="AG265" s="1233"/>
      <c r="AH265" s="920">
        <f>AG265-AF265</f>
        <v>0</v>
      </c>
      <c r="AI265" s="1231"/>
      <c r="AJ265" s="3707"/>
      <c r="AK265" s="1231"/>
      <c r="AL265" s="1231"/>
      <c r="AM265" s="1231"/>
      <c r="AN265" s="1231"/>
      <c r="AO265" s="1231"/>
      <c r="AP265" s="1231"/>
      <c r="AQ265" s="1231"/>
      <c r="AR265" s="1231"/>
      <c r="AS265" s="1231"/>
      <c r="AT265" s="3707"/>
      <c r="AU265" s="1231"/>
      <c r="AV265" s="1231"/>
      <c r="AW265" s="1231"/>
      <c r="AX265" s="1231"/>
      <c r="AY265" s="1231"/>
      <c r="AZ265" s="1231"/>
      <c r="BA265" s="1231"/>
      <c r="BB265" s="1231"/>
      <c r="BC265" s="1231"/>
      <c r="BD265" s="920">
        <f>IF(AI265=0,0,(AT265-AI265)/AI265*100)</f>
        <v>0</v>
      </c>
      <c r="BE265" s="920">
        <f>IF(AT265=0,0,(AU265-AT265)/AT265*100)</f>
        <v>0</v>
      </c>
      <c r="BF265" s="920">
        <f>IF(AU265=0,0,(AV265-AU265)/AU265*100)</f>
        <v>0</v>
      </c>
      <c r="BG265" s="920">
        <f>IF(AV265=0,0,(AW265-AV265)/AV265*100)</f>
        <v>0</v>
      </c>
      <c r="BH265" s="920">
        <f>IF(AW265=0,0,(AX265-AW265)/AW265*100)</f>
        <v>0</v>
      </c>
      <c r="BI265" s="920">
        <f>IF(AX265=0,0,(AY265-AX265)/AX265*100)</f>
        <v>0</v>
      </c>
      <c r="BJ265" s="920">
        <f>IF(AY265=0,0,(AZ265-AY265)/AY265*100)</f>
        <v>0</v>
      </c>
      <c r="BK265" s="920">
        <f>IF(AZ265=0,0,(BA265-AZ265)/AZ265*100)</f>
        <v>0</v>
      </c>
      <c r="BL265" s="920">
        <f>IF(BA265=0,0,(BB265-BA265)/BA265*100)</f>
        <v>0</v>
      </c>
      <c r="BM265" s="920">
        <f>IF(BB265=0,0,(BC265-BB265)/BB265*100)</f>
        <v>0</v>
      </c>
      <c r="BN265" s="1234"/>
      <c r="BO265" s="1234"/>
      <c r="BP265" s="1234"/>
      <c r="BQ265" s="1256"/>
      <c r="BR265" s="1256"/>
      <c r="BS265" s="1041" t="s">
        <v>1983</v>
      </c>
      <c r="BT265" s="1041"/>
      <c r="BU265" s="1041"/>
      <c r="BV265" s="956"/>
      <c r="BW265" s="956"/>
    </row>
    <row s="1624" customFormat="1" customHeight="1" ht="14.25" hidden="1">
      <c r="A266" s="1256"/>
      <c r="B266" s="404">
        <f>AND(method_reg="Метод индексации",STATUS_GO="да")</f>
        <v>0</v>
      </c>
      <c r="C266" s="1256"/>
      <c r="D266" s="1256"/>
      <c r="E266" s="679">
        <v>15</v>
      </c>
      <c r="F266" s="50" cm="1" t="str">
        <f t="array" ref="F266:F266">OFFSET(E266,-1,1)</f>
        <v>1</v>
      </c>
      <c r="G266" s="124" t="s">
        <v>1684</v>
      </c>
      <c r="H266" s="1256"/>
      <c r="I266" s="124" t="s">
        <v>484</v>
      </c>
      <c r="J266" s="1256"/>
      <c r="K266" s="124" t="s">
        <v>484</v>
      </c>
      <c r="L266" s="957" t="s">
        <v>550</v>
      </c>
      <c r="M266" s="73"/>
      <c r="N266" s="1256"/>
      <c r="O266" s="1256"/>
      <c r="P266" s="1256"/>
      <c r="Q266" s="1256"/>
      <c r="R266" s="1256"/>
      <c r="S266" s="1256"/>
      <c r="T266" s="438" cm="1" t="str">
        <f t="array" ref="T266:T266">T265</f>
        <v>true</v>
      </c>
      <c r="U266" s="1256"/>
      <c r="V266" s="1256"/>
      <c r="W266" s="1256"/>
      <c r="X266" s="1511"/>
      <c r="Y266" s="1256"/>
      <c r="Z266" s="1494"/>
      <c r="AA266" s="1256"/>
      <c r="AB266" s="265" t="s">
        <v>489</v>
      </c>
      <c r="AC266" s="424" t="s">
        <v>1684</v>
      </c>
      <c r="AD266" s="266" t="s">
        <v>789</v>
      </c>
      <c r="AE266" s="1233"/>
      <c r="AF266" s="1233"/>
      <c r="AG266" s="1233"/>
      <c r="AH266" s="920">
        <f>AG266-AF266</f>
        <v>0</v>
      </c>
      <c r="AI266" s="1231"/>
      <c r="AJ266" s="3707"/>
      <c r="AK266" s="1231"/>
      <c r="AL266" s="1231"/>
      <c r="AM266" s="1231"/>
      <c r="AN266" s="1231"/>
      <c r="AO266" s="1231"/>
      <c r="AP266" s="1231"/>
      <c r="AQ266" s="1231"/>
      <c r="AR266" s="1231"/>
      <c r="AS266" s="1231"/>
      <c r="AT266" s="3707"/>
      <c r="AU266" s="1231"/>
      <c r="AV266" s="1231"/>
      <c r="AW266" s="1231"/>
      <c r="AX266" s="1231"/>
      <c r="AY266" s="1231"/>
      <c r="AZ266" s="1231"/>
      <c r="BA266" s="1231"/>
      <c r="BB266" s="1231"/>
      <c r="BC266" s="1231"/>
      <c r="BD266" s="920">
        <f>IF(AI266=0,0,(AT266-AI266)/AI266*100)</f>
        <v>0</v>
      </c>
      <c r="BE266" s="920">
        <f>IF(AT266=0,0,(AU266-AT266)/AT266*100)</f>
        <v>0</v>
      </c>
      <c r="BF266" s="920">
        <f>IF(AU266=0,0,(AV266-AU266)/AU266*100)</f>
        <v>0</v>
      </c>
      <c r="BG266" s="920">
        <f>IF(AV266=0,0,(AW266-AV266)/AV266*100)</f>
        <v>0</v>
      </c>
      <c r="BH266" s="920">
        <f>IF(AW266=0,0,(AX266-AW266)/AW266*100)</f>
        <v>0</v>
      </c>
      <c r="BI266" s="920">
        <f>IF(AX266=0,0,(AY266-AX266)/AX266*100)</f>
        <v>0</v>
      </c>
      <c r="BJ266" s="920">
        <f>IF(AY266=0,0,(AZ266-AY266)/AY266*100)</f>
        <v>0</v>
      </c>
      <c r="BK266" s="920">
        <f>IF(AZ266=0,0,(BA266-AZ266)/AZ266*100)</f>
        <v>0</v>
      </c>
      <c r="BL266" s="920">
        <f>IF(BA266=0,0,(BB266-BA266)/BA266*100)</f>
        <v>0</v>
      </c>
      <c r="BM266" s="920">
        <f>IF(BB266=0,0,(BC266-BB266)/BB266*100)</f>
        <v>0</v>
      </c>
      <c r="BN266" s="1234"/>
      <c r="BO266" s="1234"/>
      <c r="BP266" s="1234"/>
      <c r="BQ266" s="1256"/>
      <c r="BR266" s="1256"/>
      <c r="BS266" s="1041" t="s">
        <v>1685</v>
      </c>
      <c r="BT266" s="1041"/>
      <c r="BU266" s="1041"/>
      <c r="BV266" s="956"/>
      <c r="BW266" s="956"/>
    </row>
    <row s="1624" customFormat="1" customHeight="1" ht="14.25" hidden="1">
      <c r="A267" s="1256"/>
      <c r="B267" s="952">
        <f>method_reg="Метод обеспечения доходности инвестированного капитала"</f>
        <v>0</v>
      </c>
      <c r="C267" s="1256"/>
      <c r="D267" s="1256"/>
      <c r="E267" s="679">
        <v>15</v>
      </c>
      <c r="F267" s="50" cm="1" t="str">
        <f t="array" ref="F267:F267">OFFSET(E267,-1,1)</f>
        <v>1</v>
      </c>
      <c r="G267" s="1256"/>
      <c r="H267" s="1256"/>
      <c r="I267" s="1256"/>
      <c r="J267" s="1256"/>
      <c r="K267" s="73" t="s">
        <v>325</v>
      </c>
      <c r="L267" s="957"/>
      <c r="M267" s="73"/>
      <c r="N267" s="1256"/>
      <c r="O267" s="1256"/>
      <c r="P267" s="1256"/>
      <c r="Q267" s="1256"/>
      <c r="R267" s="1256"/>
      <c r="S267" s="1256"/>
      <c r="T267" s="438" cm="1" t="str">
        <f t="array" ref="T267:T267">T266</f>
        <v>true</v>
      </c>
      <c r="U267" s="1256"/>
      <c r="V267" s="1256"/>
      <c r="W267" s="1256"/>
      <c r="X267" s="1511"/>
      <c r="Y267" s="1256"/>
      <c r="Z267" s="1494"/>
      <c r="AA267" s="1256"/>
      <c r="AB267" s="768" t="s">
        <v>530</v>
      </c>
      <c r="AC267" s="769" t="s">
        <v>1984</v>
      </c>
      <c r="AD267" s="770" t="s">
        <v>789</v>
      </c>
      <c r="AE267" s="1224"/>
      <c r="AF267" s="1224"/>
      <c r="AG267" s="1224"/>
      <c r="AH267" s="737">
        <f>AG267-AF267</f>
        <v>0</v>
      </c>
      <c r="AI267" s="1224"/>
      <c r="AJ267" s="3597"/>
      <c r="AK267" s="1224"/>
      <c r="AL267" s="1224"/>
      <c r="AM267" s="1224"/>
      <c r="AN267" s="1224"/>
      <c r="AO267" s="1224"/>
      <c r="AP267" s="1224"/>
      <c r="AQ267" s="1224"/>
      <c r="AR267" s="1224"/>
      <c r="AS267" s="1224"/>
      <c r="AT267" s="3597"/>
      <c r="AU267" s="1224"/>
      <c r="AV267" s="1224"/>
      <c r="AW267" s="1224"/>
      <c r="AX267" s="1224"/>
      <c r="AY267" s="1224"/>
      <c r="AZ267" s="1224"/>
      <c r="BA267" s="1224"/>
      <c r="BB267" s="1224"/>
      <c r="BC267" s="1224"/>
      <c r="BD267" s="737">
        <f>IF(AI267=0,0,(AT267-AI267)/AI267*100)</f>
        <v>0</v>
      </c>
      <c r="BE267" s="737">
        <f>IF(AT267=0,0,(AU267-AT267)/AT267*100)</f>
        <v>0</v>
      </c>
      <c r="BF267" s="737">
        <f>IF(AU267=0,0,(AV267-AU267)/AU267*100)</f>
        <v>0</v>
      </c>
      <c r="BG267" s="737">
        <f>IF(AV267=0,0,(AW267-AV267)/AV267*100)</f>
        <v>0</v>
      </c>
      <c r="BH267" s="737">
        <f>IF(AW267=0,0,(AX267-AW267)/AW267*100)</f>
        <v>0</v>
      </c>
      <c r="BI267" s="737">
        <f>IF(AX267=0,0,(AY267-AX267)/AX267*100)</f>
        <v>0</v>
      </c>
      <c r="BJ267" s="737">
        <f>IF(AY267=0,0,(AZ267-AY267)/AY267*100)</f>
        <v>0</v>
      </c>
      <c r="BK267" s="737">
        <f>IF(AZ267=0,0,(BA267-AZ267)/AZ267*100)</f>
        <v>0</v>
      </c>
      <c r="BL267" s="737">
        <f>IF(BA267=0,0,(BB267-BA267)/BA267*100)</f>
        <v>0</v>
      </c>
      <c r="BM267" s="737">
        <f>IF(BB267=0,0,(BC267-BB267)/BB267*100)</f>
        <v>0</v>
      </c>
      <c r="BN267" s="1225"/>
      <c r="BO267" s="1225"/>
      <c r="BP267" s="1225"/>
      <c r="BQ267" s="1256"/>
      <c r="BR267" s="1256"/>
      <c r="BS267" s="1041" t="s">
        <v>1985</v>
      </c>
      <c r="BT267" s="1041"/>
      <c r="BU267" s="1041"/>
      <c r="BV267" s="956"/>
      <c r="BW267" s="956"/>
    </row>
    <row s="1624" customFormat="1" customHeight="1" ht="14.25" hidden="1">
      <c r="A268" s="1256"/>
      <c r="B268" s="952" cm="1" t="str">
        <f t="array" ref="B268:B268">B267</f>
        <v>false</v>
      </c>
      <c r="C268" s="1256"/>
      <c r="D268" s="1256"/>
      <c r="E268" s="679">
        <v>15</v>
      </c>
      <c r="F268" s="50" cm="1" t="str">
        <f t="array" ref="F268:F268">OFFSET(E268,-1,1)</f>
        <v>1</v>
      </c>
      <c r="G268" s="1256"/>
      <c r="H268" s="1256"/>
      <c r="I268" s="1256"/>
      <c r="J268" s="1256"/>
      <c r="K268" s="73" t="s">
        <v>508</v>
      </c>
      <c r="L268" s="957"/>
      <c r="M268" s="73"/>
      <c r="N268" s="1256"/>
      <c r="O268" s="1256"/>
      <c r="P268" s="1256"/>
      <c r="Q268" s="1256"/>
      <c r="R268" s="1256"/>
      <c r="S268" s="1256"/>
      <c r="T268" s="438" cm="1" t="str">
        <f t="array" ref="T268:T268">T267</f>
        <v>true</v>
      </c>
      <c r="U268" s="1256"/>
      <c r="V268" s="1256"/>
      <c r="W268" s="1256"/>
      <c r="X268" s="1511"/>
      <c r="Y268" s="1256"/>
      <c r="Z268" s="1494"/>
      <c r="AA268" s="1256"/>
      <c r="AB268" s="771" t="s">
        <v>646</v>
      </c>
      <c r="AC268" s="772" t="s">
        <v>1986</v>
      </c>
      <c r="AD268" s="773" t="s">
        <v>789</v>
      </c>
      <c r="AE268" s="1231"/>
      <c r="AF268" s="1231"/>
      <c r="AG268" s="1231"/>
      <c r="AH268" s="919"/>
      <c r="AI268" s="1231"/>
      <c r="AJ268" s="3707"/>
      <c r="AK268" s="1231"/>
      <c r="AL268" s="1231"/>
      <c r="AM268" s="1231"/>
      <c r="AN268" s="1231"/>
      <c r="AO268" s="1231"/>
      <c r="AP268" s="1231"/>
      <c r="AQ268" s="1231"/>
      <c r="AR268" s="1231"/>
      <c r="AS268" s="1231"/>
      <c r="AT268" s="3707"/>
      <c r="AU268" s="1231"/>
      <c r="AV268" s="1231"/>
      <c r="AW268" s="1231"/>
      <c r="AX268" s="1231"/>
      <c r="AY268" s="1231"/>
      <c r="AZ268" s="1231"/>
      <c r="BA268" s="1231"/>
      <c r="BB268" s="1231"/>
      <c r="BC268" s="1231"/>
      <c r="BD268" s="919"/>
      <c r="BE268" s="919"/>
      <c r="BF268" s="919"/>
      <c r="BG268" s="919"/>
      <c r="BH268" s="919"/>
      <c r="BI268" s="919"/>
      <c r="BJ268" s="919"/>
      <c r="BK268" s="919"/>
      <c r="BL268" s="919"/>
      <c r="BM268" s="919"/>
      <c r="BN268" s="1229"/>
      <c r="BO268" s="1229"/>
      <c r="BP268" s="1229"/>
      <c r="BQ268" s="1256"/>
      <c r="BR268" s="1256"/>
      <c r="BS268" s="1041" t="s">
        <v>1987</v>
      </c>
      <c r="BT268" s="1041"/>
      <c r="BU268" s="1041"/>
      <c r="BV268" s="956"/>
      <c r="BW268" s="956"/>
    </row>
    <row s="1624" customFormat="1" customHeight="1" ht="14.25" hidden="1">
      <c r="A269" s="1256"/>
      <c r="B269" s="952" cm="1" t="str">
        <f t="array" ref="B269:B269">B268</f>
        <v>false</v>
      </c>
      <c r="C269" s="1256"/>
      <c r="D269" s="1256"/>
      <c r="E269" s="679">
        <v>15</v>
      </c>
      <c r="F269" s="50" cm="1" t="str">
        <f t="array" ref="F269:F269">OFFSET(E269,-1,1)</f>
        <v>1</v>
      </c>
      <c r="G269" s="1256"/>
      <c r="H269" s="1256"/>
      <c r="I269" s="1256"/>
      <c r="J269" s="1256"/>
      <c r="K269" s="73" t="s">
        <v>512</v>
      </c>
      <c r="L269" s="957"/>
      <c r="M269" s="73"/>
      <c r="N269" s="1256"/>
      <c r="O269" s="1256"/>
      <c r="P269" s="1256"/>
      <c r="Q269" s="1256"/>
      <c r="R269" s="1256"/>
      <c r="S269" s="1256"/>
      <c r="T269" s="438" cm="1" t="str">
        <f t="array" ref="T269:T269">T268</f>
        <v>true</v>
      </c>
      <c r="U269" s="1256"/>
      <c r="V269" s="1256"/>
      <c r="W269" s="1256"/>
      <c r="X269" s="1511"/>
      <c r="Y269" s="1256"/>
      <c r="Z269" s="1494"/>
      <c r="AA269" s="1256"/>
      <c r="AB269" s="771" t="s">
        <v>649</v>
      </c>
      <c r="AC269" s="772" t="s">
        <v>1988</v>
      </c>
      <c r="AD269" s="773" t="s">
        <v>1989</v>
      </c>
      <c r="AE269" s="1231"/>
      <c r="AF269" s="1231"/>
      <c r="AG269" s="1231"/>
      <c r="AH269" s="919"/>
      <c r="AI269" s="1231"/>
      <c r="AJ269" s="3707"/>
      <c r="AK269" s="1231"/>
      <c r="AL269" s="1231"/>
      <c r="AM269" s="1231"/>
      <c r="AN269" s="1231"/>
      <c r="AO269" s="1231"/>
      <c r="AP269" s="1231"/>
      <c r="AQ269" s="1231"/>
      <c r="AR269" s="1231"/>
      <c r="AS269" s="1231"/>
      <c r="AT269" s="3707"/>
      <c r="AU269" s="1231"/>
      <c r="AV269" s="1231"/>
      <c r="AW269" s="1231"/>
      <c r="AX269" s="1231"/>
      <c r="AY269" s="1231"/>
      <c r="AZ269" s="1231"/>
      <c r="BA269" s="1231"/>
      <c r="BB269" s="1231"/>
      <c r="BC269" s="1231"/>
      <c r="BD269" s="919"/>
      <c r="BE269" s="919"/>
      <c r="BF269" s="919"/>
      <c r="BG269" s="919"/>
      <c r="BH269" s="919"/>
      <c r="BI269" s="919"/>
      <c r="BJ269" s="919"/>
      <c r="BK269" s="919"/>
      <c r="BL269" s="919"/>
      <c r="BM269" s="919"/>
      <c r="BN269" s="1229"/>
      <c r="BO269" s="1229"/>
      <c r="BP269" s="1229"/>
      <c r="BQ269" s="1256"/>
      <c r="BR269" s="1256"/>
      <c r="BS269" s="1041" t="s">
        <v>1990</v>
      </c>
      <c r="BT269" s="1041"/>
      <c r="BU269" s="1041"/>
      <c r="BV269" s="956"/>
      <c r="BW269" s="956"/>
    </row>
    <row s="1624" customFormat="1" customHeight="1" ht="14.25" hidden="1">
      <c r="A270" s="1256"/>
      <c r="B270" s="952" cm="1" t="str">
        <f t="array" ref="B270:B270">B269</f>
        <v>false</v>
      </c>
      <c r="C270" s="1256"/>
      <c r="D270" s="1256"/>
      <c r="E270" s="679">
        <v>15</v>
      </c>
      <c r="F270" s="50" cm="1" t="str">
        <f t="array" ref="F270:F270">OFFSET(E270,-1,1)</f>
        <v>1</v>
      </c>
      <c r="G270" s="1256"/>
      <c r="H270" s="1256"/>
      <c r="I270" s="1256"/>
      <c r="J270" s="1256"/>
      <c r="K270" s="73" t="s">
        <v>324</v>
      </c>
      <c r="L270" s="957"/>
      <c r="M270" s="73"/>
      <c r="N270" s="1256"/>
      <c r="O270" s="1256"/>
      <c r="P270" s="1256"/>
      <c r="Q270" s="1256"/>
      <c r="R270" s="1256"/>
      <c r="S270" s="1256"/>
      <c r="T270" s="438" cm="1" t="str">
        <f t="array" ref="T270:T270">T269</f>
        <v>true</v>
      </c>
      <c r="U270" s="1256"/>
      <c r="V270" s="1256"/>
      <c r="W270" s="1256"/>
      <c r="X270" s="1511"/>
      <c r="Y270" s="1256"/>
      <c r="Z270" s="1494"/>
      <c r="AA270" s="1256"/>
      <c r="AB270" s="768" t="s">
        <v>485</v>
      </c>
      <c r="AC270" s="769" t="s">
        <v>1991</v>
      </c>
      <c r="AD270" s="770" t="s">
        <v>789</v>
      </c>
      <c r="AE270" s="1224"/>
      <c r="AF270" s="1224"/>
      <c r="AG270" s="1224"/>
      <c r="AH270" s="737">
        <f>AG270-AF270</f>
        <v>0</v>
      </c>
      <c r="AI270" s="1224"/>
      <c r="AJ270" s="3597"/>
      <c r="AK270" s="1224"/>
      <c r="AL270" s="1224"/>
      <c r="AM270" s="1224"/>
      <c r="AN270" s="1224"/>
      <c r="AO270" s="1224"/>
      <c r="AP270" s="1224"/>
      <c r="AQ270" s="1224"/>
      <c r="AR270" s="1224"/>
      <c r="AS270" s="1224"/>
      <c r="AT270" s="3597"/>
      <c r="AU270" s="1224"/>
      <c r="AV270" s="1224"/>
      <c r="AW270" s="1224"/>
      <c r="AX270" s="1224"/>
      <c r="AY270" s="1224"/>
      <c r="AZ270" s="1224"/>
      <c r="BA270" s="1224"/>
      <c r="BB270" s="1224"/>
      <c r="BC270" s="1224"/>
      <c r="BD270" s="737">
        <f>IF(AI270=0,0,(AT270-AI270)/AI270*100)</f>
        <v>0</v>
      </c>
      <c r="BE270" s="737">
        <f>IF(AT270=0,0,(AU270-AT270)/AT270*100)</f>
        <v>0</v>
      </c>
      <c r="BF270" s="737">
        <f>IF(AU270=0,0,(AV270-AU270)/AU270*100)</f>
        <v>0</v>
      </c>
      <c r="BG270" s="737">
        <f>IF(AV270=0,0,(AW270-AV270)/AV270*100)</f>
        <v>0</v>
      </c>
      <c r="BH270" s="737">
        <f>IF(AW270=0,0,(AX270-AW270)/AW270*100)</f>
        <v>0</v>
      </c>
      <c r="BI270" s="737">
        <f>IF(AX270=0,0,(AY270-AX270)/AX270*100)</f>
        <v>0</v>
      </c>
      <c r="BJ270" s="737">
        <f>IF(AY270=0,0,(AZ270-AY270)/AY270*100)</f>
        <v>0</v>
      </c>
      <c r="BK270" s="737">
        <f>IF(AZ270=0,0,(BA270-AZ270)/AZ270*100)</f>
        <v>0</v>
      </c>
      <c r="BL270" s="737">
        <f>IF(BA270=0,0,(BB270-BA270)/BA270*100)</f>
        <v>0</v>
      </c>
      <c r="BM270" s="737">
        <f>IF(BB270=0,0,(BC270-BB270)/BB270*100)</f>
        <v>0</v>
      </c>
      <c r="BN270" s="1225"/>
      <c r="BO270" s="1225"/>
      <c r="BP270" s="1225"/>
      <c r="BQ270" s="1256"/>
      <c r="BR270" s="1256"/>
      <c r="BS270" s="1041" t="s">
        <v>1992</v>
      </c>
      <c r="BT270" s="1041"/>
      <c r="BU270" s="1041"/>
      <c r="BV270" s="956"/>
      <c r="BW270" s="956"/>
    </row>
    <row s="1624" customFormat="1" customHeight="1" ht="14.25" hidden="1">
      <c r="A271" s="1256"/>
      <c r="B271" s="952" cm="1" t="str">
        <f t="array" ref="B271:B271">B270</f>
        <v>false</v>
      </c>
      <c r="C271" s="1256"/>
      <c r="D271" s="1256"/>
      <c r="E271" s="679">
        <v>15</v>
      </c>
      <c r="F271" s="50" cm="1" t="str">
        <f t="array" ref="F271:F271">OFFSET(E271,-1,1)</f>
        <v>1</v>
      </c>
      <c r="G271" s="1256"/>
      <c r="H271" s="1256"/>
      <c r="I271" s="1256"/>
      <c r="J271" s="1256"/>
      <c r="K271" s="73" t="s">
        <v>522</v>
      </c>
      <c r="L271" s="957"/>
      <c r="M271" s="73"/>
      <c r="N271" s="1256"/>
      <c r="O271" s="1256"/>
      <c r="P271" s="1256"/>
      <c r="Q271" s="1256"/>
      <c r="R271" s="1256"/>
      <c r="S271" s="1256"/>
      <c r="T271" s="438" cm="1" t="str">
        <f t="array" ref="T271:T271">T270</f>
        <v>true</v>
      </c>
      <c r="U271" s="1256"/>
      <c r="V271" s="1256"/>
      <c r="W271" s="1256"/>
      <c r="X271" s="1511"/>
      <c r="Y271" s="1256"/>
      <c r="Z271" s="1494"/>
      <c r="AA271" s="1256"/>
      <c r="AB271" s="771" t="s">
        <v>653</v>
      </c>
      <c r="AC271" s="772" t="s">
        <v>1993</v>
      </c>
      <c r="AD271" s="773" t="s">
        <v>789</v>
      </c>
      <c r="AE271" s="1231"/>
      <c r="AF271" s="1231"/>
      <c r="AG271" s="1231"/>
      <c r="AH271" s="919"/>
      <c r="AI271" s="1231"/>
      <c r="AJ271" s="3707"/>
      <c r="AK271" s="1231"/>
      <c r="AL271" s="1231"/>
      <c r="AM271" s="1231"/>
      <c r="AN271" s="1231"/>
      <c r="AO271" s="1231"/>
      <c r="AP271" s="1231"/>
      <c r="AQ271" s="1231"/>
      <c r="AR271" s="1231"/>
      <c r="AS271" s="1231"/>
      <c r="AT271" s="3707"/>
      <c r="AU271" s="1231"/>
      <c r="AV271" s="1231"/>
      <c r="AW271" s="1231"/>
      <c r="AX271" s="1231"/>
      <c r="AY271" s="1231"/>
      <c r="AZ271" s="1231"/>
      <c r="BA271" s="1231"/>
      <c r="BB271" s="1231"/>
      <c r="BC271" s="1231"/>
      <c r="BD271" s="919"/>
      <c r="BE271" s="919"/>
      <c r="BF271" s="919"/>
      <c r="BG271" s="919"/>
      <c r="BH271" s="919"/>
      <c r="BI271" s="919"/>
      <c r="BJ271" s="919"/>
      <c r="BK271" s="919"/>
      <c r="BL271" s="919"/>
      <c r="BM271" s="919"/>
      <c r="BN271" s="1229"/>
      <c r="BO271" s="1229"/>
      <c r="BP271" s="1229"/>
      <c r="BQ271" s="1256"/>
      <c r="BR271" s="1256"/>
      <c r="BS271" s="1041" t="s">
        <v>1994</v>
      </c>
      <c r="BT271" s="1041"/>
      <c r="BU271" s="1041"/>
      <c r="BV271" s="956"/>
      <c r="BW271" s="956"/>
    </row>
    <row s="1624" customFormat="1" customHeight="1" ht="14.25" hidden="1">
      <c r="A272" s="1256"/>
      <c r="B272" s="952" cm="1" t="str">
        <f t="array" ref="B272:B272">B271</f>
        <v>false</v>
      </c>
      <c r="C272" s="1256"/>
      <c r="D272" s="1256"/>
      <c r="E272" s="679">
        <v>15</v>
      </c>
      <c r="F272" s="50" cm="1" t="str">
        <f t="array" ref="F272:F272">OFFSET(E272,-1,1)</f>
        <v>1</v>
      </c>
      <c r="G272" s="1256"/>
      <c r="H272" s="1256"/>
      <c r="I272" s="1256"/>
      <c r="J272" s="1256"/>
      <c r="K272" s="73" t="s">
        <v>526</v>
      </c>
      <c r="L272" s="957"/>
      <c r="M272" s="73"/>
      <c r="N272" s="1256"/>
      <c r="O272" s="1256"/>
      <c r="P272" s="1256"/>
      <c r="Q272" s="1256"/>
      <c r="R272" s="1256"/>
      <c r="S272" s="1256"/>
      <c r="T272" s="438" cm="1" t="str">
        <f t="array" ref="T272:T272">T271</f>
        <v>true</v>
      </c>
      <c r="U272" s="1256"/>
      <c r="V272" s="1256"/>
      <c r="W272" s="1256"/>
      <c r="X272" s="1511"/>
      <c r="Y272" s="1256"/>
      <c r="Z272" s="1494"/>
      <c r="AA272" s="1256"/>
      <c r="AB272" s="771" t="s">
        <v>656</v>
      </c>
      <c r="AC272" s="772" t="s">
        <v>1995</v>
      </c>
      <c r="AD272" s="773" t="s">
        <v>430</v>
      </c>
      <c r="AE272" s="1231"/>
      <c r="AF272" s="1231"/>
      <c r="AG272" s="1231"/>
      <c r="AH272" s="919"/>
      <c r="AI272" s="1231"/>
      <c r="AJ272" s="3707"/>
      <c r="AK272" s="1231"/>
      <c r="AL272" s="1231"/>
      <c r="AM272" s="1231"/>
      <c r="AN272" s="1231"/>
      <c r="AO272" s="1231"/>
      <c r="AP272" s="1231"/>
      <c r="AQ272" s="1231"/>
      <c r="AR272" s="1231"/>
      <c r="AS272" s="1231"/>
      <c r="AT272" s="3707"/>
      <c r="AU272" s="1231"/>
      <c r="AV272" s="1231"/>
      <c r="AW272" s="1231"/>
      <c r="AX272" s="1231"/>
      <c r="AY272" s="1231"/>
      <c r="AZ272" s="1231"/>
      <c r="BA272" s="1231"/>
      <c r="BB272" s="1231"/>
      <c r="BC272" s="1231"/>
      <c r="BD272" s="919"/>
      <c r="BE272" s="919"/>
      <c r="BF272" s="919"/>
      <c r="BG272" s="919"/>
      <c r="BH272" s="919"/>
      <c r="BI272" s="919"/>
      <c r="BJ272" s="919"/>
      <c r="BK272" s="919"/>
      <c r="BL272" s="919"/>
      <c r="BM272" s="919"/>
      <c r="BN272" s="1229"/>
      <c r="BO272" s="1229"/>
      <c r="BP272" s="1229"/>
      <c r="BQ272" s="1256"/>
      <c r="BR272" s="1256"/>
      <c r="BS272" s="1041" t="s">
        <v>1996</v>
      </c>
      <c r="BT272" s="1041"/>
      <c r="BU272" s="1041"/>
      <c r="BV272" s="956"/>
      <c r="BW272" s="956"/>
    </row>
    <row s="1624" customFormat="1" customHeight="1" ht="14.25" hidden="1">
      <c r="A273" s="1256"/>
      <c r="B273" s="952" cm="1" t="str">
        <f t="array" ref="B273:B273">B272</f>
        <v>false</v>
      </c>
      <c r="C273" s="1256"/>
      <c r="D273" s="1256"/>
      <c r="E273" s="679">
        <v>15</v>
      </c>
      <c r="F273" s="50" cm="1" t="str">
        <f t="array" ref="F273:F273">OFFSET(E273,-1,1)</f>
        <v>1</v>
      </c>
      <c r="G273" s="1256"/>
      <c r="H273" s="1256"/>
      <c r="I273" s="1256"/>
      <c r="J273" s="1256"/>
      <c r="K273" s="73" t="s">
        <v>743</v>
      </c>
      <c r="L273" s="957"/>
      <c r="M273" s="73"/>
      <c r="N273" s="1256"/>
      <c r="O273" s="1256"/>
      <c r="P273" s="1256"/>
      <c r="Q273" s="1256"/>
      <c r="R273" s="1256"/>
      <c r="S273" s="1256"/>
      <c r="T273" s="438" cm="1" t="str">
        <f t="array" ref="T273:T273">T272</f>
        <v>true</v>
      </c>
      <c r="U273" s="1256"/>
      <c r="V273" s="1256"/>
      <c r="W273" s="1256"/>
      <c r="X273" s="1511"/>
      <c r="Y273" s="1256"/>
      <c r="Z273" s="1494"/>
      <c r="AA273" s="1256"/>
      <c r="AB273" s="771" t="s">
        <v>899</v>
      </c>
      <c r="AC273" s="772" t="s">
        <v>1997</v>
      </c>
      <c r="AD273" s="773" t="s">
        <v>789</v>
      </c>
      <c r="AE273" s="1231"/>
      <c r="AF273" s="1231"/>
      <c r="AG273" s="1231"/>
      <c r="AH273" s="919"/>
      <c r="AI273" s="1231"/>
      <c r="AJ273" s="3707"/>
      <c r="AK273" s="1231"/>
      <c r="AL273" s="1231"/>
      <c r="AM273" s="1231"/>
      <c r="AN273" s="1231"/>
      <c r="AO273" s="1231"/>
      <c r="AP273" s="1231"/>
      <c r="AQ273" s="1231"/>
      <c r="AR273" s="1231"/>
      <c r="AS273" s="1231"/>
      <c r="AT273" s="3707"/>
      <c r="AU273" s="1231"/>
      <c r="AV273" s="1231"/>
      <c r="AW273" s="1231"/>
      <c r="AX273" s="1231"/>
      <c r="AY273" s="1231"/>
      <c r="AZ273" s="1231"/>
      <c r="BA273" s="1231"/>
      <c r="BB273" s="1231"/>
      <c r="BC273" s="1231"/>
      <c r="BD273" s="919"/>
      <c r="BE273" s="919"/>
      <c r="BF273" s="919"/>
      <c r="BG273" s="919"/>
      <c r="BH273" s="919"/>
      <c r="BI273" s="919"/>
      <c r="BJ273" s="919"/>
      <c r="BK273" s="919"/>
      <c r="BL273" s="919"/>
      <c r="BM273" s="919"/>
      <c r="BN273" s="1229"/>
      <c r="BO273" s="1229"/>
      <c r="BP273" s="1229"/>
      <c r="BQ273" s="1256"/>
      <c r="BR273" s="1256"/>
      <c r="BS273" s="1041" t="s">
        <v>1998</v>
      </c>
      <c r="BT273" s="1041"/>
      <c r="BU273" s="1041"/>
      <c r="BV273" s="956"/>
      <c r="BW273" s="956"/>
    </row>
    <row s="1624" customFormat="1" customHeight="1" ht="14.25" hidden="1">
      <c r="A274" s="1256"/>
      <c r="B274" s="952" cm="1" t="str">
        <f t="array" ref="B274:B274">B273</f>
        <v>false</v>
      </c>
      <c r="C274" s="1256"/>
      <c r="D274" s="1256"/>
      <c r="E274" s="679">
        <v>15</v>
      </c>
      <c r="F274" s="50" cm="1" t="str">
        <f t="array" ref="F274:F274">OFFSET(E274,-1,1)</f>
        <v>1</v>
      </c>
      <c r="G274" s="1256"/>
      <c r="H274" s="1256"/>
      <c r="I274" s="1256"/>
      <c r="J274" s="1256"/>
      <c r="K274" s="73" t="s">
        <v>901</v>
      </c>
      <c r="L274" s="957"/>
      <c r="M274" s="73"/>
      <c r="N274" s="1256"/>
      <c r="O274" s="1256"/>
      <c r="P274" s="1256"/>
      <c r="Q274" s="1256"/>
      <c r="R274" s="1256"/>
      <c r="S274" s="1256"/>
      <c r="T274" s="438" cm="1" t="str">
        <f t="array" ref="T274:T274">T273</f>
        <v>true</v>
      </c>
      <c r="U274" s="1256"/>
      <c r="V274" s="1256"/>
      <c r="W274" s="1256"/>
      <c r="X274" s="1511"/>
      <c r="Y274" s="1256"/>
      <c r="Z274" s="1494"/>
      <c r="AA274" s="1256"/>
      <c r="AB274" s="771" t="s">
        <v>902</v>
      </c>
      <c r="AC274" s="772" t="s">
        <v>1999</v>
      </c>
      <c r="AD274" s="773" t="s">
        <v>789</v>
      </c>
      <c r="AE274" s="1231"/>
      <c r="AF274" s="1231"/>
      <c r="AG274" s="1231"/>
      <c r="AH274" s="919"/>
      <c r="AI274" s="1231"/>
      <c r="AJ274" s="3707"/>
      <c r="AK274" s="1231"/>
      <c r="AL274" s="1231"/>
      <c r="AM274" s="1231"/>
      <c r="AN274" s="1231"/>
      <c r="AO274" s="1231"/>
      <c r="AP274" s="1231"/>
      <c r="AQ274" s="1231"/>
      <c r="AR274" s="1231"/>
      <c r="AS274" s="1231"/>
      <c r="AT274" s="3707"/>
      <c r="AU274" s="1231"/>
      <c r="AV274" s="1231"/>
      <c r="AW274" s="1231"/>
      <c r="AX274" s="1231"/>
      <c r="AY274" s="1231"/>
      <c r="AZ274" s="1231"/>
      <c r="BA274" s="1231"/>
      <c r="BB274" s="1231"/>
      <c r="BC274" s="1231"/>
      <c r="BD274" s="919"/>
      <c r="BE274" s="919"/>
      <c r="BF274" s="919"/>
      <c r="BG274" s="919"/>
      <c r="BH274" s="919"/>
      <c r="BI274" s="919"/>
      <c r="BJ274" s="919"/>
      <c r="BK274" s="919"/>
      <c r="BL274" s="919"/>
      <c r="BM274" s="919"/>
      <c r="BN274" s="1229"/>
      <c r="BO274" s="1229"/>
      <c r="BP274" s="1229"/>
      <c r="BQ274" s="1256"/>
      <c r="BR274" s="1256"/>
      <c r="BS274" s="1041" t="s">
        <v>2000</v>
      </c>
      <c r="BT274" s="1041"/>
      <c r="BU274" s="1041"/>
      <c r="BV274" s="956"/>
      <c r="BW274" s="956"/>
    </row>
    <row s="1624" customFormat="1" customHeight="1" ht="14.25" hidden="1">
      <c r="A275" s="1256"/>
      <c r="B275" s="952" cm="1" t="str">
        <f t="array" ref="B275:B275">B274</f>
        <v>false</v>
      </c>
      <c r="C275" s="1256"/>
      <c r="D275" s="1256"/>
      <c r="E275" s="679">
        <v>15</v>
      </c>
      <c r="F275" s="50" cm="1" t="str">
        <f t="array" ref="F275:F275">OFFSET(E275,-1,1)</f>
        <v>1</v>
      </c>
      <c r="G275" s="1256"/>
      <c r="H275" s="1256"/>
      <c r="I275" s="1256"/>
      <c r="J275" s="1256"/>
      <c r="K275" s="73" t="s">
        <v>2001</v>
      </c>
      <c r="L275" s="957"/>
      <c r="M275" s="73"/>
      <c r="N275" s="1256"/>
      <c r="O275" s="1256"/>
      <c r="P275" s="1256"/>
      <c r="Q275" s="1256"/>
      <c r="R275" s="1256"/>
      <c r="S275" s="1256"/>
      <c r="T275" s="438" cm="1" t="str">
        <f t="array" ref="T275:T275">T274</f>
        <v>true</v>
      </c>
      <c r="U275" s="1256"/>
      <c r="V275" s="1256"/>
      <c r="W275" s="1256"/>
      <c r="X275" s="1511"/>
      <c r="Y275" s="1256"/>
      <c r="Z275" s="1494"/>
      <c r="AA275" s="1256"/>
      <c r="AB275" s="771" t="s">
        <v>2002</v>
      </c>
      <c r="AC275" s="774" t="s">
        <v>2003</v>
      </c>
      <c r="AD275" s="773" t="s">
        <v>430</v>
      </c>
      <c r="AE275" s="1231"/>
      <c r="AF275" s="1231"/>
      <c r="AG275" s="1231"/>
      <c r="AH275" s="919"/>
      <c r="AI275" s="1231"/>
      <c r="AJ275" s="3707"/>
      <c r="AK275" s="1231"/>
      <c r="AL275" s="1231"/>
      <c r="AM275" s="1231"/>
      <c r="AN275" s="1231"/>
      <c r="AO275" s="1231"/>
      <c r="AP275" s="1231"/>
      <c r="AQ275" s="1231"/>
      <c r="AR275" s="1231"/>
      <c r="AS275" s="1231"/>
      <c r="AT275" s="3707"/>
      <c r="AU275" s="1231"/>
      <c r="AV275" s="1231"/>
      <c r="AW275" s="1231"/>
      <c r="AX275" s="1231"/>
      <c r="AY275" s="1231"/>
      <c r="AZ275" s="1231"/>
      <c r="BA275" s="1231"/>
      <c r="BB275" s="1231"/>
      <c r="BC275" s="1231"/>
      <c r="BD275" s="919"/>
      <c r="BE275" s="919"/>
      <c r="BF275" s="919"/>
      <c r="BG275" s="919"/>
      <c r="BH275" s="919"/>
      <c r="BI275" s="919"/>
      <c r="BJ275" s="919"/>
      <c r="BK275" s="919"/>
      <c r="BL275" s="919"/>
      <c r="BM275" s="919"/>
      <c r="BN275" s="1229"/>
      <c r="BO275" s="1229"/>
      <c r="BP275" s="1229"/>
      <c r="BQ275" s="1256"/>
      <c r="BR275" s="1256"/>
      <c r="BS275" s="1041" t="s">
        <v>2004</v>
      </c>
      <c r="BT275" s="1041"/>
      <c r="BU275" s="1041"/>
      <c r="BV275" s="956"/>
      <c r="BW275" s="956"/>
    </row>
    <row s="1624" customFormat="1" customHeight="1" ht="14.25" hidden="1">
      <c r="A276" s="1256"/>
      <c r="B276" s="952" cm="1" t="str">
        <f t="array" ref="B276:B276">B275</f>
        <v>false</v>
      </c>
      <c r="C276" s="1256"/>
      <c r="D276" s="1256"/>
      <c r="E276" s="679">
        <v>15</v>
      </c>
      <c r="F276" s="50" cm="1" t="str">
        <f t="array" ref="F276:F276">OFFSET(E276,-1,1)</f>
        <v>1</v>
      </c>
      <c r="G276" s="1256"/>
      <c r="H276" s="1256"/>
      <c r="I276" s="1256"/>
      <c r="J276" s="1256"/>
      <c r="K276" s="73" t="s">
        <v>904</v>
      </c>
      <c r="L276" s="957"/>
      <c r="M276" s="73"/>
      <c r="N276" s="1256"/>
      <c r="O276" s="1256"/>
      <c r="P276" s="1256"/>
      <c r="Q276" s="1256"/>
      <c r="R276" s="1256"/>
      <c r="S276" s="1256"/>
      <c r="T276" s="438" cm="1" t="str">
        <f t="array" ref="T276:T276">T275</f>
        <v>true</v>
      </c>
      <c r="U276" s="1256"/>
      <c r="V276" s="1256"/>
      <c r="W276" s="1256"/>
      <c r="X276" s="1511"/>
      <c r="Y276" s="1256"/>
      <c r="Z276" s="1494"/>
      <c r="AA276" s="1256"/>
      <c r="AB276" s="771" t="s">
        <v>905</v>
      </c>
      <c r="AC276" s="772" t="s">
        <v>2005</v>
      </c>
      <c r="AD276" s="773" t="s">
        <v>430</v>
      </c>
      <c r="AE276" s="1231"/>
      <c r="AF276" s="1231"/>
      <c r="AG276" s="1231"/>
      <c r="AH276" s="919"/>
      <c r="AI276" s="1231"/>
      <c r="AJ276" s="3707"/>
      <c r="AK276" s="1231"/>
      <c r="AL276" s="1231"/>
      <c r="AM276" s="1231"/>
      <c r="AN276" s="1231"/>
      <c r="AO276" s="1231"/>
      <c r="AP276" s="1231"/>
      <c r="AQ276" s="1231"/>
      <c r="AR276" s="1231"/>
      <c r="AS276" s="1231"/>
      <c r="AT276" s="3707"/>
      <c r="AU276" s="1231"/>
      <c r="AV276" s="1231"/>
      <c r="AW276" s="1231"/>
      <c r="AX276" s="1231"/>
      <c r="AY276" s="1231"/>
      <c r="AZ276" s="1231"/>
      <c r="BA276" s="1231"/>
      <c r="BB276" s="1231"/>
      <c r="BC276" s="1231"/>
      <c r="BD276" s="919"/>
      <c r="BE276" s="919"/>
      <c r="BF276" s="919"/>
      <c r="BG276" s="919"/>
      <c r="BH276" s="919"/>
      <c r="BI276" s="919"/>
      <c r="BJ276" s="919"/>
      <c r="BK276" s="919"/>
      <c r="BL276" s="919"/>
      <c r="BM276" s="919"/>
      <c r="BN276" s="1229"/>
      <c r="BO276" s="1229"/>
      <c r="BP276" s="1229"/>
      <c r="BQ276" s="1256"/>
      <c r="BR276" s="1256"/>
      <c r="BS276" s="1041" t="s">
        <v>2006</v>
      </c>
      <c r="BT276" s="1041"/>
      <c r="BU276" s="1041"/>
      <c r="BV276" s="956"/>
      <c r="BW276" s="956"/>
    </row>
    <row s="1624" customFormat="1" customHeight="1" ht="14.25" hidden="1">
      <c r="A277" s="1256"/>
      <c r="B277" s="952" cm="1" t="str">
        <f t="array" ref="B277:B277">B276</f>
        <v>false</v>
      </c>
      <c r="C277" s="1256"/>
      <c r="D277" s="1256"/>
      <c r="E277" s="679">
        <v>15</v>
      </c>
      <c r="F277" s="50" cm="1" t="str">
        <f t="array" ref="F277:F277">OFFSET(E277,-1,1)</f>
        <v>1</v>
      </c>
      <c r="G277" s="1256"/>
      <c r="H277" s="1256"/>
      <c r="I277" s="1256"/>
      <c r="J277" s="1256"/>
      <c r="K277" s="73" t="s">
        <v>2007</v>
      </c>
      <c r="L277" s="957"/>
      <c r="M277" s="73"/>
      <c r="N277" s="1256"/>
      <c r="O277" s="1256"/>
      <c r="P277" s="1256"/>
      <c r="Q277" s="1256"/>
      <c r="R277" s="1256"/>
      <c r="S277" s="1256"/>
      <c r="T277" s="438" cm="1" t="str">
        <f t="array" ref="T277:T277">T276</f>
        <v>true</v>
      </c>
      <c r="U277" s="1256"/>
      <c r="V277" s="1256"/>
      <c r="W277" s="1256"/>
      <c r="X277" s="1511"/>
      <c r="Y277" s="1256"/>
      <c r="Z277" s="1494"/>
      <c r="AA277" s="1256"/>
      <c r="AB277" s="771" t="s">
        <v>2008</v>
      </c>
      <c r="AC277" s="774" t="s">
        <v>2009</v>
      </c>
      <c r="AD277" s="773" t="s">
        <v>430</v>
      </c>
      <c r="AE277" s="1231"/>
      <c r="AF277" s="1231"/>
      <c r="AG277" s="1231"/>
      <c r="AH277" s="919"/>
      <c r="AI277" s="1231"/>
      <c r="AJ277" s="3707"/>
      <c r="AK277" s="1231"/>
      <c r="AL277" s="1231"/>
      <c r="AM277" s="1231"/>
      <c r="AN277" s="1231"/>
      <c r="AO277" s="1231"/>
      <c r="AP277" s="1231"/>
      <c r="AQ277" s="1231"/>
      <c r="AR277" s="1231"/>
      <c r="AS277" s="1231"/>
      <c r="AT277" s="3707"/>
      <c r="AU277" s="1231"/>
      <c r="AV277" s="1231"/>
      <c r="AW277" s="1231"/>
      <c r="AX277" s="1231"/>
      <c r="AY277" s="1231"/>
      <c r="AZ277" s="1231"/>
      <c r="BA277" s="1231"/>
      <c r="BB277" s="1231"/>
      <c r="BC277" s="1231"/>
      <c r="BD277" s="919"/>
      <c r="BE277" s="919"/>
      <c r="BF277" s="919"/>
      <c r="BG277" s="919"/>
      <c r="BH277" s="919"/>
      <c r="BI277" s="919"/>
      <c r="BJ277" s="919"/>
      <c r="BK277" s="919"/>
      <c r="BL277" s="919"/>
      <c r="BM277" s="919"/>
      <c r="BN277" s="1229"/>
      <c r="BO277" s="1229"/>
      <c r="BP277" s="1229"/>
      <c r="BQ277" s="1256"/>
      <c r="BR277" s="1256"/>
      <c r="BS277" s="1041" t="s">
        <v>2010</v>
      </c>
      <c r="BT277" s="1041"/>
      <c r="BU277" s="1041"/>
      <c r="BV277" s="956"/>
      <c r="BW277" s="956"/>
    </row>
    <row s="1624" customFormat="1" customHeight="1" ht="14.25" hidden="1">
      <c r="A278" s="1256"/>
      <c r="B278" s="952" cm="1" t="str">
        <f t="array" ref="B278:B278">B277</f>
        <v>false</v>
      </c>
      <c r="C278" s="1256"/>
      <c r="D278" s="1256"/>
      <c r="E278" s="679">
        <v>15</v>
      </c>
      <c r="F278" s="50" cm="1" t="str">
        <f t="array" ref="F278:F278">OFFSET(E278,-1,1)</f>
        <v>1</v>
      </c>
      <c r="G278" s="1256"/>
      <c r="H278" s="1256"/>
      <c r="I278" s="1256"/>
      <c r="J278" s="1256"/>
      <c r="K278" s="73" t="s">
        <v>2011</v>
      </c>
      <c r="L278" s="957"/>
      <c r="M278" s="73"/>
      <c r="N278" s="1256"/>
      <c r="O278" s="1256"/>
      <c r="P278" s="1256"/>
      <c r="Q278" s="1256"/>
      <c r="R278" s="1256"/>
      <c r="S278" s="1256"/>
      <c r="T278" s="438" cm="1" t="str">
        <f t="array" ref="T278:T278">T277</f>
        <v>true</v>
      </c>
      <c r="U278" s="1256"/>
      <c r="V278" s="1256"/>
      <c r="W278" s="1256"/>
      <c r="X278" s="1511"/>
      <c r="Y278" s="1256"/>
      <c r="Z278" s="1494"/>
      <c r="AA278" s="1256"/>
      <c r="AB278" s="771" t="s">
        <v>2012</v>
      </c>
      <c r="AC278" s="774" t="s">
        <v>2013</v>
      </c>
      <c r="AD278" s="773" t="s">
        <v>430</v>
      </c>
      <c r="AE278" s="1231"/>
      <c r="AF278" s="1231"/>
      <c r="AG278" s="1231"/>
      <c r="AH278" s="919"/>
      <c r="AI278" s="1231"/>
      <c r="AJ278" s="3707"/>
      <c r="AK278" s="1231"/>
      <c r="AL278" s="1231"/>
      <c r="AM278" s="1231"/>
      <c r="AN278" s="1231"/>
      <c r="AO278" s="1231"/>
      <c r="AP278" s="1231"/>
      <c r="AQ278" s="1231"/>
      <c r="AR278" s="1231"/>
      <c r="AS278" s="1231"/>
      <c r="AT278" s="3707"/>
      <c r="AU278" s="1231"/>
      <c r="AV278" s="1231"/>
      <c r="AW278" s="1231"/>
      <c r="AX278" s="1231"/>
      <c r="AY278" s="1231"/>
      <c r="AZ278" s="1231"/>
      <c r="BA278" s="1231"/>
      <c r="BB278" s="1231"/>
      <c r="BC278" s="1231"/>
      <c r="BD278" s="919"/>
      <c r="BE278" s="919"/>
      <c r="BF278" s="919"/>
      <c r="BG278" s="919"/>
      <c r="BH278" s="919"/>
      <c r="BI278" s="919"/>
      <c r="BJ278" s="919"/>
      <c r="BK278" s="919"/>
      <c r="BL278" s="919"/>
      <c r="BM278" s="919"/>
      <c r="BN278" s="1229"/>
      <c r="BO278" s="1229"/>
      <c r="BP278" s="1229"/>
      <c r="BQ278" s="1256"/>
      <c r="BR278" s="1256"/>
      <c r="BS278" s="1041" t="s">
        <v>2014</v>
      </c>
      <c r="BT278" s="1041"/>
      <c r="BU278" s="1041"/>
      <c r="BV278" s="956"/>
      <c r="BW278" s="956"/>
    </row>
    <row s="3779" customFormat="1" customHeight="1" ht="20.25">
      <c r="A279" s="676"/>
      <c r="B279" s="407"/>
      <c r="C279" s="676"/>
      <c r="D279" s="75" t="str">
        <f>IF(B278,"6","7")</f>
        <v>7</v>
      </c>
      <c r="E279" s="683">
        <v>21</v>
      </c>
      <c r="F279" s="50" cm="1" t="str">
        <f t="array" ref="F279:F279">OFFSET(E279,-1,1)</f>
        <v>1</v>
      </c>
      <c r="G279" s="124" t="s">
        <v>2015</v>
      </c>
      <c r="H279" s="124"/>
      <c r="I279" s="346" t="s">
        <v>2016</v>
      </c>
      <c r="J279" s="676"/>
      <c r="K279" s="346" t="s">
        <v>2016</v>
      </c>
      <c r="L279" s="962"/>
      <c r="M279" s="75"/>
      <c r="N279" s="676"/>
      <c r="O279" s="676"/>
      <c r="P279" s="676"/>
      <c r="Q279" s="676"/>
      <c r="R279" s="676"/>
      <c r="S279" s="676"/>
      <c r="T279" s="438" cm="1" t="str">
        <f t="array" ref="T279:T279">T278</f>
        <v>true</v>
      </c>
      <c r="U279" s="676"/>
      <c r="V279" s="676"/>
      <c r="W279" s="676"/>
      <c r="X279" s="1511"/>
      <c r="Y279" s="676"/>
      <c r="Z279" s="1494"/>
      <c r="AA279" s="676"/>
      <c r="AB279" s="177" cm="1" t="str">
        <f t="array" ref="AB279:AB279">D279</f>
        <v>7</v>
      </c>
      <c r="AC279" s="185" t="s">
        <v>1462</v>
      </c>
      <c r="AD279" s="177" t="s">
        <v>789</v>
      </c>
      <c r="AE279" s="3608"/>
      <c r="AF279" s="3608"/>
      <c r="AG279" s="3608"/>
      <c r="AH279" s="737">
        <f>AG279-AF279</f>
        <v>0</v>
      </c>
      <c r="AI279" s="3597"/>
      <c r="AJ279" s="3707">
        <f>_xlfn.SUMIFS('Корректировка НВВ'!$AF$25:$AF$129,'Корректировка НВВ'!$F$25:$F$129,$F279,'Корректировка НВВ'!$I$25:$I$129,$G279)</f>
        <v>0</v>
      </c>
      <c r="AK279" s="3597"/>
      <c r="AL279" s="3597"/>
      <c r="AM279" s="3597"/>
      <c r="AN279" s="3597"/>
      <c r="AO279" s="3597"/>
      <c r="AP279" s="3597"/>
      <c r="AQ279" s="3597"/>
      <c r="AR279" s="3597"/>
      <c r="AS279" s="3597"/>
      <c r="AT279" s="3707">
        <f>_xlfn.SUMIFS('Корректировка НВВ'!$AG$25:$AG$129,'Корректировка НВВ'!$F$25:$F$129,$F279,'Корректировка НВВ'!$I$25:$I$129,$G279)</f>
        <v>0</v>
      </c>
      <c r="AU279" s="3597"/>
      <c r="AV279" s="3597"/>
      <c r="AW279" s="3597"/>
      <c r="AX279" s="3597"/>
      <c r="AY279" s="3597"/>
      <c r="AZ279" s="3597"/>
      <c r="BA279" s="3597"/>
      <c r="BB279" s="3597"/>
      <c r="BC279" s="3597"/>
      <c r="BD279" s="737">
        <f>IF(AI279=0,0,(AT279-AI279)/AI279*100)</f>
        <v>0</v>
      </c>
      <c r="BE279" s="737">
        <f>IF(AT279=0,0,(AU279-AT279)/AT279*100)</f>
        <v>0</v>
      </c>
      <c r="BF279" s="737">
        <f>IF(AU279=0,0,(AV279-AU279)/AU279*100)</f>
        <v>0</v>
      </c>
      <c r="BG279" s="737">
        <f>IF(AV279=0,0,(AW279-AV279)/AV279*100)</f>
        <v>0</v>
      </c>
      <c r="BH279" s="737">
        <f>IF(AW279=0,0,(AX279-AW279)/AW279*100)</f>
        <v>0</v>
      </c>
      <c r="BI279" s="737">
        <f>IF(AX279=0,0,(AY279-AX279)/AX279*100)</f>
        <v>0</v>
      </c>
      <c r="BJ279" s="737">
        <f>IF(AY279=0,0,(AZ279-AY279)/AY279*100)</f>
        <v>0</v>
      </c>
      <c r="BK279" s="737">
        <f>IF(AZ279=0,0,(BA279-AZ279)/AZ279*100)</f>
        <v>0</v>
      </c>
      <c r="BL279" s="737">
        <f>IF(BA279=0,0,(BB279-BA279)/BA279*100)</f>
        <v>0</v>
      </c>
      <c r="BM279" s="737">
        <f>IF(BB279=0,0,(BC279-BB279)/BB279*100)</f>
        <v>0</v>
      </c>
      <c r="BN279" s="3619"/>
      <c r="BO279" s="3725" t="str">
        <f>IF(_xlfn.IFERROR(INDEX('Корректировка НВВ'!$K$26:$L$129,MATCH($F279&amp;"11komm",'Корректировка НВВ'!$K$26:$K$129,0),2),"")=0,"",_xlfn.IFERROR(INDEX('Корректировка НВВ'!$K$26:$L$129,MATCH($F279&amp;"11komm",'Корректировка НВВ'!$K$26:$K$129,0),2),""))</f>
        <v/>
      </c>
      <c r="BP279" s="3619"/>
      <c r="BQ279" s="676"/>
      <c r="BR279" s="676"/>
      <c r="BS279" s="1047" t="s">
        <v>2017</v>
      </c>
      <c r="BT279" s="1047"/>
      <c r="BU279" s="1047"/>
      <c r="BV279" s="683"/>
      <c r="BW279" s="683"/>
    </row>
    <row s="1624" customFormat="1" customHeight="1" ht="14.25">
      <c r="A280" s="1256"/>
      <c r="B280" s="955"/>
      <c r="C280" s="1256"/>
      <c r="D280" s="73" cm="1" t="str">
        <f t="array" ref="D280:D280">D279</f>
        <v>7</v>
      </c>
      <c r="E280" s="679">
        <v>15</v>
      </c>
      <c r="F280" s="50" cm="1" t="str">
        <f t="array" ref="F280:F280">OFFSET(E280,-1,1)</f>
        <v>1</v>
      </c>
      <c r="G280" s="1256"/>
      <c r="H280" s="1256"/>
      <c r="I280" s="1256"/>
      <c r="J280" s="1256"/>
      <c r="K280" s="1256"/>
      <c r="L280" s="957"/>
      <c r="M280" s="73"/>
      <c r="N280" s="1256"/>
      <c r="O280" s="1256"/>
      <c r="P280" s="1256"/>
      <c r="Q280" s="1256"/>
      <c r="R280" s="1256"/>
      <c r="S280" s="1256"/>
      <c r="T280" s="438" cm="1" t="str">
        <f t="array" ref="T280:T280">T279</f>
        <v>true</v>
      </c>
      <c r="U280" s="1256"/>
      <c r="V280" s="1256"/>
      <c r="W280" s="1256"/>
      <c r="X280" s="1511"/>
      <c r="Y280" s="1256"/>
      <c r="Z280" s="1494"/>
      <c r="AA280" s="1256"/>
      <c r="AB280" s="266"/>
      <c r="AC280" s="424" t="s">
        <v>2018</v>
      </c>
      <c r="AD280" s="266"/>
      <c r="AE280" s="922"/>
      <c r="AF280" s="922"/>
      <c r="AG280" s="922"/>
      <c r="AH280" s="919"/>
      <c r="AI280" s="919"/>
      <c r="AJ280" s="919"/>
      <c r="AK280" s="919"/>
      <c r="AL280" s="919"/>
      <c r="AM280" s="919"/>
      <c r="AN280" s="919"/>
      <c r="AO280" s="919"/>
      <c r="AP280" s="919"/>
      <c r="AQ280" s="919"/>
      <c r="AR280" s="919"/>
      <c r="AS280" s="919"/>
      <c r="AT280" s="919"/>
      <c r="AU280" s="919"/>
      <c r="AV280" s="919"/>
      <c r="AW280" s="919"/>
      <c r="AX280" s="919"/>
      <c r="AY280" s="919"/>
      <c r="AZ280" s="919"/>
      <c r="BA280" s="919"/>
      <c r="BB280" s="919"/>
      <c r="BC280" s="919"/>
      <c r="BD280" s="919"/>
      <c r="BE280" s="919"/>
      <c r="BF280" s="919"/>
      <c r="BG280" s="919"/>
      <c r="BH280" s="919"/>
      <c r="BI280" s="919"/>
      <c r="BJ280" s="919"/>
      <c r="BK280" s="919"/>
      <c r="BL280" s="919"/>
      <c r="BM280" s="919"/>
      <c r="BN280" s="499"/>
      <c r="BO280" s="499"/>
      <c r="BP280" s="499"/>
      <c r="BQ280" s="1256"/>
      <c r="BR280" s="1256"/>
      <c r="BS280" s="1041"/>
      <c r="BT280" s="1041"/>
      <c r="BU280" s="1041"/>
      <c r="BV280" s="956"/>
      <c r="BW280" s="956"/>
    </row>
    <row s="1624" customFormat="1" customHeight="1" ht="21.75">
      <c r="A281" s="1256"/>
      <c r="B281" s="955"/>
      <c r="C281" s="1256"/>
      <c r="D281" s="73" cm="1" t="str">
        <f t="array" ref="D281:D281">D280</f>
        <v>7</v>
      </c>
      <c r="E281" s="679">
        <v>22.5</v>
      </c>
      <c r="F281" s="50" cm="1" t="str">
        <f t="array" ref="F281:F281">OFFSET(E281,-1,1)</f>
        <v>1</v>
      </c>
      <c r="G281" s="124" t="s">
        <v>364</v>
      </c>
      <c r="H281" s="1256"/>
      <c r="I281" s="124" t="s">
        <v>488</v>
      </c>
      <c r="J281" s="1256"/>
      <c r="K281" s="124" t="s">
        <v>488</v>
      </c>
      <c r="L281" s="957"/>
      <c r="M281" s="73"/>
      <c r="N281" s="1256"/>
      <c r="O281" s="1256"/>
      <c r="P281" s="1256"/>
      <c r="Q281" s="1256"/>
      <c r="R281" s="1256"/>
      <c r="S281" s="1256"/>
      <c r="T281" s="438" cm="1" t="str">
        <f t="array" ref="T281:T281">T280</f>
        <v>true</v>
      </c>
      <c r="U281" s="1256"/>
      <c r="V281" s="1256"/>
      <c r="W281" s="1256"/>
      <c r="X281" s="1511"/>
      <c r="Y281" s="1256"/>
      <c r="Z281" s="1494"/>
      <c r="AA281" s="1256"/>
      <c r="AB281" s="266" t="str">
        <f>D281&amp;".1"</f>
        <v>7.1</v>
      </c>
      <c r="AC281" s="738" t="s">
        <v>2019</v>
      </c>
      <c r="AD281" s="266" t="s">
        <v>789</v>
      </c>
      <c r="AE281" s="3701"/>
      <c r="AF281" s="3701"/>
      <c r="AG281" s="3701"/>
      <c r="AH281" s="920">
        <f>AG281-AF281</f>
        <v>0</v>
      </c>
      <c r="AI281" s="3707"/>
      <c r="AJ281" s="3707">
        <f>_xlfn.SUMIFS('Корректировка НВВ'!$AF$25:$AF$129,'Корректировка НВВ'!$F$25:$F$129,$F281,'Корректировка НВВ'!$I$25:$I$129,$G281)</f>
        <v>0</v>
      </c>
      <c r="AK281" s="3707"/>
      <c r="AL281" s="3707"/>
      <c r="AM281" s="3707"/>
      <c r="AN281" s="3707"/>
      <c r="AO281" s="3707"/>
      <c r="AP281" s="3707"/>
      <c r="AQ281" s="3707"/>
      <c r="AR281" s="3707"/>
      <c r="AS281" s="3707"/>
      <c r="AT281" s="3707">
        <f>_xlfn.SUMIFS('Корректировка НВВ'!$AG$25:$AG$129,'Корректировка НВВ'!$F$25:$F$129,$F281,'Корректировка НВВ'!$I$25:$I$129,$G281)</f>
        <v>0</v>
      </c>
      <c r="AU281" s="3707"/>
      <c r="AV281" s="3707"/>
      <c r="AW281" s="3707"/>
      <c r="AX281" s="3707"/>
      <c r="AY281" s="3707"/>
      <c r="AZ281" s="3707"/>
      <c r="BA281" s="3707"/>
      <c r="BB281" s="3707"/>
      <c r="BC281" s="3707"/>
      <c r="BD281" s="919"/>
      <c r="BE281" s="919"/>
      <c r="BF281" s="919"/>
      <c r="BG281" s="919"/>
      <c r="BH281" s="919"/>
      <c r="BI281" s="919"/>
      <c r="BJ281" s="919"/>
      <c r="BK281" s="919"/>
      <c r="BL281" s="919"/>
      <c r="BM281" s="919"/>
      <c r="BN281" s="3771"/>
      <c r="BO281" s="3725" t="str">
        <f>IF(_xlfn.IFERROR(INDEX('Корректировка НВВ'!$K$26:$L$129,MATCH($F281&amp;"1komm",'Корректировка НВВ'!$K$26:$K$129,0),2),"")=0,"",_xlfn.IFERROR(INDEX('Корректировка НВВ'!$K$26:$L$129,MATCH($F281&amp;"1komm",'Корректировка НВВ'!$K$26:$K$129,0),2),""))</f>
        <v/>
      </c>
      <c r="BP281" s="3771"/>
      <c r="BQ281" s="1256"/>
      <c r="BR281" s="1256"/>
      <c r="BS281" s="1041" t="s">
        <v>2020</v>
      </c>
      <c r="BT281" s="1041"/>
      <c r="BU281" s="1041"/>
      <c r="BV281" s="956"/>
      <c r="BW281" s="956"/>
    </row>
    <row s="1624" customFormat="1" customHeight="1" ht="98.25">
      <c r="A282" s="1256"/>
      <c r="B282" s="955"/>
      <c r="C282" s="1256"/>
      <c r="D282" s="73" cm="1" t="str">
        <f t="array" ref="D282:D282">D281</f>
        <v>7</v>
      </c>
      <c r="E282" s="679">
        <v>101.25</v>
      </c>
      <c r="F282" s="50" cm="1" t="str">
        <f t="array" ref="F282:F282">OFFSET(E282,-1,1)</f>
        <v>1</v>
      </c>
      <c r="G282" s="124" t="s">
        <v>2021</v>
      </c>
      <c r="H282" s="1256"/>
      <c r="I282" s="124" t="s">
        <v>535</v>
      </c>
      <c r="J282" s="1256"/>
      <c r="K282" s="124" t="s">
        <v>535</v>
      </c>
      <c r="L282" s="957"/>
      <c r="M282" s="73"/>
      <c r="N282" s="1256"/>
      <c r="O282" s="1256"/>
      <c r="P282" s="1256"/>
      <c r="Q282" s="1256"/>
      <c r="R282" s="1256"/>
      <c r="S282" s="1256"/>
      <c r="T282" s="438" cm="1" t="str">
        <f t="array" ref="T282:T282">T281</f>
        <v>true</v>
      </c>
      <c r="U282" s="1256"/>
      <c r="V282" s="1256"/>
      <c r="W282" s="1256"/>
      <c r="X282" s="1511"/>
      <c r="Y282" s="1256"/>
      <c r="Z282" s="1494"/>
      <c r="AA282" s="1256"/>
      <c r="AB282" s="266" t="str">
        <f>D282&amp;".2"</f>
        <v>7.2</v>
      </c>
      <c r="AC282" s="738" t="s">
        <v>2022</v>
      </c>
      <c r="AD282" s="266" t="s">
        <v>789</v>
      </c>
      <c r="AE282" s="3701"/>
      <c r="AF282" s="3701"/>
      <c r="AG282" s="3701"/>
      <c r="AH282" s="920">
        <f>AG282-AF282</f>
        <v>0</v>
      </c>
      <c r="AI282" s="3707"/>
      <c r="AJ282" s="3707">
        <f>_xlfn.SUMIFS('Корректировка НВВ'!$AF$25:$AF$129,'Корректировка НВВ'!$F$25:$F$129,$F282,'Корректировка НВВ'!$I$25:$I$129,$G282)</f>
        <v>0</v>
      </c>
      <c r="AK282" s="3707"/>
      <c r="AL282" s="3707"/>
      <c r="AM282" s="3707"/>
      <c r="AN282" s="3707"/>
      <c r="AO282" s="3707"/>
      <c r="AP282" s="3707"/>
      <c r="AQ282" s="3707"/>
      <c r="AR282" s="3707"/>
      <c r="AS282" s="3707"/>
      <c r="AT282" s="3707">
        <f>_xlfn.SUMIFS('Корректировка НВВ'!$AG$25:$AG$129,'Корректировка НВВ'!$F$25:$F$129,$F282,'Корректировка НВВ'!$I$25:$I$129,$G282)</f>
        <v>0</v>
      </c>
      <c r="AU282" s="3707"/>
      <c r="AV282" s="3707"/>
      <c r="AW282" s="3707"/>
      <c r="AX282" s="3707"/>
      <c r="AY282" s="3707"/>
      <c r="AZ282" s="3707"/>
      <c r="BA282" s="3707"/>
      <c r="BB282" s="3707"/>
      <c r="BC282" s="3707"/>
      <c r="BD282" s="919"/>
      <c r="BE282" s="919"/>
      <c r="BF282" s="919"/>
      <c r="BG282" s="919"/>
      <c r="BH282" s="919"/>
      <c r="BI282" s="919"/>
      <c r="BJ282" s="919"/>
      <c r="BK282" s="919"/>
      <c r="BL282" s="919"/>
      <c r="BM282" s="919"/>
      <c r="BN282" s="3771"/>
      <c r="BO282" s="3725" t="str">
        <f>IF(_xlfn.IFERROR(INDEX('Корректировка НВВ'!$K$26:$L$129,MATCH($F282&amp;"2komm",'Корректировка НВВ'!$K$26:$K$129,0),2),"")=0,"",_xlfn.IFERROR(INDEX('Корректировка НВВ'!$K$26:$L$129,MATCH($F282&amp;"2komm",'Корректировка НВВ'!$K$26:$K$129,0),2),""))</f>
        <v/>
      </c>
      <c r="BP282" s="3771"/>
      <c r="BQ282" s="1256"/>
      <c r="BR282" s="1256"/>
      <c r="BS282" s="1041" t="s">
        <v>2023</v>
      </c>
      <c r="BT282" s="1041"/>
      <c r="BU282" s="1041"/>
      <c r="BV282" s="956"/>
      <c r="BW282" s="956"/>
    </row>
    <row s="1624" customFormat="1" customHeight="1" ht="43.5">
      <c r="A283" s="1256"/>
      <c r="B283" s="955"/>
      <c r="C283" s="1256"/>
      <c r="D283" s="73" cm="1" t="str">
        <f t="array" ref="D283:D283">D282</f>
        <v>7</v>
      </c>
      <c r="E283" s="679">
        <v>45</v>
      </c>
      <c r="F283" s="50" cm="1" t="str">
        <f t="array" ref="F283:F283">OFFSET(E283,-1,1)</f>
        <v>1</v>
      </c>
      <c r="G283" s="1256"/>
      <c r="H283" s="1256"/>
      <c r="I283" s="124" t="s">
        <v>550</v>
      </c>
      <c r="J283" s="1256"/>
      <c r="K283" s="124" t="s">
        <v>550</v>
      </c>
      <c r="L283" s="957"/>
      <c r="M283" s="73"/>
      <c r="N283" s="1256"/>
      <c r="O283" s="1256"/>
      <c r="P283" s="1256"/>
      <c r="Q283" s="1256"/>
      <c r="R283" s="1256"/>
      <c r="S283" s="1256"/>
      <c r="T283" s="438" cm="1" t="str">
        <f t="array" ref="T283:T283">T282</f>
        <v>true</v>
      </c>
      <c r="U283" s="1256"/>
      <c r="V283" s="1256"/>
      <c r="W283" s="1256"/>
      <c r="X283" s="1511"/>
      <c r="Y283" s="1256"/>
      <c r="Z283" s="1494"/>
      <c r="AA283" s="1256"/>
      <c r="AB283" s="266" t="str">
        <f>D283&amp;".3"</f>
        <v>7.3</v>
      </c>
      <c r="AC283" s="738" t="s">
        <v>2024</v>
      </c>
      <c r="AD283" s="266" t="s">
        <v>789</v>
      </c>
      <c r="AE283" s="3701"/>
      <c r="AF283" s="3701"/>
      <c r="AG283" s="3701"/>
      <c r="AH283" s="920">
        <f>AG283-AF283</f>
        <v>0</v>
      </c>
      <c r="AI283" s="3707"/>
      <c r="AJ283" s="3707">
        <f>_xlfn.SUMIFS('Корректировка НВВ'!$AF$25:$AF$129,'Корректировка НВВ'!$F$25:$F$129,$F283,'Корректировка НВВ'!$I$25:$I$129,"L1")+_xlfn.SUMIFS('Корректировка НВВ'!$AF$25:$AF$129,'Корректировка НВВ'!$F$25:$F$129,$F283,'Корректировка НВВ'!$I$25:$I$129,"L2")</f>
        <v>0</v>
      </c>
      <c r="AK283" s="3707"/>
      <c r="AL283" s="3707"/>
      <c r="AM283" s="3707"/>
      <c r="AN283" s="3707"/>
      <c r="AO283" s="3707"/>
      <c r="AP283" s="3707"/>
      <c r="AQ283" s="3707"/>
      <c r="AR283" s="3707"/>
      <c r="AS283" s="3707"/>
      <c r="AT283" s="3707">
        <f>_xlfn.SUMIFS('Корректировка НВВ'!$AG$25:$AG$129,'Корректировка НВВ'!$F$25:$F$129,$F283,'Корректировка НВВ'!$I$25:$I$129,"L1")+_xlfn.SUMIFS('Корректировка НВВ'!$AF$25:$AF$129,'Корректировка НВВ'!$F$25:$F$129,$F283,'Корректировка НВВ'!$I$25:$I$129,"L2")</f>
        <v>0</v>
      </c>
      <c r="AU283" s="3707"/>
      <c r="AV283" s="3707"/>
      <c r="AW283" s="3707"/>
      <c r="AX283" s="3707"/>
      <c r="AY283" s="3707"/>
      <c r="AZ283" s="3707"/>
      <c r="BA283" s="3707"/>
      <c r="BB283" s="3707"/>
      <c r="BC283" s="3707"/>
      <c r="BD283" s="919"/>
      <c r="BE283" s="919"/>
      <c r="BF283" s="919"/>
      <c r="BG283" s="919"/>
      <c r="BH283" s="919"/>
      <c r="BI283" s="919"/>
      <c r="BJ283" s="919"/>
      <c r="BK283" s="919"/>
      <c r="BL283" s="919"/>
      <c r="BM283" s="919"/>
      <c r="BN283" s="3771"/>
      <c r="BO283" s="3725"/>
      <c r="BP283" s="3771"/>
      <c r="BQ283" s="1256"/>
      <c r="BR283" s="1256"/>
      <c r="BS283" s="1041" t="s">
        <v>2025</v>
      </c>
      <c r="BT283" s="1041"/>
      <c r="BU283" s="1041"/>
      <c r="BV283" s="956"/>
      <c r="BW283" s="956"/>
    </row>
    <row s="1624" customFormat="1" customHeight="1" ht="87.75">
      <c r="A284" s="1256"/>
      <c r="B284" s="417">
        <f>S171="Водоотведение"</f>
        <v>1</v>
      </c>
      <c r="C284" s="1256"/>
      <c r="D284" s="73" cm="1" t="str">
        <f t="array" ref="D284:D284">D283</f>
        <v>7</v>
      </c>
      <c r="E284" s="679">
        <v>90</v>
      </c>
      <c r="F284" s="50" cm="1" t="str">
        <f t="array" ref="F284:F284">OFFSET(E284,-1,1)</f>
        <v>1</v>
      </c>
      <c r="G284" s="124" t="s">
        <v>2026</v>
      </c>
      <c r="H284" s="49"/>
      <c r="I284" s="124" t="s">
        <v>719</v>
      </c>
      <c r="J284" s="1256"/>
      <c r="K284" s="124" t="s">
        <v>719</v>
      </c>
      <c r="L284" s="957" t="s">
        <v>716</v>
      </c>
      <c r="M284" s="73"/>
      <c r="N284" s="1256"/>
      <c r="O284" s="1256"/>
      <c r="P284" s="1256"/>
      <c r="Q284" s="1256"/>
      <c r="R284" s="1256"/>
      <c r="S284" s="1256"/>
      <c r="T284" s="438" cm="1" t="str">
        <f t="array" ref="T284:T284">T283</f>
        <v>true</v>
      </c>
      <c r="U284" s="1256"/>
      <c r="V284" s="1256"/>
      <c r="W284" s="1256"/>
      <c r="X284" s="1511"/>
      <c r="Y284" s="1256"/>
      <c r="Z284" s="1494"/>
      <c r="AA284" s="1256"/>
      <c r="AB284" s="266" t="str">
        <f>D284&amp;".4"</f>
        <v>7.4</v>
      </c>
      <c r="AC284" s="738" t="s">
        <v>1687</v>
      </c>
      <c r="AD284" s="742" t="s">
        <v>789</v>
      </c>
      <c r="AE284" s="3701"/>
      <c r="AF284" s="3701"/>
      <c r="AG284" s="3701"/>
      <c r="AH284" s="920">
        <f>AG284-AF284</f>
        <v>0</v>
      </c>
      <c r="AI284" s="3707"/>
      <c r="AJ284" s="3707">
        <f>_xlfn.SUMIFS('Корректировка НВВ'!$AF$25:$AF$129,'Корректировка НВВ'!$F$25:$F$129,$F284,'Корректировка НВВ'!$I$25:$I$129,$G284)</f>
        <v>0</v>
      </c>
      <c r="AK284" s="3707"/>
      <c r="AL284" s="3707"/>
      <c r="AM284" s="3707"/>
      <c r="AN284" s="3707"/>
      <c r="AO284" s="3707"/>
      <c r="AP284" s="3707"/>
      <c r="AQ284" s="3707"/>
      <c r="AR284" s="3707"/>
      <c r="AS284" s="3707"/>
      <c r="AT284" s="3707">
        <f>_xlfn.SUMIFS('Корректировка НВВ'!$AG$25:$AG$129,'Корректировка НВВ'!$F$25:$F$129,$F284,'Корректировка НВВ'!$I$25:$I$129,$G284)</f>
        <v>0</v>
      </c>
      <c r="AU284" s="3707"/>
      <c r="AV284" s="3707"/>
      <c r="AW284" s="3707"/>
      <c r="AX284" s="3707"/>
      <c r="AY284" s="3707"/>
      <c r="AZ284" s="3707"/>
      <c r="BA284" s="3707"/>
      <c r="BB284" s="3707"/>
      <c r="BC284" s="3707"/>
      <c r="BD284" s="919"/>
      <c r="BE284" s="919"/>
      <c r="BF284" s="919"/>
      <c r="BG284" s="919"/>
      <c r="BH284" s="919"/>
      <c r="BI284" s="919"/>
      <c r="BJ284" s="919"/>
      <c r="BK284" s="919"/>
      <c r="BL284" s="919"/>
      <c r="BM284" s="919"/>
      <c r="BN284" s="3771"/>
      <c r="BO284" s="3725" t="str">
        <f>IF(_xlfn.IFERROR(INDEX('Корректировка НВВ'!$K$26:$L$129,MATCH($F284&amp;"3komm",'Корректировка НВВ'!$K$26:$K$129,0),2),"")=0,"",_xlfn.IFERROR(INDEX('Корректировка НВВ'!$K$26:$L$129,MATCH($F284&amp;"3komm",'Корректировка НВВ'!$K$26:$K$129,0),2),""))</f>
        <v/>
      </c>
      <c r="BP284" s="3771"/>
      <c r="BQ284" s="1256"/>
      <c r="BR284" s="1256"/>
      <c r="BS284" s="1041" t="s">
        <v>1238</v>
      </c>
      <c r="BT284" s="1041"/>
      <c r="BU284" s="1041"/>
      <c r="BV284" s="956"/>
      <c r="BW284" s="956"/>
    </row>
    <row s="1624" customFormat="1" customHeight="1" ht="54.75">
      <c r="A285" s="1256"/>
      <c r="B285" s="417" cm="1" t="str">
        <f t="array" ref="B285:B285">B284</f>
        <v>true</v>
      </c>
      <c r="C285" s="1256"/>
      <c r="D285" s="73" cm="1" t="str">
        <f t="array" ref="D285:D285">D284</f>
        <v>7</v>
      </c>
      <c r="E285" s="679">
        <v>56.25</v>
      </c>
      <c r="F285" s="50" cm="1" t="str">
        <f t="array" ref="F285:F285">OFFSET(E285,-1,1)</f>
        <v>1</v>
      </c>
      <c r="G285" s="124" t="s">
        <v>2027</v>
      </c>
      <c r="H285" s="49"/>
      <c r="I285" s="124" t="s">
        <v>754</v>
      </c>
      <c r="J285" s="1256"/>
      <c r="K285" s="124" t="s">
        <v>754</v>
      </c>
      <c r="L285" s="957" t="s">
        <v>719</v>
      </c>
      <c r="M285" s="73"/>
      <c r="N285" s="1256"/>
      <c r="O285" s="1256"/>
      <c r="P285" s="1256"/>
      <c r="Q285" s="1256"/>
      <c r="R285" s="1256"/>
      <c r="S285" s="1256"/>
      <c r="T285" s="438" cm="1" t="str">
        <f t="array" ref="T285:T285">T284</f>
        <v>true</v>
      </c>
      <c r="U285" s="1256"/>
      <c r="V285" s="1256"/>
      <c r="W285" s="1256"/>
      <c r="X285" s="1511"/>
      <c r="Y285" s="1256"/>
      <c r="Z285" s="1494"/>
      <c r="AA285" s="1256"/>
      <c r="AB285" s="266" t="str">
        <f>D285&amp;".5"</f>
        <v>7.5</v>
      </c>
      <c r="AC285" s="738" t="s">
        <v>1689</v>
      </c>
      <c r="AD285" s="742" t="s">
        <v>789</v>
      </c>
      <c r="AE285" s="3701"/>
      <c r="AF285" s="3701"/>
      <c r="AG285" s="3701"/>
      <c r="AH285" s="920">
        <f>AG285-AF285</f>
        <v>0</v>
      </c>
      <c r="AI285" s="3707"/>
      <c r="AJ285" s="3707">
        <f>_xlfn.SUMIFS('Корректировка НВВ'!$AF$25:$AF$129,'Корректировка НВВ'!$F$25:$F$129,$F285,'Корректировка НВВ'!$I$25:$I$129,$G285)</f>
        <v>0</v>
      </c>
      <c r="AK285" s="3707"/>
      <c r="AL285" s="3707"/>
      <c r="AM285" s="3707"/>
      <c r="AN285" s="3707"/>
      <c r="AO285" s="3707"/>
      <c r="AP285" s="3707"/>
      <c r="AQ285" s="3707"/>
      <c r="AR285" s="3707"/>
      <c r="AS285" s="3707"/>
      <c r="AT285" s="3707">
        <f>_xlfn.SUMIFS('Корректировка НВВ'!$AG$25:$AG$129,'Корректировка НВВ'!$F$25:$F$129,$F285,'Корректировка НВВ'!$I$25:$I$129,$G285)</f>
        <v>0</v>
      </c>
      <c r="AU285" s="3707"/>
      <c r="AV285" s="3707"/>
      <c r="AW285" s="3707"/>
      <c r="AX285" s="3707"/>
      <c r="AY285" s="3707"/>
      <c r="AZ285" s="3707"/>
      <c r="BA285" s="3707"/>
      <c r="BB285" s="3707"/>
      <c r="BC285" s="3707"/>
      <c r="BD285" s="919"/>
      <c r="BE285" s="919"/>
      <c r="BF285" s="919"/>
      <c r="BG285" s="919"/>
      <c r="BH285" s="919"/>
      <c r="BI285" s="919"/>
      <c r="BJ285" s="919"/>
      <c r="BK285" s="919"/>
      <c r="BL285" s="919"/>
      <c r="BM285" s="919"/>
      <c r="BN285" s="3771"/>
      <c r="BO285" s="3725" t="str">
        <f>IF(_xlfn.IFERROR(INDEX('Корректировка НВВ'!$K$26:$L$129,MATCH($F285&amp;"4komm",'Корректировка НВВ'!$K$26:$K$129,0),2),"")=0,"",_xlfn.IFERROR(INDEX('Корректировка НВВ'!$K$26:$L$129,MATCH($F285&amp;"4komm",'Корректировка НВВ'!$K$26:$K$129,0),2),""))</f>
        <v/>
      </c>
      <c r="BP285" s="3771"/>
      <c r="BQ285" s="1256"/>
      <c r="BR285" s="1256"/>
      <c r="BS285" s="1041" t="s">
        <v>1242</v>
      </c>
      <c r="BT285" s="1041"/>
      <c r="BU285" s="1041"/>
      <c r="BV285" s="956"/>
      <c r="BW285" s="956"/>
    </row>
    <row s="1624" customFormat="1" customHeight="1" ht="14.25">
      <c r="A286" s="1256"/>
      <c r="B286" s="955"/>
      <c r="C286" s="1256"/>
      <c r="D286" s="73" cm="1" t="str">
        <f t="array" ref="D286:D286">D285</f>
        <v>7</v>
      </c>
      <c r="E286" s="679">
        <v>15</v>
      </c>
      <c r="F286" s="50" cm="1" t="str">
        <f t="array" ref="F286:F286">OFFSET(E286,-1,1)</f>
        <v>1</v>
      </c>
      <c r="G286" s="124" t="s">
        <v>2028</v>
      </c>
      <c r="H286" s="1256"/>
      <c r="I286" s="124" t="s">
        <v>755</v>
      </c>
      <c r="J286" s="1256"/>
      <c r="K286" s="124" t="s">
        <v>755</v>
      </c>
      <c r="L286" s="957" t="s">
        <v>754</v>
      </c>
      <c r="M286" s="73"/>
      <c r="N286" s="1256"/>
      <c r="O286" s="1256"/>
      <c r="P286" s="1256"/>
      <c r="Q286" s="1256"/>
      <c r="R286" s="1256"/>
      <c r="S286" s="1256"/>
      <c r="T286" s="438" cm="1" t="str">
        <f t="array" ref="T286:T286">T285</f>
        <v>true</v>
      </c>
      <c r="U286" s="1256"/>
      <c r="V286" s="1256"/>
      <c r="W286" s="1256"/>
      <c r="X286" s="1511"/>
      <c r="Y286" s="1256"/>
      <c r="Z286" s="1494"/>
      <c r="AA286" s="1256"/>
      <c r="AB286" s="266" t="str">
        <f>IF(B285,D286&amp;".6",D286&amp;".4")</f>
        <v>7.6</v>
      </c>
      <c r="AC286" s="738" t="s">
        <v>1455</v>
      </c>
      <c r="AD286" s="266" t="s">
        <v>789</v>
      </c>
      <c r="AE286" s="3701"/>
      <c r="AF286" s="3701"/>
      <c r="AG286" s="3701"/>
      <c r="AH286" s="920">
        <f>AG286-AF286</f>
        <v>0</v>
      </c>
      <c r="AI286" s="3707"/>
      <c r="AJ286" s="3707">
        <f>_xlfn.SUMIFS('Корректировка НВВ'!$AF$25:$AF$129,'Корректировка НВВ'!$F$25:$F$129,$F286,'Корректировка НВВ'!$I$25:$I$129,$G286)</f>
        <v>0</v>
      </c>
      <c r="AK286" s="3707"/>
      <c r="AL286" s="3707"/>
      <c r="AM286" s="3707"/>
      <c r="AN286" s="3707"/>
      <c r="AO286" s="3707"/>
      <c r="AP286" s="3707"/>
      <c r="AQ286" s="3707"/>
      <c r="AR286" s="3707"/>
      <c r="AS286" s="3707"/>
      <c r="AT286" s="3707">
        <f>_xlfn.SUMIFS('Корректировка НВВ'!$AG$25:$AG$129,'Корректировка НВВ'!$F$25:$F$129,$F286,'Корректировка НВВ'!$I$25:$I$129,$G286)</f>
        <v>0</v>
      </c>
      <c r="AU286" s="3707"/>
      <c r="AV286" s="3707"/>
      <c r="AW286" s="3707"/>
      <c r="AX286" s="3707"/>
      <c r="AY286" s="3707"/>
      <c r="AZ286" s="3707"/>
      <c r="BA286" s="3707"/>
      <c r="BB286" s="3707"/>
      <c r="BC286" s="3707"/>
      <c r="BD286" s="919"/>
      <c r="BE286" s="919"/>
      <c r="BF286" s="919"/>
      <c r="BG286" s="919"/>
      <c r="BH286" s="919"/>
      <c r="BI286" s="919"/>
      <c r="BJ286" s="919"/>
      <c r="BK286" s="919"/>
      <c r="BL286" s="919"/>
      <c r="BM286" s="919"/>
      <c r="BN286" s="3771"/>
      <c r="BO286" s="3725" t="str">
        <f>IF(_xlfn.IFERROR(INDEX('Корректировка НВВ'!$K$26:$L$129,MATCH($F286&amp;"5komm",'Корректировка НВВ'!$K$26:$K$129,0),2),"")=0,"",_xlfn.IFERROR(INDEX('Корректировка НВВ'!$K$26:$L$129,MATCH($F286&amp;"5komm",'Корректировка НВВ'!$K$26:$K$129,0),2),""))</f>
        <v/>
      </c>
      <c r="BP286" s="3771"/>
      <c r="BQ286" s="1256"/>
      <c r="BR286" s="1256"/>
      <c r="BS286" s="1041" t="s">
        <v>2029</v>
      </c>
      <c r="BT286" s="1041"/>
      <c r="BU286" s="1041"/>
      <c r="BV286" s="956"/>
      <c r="BW286" s="956"/>
    </row>
    <row s="1624" customFormat="1" customHeight="1" ht="14.25">
      <c r="A287" s="1256"/>
      <c r="B287" s="955"/>
      <c r="C287" s="1256"/>
      <c r="D287" s="73" cm="1" t="str">
        <f t="array" ref="D287:D287">D286</f>
        <v>7</v>
      </c>
      <c r="E287" s="679">
        <v>15</v>
      </c>
      <c r="F287" s="50" cm="1" t="str">
        <f t="array" ref="F287:F287">OFFSET(E287,-1,1)</f>
        <v>1</v>
      </c>
      <c r="G287" s="124" t="s">
        <v>2030</v>
      </c>
      <c r="H287" s="1256"/>
      <c r="I287" s="124" t="s">
        <v>1699</v>
      </c>
      <c r="J287" s="1256"/>
      <c r="K287" s="124" t="s">
        <v>1699</v>
      </c>
      <c r="L287" s="957" t="s">
        <v>755</v>
      </c>
      <c r="M287" s="73"/>
      <c r="N287" s="1256"/>
      <c r="O287" s="1256"/>
      <c r="P287" s="1256"/>
      <c r="Q287" s="1256"/>
      <c r="R287" s="1256"/>
      <c r="S287" s="1256"/>
      <c r="T287" s="438" cm="1" t="str">
        <f t="array" ref="T287:T287">T286</f>
        <v>true</v>
      </c>
      <c r="U287" s="1256"/>
      <c r="V287" s="1256"/>
      <c r="W287" s="1256"/>
      <c r="X287" s="1511"/>
      <c r="Y287" s="1256"/>
      <c r="Z287" s="1494"/>
      <c r="AA287" s="1256"/>
      <c r="AB287" s="266" t="str">
        <f>IF(B285,D286&amp;".7",D286&amp;".5")</f>
        <v>7.7</v>
      </c>
      <c r="AC287" s="738" t="s">
        <v>1417</v>
      </c>
      <c r="AD287" s="266" t="s">
        <v>789</v>
      </c>
      <c r="AE287" s="3701">
        <f>AE288+AE289</f>
        <v>0</v>
      </c>
      <c r="AF287" s="3701">
        <f>AF288+AF289</f>
        <v>0</v>
      </c>
      <c r="AG287" s="3701">
        <f>AG288+AG289</f>
        <v>0</v>
      </c>
      <c r="AH287" s="920">
        <f>AG287-AF287</f>
        <v>0</v>
      </c>
      <c r="AI287" s="3707">
        <f>AI288+AI289</f>
        <v>0</v>
      </c>
      <c r="AJ287" s="3707">
        <f>_xlfn.SUMIFS('Корректировка НВВ'!$AF$25:$AF$129,'Корректировка НВВ'!$F$25:$F$129,$F287,'Корректировка НВВ'!$I$25:$I$129,$G287)</f>
        <v>0</v>
      </c>
      <c r="AK287" s="3707">
        <f>AK288+AK289</f>
        <v>0</v>
      </c>
      <c r="AL287" s="3707">
        <f>AL288+AL289</f>
        <v>0</v>
      </c>
      <c r="AM287" s="3707">
        <f>AM288+AM289</f>
        <v>0</v>
      </c>
      <c r="AN287" s="3707">
        <f>AN288+AN289</f>
        <v>0</v>
      </c>
      <c r="AO287" s="3707">
        <f>AO288+AO289</f>
        <v>0</v>
      </c>
      <c r="AP287" s="3707">
        <f>AP288+AP289</f>
        <v>0</v>
      </c>
      <c r="AQ287" s="3707">
        <f>AQ288+AQ289</f>
        <v>0</v>
      </c>
      <c r="AR287" s="3707">
        <f>AR288+AR289</f>
        <v>0</v>
      </c>
      <c r="AS287" s="3707">
        <f>AS288+AS289</f>
        <v>0</v>
      </c>
      <c r="AT287" s="3707">
        <f>_xlfn.SUMIFS('Корректировка НВВ'!$AG$25:$AG$129,'Корректировка НВВ'!$F$25:$F$129,$F287,'Корректировка НВВ'!$I$25:$I$129,$G287)</f>
        <v>0</v>
      </c>
      <c r="AU287" s="3707">
        <f>AU288+AU289</f>
        <v>0</v>
      </c>
      <c r="AV287" s="3707">
        <f>AV288+AV289</f>
        <v>0</v>
      </c>
      <c r="AW287" s="3707">
        <f>AW288+AW289</f>
        <v>0</v>
      </c>
      <c r="AX287" s="3707">
        <f>AX288+AX289</f>
        <v>0</v>
      </c>
      <c r="AY287" s="3707">
        <f>AY288+AY289</f>
        <v>0</v>
      </c>
      <c r="AZ287" s="3707">
        <f>AZ288+AZ289</f>
        <v>0</v>
      </c>
      <c r="BA287" s="3707">
        <f>BA288+BA289</f>
        <v>0</v>
      </c>
      <c r="BB287" s="3707">
        <f>BB288+BB289</f>
        <v>0</v>
      </c>
      <c r="BC287" s="3707">
        <f>BC288+BC289</f>
        <v>0</v>
      </c>
      <c r="BD287" s="920">
        <f>IF(AI287=0,0,(AT287-AI287)/AI287*100)</f>
        <v>0</v>
      </c>
      <c r="BE287" s="920">
        <f>IF(AT287=0,0,(AU287-AT287)/AT287*100)</f>
        <v>0</v>
      </c>
      <c r="BF287" s="920">
        <f>IF(AU287=0,0,(AV287-AU287)/AU287*100)</f>
        <v>0</v>
      </c>
      <c r="BG287" s="920">
        <f>IF(AV287=0,0,(AW287-AV287)/AV287*100)</f>
        <v>0</v>
      </c>
      <c r="BH287" s="920">
        <f>IF(AW287=0,0,(AX287-AW287)/AW287*100)</f>
        <v>0</v>
      </c>
      <c r="BI287" s="920">
        <f>IF(AX287=0,0,(AY287-AX287)/AX287*100)</f>
        <v>0</v>
      </c>
      <c r="BJ287" s="920">
        <f>IF(AY287=0,0,(AZ287-AY287)/AY287*100)</f>
        <v>0</v>
      </c>
      <c r="BK287" s="920">
        <f>IF(AZ287=0,0,(BA287-AZ287)/AZ287*100)</f>
        <v>0</v>
      </c>
      <c r="BL287" s="920">
        <f>IF(BA287=0,0,(BB287-BA287)/BA287*100)</f>
        <v>0</v>
      </c>
      <c r="BM287" s="920">
        <f>IF(BB287=0,0,(BC287-BB287)/BB287*100)</f>
        <v>0</v>
      </c>
      <c r="BN287" s="3771"/>
      <c r="BO287" s="3725" t="str">
        <f>IF(_xlfn.IFERROR(INDEX('Корректировка НВВ'!$K$26:$L$129,MATCH($F287&amp;"6komm",'Корректировка НВВ'!$K$26:$K$129,0),2),"")=0,"",_xlfn.IFERROR(INDEX('Корректировка НВВ'!$K$26:$L$129,MATCH($F287&amp;"6komm",'Корректировка НВВ'!$K$26:$K$129,0),2),""))</f>
        <v/>
      </c>
      <c r="BP287" s="3771"/>
      <c r="BQ287" s="1256"/>
      <c r="BR287" s="1256"/>
      <c r="BS287" s="1041" t="s">
        <v>1419</v>
      </c>
      <c r="BT287" s="1041"/>
      <c r="BU287" s="1041"/>
      <c r="BV287" s="956"/>
      <c r="BW287" s="956"/>
    </row>
    <row s="1624" customFormat="1" customHeight="1" ht="21.75">
      <c r="A288" s="1256"/>
      <c r="B288" s="955"/>
      <c r="C288" s="1256"/>
      <c r="D288" s="73" cm="1" t="str">
        <f t="array" ref="D288:D288">D287</f>
        <v>7</v>
      </c>
      <c r="E288" s="679">
        <v>22.5</v>
      </c>
      <c r="F288" s="50" cm="1" t="str">
        <f t="array" ref="F288:F288">OFFSET(E288,-1,1)</f>
        <v>1</v>
      </c>
      <c r="G288" s="124" t="s">
        <v>2031</v>
      </c>
      <c r="H288" s="1256"/>
      <c r="I288" s="124" t="s">
        <v>2032</v>
      </c>
      <c r="J288" s="1256"/>
      <c r="K288" s="124" t="s">
        <v>2032</v>
      </c>
      <c r="L288" s="957" t="s">
        <v>1694</v>
      </c>
      <c r="M288" s="73"/>
      <c r="N288" s="1256"/>
      <c r="O288" s="1256"/>
      <c r="P288" s="1256"/>
      <c r="Q288" s="1256"/>
      <c r="R288" s="1256"/>
      <c r="S288" s="1256"/>
      <c r="T288" s="438" cm="1" t="str">
        <f t="array" ref="T288:T288">T287</f>
        <v>true</v>
      </c>
      <c r="U288" s="1256"/>
      <c r="V288" s="1256"/>
      <c r="W288" s="1256"/>
      <c r="X288" s="1511"/>
      <c r="Y288" s="1256"/>
      <c r="Z288" s="1494"/>
      <c r="AA288" s="1256"/>
      <c r="AB288" s="266" t="str">
        <f>AB287&amp;".1"</f>
        <v>7.7.1</v>
      </c>
      <c r="AC288" s="757" t="s">
        <v>1420</v>
      </c>
      <c r="AD288" s="266" t="s">
        <v>789</v>
      </c>
      <c r="AE288" s="3701"/>
      <c r="AF288" s="3701"/>
      <c r="AG288" s="3701"/>
      <c r="AH288" s="920">
        <f>AG288-AF288</f>
        <v>0</v>
      </c>
      <c r="AI288" s="3707"/>
      <c r="AJ288" s="3707">
        <f>_xlfn.SUMIFS('Корректировка НВВ'!$AF$25:$AF$129,'Корректировка НВВ'!$F$25:$F$129,$F288,'Корректировка НВВ'!$I$25:$I$129,$G288)</f>
        <v>0</v>
      </c>
      <c r="AK288" s="3707"/>
      <c r="AL288" s="3707"/>
      <c r="AM288" s="3707"/>
      <c r="AN288" s="3707"/>
      <c r="AO288" s="3707"/>
      <c r="AP288" s="3707"/>
      <c r="AQ288" s="3707"/>
      <c r="AR288" s="3707"/>
      <c r="AS288" s="3707"/>
      <c r="AT288" s="3707">
        <f>_xlfn.SUMIFS('Корректировка НВВ'!$AG$25:$AG$129,'Корректировка НВВ'!$F$25:$F$129,$F288,'Корректировка НВВ'!$I$25:$I$129,$G288)</f>
        <v>0</v>
      </c>
      <c r="AU288" s="3707"/>
      <c r="AV288" s="3707"/>
      <c r="AW288" s="3707"/>
      <c r="AX288" s="3707"/>
      <c r="AY288" s="3707"/>
      <c r="AZ288" s="3707"/>
      <c r="BA288" s="3707"/>
      <c r="BB288" s="3707"/>
      <c r="BC288" s="3707"/>
      <c r="BD288" s="919"/>
      <c r="BE288" s="919"/>
      <c r="BF288" s="919"/>
      <c r="BG288" s="919"/>
      <c r="BH288" s="919"/>
      <c r="BI288" s="919"/>
      <c r="BJ288" s="919"/>
      <c r="BK288" s="919"/>
      <c r="BL288" s="919"/>
      <c r="BM288" s="919"/>
      <c r="BN288" s="3771"/>
      <c r="BO288" s="3725" t="str">
        <f>IF(_xlfn.IFERROR(INDEX('Корректировка НВВ'!$K$26:$L$129,MATCH($F288&amp;"7komm",'Корректировка НВВ'!$K$26:$K$129,0),2),"")=0,"",_xlfn.IFERROR(INDEX('Корректировка НВВ'!$K$26:$L$129,MATCH($F288&amp;"7komm",'Корректировка НВВ'!$K$26:$K$129,0),2),""))</f>
        <v/>
      </c>
      <c r="BP288" s="3771"/>
      <c r="BQ288" s="1256"/>
      <c r="BR288" s="1256"/>
      <c r="BS288" s="1041" t="s">
        <v>1421</v>
      </c>
      <c r="BT288" s="1041"/>
      <c r="BU288" s="1041"/>
      <c r="BV288" s="956"/>
      <c r="BW288" s="956"/>
    </row>
    <row s="1624" customFormat="1" customHeight="1" ht="21.75">
      <c r="A289" s="1256"/>
      <c r="B289" s="955"/>
      <c r="C289" s="1256"/>
      <c r="D289" s="73" cm="1" t="str">
        <f t="array" ref="D289:D289">D288</f>
        <v>7</v>
      </c>
      <c r="E289" s="679">
        <v>22.5</v>
      </c>
      <c r="F289" s="50" cm="1" t="str">
        <f t="array" ref="F289:F289">OFFSET(E289,-1,1)</f>
        <v>1</v>
      </c>
      <c r="G289" s="124" t="s">
        <v>2033</v>
      </c>
      <c r="H289" s="1256"/>
      <c r="I289" s="124" t="s">
        <v>2034</v>
      </c>
      <c r="J289" s="1256"/>
      <c r="K289" s="124" t="s">
        <v>2034</v>
      </c>
      <c r="L289" s="957" t="s">
        <v>1696</v>
      </c>
      <c r="M289" s="73"/>
      <c r="N289" s="1256"/>
      <c r="O289" s="1256"/>
      <c r="P289" s="1256"/>
      <c r="Q289" s="1256"/>
      <c r="R289" s="1256"/>
      <c r="S289" s="1256"/>
      <c r="T289" s="438" cm="1" t="str">
        <f t="array" ref="T289:T289">T288</f>
        <v>true</v>
      </c>
      <c r="U289" s="1256"/>
      <c r="V289" s="1256"/>
      <c r="W289" s="1256"/>
      <c r="X289" s="1511"/>
      <c r="Y289" s="1256"/>
      <c r="Z289" s="1494"/>
      <c r="AA289" s="1256"/>
      <c r="AB289" s="266" t="str">
        <f>AB287&amp;".2"</f>
        <v>7.7.2</v>
      </c>
      <c r="AC289" s="757" t="s">
        <v>1422</v>
      </c>
      <c r="AD289" s="266" t="s">
        <v>789</v>
      </c>
      <c r="AE289" s="3701"/>
      <c r="AF289" s="3701"/>
      <c r="AG289" s="3701"/>
      <c r="AH289" s="920">
        <f>AG289-AF289</f>
        <v>0</v>
      </c>
      <c r="AI289" s="3707"/>
      <c r="AJ289" s="3707">
        <f>_xlfn.SUMIFS('Корректировка НВВ'!$AF$25:$AF$129,'Корректировка НВВ'!$F$25:$F$129,$F289,'Корректировка НВВ'!$I$25:$I$129,$G289)</f>
        <v>0</v>
      </c>
      <c r="AK289" s="3707"/>
      <c r="AL289" s="3707"/>
      <c r="AM289" s="3707"/>
      <c r="AN289" s="3707"/>
      <c r="AO289" s="3707"/>
      <c r="AP289" s="3707"/>
      <c r="AQ289" s="3707"/>
      <c r="AR289" s="3707"/>
      <c r="AS289" s="3707"/>
      <c r="AT289" s="3707">
        <f>_xlfn.SUMIFS('Корректировка НВВ'!$AG$25:$AG$129,'Корректировка НВВ'!$F$25:$F$129,$F289,'Корректировка НВВ'!$I$25:$I$129,$G289)</f>
        <v>0</v>
      </c>
      <c r="AU289" s="3707"/>
      <c r="AV289" s="3707"/>
      <c r="AW289" s="3707"/>
      <c r="AX289" s="3707"/>
      <c r="AY289" s="3707"/>
      <c r="AZ289" s="3707"/>
      <c r="BA289" s="3707"/>
      <c r="BB289" s="3707"/>
      <c r="BC289" s="3707"/>
      <c r="BD289" s="919"/>
      <c r="BE289" s="919"/>
      <c r="BF289" s="919"/>
      <c r="BG289" s="919"/>
      <c r="BH289" s="919"/>
      <c r="BI289" s="919"/>
      <c r="BJ289" s="919"/>
      <c r="BK289" s="919"/>
      <c r="BL289" s="919"/>
      <c r="BM289" s="919"/>
      <c r="BN289" s="3771"/>
      <c r="BO289" s="3725" t="str">
        <f>IF(_xlfn.IFERROR(INDEX('Корректировка НВВ'!$K$26:$L$129,MATCH($F289&amp;"8komm",'Корректировка НВВ'!$K$26:$K$129,0),2),"")=0,"",_xlfn.IFERROR(INDEX('Корректировка НВВ'!$K$26:$L$129,MATCH($F289&amp;"8komm",'Корректировка НВВ'!$K$26:$K$129,0),2),""))</f>
        <v/>
      </c>
      <c r="BP289" s="3771"/>
      <c r="BQ289" s="1256"/>
      <c r="BR289" s="1256"/>
      <c r="BS289" s="1041" t="s">
        <v>1423</v>
      </c>
      <c r="BT289" s="1041"/>
      <c r="BU289" s="1041"/>
      <c r="BV289" s="956"/>
      <c r="BW289" s="956"/>
    </row>
    <row s="1624" customFormat="1" customHeight="1" ht="14.25">
      <c r="A290" s="1256"/>
      <c r="B290" s="955"/>
      <c r="C290" s="1256"/>
      <c r="D290" s="73" cm="1" t="str">
        <f t="array" ref="D290:D290">D289</f>
        <v>7</v>
      </c>
      <c r="E290" s="679">
        <v>15</v>
      </c>
      <c r="F290" s="50" cm="1" t="str">
        <f t="array" ref="F290:F290">OFFSET(E290,-1,1)</f>
        <v>1</v>
      </c>
      <c r="G290" s="124" t="s">
        <v>308</v>
      </c>
      <c r="H290" s="1256"/>
      <c r="I290" s="124" t="s">
        <v>1700</v>
      </c>
      <c r="J290" s="1256"/>
      <c r="K290" s="124" t="s">
        <v>1700</v>
      </c>
      <c r="L290" s="957" t="s">
        <v>1699</v>
      </c>
      <c r="M290" s="73"/>
      <c r="N290" s="1256"/>
      <c r="O290" s="1256"/>
      <c r="P290" s="1256"/>
      <c r="Q290" s="1256"/>
      <c r="R290" s="1256"/>
      <c r="S290" s="1256"/>
      <c r="T290" s="438" cm="1" t="str">
        <f t="array" ref="T290:T290">T289</f>
        <v>true</v>
      </c>
      <c r="U290" s="1256"/>
      <c r="V290" s="1256"/>
      <c r="W290" s="1256"/>
      <c r="X290" s="1511"/>
      <c r="Y290" s="1256"/>
      <c r="Z290" s="1494"/>
      <c r="AA290" s="1256"/>
      <c r="AB290" s="266" t="str">
        <f>IF(B285,D286&amp;".8",D286&amp;".6")</f>
        <v>7.8</v>
      </c>
      <c r="AC290" s="758" t="s">
        <v>1424</v>
      </c>
      <c r="AD290" s="266" t="s">
        <v>789</v>
      </c>
      <c r="AE290" s="3701"/>
      <c r="AF290" s="3701"/>
      <c r="AG290" s="3701"/>
      <c r="AH290" s="920">
        <f>AG290-AF290</f>
        <v>0</v>
      </c>
      <c r="AI290" s="3707"/>
      <c r="AJ290" s="3707">
        <f>_xlfn.SUMIFS('Корректировка НВВ'!$AF$25:$AF$129,'Корректировка НВВ'!$F$25:$F$129,$F290,'Корректировка НВВ'!$I$25:$I$129,$G290)</f>
        <v>0</v>
      </c>
      <c r="AK290" s="3707"/>
      <c r="AL290" s="3707"/>
      <c r="AM290" s="3707"/>
      <c r="AN290" s="3707"/>
      <c r="AO290" s="3707"/>
      <c r="AP290" s="3707"/>
      <c r="AQ290" s="3707"/>
      <c r="AR290" s="3707"/>
      <c r="AS290" s="3707"/>
      <c r="AT290" s="3707">
        <f>_xlfn.SUMIFS('Корректировка НВВ'!$AG$25:$AG$129,'Корректировка НВВ'!$F$25:$F$129,$F290,'Корректировка НВВ'!$I$25:$I$129,$G290)</f>
        <v>0</v>
      </c>
      <c r="AU290" s="3707"/>
      <c r="AV290" s="3707"/>
      <c r="AW290" s="3707"/>
      <c r="AX290" s="3707"/>
      <c r="AY290" s="3707"/>
      <c r="AZ290" s="3707"/>
      <c r="BA290" s="3707"/>
      <c r="BB290" s="3707"/>
      <c r="BC290" s="3707"/>
      <c r="BD290" s="919"/>
      <c r="BE290" s="919"/>
      <c r="BF290" s="919"/>
      <c r="BG290" s="919"/>
      <c r="BH290" s="919"/>
      <c r="BI290" s="919"/>
      <c r="BJ290" s="919"/>
      <c r="BK290" s="919"/>
      <c r="BL290" s="919"/>
      <c r="BM290" s="919"/>
      <c r="BN290" s="3771"/>
      <c r="BO290" s="3725" t="str">
        <f>IF(_xlfn.IFERROR(INDEX('Корректировка НВВ'!$K$26:$L$129,MATCH($F290&amp;"9komm",'Корректировка НВВ'!$K$26:$K$129,0),2),"")=0,"",_xlfn.IFERROR(INDEX('Корректировка НВВ'!$K$26:$L$129,MATCH($F290&amp;"9komm",'Корректировка НВВ'!$K$26:$K$129,0),2),""))</f>
        <v/>
      </c>
      <c r="BP290" s="3771"/>
      <c r="BQ290" s="1256"/>
      <c r="BR290" s="1256"/>
      <c r="BS290" s="1041" t="s">
        <v>2035</v>
      </c>
      <c r="BT290" s="1041"/>
      <c r="BU290" s="1041"/>
      <c r="BV290" s="956"/>
      <c r="BW290" s="956"/>
    </row>
    <row s="1624" customFormat="1" customHeight="1" ht="14.25">
      <c r="A291" s="1256"/>
      <c r="B291" s="955"/>
      <c r="C291" s="1256"/>
      <c r="D291" s="73" cm="1" t="str">
        <f t="array" ref="D291:D291">D290</f>
        <v>7</v>
      </c>
      <c r="E291" s="679">
        <v>15</v>
      </c>
      <c r="F291" s="50" cm="1" t="str">
        <f t="array" ref="F291:F291">OFFSET(E291,-1,1)</f>
        <v>1</v>
      </c>
      <c r="G291" s="124" t="s">
        <v>2036</v>
      </c>
      <c r="H291" s="1256"/>
      <c r="I291" s="124" t="s">
        <v>1702</v>
      </c>
      <c r="J291" s="1256"/>
      <c r="K291" s="124" t="s">
        <v>1702</v>
      </c>
      <c r="L291" s="957" t="s">
        <v>1700</v>
      </c>
      <c r="M291" s="73"/>
      <c r="N291" s="1256"/>
      <c r="O291" s="1256"/>
      <c r="P291" s="1256"/>
      <c r="Q291" s="1256"/>
      <c r="R291" s="1256"/>
      <c r="S291" s="1256"/>
      <c r="T291" s="438" cm="1" t="str">
        <f t="array" ref="T291:T291">T290</f>
        <v>true</v>
      </c>
      <c r="U291" s="1256"/>
      <c r="V291" s="1256"/>
      <c r="W291" s="1256"/>
      <c r="X291" s="1511"/>
      <c r="Y291" s="1256"/>
      <c r="Z291" s="1494"/>
      <c r="AA291" s="1256"/>
      <c r="AB291" s="266" t="str">
        <f>IF(B285,D286&amp;".9",D286&amp;".7")</f>
        <v>7.9</v>
      </c>
      <c r="AC291" s="758" t="s">
        <v>1426</v>
      </c>
      <c r="AD291" s="266" t="s">
        <v>789</v>
      </c>
      <c r="AE291" s="3701"/>
      <c r="AF291" s="3701"/>
      <c r="AG291" s="3701"/>
      <c r="AH291" s="920">
        <f>AG291-AF291</f>
        <v>0</v>
      </c>
      <c r="AI291" s="3707"/>
      <c r="AJ291" s="3707">
        <f>_xlfn.SUMIFS('Корректировка НВВ'!$AF$25:$AF$129,'Корректировка НВВ'!$F$25:$F$129,$F291,'Корректировка НВВ'!$I$25:$I$129,$G291)</f>
        <v>0</v>
      </c>
      <c r="AK291" s="3707"/>
      <c r="AL291" s="3707"/>
      <c r="AM291" s="3707"/>
      <c r="AN291" s="3707"/>
      <c r="AO291" s="3707"/>
      <c r="AP291" s="3707"/>
      <c r="AQ291" s="3707"/>
      <c r="AR291" s="3707"/>
      <c r="AS291" s="3707"/>
      <c r="AT291" s="3707">
        <f>_xlfn.SUMIFS('Корректировка НВВ'!$AG$25:$AG$129,'Корректировка НВВ'!$F$25:$F$129,$F291,'Корректировка НВВ'!$I$25:$I$129,$G291)</f>
        <v>0</v>
      </c>
      <c r="AU291" s="3707"/>
      <c r="AV291" s="3707"/>
      <c r="AW291" s="3707"/>
      <c r="AX291" s="3707"/>
      <c r="AY291" s="3707"/>
      <c r="AZ291" s="3707"/>
      <c r="BA291" s="3707"/>
      <c r="BB291" s="3707"/>
      <c r="BC291" s="3707"/>
      <c r="BD291" s="919"/>
      <c r="BE291" s="919"/>
      <c r="BF291" s="919"/>
      <c r="BG291" s="919"/>
      <c r="BH291" s="919"/>
      <c r="BI291" s="919"/>
      <c r="BJ291" s="919"/>
      <c r="BK291" s="919"/>
      <c r="BL291" s="919"/>
      <c r="BM291" s="919"/>
      <c r="BN291" s="3771"/>
      <c r="BO291" s="3725" t="str">
        <f>IF(_xlfn.IFERROR(INDEX('Корректировка НВВ'!$K$26:$L$129,MATCH($F291&amp;"10komm",'Корректировка НВВ'!$K$26:$K$129,0),2),"")=0,"",_xlfn.IFERROR(INDEX('Корректировка НВВ'!$K$26:$L$129,MATCH($F291&amp;"10komm",'Корректировка НВВ'!$K$26:$K$129,0),2),""))</f>
        <v/>
      </c>
      <c r="BP291" s="3771"/>
      <c r="BQ291" s="1256"/>
      <c r="BR291" s="1256"/>
      <c r="BS291" s="1041" t="s">
        <v>1427</v>
      </c>
      <c r="BT291" s="1041"/>
      <c r="BU291" s="1041"/>
      <c r="BV291" s="956"/>
      <c r="BW291" s="956"/>
    </row>
    <row s="3780" customFormat="1" customHeight="1" ht="20.25">
      <c r="A292" s="676"/>
      <c r="B292" s="407"/>
      <c r="C292" s="676"/>
      <c r="D292" s="75">
        <f>D291+1</f>
        <v>8</v>
      </c>
      <c r="E292" s="683">
        <v>21</v>
      </c>
      <c r="F292" s="50" cm="1" t="str">
        <f t="array" ref="F292:F292">OFFSET(E292,-1,1)</f>
        <v>1</v>
      </c>
      <c r="G292" s="676"/>
      <c r="H292" s="676"/>
      <c r="I292" s="128" t="s">
        <v>558</v>
      </c>
      <c r="J292" s="676"/>
      <c r="K292" s="128" t="s">
        <v>558</v>
      </c>
      <c r="L292" s="962"/>
      <c r="M292" s="75"/>
      <c r="N292" s="676"/>
      <c r="O292" s="676"/>
      <c r="P292" s="676"/>
      <c r="Q292" s="676"/>
      <c r="R292" s="676"/>
      <c r="S292" s="676"/>
      <c r="T292" s="438" cm="1" t="str">
        <f t="array" ref="T292:T292">T291</f>
        <v>true</v>
      </c>
      <c r="U292" s="676"/>
      <c r="V292" s="676"/>
      <c r="W292" s="676"/>
      <c r="X292" s="1511"/>
      <c r="Y292" s="676"/>
      <c r="Z292" s="1494"/>
      <c r="AA292" s="676"/>
      <c r="AB292" s="177" cm="1" t="str">
        <f t="array" ref="AB292:AB292">D292</f>
        <v>8</v>
      </c>
      <c r="AC292" s="178" t="s">
        <v>2037</v>
      </c>
      <c r="AD292" s="177" t="s">
        <v>789</v>
      </c>
      <c r="AE292" s="3608"/>
      <c r="AF292" s="3608"/>
      <c r="AG292" s="3608"/>
      <c r="AH292" s="737">
        <f>AG292-AF292</f>
        <v>0</v>
      </c>
      <c r="AI292" s="3597"/>
      <c r="AJ292" s="3597"/>
      <c r="AK292" s="3597"/>
      <c r="AL292" s="3597"/>
      <c r="AM292" s="3597"/>
      <c r="AN292" s="3597"/>
      <c r="AO292" s="3597"/>
      <c r="AP292" s="3597"/>
      <c r="AQ292" s="3597"/>
      <c r="AR292" s="3597"/>
      <c r="AS292" s="3597"/>
      <c r="AT292" s="3597"/>
      <c r="AU292" s="3597"/>
      <c r="AV292" s="3597"/>
      <c r="AW292" s="3597"/>
      <c r="AX292" s="3597"/>
      <c r="AY292" s="3597"/>
      <c r="AZ292" s="3597"/>
      <c r="BA292" s="3597"/>
      <c r="BB292" s="3597"/>
      <c r="BC292" s="3597"/>
      <c r="BD292" s="740"/>
      <c r="BE292" s="740"/>
      <c r="BF292" s="740"/>
      <c r="BG292" s="740"/>
      <c r="BH292" s="740"/>
      <c r="BI292" s="740"/>
      <c r="BJ292" s="740"/>
      <c r="BK292" s="740"/>
      <c r="BL292" s="740"/>
      <c r="BM292" s="740"/>
      <c r="BN292" s="3619"/>
      <c r="BO292" s="3619"/>
      <c r="BP292" s="3619"/>
      <c r="BQ292" s="676"/>
      <c r="BR292" s="676"/>
      <c r="BS292" s="1047" t="s">
        <v>2038</v>
      </c>
      <c r="BT292" s="1047"/>
      <c r="BU292" s="1047"/>
      <c r="BV292" s="683"/>
      <c r="BW292" s="683"/>
    </row>
    <row s="1624" customFormat="1" customHeight="1" ht="14.25">
      <c r="A293" s="1256"/>
      <c r="B293" s="955"/>
      <c r="C293" s="1256"/>
      <c r="D293" s="75" cm="1" t="str">
        <f t="array" ref="D293:D293">D292</f>
        <v>8</v>
      </c>
      <c r="E293" s="679">
        <v>15</v>
      </c>
      <c r="F293" s="50" cm="1" t="str">
        <f t="array" ref="F293:F293">OFFSET(E293,-1,1)</f>
        <v>1</v>
      </c>
      <c r="G293" s="1256"/>
      <c r="H293" s="1256"/>
      <c r="I293" s="124" t="s">
        <v>562</v>
      </c>
      <c r="J293" s="1256"/>
      <c r="K293" s="124" t="s">
        <v>562</v>
      </c>
      <c r="L293" s="957"/>
      <c r="M293" s="73"/>
      <c r="N293" s="1256"/>
      <c r="O293" s="1256"/>
      <c r="P293" s="1256"/>
      <c r="Q293" s="1256"/>
      <c r="R293" s="1256"/>
      <c r="S293" s="1256"/>
      <c r="T293" s="438" cm="1" t="str">
        <f t="array" ref="T293:T293">T292</f>
        <v>true</v>
      </c>
      <c r="U293" s="1256"/>
      <c r="V293" s="1256"/>
      <c r="W293" s="1256"/>
      <c r="X293" s="1511"/>
      <c r="Y293" s="1256"/>
      <c r="Z293" s="1494"/>
      <c r="AA293" s="1256"/>
      <c r="AB293" s="266" t="str">
        <f>D293&amp;".1"</f>
        <v>8.1</v>
      </c>
      <c r="AC293" s="738" t="s">
        <v>2039</v>
      </c>
      <c r="AD293" s="266" t="s">
        <v>430</v>
      </c>
      <c r="AE293" s="225">
        <f>IF(AE294=0,0,AE292/(AE294+AE279)*100)</f>
        <v>0</v>
      </c>
      <c r="AF293" s="225">
        <f>IF(AF294=0,0,AF292/(AF294+AF279)*100)</f>
        <v>0</v>
      </c>
      <c r="AG293" s="225">
        <f>IF(AG294=0,0,AG292/(AG294+AG279)*100)</f>
        <v>0</v>
      </c>
      <c r="AH293" s="920">
        <f>AG293-AF293</f>
        <v>0</v>
      </c>
      <c r="AI293" s="920">
        <f>IF(AI294=0,0,AI292/(AI294+AI279)*100)</f>
        <v>0</v>
      </c>
      <c r="AJ293" s="920">
        <f>IF(AJ294=0,0,AJ292/(AJ294+AJ279)*100)</f>
        <v>0</v>
      </c>
      <c r="AK293" s="920">
        <f>IF(AK294=0,0,AK292/(AK294+AK279)*100)</f>
        <v>0</v>
      </c>
      <c r="AL293" s="920">
        <f>IF(AL294=0,0,AL292/(AL294+AL279)*100)</f>
        <v>0</v>
      </c>
      <c r="AM293" s="920">
        <f>IF(AM294=0,0,AM292/(AM294+AM279)*100)</f>
        <v>0</v>
      </c>
      <c r="AN293" s="920">
        <f>IF(AN294=0,0,AN292/(AN294+AN279)*100)</f>
        <v>0</v>
      </c>
      <c r="AO293" s="920">
        <f>IF(AO294=0,0,AO292/(AO294+AO279)*100)</f>
        <v>0</v>
      </c>
      <c r="AP293" s="920">
        <f>IF(AP294=0,0,AP292/(AP294+AP279)*100)</f>
        <v>0</v>
      </c>
      <c r="AQ293" s="920">
        <f>IF(AQ294=0,0,AQ292/(AQ294+AQ279)*100)</f>
        <v>0</v>
      </c>
      <c r="AR293" s="920">
        <f>IF(AR294=0,0,AR292/(AR294+AR279)*100)</f>
        <v>0</v>
      </c>
      <c r="AS293" s="920">
        <f>IF(AS294=0,0,AS292/(AS294+AS279)*100)</f>
        <v>0</v>
      </c>
      <c r="AT293" s="920">
        <f>IF(AT294=0,0,AT292/(AT294+AT279)*100)</f>
        <v>0</v>
      </c>
      <c r="AU293" s="920">
        <f>IF(AU294=0,0,AU292/(AU294+AU279)*100)</f>
        <v>0</v>
      </c>
      <c r="AV293" s="920">
        <f>IF(AV294=0,0,AV292/(AV294+AV279)*100)</f>
        <v>0</v>
      </c>
      <c r="AW293" s="920">
        <f>IF(AW294=0,0,AW292/(AW294+AW279)*100)</f>
        <v>0</v>
      </c>
      <c r="AX293" s="920">
        <f>IF(AX294=0,0,AX292/(AX294+AX279)*100)</f>
        <v>0</v>
      </c>
      <c r="AY293" s="920">
        <f>IF(AY294=0,0,AY292/(AY294+AY279)*100)</f>
        <v>0</v>
      </c>
      <c r="AZ293" s="920">
        <f>IF(AZ294=0,0,AZ292/(AZ294+AZ279)*100)</f>
        <v>0</v>
      </c>
      <c r="BA293" s="920">
        <f>IF(BA294=0,0,BA292/(BA294+BA279)*100)</f>
        <v>0</v>
      </c>
      <c r="BB293" s="920">
        <f>IF(BB294=0,0,BB292/(BB294+BB279)*100)</f>
        <v>0</v>
      </c>
      <c r="BC293" s="920">
        <f>IF(BC294=0,0,BC292/(BC294+BC279)*100)</f>
        <v>0</v>
      </c>
      <c r="BD293" s="919"/>
      <c r="BE293" s="919"/>
      <c r="BF293" s="919"/>
      <c r="BG293" s="919"/>
      <c r="BH293" s="919"/>
      <c r="BI293" s="919"/>
      <c r="BJ293" s="919"/>
      <c r="BK293" s="919"/>
      <c r="BL293" s="919"/>
      <c r="BM293" s="919"/>
      <c r="BN293" s="3771"/>
      <c r="BO293" s="3771"/>
      <c r="BP293" s="3771"/>
      <c r="BQ293" s="1256"/>
      <c r="BR293" s="1256"/>
      <c r="BS293" s="1041" t="s">
        <v>2040</v>
      </c>
      <c r="BT293" s="1041"/>
      <c r="BU293" s="1041"/>
      <c r="BV293" s="956"/>
      <c r="BW293" s="956"/>
    </row>
    <row s="3781" customFormat="1" customHeight="1" ht="20.25">
      <c r="A294" s="676"/>
      <c r="B294" s="407"/>
      <c r="C294" s="676"/>
      <c r="D294" s="75">
        <f>D293+1</f>
        <v>9</v>
      </c>
      <c r="E294" s="683">
        <v>21</v>
      </c>
      <c r="F294" s="50" cm="1" t="str">
        <f t="array" ref="F294:F294">OFFSET(E294,-1,1)</f>
        <v>1</v>
      </c>
      <c r="G294" s="676"/>
      <c r="H294" s="124"/>
      <c r="I294" s="124" t="s">
        <v>716</v>
      </c>
      <c r="J294" s="676"/>
      <c r="K294" s="124" t="s">
        <v>716</v>
      </c>
      <c r="L294" s="962" t="s">
        <v>1702</v>
      </c>
      <c r="M294" s="75"/>
      <c r="N294" s="676"/>
      <c r="O294" s="676"/>
      <c r="P294" s="676"/>
      <c r="Q294" s="676"/>
      <c r="R294" s="676"/>
      <c r="S294" s="676"/>
      <c r="T294" s="438" cm="1" t="str">
        <f t="array" ref="T294:T294">T293</f>
        <v>true</v>
      </c>
      <c r="U294" s="676"/>
      <c r="V294" s="676"/>
      <c r="W294" s="676"/>
      <c r="X294" s="1511"/>
      <c r="Y294" s="676"/>
      <c r="Z294" s="1494"/>
      <c r="AA294" s="676"/>
      <c r="AB294" s="177" cm="1" t="str">
        <f t="array" ref="AB294:AB294">D294</f>
        <v>9</v>
      </c>
      <c r="AC294" s="178" t="s">
        <v>1704</v>
      </c>
      <c r="AD294" s="200" t="s">
        <v>789</v>
      </c>
      <c r="AE294" s="179">
        <f>AE172+AE222+AE258+AE259+AE261+AE266+AE267+AE270</f>
        <v>0</v>
      </c>
      <c r="AF294" s="179">
        <f>AF172+AF222+AF258+AF259+AF261+AF266+AF267+AF270</f>
        <v>0</v>
      </c>
      <c r="AG294" s="179">
        <f>AG172+AG222+AG258+AG259+AG261+AG266+AG267+AG270</f>
        <v>0</v>
      </c>
      <c r="AH294" s="737">
        <f>AG294-AF294</f>
        <v>0</v>
      </c>
      <c r="AI294" s="179">
        <f>AI172+AI222+AI258+AI259+AI261+AI266+AI267+AI270</f>
        <v>0</v>
      </c>
      <c r="AJ294" s="179">
        <f>AJ172+AJ222+AJ258+AJ259+AJ261+AJ266+AJ267+AJ270</f>
        <v>0</v>
      </c>
      <c r="AK294" s="179">
        <f>AK172+AK222+AK258+AK259+AK261+AK266+AK267+AK270</f>
        <v>0</v>
      </c>
      <c r="AL294" s="179">
        <f>AL172+AL222+AL258+AL259+AL261+AL266+AL267+AL270</f>
        <v>0</v>
      </c>
      <c r="AM294" s="179">
        <f>AM172+AM222+AM258+AM259+AM261+AM266+AM267+AM270</f>
        <v>0</v>
      </c>
      <c r="AN294" s="179">
        <f>AN172+AN222+AN258+AN259+AN261+AN266+AN267+AN270</f>
        <v>0</v>
      </c>
      <c r="AO294" s="179">
        <f>AO172+AO222+AO258+AO259+AO261+AO266+AO267+AO270</f>
        <v>0</v>
      </c>
      <c r="AP294" s="179">
        <f>AP172+AP222+AP258+AP259+AP261+AP266+AP267+AP270</f>
        <v>0</v>
      </c>
      <c r="AQ294" s="179">
        <f>AQ172+AQ222+AQ258+AQ259+AQ261+AQ266+AQ267+AQ270</f>
        <v>0</v>
      </c>
      <c r="AR294" s="179">
        <f>AR172+AR222+AR258+AR259+AR261+AR266+AR267+AR270</f>
        <v>0</v>
      </c>
      <c r="AS294" s="179">
        <f>AS172+AS222+AS258+AS259+AS261+AS266+AS267+AS270</f>
        <v>0</v>
      </c>
      <c r="AT294" s="179">
        <f>AT172+AT222+AT258+AT259+AT261+AT266+AT267+AT270</f>
        <v>0</v>
      </c>
      <c r="AU294" s="179">
        <f>AU172+AU222+AU258+AU259+AU261+AU266+AU267+AU270</f>
        <v>0</v>
      </c>
      <c r="AV294" s="179">
        <f>AV172+AV222+AV258+AV259+AV261+AV266+AV267+AV270</f>
        <v>0</v>
      </c>
      <c r="AW294" s="179">
        <f>AW172+AW222+AW258+AW259+AW261+AW266+AW267+AW270</f>
        <v>0</v>
      </c>
      <c r="AX294" s="179">
        <f>AX172+AX222+AX258+AX259+AX261+AX266+AX267+AX270</f>
        <v>0</v>
      </c>
      <c r="AY294" s="179">
        <f>AY172+AY222+AY258+AY259+AY261+AY266+AY267+AY270</f>
        <v>0</v>
      </c>
      <c r="AZ294" s="179">
        <f>AZ172+AZ222+AZ258+AZ259+AZ261+AZ266+AZ267+AZ270</f>
        <v>0</v>
      </c>
      <c r="BA294" s="179">
        <f>BA172+BA222+BA258+BA259+BA261+BA266+BA267+BA270</f>
        <v>0</v>
      </c>
      <c r="BB294" s="179">
        <f>BB172+BB222+BB258+BB259+BB261+BB266+BB267+BB270</f>
        <v>0</v>
      </c>
      <c r="BC294" s="179">
        <f>BC172+BC222+BC258+BC259+BC261+BC266+BC267+BC270</f>
        <v>0</v>
      </c>
      <c r="BD294" s="737">
        <f>IF(AI294=0,0,(AT294-AI294)/AI294*100)</f>
        <v>0</v>
      </c>
      <c r="BE294" s="737">
        <f>IF(AT294=0,0,(AU294-AT294)/AT294*100)</f>
        <v>0</v>
      </c>
      <c r="BF294" s="737">
        <f>IF(AU294=0,0,(AV294-AU294)/AU294*100)</f>
        <v>0</v>
      </c>
      <c r="BG294" s="737">
        <f>IF(AV294=0,0,(AW294-AV294)/AV294*100)</f>
        <v>0</v>
      </c>
      <c r="BH294" s="737">
        <f>IF(AW294=0,0,(AX294-AW294)/AW294*100)</f>
        <v>0</v>
      </c>
      <c r="BI294" s="737">
        <f>IF(AX294=0,0,(AY294-AX294)/AX294*100)</f>
        <v>0</v>
      </c>
      <c r="BJ294" s="737">
        <f>IF(AY294=0,0,(AZ294-AY294)/AY294*100)</f>
        <v>0</v>
      </c>
      <c r="BK294" s="737">
        <f>IF(AZ294=0,0,(BA294-AZ294)/AZ294*100)</f>
        <v>0</v>
      </c>
      <c r="BL294" s="737">
        <f>IF(BA294=0,0,(BB294-BA294)/BA294*100)</f>
        <v>0</v>
      </c>
      <c r="BM294" s="737">
        <f>IF(BB294=0,0,(BC294-BB294)/BB294*100)</f>
        <v>0</v>
      </c>
      <c r="BN294" s="3771"/>
      <c r="BO294" s="3771"/>
      <c r="BP294" s="3771"/>
      <c r="BQ294" s="676"/>
      <c r="BR294" s="676"/>
      <c r="BS294" s="1047" t="s">
        <v>1705</v>
      </c>
      <c r="BT294" s="1047"/>
      <c r="BU294" s="1047"/>
      <c r="BV294" s="683"/>
      <c r="BW294" s="683"/>
    </row>
    <row s="3782" customFormat="1" customHeight="1" ht="20.25">
      <c r="A295" s="676"/>
      <c r="B295" s="407"/>
      <c r="C295" s="676"/>
      <c r="D295" s="75">
        <f>D294+1</f>
        <v>10</v>
      </c>
      <c r="E295" s="683">
        <v>21</v>
      </c>
      <c r="F295" s="50" cm="1" t="str">
        <f t="array" ref="F295:F295">OFFSET(E295,-1,1)</f>
        <v>1</v>
      </c>
      <c r="G295" s="676"/>
      <c r="H295" s="124"/>
      <c r="I295" s="124" t="s">
        <v>1714</v>
      </c>
      <c r="J295" s="676"/>
      <c r="K295" s="124" t="s">
        <v>1714</v>
      </c>
      <c r="L295" s="962"/>
      <c r="M295" s="75"/>
      <c r="N295" s="676"/>
      <c r="O295" s="676"/>
      <c r="P295" s="676"/>
      <c r="Q295" s="676"/>
      <c r="R295" s="676"/>
      <c r="S295" s="676"/>
      <c r="T295" s="438" cm="1" t="str">
        <f t="array" ref="T295:T295">T294</f>
        <v>true</v>
      </c>
      <c r="U295" s="676"/>
      <c r="V295" s="676"/>
      <c r="W295" s="676"/>
      <c r="X295" s="1511"/>
      <c r="Y295" s="676"/>
      <c r="Z295" s="1494"/>
      <c r="AA295" s="676"/>
      <c r="AB295" s="177" cm="1" t="str">
        <f t="array" ref="AB295:AB295">D295</f>
        <v>10</v>
      </c>
      <c r="AC295" s="178" t="s">
        <v>2041</v>
      </c>
      <c r="AD295" s="177" t="s">
        <v>789</v>
      </c>
      <c r="AE295" s="179">
        <f>AE294+AE279+AE292</f>
        <v>0</v>
      </c>
      <c r="AF295" s="179">
        <f>AF294+AF279+AF292</f>
        <v>0</v>
      </c>
      <c r="AG295" s="179">
        <f>AG294+AG279+AG292</f>
        <v>0</v>
      </c>
      <c r="AH295" s="746">
        <f>AH294+AH279+AH292</f>
        <v>0</v>
      </c>
      <c r="AI295" s="746">
        <f>AI294+AI279+AI292</f>
        <v>0</v>
      </c>
      <c r="AJ295" s="746">
        <f>AJ294+AJ279+AJ292</f>
        <v>0</v>
      </c>
      <c r="AK295" s="746">
        <f>AK294+AK279+AK292</f>
        <v>0</v>
      </c>
      <c r="AL295" s="746">
        <f>AL294+AL279+AL292</f>
        <v>0</v>
      </c>
      <c r="AM295" s="746">
        <f>AM294+AM279+AM292</f>
        <v>0</v>
      </c>
      <c r="AN295" s="746">
        <f>AN294+AN279+AN292</f>
        <v>0</v>
      </c>
      <c r="AO295" s="746">
        <f>AO294+AO279+AO292</f>
        <v>0</v>
      </c>
      <c r="AP295" s="746">
        <f>AP294+AP279+AP292</f>
        <v>0</v>
      </c>
      <c r="AQ295" s="746">
        <f>AQ294+AQ279+AQ292</f>
        <v>0</v>
      </c>
      <c r="AR295" s="746">
        <f>AR294+AR279+AR292</f>
        <v>0</v>
      </c>
      <c r="AS295" s="746">
        <f>AS294+AS279+AS292</f>
        <v>0</v>
      </c>
      <c r="AT295" s="746">
        <f>AT294+AT279+AT292</f>
        <v>0</v>
      </c>
      <c r="AU295" s="746">
        <f>AU294+AU279+AU292</f>
        <v>0</v>
      </c>
      <c r="AV295" s="746">
        <f>AV294+AV279+AV292</f>
        <v>0</v>
      </c>
      <c r="AW295" s="746">
        <f>AW294+AW279+AW292</f>
        <v>0</v>
      </c>
      <c r="AX295" s="746">
        <f>AX294+AX279+AX292</f>
        <v>0</v>
      </c>
      <c r="AY295" s="746">
        <f>AY294+AY279+AY292</f>
        <v>0</v>
      </c>
      <c r="AZ295" s="746">
        <f>AZ294+AZ279+AZ292</f>
        <v>0</v>
      </c>
      <c r="BA295" s="746">
        <f>BA294+BA279+BA292</f>
        <v>0</v>
      </c>
      <c r="BB295" s="746">
        <f>BB294+BB279+BB292</f>
        <v>0</v>
      </c>
      <c r="BC295" s="746">
        <f>BC294+BC279+BC292</f>
        <v>0</v>
      </c>
      <c r="BD295" s="737">
        <f>IF(AI295=0,0,(AT295-AI295)/AI295*100)</f>
        <v>0</v>
      </c>
      <c r="BE295" s="737">
        <f>IF(AT295=0,0,(AU295-AT295)/AT295*100)</f>
        <v>0</v>
      </c>
      <c r="BF295" s="737">
        <f>IF(AU295=0,0,(AV295-AU295)/AU295*100)</f>
        <v>0</v>
      </c>
      <c r="BG295" s="737">
        <f>IF(AV295=0,0,(AW295-AV295)/AV295*100)</f>
        <v>0</v>
      </c>
      <c r="BH295" s="737">
        <f>IF(AW295=0,0,(AX295-AW295)/AW295*100)</f>
        <v>0</v>
      </c>
      <c r="BI295" s="737">
        <f>IF(AX295=0,0,(AY295-AX295)/AX295*100)</f>
        <v>0</v>
      </c>
      <c r="BJ295" s="737">
        <f>IF(AY295=0,0,(AZ295-AY295)/AY295*100)</f>
        <v>0</v>
      </c>
      <c r="BK295" s="737">
        <f>IF(AZ295=0,0,(BA295-AZ295)/AZ295*100)</f>
        <v>0</v>
      </c>
      <c r="BL295" s="737">
        <f>IF(BA295=0,0,(BB295-BA295)/BA295*100)</f>
        <v>0</v>
      </c>
      <c r="BM295" s="737">
        <f>IF(BB295=0,0,(BC295-BB295)/BB295*100)</f>
        <v>0</v>
      </c>
      <c r="BN295" s="3771"/>
      <c r="BO295" s="3771"/>
      <c r="BP295" s="3771"/>
      <c r="BQ295" s="676"/>
      <c r="BR295" s="676"/>
      <c r="BS295" s="1047" t="s">
        <v>2042</v>
      </c>
      <c r="BT295" s="1047"/>
      <c r="BU295" s="1047"/>
      <c r="BV295" s="683"/>
      <c r="BW295" s="683"/>
    </row>
    <row s="1624" customFormat="1" customHeight="1" ht="14.25" hidden="1">
      <c r="A296" s="1256"/>
      <c r="B296" s="417">
        <f>A171="двухставочный"</f>
        <v>0</v>
      </c>
      <c r="C296" s="1256"/>
      <c r="D296" s="73" cm="1" t="str">
        <f t="array" ref="D296:D296">D295</f>
        <v>10</v>
      </c>
      <c r="E296" s="679">
        <v>15</v>
      </c>
      <c r="F296" s="50" cm="1" t="str">
        <f t="array" ref="F296:F296">OFFSET(E296,-1,1)</f>
        <v>1</v>
      </c>
      <c r="G296" s="1256"/>
      <c r="H296" s="49"/>
      <c r="I296" s="345" t="s">
        <v>1718</v>
      </c>
      <c r="J296" s="1256"/>
      <c r="K296" s="345" t="s">
        <v>1718</v>
      </c>
      <c r="L296" s="957" t="s">
        <v>1706</v>
      </c>
      <c r="M296" s="73"/>
      <c r="N296" s="1256"/>
      <c r="O296" s="1256"/>
      <c r="P296" s="1256"/>
      <c r="Q296" s="1256"/>
      <c r="R296" s="1256"/>
      <c r="S296" s="1256"/>
      <c r="T296" s="438" cm="1" t="str">
        <f t="array" ref="T296:T296">T295</f>
        <v>true</v>
      </c>
      <c r="U296" s="1256"/>
      <c r="V296" s="1256"/>
      <c r="W296" s="1256"/>
      <c r="X296" s="1511"/>
      <c r="Y296" s="1256"/>
      <c r="Z296" s="1494"/>
      <c r="AA296" s="1256"/>
      <c r="AB296" s="266" t="str">
        <f>D296&amp;".1"</f>
        <v>10.1</v>
      </c>
      <c r="AC296" s="758" t="s">
        <v>1708</v>
      </c>
      <c r="AD296" s="266" t="s">
        <v>789</v>
      </c>
      <c r="AE296" s="1233"/>
      <c r="AF296" s="1233"/>
      <c r="AG296" s="1233"/>
      <c r="AH296" s="920">
        <f>AG296-AF296</f>
        <v>0</v>
      </c>
      <c r="AI296" s="1231"/>
      <c r="AJ296" s="3707"/>
      <c r="AK296" s="1231"/>
      <c r="AL296" s="1231"/>
      <c r="AM296" s="1231"/>
      <c r="AN296" s="1231"/>
      <c r="AO296" s="1231"/>
      <c r="AP296" s="1231"/>
      <c r="AQ296" s="1231"/>
      <c r="AR296" s="1231"/>
      <c r="AS296" s="1231"/>
      <c r="AT296" s="3707"/>
      <c r="AU296" s="1231"/>
      <c r="AV296" s="1231"/>
      <c r="AW296" s="1231"/>
      <c r="AX296" s="1231"/>
      <c r="AY296" s="1231"/>
      <c r="AZ296" s="1231"/>
      <c r="BA296" s="1231"/>
      <c r="BB296" s="1231"/>
      <c r="BC296" s="1231"/>
      <c r="BD296" s="919"/>
      <c r="BE296" s="919"/>
      <c r="BF296" s="919"/>
      <c r="BG296" s="919"/>
      <c r="BH296" s="919"/>
      <c r="BI296" s="919"/>
      <c r="BJ296" s="919"/>
      <c r="BK296" s="919"/>
      <c r="BL296" s="919"/>
      <c r="BM296" s="919"/>
      <c r="BN296" s="1234"/>
      <c r="BO296" s="1234"/>
      <c r="BP296" s="1234"/>
      <c r="BQ296" s="1256"/>
      <c r="BR296" s="1256"/>
      <c r="BS296" s="1039" t="s">
        <v>1709</v>
      </c>
      <c r="BT296" s="1041"/>
      <c r="BU296" s="1041"/>
      <c r="BV296" s="956"/>
      <c r="BW296" s="956"/>
    </row>
    <row s="1624" customFormat="1" customHeight="1" ht="14.25" hidden="1">
      <c r="A297" s="1256"/>
      <c r="B297" s="417">
        <f>A171="двухставочный"</f>
        <v>0</v>
      </c>
      <c r="C297" s="1256"/>
      <c r="D297" s="73" cm="1" t="str">
        <f t="array" ref="D297:D297">D296</f>
        <v>10</v>
      </c>
      <c r="E297" s="679">
        <v>15</v>
      </c>
      <c r="F297" s="50" cm="1" t="str">
        <f t="array" ref="F297:F297">OFFSET(E297,-1,1)</f>
        <v>1</v>
      </c>
      <c r="G297" s="1256"/>
      <c r="H297" s="49"/>
      <c r="I297" s="345" t="s">
        <v>1722</v>
      </c>
      <c r="J297" s="1256"/>
      <c r="K297" s="345" t="s">
        <v>1722</v>
      </c>
      <c r="L297" s="957" t="s">
        <v>1710</v>
      </c>
      <c r="M297" s="73"/>
      <c r="N297" s="1256"/>
      <c r="O297" s="1256"/>
      <c r="P297" s="1256"/>
      <c r="Q297" s="1256"/>
      <c r="R297" s="1256"/>
      <c r="S297" s="1256"/>
      <c r="T297" s="438" cm="1" t="str">
        <f t="array" ref="T297:T297">T296</f>
        <v>true</v>
      </c>
      <c r="U297" s="1256"/>
      <c r="V297" s="1256"/>
      <c r="W297" s="1256"/>
      <c r="X297" s="1511"/>
      <c r="Y297" s="1256"/>
      <c r="Z297" s="1494"/>
      <c r="AA297" s="1256"/>
      <c r="AB297" s="266" t="str">
        <f>D297&amp;".2"</f>
        <v>10.2</v>
      </c>
      <c r="AC297" s="758" t="s">
        <v>1712</v>
      </c>
      <c r="AD297" s="266" t="s">
        <v>789</v>
      </c>
      <c r="AE297" s="1233"/>
      <c r="AF297" s="1233"/>
      <c r="AG297" s="1233"/>
      <c r="AH297" s="920">
        <f>AG297-AF297</f>
        <v>0</v>
      </c>
      <c r="AI297" s="1231"/>
      <c r="AJ297" s="3707"/>
      <c r="AK297" s="1231"/>
      <c r="AL297" s="1231"/>
      <c r="AM297" s="1231"/>
      <c r="AN297" s="1231"/>
      <c r="AO297" s="1231"/>
      <c r="AP297" s="1231"/>
      <c r="AQ297" s="1231"/>
      <c r="AR297" s="1231"/>
      <c r="AS297" s="1231"/>
      <c r="AT297" s="3707"/>
      <c r="AU297" s="1231"/>
      <c r="AV297" s="1231"/>
      <c r="AW297" s="1231"/>
      <c r="AX297" s="1231"/>
      <c r="AY297" s="1231"/>
      <c r="AZ297" s="1231"/>
      <c r="BA297" s="1231"/>
      <c r="BB297" s="1231"/>
      <c r="BC297" s="1231"/>
      <c r="BD297" s="919"/>
      <c r="BE297" s="919"/>
      <c r="BF297" s="919"/>
      <c r="BG297" s="919"/>
      <c r="BH297" s="919"/>
      <c r="BI297" s="919"/>
      <c r="BJ297" s="919"/>
      <c r="BK297" s="919"/>
      <c r="BL297" s="919"/>
      <c r="BM297" s="919"/>
      <c r="BN297" s="1234"/>
      <c r="BO297" s="1234"/>
      <c r="BP297" s="1234"/>
      <c r="BQ297" s="1256"/>
      <c r="BR297" s="1256"/>
      <c r="BS297" s="1039" t="s">
        <v>1713</v>
      </c>
      <c r="BT297" s="1041"/>
      <c r="BU297" s="1041"/>
      <c r="BV297" s="956"/>
      <c r="BW297" s="956"/>
    </row>
    <row s="3783" customFormat="1" customHeight="1" ht="20.25">
      <c r="A298" s="676"/>
      <c r="B298" s="407"/>
      <c r="C298" s="676"/>
      <c r="D298" s="75">
        <f>D297+1</f>
        <v>11</v>
      </c>
      <c r="E298" s="683">
        <v>21</v>
      </c>
      <c r="F298" s="50" cm="1" t="str">
        <f t="array" ref="F298:F298">OFFSET(E298,-1,1)</f>
        <v>1</v>
      </c>
      <c r="G298" s="124" t="s">
        <v>1485</v>
      </c>
      <c r="H298" s="124"/>
      <c r="I298" s="124" t="s">
        <v>1742</v>
      </c>
      <c r="J298" s="676"/>
      <c r="K298" s="124" t="s">
        <v>1742</v>
      </c>
      <c r="L298" s="962" t="s">
        <v>1714</v>
      </c>
      <c r="M298" s="75"/>
      <c r="N298" s="676"/>
      <c r="O298" s="676"/>
      <c r="P298" s="676"/>
      <c r="Q298" s="676"/>
      <c r="R298" s="676"/>
      <c r="S298" s="676"/>
      <c r="T298" s="438" cm="1" t="str">
        <f t="array" ref="T298:T298">T297</f>
        <v>true</v>
      </c>
      <c r="U298" s="676"/>
      <c r="V298" s="676"/>
      <c r="W298" s="676"/>
      <c r="X298" s="1511"/>
      <c r="Y298" s="676"/>
      <c r="Z298" s="1494"/>
      <c r="AA298" s="676"/>
      <c r="AB298" s="177" cm="1" t="str">
        <f t="array" ref="AB298:AB298">D298</f>
        <v>11</v>
      </c>
      <c r="AC298" s="178" t="s">
        <v>1716</v>
      </c>
      <c r="AD298" s="177" t="s">
        <v>506</v>
      </c>
      <c r="AE298" s="761">
        <f>_xlfn.SUMIFS(Баланс!AE$26:AE$209,Баланс!$F$26:$F$209,$F298,Баланс!$G$26:$G$209,"ПО")</f>
        <v>36.8</v>
      </c>
      <c r="AF298" s="761">
        <f>_xlfn.SUMIFS(Баланс!AF$26:AF$209,Баланс!$F$26:$F$209,$F298,Баланс!$G$26:$G$209,"ПО")</f>
        <v>36.31109</v>
      </c>
      <c r="AG298" s="761">
        <f>_xlfn.SUMIFS(Баланс!AG$26:AG$209,Баланс!$F$26:$F$209,$F298,Баланс!$G$26:$G$209,"ПО")</f>
        <v>36.31109</v>
      </c>
      <c r="AH298" s="762">
        <f>AG298-AF298</f>
        <v>0</v>
      </c>
      <c r="AI298" s="762">
        <f>_xlfn.SUMIFS(Баланс!AH$26:AH$209,Баланс!$F$26:$F$209,$F298,Баланс!$G$26:$G$209,"ПО")</f>
        <v>37.30283</v>
      </c>
      <c r="AJ298" s="762">
        <f>_xlfn.SUMIFS(Баланс!AI$26:AI$209,Баланс!$F$26:$F$209,$F298,Баланс!$G$26:$G$209,"ПО")</f>
        <v>36.311</v>
      </c>
      <c r="AK298" s="762">
        <f>_xlfn.SUMIFS(Баланс!AJ$26:AJ$209,Баланс!$F$26:$F$209,$F298,Баланс!$G$26:$G$209,"ПО")</f>
        <v>0</v>
      </c>
      <c r="AL298" s="762">
        <f>_xlfn.SUMIFS(Баланс!AK$26:AK$209,Баланс!$F$26:$F$209,$F298,Баланс!$G$26:$G$209,"ПО")</f>
        <v>0</v>
      </c>
      <c r="AM298" s="762">
        <f>_xlfn.SUMIFS(Баланс!AL$26:AL$209,Баланс!$F$26:$F$209,$F298,Баланс!$G$26:$G$209,"ПО")</f>
        <v>0</v>
      </c>
      <c r="AN298" s="762">
        <f>_xlfn.SUMIFS(Баланс!AM$26:AM$209,Баланс!$F$26:$F$209,$F298,Баланс!$G$26:$G$209,"ПО")</f>
        <v>0</v>
      </c>
      <c r="AO298" s="762">
        <f>_xlfn.SUMIFS(Баланс!AN$26:AN$209,Баланс!$F$26:$F$209,$F298,Баланс!$G$26:$G$209,"ПО")</f>
        <v>0</v>
      </c>
      <c r="AP298" s="762">
        <f>_xlfn.SUMIFS(Баланс!AO$26:AO$209,Баланс!$F$26:$F$209,$F298,Баланс!$G$26:$G$209,"ПО")</f>
        <v>0</v>
      </c>
      <c r="AQ298" s="762">
        <f>_xlfn.SUMIFS(Баланс!AP$26:AP$209,Баланс!$F$26:$F$209,$F298,Баланс!$G$26:$G$209,"ПО")</f>
        <v>0</v>
      </c>
      <c r="AR298" s="762">
        <f>_xlfn.SUMIFS(Баланс!AQ$26:AQ$209,Баланс!$F$26:$F$209,$F298,Баланс!$G$26:$G$209,"ПО")</f>
        <v>0</v>
      </c>
      <c r="AS298" s="762">
        <f>_xlfn.SUMIFS(Баланс!AR$26:AR$209,Баланс!$F$26:$F$209,$F298,Баланс!$G$26:$G$209,"ПО")</f>
        <v>0</v>
      </c>
      <c r="AT298" s="762">
        <f>_xlfn.SUMIFS(Баланс!AS$26:AS$209,Баланс!$F$26:$F$209,$F298,Баланс!$G$26:$G$209,"ПО")</f>
        <v>35.62504</v>
      </c>
      <c r="AU298" s="762">
        <f>_xlfn.SUMIFS(Баланс!AT$26:AT$209,Баланс!$F$26:$F$209,$F298,Баланс!$G$26:$G$209,"ПО")</f>
        <v>0</v>
      </c>
      <c r="AV298" s="762">
        <f>_xlfn.SUMIFS(Баланс!AU$26:AU$209,Баланс!$F$26:$F$209,$F298,Баланс!$G$26:$G$209,"ПО")</f>
        <v>0</v>
      </c>
      <c r="AW298" s="762">
        <f>_xlfn.SUMIFS(Баланс!AV$26:AV$209,Баланс!$F$26:$F$209,$F298,Баланс!$G$26:$G$209,"ПО")</f>
        <v>0</v>
      </c>
      <c r="AX298" s="762">
        <f>_xlfn.SUMIFS(Баланс!AW$26:AW$209,Баланс!$F$26:$F$209,$F298,Баланс!$G$26:$G$209,"ПО")</f>
        <v>0</v>
      </c>
      <c r="AY298" s="762">
        <f>_xlfn.SUMIFS(Баланс!AX$26:AX$209,Баланс!$F$26:$F$209,$F298,Баланс!$G$26:$G$209,"ПО")</f>
        <v>0</v>
      </c>
      <c r="AZ298" s="762">
        <f>_xlfn.SUMIFS(Баланс!AY$26:AY$209,Баланс!$F$26:$F$209,$F298,Баланс!$G$26:$G$209,"ПО")</f>
        <v>0</v>
      </c>
      <c r="BA298" s="762">
        <f>_xlfn.SUMIFS(Баланс!AZ$26:AZ$209,Баланс!$F$26:$F$209,$F298,Баланс!$G$26:$G$209,"ПО")</f>
        <v>0</v>
      </c>
      <c r="BB298" s="762">
        <f>_xlfn.SUMIFS(Баланс!BA$26:BA$209,Баланс!$F$26:$F$209,$F298,Баланс!$G$26:$G$209,"ПО")</f>
        <v>0</v>
      </c>
      <c r="BC298" s="762">
        <f>_xlfn.SUMIFS(Баланс!BB$26:BB$209,Баланс!$F$26:$F$209,$F298,Баланс!$G$26:$G$209,"ПО")</f>
        <v>0</v>
      </c>
      <c r="BD298" s="740"/>
      <c r="BE298" s="740"/>
      <c r="BF298" s="740"/>
      <c r="BG298" s="740"/>
      <c r="BH298" s="740"/>
      <c r="BI298" s="740"/>
      <c r="BJ298" s="740"/>
      <c r="BK298" s="740"/>
      <c r="BL298" s="740"/>
      <c r="BM298" s="740"/>
      <c r="BN298" s="3771"/>
      <c r="BO298" s="3771"/>
      <c r="BP298" s="3771"/>
      <c r="BQ298" s="676"/>
      <c r="BR298" s="676"/>
      <c r="BS298" s="1040" t="s">
        <v>1717</v>
      </c>
      <c r="BT298" s="1047"/>
      <c r="BU298" s="1047"/>
      <c r="BV298" s="683"/>
      <c r="BW298" s="683"/>
    </row>
    <row s="1624" customFormat="1" customHeight="1" ht="14.25">
      <c r="A299" s="1256"/>
      <c r="B299" s="955"/>
      <c r="C299" s="1256"/>
      <c r="D299" s="73" cm="1" t="str">
        <f t="array" ref="D299:D299">D298</f>
        <v>11</v>
      </c>
      <c r="E299" s="679">
        <v>15</v>
      </c>
      <c r="F299" s="50" cm="1" t="str">
        <f t="array" ref="F299:F299">OFFSET(E299,-1,1)</f>
        <v>1</v>
      </c>
      <c r="G299" s="124" t="s">
        <v>1512</v>
      </c>
      <c r="H299" s="1256"/>
      <c r="I299" s="124" t="s">
        <v>2043</v>
      </c>
      <c r="J299" s="1256"/>
      <c r="K299" s="124" t="s">
        <v>2043</v>
      </c>
      <c r="L299" s="957" t="s">
        <v>1718</v>
      </c>
      <c r="M299" s="73"/>
      <c r="N299" s="1256"/>
      <c r="O299" s="1256"/>
      <c r="P299" s="1256"/>
      <c r="Q299" s="1256"/>
      <c r="R299" s="1256"/>
      <c r="S299" s="1256"/>
      <c r="T299" s="438" cm="1" t="str">
        <f t="array" ref="T299:T299">T298</f>
        <v>true</v>
      </c>
      <c r="U299" s="1256"/>
      <c r="V299" s="1256"/>
      <c r="W299" s="1256"/>
      <c r="X299" s="1511"/>
      <c r="Y299" s="1256"/>
      <c r="Z299" s="1494"/>
      <c r="AA299" s="1256"/>
      <c r="AB299" s="266" t="str">
        <f>D299&amp;".1"</f>
        <v>11.1</v>
      </c>
      <c r="AC299" s="1089" t="s">
        <v>1720</v>
      </c>
      <c r="AD299" s="266" t="s">
        <v>506</v>
      </c>
      <c r="AE299" s="3718">
        <f>AE298/2</f>
        <v>18.4</v>
      </c>
      <c r="AF299" s="3718">
        <f>AF298/2</f>
        <v>18.155545</v>
      </c>
      <c r="AG299" s="3718">
        <f>AG298/2</f>
        <v>18.155545</v>
      </c>
      <c r="AH299" s="918">
        <f>AG299-AF299</f>
        <v>0</v>
      </c>
      <c r="AI299" s="3611">
        <f>AI298/2</f>
        <v>18.651415</v>
      </c>
      <c r="AJ299" s="3718">
        <f>IF(god=2026,AJ298/12*9,AJ298/2)</f>
        <v>27.23325</v>
      </c>
      <c r="AK299" s="3718">
        <f>IF(god=2025,AK298/12*9,AK298/2)</f>
        <v>0</v>
      </c>
      <c r="AL299" s="3611">
        <f>AL298/2</f>
        <v>0</v>
      </c>
      <c r="AM299" s="3611">
        <f>AM298/2</f>
        <v>0</v>
      </c>
      <c r="AN299" s="3611">
        <f>AN298/2</f>
        <v>0</v>
      </c>
      <c r="AO299" s="3611">
        <f>AO298/2</f>
        <v>0</v>
      </c>
      <c r="AP299" s="3611">
        <f>AP298/2</f>
        <v>0</v>
      </c>
      <c r="AQ299" s="3611">
        <f>AQ298/2</f>
        <v>0</v>
      </c>
      <c r="AR299" s="3611">
        <f>AR298/2</f>
        <v>0</v>
      </c>
      <c r="AS299" s="3611">
        <f>AS298/2</f>
        <v>0</v>
      </c>
      <c r="AT299" s="3611">
        <f>IF(god=2026,AT298/12*9,AT298/2)</f>
        <v>26.71878</v>
      </c>
      <c r="AU299" s="3611">
        <f>IF(god=2025,AU298/12*9,AU298/2)</f>
        <v>0</v>
      </c>
      <c r="AV299" s="3611">
        <f>AV298/2</f>
        <v>0</v>
      </c>
      <c r="AW299" s="3611">
        <f>AW298/2</f>
        <v>0</v>
      </c>
      <c r="AX299" s="3611">
        <f>AX298/2</f>
        <v>0</v>
      </c>
      <c r="AY299" s="3611">
        <f>AY298/2</f>
        <v>0</v>
      </c>
      <c r="AZ299" s="3611">
        <f>AZ298/2</f>
        <v>0</v>
      </c>
      <c r="BA299" s="3611">
        <f>BA298/2</f>
        <v>0</v>
      </c>
      <c r="BB299" s="3611">
        <f>BB298/2</f>
        <v>0</v>
      </c>
      <c r="BC299" s="3611">
        <f>BC298/2</f>
        <v>0</v>
      </c>
      <c r="BD299" s="919"/>
      <c r="BE299" s="919"/>
      <c r="BF299" s="919"/>
      <c r="BG299" s="919"/>
      <c r="BH299" s="919"/>
      <c r="BI299" s="919"/>
      <c r="BJ299" s="919"/>
      <c r="BK299" s="919"/>
      <c r="BL299" s="919"/>
      <c r="BM299" s="919"/>
      <c r="BN299" s="3771"/>
      <c r="BO299" s="3771"/>
      <c r="BP299" s="3771"/>
      <c r="BQ299" s="1256"/>
      <c r="BR299" s="1256"/>
      <c r="BS299" s="1039" t="s">
        <v>1721</v>
      </c>
      <c r="BT299" s="1041"/>
      <c r="BU299" s="1041"/>
      <c r="BV299" s="956"/>
      <c r="BW299" s="956"/>
    </row>
    <row s="1624" customFormat="1" customHeight="1" ht="14.25">
      <c r="A300" s="1256"/>
      <c r="B300" s="955"/>
      <c r="C300" s="1256"/>
      <c r="D300" s="73" cm="1" t="str">
        <f t="array" ref="D300:D300">D299</f>
        <v>11</v>
      </c>
      <c r="E300" s="679">
        <v>15</v>
      </c>
      <c r="F300" s="50" cm="1" t="str">
        <f t="array" ref="F300:F300">OFFSET(E300,-1,1)</f>
        <v>1</v>
      </c>
      <c r="G300" s="124" t="s">
        <v>1473</v>
      </c>
      <c r="H300" s="1256"/>
      <c r="I300" s="124" t="s">
        <v>2044</v>
      </c>
      <c r="J300" s="1256"/>
      <c r="K300" s="124" t="s">
        <v>2044</v>
      </c>
      <c r="L300" s="957" t="s">
        <v>1722</v>
      </c>
      <c r="M300" s="73"/>
      <c r="N300" s="1256"/>
      <c r="O300" s="1256"/>
      <c r="P300" s="1256"/>
      <c r="Q300" s="1256"/>
      <c r="R300" s="1256"/>
      <c r="S300" s="1256"/>
      <c r="T300" s="438" cm="1" t="str">
        <f t="array" ref="T300:T300">T299</f>
        <v>true</v>
      </c>
      <c r="U300" s="1256"/>
      <c r="V300" s="1256"/>
      <c r="W300" s="1256"/>
      <c r="X300" s="1511"/>
      <c r="Y300" s="1256"/>
      <c r="Z300" s="1494"/>
      <c r="AA300" s="1256"/>
      <c r="AB300" s="266" t="str">
        <f>D300&amp;".2"</f>
        <v>11.2</v>
      </c>
      <c r="AC300" s="1089" t="s">
        <v>1724</v>
      </c>
      <c r="AD300" s="266" t="s">
        <v>1476</v>
      </c>
      <c r="AE300" s="3701"/>
      <c r="AF300" s="3701"/>
      <c r="AG300" s="3701"/>
      <c r="AH300" s="920">
        <f>AG300-AF300</f>
        <v>0</v>
      </c>
      <c r="AI300" s="3616"/>
      <c r="AJ300" s="3616"/>
      <c r="AK300" s="3616"/>
      <c r="AL300" s="3616"/>
      <c r="AM300" s="3616"/>
      <c r="AN300" s="3616"/>
      <c r="AO300" s="3616"/>
      <c r="AP300" s="3616"/>
      <c r="AQ300" s="3616"/>
      <c r="AR300" s="3616"/>
      <c r="AS300" s="3616"/>
      <c r="AT300" s="3616"/>
      <c r="AU300" s="3616" cm="1" t="str">
        <f t="array" ref="AU300:AU300">AT302</f>
        <v>0</v>
      </c>
      <c r="AV300" s="3616" cm="1" t="str">
        <f t="array" ref="AV300:AV300">AU302</f>
        <v>0</v>
      </c>
      <c r="AW300" s="3616" cm="1" t="str">
        <f t="array" ref="AW300:AW300">AV302</f>
        <v>0</v>
      </c>
      <c r="AX300" s="3616" cm="1" t="str">
        <f t="array" ref="AX300:AX300">AW302</f>
        <v>0</v>
      </c>
      <c r="AY300" s="3616" cm="1" t="str">
        <f t="array" ref="AY300:AY300">AX302</f>
        <v>0</v>
      </c>
      <c r="AZ300" s="3616" cm="1" t="str">
        <f t="array" ref="AZ300:AZ300">AY302</f>
        <v>0</v>
      </c>
      <c r="BA300" s="3616" cm="1" t="str">
        <f t="array" ref="BA300:BA300">AZ302</f>
        <v>0</v>
      </c>
      <c r="BB300" s="3616" cm="1" t="str">
        <f t="array" ref="BB300:BB300">BA302</f>
        <v>0</v>
      </c>
      <c r="BC300" s="3616" cm="1" t="str">
        <f t="array" ref="BC300:BC300">BB302</f>
        <v>0</v>
      </c>
      <c r="BD300" s="919"/>
      <c r="BE300" s="919"/>
      <c r="BF300" s="919"/>
      <c r="BG300" s="919"/>
      <c r="BH300" s="919"/>
      <c r="BI300" s="919"/>
      <c r="BJ300" s="919"/>
      <c r="BK300" s="919"/>
      <c r="BL300" s="919"/>
      <c r="BM300" s="919"/>
      <c r="BN300" s="3771"/>
      <c r="BO300" s="3771"/>
      <c r="BP300" s="3771"/>
      <c r="BQ300" s="1256"/>
      <c r="BR300" s="1256"/>
      <c r="BS300" s="1039" t="s">
        <v>1725</v>
      </c>
      <c r="BT300" s="1041"/>
      <c r="BU300" s="1041"/>
      <c r="BV300" s="956"/>
      <c r="BW300" s="956"/>
    </row>
    <row s="1624" customFormat="1" customHeight="1" ht="14.25">
      <c r="A301" s="1256"/>
      <c r="B301" s="955"/>
      <c r="C301" s="1256"/>
      <c r="D301" s="73" cm="1" t="str">
        <f t="array" ref="D301:D301">D300</f>
        <v>11</v>
      </c>
      <c r="E301" s="679">
        <v>15</v>
      </c>
      <c r="F301" s="50" cm="1" t="str">
        <f t="array" ref="F301:F301">OFFSET(E301,-1,1)</f>
        <v>1</v>
      </c>
      <c r="G301" s="124" t="s">
        <v>1525</v>
      </c>
      <c r="H301" s="1256"/>
      <c r="I301" s="124" t="s">
        <v>2045</v>
      </c>
      <c r="J301" s="1256"/>
      <c r="K301" s="124" t="s">
        <v>2045</v>
      </c>
      <c r="L301" s="957" t="s">
        <v>1726</v>
      </c>
      <c r="M301" s="73"/>
      <c r="N301" s="1256"/>
      <c r="O301" s="1256"/>
      <c r="P301" s="1256"/>
      <c r="Q301" s="1256"/>
      <c r="R301" s="1256"/>
      <c r="S301" s="1256"/>
      <c r="T301" s="438" cm="1" t="str">
        <f t="array" ref="T301:T301">T300</f>
        <v>true</v>
      </c>
      <c r="U301" s="1256"/>
      <c r="V301" s="1256"/>
      <c r="W301" s="1256"/>
      <c r="X301" s="1511"/>
      <c r="Y301" s="1256"/>
      <c r="Z301" s="1494"/>
      <c r="AA301" s="1256"/>
      <c r="AB301" s="266" t="str">
        <f>D301&amp;".3"</f>
        <v>11.3</v>
      </c>
      <c r="AC301" s="1089" t="s">
        <v>2046</v>
      </c>
      <c r="AD301" s="266" t="s">
        <v>506</v>
      </c>
      <c r="AE301" s="923">
        <f>AE298-AE299</f>
        <v>18.4</v>
      </c>
      <c r="AF301" s="923">
        <f>AF298-AF299</f>
        <v>18.155545</v>
      </c>
      <c r="AG301" s="923">
        <f>AG298-AG299</f>
        <v>18.155545</v>
      </c>
      <c r="AH301" s="918">
        <f>AG301-AF301</f>
        <v>0</v>
      </c>
      <c r="AI301" s="801">
        <f>AI298-AI299</f>
        <v>18.651415</v>
      </c>
      <c r="AJ301" s="801">
        <f>AJ298-AJ299</f>
        <v>9.07775</v>
      </c>
      <c r="AK301" s="801">
        <f>AK298-AK299</f>
        <v>0</v>
      </c>
      <c r="AL301" s="801">
        <f>AL298-AL299</f>
        <v>0</v>
      </c>
      <c r="AM301" s="801">
        <f>AM298-AM299</f>
        <v>0</v>
      </c>
      <c r="AN301" s="801">
        <f>AN298-AN299</f>
        <v>0</v>
      </c>
      <c r="AO301" s="801">
        <f>AO298-AO299</f>
        <v>0</v>
      </c>
      <c r="AP301" s="801">
        <f>AP298-AP299</f>
        <v>0</v>
      </c>
      <c r="AQ301" s="801">
        <f>AQ298-AQ299</f>
        <v>0</v>
      </c>
      <c r="AR301" s="801">
        <f>AR298-AR299</f>
        <v>0</v>
      </c>
      <c r="AS301" s="801">
        <f>AS298-AS299</f>
        <v>0</v>
      </c>
      <c r="AT301" s="801">
        <f>AT298-AT299</f>
        <v>8.90626</v>
      </c>
      <c r="AU301" s="801">
        <f>AU298-AU299</f>
        <v>0</v>
      </c>
      <c r="AV301" s="801">
        <f>AV298-AV299</f>
        <v>0</v>
      </c>
      <c r="AW301" s="801">
        <f>AW298-AW299</f>
        <v>0</v>
      </c>
      <c r="AX301" s="801">
        <f>AX298-AX299</f>
        <v>0</v>
      </c>
      <c r="AY301" s="801">
        <f>AY298-AY299</f>
        <v>0</v>
      </c>
      <c r="AZ301" s="801">
        <f>AZ298-AZ299</f>
        <v>0</v>
      </c>
      <c r="BA301" s="801">
        <f>BA298-BA299</f>
        <v>0</v>
      </c>
      <c r="BB301" s="801">
        <f>BB298-BB299</f>
        <v>0</v>
      </c>
      <c r="BC301" s="801">
        <f>BC298-BC299</f>
        <v>0</v>
      </c>
      <c r="BD301" s="919"/>
      <c r="BE301" s="919"/>
      <c r="BF301" s="919"/>
      <c r="BG301" s="919"/>
      <c r="BH301" s="919"/>
      <c r="BI301" s="919"/>
      <c r="BJ301" s="919"/>
      <c r="BK301" s="919"/>
      <c r="BL301" s="919"/>
      <c r="BM301" s="919"/>
      <c r="BN301" s="3771"/>
      <c r="BO301" s="3771"/>
      <c r="BP301" s="3771"/>
      <c r="BQ301" s="1256"/>
      <c r="BR301" s="1256"/>
      <c r="BS301" s="1039" t="s">
        <v>1729</v>
      </c>
      <c r="BT301" s="1041"/>
      <c r="BU301" s="1041"/>
      <c r="BV301" s="956"/>
      <c r="BW301" s="956"/>
    </row>
    <row s="1624" customFormat="1" customHeight="1" ht="14.25">
      <c r="A302" s="1256"/>
      <c r="B302" s="955"/>
      <c r="C302" s="1256"/>
      <c r="D302" s="73" cm="1" t="str">
        <f t="array" ref="D302:D302">D301</f>
        <v>11</v>
      </c>
      <c r="E302" s="679">
        <v>15</v>
      </c>
      <c r="F302" s="50" cm="1" t="str">
        <f t="array" ref="F302:F302">OFFSET(E302,-1,1)</f>
        <v>1</v>
      </c>
      <c r="G302" s="124" t="s">
        <v>1478</v>
      </c>
      <c r="H302" s="1256"/>
      <c r="I302" s="124" t="s">
        <v>2047</v>
      </c>
      <c r="J302" s="1256"/>
      <c r="K302" s="124" t="s">
        <v>2047</v>
      </c>
      <c r="L302" s="957" t="s">
        <v>1730</v>
      </c>
      <c r="M302" s="73"/>
      <c r="N302" s="1256"/>
      <c r="O302" s="1256"/>
      <c r="P302" s="1256"/>
      <c r="Q302" s="1256"/>
      <c r="R302" s="1256"/>
      <c r="S302" s="1256"/>
      <c r="T302" s="438" cm="1" t="str">
        <f t="array" ref="T302:T302">T301</f>
        <v>true</v>
      </c>
      <c r="U302" s="1256"/>
      <c r="V302" s="1256"/>
      <c r="W302" s="1256"/>
      <c r="X302" s="1511"/>
      <c r="Y302" s="1256"/>
      <c r="Z302" s="1494"/>
      <c r="AA302" s="1256"/>
      <c r="AB302" s="266" t="str">
        <f>D302&amp;".4"</f>
        <v>11.4</v>
      </c>
      <c r="AC302" s="1089" t="s">
        <v>1732</v>
      </c>
      <c r="AD302" s="266" t="s">
        <v>1476</v>
      </c>
      <c r="AE302" s="3701">
        <f>IF(AE301=0,0,(AE295-AE299*AE300)/AE301)</f>
        <v>0</v>
      </c>
      <c r="AF302" s="3701">
        <f>IF(AF301=0,0,(AF295-AF299*AF300)/AF301)</f>
        <v>0</v>
      </c>
      <c r="AG302" s="3701">
        <f>IF(AG301=0,0,(AG295-AG299*AG300)/AG301)</f>
        <v>0</v>
      </c>
      <c r="AH302" s="920">
        <f>AG302-AF302</f>
        <v>0</v>
      </c>
      <c r="AI302" s="3616">
        <f>IF(AI301=0,0,(AI295-AI299*AI300)/AI301)</f>
        <v>0</v>
      </c>
      <c r="AJ302" s="3616">
        <f>IF(AJ301=0,0,(AJ295-AJ299*AJ300)/AJ301)</f>
        <v>0</v>
      </c>
      <c r="AK302" s="3616">
        <f>IF(AK301=0,0,(AK295-AK299*AK300)/AK301)</f>
        <v>0</v>
      </c>
      <c r="AL302" s="3616">
        <f>IF(AL301=0,0,(AL295-AL299*AL300)/AL301)</f>
        <v>0</v>
      </c>
      <c r="AM302" s="3616">
        <f>IF(AM301=0,0,(AM295-AM299*AM300)/AM301)</f>
        <v>0</v>
      </c>
      <c r="AN302" s="3616">
        <f>IF(AN301=0,0,(AN295-AN299*AN300)/AN301)</f>
        <v>0</v>
      </c>
      <c r="AO302" s="3616">
        <f>IF(AO301=0,0,(AO295-AO299*AO300)/AO301)</f>
        <v>0</v>
      </c>
      <c r="AP302" s="3616">
        <f>IF(AP301=0,0,(AP295-AP299*AP300)/AP301)</f>
        <v>0</v>
      </c>
      <c r="AQ302" s="3616">
        <f>IF(AQ301=0,0,(AQ295-AQ299*AQ300)/AQ301)</f>
        <v>0</v>
      </c>
      <c r="AR302" s="3616">
        <f>IF(AR301=0,0,(AR295-AR299*AR300)/AR301)</f>
        <v>0</v>
      </c>
      <c r="AS302" s="3616">
        <f>IF(AS301=0,0,(AS295-AS299*AS300)/AS301)</f>
        <v>0</v>
      </c>
      <c r="AT302" s="3616">
        <f>IF(AT301=0,0,(AT295-AT299*AT300)/AT301)</f>
        <v>0</v>
      </c>
      <c r="AU302" s="3616">
        <f>IF(AU301=0,0,(AU295-AU299*AU300)/AU301)</f>
        <v>0</v>
      </c>
      <c r="AV302" s="3616">
        <f>IF(AV301=0,0,(AV295-AV299*AV300)/AV301)</f>
        <v>0</v>
      </c>
      <c r="AW302" s="3616">
        <f>IF(AW301=0,0,(AW295-AW299*AW300)/AW301)</f>
        <v>0</v>
      </c>
      <c r="AX302" s="3616">
        <f>IF(AX301=0,0,(AX295-AX299*AX300)/AX301)</f>
        <v>0</v>
      </c>
      <c r="AY302" s="3616">
        <f>IF(AY301=0,0,(AY295-AY299*AY300)/AY301)</f>
        <v>0</v>
      </c>
      <c r="AZ302" s="3616">
        <f>IF(AZ301=0,0,(AZ295-AZ299*AZ300)/AZ301)</f>
        <v>0</v>
      </c>
      <c r="BA302" s="3616">
        <f>IF(BA301=0,0,(BA295-BA299*BA300)/BA301)</f>
        <v>0</v>
      </c>
      <c r="BB302" s="3616">
        <f>IF(BB301=0,0,(BB295-BB299*BB300)/BB301)</f>
        <v>0</v>
      </c>
      <c r="BC302" s="3616">
        <f>IF(BC301=0,0,(BC295-BC299*BC300)/BC301)</f>
        <v>0</v>
      </c>
      <c r="BD302" s="919"/>
      <c r="BE302" s="919"/>
      <c r="BF302" s="919"/>
      <c r="BG302" s="919"/>
      <c r="BH302" s="919"/>
      <c r="BI302" s="919"/>
      <c r="BJ302" s="919"/>
      <c r="BK302" s="919"/>
      <c r="BL302" s="919"/>
      <c r="BM302" s="919"/>
      <c r="BN302" s="3771"/>
      <c r="BO302" s="3771"/>
      <c r="BP302" s="3771"/>
      <c r="BQ302" s="1256"/>
      <c r="BR302" s="1256"/>
      <c r="BS302" s="1039" t="s">
        <v>1733</v>
      </c>
      <c r="BT302" s="1041"/>
      <c r="BU302" s="1041"/>
      <c r="BV302" s="956"/>
      <c r="BW302" s="956"/>
    </row>
    <row s="1624" customFormat="1" customHeight="1" ht="14.25">
      <c r="A303" s="1256"/>
      <c r="B303" s="955"/>
      <c r="C303" s="1256"/>
      <c r="D303" s="73" cm="1" t="str">
        <f t="array" ref="D303:D303">D302</f>
        <v>11</v>
      </c>
      <c r="E303" s="679">
        <v>15</v>
      </c>
      <c r="F303" s="50" cm="1" t="str">
        <f t="array" ref="F303:F303">OFFSET(E303,-1,1)</f>
        <v>1</v>
      </c>
      <c r="G303" s="1256"/>
      <c r="H303" s="1256"/>
      <c r="I303" s="124" t="s">
        <v>2048</v>
      </c>
      <c r="J303" s="1256"/>
      <c r="K303" s="124" t="s">
        <v>2048</v>
      </c>
      <c r="L303" s="957" t="s">
        <v>1734</v>
      </c>
      <c r="M303" s="73"/>
      <c r="N303" s="1256"/>
      <c r="O303" s="1256"/>
      <c r="P303" s="1256"/>
      <c r="Q303" s="1256"/>
      <c r="R303" s="1256"/>
      <c r="S303" s="1256"/>
      <c r="T303" s="438" cm="1" t="str">
        <f t="array" ref="T303:T303">T302</f>
        <v>true</v>
      </c>
      <c r="U303" s="1256"/>
      <c r="V303" s="1256"/>
      <c r="W303" s="1256"/>
      <c r="X303" s="1511"/>
      <c r="Y303" s="1256"/>
      <c r="Z303" s="1494"/>
      <c r="AA303" s="1256"/>
      <c r="AB303" s="266" t="str">
        <f>D303&amp;".5"</f>
        <v>11.5</v>
      </c>
      <c r="AC303" s="1089" t="s">
        <v>1736</v>
      </c>
      <c r="AD303" s="266" t="s">
        <v>430</v>
      </c>
      <c r="AE303" s="225">
        <f>IF(AE300=0,0,AE302/AE300*100)</f>
        <v>0</v>
      </c>
      <c r="AF303" s="225">
        <f>IF(AF300=0,0,AF302/AF300*100)</f>
        <v>0</v>
      </c>
      <c r="AG303" s="225">
        <f>IF(AG300=0,0,AG302/AG300*100)</f>
        <v>0</v>
      </c>
      <c r="AH303" s="919"/>
      <c r="AI303" s="778">
        <f>IF(AI300=0,0,AI302/AI300*100)</f>
        <v>0</v>
      </c>
      <c r="AJ303" s="778">
        <f>IF(AJ300=0,0,AJ302/AJ300*100)</f>
        <v>0</v>
      </c>
      <c r="AK303" s="778">
        <f>IF(AK300=0,0,AK302/AK300*100)</f>
        <v>0</v>
      </c>
      <c r="AL303" s="778">
        <f>IF(AL300=0,0,AL302/AL300*100)</f>
        <v>0</v>
      </c>
      <c r="AM303" s="778">
        <f>IF(AM300=0,0,AM302/AM300*100)</f>
        <v>0</v>
      </c>
      <c r="AN303" s="778">
        <f>IF(AN300=0,0,AN302/AN300*100)</f>
        <v>0</v>
      </c>
      <c r="AO303" s="778">
        <f>IF(AO300=0,0,AO302/AO300*100)</f>
        <v>0</v>
      </c>
      <c r="AP303" s="778">
        <f>IF(AP300=0,0,AP302/AP300*100)</f>
        <v>0</v>
      </c>
      <c r="AQ303" s="778">
        <f>IF(AQ300=0,0,AQ302/AQ300*100)</f>
        <v>0</v>
      </c>
      <c r="AR303" s="778">
        <f>IF(AR300=0,0,AR302/AR300*100)</f>
        <v>0</v>
      </c>
      <c r="AS303" s="778">
        <f>IF(AS300=0,0,AS302/AS300*100)</f>
        <v>0</v>
      </c>
      <c r="AT303" s="778">
        <f>IF(AT300=0,0,AT302/AT300*100)</f>
        <v>0</v>
      </c>
      <c r="AU303" s="778">
        <f>IF(AU300=0,0,AU302/AU300*100)</f>
        <v>0</v>
      </c>
      <c r="AV303" s="778">
        <f>IF(AV300=0,0,AV302/AV300*100)</f>
        <v>0</v>
      </c>
      <c r="AW303" s="778">
        <f>IF(AW300=0,0,AW302/AW300*100)</f>
        <v>0</v>
      </c>
      <c r="AX303" s="778">
        <f>IF(AX300=0,0,AX302/AX300*100)</f>
        <v>0</v>
      </c>
      <c r="AY303" s="778">
        <f>IF(AY300=0,0,AY302/AY300*100)</f>
        <v>0</v>
      </c>
      <c r="AZ303" s="778">
        <f>IF(AZ300=0,0,AZ302/AZ300*100)</f>
        <v>0</v>
      </c>
      <c r="BA303" s="778">
        <f>IF(BA300=0,0,BA302/BA300*100)</f>
        <v>0</v>
      </c>
      <c r="BB303" s="778">
        <f>IF(BB300=0,0,BB302/BB300*100)</f>
        <v>0</v>
      </c>
      <c r="BC303" s="778">
        <f>IF(BC300=0,0,BC302/BC300*100)</f>
        <v>0</v>
      </c>
      <c r="BD303" s="919"/>
      <c r="BE303" s="919"/>
      <c r="BF303" s="919"/>
      <c r="BG303" s="919"/>
      <c r="BH303" s="919"/>
      <c r="BI303" s="919"/>
      <c r="BJ303" s="919"/>
      <c r="BK303" s="919"/>
      <c r="BL303" s="919"/>
      <c r="BM303" s="919"/>
      <c r="BN303" s="3771"/>
      <c r="BO303" s="3771"/>
      <c r="BP303" s="3771"/>
      <c r="BQ303" s="1256"/>
      <c r="BR303" s="1256"/>
      <c r="BS303" s="1039" t="s">
        <v>1737</v>
      </c>
      <c r="BT303" s="1041"/>
      <c r="BU303" s="1041"/>
      <c r="BV303" s="956"/>
      <c r="BW303" s="956"/>
    </row>
    <row s="1624" customFormat="1" customHeight="1" ht="14.25">
      <c r="A304" s="1256"/>
      <c r="B304" s="955"/>
      <c r="C304" s="1256"/>
      <c r="D304" s="73" cm="1" t="str">
        <f t="array" ref="D304:D304">D303</f>
        <v>11</v>
      </c>
      <c r="E304" s="679">
        <v>15</v>
      </c>
      <c r="F304" s="50" cm="1" t="str">
        <f t="array" ref="F304:F304">OFFSET(E304,-1,1)</f>
        <v>1</v>
      </c>
      <c r="G304" s="1256"/>
      <c r="H304" s="1256"/>
      <c r="I304" s="124" t="s">
        <v>2049</v>
      </c>
      <c r="J304" s="1256"/>
      <c r="K304" s="124" t="s">
        <v>2049</v>
      </c>
      <c r="L304" s="957" t="s">
        <v>1738</v>
      </c>
      <c r="M304" s="73"/>
      <c r="N304" s="1256"/>
      <c r="O304" s="1256"/>
      <c r="P304" s="1256"/>
      <c r="Q304" s="1256"/>
      <c r="R304" s="1256"/>
      <c r="S304" s="1256"/>
      <c r="T304" s="438" cm="1" t="str">
        <f t="array" ref="T304:T304">T303</f>
        <v>true</v>
      </c>
      <c r="U304" s="1256"/>
      <c r="V304" s="1256"/>
      <c r="W304" s="1256"/>
      <c r="X304" s="1511"/>
      <c r="Y304" s="1256"/>
      <c r="Z304" s="1494"/>
      <c r="AA304" s="1256"/>
      <c r="AB304" s="266" t="str">
        <f>D304&amp;".6"</f>
        <v>11.6</v>
      </c>
      <c r="AC304" s="1089" t="s">
        <v>1740</v>
      </c>
      <c r="AD304" s="266" t="s">
        <v>1476</v>
      </c>
      <c r="AE304" s="3701">
        <f>IF(AE298=0,0,AE295/AE298)</f>
        <v>0</v>
      </c>
      <c r="AF304" s="3701">
        <f>IF(AF298=0,0,AF295/AF298)</f>
        <v>0</v>
      </c>
      <c r="AG304" s="3701">
        <f>IF(AG298=0,0,AG295/AG298)</f>
        <v>0</v>
      </c>
      <c r="AH304" s="920">
        <f>AG304-AF304</f>
        <v>0</v>
      </c>
      <c r="AI304" s="3616">
        <f>IF(AI298=0,0,AI295/AI298)</f>
        <v>0</v>
      </c>
      <c r="AJ304" s="3616">
        <f>IF(AJ298=0,0,AJ295/AJ298)</f>
        <v>0</v>
      </c>
      <c r="AK304" s="3616">
        <f>IF(AK298=0,0,AK295/AK298)</f>
        <v>0</v>
      </c>
      <c r="AL304" s="3616">
        <f>IF(AL298=0,0,AL295/AL298)</f>
        <v>0</v>
      </c>
      <c r="AM304" s="3616">
        <f>IF(AM298=0,0,AM295/AM298)</f>
        <v>0</v>
      </c>
      <c r="AN304" s="3616">
        <f>IF(AN298=0,0,AN295/AN298)</f>
        <v>0</v>
      </c>
      <c r="AO304" s="3616">
        <f>IF(AO298=0,0,AO295/AO298)</f>
        <v>0</v>
      </c>
      <c r="AP304" s="3616">
        <f>IF(AP298=0,0,AP295/AP298)</f>
        <v>0</v>
      </c>
      <c r="AQ304" s="3616">
        <f>IF(AQ298=0,0,AQ295/AQ298)</f>
        <v>0</v>
      </c>
      <c r="AR304" s="3616">
        <f>IF(AR298=0,0,AR295/AR298)</f>
        <v>0</v>
      </c>
      <c r="AS304" s="3616">
        <f>IF(AS298=0,0,AS295/AS298)</f>
        <v>0</v>
      </c>
      <c r="AT304" s="3616">
        <f>IF(AT298=0,0,AT295/AT298)</f>
        <v>0</v>
      </c>
      <c r="AU304" s="3616">
        <f>IF(AU298=0,0,AU295/AU298)</f>
        <v>0</v>
      </c>
      <c r="AV304" s="3616">
        <f>IF(AV298=0,0,AV295/AV298)</f>
        <v>0</v>
      </c>
      <c r="AW304" s="3616">
        <f>IF(AW298=0,0,AW295/AW298)</f>
        <v>0</v>
      </c>
      <c r="AX304" s="3616">
        <f>IF(AX298=0,0,AX295/AX298)</f>
        <v>0</v>
      </c>
      <c r="AY304" s="3616">
        <f>IF(AY298=0,0,AY295/AY298)</f>
        <v>0</v>
      </c>
      <c r="AZ304" s="3616">
        <f>IF(AZ298=0,0,AZ295/AZ298)</f>
        <v>0</v>
      </c>
      <c r="BA304" s="3616">
        <f>IF(BA298=0,0,BA295/BA298)</f>
        <v>0</v>
      </c>
      <c r="BB304" s="3616">
        <f>IF(BB298=0,0,BB295/BB298)</f>
        <v>0</v>
      </c>
      <c r="BC304" s="3616">
        <f>IF(BC298=0,0,BC295/BC298)</f>
        <v>0</v>
      </c>
      <c r="BD304" s="919"/>
      <c r="BE304" s="919"/>
      <c r="BF304" s="919"/>
      <c r="BG304" s="919"/>
      <c r="BH304" s="919"/>
      <c r="BI304" s="919"/>
      <c r="BJ304" s="919"/>
      <c r="BK304" s="919"/>
      <c r="BL304" s="919"/>
      <c r="BM304" s="919"/>
      <c r="BN304" s="3771"/>
      <c r="BO304" s="3771"/>
      <c r="BP304" s="3771"/>
      <c r="BQ304" s="1256"/>
      <c r="BR304" s="1256"/>
      <c r="BS304" s="1039" t="s">
        <v>1741</v>
      </c>
      <c r="BT304" s="1041"/>
      <c r="BU304" s="1041"/>
      <c r="BV304" s="956"/>
      <c r="BW304" s="956"/>
    </row>
    <row s="3784" customFormat="1" customHeight="1" ht="20.25">
      <c r="A305" s="676"/>
      <c r="B305" s="407"/>
      <c r="C305" s="676"/>
      <c r="D305" s="75">
        <f>D304+1</f>
        <v>12</v>
      </c>
      <c r="E305" s="683">
        <v>21</v>
      </c>
      <c r="F305" s="50" cm="1" t="str">
        <f t="array" ref="F305:F305">OFFSET(E305,-1,1)</f>
        <v>1</v>
      </c>
      <c r="G305" s="676"/>
      <c r="H305" s="124"/>
      <c r="I305" s="124" t="s">
        <v>1746</v>
      </c>
      <c r="J305" s="676"/>
      <c r="K305" s="124" t="s">
        <v>1746</v>
      </c>
      <c r="L305" s="962" t="s">
        <v>1742</v>
      </c>
      <c r="M305" s="75"/>
      <c r="N305" s="676"/>
      <c r="O305" s="676"/>
      <c r="P305" s="676"/>
      <c r="Q305" s="676"/>
      <c r="R305" s="676"/>
      <c r="S305" s="676"/>
      <c r="T305" s="438" cm="1" t="str">
        <f t="array" ref="T305:T305">T304</f>
        <v>true</v>
      </c>
      <c r="U305" s="676"/>
      <c r="V305" s="676"/>
      <c r="W305" s="676"/>
      <c r="X305" s="1511"/>
      <c r="Y305" s="676"/>
      <c r="Z305" s="1494"/>
      <c r="AA305" s="676"/>
      <c r="AB305" s="177" cm="1" t="str">
        <f t="array" ref="AB305:AB305">D305</f>
        <v>12</v>
      </c>
      <c r="AC305" s="178" t="s">
        <v>1744</v>
      </c>
      <c r="AD305" s="177" t="s">
        <v>789</v>
      </c>
      <c r="AE305" s="3614">
        <f>IF(AE298=0,0,AE295/AE298*AE306)</f>
        <v>0</v>
      </c>
      <c r="AF305" s="3614">
        <f>IF(AF298=0,0,AF295/AF298*AF306)</f>
        <v>0</v>
      </c>
      <c r="AG305" s="3614">
        <f>IF(AG298=0,0,AG295/AG298*AG306)</f>
        <v>0</v>
      </c>
      <c r="AH305" s="746">
        <f>AH307*AH308+AH309*AH310</f>
        <v>0</v>
      </c>
      <c r="AI305" s="3721">
        <f>IF(AI298=0,0,AI295/AI298*AI306)</f>
        <v>0</v>
      </c>
      <c r="AJ305" s="3721">
        <f>IF(AJ298=0,0,AJ295/AJ298*AJ306)</f>
        <v>0</v>
      </c>
      <c r="AK305" s="3721">
        <f>IF(AK298=0,0,AK295/AK298*AK306)</f>
        <v>0</v>
      </c>
      <c r="AL305" s="3721">
        <f>IF(AL298=0,0,AL295/AL298*AL306)</f>
        <v>0</v>
      </c>
      <c r="AM305" s="3721">
        <f>IF(AM298=0,0,AM295/AM298*AM306)</f>
        <v>0</v>
      </c>
      <c r="AN305" s="3721">
        <f>IF(AN298=0,0,AN295/AN298*AN306)</f>
        <v>0</v>
      </c>
      <c r="AO305" s="3721">
        <f>IF(AO298=0,0,AO295/AO298*AO306)</f>
        <v>0</v>
      </c>
      <c r="AP305" s="3721">
        <f>IF(AP298=0,0,AP295/AP298*AP306)</f>
        <v>0</v>
      </c>
      <c r="AQ305" s="3721">
        <f>IF(AQ298=0,0,AQ295/AQ298*AQ306)</f>
        <v>0</v>
      </c>
      <c r="AR305" s="3721">
        <f>IF(AR298=0,0,AR295/AR298*AR306)</f>
        <v>0</v>
      </c>
      <c r="AS305" s="3721">
        <f>IF(AS298=0,0,AS295/AS298*AS306)</f>
        <v>0</v>
      </c>
      <c r="AT305" s="3721">
        <f>IF(AT298=0,0,AT295/AT298*AT306)</f>
        <v>0</v>
      </c>
      <c r="AU305" s="3721">
        <f>IF(AU298=0,0,AU295/AU298*AU306)</f>
        <v>0</v>
      </c>
      <c r="AV305" s="3721">
        <f>IF(AV298=0,0,AV295/AV298*AV306)</f>
        <v>0</v>
      </c>
      <c r="AW305" s="3721">
        <f>IF(AW298=0,0,AW295/AW298*AW306)</f>
        <v>0</v>
      </c>
      <c r="AX305" s="3721">
        <f>IF(AX298=0,0,AX295/AX298*AX306)</f>
        <v>0</v>
      </c>
      <c r="AY305" s="3721">
        <f>IF(AY298=0,0,AY295/AY298*AY306)</f>
        <v>0</v>
      </c>
      <c r="AZ305" s="3721">
        <f>IF(AZ298=0,0,AZ295/AZ298*AZ306)</f>
        <v>0</v>
      </c>
      <c r="BA305" s="3721">
        <f>IF(BA298=0,0,BA295/BA298*BA306)</f>
        <v>0</v>
      </c>
      <c r="BB305" s="3721">
        <f>IF(BB298=0,0,BB295/BB298*BB306)</f>
        <v>0</v>
      </c>
      <c r="BC305" s="3721">
        <f>IF(BC298=0,0,BC295/BC298*BC306)</f>
        <v>0</v>
      </c>
      <c r="BD305" s="737">
        <f>IF(AI305=0,0,(AT305-AI305)/AI305*100)</f>
        <v>0</v>
      </c>
      <c r="BE305" s="737">
        <f>IF(AT305=0,0,(AU305-AT305)/AT305*100)</f>
        <v>0</v>
      </c>
      <c r="BF305" s="737">
        <f>IF(AU305=0,0,(AV305-AU305)/AU305*100)</f>
        <v>0</v>
      </c>
      <c r="BG305" s="737">
        <f>IF(AV305=0,0,(AW305-AV305)/AV305*100)</f>
        <v>0</v>
      </c>
      <c r="BH305" s="737">
        <f>IF(AW305=0,0,(AX305-AW305)/AW305*100)</f>
        <v>0</v>
      </c>
      <c r="BI305" s="737">
        <f>IF(AX305=0,0,(AY305-AX305)/AX305*100)</f>
        <v>0</v>
      </c>
      <c r="BJ305" s="737">
        <f>IF(AY305=0,0,(AZ305-AY305)/AY305*100)</f>
        <v>0</v>
      </c>
      <c r="BK305" s="737">
        <f>IF(AZ305=0,0,(BA305-AZ305)/AZ305*100)</f>
        <v>0</v>
      </c>
      <c r="BL305" s="737">
        <f>IF(BA305=0,0,(BB305-BA305)/BA305*100)</f>
        <v>0</v>
      </c>
      <c r="BM305" s="737">
        <f>IF(BB305=0,0,(BC305-BB305)/BB305*100)</f>
        <v>0</v>
      </c>
      <c r="BN305" s="3771"/>
      <c r="BO305" s="3771"/>
      <c r="BP305" s="3771"/>
      <c r="BQ305" s="676"/>
      <c r="BR305" s="676"/>
      <c r="BS305" s="1040" t="s">
        <v>1745</v>
      </c>
      <c r="BT305" s="1047"/>
      <c r="BU305" s="1047"/>
      <c r="BV305" s="683"/>
      <c r="BW305" s="683"/>
    </row>
    <row s="3785" customFormat="1" customHeight="1" ht="20.25">
      <c r="A306" s="676"/>
      <c r="B306" s="407"/>
      <c r="C306" s="676"/>
      <c r="D306" s="75">
        <f>D305+1</f>
        <v>13</v>
      </c>
      <c r="E306" s="683">
        <v>21</v>
      </c>
      <c r="F306" s="50" cm="1" t="str">
        <f t="array" ref="F306:F306">OFFSET(E306,-1,1)</f>
        <v>1</v>
      </c>
      <c r="G306" s="124" t="s">
        <v>1498</v>
      </c>
      <c r="H306" s="124"/>
      <c r="I306" s="124" t="s">
        <v>2050</v>
      </c>
      <c r="J306" s="676"/>
      <c r="K306" s="124" t="s">
        <v>2050</v>
      </c>
      <c r="L306" s="962" t="s">
        <v>1746</v>
      </c>
      <c r="M306" s="75"/>
      <c r="N306" s="676"/>
      <c r="O306" s="676"/>
      <c r="P306" s="676"/>
      <c r="Q306" s="676"/>
      <c r="R306" s="676"/>
      <c r="S306" s="676"/>
      <c r="T306" s="438" cm="1" t="str">
        <f t="array" ref="T306:T306">T305</f>
        <v>true</v>
      </c>
      <c r="U306" s="676"/>
      <c r="V306" s="676"/>
      <c r="W306" s="676"/>
      <c r="X306" s="1511"/>
      <c r="Y306" s="676"/>
      <c r="Z306" s="1494"/>
      <c r="AA306" s="676"/>
      <c r="AB306" s="177" cm="1" t="str">
        <f t="array" ref="AB306:AB306">D306</f>
        <v>13</v>
      </c>
      <c r="AC306" s="178" t="s">
        <v>1748</v>
      </c>
      <c r="AD306" s="177" t="s">
        <v>506</v>
      </c>
      <c r="AE306" s="761">
        <f>_xlfn.SUMIFS(Баланс!AE$26:AE$209,Баланс!$F$26:$F$209,$F306,Баланс!$G$26:$G$209,"население")</f>
        <v>0</v>
      </c>
      <c r="AF306" s="761">
        <f>_xlfn.SUMIFS(Баланс!AF$26:AF$209,Баланс!$F$26:$F$209,$F306,Баланс!$G$26:$G$209,"население")</f>
        <v>0</v>
      </c>
      <c r="AG306" s="761">
        <f>_xlfn.SUMIFS(Баланс!AG$26:AG$209,Баланс!$F$26:$F$209,$F306,Баланс!$G$26:$G$209,"население")</f>
        <v>0</v>
      </c>
      <c r="AH306" s="762">
        <f>AG306-AF306</f>
        <v>0</v>
      </c>
      <c r="AI306" s="762">
        <f>_xlfn.SUMIFS(Баланс!AH$26:AH$209,Баланс!$F$26:$F$209,$F306,Баланс!$G$26:$G$209,"население")</f>
        <v>0</v>
      </c>
      <c r="AJ306" s="762">
        <f>_xlfn.SUMIFS(Баланс!AI$26:AI$209,Баланс!$F$26:$F$209,$F306,Баланс!$G$26:$G$209,"население")</f>
        <v>0</v>
      </c>
      <c r="AK306" s="762">
        <f>_xlfn.SUMIFS(Баланс!AJ$26:AJ$209,Баланс!$F$26:$F$209,$F306,Баланс!$G$26:$G$209,"население")</f>
        <v>0</v>
      </c>
      <c r="AL306" s="762">
        <f>_xlfn.SUMIFS(Баланс!AK$26:AK$209,Баланс!$F$26:$F$209,$F306,Баланс!$G$26:$G$209,"население")</f>
        <v>0</v>
      </c>
      <c r="AM306" s="762">
        <f>_xlfn.SUMIFS(Баланс!AL$26:AL$209,Баланс!$F$26:$F$209,$F306,Баланс!$G$26:$G$209,"население")</f>
        <v>0</v>
      </c>
      <c r="AN306" s="762">
        <f>_xlfn.SUMIFS(Баланс!AM$26:AM$209,Баланс!$F$26:$F$209,$F306,Баланс!$G$26:$G$209,"население")</f>
        <v>0</v>
      </c>
      <c r="AO306" s="762">
        <f>_xlfn.SUMIFS(Баланс!AN$26:AN$209,Баланс!$F$26:$F$209,$F306,Баланс!$G$26:$G$209,"население")</f>
        <v>0</v>
      </c>
      <c r="AP306" s="762">
        <f>_xlfn.SUMIFS(Баланс!AO$26:AO$209,Баланс!$F$26:$F$209,$F306,Баланс!$G$26:$G$209,"население")</f>
        <v>0</v>
      </c>
      <c r="AQ306" s="762">
        <f>_xlfn.SUMIFS(Баланс!AP$26:AP$209,Баланс!$F$26:$F$209,$F306,Баланс!$G$26:$G$209,"население")</f>
        <v>0</v>
      </c>
      <c r="AR306" s="762">
        <f>_xlfn.SUMIFS(Баланс!AQ$26:AQ$209,Баланс!$F$26:$F$209,$F306,Баланс!$G$26:$G$209,"население")</f>
        <v>0</v>
      </c>
      <c r="AS306" s="762">
        <f>_xlfn.SUMIFS(Баланс!AR$26:AR$209,Баланс!$F$26:$F$209,$F306,Баланс!$G$26:$G$209,"население")</f>
        <v>0</v>
      </c>
      <c r="AT306" s="762">
        <f>_xlfn.SUMIFS(Баланс!AS$26:AS$209,Баланс!$F$26:$F$209,$F306,Баланс!$G$26:$G$209,"население")</f>
        <v>0</v>
      </c>
      <c r="AU306" s="762">
        <f>_xlfn.SUMIFS(Баланс!AT$26:AT$209,Баланс!$F$26:$F$209,$F306,Баланс!$G$26:$G$209,"население")</f>
        <v>0</v>
      </c>
      <c r="AV306" s="762">
        <f>_xlfn.SUMIFS(Баланс!AU$26:AU$209,Баланс!$F$26:$F$209,$F306,Баланс!$G$26:$G$209,"население")</f>
        <v>0</v>
      </c>
      <c r="AW306" s="762">
        <f>_xlfn.SUMIFS(Баланс!AV$26:AV$209,Баланс!$F$26:$F$209,$F306,Баланс!$G$26:$G$209,"население")</f>
        <v>0</v>
      </c>
      <c r="AX306" s="762">
        <f>_xlfn.SUMIFS(Баланс!AW$26:AW$209,Баланс!$F$26:$F$209,$F306,Баланс!$G$26:$G$209,"население")</f>
        <v>0</v>
      </c>
      <c r="AY306" s="762">
        <f>_xlfn.SUMIFS(Баланс!AX$26:AX$209,Баланс!$F$26:$F$209,$F306,Баланс!$G$26:$G$209,"население")</f>
        <v>0</v>
      </c>
      <c r="AZ306" s="762">
        <f>_xlfn.SUMIFS(Баланс!AY$26:AY$209,Баланс!$F$26:$F$209,$F306,Баланс!$G$26:$G$209,"население")</f>
        <v>0</v>
      </c>
      <c r="BA306" s="762">
        <f>_xlfn.SUMIFS(Баланс!AZ$26:AZ$209,Баланс!$F$26:$F$209,$F306,Баланс!$G$26:$G$209,"население")</f>
        <v>0</v>
      </c>
      <c r="BB306" s="762">
        <f>_xlfn.SUMIFS(Баланс!BA$26:BA$209,Баланс!$F$26:$F$209,$F306,Баланс!$G$26:$G$209,"население")</f>
        <v>0</v>
      </c>
      <c r="BC306" s="762">
        <f>_xlfn.SUMIFS(Баланс!BB$26:BB$209,Баланс!$F$26:$F$209,$F306,Баланс!$G$26:$G$209,"население")</f>
        <v>0</v>
      </c>
      <c r="BD306" s="740"/>
      <c r="BE306" s="740"/>
      <c r="BF306" s="740"/>
      <c r="BG306" s="740"/>
      <c r="BH306" s="740"/>
      <c r="BI306" s="740"/>
      <c r="BJ306" s="740"/>
      <c r="BK306" s="740"/>
      <c r="BL306" s="740"/>
      <c r="BM306" s="740"/>
      <c r="BN306" s="3771"/>
      <c r="BO306" s="3771"/>
      <c r="BP306" s="3771"/>
      <c r="BQ306" s="676"/>
      <c r="BR306" s="676"/>
      <c r="BS306" s="1040" t="s">
        <v>1749</v>
      </c>
      <c r="BT306" s="1047"/>
      <c r="BU306" s="1047"/>
      <c r="BV306" s="683"/>
      <c r="BW306" s="683"/>
    </row>
    <row s="1624" customFormat="1" customHeight="1" ht="14.25">
      <c r="A307" s="1256"/>
      <c r="B307" s="955"/>
      <c r="C307" s="1256"/>
      <c r="D307" s="73" cm="1" t="str">
        <f t="array" ref="D307:D307">D306</f>
        <v>13</v>
      </c>
      <c r="E307" s="679">
        <v>15</v>
      </c>
      <c r="F307" s="50" cm="1" t="str">
        <f t="array" ref="F307:F307">OFFSET(E307,-1,1)</f>
        <v>1</v>
      </c>
      <c r="G307" s="124" t="s">
        <v>1532</v>
      </c>
      <c r="H307" s="1256"/>
      <c r="I307" s="124" t="s">
        <v>2051</v>
      </c>
      <c r="J307" s="1256"/>
      <c r="K307" s="124" t="s">
        <v>2051</v>
      </c>
      <c r="L307" s="957" t="s">
        <v>1750</v>
      </c>
      <c r="M307" s="73"/>
      <c r="N307" s="1256"/>
      <c r="O307" s="1256"/>
      <c r="P307" s="1256"/>
      <c r="Q307" s="1256"/>
      <c r="R307" s="1256"/>
      <c r="S307" s="1256"/>
      <c r="T307" s="438" cm="1" t="str">
        <f t="array" ref="T307:T307">T306</f>
        <v>true</v>
      </c>
      <c r="U307" s="1256"/>
      <c r="V307" s="1256"/>
      <c r="W307" s="1256"/>
      <c r="X307" s="1511"/>
      <c r="Y307" s="1256"/>
      <c r="Z307" s="1494"/>
      <c r="AA307" s="1256"/>
      <c r="AB307" s="266" t="str">
        <f>D307&amp;".1"</f>
        <v>13.1</v>
      </c>
      <c r="AC307" s="1089" t="s">
        <v>1752</v>
      </c>
      <c r="AD307" s="266" t="s">
        <v>506</v>
      </c>
      <c r="AE307" s="3718">
        <f>AE306/2</f>
        <v>0</v>
      </c>
      <c r="AF307" s="3718">
        <f>AF306/2</f>
        <v>0</v>
      </c>
      <c r="AG307" s="3718">
        <f>AG306/2</f>
        <v>0</v>
      </c>
      <c r="AH307" s="918">
        <f>AG307-AF307</f>
        <v>0</v>
      </c>
      <c r="AI307" s="3611">
        <f>AI306/2</f>
        <v>0</v>
      </c>
      <c r="AJ307" s="3718">
        <f>IF(god=2026,AJ306/12*9,AJ306/2)</f>
        <v>0</v>
      </c>
      <c r="AK307" s="3718">
        <f>IF(god=2025,AK306/12*9,AK306/2)</f>
        <v>0</v>
      </c>
      <c r="AL307" s="3611">
        <f>AL306/2</f>
        <v>0</v>
      </c>
      <c r="AM307" s="3611">
        <f>AM306/2</f>
        <v>0</v>
      </c>
      <c r="AN307" s="3611">
        <f>AN306/2</f>
        <v>0</v>
      </c>
      <c r="AO307" s="3611">
        <f>AO306/2</f>
        <v>0</v>
      </c>
      <c r="AP307" s="3611">
        <f>AP306/2</f>
        <v>0</v>
      </c>
      <c r="AQ307" s="3611">
        <f>AQ306/2</f>
        <v>0</v>
      </c>
      <c r="AR307" s="3611">
        <f>AR306/2</f>
        <v>0</v>
      </c>
      <c r="AS307" s="3611">
        <f>AS306/2</f>
        <v>0</v>
      </c>
      <c r="AT307" s="3611">
        <f>IF(god=2026,AT306/12*9,AT306/2)</f>
        <v>0</v>
      </c>
      <c r="AU307" s="3611">
        <f>IF(god=2025,AU306/12*9,AU306/2)</f>
        <v>0</v>
      </c>
      <c r="AV307" s="3611">
        <f>AV306/2</f>
        <v>0</v>
      </c>
      <c r="AW307" s="3611">
        <f>AW306/2</f>
        <v>0</v>
      </c>
      <c r="AX307" s="3611">
        <f>AX306/2</f>
        <v>0</v>
      </c>
      <c r="AY307" s="3611">
        <f>AY306/2</f>
        <v>0</v>
      </c>
      <c r="AZ307" s="3611">
        <f>AZ306/2</f>
        <v>0</v>
      </c>
      <c r="BA307" s="3611">
        <f>BA306/2</f>
        <v>0</v>
      </c>
      <c r="BB307" s="3611">
        <f>BB306/2</f>
        <v>0</v>
      </c>
      <c r="BC307" s="3611">
        <f>BC306/2</f>
        <v>0</v>
      </c>
      <c r="BD307" s="919"/>
      <c r="BE307" s="919"/>
      <c r="BF307" s="919"/>
      <c r="BG307" s="919"/>
      <c r="BH307" s="919"/>
      <c r="BI307" s="919"/>
      <c r="BJ307" s="919"/>
      <c r="BK307" s="919"/>
      <c r="BL307" s="919"/>
      <c r="BM307" s="919"/>
      <c r="BN307" s="3771"/>
      <c r="BO307" s="3771"/>
      <c r="BP307" s="3771"/>
      <c r="BQ307" s="1256"/>
      <c r="BR307" s="1256"/>
      <c r="BS307" s="1039" t="s">
        <v>1753</v>
      </c>
      <c r="BT307" s="1041"/>
      <c r="BU307" s="1041"/>
      <c r="BV307" s="956"/>
      <c r="BW307" s="956"/>
    </row>
    <row s="1624" customFormat="1" customHeight="1" ht="14.25">
      <c r="A308" s="1256"/>
      <c r="B308" s="955"/>
      <c r="C308" s="1256"/>
      <c r="D308" s="73" cm="1" t="str">
        <f t="array" ref="D308:D308">D307</f>
        <v>13</v>
      </c>
      <c r="E308" s="679">
        <v>15</v>
      </c>
      <c r="F308" s="50" cm="1" t="str">
        <f t="array" ref="F308:F308">OFFSET(E308,-1,1)</f>
        <v>1</v>
      </c>
      <c r="G308" s="124" t="s">
        <v>1488</v>
      </c>
      <c r="H308" s="1256"/>
      <c r="I308" s="124" t="s">
        <v>2052</v>
      </c>
      <c r="J308" s="1256"/>
      <c r="K308" s="124" t="s">
        <v>2052</v>
      </c>
      <c r="L308" s="957" t="s">
        <v>1754</v>
      </c>
      <c r="M308" s="73"/>
      <c r="N308" s="1256"/>
      <c r="O308" s="1256"/>
      <c r="P308" s="1256"/>
      <c r="Q308" s="1256"/>
      <c r="R308" s="1256"/>
      <c r="S308" s="1256"/>
      <c r="T308" s="438" cm="1" t="str">
        <f t="array" ref="T308:T308">T307</f>
        <v>true</v>
      </c>
      <c r="U308" s="1256"/>
      <c r="V308" s="1256"/>
      <c r="W308" s="1256"/>
      <c r="X308" s="1511"/>
      <c r="Y308" s="1256"/>
      <c r="Z308" s="1494"/>
      <c r="AA308" s="1256"/>
      <c r="AB308" s="266" t="str">
        <f>D308&amp;".2"</f>
        <v>13.2</v>
      </c>
      <c r="AC308" s="1089" t="s">
        <v>1756</v>
      </c>
      <c r="AD308" s="266" t="s">
        <v>1476</v>
      </c>
      <c r="AE308" s="3616">
        <f>IF(AE306=0,0,AE300*(1+Сценарии!AE$26))</f>
        <v>0</v>
      </c>
      <c r="AF308" s="3616">
        <f>IF(AF306=0,0,AF300*(1+Сценарии!AF$26))</f>
        <v>0</v>
      </c>
      <c r="AG308" s="3616">
        <f>IF(AG306=0,0,AG300*(1+Сценарии!AG$26))</f>
        <v>0</v>
      </c>
      <c r="AH308" s="920">
        <f>AG308-AF308</f>
        <v>0</v>
      </c>
      <c r="AI308" s="3616">
        <f>IF(AI306=0,0,AI300*(1+Сценарии!AI$26))</f>
        <v>0</v>
      </c>
      <c r="AJ308" s="3616">
        <f>IF(AJ306=0,0,AJ300*(1+Сценарии!AJ$26))</f>
        <v>0</v>
      </c>
      <c r="AK308" s="3616">
        <f>IF(AK306=0,0,AK300*(1+Сценарии!AO$26))</f>
        <v>0</v>
      </c>
      <c r="AL308" s="3616">
        <f>IF(AL306=0,0,AL300*(1+Сценарии!AP$26))</f>
        <v>0</v>
      </c>
      <c r="AM308" s="3616">
        <f>IF(AM306=0,0,AM300*(1+Сценарии!AQ$26))</f>
        <v>0</v>
      </c>
      <c r="AN308" s="3616">
        <f>IF(AN306=0,0,AN300*(1+Сценарии!AR$26))</f>
        <v>0</v>
      </c>
      <c r="AO308" s="3616">
        <f>IF(AO306=0,0,AO300*(1+Сценарии!AS$26))</f>
        <v>0</v>
      </c>
      <c r="AP308" s="3616">
        <f>IF(AP306=0,0,AP300*(1+Сценарии!AT$26))</f>
        <v>0</v>
      </c>
      <c r="AQ308" s="3616">
        <f>IF(AQ306=0,0,AQ300*(1+Сценарии!AU$26))</f>
        <v>0</v>
      </c>
      <c r="AR308" s="3616">
        <f>IF(AR306=0,0,AR300*(1+Сценарии!AV$26))</f>
        <v>0</v>
      </c>
      <c r="AS308" s="3616">
        <f>IF(AS306=0,0,AS300*(1+Сценарии!AW$26))</f>
        <v>0</v>
      </c>
      <c r="AT308" s="3616">
        <f>IF(AT306=0,0,AT300*(1+Сценарии!AK$26))</f>
        <v>0</v>
      </c>
      <c r="AU308" s="3616">
        <f>IF(AU306=0,0,AU300*(1+Сценарии!AX$26))</f>
        <v>0</v>
      </c>
      <c r="AV308" s="3616">
        <f>IF(AV306=0,0,AV300*(1+Сценарии!AY$26))</f>
        <v>0</v>
      </c>
      <c r="AW308" s="3616">
        <f>IF(AW306=0,0,AW300*(1+Сценарии!AZ$26))</f>
        <v>0</v>
      </c>
      <c r="AX308" s="3616">
        <f>IF(AX306=0,0,AX300*(1+Сценарии!BA$26))</f>
        <v>0</v>
      </c>
      <c r="AY308" s="3616">
        <f>IF(AY306=0,0,AY300*(1+Сценарии!BB$26))</f>
        <v>0</v>
      </c>
      <c r="AZ308" s="3616">
        <f>IF(AZ306=0,0,AZ300*(1+Сценарии!BC$26))</f>
        <v>0</v>
      </c>
      <c r="BA308" s="3616">
        <f>IF(BA306=0,0,BA300*(1+Сценарии!BD$26))</f>
        <v>0</v>
      </c>
      <c r="BB308" s="3616">
        <f>IF(BB306=0,0,BB300*(1+Сценарии!BE$26))</f>
        <v>0</v>
      </c>
      <c r="BC308" s="3616">
        <f>IF(BC306=0,0,BC300*(1+Сценарии!BF$26))</f>
        <v>0</v>
      </c>
      <c r="BD308" s="919"/>
      <c r="BE308" s="919"/>
      <c r="BF308" s="919"/>
      <c r="BG308" s="919"/>
      <c r="BH308" s="919"/>
      <c r="BI308" s="919"/>
      <c r="BJ308" s="919"/>
      <c r="BK308" s="919"/>
      <c r="BL308" s="919"/>
      <c r="BM308" s="919"/>
      <c r="BN308" s="3771"/>
      <c r="BO308" s="3771"/>
      <c r="BP308" s="3771"/>
      <c r="BQ308" s="1256"/>
      <c r="BR308" s="1256"/>
      <c r="BS308" s="1039" t="s">
        <v>1757</v>
      </c>
      <c r="BT308" s="1041"/>
      <c r="BU308" s="1041"/>
      <c r="BV308" s="956"/>
      <c r="BW308" s="956"/>
    </row>
    <row s="1624" customFormat="1" customHeight="1" ht="14.25">
      <c r="A309" s="1256"/>
      <c r="B309" s="62"/>
      <c r="C309" s="73"/>
      <c r="D309" s="73" cm="1" t="str">
        <f t="array" ref="D309:D309">D308</f>
        <v>13</v>
      </c>
      <c r="E309" s="596">
        <v>15</v>
      </c>
      <c r="F309" s="50" cm="1" t="str">
        <f t="array" ref="F309:F309">OFFSET(E309,-1,1)</f>
        <v>1</v>
      </c>
      <c r="G309" s="73" t="s">
        <v>1539</v>
      </c>
      <c r="H309" s="73"/>
      <c r="I309" s="73" t="s">
        <v>2053</v>
      </c>
      <c r="J309" s="73"/>
      <c r="K309" s="73" t="s">
        <v>2053</v>
      </c>
      <c r="L309" s="957" t="s">
        <v>1758</v>
      </c>
      <c r="M309" s="73"/>
      <c r="N309" s="73"/>
      <c r="O309" s="73"/>
      <c r="P309" s="73"/>
      <c r="Q309" s="73"/>
      <c r="R309" s="73"/>
      <c r="S309" s="73"/>
      <c r="T309" s="438" cm="1" t="str">
        <f t="array" ref="T309:T309">T308</f>
        <v>true</v>
      </c>
      <c r="U309" s="73"/>
      <c r="V309" s="73"/>
      <c r="W309" s="73"/>
      <c r="X309" s="1511"/>
      <c r="Y309" s="1256"/>
      <c r="Z309" s="1494"/>
      <c r="AA309" s="1256"/>
      <c r="AB309" s="266" t="str">
        <f>D309&amp;".3"</f>
        <v>13.3</v>
      </c>
      <c r="AC309" s="1089" t="s">
        <v>1728</v>
      </c>
      <c r="AD309" s="266" t="s">
        <v>506</v>
      </c>
      <c r="AE309" s="923">
        <f>AE306-AE307</f>
        <v>0</v>
      </c>
      <c r="AF309" s="923">
        <f>AF306-AF307</f>
        <v>0</v>
      </c>
      <c r="AG309" s="923">
        <f>AG306-AG307</f>
        <v>0</v>
      </c>
      <c r="AH309" s="918">
        <f>AG309-AF309</f>
        <v>0</v>
      </c>
      <c r="AI309" s="801">
        <f>AI306-AI307</f>
        <v>0</v>
      </c>
      <c r="AJ309" s="801">
        <f>AJ306-AJ307</f>
        <v>0</v>
      </c>
      <c r="AK309" s="801">
        <f>AK306-AK307</f>
        <v>0</v>
      </c>
      <c r="AL309" s="801">
        <f>AL306-AL307</f>
        <v>0</v>
      </c>
      <c r="AM309" s="801">
        <f>AM306-AM307</f>
        <v>0</v>
      </c>
      <c r="AN309" s="801">
        <f>AN306-AN307</f>
        <v>0</v>
      </c>
      <c r="AO309" s="801">
        <f>AO306-AO307</f>
        <v>0</v>
      </c>
      <c r="AP309" s="801">
        <f>AP306-AP307</f>
        <v>0</v>
      </c>
      <c r="AQ309" s="801">
        <f>AQ306-AQ307</f>
        <v>0</v>
      </c>
      <c r="AR309" s="801">
        <f>AR306-AR307</f>
        <v>0</v>
      </c>
      <c r="AS309" s="801">
        <f>AS306-AS307</f>
        <v>0</v>
      </c>
      <c r="AT309" s="801">
        <f>AT306-AT307</f>
        <v>0</v>
      </c>
      <c r="AU309" s="801">
        <f>AU306-AU307</f>
        <v>0</v>
      </c>
      <c r="AV309" s="801">
        <f>AV306-AV307</f>
        <v>0</v>
      </c>
      <c r="AW309" s="801">
        <f>AW306-AW307</f>
        <v>0</v>
      </c>
      <c r="AX309" s="801">
        <f>AX306-AX307</f>
        <v>0</v>
      </c>
      <c r="AY309" s="801">
        <f>AY306-AY307</f>
        <v>0</v>
      </c>
      <c r="AZ309" s="801">
        <f>AZ306-AZ307</f>
        <v>0</v>
      </c>
      <c r="BA309" s="801">
        <f>BA306-BA307</f>
        <v>0</v>
      </c>
      <c r="BB309" s="801">
        <f>BB306-BB307</f>
        <v>0</v>
      </c>
      <c r="BC309" s="801">
        <f>BC306-BC307</f>
        <v>0</v>
      </c>
      <c r="BD309" s="919"/>
      <c r="BE309" s="919"/>
      <c r="BF309" s="919"/>
      <c r="BG309" s="919"/>
      <c r="BH309" s="919"/>
      <c r="BI309" s="919"/>
      <c r="BJ309" s="919"/>
      <c r="BK309" s="919"/>
      <c r="BL309" s="919"/>
      <c r="BM309" s="919"/>
      <c r="BN309" s="3771"/>
      <c r="BO309" s="3771"/>
      <c r="BP309" s="3771"/>
      <c r="BQ309" s="1256"/>
      <c r="BR309" s="1256"/>
      <c r="BS309" s="1039" t="s">
        <v>1760</v>
      </c>
      <c r="BT309" s="1041"/>
      <c r="BU309" s="1041"/>
      <c r="BV309" s="956"/>
      <c r="BW309" s="956"/>
    </row>
    <row s="1624" customFormat="1" customHeight="1" ht="14.25">
      <c r="A310" s="1256"/>
      <c r="B310" s="62"/>
      <c r="C310" s="73"/>
      <c r="D310" s="73" cm="1" t="str">
        <f t="array" ref="D310:D310">D309</f>
        <v>13</v>
      </c>
      <c r="E310" s="596">
        <v>15</v>
      </c>
      <c r="F310" s="50" cm="1" t="str">
        <f t="array" ref="F310:F310">OFFSET(E310,-1,1)</f>
        <v>1</v>
      </c>
      <c r="G310" s="73" t="s">
        <v>1492</v>
      </c>
      <c r="H310" s="73"/>
      <c r="I310" s="73" t="s">
        <v>2054</v>
      </c>
      <c r="J310" s="73"/>
      <c r="K310" s="73" t="s">
        <v>2054</v>
      </c>
      <c r="L310" s="957" t="s">
        <v>1761</v>
      </c>
      <c r="M310" s="73"/>
      <c r="N310" s="73"/>
      <c r="O310" s="73"/>
      <c r="P310" s="73"/>
      <c r="Q310" s="73"/>
      <c r="R310" s="73"/>
      <c r="S310" s="73"/>
      <c r="T310" s="438" cm="1" t="str">
        <f t="array" ref="T310:T310">T309</f>
        <v>true</v>
      </c>
      <c r="U310" s="73"/>
      <c r="V310" s="73"/>
      <c r="W310" s="73"/>
      <c r="X310" s="1511"/>
      <c r="Y310" s="1256"/>
      <c r="Z310" s="1494"/>
      <c r="AA310" s="1256"/>
      <c r="AB310" s="266" t="str">
        <f>D310&amp;".4"</f>
        <v>13.4</v>
      </c>
      <c r="AC310" s="1089" t="s">
        <v>1732</v>
      </c>
      <c r="AD310" s="266" t="s">
        <v>1476</v>
      </c>
      <c r="AE310" s="3616">
        <f>IF(AE306=0,0,AE302*(1+Сценарии!AE$26))</f>
        <v>0</v>
      </c>
      <c r="AF310" s="3616">
        <f>IF(AF306=0,0,AF302*(1+Сценарии!AF$26))</f>
        <v>0</v>
      </c>
      <c r="AG310" s="3616">
        <f>IF(AG306=0,0,AG302*(1+Сценарии!AG$26))</f>
        <v>0</v>
      </c>
      <c r="AH310" s="920">
        <f>AG310-AF310</f>
        <v>0</v>
      </c>
      <c r="AI310" s="3616">
        <f>IF(AI306=0,0,AI302*(1+Сценарии!AI$26))</f>
        <v>0</v>
      </c>
      <c r="AJ310" s="3616">
        <f>IF(AJ306=0,0,AJ302*(1+Сценарии!AJ$26))</f>
        <v>0</v>
      </c>
      <c r="AK310" s="3616">
        <f>IF(AK306=0,0,AK302*(1+Сценарии!AO$26))</f>
        <v>0</v>
      </c>
      <c r="AL310" s="3616">
        <f>IF(AL306=0,0,AL302*(1+Сценарии!AP$26))</f>
        <v>0</v>
      </c>
      <c r="AM310" s="3616">
        <f>IF(AM306=0,0,AM302*(1+Сценарии!AQ$26))</f>
        <v>0</v>
      </c>
      <c r="AN310" s="3616">
        <f>IF(AN306=0,0,AN302*(1+Сценарии!AR$26))</f>
        <v>0</v>
      </c>
      <c r="AO310" s="3616">
        <f>IF(AO306=0,0,AO302*(1+Сценарии!AS$26))</f>
        <v>0</v>
      </c>
      <c r="AP310" s="3616">
        <f>IF(AP306=0,0,AP302*(1+Сценарии!AT$26))</f>
        <v>0</v>
      </c>
      <c r="AQ310" s="3616">
        <f>IF(AQ306=0,0,AQ302*(1+Сценарии!AU$26))</f>
        <v>0</v>
      </c>
      <c r="AR310" s="3616">
        <f>IF(AR306=0,0,AR302*(1+Сценарии!AV$26))</f>
        <v>0</v>
      </c>
      <c r="AS310" s="3616">
        <f>IF(AS306=0,0,AS302*(1+Сценарии!AW$26))</f>
        <v>0</v>
      </c>
      <c r="AT310" s="3616">
        <f>IF(AT306=0,0,AT302*(1+Сценарии!AK$26))</f>
        <v>0</v>
      </c>
      <c r="AU310" s="3616">
        <f>IF(AU306=0,0,AU302*(1+Сценарии!AX$26))</f>
        <v>0</v>
      </c>
      <c r="AV310" s="3616">
        <f>IF(AV306=0,0,AV302*(1+Сценарии!AY$26))</f>
        <v>0</v>
      </c>
      <c r="AW310" s="3616">
        <f>IF(AW306=0,0,AW302*(1+Сценарии!AZ$26))</f>
        <v>0</v>
      </c>
      <c r="AX310" s="3616">
        <f>IF(AX306=0,0,AX302*(1+Сценарии!BA$26))</f>
        <v>0</v>
      </c>
      <c r="AY310" s="3616">
        <f>IF(AY306=0,0,AY302*(1+Сценарии!BB$26))</f>
        <v>0</v>
      </c>
      <c r="AZ310" s="3616">
        <f>IF(AZ306=0,0,AZ302*(1+Сценарии!BC$26))</f>
        <v>0</v>
      </c>
      <c r="BA310" s="3616">
        <f>IF(BA306=0,0,BA302*(1+Сценарии!BD$26))</f>
        <v>0</v>
      </c>
      <c r="BB310" s="3616">
        <f>IF(BB306=0,0,BB302*(1+Сценарии!BE$26))</f>
        <v>0</v>
      </c>
      <c r="BC310" s="3616">
        <f>IF(BC306=0,0,BC302*(1+Сценарии!BF$26))</f>
        <v>0</v>
      </c>
      <c r="BD310" s="919"/>
      <c r="BE310" s="919"/>
      <c r="BF310" s="919"/>
      <c r="BG310" s="919"/>
      <c r="BH310" s="919"/>
      <c r="BI310" s="919"/>
      <c r="BJ310" s="919"/>
      <c r="BK310" s="919"/>
      <c r="BL310" s="919"/>
      <c r="BM310" s="919"/>
      <c r="BN310" s="3771"/>
      <c r="BO310" s="3771"/>
      <c r="BP310" s="3771"/>
      <c r="BQ310" s="1256"/>
      <c r="BR310" s="1256"/>
      <c r="BS310" s="1039" t="s">
        <v>1764</v>
      </c>
      <c r="BT310" s="1041"/>
      <c r="BU310" s="1041"/>
      <c r="BV310" s="956"/>
      <c r="BW310" s="956"/>
    </row>
    <row s="1624" customFormat="1" customHeight="1" ht="14.25">
      <c r="A311" s="1256"/>
      <c r="B311" s="62"/>
      <c r="C311" s="73"/>
      <c r="D311" s="73">
        <f>D310+1</f>
        <v>14</v>
      </c>
      <c r="E311" s="596">
        <v>15</v>
      </c>
      <c r="F311" s="50" cm="1" t="str">
        <f t="array" ref="F311:F311">OFFSET(E311,-1,1)</f>
        <v>1</v>
      </c>
      <c r="G311" s="73"/>
      <c r="H311" s="73"/>
      <c r="I311" s="73"/>
      <c r="J311" s="73"/>
      <c r="K311" s="73"/>
      <c r="L311" s="957"/>
      <c r="M311" s="73"/>
      <c r="N311" s="73"/>
      <c r="O311" s="73"/>
      <c r="P311" s="73"/>
      <c r="Q311" s="73"/>
      <c r="R311" s="73"/>
      <c r="S311" s="73"/>
      <c r="T311" s="438" cm="1" t="str">
        <f t="array" ref="T311:T311">T310</f>
        <v>true</v>
      </c>
      <c r="U311" s="73"/>
      <c r="V311" s="73"/>
      <c r="W311" s="73"/>
      <c r="X311" s="1511"/>
      <c r="Y311" s="1256"/>
      <c r="Z311" s="1494"/>
      <c r="AA311" s="1256"/>
      <c r="AB311" s="177" cm="1" t="str">
        <f t="array" ref="AB311:AB311">D311</f>
        <v>14</v>
      </c>
      <c r="AC311" s="178" t="s">
        <v>1766</v>
      </c>
      <c r="AD311" s="177" t="s">
        <v>789</v>
      </c>
      <c r="AE311" s="3701"/>
      <c r="AF311" s="3701"/>
      <c r="AG311" s="3701"/>
      <c r="AH311" s="920"/>
      <c r="AI311" s="3616"/>
      <c r="AJ311" s="3616"/>
      <c r="AK311" s="3616"/>
      <c r="AL311" s="3616"/>
      <c r="AM311" s="3616"/>
      <c r="AN311" s="3616"/>
      <c r="AO311" s="3616"/>
      <c r="AP311" s="3616"/>
      <c r="AQ311" s="3616"/>
      <c r="AR311" s="3616"/>
      <c r="AS311" s="3616"/>
      <c r="AT311" s="3616"/>
      <c r="AU311" s="3616"/>
      <c r="AV311" s="3616"/>
      <c r="AW311" s="3616"/>
      <c r="AX311" s="3616"/>
      <c r="AY311" s="3616"/>
      <c r="AZ311" s="3616"/>
      <c r="BA311" s="3616"/>
      <c r="BB311" s="3616"/>
      <c r="BC311" s="3616"/>
      <c r="BD311" s="919"/>
      <c r="BE311" s="919"/>
      <c r="BF311" s="919"/>
      <c r="BG311" s="919"/>
      <c r="BH311" s="919"/>
      <c r="BI311" s="919"/>
      <c r="BJ311" s="919"/>
      <c r="BK311" s="919"/>
      <c r="BL311" s="919"/>
      <c r="BM311" s="919"/>
      <c r="BN311" s="3771"/>
      <c r="BO311" s="3771"/>
      <c r="BP311" s="3771"/>
      <c r="BQ311" s="1256"/>
      <c r="BR311" s="1256"/>
      <c r="BS311" s="1039" t="s">
        <v>1767</v>
      </c>
      <c r="BT311" s="1041"/>
      <c r="BU311" s="1041"/>
      <c r="BV311" s="956"/>
      <c r="BW311" s="956"/>
    </row>
    <row s="1624" customFormat="1" customHeight="1" ht="20.25">
      <c r="A312" s="1256"/>
      <c r="B312" s="62"/>
      <c r="C312" s="73"/>
      <c r="D312" s="73" cm="1" t="str">
        <f t="array" ref="D312:D312">D311</f>
        <v>14</v>
      </c>
      <c r="E312" s="596">
        <v>21</v>
      </c>
      <c r="F312" s="50" cm="1" t="str">
        <f t="array" ref="F312:F312">OFFSET(E312,-1,1)</f>
        <v>1</v>
      </c>
      <c r="G312" s="73"/>
      <c r="H312" s="73"/>
      <c r="I312" s="73"/>
      <c r="J312" s="73"/>
      <c r="K312" s="73"/>
      <c r="L312" s="957"/>
      <c r="M312" s="73"/>
      <c r="N312" s="73"/>
      <c r="O312" s="73"/>
      <c r="P312" s="73"/>
      <c r="Q312" s="73"/>
      <c r="R312" s="73"/>
      <c r="S312" s="73"/>
      <c r="T312" s="438" cm="1" t="str">
        <f t="array" ref="T312:T312">T311</f>
        <v>true</v>
      </c>
      <c r="U312" s="73"/>
      <c r="V312" s="73"/>
      <c r="W312" s="73"/>
      <c r="X312" s="1511"/>
      <c r="Y312" s="1256"/>
      <c r="Z312" s="1494"/>
      <c r="AA312" s="1256"/>
      <c r="AB312" s="266" t="str">
        <f>D312&amp;".1"</f>
        <v>14.1</v>
      </c>
      <c r="AC312" s="738" t="s">
        <v>1769</v>
      </c>
      <c r="AD312" s="266" t="s">
        <v>789</v>
      </c>
      <c r="AE312" s="3701"/>
      <c r="AF312" s="3701"/>
      <c r="AG312" s="3701"/>
      <c r="AH312" s="920">
        <f>AG312-AF312</f>
        <v>0</v>
      </c>
      <c r="AI312" s="3616"/>
      <c r="AJ312" s="3616"/>
      <c r="AK312" s="3616"/>
      <c r="AL312" s="3616"/>
      <c r="AM312" s="3616"/>
      <c r="AN312" s="3616"/>
      <c r="AO312" s="3616"/>
      <c r="AP312" s="3616"/>
      <c r="AQ312" s="3616"/>
      <c r="AR312" s="3616"/>
      <c r="AS312" s="3616"/>
      <c r="AT312" s="3616"/>
      <c r="AU312" s="3616"/>
      <c r="AV312" s="3616"/>
      <c r="AW312" s="3616"/>
      <c r="AX312" s="3616"/>
      <c r="AY312" s="3616"/>
      <c r="AZ312" s="3616"/>
      <c r="BA312" s="3616"/>
      <c r="BB312" s="3616"/>
      <c r="BC312" s="3616"/>
      <c r="BD312" s="919"/>
      <c r="BE312" s="919"/>
      <c r="BF312" s="919"/>
      <c r="BG312" s="919"/>
      <c r="BH312" s="919"/>
      <c r="BI312" s="919"/>
      <c r="BJ312" s="919"/>
      <c r="BK312" s="919"/>
      <c r="BL312" s="919"/>
      <c r="BM312" s="919"/>
      <c r="BN312" s="3771"/>
      <c r="BO312" s="3771"/>
      <c r="BP312" s="3771"/>
      <c r="BQ312" s="1256"/>
      <c r="BR312" s="1256"/>
      <c r="BS312" s="1039" t="s">
        <v>1770</v>
      </c>
      <c r="BT312" s="1048"/>
      <c r="BU312" s="1048"/>
      <c r="BV312" s="1049"/>
      <c r="BW312" s="1049"/>
    </row>
    <row s="1624" customFormat="1" customHeight="1" ht="64.5">
      <c r="A313" s="1256"/>
      <c r="B313" s="62"/>
      <c r="C313" s="73"/>
      <c r="D313" s="73" cm="1" t="str">
        <f t="array" ref="D313:D313">D312</f>
        <v>14</v>
      </c>
      <c r="E313" s="596">
        <v>66.6</v>
      </c>
      <c r="F313" s="50" cm="1" t="str">
        <f t="array" ref="F313:F313">OFFSET(E313,-1,1)</f>
        <v>1</v>
      </c>
      <c r="G313" s="73"/>
      <c r="H313" s="73"/>
      <c r="I313" s="73"/>
      <c r="J313" s="73"/>
      <c r="K313" s="73"/>
      <c r="L313" s="957"/>
      <c r="M313" s="73"/>
      <c r="N313" s="73"/>
      <c r="O313" s="73"/>
      <c r="P313" s="73"/>
      <c r="Q313" s="73"/>
      <c r="R313" s="73"/>
      <c r="S313" s="73"/>
      <c r="T313" s="438" cm="1" t="str">
        <f t="array" ref="T313:T313">T312</f>
        <v>true</v>
      </c>
      <c r="U313" s="73"/>
      <c r="V313" s="73"/>
      <c r="W313" s="73"/>
      <c r="X313" s="1511"/>
      <c r="Y313" s="1256"/>
      <c r="Z313" s="1494"/>
      <c r="AA313" s="1256"/>
      <c r="AB313" s="266" t="str">
        <f>D313&amp;".2"</f>
        <v>14.2</v>
      </c>
      <c r="AC313" s="738" t="s">
        <v>1772</v>
      </c>
      <c r="AD313" s="266" t="s">
        <v>789</v>
      </c>
      <c r="AE313" s="3701"/>
      <c r="AF313" s="3701"/>
      <c r="AG313" s="3701"/>
      <c r="AH313" s="920">
        <f>AG313-AF313</f>
        <v>0</v>
      </c>
      <c r="AI313" s="3616"/>
      <c r="AJ313" s="3616"/>
      <c r="AK313" s="3616"/>
      <c r="AL313" s="3616"/>
      <c r="AM313" s="3616"/>
      <c r="AN313" s="3616"/>
      <c r="AO313" s="3616"/>
      <c r="AP313" s="3616"/>
      <c r="AQ313" s="3616"/>
      <c r="AR313" s="3616"/>
      <c r="AS313" s="3616"/>
      <c r="AT313" s="3616"/>
      <c r="AU313" s="3616"/>
      <c r="AV313" s="3616"/>
      <c r="AW313" s="3616"/>
      <c r="AX313" s="3616"/>
      <c r="AY313" s="3616"/>
      <c r="AZ313" s="3616"/>
      <c r="BA313" s="3616"/>
      <c r="BB313" s="3616"/>
      <c r="BC313" s="3616"/>
      <c r="BD313" s="919"/>
      <c r="BE313" s="919"/>
      <c r="BF313" s="919"/>
      <c r="BG313" s="919"/>
      <c r="BH313" s="919"/>
      <c r="BI313" s="919"/>
      <c r="BJ313" s="919"/>
      <c r="BK313" s="919"/>
      <c r="BL313" s="919"/>
      <c r="BM313" s="919"/>
      <c r="BN313" s="3771"/>
      <c r="BO313" s="3771"/>
      <c r="BP313" s="3771"/>
      <c r="BQ313" s="1256"/>
      <c r="BR313" s="1256"/>
      <c r="BS313" s="1039" t="s">
        <v>1773</v>
      </c>
      <c r="BT313" s="1048"/>
      <c r="BU313" s="1048"/>
      <c r="BV313" s="1049"/>
      <c r="BW313" s="1049"/>
    </row>
    <row s="1624" customFormat="1" customHeight="1" ht="44.25">
      <c r="A314" s="471"/>
      <c r="B314" s="729"/>
      <c r="C314" s="73"/>
      <c r="D314" s="73" cm="1" t="str">
        <f t="array" ref="D314:D314">D313</f>
        <v>14</v>
      </c>
      <c r="E314" s="596">
        <v>45.6</v>
      </c>
      <c r="F314" s="50" cm="1" t="str">
        <f t="array" ref="F314:F314">OFFSET(E314,-1,1)</f>
        <v>1</v>
      </c>
      <c r="G314" s="73"/>
      <c r="H314" s="73"/>
      <c r="I314" s="73"/>
      <c r="J314" s="73"/>
      <c r="K314" s="73"/>
      <c r="L314" s="957"/>
      <c r="M314" s="73"/>
      <c r="N314" s="73"/>
      <c r="O314" s="73"/>
      <c r="P314" s="73"/>
      <c r="Q314" s="73"/>
      <c r="R314" s="73"/>
      <c r="S314" s="73"/>
      <c r="T314" s="438" cm="1" t="str">
        <f t="array" ref="T314:T314">T313</f>
        <v>true</v>
      </c>
      <c r="U314" s="73"/>
      <c r="V314" s="73"/>
      <c r="W314" s="73"/>
      <c r="X314" s="1511"/>
      <c r="Y314" s="471"/>
      <c r="Z314" s="1494"/>
      <c r="AA314" s="471"/>
      <c r="AB314" s="266" t="str">
        <f>D314&amp;".3"</f>
        <v>14.3</v>
      </c>
      <c r="AC314" s="738" t="s">
        <v>2055</v>
      </c>
      <c r="AD314" s="266" t="s">
        <v>789</v>
      </c>
      <c r="AE314" s="922"/>
      <c r="AF314" s="3701"/>
      <c r="AG314" s="3701"/>
      <c r="AH314" s="225">
        <f>AG314-AF314</f>
        <v>0</v>
      </c>
      <c r="AI314" s="922"/>
      <c r="AJ314" s="922"/>
      <c r="AK314" s="922"/>
      <c r="AL314" s="922"/>
      <c r="AM314" s="922"/>
      <c r="AN314" s="922"/>
      <c r="AO314" s="922"/>
      <c r="AP314" s="922"/>
      <c r="AQ314" s="922"/>
      <c r="AR314" s="922"/>
      <c r="AS314" s="922"/>
      <c r="AT314" s="922"/>
      <c r="AU314" s="922"/>
      <c r="AV314" s="922"/>
      <c r="AW314" s="922"/>
      <c r="AX314" s="922"/>
      <c r="AY314" s="922"/>
      <c r="AZ314" s="922"/>
      <c r="BA314" s="922"/>
      <c r="BB314" s="922"/>
      <c r="BC314" s="922"/>
      <c r="BD314" s="922"/>
      <c r="BE314" s="922"/>
      <c r="BF314" s="922"/>
      <c r="BG314" s="922"/>
      <c r="BH314" s="922"/>
      <c r="BI314" s="922"/>
      <c r="BJ314" s="922"/>
      <c r="BK314" s="922"/>
      <c r="BL314" s="922"/>
      <c r="BM314" s="922"/>
      <c r="BN314" s="3771"/>
      <c r="BO314" s="3771"/>
      <c r="BP314" s="3771"/>
      <c r="BQ314" s="1256"/>
      <c r="BR314" s="1256"/>
      <c r="BS314" s="1048" t="s">
        <v>2056</v>
      </c>
      <c r="BT314" s="1048"/>
      <c r="BU314" s="1048"/>
      <c r="BV314" s="1049"/>
      <c r="BW314" s="1049"/>
    </row>
    <row s="1624" customFormat="1" customHeight="1" ht="10.96875">
      <c r="B315" s="803"/>
      <c r="C315" s="0"/>
      <c r="D315" s="0"/>
      <c r="E315" s="647">
        <v>11.25</v>
      </c>
      <c r="F315" s="51"/>
      <c r="G315" s="0"/>
      <c r="H315" s="0"/>
      <c r="I315" s="0"/>
      <c r="J315" s="0"/>
      <c r="K315" s="0"/>
      <c r="L315" s="0"/>
      <c r="M315" s="0"/>
      <c r="N315" s="0"/>
      <c r="O315" s="0"/>
      <c r="P315" s="0"/>
      <c r="Q315" s="0"/>
      <c r="R315" s="0"/>
      <c r="S315" s="0"/>
      <c r="T315" s="0"/>
      <c r="U315" s="0" t="s">
        <v>176</v>
      </c>
      <c r="V315" s="804" t="s">
        <v>2060</v>
      </c>
      <c r="W315" s="0"/>
      <c r="AB315" s="0"/>
      <c r="AC315" s="455"/>
      <c r="AD315" s="455"/>
      <c r="AE315" s="455"/>
      <c r="AF315" s="455"/>
      <c r="AG315" s="0"/>
      <c r="AH315" s="0"/>
      <c r="AI315" s="0"/>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7"/>
      <c r="BF315" s="47"/>
      <c r="BG315" s="47"/>
      <c r="BH315" s="47"/>
      <c r="BI315" s="47"/>
      <c r="BJ315" s="47"/>
      <c r="BK315" s="47"/>
      <c r="BL315" s="47"/>
      <c r="BM315" s="47"/>
      <c r="BN315" s="0"/>
      <c r="BO315" s="0"/>
      <c r="BP315" s="0"/>
      <c r="BS315" s="981"/>
      <c r="BT315" s="981"/>
      <c r="BU315" s="981"/>
      <c r="BV315" s="599"/>
      <c r="BW315" s="599"/>
    </row>
    <row customHeight="1" ht="14.625">
      <c r="B316" s="62"/>
      <c r="C316" s="73"/>
      <c r="D316" s="73"/>
      <c r="E316" s="596">
        <v>15</v>
      </c>
      <c r="F316" s="73"/>
      <c r="G316" s="73"/>
      <c r="H316" s="73"/>
      <c r="I316" s="73"/>
      <c r="J316" s="73"/>
      <c r="K316" s="73"/>
      <c r="L316" s="957"/>
      <c r="M316" s="73"/>
      <c r="N316" s="73"/>
      <c r="O316" s="73"/>
      <c r="P316" s="73"/>
      <c r="Q316" s="73"/>
      <c r="R316" s="73"/>
      <c r="S316" s="73"/>
      <c r="T316" s="73"/>
      <c r="U316" s="73"/>
      <c r="V316" s="73"/>
      <c r="W316" s="73"/>
      <c r="AB316" s="1522" t="s">
        <v>392</v>
      </c>
      <c r="AC316" s="1522"/>
      <c r="AD316" s="1522"/>
      <c r="AE316" s="1522"/>
      <c r="AF316" s="1522"/>
      <c r="AG316" s="1522"/>
      <c r="AH316" s="1522"/>
      <c r="AI316" s="1522"/>
      <c r="AJ316" s="1522"/>
      <c r="AK316" s="1522"/>
      <c r="AL316" s="1522"/>
      <c r="AM316" s="1522"/>
      <c r="AN316" s="1522"/>
      <c r="AO316" s="1522"/>
      <c r="AP316" s="1522"/>
      <c r="AQ316" s="1522"/>
      <c r="AR316" s="1522"/>
      <c r="AS316" s="1522"/>
      <c r="AT316" s="1522"/>
      <c r="AU316" s="1522"/>
      <c r="AV316" s="1522"/>
      <c r="AW316" s="1522"/>
      <c r="AX316" s="1522"/>
      <c r="AY316" s="1522"/>
      <c r="AZ316" s="1522"/>
      <c r="BA316" s="1522"/>
      <c r="BB316" s="1522"/>
      <c r="BC316" s="1522"/>
      <c r="BD316" s="1522"/>
      <c r="BE316" s="1522"/>
      <c r="BF316" s="1522"/>
      <c r="BG316" s="1522"/>
      <c r="BH316" s="1522"/>
      <c r="BI316" s="1522"/>
      <c r="BJ316" s="1522"/>
      <c r="BK316" s="1522"/>
      <c r="BL316" s="1522"/>
      <c r="BM316" s="1522"/>
      <c r="BN316" s="1522"/>
      <c r="BO316" s="1522"/>
      <c r="BP316" s="1522"/>
    </row>
    <row customHeight="1" ht="14.625">
      <c r="B317" s="62"/>
      <c r="C317" s="73"/>
      <c r="D317" s="73"/>
      <c r="E317" s="596">
        <v>15</v>
      </c>
      <c r="F317" s="73"/>
      <c r="G317" s="73"/>
      <c r="H317" s="73"/>
      <c r="I317" s="73"/>
      <c r="J317" s="73"/>
      <c r="K317" s="73"/>
      <c r="N317" s="73"/>
      <c r="O317" s="73"/>
      <c r="P317" s="73"/>
      <c r="Q317" s="73"/>
      <c r="R317" s="73"/>
      <c r="S317" s="73"/>
      <c r="T317" s="73"/>
      <c r="U317" s="73"/>
      <c r="V317" s="73"/>
      <c r="W317" s="73"/>
      <c r="AA317" s="139"/>
      <c r="AB317" s="1573"/>
      <c r="AC317" s="1574"/>
      <c r="AD317" s="1574"/>
      <c r="AE317" s="1574"/>
      <c r="AF317" s="1574"/>
      <c r="AG317" s="1574"/>
      <c r="AH317" s="1574"/>
      <c r="AI317" s="1574"/>
      <c r="AJ317" s="1574"/>
      <c r="AK317" s="1574"/>
      <c r="AL317" s="1574"/>
      <c r="AM317" s="1574"/>
      <c r="AN317" s="1574"/>
      <c r="AO317" s="1574"/>
      <c r="AP317" s="1574"/>
      <c r="AQ317" s="1574"/>
      <c r="AR317" s="1574"/>
      <c r="AS317" s="1574"/>
      <c r="AT317" s="1574"/>
      <c r="AU317" s="1574"/>
      <c r="AV317" s="1574"/>
      <c r="AW317" s="1574"/>
      <c r="AX317" s="1574"/>
      <c r="AY317" s="1574"/>
      <c r="AZ317" s="1574"/>
      <c r="BA317" s="1574"/>
      <c r="BB317" s="1574"/>
      <c r="BC317" s="1574"/>
      <c r="BD317" s="1574"/>
      <c r="BE317" s="1574"/>
      <c r="BF317" s="1574"/>
      <c r="BG317" s="1574"/>
      <c r="BH317" s="1574"/>
      <c r="BI317" s="1574"/>
      <c r="BJ317" s="1574"/>
      <c r="BK317" s="1574"/>
      <c r="BL317" s="1574"/>
      <c r="BM317" s="1574"/>
      <c r="BN317" s="1574"/>
      <c r="BO317" s="1574"/>
      <c r="BP317" s="1574"/>
    </row>
    <row customHeight="1" ht="14.625" hidden="1">
      <c r="A318" s="1256"/>
      <c r="B318" s="62"/>
      <c r="C318" s="73"/>
      <c r="D318" s="73"/>
      <c r="E318" s="596">
        <v>15</v>
      </c>
      <c r="F318" s="73"/>
      <c r="G318" s="73"/>
      <c r="H318" s="73"/>
      <c r="I318" s="73"/>
      <c r="J318" s="73"/>
      <c r="K318" s="73"/>
      <c r="L318" s="1256"/>
      <c r="M318" s="1256"/>
      <c r="N318" s="73"/>
      <c r="O318" s="73"/>
      <c r="P318" s="73"/>
      <c r="Q318" s="73"/>
      <c r="R318" s="73"/>
      <c r="S318" s="73"/>
      <c r="T318" s="438">
        <f>ROW(W318)&gt;ROW(W$318)</f>
        <v>0</v>
      </c>
      <c r="U318" s="73"/>
      <c r="V318" s="73"/>
      <c r="W318" s="73" t="s">
        <v>172</v>
      </c>
      <c r="X318" s="1256"/>
      <c r="Y318" s="1256"/>
      <c r="Z318" s="1256"/>
      <c r="AA318" s="392" t="s">
        <v>173</v>
      </c>
      <c r="AB318" s="1588" t="s">
        <v>228</v>
      </c>
      <c r="AC318" s="1574"/>
      <c r="AD318" s="1574"/>
      <c r="AE318" s="1574"/>
      <c r="AF318" s="1574"/>
      <c r="AG318" s="1574"/>
      <c r="AH318" s="1574"/>
      <c r="AI318" s="1574"/>
      <c r="AJ318" s="1574"/>
      <c r="AK318" s="1574"/>
      <c r="AL318" s="1574"/>
      <c r="AM318" s="1574"/>
      <c r="AN318" s="1574"/>
      <c r="AO318" s="1574"/>
      <c r="AP318" s="1574"/>
      <c r="AQ318" s="1574"/>
      <c r="AR318" s="1574"/>
      <c r="AS318" s="1574"/>
      <c r="AT318" s="1574"/>
      <c r="AU318" s="1574"/>
      <c r="AV318" s="1574"/>
      <c r="AW318" s="1574"/>
      <c r="AX318" s="1574"/>
      <c r="AY318" s="1574"/>
      <c r="AZ318" s="1574"/>
      <c r="BA318" s="1574"/>
      <c r="BB318" s="1574"/>
      <c r="BC318" s="1574"/>
      <c r="BD318" s="1574"/>
      <c r="BE318" s="1574"/>
      <c r="BF318" s="1574"/>
      <c r="BG318" s="1574"/>
      <c r="BH318" s="1574"/>
      <c r="BI318" s="1574"/>
      <c r="BJ318" s="1574"/>
      <c r="BK318" s="1574"/>
      <c r="BL318" s="1574"/>
      <c r="BM318" s="1574"/>
      <c r="BN318" s="1574"/>
      <c r="BO318" s="1574"/>
      <c r="BP318" s="1574"/>
      <c r="BQ318" s="1256"/>
      <c r="BR318" s="1256"/>
      <c r="BS318" s="1041"/>
      <c r="BT318" s="1041"/>
      <c r="BU318" s="1041"/>
      <c r="BV318" s="956"/>
      <c r="BW318" s="956"/>
    </row>
    <row customHeight="1" ht="14.625">
      <c r="B319" s="62"/>
      <c r="C319" s="73"/>
      <c r="D319" s="73"/>
      <c r="E319" s="596">
        <v>15</v>
      </c>
      <c r="F319" s="73"/>
      <c r="G319" s="73"/>
      <c r="H319" s="73"/>
      <c r="I319" s="73"/>
      <c r="J319" s="73"/>
      <c r="K319" s="73"/>
      <c r="N319" s="73"/>
      <c r="O319" s="73"/>
      <c r="P319" s="73"/>
      <c r="Q319" s="73"/>
      <c r="R319" s="73"/>
      <c r="S319" s="73"/>
      <c r="T319" s="73"/>
      <c r="U319" s="73"/>
      <c r="V319" s="73"/>
      <c r="W319" s="805" t="s">
        <v>396</v>
      </c>
      <c r="AB319" s="765"/>
      <c r="AC319" s="487" t="s">
        <v>397</v>
      </c>
      <c r="AD319" s="766"/>
      <c r="AE319" s="766"/>
      <c r="AF319" s="766"/>
      <c r="AG319" s="766"/>
      <c r="AH319" s="766"/>
      <c r="AI319" s="766"/>
      <c r="AJ319" s="766"/>
      <c r="AK319" s="766"/>
      <c r="AL319" s="766"/>
      <c r="AM319" s="766"/>
      <c r="AN319" s="766"/>
      <c r="AO319" s="766"/>
      <c r="AP319" s="766"/>
      <c r="AQ319" s="766"/>
      <c r="AR319" s="766"/>
      <c r="AS319" s="766"/>
      <c r="AT319" s="766"/>
      <c r="AU319" s="766"/>
      <c r="AV319" s="766"/>
      <c r="AW319" s="766"/>
      <c r="AX319" s="766"/>
      <c r="AY319" s="766"/>
      <c r="AZ319" s="766"/>
      <c r="BA319" s="766"/>
      <c r="BB319" s="766"/>
      <c r="BC319" s="766"/>
      <c r="BD319" s="766"/>
      <c r="BE319" s="766"/>
      <c r="BF319" s="766"/>
      <c r="BG319" s="766"/>
      <c r="BH319" s="766"/>
      <c r="BI319" s="766"/>
      <c r="BJ319" s="766"/>
      <c r="BK319" s="766"/>
      <c r="BL319" s="766"/>
      <c r="BM319" s="766"/>
      <c r="BN319" s="766"/>
      <c r="BO319" s="766"/>
      <c r="BP319" s="767"/>
    </row>
    <row customHeight="1" ht="10.96875">
      <c r="E320" s="679">
        <v>11.25</v>
      </c>
      <c r="AJ320" s="1256"/>
      <c r="AK320" s="1256"/>
      <c r="AL320" s="1256"/>
      <c r="AM320" s="1256"/>
      <c r="AN320" s="1256"/>
      <c r="AO320" s="1256"/>
      <c r="AP320" s="1256"/>
      <c r="AQ320" s="1256"/>
      <c r="AR320" s="1256"/>
      <c r="AS320" s="1256"/>
      <c r="AT320" s="1256"/>
      <c r="AU320" s="1256"/>
      <c r="AV320" s="1256"/>
      <c r="AW320" s="1256"/>
      <c r="AX320" s="1256"/>
      <c r="AY320" s="1256"/>
      <c r="AZ320" s="1256"/>
      <c r="BA320" s="1256"/>
      <c r="BB320" s="1256"/>
      <c r="BC320" s="1256"/>
      <c r="BD320" s="1256"/>
      <c r="BE320" s="1256"/>
      <c r="BF320" s="1256"/>
      <c r="BG320" s="1256"/>
      <c r="BH320" s="1256"/>
      <c r="BI320" s="1256"/>
      <c r="BJ320" s="1256"/>
      <c r="BK320" s="1256"/>
      <c r="BL320" s="1256"/>
      <c r="BM320" s="1256"/>
      <c r="BQ320" s="398"/>
    </row>
  </sheetData>
  <sheetProtection formatColumns="0" formatRows="0" insertRows="0" deleteColumns="0" deleteRows="0" sort="0" autoFilter="0" insertColumns="1"/>
  <mergeCells count="14">
    <mergeCell ref="BP24:BP25"/>
    <mergeCell ref="BD25:BM25"/>
    <mergeCell ref="AB24:AB25"/>
    <mergeCell ref="AC24:AC25"/>
    <mergeCell ref="AD24:AD25"/>
    <mergeCell ref="BN24:BN25"/>
    <mergeCell ref="BO24:BO25"/>
    <mergeCell ref="AB316:BP316"/>
    <mergeCell ref="AB317:BP317"/>
    <mergeCell ref="AB318:BP318"/>
    <mergeCell ref="X27:X170"/>
    <mergeCell ref="Z27:Z170"/>
    <mergeCell ref="X171:X314"/>
    <mergeCell ref="Z171:Z3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CF4208-7427-3B1F-B8E4-602078EA6B61}" mc:Ignorable="x14ac xr xr2 xr3">
  <sheetPr>
    <tabColor rgb="FF002060"/>
    <outlinePr summaryRight="0" summaryBelow="0"/>
  </sheetPr>
  <dimension ref="A1:AQ138"/>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282" width="3.57421875" hidden="1" customWidth="1"/>
    <col min="2" max="2" style="1389" width="8.57421875" hidden="1" customWidth="1"/>
    <col min="3" max="4" style="1282" width="3.57421875" hidden="1" customWidth="1"/>
    <col min="5" max="5" style="1283" width="3.57421875" hidden="1" customWidth="1"/>
    <col min="6" max="10" style="1282" width="3.57421875" hidden="1" customWidth="1"/>
    <col min="11" max="11" style="1282" width="10.28125" hidden="1" customWidth="1"/>
    <col min="12" max="19" style="1282" width="3.57421875" hidden="1" customWidth="1"/>
    <col min="20" max="20" style="1282" width="8.28125" hidden="1" customWidth="1"/>
    <col min="21" max="21" style="1282" width="5.8515625" hidden="1" customWidth="1"/>
    <col min="22" max="23" style="1282" width="6.140625" hidden="1" customWidth="1"/>
    <col min="24" max="25" style="1282" width="5.57421875" hidden="1" customWidth="1"/>
    <col min="26" max="26" style="1282" width="5.28125" hidden="1" customWidth="1"/>
    <col min="27" max="27" style="1282" width="3.00390625" customWidth="1"/>
    <col min="28" max="28" style="173" width="14.7109375" customWidth="1"/>
    <col min="29" max="33" style="1282" width="17.00390625" customWidth="1"/>
    <col min="34" max="36" style="1282" width="23.00390625" hidden="1" customWidth="1"/>
    <col min="37" max="37" style="1282" width="25.00390625" hidden="1" customWidth="1"/>
    <col min="38" max="38" style="1282" width="3.00390625" customWidth="1"/>
    <col min="39" max="40" style="1282" width="9.140625" hidden="1"/>
    <col min="41" max="41" style="1284" width="9.140625" hidden="1"/>
    <col min="42" max="43" style="1282" width="9.140625" hidden="1"/>
  </cols>
  <sheetData>
    <row customHeight="1" ht="11.25" hidden="1">
      <c r="E1" s="64"/>
      <c r="F1" s="64" t="s">
        <v>309</v>
      </c>
      <c r="K1" s="64" t="s">
        <v>349</v>
      </c>
      <c r="T1" s="438" t="s">
        <v>92</v>
      </c>
      <c r="U1" s="438" t="s">
        <v>97</v>
      </c>
      <c r="V1" s="438" t="s">
        <v>93</v>
      </c>
      <c r="W1" s="438" t="s">
        <v>94</v>
      </c>
      <c r="X1" s="438" t="s">
        <v>95</v>
      </c>
      <c r="Y1" s="440" t="s">
        <v>311</v>
      </c>
      <c r="Z1" s="438" t="s">
        <v>99</v>
      </c>
      <c r="AA1" s="439" t="s">
        <v>96</v>
      </c>
      <c r="AB1" s="51"/>
      <c r="AC1" s="439" t="s">
        <v>98</v>
      </c>
      <c r="AH1" s="1282"/>
      <c r="AI1" s="1282"/>
      <c r="AJ1" s="1282"/>
      <c r="AK1" s="1282"/>
      <c r="AM1" s="64" t="s">
        <v>2061</v>
      </c>
      <c r="AO1" s="992" t="s">
        <v>354</v>
      </c>
    </row>
    <row s="1389" customFormat="1" customHeight="1" ht="11.25" hidden="1">
      <c r="B2" s="417" t="s">
        <v>18</v>
      </c>
      <c r="AB2" s="401"/>
      <c r="AG2" s="417">
        <f>$AF$24="нет"</f>
        <v>1</v>
      </c>
      <c r="AH2" s="417">
        <f>$AF$24="да"</f>
        <v>0</v>
      </c>
      <c r="AI2" s="417">
        <f>$AF$24="да"</f>
        <v>0</v>
      </c>
      <c r="AJ2" s="417">
        <f>$AF$24="да"</f>
        <v>0</v>
      </c>
      <c r="AK2" s="417">
        <f>$AF$24="да"</f>
        <v>0</v>
      </c>
      <c r="AO2" s="993"/>
    </row>
    <row customHeight="1" ht="11.25" hidden="1">
      <c r="E3" s="64"/>
      <c r="AH3" s="1282"/>
      <c r="AI3" s="1282"/>
      <c r="AJ3" s="1282"/>
      <c r="AK3" s="1282"/>
    </row>
    <row customHeight="1" ht="11.25" hidden="1">
      <c r="E4" s="64"/>
      <c r="AH4" s="1282"/>
      <c r="AI4" s="1282"/>
      <c r="AJ4" s="1282"/>
      <c r="AK4" s="1282"/>
    </row>
    <row s="1283" customFormat="1" customHeight="1" ht="11.25" hidden="1">
      <c r="A5" s="64"/>
      <c r="B5" s="399"/>
      <c r="C5" s="64"/>
      <c r="D5" s="64"/>
      <c r="E5" s="607" t="s">
        <v>19</v>
      </c>
      <c r="AA5" s="607">
        <v>3</v>
      </c>
      <c r="AB5" s="669">
        <v>14.71</v>
      </c>
      <c r="AC5" s="607">
        <v>17</v>
      </c>
      <c r="AD5" s="607">
        <v>17</v>
      </c>
      <c r="AE5" s="607">
        <v>17</v>
      </c>
      <c r="AF5" s="607">
        <v>17</v>
      </c>
      <c r="AG5" s="607">
        <v>17</v>
      </c>
      <c r="AH5" s="607">
        <v>23</v>
      </c>
      <c r="AI5" s="607">
        <v>23</v>
      </c>
      <c r="AJ5" s="607">
        <v>23</v>
      </c>
      <c r="AK5" s="607">
        <v>25</v>
      </c>
      <c r="AL5" s="607">
        <v>3</v>
      </c>
      <c r="AO5" s="992"/>
    </row>
    <row customHeight="1" ht="11.25" hidden="1">
      <c r="A6" s="64" t="s">
        <v>320</v>
      </c>
      <c r="AC6" s="64" t="s">
        <v>321</v>
      </c>
      <c r="AD6" s="64" t="s">
        <v>322</v>
      </c>
      <c r="AE6" s="64" t="s">
        <v>323</v>
      </c>
      <c r="AF6" s="64" t="s">
        <v>508</v>
      </c>
      <c r="AG6" s="64" t="s">
        <v>512</v>
      </c>
      <c r="AH6" s="64" t="s">
        <v>2062</v>
      </c>
      <c r="AI6" s="64" t="s">
        <v>2063</v>
      </c>
      <c r="AJ6" s="64" t="s">
        <v>2064</v>
      </c>
      <c r="AK6" s="64" t="s">
        <v>2065</v>
      </c>
    </row>
    <row customHeight="1" ht="11.25" hidden="1">
      <c r="AH7" s="1282"/>
      <c r="AI7" s="1282"/>
      <c r="AJ7" s="1282"/>
      <c r="AK7" s="1282"/>
    </row>
    <row customHeight="1" ht="11.25" hidden="1">
      <c r="AH8" s="1282"/>
      <c r="AI8" s="1282"/>
      <c r="AJ8" s="1282"/>
      <c r="AK8" s="1282"/>
    </row>
    <row s="1284" customFormat="1" customHeight="1" ht="11.25" hidden="1">
      <c r="A9" s="992" t="s">
        <v>312</v>
      </c>
      <c r="B9" s="993"/>
      <c r="AB9" s="1031"/>
      <c r="AC9" s="1050" t="s">
        <v>2066</v>
      </c>
      <c r="AD9" s="1050" t="s">
        <v>2067</v>
      </c>
      <c r="AE9" s="1050" t="s">
        <v>2068</v>
      </c>
      <c r="AF9" s="1050" t="s">
        <v>2069</v>
      </c>
      <c r="AG9" s="1050" t="s">
        <v>2070</v>
      </c>
      <c r="AH9" s="1050" t="s">
        <v>2071</v>
      </c>
      <c r="AI9" s="1050" t="s">
        <v>2072</v>
      </c>
      <c r="AJ9" s="1050" t="s">
        <v>2073</v>
      </c>
      <c r="AK9" s="992" t="s">
        <v>2074</v>
      </c>
    </row>
    <row customHeight="1" ht="11.25" hidden="1">
      <c r="AH10" s="1282"/>
      <c r="AI10" s="1282"/>
      <c r="AJ10" s="1282"/>
      <c r="AK10" s="1282"/>
    </row>
    <row customHeight="1" ht="11.25" hidden="1">
      <c r="AH11" s="1282"/>
      <c r="AI11" s="1282"/>
      <c r="AJ11" s="1282"/>
      <c r="AK11" s="1282"/>
    </row>
    <row customHeight="1" ht="11.25" hidden="1">
      <c r="AH12" s="1282"/>
      <c r="AI12" s="1282"/>
      <c r="AJ12" s="1282"/>
      <c r="AK12" s="1282"/>
    </row>
    <row customHeight="1" ht="11.25" hidden="1">
      <c r="AH13" s="1282"/>
      <c r="AI13" s="1282"/>
      <c r="AJ13" s="1282"/>
      <c r="AK13" s="1282"/>
    </row>
    <row customHeight="1" ht="11.25" hidden="1">
      <c r="AH14" s="1282"/>
      <c r="AI14" s="1282"/>
      <c r="AJ14" s="1282"/>
      <c r="AK14" s="1282"/>
    </row>
    <row customHeight="1" ht="11.25" hidden="1">
      <c r="AH15" s="1282"/>
      <c r="AI15" s="1282"/>
      <c r="AJ15" s="1282"/>
      <c r="AK15" s="1282"/>
    </row>
    <row customHeight="1" ht="11.25" hidden="1">
      <c r="AH16" s="1282"/>
      <c r="AI16" s="1282"/>
      <c r="AJ16" s="1282"/>
      <c r="AK16" s="1282"/>
    </row>
    <row customHeight="1" ht="11.25" hidden="1">
      <c r="AH17" s="1282"/>
      <c r="AI17" s="1282"/>
      <c r="AJ17" s="1282"/>
      <c r="AK17" s="1282"/>
    </row>
    <row customHeight="1" ht="11.25" hidden="1">
      <c r="AH18" s="1282"/>
      <c r="AI18" s="1282"/>
      <c r="AJ18" s="1282"/>
      <c r="AK18" s="1282"/>
    </row>
    <row customHeight="1" ht="11.25" hidden="1">
      <c r="AH19" s="1282"/>
      <c r="AI19" s="1282"/>
      <c r="AJ19" s="1282"/>
      <c r="AK19" s="1282"/>
    </row>
    <row customHeight="1" ht="11.25" hidden="1">
      <c r="AH20" s="1282"/>
      <c r="AI20" s="1282"/>
      <c r="AJ20" s="1282"/>
      <c r="AK20" s="1282"/>
    </row>
    <row customHeight="1" ht="14.625">
      <c r="E21" s="607">
        <v>15</v>
      </c>
      <c r="AA21" s="397"/>
      <c r="AB21" s="333" cm="1" t="str">
        <f t="array" ref="AB21:AB21">tpl_title</f>
        <v>Кемеровская область / 2026 / ОАО «СКЭК» (ИНН:4205153492, КПП:420501001) / ДПР: 2026-2026</v>
      </c>
      <c r="AH21" s="1282"/>
      <c r="AI21" s="1282"/>
      <c r="AJ21" s="1282"/>
      <c r="AK21" s="1282"/>
    </row>
    <row s="1379" customFormat="1" customHeight="1" ht="23.400000000000002">
      <c r="B22" s="399"/>
      <c r="E22" s="608">
        <v>24</v>
      </c>
      <c r="AB22" s="286" t="s">
        <v>84</v>
      </c>
      <c r="AC22" s="172"/>
      <c r="AD22" s="172"/>
      <c r="AE22" s="172"/>
      <c r="AF22" s="172"/>
      <c r="AG22" s="172"/>
      <c r="AH22" s="172"/>
      <c r="AI22" s="172"/>
      <c r="AJ22" s="172"/>
      <c r="AK22" s="172"/>
      <c r="AO22" s="995"/>
    </row>
    <row customHeight="1" ht="10.96875">
      <c r="E23" s="607">
        <v>11.25</v>
      </c>
      <c r="AB23" s="110"/>
      <c r="AC23" s="110"/>
      <c r="AH23" s="1282"/>
      <c r="AI23" s="1282"/>
      <c r="AJ23" s="1282"/>
      <c r="AK23" s="1282"/>
    </row>
    <row customHeight="1" ht="19.74375">
      <c r="E24" s="607">
        <v>20.25</v>
      </c>
      <c r="AB24" s="1571" t="s">
        <v>2075</v>
      </c>
      <c r="AC24" s="1571"/>
      <c r="AD24" s="1571"/>
      <c r="AE24" s="1571"/>
      <c r="AF24" s="314" t="s">
        <v>151</v>
      </c>
      <c r="AH24" s="1282"/>
      <c r="AI24" s="1282"/>
      <c r="AJ24" s="1282"/>
      <c r="AK24" s="1282"/>
    </row>
    <row customHeight="1" ht="10.96875">
      <c r="E25" s="607">
        <v>11.25</v>
      </c>
      <c r="AB25" s="110"/>
      <c r="AC25" s="110"/>
      <c r="AH25" s="1282"/>
      <c r="AI25" s="1282"/>
      <c r="AJ25" s="1282"/>
      <c r="AK25" s="1282"/>
    </row>
    <row s="1399" customFormat="1" customHeight="1" ht="38.025">
      <c r="B26" s="401"/>
      <c r="E26" s="605">
        <v>39</v>
      </c>
      <c r="AB26" s="1590" t="s">
        <v>2076</v>
      </c>
      <c r="AC26" s="1514" t="s">
        <v>2077</v>
      </c>
      <c r="AD26" s="1514" t="s">
        <v>435</v>
      </c>
      <c r="AE26" s="1498" t="s">
        <v>2078</v>
      </c>
      <c r="AF26" s="1522" t="s">
        <v>2079</v>
      </c>
      <c r="AG26" s="1522"/>
      <c r="AH26" s="1522"/>
      <c r="AI26" s="1522"/>
      <c r="AJ26" s="1522"/>
      <c r="AK26" s="1522"/>
      <c r="AO26" s="990"/>
    </row>
    <row s="1399" customFormat="1" customHeight="1" ht="35.1">
      <c r="B27" s="401"/>
      <c r="E27" s="605">
        <v>36</v>
      </c>
      <c r="AB27" s="1591"/>
      <c r="AC27" s="1514"/>
      <c r="AD27" s="1514"/>
      <c r="AE27" s="1514"/>
      <c r="AF27" s="806" t="s">
        <v>556</v>
      </c>
      <c r="AG27" s="806" t="s">
        <v>2080</v>
      </c>
      <c r="AH27" s="806" t="s">
        <v>2081</v>
      </c>
      <c r="AI27" s="806" t="s">
        <v>2082</v>
      </c>
      <c r="AJ27" s="806" t="s">
        <v>2083</v>
      </c>
      <c r="AK27" s="806" t="s">
        <v>2084</v>
      </c>
      <c r="AO27" s="990"/>
    </row>
    <row s="1513" customFormat="1" customHeight="1" ht="11.2125">
      <c r="B28" s="401"/>
      <c r="E28" s="233">
        <v>11.5</v>
      </c>
      <c r="AB28" s="1592"/>
      <c r="AC28" s="807" t="s">
        <v>789</v>
      </c>
      <c r="AD28" s="807" t="s">
        <v>430</v>
      </c>
      <c r="AE28" s="742" t="s">
        <v>430</v>
      </c>
      <c r="AF28" s="807" t="s">
        <v>430</v>
      </c>
      <c r="AG28" s="807" t="s">
        <v>2085</v>
      </c>
      <c r="AH28" s="807" t="s">
        <v>2085</v>
      </c>
      <c r="AI28" s="807" t="s">
        <v>2085</v>
      </c>
      <c r="AJ28" s="807" t="s">
        <v>2085</v>
      </c>
      <c r="AK28" s="807" t="s">
        <v>2085</v>
      </c>
      <c r="AO28" s="1007"/>
    </row>
    <row s="1624" customFormat="1" customHeight="1" ht="11.25">
      <c r="B29" s="402"/>
      <c r="E29" s="647" t="s">
        <v>362</v>
      </c>
      <c r="F29" s="51"/>
      <c r="AB29" s="0"/>
      <c r="AC29" s="455"/>
      <c r="AD29" s="455"/>
      <c r="AE29" s="455"/>
      <c r="AF29" s="455"/>
      <c r="AG29" s="0"/>
      <c r="AH29" s="0"/>
      <c r="AI29" s="0"/>
      <c r="AJ29" s="0"/>
      <c r="AK29" s="0"/>
      <c r="AO29" s="981"/>
      <c r="AQ29" s="67"/>
    </row>
    <row s="1363" customFormat="1" customHeight="1" ht="14.625" hidden="1">
      <c r="A30" s="1363"/>
      <c r="B30" s="400"/>
      <c r="C30" s="1363"/>
      <c r="D30" s="1363"/>
      <c r="E30" s="593">
        <v>15</v>
      </c>
      <c r="F30" s="64" cm="1" t="str">
        <f t="array" ref="F30:F30">X30</f>
        <v>0</v>
      </c>
      <c r="G30" s="1363"/>
      <c r="H30" s="1363"/>
      <c r="I30" s="1363"/>
      <c r="J30" s="1363"/>
      <c r="K30" s="1363"/>
      <c r="L30" s="1363"/>
      <c r="M30" s="1363"/>
      <c r="N30" s="1363"/>
      <c r="O30" s="1363"/>
      <c r="P30" s="1363"/>
      <c r="Q30" s="1363"/>
      <c r="R30" s="1363"/>
      <c r="S30" s="1363"/>
      <c r="T30" s="438">
        <f>X30&gt;0</f>
        <v>0</v>
      </c>
      <c r="U30" s="1363"/>
      <c r="V30" s="88" t="s">
        <v>267</v>
      </c>
      <c r="W30" s="1363"/>
      <c r="X30" s="1511">
        <v>0</v>
      </c>
      <c r="Y30" s="1363"/>
      <c r="Z30" s="1494"/>
      <c r="AA30" s="1363"/>
      <c r="AB30" s="347" cm="1" t="str">
        <f t="array" ref="AB30:AB30">INDEX('Общие сведения'!$AG$179:$AG$208,MATCH($X30,'Общие сведения'!$Z$179:$Z$208,0))</f>
        <v>Тариф 0 () - тариф на транспортировку сточных вод</v>
      </c>
      <c r="AC30" s="808"/>
      <c r="AD30" s="808"/>
      <c r="AE30" s="808"/>
      <c r="AF30" s="808"/>
      <c r="AG30" s="808"/>
      <c r="AH30" s="808"/>
      <c r="AI30" s="808"/>
      <c r="AJ30" s="808"/>
      <c r="AK30" s="808"/>
      <c r="AL30" s="373"/>
      <c r="AM30" s="1363"/>
      <c r="AN30" s="1363"/>
      <c r="AO30" s="974"/>
      <c r="AP30" s="1363"/>
      <c r="AQ30" s="1363"/>
    </row>
    <row s="1256" customFormat="1" customHeight="1" ht="14.625" hidden="1">
      <c r="A31" s="1256"/>
      <c r="B31" s="417">
        <f>K31&lt;first_year+PERIOD_LENGTH</f>
        <v>1</v>
      </c>
      <c r="C31" s="1256"/>
      <c r="D31" s="1256"/>
      <c r="E31" s="679">
        <v>15</v>
      </c>
      <c r="F31" s="50" cm="1" t="str">
        <f t="array" ref="F31:F31">OFFSET(E31,-1,1)</f>
        <v>0</v>
      </c>
      <c r="G31" s="1256"/>
      <c r="H31" s="1256"/>
      <c r="I31" s="1256"/>
      <c r="J31" s="1256"/>
      <c r="K31" s="124" cm="1" t="str">
        <f t="array" ref="K31:K31">first_year</f>
        <v>2026</v>
      </c>
      <c r="L31" s="1256"/>
      <c r="M31" s="1256"/>
      <c r="N31" s="1256"/>
      <c r="O31" s="1256"/>
      <c r="P31" s="1256"/>
      <c r="Q31" s="1256"/>
      <c r="R31" s="1256"/>
      <c r="S31" s="1256"/>
      <c r="T31" s="438" cm="1" t="str">
        <f t="array" ref="T31:T31">T30</f>
        <v>false</v>
      </c>
      <c r="U31" s="1256"/>
      <c r="V31" s="1256"/>
      <c r="W31" s="1256"/>
      <c r="X31" s="1511"/>
      <c r="Y31" s="1256"/>
      <c r="Z31" s="1494"/>
      <c r="AA31" s="1256"/>
      <c r="AB31" s="809" t="str">
        <f>K31&amp;" год"</f>
        <v>2026 год</v>
      </c>
      <c r="AC31" s="3792">
        <f>IF(god=first_year,_xlfn.SUMIFS('Калькуляция (МИ)'!AT$26:AT$315,'Калькуляция (МИ)'!F$26:F$315,F31,'Калькуляция (МИ)'!AC$26:AC$315,"операционные расходы"),IF(god&lt;first_year+3,_xlfn.IFERROR(_xlfn.SUMIFS(INDEX('Калькуляция (МИ корр)'!$AE$25:$BC$169,,MATCH(K31&amp;"Принято органом регулирования",'Калькуляция (МИ корр)'!$AE$8:$BC$8,0)),'Калькуляция (МИ корр)'!$F$25:$F$169,F31,'Калькуляция (МИ корр)'!$AC$25:$AC$169,"Операционные расходы"),0),""))</f>
        <v>0</v>
      </c>
      <c r="AD31" s="3793">
        <f>_xlfn.IFERROR(_xlfn.SUMIFS(INDEX(Сценарии!$AE$25:$BF$82,,MATCH($K31&amp;"Принято органом регулирования",Сценарии!$AE$8:$BF$8,0)),Сценарии!$F$25:$F$82,$F31,Сценарии!$AC$25:$AC$82,"Индекс эффективности операционных расходов"),0)</f>
        <v>0</v>
      </c>
      <c r="AE31" s="3794"/>
      <c r="AF31" s="3794">
        <f>_xlfn.IFERROR(_xlfn.SUMIFS(INDEX(Баланс!$AE$25:$BB$209,,MATCH($K31&amp;"Принято органом регулирования",Баланс!$AE$8:$BB$8,0)),Баланс!$F$25:$F$209,$F31,Баланс!$AC$24:$AC$209,"Уровень потерь воды"),0)</f>
        <v>0</v>
      </c>
      <c r="AG31" s="3795">
        <f>_xlfn.IFERROR(_xlfn.SUMIFS(INDEX(Electricity_LOAD_1,,MATCH($K31&amp;"Принято органом регулирования",ЭЭ!$AE$8:$BB$8,0)),ЭЭ!$F$25:$F$67,$F31,ЭЭ!$AC$25:$AC$67,"Удельный расход электроэнергии"),0)</f>
        <v>0</v>
      </c>
      <c r="AH31" s="3793">
        <f>_xlfn.IFERROR(_xlfn.SUMIFS(INDEX(Electricity_LOAD_1,,MATCH($K31&amp;"Принято органом регулирования",ЭЭ!$AE$8:$BB$8,0)),ЭЭ!$F$25:$F$67,$F31,ЭЭ!$AC$25:$AC$67,"Удельный расход электроэнергии"),0)</f>
        <v>0</v>
      </c>
      <c r="AI31" s="3793">
        <f>_xlfn.IFERROR(_xlfn.SUMIFS(INDEX(Electricity_LOAD_1,,MATCH($K31&amp;"Принято органом регулирования",ЭЭ!$AE$8:$BB$8,0)),ЭЭ!$F$25:$F$67,$F31,ЭЭ!$AC$25:$AC$67,"Удельный расход электроэнергии"),0)</f>
        <v>0</v>
      </c>
      <c r="AJ31" s="3793">
        <f>_xlfn.IFERROR(_xlfn.SUMIFS(INDEX(Electricity_LOAD_1,,MATCH($K31&amp;"Принято органом регулирования",ЭЭ!$AE$8:$BB$8,0)),ЭЭ!$F$25:$F$67,$F31,ЭЭ!$AC$25:$AC$67,"Удельный расход электроэнергии"),0)</f>
        <v>0</v>
      </c>
      <c r="AK31" s="3793">
        <f>_xlfn.IFERROR(_xlfn.SUMIFS(INDEX(Electricity_LOAD_1,,MATCH($K31&amp;"Принято органом регулирования",ЭЭ!$AE$8:$BB$8,0)),ЭЭ!$F$25:$F$67,$F31,ЭЭ!$AC$25:$AC$67,"Удельный расход электроэнергии"),0)</f>
        <v>0</v>
      </c>
      <c r="AL31" s="374"/>
      <c r="AM31" s="124" t="s">
        <v>2086</v>
      </c>
      <c r="AN31" s="1256"/>
      <c r="AO31" s="1041" cm="1" t="str">
        <f t="array" ref="AO31:AO31">K31</f>
        <v>2026</v>
      </c>
      <c r="AP31" s="1256"/>
      <c r="AQ31" s="1256"/>
    </row>
    <row s="1256" customFormat="1" customHeight="1" ht="14.625" hidden="1">
      <c r="A32" s="1256"/>
      <c r="B32" s="417">
        <f>K32&lt;first_year+PERIOD_LENGTH</f>
        <v>0</v>
      </c>
      <c r="C32" s="1256"/>
      <c r="D32" s="1256"/>
      <c r="E32" s="679">
        <v>15</v>
      </c>
      <c r="F32" s="50" cm="1" t="str">
        <f t="array" ref="F32:F32">OFFSET(E32,-1,1)</f>
        <v>0</v>
      </c>
      <c r="G32" s="1256"/>
      <c r="H32" s="1256"/>
      <c r="I32" s="1256"/>
      <c r="J32" s="1256"/>
      <c r="K32" s="124">
        <f>first_year+1</f>
        <v>2027</v>
      </c>
      <c r="L32" s="1256"/>
      <c r="M32" s="1256"/>
      <c r="N32" s="1256"/>
      <c r="O32" s="1256"/>
      <c r="P32" s="1256"/>
      <c r="Q32" s="1256"/>
      <c r="R32" s="1256"/>
      <c r="S32" s="1256"/>
      <c r="T32" s="438" cm="1" t="str">
        <f t="array" ref="T32:T32">T31</f>
        <v>false</v>
      </c>
      <c r="U32" s="1256"/>
      <c r="V32" s="1256"/>
      <c r="W32" s="1256"/>
      <c r="X32" s="1511"/>
      <c r="Y32" s="1256"/>
      <c r="Z32" s="1494"/>
      <c r="AA32" s="1256"/>
      <c r="AB32" s="809" t="str">
        <f>K32&amp;" год"</f>
        <v>2027 год</v>
      </c>
      <c r="AC32" s="3794"/>
      <c r="AD32" s="3793">
        <f>_xlfn.IFERROR(_xlfn.SUMIFS(INDEX(Сценарии!$AE$25:$BF$82,,MATCH($K32&amp;"Принято органом регулирования",Сценарии!$AE$8:$BF$8,0)),Сценарии!$F$25:$F$82,$F32,Сценарии!$AC$25:$AC$82,"Индекс эффективности операционных расходов"),0)</f>
        <v>0</v>
      </c>
      <c r="AE32" s="3794"/>
      <c r="AF32" s="3794">
        <f>_xlfn.IFERROR(_xlfn.SUMIFS(INDEX(Баланс!$AE$25:$BB$209,,MATCH($K32&amp;"Принято органом регулирования",Баланс!$AE$8:$BB$8,0)),Баланс!$F$25:$F$209,$F32,Баланс!$AC$24:$AC$209,"Уровень потерь воды"),0)</f>
        <v>0</v>
      </c>
      <c r="AG32" s="3795">
        <f>_xlfn.IFERROR(_xlfn.SUMIFS(INDEX(Electricity_LOAD_1,,MATCH($K32&amp;"Принято органом регулирования",ЭЭ!$AE$8:$BB$8,0)),ЭЭ!$F$25:$F$67,$F32,ЭЭ!$AC$25:$AC$67,"Удельный расход электроэнергии"),0)</f>
        <v>0</v>
      </c>
      <c r="AH32" s="3793">
        <f>_xlfn.IFERROR(_xlfn.SUMIFS(INDEX(Electricity_LOAD_1,,MATCH($K32&amp;"Принято органом регулирования",ЭЭ!$AE$8:$BB$8,0)),ЭЭ!$F$25:$F$67,$F32,ЭЭ!$AC$25:$AC$67,"Удельный расход электроэнергии"),0)</f>
        <v>0</v>
      </c>
      <c r="AI32" s="3793">
        <f>_xlfn.IFERROR(_xlfn.SUMIFS(INDEX(Electricity_LOAD_1,,MATCH($K32&amp;"Принято органом регулирования",ЭЭ!$AE$8:$BB$8,0)),ЭЭ!$F$25:$F$67,$F32,ЭЭ!$AC$25:$AC$67,"Удельный расход электроэнергии"),0)</f>
        <v>0</v>
      </c>
      <c r="AJ32" s="3793">
        <f>_xlfn.IFERROR(_xlfn.SUMIFS(INDEX(Electricity_LOAD_1,,MATCH($K32&amp;"Принято органом регулирования",ЭЭ!$AE$8:$BB$8,0)),ЭЭ!$F$25:$F$67,$F32,ЭЭ!$AC$25:$AC$67,"Удельный расход электроэнергии"),0)</f>
        <v>0</v>
      </c>
      <c r="AK32" s="3793">
        <f>_xlfn.IFERROR(_xlfn.SUMIFS(INDEX(Electricity_LOAD_1,,MATCH($K32&amp;"Принято органом регулирования",ЭЭ!$AE$8:$BB$8,0)),ЭЭ!$F$25:$F$67,$F32,ЭЭ!$AC$25:$AC$67,"Удельный расход электроэнергии"),0)</f>
        <v>0</v>
      </c>
      <c r="AL32" s="374"/>
      <c r="AM32" s="1256" t="s">
        <v>2086</v>
      </c>
      <c r="AN32" s="1256"/>
      <c r="AO32" s="1041" cm="1" t="str">
        <f t="array" ref="AO32:AO32">K32</f>
        <v>2027</v>
      </c>
      <c r="AP32" s="1256"/>
      <c r="AQ32" s="1256"/>
    </row>
    <row s="1256" customFormat="1" customHeight="1" ht="14.625" hidden="1">
      <c r="A33" s="1256"/>
      <c r="B33" s="417">
        <f>K33&lt;first_year+PERIOD_LENGTH</f>
        <v>0</v>
      </c>
      <c r="C33" s="1256"/>
      <c r="D33" s="1256"/>
      <c r="E33" s="679">
        <v>15</v>
      </c>
      <c r="F33" s="50" cm="1" t="str">
        <f t="array" ref="F33:F33">OFFSET(E33,-1,1)</f>
        <v>0</v>
      </c>
      <c r="G33" s="1256"/>
      <c r="H33" s="1256"/>
      <c r="I33" s="1256"/>
      <c r="J33" s="1256"/>
      <c r="K33" s="124">
        <f>first_year+2</f>
        <v>2028</v>
      </c>
      <c r="L33" s="1256"/>
      <c r="M33" s="1256"/>
      <c r="N33" s="1256"/>
      <c r="O33" s="1256"/>
      <c r="P33" s="1256"/>
      <c r="Q33" s="1256"/>
      <c r="R33" s="1256"/>
      <c r="S33" s="1256"/>
      <c r="T33" s="438" cm="1" t="str">
        <f t="array" ref="T33:T33">T32</f>
        <v>false</v>
      </c>
      <c r="U33" s="1256"/>
      <c r="V33" s="1256"/>
      <c r="W33" s="1256"/>
      <c r="X33" s="1511"/>
      <c r="Y33" s="1256"/>
      <c r="Z33" s="1494"/>
      <c r="AA33" s="1256"/>
      <c r="AB33" s="809" t="str">
        <f>K33&amp;" год"</f>
        <v>2028 год</v>
      </c>
      <c r="AC33" s="3794"/>
      <c r="AD33" s="3793">
        <f>_xlfn.IFERROR(_xlfn.SUMIFS(INDEX(Сценарии!$AE$25:$BF$82,,MATCH($K33&amp;"Принято органом регулирования",Сценарии!$AE$8:$BF$8,0)),Сценарии!$F$25:$F$82,$F33,Сценарии!$AC$25:$AC$82,"Индекс эффективности операционных расходов"),0)</f>
        <v>0</v>
      </c>
      <c r="AE33" s="3794"/>
      <c r="AF33" s="3794">
        <f>_xlfn.IFERROR(_xlfn.SUMIFS(INDEX(Баланс!$AE$25:$BB$209,,MATCH($K33&amp;"Принято органом регулирования",Баланс!$AE$8:$BB$8,0)),Баланс!$F$25:$F$209,$F33,Баланс!$AC$24:$AC$209,"Уровень потерь воды"),0)</f>
        <v>0</v>
      </c>
      <c r="AG33" s="3795">
        <f>_xlfn.IFERROR(_xlfn.SUMIFS(INDEX(Electricity_LOAD_1,,MATCH($K33&amp;"Принято органом регулирования",ЭЭ!$AE$8:$BB$8,0)),ЭЭ!$F$25:$F$67,$F33,ЭЭ!$AC$25:$AC$67,"Удельный расход электроэнергии"),0)</f>
        <v>0</v>
      </c>
      <c r="AH33" s="3793">
        <f>_xlfn.IFERROR(_xlfn.SUMIFS(INDEX(Electricity_LOAD_1,,MATCH($K33&amp;"Принято органом регулирования",ЭЭ!$AE$8:$BB$8,0)),ЭЭ!$F$25:$F$67,$F33,ЭЭ!$AC$25:$AC$67,"Удельный расход электроэнергии"),0)</f>
        <v>0</v>
      </c>
      <c r="AI33" s="3793">
        <f>_xlfn.IFERROR(_xlfn.SUMIFS(INDEX(Electricity_LOAD_1,,MATCH($K33&amp;"Принято органом регулирования",ЭЭ!$AE$8:$BB$8,0)),ЭЭ!$F$25:$F$67,$F33,ЭЭ!$AC$25:$AC$67,"Удельный расход электроэнергии"),0)</f>
        <v>0</v>
      </c>
      <c r="AJ33" s="3793">
        <f>_xlfn.IFERROR(_xlfn.SUMIFS(INDEX(Electricity_LOAD_1,,MATCH($K33&amp;"Принято органом регулирования",ЭЭ!$AE$8:$BB$8,0)),ЭЭ!$F$25:$F$67,$F33,ЭЭ!$AC$25:$AC$67,"Удельный расход электроэнергии"),0)</f>
        <v>0</v>
      </c>
      <c r="AK33" s="3793">
        <f>_xlfn.IFERROR(_xlfn.SUMIFS(INDEX(Electricity_LOAD_1,,MATCH($K33&amp;"Принято органом регулирования",ЭЭ!$AE$8:$BB$8,0)),ЭЭ!$F$25:$F$67,$F33,ЭЭ!$AC$25:$AC$67,"Удельный расход электроэнергии"),0)</f>
        <v>0</v>
      </c>
      <c r="AL33" s="374"/>
      <c r="AM33" s="1256" t="s">
        <v>2086</v>
      </c>
      <c r="AN33" s="1256"/>
      <c r="AO33" s="1041" cm="1" t="str">
        <f t="array" ref="AO33:AO33">K33</f>
        <v>2028</v>
      </c>
      <c r="AP33" s="1256"/>
      <c r="AQ33" s="1256"/>
    </row>
    <row s="1256" customFormat="1" customHeight="1" ht="14.625" hidden="1">
      <c r="A34" s="1256"/>
      <c r="B34" s="417">
        <f>K34&lt;first_year+PERIOD_LENGTH</f>
        <v>0</v>
      </c>
      <c r="C34" s="1256"/>
      <c r="D34" s="1256"/>
      <c r="E34" s="679">
        <v>15</v>
      </c>
      <c r="F34" s="50" cm="1" t="str">
        <f t="array" ref="F34:F34">OFFSET(E34,-1,1)</f>
        <v>0</v>
      </c>
      <c r="G34" s="1256"/>
      <c r="H34" s="1256"/>
      <c r="I34" s="1256"/>
      <c r="J34" s="1256"/>
      <c r="K34" s="124">
        <f>first_year+3</f>
        <v>2029</v>
      </c>
      <c r="L34" s="1256"/>
      <c r="M34" s="1256"/>
      <c r="N34" s="1256"/>
      <c r="O34" s="1256"/>
      <c r="P34" s="1256"/>
      <c r="Q34" s="1256"/>
      <c r="R34" s="1256"/>
      <c r="S34" s="1256"/>
      <c r="T34" s="438" cm="1" t="str">
        <f t="array" ref="T34:T34">T33</f>
        <v>false</v>
      </c>
      <c r="U34" s="1256"/>
      <c r="V34" s="1256"/>
      <c r="W34" s="1256"/>
      <c r="X34" s="1511"/>
      <c r="Y34" s="1256"/>
      <c r="Z34" s="1494"/>
      <c r="AA34" s="1256"/>
      <c r="AB34" s="809" t="str">
        <f>K34&amp;" год"</f>
        <v>2029 год</v>
      </c>
      <c r="AC34" s="3794"/>
      <c r="AD34" s="3793">
        <f>_xlfn.IFERROR(_xlfn.SUMIFS(INDEX(Сценарии!$AE$25:$BF$82,,MATCH($K34&amp;"Принято органом регулирования",Сценарии!$AE$8:$BF$8,0)),Сценарии!$F$25:$F$82,$F34,Сценарии!$AC$25:$AC$82,"Индекс эффективности операционных расходов"),0)</f>
        <v>0</v>
      </c>
      <c r="AE34" s="3794"/>
      <c r="AF34" s="3794">
        <f>_xlfn.IFERROR(_xlfn.SUMIFS(INDEX(Баланс!$AE$25:$BB$209,,MATCH($K34&amp;"Принято органом регулирования",Баланс!$AE$8:$BB$8,0)),Баланс!$F$25:$F$209,$F34,Баланс!$AC$24:$AC$209,"Уровень потерь воды"),0)</f>
        <v>0</v>
      </c>
      <c r="AG34" s="3795">
        <f>_xlfn.IFERROR(_xlfn.SUMIFS(INDEX(Electricity_LOAD_1,,MATCH($K34&amp;"Принято органом регулирования",ЭЭ!$AE$8:$BB$8,0)),ЭЭ!$F$25:$F$67,$F34,ЭЭ!$AC$25:$AC$67,"Удельный расход электроэнергии"),0)</f>
        <v>0</v>
      </c>
      <c r="AH34" s="3793">
        <f>_xlfn.IFERROR(_xlfn.SUMIFS(INDEX(Electricity_LOAD_1,,MATCH($K34&amp;"Принято органом регулирования",ЭЭ!$AE$8:$BB$8,0)),ЭЭ!$F$25:$F$67,$F34,ЭЭ!$AC$25:$AC$67,"Удельный расход электроэнергии"),0)</f>
        <v>0</v>
      </c>
      <c r="AI34" s="3793">
        <f>_xlfn.IFERROR(_xlfn.SUMIFS(INDEX(Electricity_LOAD_1,,MATCH($K34&amp;"Принято органом регулирования",ЭЭ!$AE$8:$BB$8,0)),ЭЭ!$F$25:$F$67,$F34,ЭЭ!$AC$25:$AC$67,"Удельный расход электроэнергии"),0)</f>
        <v>0</v>
      </c>
      <c r="AJ34" s="3793">
        <f>_xlfn.IFERROR(_xlfn.SUMIFS(INDEX(Electricity_LOAD_1,,MATCH($K34&amp;"Принято органом регулирования",ЭЭ!$AE$8:$BB$8,0)),ЭЭ!$F$25:$F$67,$F34,ЭЭ!$AC$25:$AC$67,"Удельный расход электроэнергии"),0)</f>
        <v>0</v>
      </c>
      <c r="AK34" s="3793">
        <f>_xlfn.IFERROR(_xlfn.SUMIFS(INDEX(Electricity_LOAD_1,,MATCH($K34&amp;"Принято органом регулирования",ЭЭ!$AE$8:$BB$8,0)),ЭЭ!$F$25:$F$67,$F34,ЭЭ!$AC$25:$AC$67,"Удельный расход электроэнергии"),0)</f>
        <v>0</v>
      </c>
      <c r="AL34" s="374"/>
      <c r="AM34" s="1256" t="s">
        <v>2086</v>
      </c>
      <c r="AN34" s="1256"/>
      <c r="AO34" s="1041" cm="1" t="str">
        <f t="array" ref="AO34:AO34">K34</f>
        <v>2029</v>
      </c>
      <c r="AP34" s="1256"/>
      <c r="AQ34" s="1256"/>
    </row>
    <row s="1256" customFormat="1" customHeight="1" ht="14.625" hidden="1">
      <c r="A35" s="1256"/>
      <c r="B35" s="417">
        <f>K35&lt;first_year+PERIOD_LENGTH</f>
        <v>0</v>
      </c>
      <c r="C35" s="1256"/>
      <c r="D35" s="1256"/>
      <c r="E35" s="679">
        <v>15</v>
      </c>
      <c r="F35" s="50" cm="1" t="str">
        <f t="array" ref="F35:F35">OFFSET(E35,-1,1)</f>
        <v>0</v>
      </c>
      <c r="G35" s="1256"/>
      <c r="H35" s="1256"/>
      <c r="I35" s="1256"/>
      <c r="J35" s="1256"/>
      <c r="K35" s="124">
        <f>first_year+4</f>
        <v>2030</v>
      </c>
      <c r="L35" s="1256"/>
      <c r="M35" s="1256"/>
      <c r="N35" s="1256"/>
      <c r="O35" s="1256"/>
      <c r="P35" s="1256"/>
      <c r="Q35" s="1256"/>
      <c r="R35" s="1256"/>
      <c r="S35" s="1256"/>
      <c r="T35" s="438" cm="1" t="str">
        <f t="array" ref="T35:T35">T34</f>
        <v>false</v>
      </c>
      <c r="U35" s="1256"/>
      <c r="V35" s="1256"/>
      <c r="W35" s="1256"/>
      <c r="X35" s="1511"/>
      <c r="Y35" s="1256"/>
      <c r="Z35" s="1494"/>
      <c r="AA35" s="1256"/>
      <c r="AB35" s="809" t="str">
        <f>K35&amp;" год"</f>
        <v>2030 год</v>
      </c>
      <c r="AC35" s="3794"/>
      <c r="AD35" s="3793">
        <f>_xlfn.IFERROR(_xlfn.SUMIFS(INDEX(Сценарии!$AE$25:$BF$82,,MATCH($K35&amp;"Принято органом регулирования",Сценарии!$AE$8:$BF$8,0)),Сценарии!$F$25:$F$82,$F35,Сценарии!$AC$25:$AC$82,"Индекс эффективности операционных расходов"),0)</f>
        <v>0</v>
      </c>
      <c r="AE35" s="3794"/>
      <c r="AF35" s="3794">
        <f>_xlfn.IFERROR(_xlfn.SUMIFS(INDEX(Баланс!$AE$25:$BB$209,,MATCH($K35&amp;"Принято органом регулирования",Баланс!$AE$8:$BB$8,0)),Баланс!$F$25:$F$209,$F35,Баланс!$AC$24:$AC$209,"Уровень потерь воды"),0)</f>
        <v>0</v>
      </c>
      <c r="AG35" s="3795">
        <f>_xlfn.IFERROR(_xlfn.SUMIFS(INDEX(Electricity_LOAD_1,,MATCH($K35&amp;"Принято органом регулирования",ЭЭ!$AE$8:$BB$8,0)),ЭЭ!$F$25:$F$67,$F35,ЭЭ!$AC$25:$AC$67,"Удельный расход электроэнергии"),0)</f>
        <v>0</v>
      </c>
      <c r="AH35" s="3793">
        <f>_xlfn.IFERROR(_xlfn.SUMIFS(INDEX(Electricity_LOAD_1,,MATCH($K35&amp;"Принято органом регулирования",ЭЭ!$AE$8:$BB$8,0)),ЭЭ!$F$25:$F$67,$F35,ЭЭ!$AC$25:$AC$67,"Удельный расход электроэнергии"),0)</f>
        <v>0</v>
      </c>
      <c r="AI35" s="3793">
        <f>_xlfn.IFERROR(_xlfn.SUMIFS(INDEX(Electricity_LOAD_1,,MATCH($K35&amp;"Принято органом регулирования",ЭЭ!$AE$8:$BB$8,0)),ЭЭ!$F$25:$F$67,$F35,ЭЭ!$AC$25:$AC$67,"Удельный расход электроэнергии"),0)</f>
        <v>0</v>
      </c>
      <c r="AJ35" s="3793">
        <f>_xlfn.IFERROR(_xlfn.SUMIFS(INDEX(Electricity_LOAD_1,,MATCH($K35&amp;"Принято органом регулирования",ЭЭ!$AE$8:$BB$8,0)),ЭЭ!$F$25:$F$67,$F35,ЭЭ!$AC$25:$AC$67,"Удельный расход электроэнергии"),0)</f>
        <v>0</v>
      </c>
      <c r="AK35" s="3793">
        <f>_xlfn.IFERROR(_xlfn.SUMIFS(INDEX(Electricity_LOAD_1,,MATCH($K35&amp;"Принято органом регулирования",ЭЭ!$AE$8:$BB$8,0)),ЭЭ!$F$25:$F$67,$F35,ЭЭ!$AC$25:$AC$67,"Удельный расход электроэнергии"),0)</f>
        <v>0</v>
      </c>
      <c r="AL35" s="374"/>
      <c r="AM35" s="1256" t="s">
        <v>2086</v>
      </c>
      <c r="AN35" s="1256"/>
      <c r="AO35" s="1041" cm="1" t="str">
        <f t="array" ref="AO35:AO35">K35</f>
        <v>2030</v>
      </c>
      <c r="AP35" s="1256"/>
      <c r="AQ35" s="1256"/>
    </row>
    <row s="1256" customFormat="1" customHeight="1" ht="14.625" hidden="1">
      <c r="A36" s="1256"/>
      <c r="B36" s="417">
        <f>K36&lt;first_year+PERIOD_LENGTH</f>
        <v>0</v>
      </c>
      <c r="C36" s="1256"/>
      <c r="D36" s="1256"/>
      <c r="E36" s="679">
        <v>15</v>
      </c>
      <c r="F36" s="50" cm="1" t="str">
        <f t="array" ref="F36:F36">OFFSET(E36,-1,1)</f>
        <v>0</v>
      </c>
      <c r="G36" s="1256"/>
      <c r="H36" s="1256"/>
      <c r="I36" s="1256"/>
      <c r="J36" s="1256"/>
      <c r="K36" s="124">
        <f>first_year+5</f>
        <v>2031</v>
      </c>
      <c r="L36" s="1256"/>
      <c r="M36" s="1256"/>
      <c r="N36" s="1256"/>
      <c r="O36" s="1256"/>
      <c r="P36" s="1256"/>
      <c r="Q36" s="1256"/>
      <c r="R36" s="1256"/>
      <c r="S36" s="1256"/>
      <c r="T36" s="438" cm="1" t="str">
        <f t="array" ref="T36:T36">T35</f>
        <v>false</v>
      </c>
      <c r="U36" s="1256"/>
      <c r="V36" s="1256"/>
      <c r="W36" s="1256"/>
      <c r="X36" s="1511"/>
      <c r="Y36" s="1256"/>
      <c r="Z36" s="1494"/>
      <c r="AA36" s="1256"/>
      <c r="AB36" s="809" t="str">
        <f>K36&amp;" год"</f>
        <v>2031 год</v>
      </c>
      <c r="AC36" s="3794"/>
      <c r="AD36" s="3793">
        <f>_xlfn.IFERROR(_xlfn.SUMIFS(INDEX(Сценарии!$AE$25:$BF$82,,MATCH($K36&amp;"Принято органом регулирования",Сценарии!$AE$8:$BF$8,0)),Сценарии!$F$25:$F$82,$F36,Сценарии!$AC$25:$AC$82,"Индекс эффективности операционных расходов"),0)</f>
        <v>0</v>
      </c>
      <c r="AE36" s="3794"/>
      <c r="AF36" s="3794">
        <f>_xlfn.IFERROR(_xlfn.SUMIFS(INDEX(Баланс!$AE$25:$BB$209,,MATCH($K36&amp;"Принято органом регулирования",Баланс!$AE$8:$BB$8,0)),Баланс!$F$25:$F$209,$F36,Баланс!$AC$24:$AC$209,"Уровень потерь воды"),0)</f>
        <v>0</v>
      </c>
      <c r="AG36" s="3795">
        <f>_xlfn.IFERROR(_xlfn.SUMIFS(INDEX(Electricity_LOAD_1,,MATCH($K36&amp;"Принято органом регулирования",ЭЭ!$AE$8:$BB$8,0)),ЭЭ!$F$25:$F$67,$F36,ЭЭ!$AC$25:$AC$67,"Удельный расход электроэнергии"),0)</f>
        <v>0</v>
      </c>
      <c r="AH36" s="3793">
        <f>_xlfn.IFERROR(_xlfn.SUMIFS(INDEX(Electricity_LOAD_1,,MATCH($K36&amp;"Принято органом регулирования",ЭЭ!$AE$8:$BB$8,0)),ЭЭ!$F$25:$F$67,$F36,ЭЭ!$AC$25:$AC$67,"Удельный расход электроэнергии"),0)</f>
        <v>0</v>
      </c>
      <c r="AI36" s="3793">
        <f>_xlfn.IFERROR(_xlfn.SUMIFS(INDEX(Electricity_LOAD_1,,MATCH($K36&amp;"Принято органом регулирования",ЭЭ!$AE$8:$BB$8,0)),ЭЭ!$F$25:$F$67,$F36,ЭЭ!$AC$25:$AC$67,"Удельный расход электроэнергии"),0)</f>
        <v>0</v>
      </c>
      <c r="AJ36" s="3793">
        <f>_xlfn.IFERROR(_xlfn.SUMIFS(INDEX(Electricity_LOAD_1,,MATCH($K36&amp;"Принято органом регулирования",ЭЭ!$AE$8:$BB$8,0)),ЭЭ!$F$25:$F$67,$F36,ЭЭ!$AC$25:$AC$67,"Удельный расход электроэнергии"),0)</f>
        <v>0</v>
      </c>
      <c r="AK36" s="3793">
        <f>_xlfn.IFERROR(_xlfn.SUMIFS(INDEX(Electricity_LOAD_1,,MATCH($K36&amp;"Принято органом регулирования",ЭЭ!$AE$8:$BB$8,0)),ЭЭ!$F$25:$F$67,$F36,ЭЭ!$AC$25:$AC$67,"Удельный расход электроэнергии"),0)</f>
        <v>0</v>
      </c>
      <c r="AL36" s="374"/>
      <c r="AM36" s="1256" t="s">
        <v>2086</v>
      </c>
      <c r="AN36" s="1256"/>
      <c r="AO36" s="1041" cm="1" t="str">
        <f t="array" ref="AO36:AO36">K36</f>
        <v>2031</v>
      </c>
      <c r="AP36" s="1256"/>
      <c r="AQ36" s="1256"/>
    </row>
    <row s="1256" customFormat="1" customHeight="1" ht="14.625" hidden="1">
      <c r="A37" s="1256"/>
      <c r="B37" s="417">
        <f>K37&lt;first_year+PERIOD_LENGTH</f>
        <v>0</v>
      </c>
      <c r="C37" s="1256"/>
      <c r="D37" s="1256"/>
      <c r="E37" s="679">
        <v>15</v>
      </c>
      <c r="F37" s="50" cm="1" t="str">
        <f t="array" ref="F37:F37">OFFSET(E37,-1,1)</f>
        <v>0</v>
      </c>
      <c r="G37" s="1256"/>
      <c r="H37" s="1256"/>
      <c r="I37" s="1256"/>
      <c r="J37" s="1256"/>
      <c r="K37" s="124">
        <f>first_year+6</f>
        <v>2032</v>
      </c>
      <c r="L37" s="1256"/>
      <c r="M37" s="1256"/>
      <c r="N37" s="1256"/>
      <c r="O37" s="1256"/>
      <c r="P37" s="1256"/>
      <c r="Q37" s="1256"/>
      <c r="R37" s="1256"/>
      <c r="S37" s="1256"/>
      <c r="T37" s="438" cm="1" t="str">
        <f t="array" ref="T37:T37">T36</f>
        <v>false</v>
      </c>
      <c r="U37" s="1256"/>
      <c r="V37" s="1256"/>
      <c r="W37" s="1256"/>
      <c r="X37" s="1511"/>
      <c r="Y37" s="1256"/>
      <c r="Z37" s="1494"/>
      <c r="AA37" s="1256"/>
      <c r="AB37" s="809" t="str">
        <f>K37&amp;" год"</f>
        <v>2032 год</v>
      </c>
      <c r="AC37" s="3794"/>
      <c r="AD37" s="3793">
        <f>_xlfn.IFERROR(_xlfn.SUMIFS(INDEX(Сценарии!$AE$25:$BF$82,,MATCH($K37&amp;"Принято органом регулирования",Сценарии!$AE$8:$BF$8,0)),Сценарии!$F$25:$F$82,$F37,Сценарии!$AC$25:$AC$82,"Индекс эффективности операционных расходов"),0)</f>
        <v>0</v>
      </c>
      <c r="AE37" s="3794"/>
      <c r="AF37" s="3794">
        <f>_xlfn.IFERROR(_xlfn.SUMIFS(INDEX(Баланс!$AE$25:$BB$209,,MATCH($K37&amp;"Принято органом регулирования",Баланс!$AE$8:$BB$8,0)),Баланс!$F$25:$F$209,$F37,Баланс!$AC$24:$AC$209,"Уровень потерь воды"),0)</f>
        <v>0</v>
      </c>
      <c r="AG37" s="3795">
        <f>_xlfn.IFERROR(_xlfn.SUMIFS(INDEX(Electricity_LOAD_1,,MATCH($K37&amp;"Принято органом регулирования",ЭЭ!$AE$8:$BB$8,0)),ЭЭ!$F$25:$F$67,$F37,ЭЭ!$AC$25:$AC$67,"Удельный расход электроэнергии"),0)</f>
        <v>0</v>
      </c>
      <c r="AH37" s="3793">
        <f>_xlfn.IFERROR(_xlfn.SUMIFS(INDEX(Electricity_LOAD_1,,MATCH($K37&amp;"Принято органом регулирования",ЭЭ!$AE$8:$BB$8,0)),ЭЭ!$F$25:$F$67,$F37,ЭЭ!$AC$25:$AC$67,"Удельный расход электроэнергии"),0)</f>
        <v>0</v>
      </c>
      <c r="AI37" s="3793">
        <f>_xlfn.IFERROR(_xlfn.SUMIFS(INDEX(Electricity_LOAD_1,,MATCH($K37&amp;"Принято органом регулирования",ЭЭ!$AE$8:$BB$8,0)),ЭЭ!$F$25:$F$67,$F37,ЭЭ!$AC$25:$AC$67,"Удельный расход электроэнергии"),0)</f>
        <v>0</v>
      </c>
      <c r="AJ37" s="3793">
        <f>_xlfn.IFERROR(_xlfn.SUMIFS(INDEX(Electricity_LOAD_1,,MATCH($K37&amp;"Принято органом регулирования",ЭЭ!$AE$8:$BB$8,0)),ЭЭ!$F$25:$F$67,$F37,ЭЭ!$AC$25:$AC$67,"Удельный расход электроэнергии"),0)</f>
        <v>0</v>
      </c>
      <c r="AK37" s="3793">
        <f>_xlfn.IFERROR(_xlfn.SUMIFS(INDEX(Electricity_LOAD_1,,MATCH($K37&amp;"Принято органом регулирования",ЭЭ!$AE$8:$BB$8,0)),ЭЭ!$F$25:$F$67,$F37,ЭЭ!$AC$25:$AC$67,"Удельный расход электроэнергии"),0)</f>
        <v>0</v>
      </c>
      <c r="AL37" s="374"/>
      <c r="AM37" s="1256" t="s">
        <v>2086</v>
      </c>
      <c r="AN37" s="1256"/>
      <c r="AO37" s="1041" cm="1" t="str">
        <f t="array" ref="AO37:AO37">K37</f>
        <v>2032</v>
      </c>
      <c r="AP37" s="1256"/>
      <c r="AQ37" s="1256"/>
    </row>
    <row s="1256" customFormat="1" customHeight="1" ht="14.625" hidden="1">
      <c r="A38" s="1256"/>
      <c r="B38" s="417">
        <f>K38&lt;first_year+PERIOD_LENGTH</f>
        <v>0</v>
      </c>
      <c r="C38" s="1256"/>
      <c r="D38" s="1256"/>
      <c r="E38" s="679">
        <v>15</v>
      </c>
      <c r="F38" s="50" cm="1" t="str">
        <f t="array" ref="F38:F38">OFFSET(E38,-1,1)</f>
        <v>0</v>
      </c>
      <c r="G38" s="1256"/>
      <c r="H38" s="1256"/>
      <c r="I38" s="1256"/>
      <c r="J38" s="1256"/>
      <c r="K38" s="124">
        <f>first_year+7</f>
        <v>2033</v>
      </c>
      <c r="L38" s="1256"/>
      <c r="M38" s="1256"/>
      <c r="N38" s="1256"/>
      <c r="O38" s="1256"/>
      <c r="P38" s="1256"/>
      <c r="Q38" s="1256"/>
      <c r="R38" s="1256"/>
      <c r="S38" s="1256"/>
      <c r="T38" s="438" cm="1" t="str">
        <f t="array" ref="T38:T38">T37</f>
        <v>false</v>
      </c>
      <c r="U38" s="1256"/>
      <c r="V38" s="1256"/>
      <c r="W38" s="1256"/>
      <c r="X38" s="1511"/>
      <c r="Y38" s="1256"/>
      <c r="Z38" s="1494"/>
      <c r="AA38" s="1256"/>
      <c r="AB38" s="809" t="str">
        <f>K38&amp;" год"</f>
        <v>2033 год</v>
      </c>
      <c r="AC38" s="3794"/>
      <c r="AD38" s="3793">
        <f>_xlfn.IFERROR(_xlfn.SUMIFS(INDEX(Сценарии!$AE$25:$BF$82,,MATCH($K38&amp;"Принято органом регулирования",Сценарии!$AE$8:$BF$8,0)),Сценарии!$F$25:$F$82,$F38,Сценарии!$AC$25:$AC$82,"Индекс эффективности операционных расходов"),0)</f>
        <v>0</v>
      </c>
      <c r="AE38" s="3794"/>
      <c r="AF38" s="3794">
        <f>_xlfn.IFERROR(_xlfn.SUMIFS(INDEX(Баланс!$AE$25:$BB$209,,MATCH($K38&amp;"Принято органом регулирования",Баланс!$AE$8:$BB$8,0)),Баланс!$F$25:$F$209,$F38,Баланс!$AC$24:$AC$209,"Уровень потерь воды"),0)</f>
        <v>0</v>
      </c>
      <c r="AG38" s="3795">
        <f>_xlfn.IFERROR(_xlfn.SUMIFS(INDEX(Electricity_LOAD_1,,MATCH($K38&amp;"Принято органом регулирования",ЭЭ!$AE$8:$BB$8,0)),ЭЭ!$F$25:$F$67,$F38,ЭЭ!$AC$25:$AC$67,"Удельный расход электроэнергии"),0)</f>
        <v>0</v>
      </c>
      <c r="AH38" s="3793">
        <f>_xlfn.IFERROR(_xlfn.SUMIFS(INDEX(Electricity_LOAD_1,,MATCH($K38&amp;"Принято органом регулирования",ЭЭ!$AE$8:$BB$8,0)),ЭЭ!$F$25:$F$67,$F38,ЭЭ!$AC$25:$AC$67,"Удельный расход электроэнергии"),0)</f>
        <v>0</v>
      </c>
      <c r="AI38" s="3793">
        <f>_xlfn.IFERROR(_xlfn.SUMIFS(INDEX(Electricity_LOAD_1,,MATCH($K38&amp;"Принято органом регулирования",ЭЭ!$AE$8:$BB$8,0)),ЭЭ!$F$25:$F$67,$F38,ЭЭ!$AC$25:$AC$67,"Удельный расход электроэнергии"),0)</f>
        <v>0</v>
      </c>
      <c r="AJ38" s="3793">
        <f>_xlfn.IFERROR(_xlfn.SUMIFS(INDEX(Electricity_LOAD_1,,MATCH($K38&amp;"Принято органом регулирования",ЭЭ!$AE$8:$BB$8,0)),ЭЭ!$F$25:$F$67,$F38,ЭЭ!$AC$25:$AC$67,"Удельный расход электроэнергии"),0)</f>
        <v>0</v>
      </c>
      <c r="AK38" s="3793">
        <f>_xlfn.IFERROR(_xlfn.SUMIFS(INDEX(Electricity_LOAD_1,,MATCH($K38&amp;"Принято органом регулирования",ЭЭ!$AE$8:$BB$8,0)),ЭЭ!$F$25:$F$67,$F38,ЭЭ!$AC$25:$AC$67,"Удельный расход электроэнергии"),0)</f>
        <v>0</v>
      </c>
      <c r="AL38" s="374"/>
      <c r="AM38" s="1256" t="s">
        <v>2086</v>
      </c>
      <c r="AN38" s="1256"/>
      <c r="AO38" s="1041" cm="1" t="str">
        <f t="array" ref="AO38:AO38">K38</f>
        <v>2033</v>
      </c>
      <c r="AP38" s="1256"/>
      <c r="AQ38" s="1256"/>
    </row>
    <row s="1256" customFormat="1" customHeight="1" ht="14.625" hidden="1">
      <c r="A39" s="1256"/>
      <c r="B39" s="417">
        <f>K39&lt;first_year+PERIOD_LENGTH</f>
        <v>0</v>
      </c>
      <c r="C39" s="1256"/>
      <c r="D39" s="1256"/>
      <c r="E39" s="679">
        <v>15</v>
      </c>
      <c r="F39" s="50" cm="1" t="str">
        <f t="array" ref="F39:F39">OFFSET(E39,-1,1)</f>
        <v>0</v>
      </c>
      <c r="G39" s="1256"/>
      <c r="H39" s="1256"/>
      <c r="I39" s="1256"/>
      <c r="J39" s="1256"/>
      <c r="K39" s="124">
        <f>first_year+8</f>
        <v>2034</v>
      </c>
      <c r="L39" s="1256"/>
      <c r="M39" s="1256"/>
      <c r="N39" s="1256"/>
      <c r="O39" s="1256"/>
      <c r="P39" s="1256"/>
      <c r="Q39" s="1256"/>
      <c r="R39" s="1256"/>
      <c r="S39" s="1256"/>
      <c r="T39" s="438" cm="1" t="str">
        <f t="array" ref="T39:T39">T38</f>
        <v>false</v>
      </c>
      <c r="U39" s="1256"/>
      <c r="V39" s="1256"/>
      <c r="W39" s="1256"/>
      <c r="X39" s="1511"/>
      <c r="Y39" s="1256"/>
      <c r="Z39" s="1494"/>
      <c r="AA39" s="1256"/>
      <c r="AB39" s="809" t="str">
        <f>K39&amp;" год"</f>
        <v>2034 год</v>
      </c>
      <c r="AC39" s="3794"/>
      <c r="AD39" s="3793">
        <f>_xlfn.IFERROR(_xlfn.SUMIFS(INDEX(Сценарии!$AE$25:$BF$82,,MATCH($K39&amp;"Принято органом регулирования",Сценарии!$AE$8:$BF$8,0)),Сценарии!$F$25:$F$82,$F39,Сценарии!$AC$25:$AC$82,"Индекс эффективности операционных расходов"),0)</f>
        <v>0</v>
      </c>
      <c r="AE39" s="3794"/>
      <c r="AF39" s="3794">
        <f>_xlfn.IFERROR(_xlfn.SUMIFS(INDEX(Баланс!$AE$25:$BB$209,,MATCH($K39&amp;"Принято органом регулирования",Баланс!$AE$8:$BB$8,0)),Баланс!$F$25:$F$209,$F39,Баланс!$AC$24:$AC$209,"Уровень потерь воды"),0)</f>
        <v>0</v>
      </c>
      <c r="AG39" s="3795">
        <f>_xlfn.IFERROR(_xlfn.SUMIFS(INDEX(Electricity_LOAD_1,,MATCH($K39&amp;"Принято органом регулирования",ЭЭ!$AE$8:$BB$8,0)),ЭЭ!$F$25:$F$67,$F39,ЭЭ!$AC$25:$AC$67,"Удельный расход электроэнергии"),0)</f>
        <v>0</v>
      </c>
      <c r="AH39" s="3793">
        <f>_xlfn.IFERROR(_xlfn.SUMIFS(INDEX(Electricity_LOAD_1,,MATCH($K39&amp;"Принято органом регулирования",ЭЭ!$AE$8:$BB$8,0)),ЭЭ!$F$25:$F$67,$F39,ЭЭ!$AC$25:$AC$67,"Удельный расход электроэнергии"),0)</f>
        <v>0</v>
      </c>
      <c r="AI39" s="3793">
        <f>_xlfn.IFERROR(_xlfn.SUMIFS(INDEX(Electricity_LOAD_1,,MATCH($K39&amp;"Принято органом регулирования",ЭЭ!$AE$8:$BB$8,0)),ЭЭ!$F$25:$F$67,$F39,ЭЭ!$AC$25:$AC$67,"Удельный расход электроэнергии"),0)</f>
        <v>0</v>
      </c>
      <c r="AJ39" s="3793">
        <f>_xlfn.IFERROR(_xlfn.SUMIFS(INDEX(Electricity_LOAD_1,,MATCH($K39&amp;"Принято органом регулирования",ЭЭ!$AE$8:$BB$8,0)),ЭЭ!$F$25:$F$67,$F39,ЭЭ!$AC$25:$AC$67,"Удельный расход электроэнергии"),0)</f>
        <v>0</v>
      </c>
      <c r="AK39" s="3793">
        <f>_xlfn.IFERROR(_xlfn.SUMIFS(INDEX(Electricity_LOAD_1,,MATCH($K39&amp;"Принято органом регулирования",ЭЭ!$AE$8:$BB$8,0)),ЭЭ!$F$25:$F$67,$F39,ЭЭ!$AC$25:$AC$67,"Удельный расход электроэнергии"),0)</f>
        <v>0</v>
      </c>
      <c r="AL39" s="374"/>
      <c r="AM39" s="1256" t="s">
        <v>2086</v>
      </c>
      <c r="AN39" s="1256"/>
      <c r="AO39" s="1041" cm="1" t="str">
        <f t="array" ref="AO39:AO39">K39</f>
        <v>2034</v>
      </c>
      <c r="AP39" s="1256"/>
      <c r="AQ39" s="1256"/>
    </row>
    <row s="1256" customFormat="1" customHeight="1" ht="14.625" hidden="1">
      <c r="A40" s="1256"/>
      <c r="B40" s="417">
        <f>K40&lt;first_year+PERIOD_LENGTH</f>
        <v>0</v>
      </c>
      <c r="C40" s="1256"/>
      <c r="D40" s="1256"/>
      <c r="E40" s="679">
        <v>15</v>
      </c>
      <c r="F40" s="50" cm="1" t="str">
        <f t="array" ref="F40:F40">OFFSET(E40,-1,1)</f>
        <v>0</v>
      </c>
      <c r="G40" s="1256"/>
      <c r="H40" s="1256"/>
      <c r="I40" s="1256"/>
      <c r="J40" s="1256"/>
      <c r="K40" s="124">
        <f>first_year+9</f>
        <v>2035</v>
      </c>
      <c r="L40" s="1256"/>
      <c r="M40" s="1256"/>
      <c r="N40" s="1256"/>
      <c r="O40" s="1256"/>
      <c r="P40" s="1256"/>
      <c r="Q40" s="1256"/>
      <c r="R40" s="1256"/>
      <c r="S40" s="1256"/>
      <c r="T40" s="438" cm="1" t="str">
        <f t="array" ref="T40:T40">T39</f>
        <v>false</v>
      </c>
      <c r="U40" s="1256"/>
      <c r="V40" s="1256"/>
      <c r="W40" s="1256"/>
      <c r="X40" s="1511"/>
      <c r="Y40" s="1256"/>
      <c r="Z40" s="1494"/>
      <c r="AA40" s="1256"/>
      <c r="AB40" s="809" t="str">
        <f>K40&amp;" год"</f>
        <v>2035 год</v>
      </c>
      <c r="AC40" s="3794"/>
      <c r="AD40" s="3793">
        <f>_xlfn.IFERROR(_xlfn.SUMIFS(INDEX(Сценарии!$AE$25:$BF$82,,MATCH($K40&amp;"Принято органом регулирования",Сценарии!$AE$8:$BF$8,0)),Сценарии!$F$25:$F$82,$F40,Сценарии!$AC$25:$AC$82,"Индекс эффективности операционных расходов"),0)</f>
        <v>0</v>
      </c>
      <c r="AE40" s="3794"/>
      <c r="AF40" s="3794">
        <f>_xlfn.IFERROR(_xlfn.SUMIFS(INDEX(Баланс!$AE$25:$BB$209,,MATCH($K40&amp;"Принято органом регулирования",Баланс!$AE$8:$BB$8,0)),Баланс!$F$25:$F$209,$F40,Баланс!$AC$24:$AC$209,"Уровень потерь воды"),0)</f>
        <v>0</v>
      </c>
      <c r="AG40" s="3795">
        <f>_xlfn.IFERROR(_xlfn.SUMIFS(INDEX(Electricity_LOAD_1,,MATCH($K40&amp;"Принято органом регулирования",ЭЭ!$AE$8:$BB$8,0)),ЭЭ!$F$25:$F$67,$F40,ЭЭ!$AC$25:$AC$67,"Удельный расход электроэнергии"),0)</f>
        <v>0</v>
      </c>
      <c r="AH40" s="3793">
        <f>_xlfn.IFERROR(_xlfn.SUMIFS(INDEX(Electricity_LOAD_1,,MATCH($K40&amp;"Принято органом регулирования",ЭЭ!$AE$8:$BB$8,0)),ЭЭ!$F$25:$F$67,$F40,ЭЭ!$AC$25:$AC$67,"Удельный расход электроэнергии"),0)</f>
        <v>0</v>
      </c>
      <c r="AI40" s="3793">
        <f>_xlfn.IFERROR(_xlfn.SUMIFS(INDEX(Electricity_LOAD_1,,MATCH($K40&amp;"Принято органом регулирования",ЭЭ!$AE$8:$BB$8,0)),ЭЭ!$F$25:$F$67,$F40,ЭЭ!$AC$25:$AC$67,"Удельный расход электроэнергии"),0)</f>
        <v>0</v>
      </c>
      <c r="AJ40" s="3793">
        <f>_xlfn.IFERROR(_xlfn.SUMIFS(INDEX(Electricity_LOAD_1,,MATCH($K40&amp;"Принято органом регулирования",ЭЭ!$AE$8:$BB$8,0)),ЭЭ!$F$25:$F$67,$F40,ЭЭ!$AC$25:$AC$67,"Удельный расход электроэнергии"),0)</f>
        <v>0</v>
      </c>
      <c r="AK40" s="3793">
        <f>_xlfn.IFERROR(_xlfn.SUMIFS(INDEX(Electricity_LOAD_1,,MATCH($K40&amp;"Принято органом регулирования",ЭЭ!$AE$8:$BB$8,0)),ЭЭ!$F$25:$F$67,$F40,ЭЭ!$AC$25:$AC$67,"Удельный расход электроэнергии"),0)</f>
        <v>0</v>
      </c>
      <c r="AL40" s="374"/>
      <c r="AM40" s="1256" t="s">
        <v>2086</v>
      </c>
      <c r="AN40" s="1256"/>
      <c r="AO40" s="1041" cm="1" t="str">
        <f t="array" ref="AO40:AO40">K40</f>
        <v>2035</v>
      </c>
      <c r="AP40" s="1256"/>
      <c r="AQ40" s="1256"/>
    </row>
    <row s="1256" customFormat="1" customHeight="1" ht="14.625" hidden="1">
      <c r="A41" s="1256"/>
      <c r="B41" s="417">
        <f>K41&lt;first_year+PERIOD_LENGTH</f>
        <v>0</v>
      </c>
      <c r="C41" s="1256"/>
      <c r="D41" s="1256"/>
      <c r="E41" s="679">
        <v>15</v>
      </c>
      <c r="F41" s="50" cm="1" t="str">
        <f t="array" ref="F41:F41">OFFSET(E41,-1,1)</f>
        <v>0</v>
      </c>
      <c r="G41" s="1256"/>
      <c r="H41" s="1256"/>
      <c r="I41" s="1256"/>
      <c r="J41" s="1256"/>
      <c r="K41" s="124">
        <f>first_year+10</f>
        <v>2036</v>
      </c>
      <c r="L41" s="1256"/>
      <c r="M41" s="1256"/>
      <c r="N41" s="1256"/>
      <c r="O41" s="1256"/>
      <c r="P41" s="1256"/>
      <c r="Q41" s="1256"/>
      <c r="R41" s="1256"/>
      <c r="S41" s="1256"/>
      <c r="T41" s="438" cm="1" t="str">
        <f t="array" ref="T41:T41">T40</f>
        <v>false</v>
      </c>
      <c r="U41" s="1256"/>
      <c r="V41" s="1256"/>
      <c r="W41" s="1256"/>
      <c r="X41" s="1511"/>
      <c r="Y41" s="1256"/>
      <c r="Z41" s="1494"/>
      <c r="AA41" s="1256"/>
      <c r="AB41" s="809" t="str">
        <f>K41&amp;" год"</f>
        <v>2036 год</v>
      </c>
      <c r="AC41" s="3794"/>
      <c r="AD41" s="3793"/>
      <c r="AE41" s="3794"/>
      <c r="AF41" s="3794"/>
      <c r="AG41" s="3793"/>
      <c r="AH41" s="3793"/>
      <c r="AI41" s="3793"/>
      <c r="AJ41" s="3793"/>
      <c r="AK41" s="3798"/>
      <c r="AL41" s="374"/>
      <c r="AM41" s="1256"/>
      <c r="AN41" s="1256"/>
      <c r="AO41" s="1041" cm="1" t="str">
        <f t="array" ref="AO41:AO41">K41</f>
        <v>2036</v>
      </c>
      <c r="AP41" s="1256"/>
      <c r="AQ41" s="1256"/>
    </row>
    <row s="1256" customFormat="1" customHeight="1" ht="14.625" hidden="1">
      <c r="A42" s="1256"/>
      <c r="B42" s="417">
        <f>K42&lt;first_year+PERIOD_LENGTH</f>
        <v>0</v>
      </c>
      <c r="C42" s="1256"/>
      <c r="D42" s="1256"/>
      <c r="E42" s="679">
        <v>15</v>
      </c>
      <c r="F42" s="50" cm="1" t="str">
        <f t="array" ref="F42:F42">OFFSET(E42,-1,1)</f>
        <v>0</v>
      </c>
      <c r="G42" s="1256"/>
      <c r="H42" s="1256"/>
      <c r="I42" s="1256"/>
      <c r="J42" s="1256"/>
      <c r="K42" s="124">
        <f>first_year+11</f>
        <v>2037</v>
      </c>
      <c r="L42" s="1256"/>
      <c r="M42" s="1256"/>
      <c r="N42" s="1256"/>
      <c r="O42" s="1256"/>
      <c r="P42" s="1256"/>
      <c r="Q42" s="1256"/>
      <c r="R42" s="1256"/>
      <c r="S42" s="1256"/>
      <c r="T42" s="438" cm="1" t="str">
        <f t="array" ref="T42:T42">T41</f>
        <v>false</v>
      </c>
      <c r="U42" s="1256"/>
      <c r="V42" s="1256"/>
      <c r="W42" s="1256"/>
      <c r="X42" s="1511"/>
      <c r="Y42" s="1256"/>
      <c r="Z42" s="1494"/>
      <c r="AA42" s="1256"/>
      <c r="AB42" s="221" t="str">
        <f>K42&amp;" год"</f>
        <v>2037 год</v>
      </c>
      <c r="AC42" s="3794"/>
      <c r="AD42" s="3800"/>
      <c r="AE42" s="3801"/>
      <c r="AF42" s="3801"/>
      <c r="AG42" s="3800"/>
      <c r="AH42" s="3800"/>
      <c r="AI42" s="3800"/>
      <c r="AJ42" s="3800"/>
      <c r="AK42" s="3802"/>
      <c r="AL42" s="374"/>
      <c r="AM42" s="1256"/>
      <c r="AN42" s="1256"/>
      <c r="AO42" s="1041" cm="1" t="str">
        <f t="array" ref="AO42:AO42">K42</f>
        <v>2037</v>
      </c>
      <c r="AP42" s="1256"/>
      <c r="AQ42" s="1256"/>
    </row>
    <row s="1256" customFormat="1" customHeight="1" ht="14.625" hidden="1">
      <c r="A43" s="1256"/>
      <c r="B43" s="417">
        <f>K43&lt;first_year+PERIOD_LENGTH</f>
        <v>0</v>
      </c>
      <c r="C43" s="1256"/>
      <c r="D43" s="1256"/>
      <c r="E43" s="679">
        <v>15</v>
      </c>
      <c r="F43" s="50" cm="1" t="str">
        <f t="array" ref="F43:F43">OFFSET(E43,-1,1)</f>
        <v>0</v>
      </c>
      <c r="G43" s="1256"/>
      <c r="H43" s="1256"/>
      <c r="I43" s="1256"/>
      <c r="J43" s="1256"/>
      <c r="K43" s="124">
        <f>first_year+12</f>
        <v>2038</v>
      </c>
      <c r="L43" s="1256"/>
      <c r="M43" s="1256"/>
      <c r="N43" s="1256"/>
      <c r="O43" s="1256"/>
      <c r="P43" s="1256"/>
      <c r="Q43" s="1256"/>
      <c r="R43" s="1256"/>
      <c r="S43" s="1256"/>
      <c r="T43" s="438" cm="1" t="str">
        <f t="array" ref="T43:T43">T42</f>
        <v>false</v>
      </c>
      <c r="U43" s="1256"/>
      <c r="V43" s="1256"/>
      <c r="W43" s="1256"/>
      <c r="X43" s="1511"/>
      <c r="Y43" s="1256"/>
      <c r="Z43" s="1494"/>
      <c r="AA43" s="1256"/>
      <c r="AB43" s="221" t="str">
        <f>K43&amp;" год"</f>
        <v>2038 год</v>
      </c>
      <c r="AC43" s="3794"/>
      <c r="AD43" s="3800"/>
      <c r="AE43" s="3801"/>
      <c r="AF43" s="3801"/>
      <c r="AG43" s="3800"/>
      <c r="AH43" s="3800"/>
      <c r="AI43" s="3800"/>
      <c r="AJ43" s="3800"/>
      <c r="AK43" s="3802"/>
      <c r="AL43" s="374"/>
      <c r="AM43" s="1256"/>
      <c r="AN43" s="1256"/>
      <c r="AO43" s="1041" cm="1" t="str">
        <f t="array" ref="AO43:AO43">K43</f>
        <v>2038</v>
      </c>
      <c r="AP43" s="1256"/>
      <c r="AQ43" s="1256"/>
    </row>
    <row s="1256" customFormat="1" customHeight="1" ht="14.625" hidden="1">
      <c r="A44" s="1256"/>
      <c r="B44" s="417">
        <f>K44&lt;first_year+PERIOD_LENGTH</f>
        <v>0</v>
      </c>
      <c r="C44" s="1256"/>
      <c r="D44" s="1256"/>
      <c r="E44" s="679">
        <v>15</v>
      </c>
      <c r="F44" s="50" cm="1" t="str">
        <f t="array" ref="F44:F44">OFFSET(E44,-1,1)</f>
        <v>0</v>
      </c>
      <c r="G44" s="1256"/>
      <c r="H44" s="1256"/>
      <c r="I44" s="1256"/>
      <c r="J44" s="1256"/>
      <c r="K44" s="124">
        <f>first_year+13</f>
        <v>2039</v>
      </c>
      <c r="L44" s="1256"/>
      <c r="M44" s="1256"/>
      <c r="N44" s="1256"/>
      <c r="O44" s="1256"/>
      <c r="P44" s="1256"/>
      <c r="Q44" s="1256"/>
      <c r="R44" s="1256"/>
      <c r="S44" s="1256"/>
      <c r="T44" s="438" cm="1" t="str">
        <f t="array" ref="T44:T44">T43</f>
        <v>false</v>
      </c>
      <c r="U44" s="1256"/>
      <c r="V44" s="1256"/>
      <c r="W44" s="1256"/>
      <c r="X44" s="1511"/>
      <c r="Y44" s="1256"/>
      <c r="Z44" s="1494"/>
      <c r="AA44" s="1256"/>
      <c r="AB44" s="221" t="str">
        <f>K44&amp;" год"</f>
        <v>2039 год</v>
      </c>
      <c r="AC44" s="3794"/>
      <c r="AD44" s="3800"/>
      <c r="AE44" s="3801"/>
      <c r="AF44" s="3801"/>
      <c r="AG44" s="3800"/>
      <c r="AH44" s="3800"/>
      <c r="AI44" s="3800"/>
      <c r="AJ44" s="3800"/>
      <c r="AK44" s="3802"/>
      <c r="AL44" s="374"/>
      <c r="AM44" s="1256"/>
      <c r="AN44" s="1256"/>
      <c r="AO44" s="1041" cm="1" t="str">
        <f t="array" ref="AO44:AO44">K44</f>
        <v>2039</v>
      </c>
      <c r="AP44" s="1256"/>
      <c r="AQ44" s="1256"/>
    </row>
    <row s="1256" customFormat="1" customHeight="1" ht="14.625" hidden="1">
      <c r="A45" s="1256"/>
      <c r="B45" s="417">
        <f>K45&lt;first_year+PERIOD_LENGTH</f>
        <v>0</v>
      </c>
      <c r="C45" s="1256"/>
      <c r="D45" s="1256"/>
      <c r="E45" s="679">
        <v>15</v>
      </c>
      <c r="F45" s="50" cm="1" t="str">
        <f t="array" ref="F45:F45">OFFSET(E45,-1,1)</f>
        <v>0</v>
      </c>
      <c r="G45" s="1256"/>
      <c r="H45" s="1256"/>
      <c r="I45" s="1256"/>
      <c r="J45" s="1256"/>
      <c r="K45" s="124">
        <f>first_year+14</f>
        <v>2040</v>
      </c>
      <c r="L45" s="1256"/>
      <c r="M45" s="1256"/>
      <c r="N45" s="1256"/>
      <c r="O45" s="1256"/>
      <c r="P45" s="1256"/>
      <c r="Q45" s="1256"/>
      <c r="R45" s="1256"/>
      <c r="S45" s="1256"/>
      <c r="T45" s="438" cm="1" t="str">
        <f t="array" ref="T45:T45">T44</f>
        <v>false</v>
      </c>
      <c r="U45" s="1256"/>
      <c r="V45" s="1256"/>
      <c r="W45" s="1256"/>
      <c r="X45" s="1511"/>
      <c r="Y45" s="1256"/>
      <c r="Z45" s="1494"/>
      <c r="AA45" s="1256"/>
      <c r="AB45" s="221" t="str">
        <f>K45&amp;" год"</f>
        <v>2040 год</v>
      </c>
      <c r="AC45" s="3794"/>
      <c r="AD45" s="3800"/>
      <c r="AE45" s="3801"/>
      <c r="AF45" s="3801"/>
      <c r="AG45" s="3800"/>
      <c r="AH45" s="3800"/>
      <c r="AI45" s="3800"/>
      <c r="AJ45" s="3800"/>
      <c r="AK45" s="3802"/>
      <c r="AL45" s="374"/>
      <c r="AM45" s="1256"/>
      <c r="AN45" s="1256"/>
      <c r="AO45" s="1041" cm="1" t="str">
        <f t="array" ref="AO45:AO45">K45</f>
        <v>2040</v>
      </c>
      <c r="AP45" s="1256"/>
      <c r="AQ45" s="1256"/>
    </row>
    <row s="1256" customFormat="1" customHeight="1" ht="14.625" hidden="1">
      <c r="A46" s="1256"/>
      <c r="B46" s="417">
        <f>K46&lt;first_year+PERIOD_LENGTH</f>
        <v>0</v>
      </c>
      <c r="C46" s="1256"/>
      <c r="D46" s="1256"/>
      <c r="E46" s="679">
        <v>15</v>
      </c>
      <c r="F46" s="50" cm="1" t="str">
        <f t="array" ref="F46:F46">OFFSET(E46,-1,1)</f>
        <v>0</v>
      </c>
      <c r="G46" s="1256"/>
      <c r="H46" s="1256"/>
      <c r="I46" s="1256"/>
      <c r="J46" s="1256"/>
      <c r="K46" s="124">
        <f>first_year+15</f>
        <v>2041</v>
      </c>
      <c r="L46" s="1256"/>
      <c r="M46" s="1256"/>
      <c r="N46" s="1256"/>
      <c r="O46" s="1256"/>
      <c r="P46" s="1256"/>
      <c r="Q46" s="1256"/>
      <c r="R46" s="1256"/>
      <c r="S46" s="1256"/>
      <c r="T46" s="438" cm="1" t="str">
        <f t="array" ref="T46:T46">T45</f>
        <v>false</v>
      </c>
      <c r="U46" s="1256"/>
      <c r="V46" s="1256"/>
      <c r="W46" s="1256"/>
      <c r="X46" s="1511"/>
      <c r="Y46" s="1256"/>
      <c r="Z46" s="1494"/>
      <c r="AA46" s="1256"/>
      <c r="AB46" s="221" t="str">
        <f>K46&amp;" год"</f>
        <v>2041 год</v>
      </c>
      <c r="AC46" s="3794"/>
      <c r="AD46" s="3800"/>
      <c r="AE46" s="3801"/>
      <c r="AF46" s="3801"/>
      <c r="AG46" s="3800"/>
      <c r="AH46" s="3800"/>
      <c r="AI46" s="3800"/>
      <c r="AJ46" s="3800"/>
      <c r="AK46" s="3802"/>
      <c r="AL46" s="374"/>
      <c r="AM46" s="1256"/>
      <c r="AN46" s="1256"/>
      <c r="AO46" s="1041" cm="1" t="str">
        <f t="array" ref="AO46:AO46">K46</f>
        <v>2041</v>
      </c>
      <c r="AP46" s="1256"/>
      <c r="AQ46" s="1256"/>
    </row>
    <row s="1256" customFormat="1" customHeight="1" ht="14.625" hidden="1">
      <c r="A47" s="1256"/>
      <c r="B47" s="417">
        <f>K47&lt;first_year+PERIOD_LENGTH</f>
        <v>0</v>
      </c>
      <c r="C47" s="1256"/>
      <c r="D47" s="1256"/>
      <c r="E47" s="679">
        <v>15</v>
      </c>
      <c r="F47" s="50" cm="1" t="str">
        <f t="array" ref="F47:F47">OFFSET(E47,-1,1)</f>
        <v>0</v>
      </c>
      <c r="G47" s="1256"/>
      <c r="H47" s="1256"/>
      <c r="I47" s="1256"/>
      <c r="J47" s="1256"/>
      <c r="K47" s="124">
        <f>first_year+16</f>
        <v>2042</v>
      </c>
      <c r="L47" s="1256"/>
      <c r="M47" s="1256"/>
      <c r="N47" s="1256"/>
      <c r="O47" s="1256"/>
      <c r="P47" s="1256"/>
      <c r="Q47" s="1256"/>
      <c r="R47" s="1256"/>
      <c r="S47" s="1256"/>
      <c r="T47" s="438" cm="1" t="str">
        <f t="array" ref="T47:T47">T46</f>
        <v>false</v>
      </c>
      <c r="U47" s="1256"/>
      <c r="V47" s="1256"/>
      <c r="W47" s="1256"/>
      <c r="X47" s="1511"/>
      <c r="Y47" s="1256"/>
      <c r="Z47" s="1494"/>
      <c r="AA47" s="1256"/>
      <c r="AB47" s="221" t="str">
        <f>K47&amp;" год"</f>
        <v>2042 год</v>
      </c>
      <c r="AC47" s="3794"/>
      <c r="AD47" s="3800"/>
      <c r="AE47" s="3801"/>
      <c r="AF47" s="3801"/>
      <c r="AG47" s="3800"/>
      <c r="AH47" s="3800"/>
      <c r="AI47" s="3800"/>
      <c r="AJ47" s="3800"/>
      <c r="AK47" s="3802"/>
      <c r="AL47" s="374"/>
      <c r="AM47" s="1256"/>
      <c r="AN47" s="1256"/>
      <c r="AO47" s="1041" cm="1" t="str">
        <f t="array" ref="AO47:AO47">K47</f>
        <v>2042</v>
      </c>
      <c r="AP47" s="1256"/>
      <c r="AQ47" s="1256"/>
    </row>
    <row s="1256" customFormat="1" customHeight="1" ht="14.625" hidden="1">
      <c r="A48" s="1256"/>
      <c r="B48" s="417">
        <f>K48&lt;first_year+PERIOD_LENGTH</f>
        <v>0</v>
      </c>
      <c r="C48" s="1256"/>
      <c r="D48" s="1256"/>
      <c r="E48" s="679">
        <v>15</v>
      </c>
      <c r="F48" s="50" cm="1" t="str">
        <f t="array" ref="F48:F48">OFFSET(E48,-1,1)</f>
        <v>0</v>
      </c>
      <c r="G48" s="1256"/>
      <c r="H48" s="1256"/>
      <c r="I48" s="1256"/>
      <c r="J48" s="1256"/>
      <c r="K48" s="124">
        <f>first_year+17</f>
        <v>2043</v>
      </c>
      <c r="L48" s="1256"/>
      <c r="M48" s="1256"/>
      <c r="N48" s="1256"/>
      <c r="O48" s="1256"/>
      <c r="P48" s="1256"/>
      <c r="Q48" s="1256"/>
      <c r="R48" s="1256"/>
      <c r="S48" s="1256"/>
      <c r="T48" s="438" cm="1" t="str">
        <f t="array" ref="T48:T48">T47</f>
        <v>false</v>
      </c>
      <c r="U48" s="1256"/>
      <c r="V48" s="1256"/>
      <c r="W48" s="1256"/>
      <c r="X48" s="1511"/>
      <c r="Y48" s="1256"/>
      <c r="Z48" s="1494"/>
      <c r="AA48" s="1256"/>
      <c r="AB48" s="221" t="str">
        <f>K48&amp;" год"</f>
        <v>2043 год</v>
      </c>
      <c r="AC48" s="3794"/>
      <c r="AD48" s="3800"/>
      <c r="AE48" s="3801"/>
      <c r="AF48" s="3801"/>
      <c r="AG48" s="3800"/>
      <c r="AH48" s="3800"/>
      <c r="AI48" s="3800"/>
      <c r="AJ48" s="3800"/>
      <c r="AK48" s="3802"/>
      <c r="AL48" s="374"/>
      <c r="AM48" s="1256"/>
      <c r="AN48" s="1256"/>
      <c r="AO48" s="1041" cm="1" t="str">
        <f t="array" ref="AO48:AO48">K48</f>
        <v>2043</v>
      </c>
      <c r="AP48" s="1256"/>
      <c r="AQ48" s="1256"/>
    </row>
    <row s="1256" customFormat="1" customHeight="1" ht="14.625" hidden="1">
      <c r="A49" s="1256"/>
      <c r="B49" s="417">
        <f>K49&lt;first_year+PERIOD_LENGTH</f>
        <v>0</v>
      </c>
      <c r="C49" s="1256"/>
      <c r="D49" s="1256"/>
      <c r="E49" s="679">
        <v>15</v>
      </c>
      <c r="F49" s="50" cm="1" t="str">
        <f t="array" ref="F49:F49">OFFSET(E49,-1,1)</f>
        <v>0</v>
      </c>
      <c r="G49" s="1256"/>
      <c r="H49" s="1256"/>
      <c r="I49" s="1256"/>
      <c r="J49" s="1256"/>
      <c r="K49" s="124">
        <f>first_year+18</f>
        <v>2044</v>
      </c>
      <c r="L49" s="1256"/>
      <c r="M49" s="1256"/>
      <c r="N49" s="1256"/>
      <c r="O49" s="1256"/>
      <c r="P49" s="1256"/>
      <c r="Q49" s="1256"/>
      <c r="R49" s="1256"/>
      <c r="S49" s="1256"/>
      <c r="T49" s="438" cm="1" t="str">
        <f t="array" ref="T49:T49">T48</f>
        <v>false</v>
      </c>
      <c r="U49" s="1256"/>
      <c r="V49" s="1256"/>
      <c r="W49" s="1256"/>
      <c r="X49" s="1511"/>
      <c r="Y49" s="1256"/>
      <c r="Z49" s="1494"/>
      <c r="AA49" s="1256"/>
      <c r="AB49" s="221" t="str">
        <f>K49&amp;" год"</f>
        <v>2044 год</v>
      </c>
      <c r="AC49" s="3794"/>
      <c r="AD49" s="3800"/>
      <c r="AE49" s="3801"/>
      <c r="AF49" s="3801"/>
      <c r="AG49" s="3800"/>
      <c r="AH49" s="3800"/>
      <c r="AI49" s="3800"/>
      <c r="AJ49" s="3800"/>
      <c r="AK49" s="3802"/>
      <c r="AL49" s="374"/>
      <c r="AM49" s="1256"/>
      <c r="AN49" s="1256"/>
      <c r="AO49" s="1041" cm="1" t="str">
        <f t="array" ref="AO49:AO49">K49</f>
        <v>2044</v>
      </c>
      <c r="AP49" s="1256"/>
      <c r="AQ49" s="1256"/>
    </row>
    <row s="1256" customFormat="1" customHeight="1" ht="14.625" hidden="1">
      <c r="A50" s="1256"/>
      <c r="B50" s="417">
        <f>K50&lt;first_year+PERIOD_LENGTH</f>
        <v>0</v>
      </c>
      <c r="C50" s="1256"/>
      <c r="D50" s="1256"/>
      <c r="E50" s="679">
        <v>15</v>
      </c>
      <c r="F50" s="50" cm="1" t="str">
        <f t="array" ref="F50:F50">OFFSET(E50,-1,1)</f>
        <v>0</v>
      </c>
      <c r="G50" s="1256"/>
      <c r="H50" s="1256"/>
      <c r="I50" s="1256"/>
      <c r="J50" s="1256"/>
      <c r="K50" s="124">
        <f>first_year+19</f>
        <v>2045</v>
      </c>
      <c r="L50" s="1256"/>
      <c r="M50" s="1256"/>
      <c r="N50" s="1256"/>
      <c r="O50" s="1256"/>
      <c r="P50" s="1256"/>
      <c r="Q50" s="1256"/>
      <c r="R50" s="1256"/>
      <c r="S50" s="1256"/>
      <c r="T50" s="438" cm="1" t="str">
        <f t="array" ref="T50:T50">T49</f>
        <v>false</v>
      </c>
      <c r="U50" s="1256"/>
      <c r="V50" s="1256"/>
      <c r="W50" s="1256"/>
      <c r="X50" s="1511"/>
      <c r="Y50" s="1256"/>
      <c r="Z50" s="1494"/>
      <c r="AA50" s="1256"/>
      <c r="AB50" s="221" t="str">
        <f>K50&amp;" год"</f>
        <v>2045 год</v>
      </c>
      <c r="AC50" s="3794"/>
      <c r="AD50" s="3800"/>
      <c r="AE50" s="3801"/>
      <c r="AF50" s="3801"/>
      <c r="AG50" s="3800"/>
      <c r="AH50" s="3800"/>
      <c r="AI50" s="3800"/>
      <c r="AJ50" s="3800"/>
      <c r="AK50" s="3802"/>
      <c r="AL50" s="374"/>
      <c r="AM50" s="1256"/>
      <c r="AN50" s="1256"/>
      <c r="AO50" s="1041" cm="1" t="str">
        <f t="array" ref="AO50:AO50">K50</f>
        <v>2045</v>
      </c>
      <c r="AP50" s="1256"/>
      <c r="AQ50" s="1256"/>
    </row>
    <row s="1256" customFormat="1" customHeight="1" ht="14.625" hidden="1">
      <c r="A51" s="1256"/>
      <c r="B51" s="417">
        <f>K51&lt;first_year+PERIOD_LENGTH</f>
        <v>0</v>
      </c>
      <c r="C51" s="1256"/>
      <c r="D51" s="1256"/>
      <c r="E51" s="679">
        <v>15</v>
      </c>
      <c r="F51" s="50" cm="1" t="str">
        <f t="array" ref="F51:F51">OFFSET(E51,-1,1)</f>
        <v>0</v>
      </c>
      <c r="G51" s="1256"/>
      <c r="H51" s="1256"/>
      <c r="I51" s="1256"/>
      <c r="J51" s="1256"/>
      <c r="K51" s="124">
        <f>first_year+20</f>
        <v>2046</v>
      </c>
      <c r="L51" s="1256"/>
      <c r="M51" s="1256"/>
      <c r="N51" s="1256"/>
      <c r="O51" s="1256"/>
      <c r="P51" s="1256"/>
      <c r="Q51" s="1256"/>
      <c r="R51" s="1256"/>
      <c r="S51" s="1256"/>
      <c r="T51" s="438" cm="1" t="str">
        <f t="array" ref="T51:T51">T50</f>
        <v>false</v>
      </c>
      <c r="U51" s="1256"/>
      <c r="V51" s="1256"/>
      <c r="W51" s="1256"/>
      <c r="X51" s="1511"/>
      <c r="Y51" s="1256"/>
      <c r="Z51" s="1494"/>
      <c r="AA51" s="1256"/>
      <c r="AB51" s="221" t="str">
        <f>K51&amp;" год"</f>
        <v>2046 год</v>
      </c>
      <c r="AC51" s="3794"/>
      <c r="AD51" s="3800"/>
      <c r="AE51" s="3801"/>
      <c r="AF51" s="3801"/>
      <c r="AG51" s="3800"/>
      <c r="AH51" s="3800"/>
      <c r="AI51" s="3800"/>
      <c r="AJ51" s="3800"/>
      <c r="AK51" s="3802"/>
      <c r="AL51" s="374"/>
      <c r="AM51" s="1256"/>
      <c r="AN51" s="1256"/>
      <c r="AO51" s="1041" cm="1" t="str">
        <f t="array" ref="AO51:AO51">K51</f>
        <v>2046</v>
      </c>
      <c r="AP51" s="1256"/>
      <c r="AQ51" s="1256"/>
    </row>
    <row s="1256" customFormat="1" customHeight="1" ht="14.625" hidden="1">
      <c r="A52" s="1256"/>
      <c r="B52" s="417">
        <f>K52&lt;first_year+PERIOD_LENGTH</f>
        <v>0</v>
      </c>
      <c r="C52" s="1256"/>
      <c r="D52" s="1256"/>
      <c r="E52" s="679">
        <v>15</v>
      </c>
      <c r="F52" s="50" cm="1" t="str">
        <f t="array" ref="F52:F52">OFFSET(E52,-1,1)</f>
        <v>0</v>
      </c>
      <c r="G52" s="1256"/>
      <c r="H52" s="1256"/>
      <c r="I52" s="1256"/>
      <c r="J52" s="1256"/>
      <c r="K52" s="124">
        <f>first_year+21</f>
        <v>2047</v>
      </c>
      <c r="L52" s="1256"/>
      <c r="M52" s="1256"/>
      <c r="N52" s="1256"/>
      <c r="O52" s="1256"/>
      <c r="P52" s="1256"/>
      <c r="Q52" s="1256"/>
      <c r="R52" s="1256"/>
      <c r="S52" s="1256"/>
      <c r="T52" s="438" cm="1" t="str">
        <f t="array" ref="T52:T52">T51</f>
        <v>false</v>
      </c>
      <c r="U52" s="1256"/>
      <c r="V52" s="1256"/>
      <c r="W52" s="1256"/>
      <c r="X52" s="1511"/>
      <c r="Y52" s="1256"/>
      <c r="Z52" s="1494"/>
      <c r="AA52" s="1256"/>
      <c r="AB52" s="221" t="str">
        <f>K52&amp;" год"</f>
        <v>2047 год</v>
      </c>
      <c r="AC52" s="3794"/>
      <c r="AD52" s="3800"/>
      <c r="AE52" s="3801"/>
      <c r="AF52" s="3801"/>
      <c r="AG52" s="3800"/>
      <c r="AH52" s="3800"/>
      <c r="AI52" s="3800"/>
      <c r="AJ52" s="3800"/>
      <c r="AK52" s="3802"/>
      <c r="AL52" s="374"/>
      <c r="AM52" s="1256"/>
      <c r="AN52" s="1256"/>
      <c r="AO52" s="1041" cm="1" t="str">
        <f t="array" ref="AO52:AO52">K52</f>
        <v>2047</v>
      </c>
      <c r="AP52" s="1256"/>
      <c r="AQ52" s="1256"/>
    </row>
    <row s="1256" customFormat="1" customHeight="1" ht="14.625" hidden="1">
      <c r="A53" s="1256"/>
      <c r="B53" s="417">
        <f>K53&lt;first_year+PERIOD_LENGTH</f>
        <v>0</v>
      </c>
      <c r="C53" s="1256"/>
      <c r="D53" s="1256"/>
      <c r="E53" s="679">
        <v>15</v>
      </c>
      <c r="F53" s="50" cm="1" t="str">
        <f t="array" ref="F53:F53">OFFSET(E53,-1,1)</f>
        <v>0</v>
      </c>
      <c r="G53" s="1256"/>
      <c r="H53" s="1256"/>
      <c r="I53" s="1256"/>
      <c r="J53" s="1256"/>
      <c r="K53" s="124">
        <f>first_year+22</f>
        <v>2048</v>
      </c>
      <c r="L53" s="1256"/>
      <c r="M53" s="1256"/>
      <c r="N53" s="1256"/>
      <c r="O53" s="1256"/>
      <c r="P53" s="1256"/>
      <c r="Q53" s="1256"/>
      <c r="R53" s="1256"/>
      <c r="S53" s="1256"/>
      <c r="T53" s="438" cm="1" t="str">
        <f t="array" ref="T53:T53">T52</f>
        <v>false</v>
      </c>
      <c r="U53" s="1256"/>
      <c r="V53" s="1256"/>
      <c r="W53" s="1256"/>
      <c r="X53" s="1511"/>
      <c r="Y53" s="1256"/>
      <c r="Z53" s="1494"/>
      <c r="AA53" s="1256"/>
      <c r="AB53" s="221" t="str">
        <f>K53&amp;" год"</f>
        <v>2048 год</v>
      </c>
      <c r="AC53" s="3794"/>
      <c r="AD53" s="3800"/>
      <c r="AE53" s="3801"/>
      <c r="AF53" s="3801"/>
      <c r="AG53" s="3800"/>
      <c r="AH53" s="3800"/>
      <c r="AI53" s="3800"/>
      <c r="AJ53" s="3800"/>
      <c r="AK53" s="3802"/>
      <c r="AL53" s="374"/>
      <c r="AM53" s="1256"/>
      <c r="AN53" s="1256"/>
      <c r="AO53" s="1041" cm="1" t="str">
        <f t="array" ref="AO53:AO53">K53</f>
        <v>2048</v>
      </c>
      <c r="AP53" s="1256"/>
      <c r="AQ53" s="1256"/>
    </row>
    <row s="1256" customFormat="1" customHeight="1" ht="14.625" hidden="1">
      <c r="A54" s="1256"/>
      <c r="B54" s="417">
        <f>K54&lt;first_year+PERIOD_LENGTH</f>
        <v>0</v>
      </c>
      <c r="C54" s="1256"/>
      <c r="D54" s="1256"/>
      <c r="E54" s="679">
        <v>15</v>
      </c>
      <c r="F54" s="50" cm="1" t="str">
        <f t="array" ref="F54:F54">OFFSET(E54,-1,1)</f>
        <v>0</v>
      </c>
      <c r="G54" s="1256"/>
      <c r="H54" s="1256"/>
      <c r="I54" s="1256"/>
      <c r="J54" s="1256"/>
      <c r="K54" s="124">
        <f>first_year+23</f>
        <v>2049</v>
      </c>
      <c r="L54" s="1256"/>
      <c r="M54" s="1256"/>
      <c r="N54" s="1256"/>
      <c r="O54" s="1256"/>
      <c r="P54" s="1256"/>
      <c r="Q54" s="1256"/>
      <c r="R54" s="1256"/>
      <c r="S54" s="1256"/>
      <c r="T54" s="438" cm="1" t="str">
        <f t="array" ref="T54:T54">T53</f>
        <v>false</v>
      </c>
      <c r="U54" s="1256"/>
      <c r="V54" s="1256"/>
      <c r="W54" s="1256"/>
      <c r="X54" s="1511"/>
      <c r="Y54" s="1256"/>
      <c r="Z54" s="1494"/>
      <c r="AA54" s="1256"/>
      <c r="AB54" s="221" t="str">
        <f>K54&amp;" год"</f>
        <v>2049 год</v>
      </c>
      <c r="AC54" s="3794"/>
      <c r="AD54" s="3800"/>
      <c r="AE54" s="3801"/>
      <c r="AF54" s="3801"/>
      <c r="AG54" s="3800"/>
      <c r="AH54" s="3800"/>
      <c r="AI54" s="3800"/>
      <c r="AJ54" s="3800"/>
      <c r="AK54" s="3802"/>
      <c r="AL54" s="374"/>
      <c r="AM54" s="1256"/>
      <c r="AN54" s="1256"/>
      <c r="AO54" s="1041" cm="1" t="str">
        <f t="array" ref="AO54:AO54">K54</f>
        <v>2049</v>
      </c>
      <c r="AP54" s="1256"/>
      <c r="AQ54" s="1256"/>
    </row>
    <row s="1256" customFormat="1" customHeight="1" ht="14.625" hidden="1">
      <c r="A55" s="1256"/>
      <c r="B55" s="417">
        <f>K55&lt;first_year+PERIOD_LENGTH</f>
        <v>0</v>
      </c>
      <c r="C55" s="1256"/>
      <c r="D55" s="1256"/>
      <c r="E55" s="679">
        <v>15</v>
      </c>
      <c r="F55" s="50" cm="1" t="str">
        <f t="array" ref="F55:F55">OFFSET(E55,-1,1)</f>
        <v>0</v>
      </c>
      <c r="G55" s="1256"/>
      <c r="H55" s="1256"/>
      <c r="I55" s="1256"/>
      <c r="J55" s="1256"/>
      <c r="K55" s="124">
        <f>first_year+24</f>
        <v>2050</v>
      </c>
      <c r="L55" s="1256"/>
      <c r="M55" s="1256"/>
      <c r="N55" s="1256"/>
      <c r="O55" s="1256"/>
      <c r="P55" s="1256"/>
      <c r="Q55" s="1256"/>
      <c r="R55" s="1256"/>
      <c r="S55" s="1256"/>
      <c r="T55" s="438" cm="1" t="str">
        <f t="array" ref="T55:T55">T54</f>
        <v>false</v>
      </c>
      <c r="U55" s="1256"/>
      <c r="V55" s="1256"/>
      <c r="W55" s="1256"/>
      <c r="X55" s="1511"/>
      <c r="Y55" s="1256"/>
      <c r="Z55" s="1494"/>
      <c r="AA55" s="1256"/>
      <c r="AB55" s="221" t="str">
        <f>K55&amp;" год"</f>
        <v>2050 год</v>
      </c>
      <c r="AC55" s="3794"/>
      <c r="AD55" s="3800"/>
      <c r="AE55" s="3801"/>
      <c r="AF55" s="3801"/>
      <c r="AG55" s="3800"/>
      <c r="AH55" s="3800"/>
      <c r="AI55" s="3800"/>
      <c r="AJ55" s="3800"/>
      <c r="AK55" s="3802"/>
      <c r="AL55" s="374"/>
      <c r="AM55" s="1256"/>
      <c r="AN55" s="1256"/>
      <c r="AO55" s="1041" cm="1" t="str">
        <f t="array" ref="AO55:AO55">K55</f>
        <v>2050</v>
      </c>
      <c r="AP55" s="1256"/>
      <c r="AQ55" s="1256"/>
    </row>
    <row s="1256" customFormat="1" customHeight="1" ht="14.625" hidden="1">
      <c r="A56" s="1256"/>
      <c r="B56" s="417">
        <f>K56&lt;first_year+PERIOD_LENGTH</f>
        <v>0</v>
      </c>
      <c r="C56" s="1256"/>
      <c r="D56" s="1256"/>
      <c r="E56" s="679">
        <v>15</v>
      </c>
      <c r="F56" s="50" cm="1" t="str">
        <f t="array" ref="F56:F56">OFFSET(E56,-1,1)</f>
        <v>0</v>
      </c>
      <c r="G56" s="1256"/>
      <c r="H56" s="1256"/>
      <c r="I56" s="1256"/>
      <c r="J56" s="1256"/>
      <c r="K56" s="124">
        <f>first_year+25</f>
        <v>2051</v>
      </c>
      <c r="L56" s="1256"/>
      <c r="M56" s="1256"/>
      <c r="N56" s="1256"/>
      <c r="O56" s="1256"/>
      <c r="P56" s="1256"/>
      <c r="Q56" s="1256"/>
      <c r="R56" s="1256"/>
      <c r="S56" s="1256"/>
      <c r="T56" s="438" cm="1" t="str">
        <f t="array" ref="T56:T56">T55</f>
        <v>false</v>
      </c>
      <c r="U56" s="1256"/>
      <c r="V56" s="1256"/>
      <c r="W56" s="1256"/>
      <c r="X56" s="1511"/>
      <c r="Y56" s="1256"/>
      <c r="Z56" s="1494"/>
      <c r="AA56" s="1256"/>
      <c r="AB56" s="221" t="str">
        <f>K56&amp;" год"</f>
        <v>2051 год</v>
      </c>
      <c r="AC56" s="3794"/>
      <c r="AD56" s="3800"/>
      <c r="AE56" s="3801"/>
      <c r="AF56" s="3801"/>
      <c r="AG56" s="3800"/>
      <c r="AH56" s="3800"/>
      <c r="AI56" s="3800"/>
      <c r="AJ56" s="3800"/>
      <c r="AK56" s="3802"/>
      <c r="AL56" s="374"/>
      <c r="AM56" s="1256"/>
      <c r="AN56" s="1256"/>
      <c r="AO56" s="1041" cm="1" t="str">
        <f t="array" ref="AO56:AO56">K56</f>
        <v>2051</v>
      </c>
      <c r="AP56" s="1256"/>
      <c r="AQ56" s="1256"/>
    </row>
    <row s="1256" customFormat="1" customHeight="1" ht="14.625" hidden="1">
      <c r="A57" s="1256"/>
      <c r="B57" s="417">
        <f>K57&lt;first_year+PERIOD_LENGTH</f>
        <v>0</v>
      </c>
      <c r="C57" s="1256"/>
      <c r="D57" s="1256"/>
      <c r="E57" s="679">
        <v>15</v>
      </c>
      <c r="F57" s="50" cm="1" t="str">
        <f t="array" ref="F57:F57">OFFSET(E57,-1,1)</f>
        <v>0</v>
      </c>
      <c r="G57" s="1256"/>
      <c r="H57" s="1256"/>
      <c r="I57" s="1256"/>
      <c r="J57" s="1256"/>
      <c r="K57" s="124">
        <f>first_year+26</f>
        <v>2052</v>
      </c>
      <c r="L57" s="1256"/>
      <c r="M57" s="1256"/>
      <c r="N57" s="1256"/>
      <c r="O57" s="1256"/>
      <c r="P57" s="1256"/>
      <c r="Q57" s="1256"/>
      <c r="R57" s="1256"/>
      <c r="S57" s="1256"/>
      <c r="T57" s="438" cm="1" t="str">
        <f t="array" ref="T57:T57">T56</f>
        <v>false</v>
      </c>
      <c r="U57" s="1256"/>
      <c r="V57" s="1256"/>
      <c r="W57" s="1256"/>
      <c r="X57" s="1511"/>
      <c r="Y57" s="1256"/>
      <c r="Z57" s="1494"/>
      <c r="AA57" s="1256"/>
      <c r="AB57" s="221" t="str">
        <f>K57&amp;" год"</f>
        <v>2052 год</v>
      </c>
      <c r="AC57" s="3794"/>
      <c r="AD57" s="3800"/>
      <c r="AE57" s="3801"/>
      <c r="AF57" s="3801"/>
      <c r="AG57" s="3800"/>
      <c r="AH57" s="3800"/>
      <c r="AI57" s="3800"/>
      <c r="AJ57" s="3800"/>
      <c r="AK57" s="3802"/>
      <c r="AL57" s="374"/>
      <c r="AM57" s="1256"/>
      <c r="AN57" s="1256"/>
      <c r="AO57" s="1041" cm="1" t="str">
        <f t="array" ref="AO57:AO57">K57</f>
        <v>2052</v>
      </c>
      <c r="AP57" s="1256"/>
      <c r="AQ57" s="1256"/>
    </row>
    <row s="1256" customFormat="1" customHeight="1" ht="14.625" hidden="1">
      <c r="A58" s="1256"/>
      <c r="B58" s="417">
        <f>K58&lt;first_year+PERIOD_LENGTH</f>
        <v>0</v>
      </c>
      <c r="C58" s="1256"/>
      <c r="D58" s="1256"/>
      <c r="E58" s="679">
        <v>15</v>
      </c>
      <c r="F58" s="50" cm="1" t="str">
        <f t="array" ref="F58:F58">OFFSET(E58,-1,1)</f>
        <v>0</v>
      </c>
      <c r="G58" s="1256"/>
      <c r="H58" s="1256"/>
      <c r="I58" s="1256"/>
      <c r="J58" s="1256"/>
      <c r="K58" s="124">
        <f>first_year+27</f>
        <v>2053</v>
      </c>
      <c r="L58" s="1256"/>
      <c r="M58" s="1256"/>
      <c r="N58" s="1256"/>
      <c r="O58" s="1256"/>
      <c r="P58" s="1256"/>
      <c r="Q58" s="1256"/>
      <c r="R58" s="1256"/>
      <c r="S58" s="1256"/>
      <c r="T58" s="438" cm="1" t="str">
        <f t="array" ref="T58:T58">T57</f>
        <v>false</v>
      </c>
      <c r="U58" s="1256"/>
      <c r="V58" s="1256"/>
      <c r="W58" s="1256"/>
      <c r="X58" s="1511"/>
      <c r="Y58" s="1256"/>
      <c r="Z58" s="1494"/>
      <c r="AA58" s="1256"/>
      <c r="AB58" s="221" t="str">
        <f>K58&amp;" год"</f>
        <v>2053 год</v>
      </c>
      <c r="AC58" s="3794"/>
      <c r="AD58" s="3800"/>
      <c r="AE58" s="3801"/>
      <c r="AF58" s="3801"/>
      <c r="AG58" s="3800"/>
      <c r="AH58" s="3800"/>
      <c r="AI58" s="3800"/>
      <c r="AJ58" s="3800"/>
      <c r="AK58" s="3802"/>
      <c r="AL58" s="374"/>
      <c r="AM58" s="1256"/>
      <c r="AN58" s="1256"/>
      <c r="AO58" s="1041" cm="1" t="str">
        <f t="array" ref="AO58:AO58">K58</f>
        <v>2053</v>
      </c>
      <c r="AP58" s="1256"/>
      <c r="AQ58" s="1256"/>
    </row>
    <row s="1256" customFormat="1" customHeight="1" ht="14.625" hidden="1">
      <c r="A59" s="1256"/>
      <c r="B59" s="417">
        <f>K59&lt;first_year+PERIOD_LENGTH</f>
        <v>0</v>
      </c>
      <c r="C59" s="1256"/>
      <c r="D59" s="1256"/>
      <c r="E59" s="679">
        <v>15</v>
      </c>
      <c r="F59" s="50" cm="1" t="str">
        <f t="array" ref="F59:F59">OFFSET(E59,-1,1)</f>
        <v>0</v>
      </c>
      <c r="G59" s="1256"/>
      <c r="H59" s="1256"/>
      <c r="I59" s="1256"/>
      <c r="J59" s="1256"/>
      <c r="K59" s="124">
        <f>first_year+28</f>
        <v>2054</v>
      </c>
      <c r="L59" s="1256"/>
      <c r="M59" s="1256"/>
      <c r="N59" s="1256"/>
      <c r="O59" s="1256"/>
      <c r="P59" s="1256"/>
      <c r="Q59" s="1256"/>
      <c r="R59" s="1256"/>
      <c r="S59" s="1256"/>
      <c r="T59" s="438" cm="1" t="str">
        <f t="array" ref="T59:T59">T58</f>
        <v>false</v>
      </c>
      <c r="U59" s="1256"/>
      <c r="V59" s="1256"/>
      <c r="W59" s="1256"/>
      <c r="X59" s="1511"/>
      <c r="Y59" s="1256"/>
      <c r="Z59" s="1494"/>
      <c r="AA59" s="1256"/>
      <c r="AB59" s="221" t="str">
        <f>K59&amp;" год"</f>
        <v>2054 год</v>
      </c>
      <c r="AC59" s="3794"/>
      <c r="AD59" s="3800"/>
      <c r="AE59" s="3801"/>
      <c r="AF59" s="3801"/>
      <c r="AG59" s="3800"/>
      <c r="AH59" s="3800"/>
      <c r="AI59" s="3800"/>
      <c r="AJ59" s="3800"/>
      <c r="AK59" s="3802"/>
      <c r="AL59" s="374"/>
      <c r="AM59" s="1256"/>
      <c r="AN59" s="1256"/>
      <c r="AO59" s="1041" cm="1" t="str">
        <f t="array" ref="AO59:AO59">K59</f>
        <v>2054</v>
      </c>
      <c r="AP59" s="1256"/>
      <c r="AQ59" s="1256"/>
    </row>
    <row s="1256" customFormat="1" customHeight="1" ht="14.625" hidden="1">
      <c r="A60" s="1256"/>
      <c r="B60" s="417">
        <f>K60&lt;first_year+PERIOD_LENGTH</f>
        <v>0</v>
      </c>
      <c r="C60" s="1256"/>
      <c r="D60" s="1256"/>
      <c r="E60" s="679">
        <v>15</v>
      </c>
      <c r="F60" s="50" cm="1" t="str">
        <f t="array" ref="F60:F60">OFFSET(E60,-1,1)</f>
        <v>0</v>
      </c>
      <c r="G60" s="1256"/>
      <c r="H60" s="1256"/>
      <c r="I60" s="1256"/>
      <c r="J60" s="1256"/>
      <c r="K60" s="124">
        <f>first_year+29</f>
        <v>2055</v>
      </c>
      <c r="L60" s="1256"/>
      <c r="M60" s="1256"/>
      <c r="N60" s="1256"/>
      <c r="O60" s="1256"/>
      <c r="P60" s="1256"/>
      <c r="Q60" s="1256"/>
      <c r="R60" s="1256"/>
      <c r="S60" s="1256"/>
      <c r="T60" s="438" cm="1" t="str">
        <f t="array" ref="T60:T60">T59</f>
        <v>false</v>
      </c>
      <c r="U60" s="1256"/>
      <c r="V60" s="1256"/>
      <c r="W60" s="1256"/>
      <c r="X60" s="1511"/>
      <c r="Y60" s="1256"/>
      <c r="Z60" s="1494"/>
      <c r="AA60" s="1256"/>
      <c r="AB60" s="221" t="str">
        <f>K60&amp;" год"</f>
        <v>2055 год</v>
      </c>
      <c r="AC60" s="3794"/>
      <c r="AD60" s="3800"/>
      <c r="AE60" s="3801"/>
      <c r="AF60" s="3801"/>
      <c r="AG60" s="3800"/>
      <c r="AH60" s="3800"/>
      <c r="AI60" s="3800"/>
      <c r="AJ60" s="3800"/>
      <c r="AK60" s="3802"/>
      <c r="AL60" s="374"/>
      <c r="AM60" s="1256"/>
      <c r="AN60" s="1256"/>
      <c r="AO60" s="1041" cm="1" t="str">
        <f t="array" ref="AO60:AO60">K60</f>
        <v>2055</v>
      </c>
      <c r="AP60" s="1256"/>
      <c r="AQ60" s="1256"/>
    </row>
    <row s="1256" customFormat="1" customHeight="1" ht="14.625" hidden="1">
      <c r="A61" s="1256"/>
      <c r="B61" s="417">
        <f>K61&lt;first_year+PERIOD_LENGTH</f>
        <v>0</v>
      </c>
      <c r="C61" s="1256"/>
      <c r="D61" s="1256"/>
      <c r="E61" s="679">
        <v>15</v>
      </c>
      <c r="F61" s="50" cm="1" t="str">
        <f t="array" ref="F61:F61">OFFSET(E61,-1,1)</f>
        <v>0</v>
      </c>
      <c r="G61" s="1256"/>
      <c r="H61" s="1256"/>
      <c r="I61" s="1256"/>
      <c r="J61" s="1256"/>
      <c r="K61" s="124">
        <f>first_year+30</f>
        <v>2056</v>
      </c>
      <c r="L61" s="1256"/>
      <c r="M61" s="1256"/>
      <c r="N61" s="1256"/>
      <c r="O61" s="1256"/>
      <c r="P61" s="1256"/>
      <c r="Q61" s="1256"/>
      <c r="R61" s="1256"/>
      <c r="S61" s="1256"/>
      <c r="T61" s="438" cm="1" t="str">
        <f t="array" ref="T61:T61">T60</f>
        <v>false</v>
      </c>
      <c r="U61" s="1256"/>
      <c r="V61" s="1256"/>
      <c r="W61" s="1256"/>
      <c r="X61" s="1511"/>
      <c r="Y61" s="1256"/>
      <c r="Z61" s="1494"/>
      <c r="AA61" s="1256"/>
      <c r="AB61" s="221" t="str">
        <f>K61&amp;" год"</f>
        <v>2056 год</v>
      </c>
      <c r="AC61" s="3794"/>
      <c r="AD61" s="3800"/>
      <c r="AE61" s="3801"/>
      <c r="AF61" s="3801"/>
      <c r="AG61" s="3800"/>
      <c r="AH61" s="3800"/>
      <c r="AI61" s="3800"/>
      <c r="AJ61" s="3800"/>
      <c r="AK61" s="3802"/>
      <c r="AL61" s="374"/>
      <c r="AM61" s="1256"/>
      <c r="AN61" s="1256"/>
      <c r="AO61" s="1041" cm="1" t="str">
        <f t="array" ref="AO61:AO61">K61</f>
        <v>2056</v>
      </c>
      <c r="AP61" s="1256"/>
      <c r="AQ61" s="1256"/>
    </row>
    <row s="1256" customFormat="1" customHeight="1" ht="14.625" hidden="1">
      <c r="A62" s="1256"/>
      <c r="B62" s="417">
        <f>K62&lt;first_year+PERIOD_LENGTH</f>
        <v>0</v>
      </c>
      <c r="C62" s="1256"/>
      <c r="D62" s="1256"/>
      <c r="E62" s="679">
        <v>15</v>
      </c>
      <c r="F62" s="50" cm="1" t="str">
        <f t="array" ref="F62:F62">OFFSET(E62,-1,1)</f>
        <v>0</v>
      </c>
      <c r="G62" s="1256"/>
      <c r="H62" s="1256"/>
      <c r="I62" s="1256"/>
      <c r="J62" s="1256"/>
      <c r="K62" s="124">
        <f>first_year+31</f>
        <v>2057</v>
      </c>
      <c r="L62" s="1256"/>
      <c r="M62" s="1256"/>
      <c r="N62" s="1256"/>
      <c r="O62" s="1256"/>
      <c r="P62" s="1256"/>
      <c r="Q62" s="1256"/>
      <c r="R62" s="1256"/>
      <c r="S62" s="1256"/>
      <c r="T62" s="438" cm="1" t="str">
        <f t="array" ref="T62:T62">T61</f>
        <v>false</v>
      </c>
      <c r="U62" s="1256"/>
      <c r="V62" s="1256"/>
      <c r="W62" s="1256"/>
      <c r="X62" s="1511"/>
      <c r="Y62" s="1256"/>
      <c r="Z62" s="1494"/>
      <c r="AA62" s="1256"/>
      <c r="AB62" s="221" t="str">
        <f>K62&amp;" год"</f>
        <v>2057 год</v>
      </c>
      <c r="AC62" s="3794"/>
      <c r="AD62" s="3800"/>
      <c r="AE62" s="3801"/>
      <c r="AF62" s="3801"/>
      <c r="AG62" s="3800"/>
      <c r="AH62" s="3800"/>
      <c r="AI62" s="3800"/>
      <c r="AJ62" s="3800"/>
      <c r="AK62" s="3802"/>
      <c r="AL62" s="374"/>
      <c r="AM62" s="1256"/>
      <c r="AN62" s="1256"/>
      <c r="AO62" s="1041" cm="1" t="str">
        <f t="array" ref="AO62:AO62">K62</f>
        <v>2057</v>
      </c>
      <c r="AP62" s="1256"/>
      <c r="AQ62" s="1256"/>
    </row>
    <row s="1256" customFormat="1" customHeight="1" ht="14.625" hidden="1">
      <c r="A63" s="1256"/>
      <c r="B63" s="417">
        <f>K63&lt;first_year+PERIOD_LENGTH</f>
        <v>0</v>
      </c>
      <c r="C63" s="1256"/>
      <c r="D63" s="1256"/>
      <c r="E63" s="679">
        <v>15</v>
      </c>
      <c r="F63" s="50" cm="1" t="str">
        <f t="array" ref="F63:F63">OFFSET(E63,-1,1)</f>
        <v>0</v>
      </c>
      <c r="G63" s="1256"/>
      <c r="H63" s="1256"/>
      <c r="I63" s="1256"/>
      <c r="J63" s="1256"/>
      <c r="K63" s="124">
        <f>first_year+32</f>
        <v>2058</v>
      </c>
      <c r="L63" s="1256"/>
      <c r="M63" s="1256"/>
      <c r="N63" s="1256"/>
      <c r="O63" s="1256"/>
      <c r="P63" s="1256"/>
      <c r="Q63" s="1256"/>
      <c r="R63" s="1256"/>
      <c r="S63" s="1256"/>
      <c r="T63" s="438" cm="1" t="str">
        <f t="array" ref="T63:T63">T62</f>
        <v>false</v>
      </c>
      <c r="U63" s="1256"/>
      <c r="V63" s="1256"/>
      <c r="W63" s="1256"/>
      <c r="X63" s="1511"/>
      <c r="Y63" s="1256"/>
      <c r="Z63" s="1494"/>
      <c r="AA63" s="1256"/>
      <c r="AB63" s="221" t="str">
        <f>K63&amp;" год"</f>
        <v>2058 год</v>
      </c>
      <c r="AC63" s="3794"/>
      <c r="AD63" s="3800"/>
      <c r="AE63" s="3801"/>
      <c r="AF63" s="3801"/>
      <c r="AG63" s="3800"/>
      <c r="AH63" s="3800"/>
      <c r="AI63" s="3800"/>
      <c r="AJ63" s="3800"/>
      <c r="AK63" s="3802"/>
      <c r="AL63" s="374"/>
      <c r="AM63" s="1256"/>
      <c r="AN63" s="1256"/>
      <c r="AO63" s="1041" cm="1" t="str">
        <f t="array" ref="AO63:AO63">K63</f>
        <v>2058</v>
      </c>
      <c r="AP63" s="1256"/>
      <c r="AQ63" s="1256"/>
    </row>
    <row s="1256" customFormat="1" customHeight="1" ht="14.625" hidden="1">
      <c r="A64" s="1256"/>
      <c r="B64" s="417">
        <f>K64&lt;first_year+PERIOD_LENGTH</f>
        <v>0</v>
      </c>
      <c r="C64" s="1256"/>
      <c r="D64" s="1256"/>
      <c r="E64" s="679">
        <v>15</v>
      </c>
      <c r="F64" s="50" cm="1" t="str">
        <f t="array" ref="F64:F64">OFFSET(E64,-1,1)</f>
        <v>0</v>
      </c>
      <c r="G64" s="1256"/>
      <c r="H64" s="1256"/>
      <c r="I64" s="1256"/>
      <c r="J64" s="1256"/>
      <c r="K64" s="124">
        <f>first_year+33</f>
        <v>2059</v>
      </c>
      <c r="L64" s="1256"/>
      <c r="M64" s="1256"/>
      <c r="N64" s="1256"/>
      <c r="O64" s="1256"/>
      <c r="P64" s="1256"/>
      <c r="Q64" s="1256"/>
      <c r="R64" s="1256"/>
      <c r="S64" s="1256"/>
      <c r="T64" s="438" cm="1" t="str">
        <f t="array" ref="T64:T64">T63</f>
        <v>false</v>
      </c>
      <c r="U64" s="1256"/>
      <c r="V64" s="1256"/>
      <c r="W64" s="1256"/>
      <c r="X64" s="1511"/>
      <c r="Y64" s="1256"/>
      <c r="Z64" s="1494"/>
      <c r="AA64" s="1256"/>
      <c r="AB64" s="221" t="str">
        <f>K64&amp;" год"</f>
        <v>2059 год</v>
      </c>
      <c r="AC64" s="3794"/>
      <c r="AD64" s="3800"/>
      <c r="AE64" s="3801"/>
      <c r="AF64" s="3801"/>
      <c r="AG64" s="3800"/>
      <c r="AH64" s="3800"/>
      <c r="AI64" s="3800"/>
      <c r="AJ64" s="3800"/>
      <c r="AK64" s="3802"/>
      <c r="AL64" s="374"/>
      <c r="AM64" s="1256"/>
      <c r="AN64" s="1256"/>
      <c r="AO64" s="1041" cm="1" t="str">
        <f t="array" ref="AO64:AO64">K64</f>
        <v>2059</v>
      </c>
      <c r="AP64" s="1256"/>
      <c r="AQ64" s="1256"/>
    </row>
    <row s="1256" customFormat="1" customHeight="1" ht="14.625" hidden="1">
      <c r="A65" s="1256"/>
      <c r="B65" s="417">
        <f>K65&lt;first_year+PERIOD_LENGTH</f>
        <v>0</v>
      </c>
      <c r="C65" s="1256"/>
      <c r="D65" s="1256"/>
      <c r="E65" s="679">
        <v>15</v>
      </c>
      <c r="F65" s="50" cm="1" t="str">
        <f t="array" ref="F65:F65">OFFSET(E65,-1,1)</f>
        <v>0</v>
      </c>
      <c r="G65" s="1256"/>
      <c r="H65" s="1256"/>
      <c r="I65" s="1256"/>
      <c r="J65" s="1256"/>
      <c r="K65" s="124">
        <f>first_year+34</f>
        <v>2060</v>
      </c>
      <c r="L65" s="1256"/>
      <c r="M65" s="1256"/>
      <c r="N65" s="1256"/>
      <c r="O65" s="1256"/>
      <c r="P65" s="1256"/>
      <c r="Q65" s="1256"/>
      <c r="R65" s="1256"/>
      <c r="S65" s="1256"/>
      <c r="T65" s="438" cm="1" t="str">
        <f t="array" ref="T65:T65">T64</f>
        <v>false</v>
      </c>
      <c r="U65" s="1256"/>
      <c r="V65" s="1256"/>
      <c r="W65" s="1256"/>
      <c r="X65" s="1511"/>
      <c r="Y65" s="1256"/>
      <c r="Z65" s="1494"/>
      <c r="AA65" s="1256"/>
      <c r="AB65" s="221" t="str">
        <f>K65&amp;" год"</f>
        <v>2060 год</v>
      </c>
      <c r="AC65" s="3794"/>
      <c r="AD65" s="3800"/>
      <c r="AE65" s="3801"/>
      <c r="AF65" s="3801"/>
      <c r="AG65" s="3800"/>
      <c r="AH65" s="3800"/>
      <c r="AI65" s="3800"/>
      <c r="AJ65" s="3800"/>
      <c r="AK65" s="3802"/>
      <c r="AL65" s="374"/>
      <c r="AM65" s="1256"/>
      <c r="AN65" s="1256"/>
      <c r="AO65" s="1041" cm="1" t="str">
        <f t="array" ref="AO65:AO65">K65</f>
        <v>2060</v>
      </c>
      <c r="AP65" s="1256"/>
      <c r="AQ65" s="1256"/>
    </row>
    <row s="1256" customFormat="1" customHeight="1" ht="14.625" hidden="1">
      <c r="A66" s="1256"/>
      <c r="B66" s="417">
        <f>K66&lt;first_year+PERIOD_LENGTH</f>
        <v>0</v>
      </c>
      <c r="C66" s="1256"/>
      <c r="D66" s="1256"/>
      <c r="E66" s="679">
        <v>15</v>
      </c>
      <c r="F66" s="50" cm="1" t="str">
        <f t="array" ref="F66:F66">OFFSET(E66,-1,1)</f>
        <v>0</v>
      </c>
      <c r="G66" s="1256"/>
      <c r="H66" s="1256"/>
      <c r="I66" s="1256"/>
      <c r="J66" s="1256"/>
      <c r="K66" s="124">
        <f>first_year+35</f>
        <v>2061</v>
      </c>
      <c r="L66" s="1256"/>
      <c r="M66" s="1256"/>
      <c r="N66" s="1256"/>
      <c r="O66" s="1256"/>
      <c r="P66" s="1256"/>
      <c r="Q66" s="1256"/>
      <c r="R66" s="1256"/>
      <c r="S66" s="1256"/>
      <c r="T66" s="438" cm="1" t="str">
        <f t="array" ref="T66:T66">T65</f>
        <v>false</v>
      </c>
      <c r="U66" s="1256"/>
      <c r="V66" s="1256"/>
      <c r="W66" s="1256"/>
      <c r="X66" s="1511"/>
      <c r="Y66" s="1256"/>
      <c r="Z66" s="1494"/>
      <c r="AA66" s="1256"/>
      <c r="AB66" s="221" t="str">
        <f>K66&amp;" год"</f>
        <v>2061 год</v>
      </c>
      <c r="AC66" s="3794"/>
      <c r="AD66" s="3800"/>
      <c r="AE66" s="3801"/>
      <c r="AF66" s="3801"/>
      <c r="AG66" s="3800"/>
      <c r="AH66" s="3800"/>
      <c r="AI66" s="3800"/>
      <c r="AJ66" s="3800"/>
      <c r="AK66" s="3802"/>
      <c r="AL66" s="374"/>
      <c r="AM66" s="1256"/>
      <c r="AN66" s="1256"/>
      <c r="AO66" s="1041" cm="1" t="str">
        <f t="array" ref="AO66:AO66">K66</f>
        <v>2061</v>
      </c>
      <c r="AP66" s="1256"/>
      <c r="AQ66" s="1256"/>
    </row>
    <row s="1256" customFormat="1" customHeight="1" ht="14.625" hidden="1">
      <c r="A67" s="1256"/>
      <c r="B67" s="417">
        <f>K67&lt;first_year+PERIOD_LENGTH</f>
        <v>0</v>
      </c>
      <c r="C67" s="1256"/>
      <c r="D67" s="1256"/>
      <c r="E67" s="679">
        <v>15</v>
      </c>
      <c r="F67" s="50" cm="1" t="str">
        <f t="array" ref="F67:F67">OFFSET(E67,-1,1)</f>
        <v>0</v>
      </c>
      <c r="G67" s="1256"/>
      <c r="H67" s="1256"/>
      <c r="I67" s="1256"/>
      <c r="J67" s="1256"/>
      <c r="K67" s="124">
        <f>first_year+36</f>
        <v>2062</v>
      </c>
      <c r="L67" s="1256"/>
      <c r="M67" s="1256"/>
      <c r="N67" s="1256"/>
      <c r="O67" s="1256"/>
      <c r="P67" s="1256"/>
      <c r="Q67" s="1256"/>
      <c r="R67" s="1256"/>
      <c r="S67" s="1256"/>
      <c r="T67" s="438" cm="1" t="str">
        <f t="array" ref="T67:T67">T66</f>
        <v>false</v>
      </c>
      <c r="U67" s="1256"/>
      <c r="V67" s="1256"/>
      <c r="W67" s="1256"/>
      <c r="X67" s="1511"/>
      <c r="Y67" s="1256"/>
      <c r="Z67" s="1494"/>
      <c r="AA67" s="1256"/>
      <c r="AB67" s="221" t="str">
        <f>K67&amp;" год"</f>
        <v>2062 год</v>
      </c>
      <c r="AC67" s="3794"/>
      <c r="AD67" s="3800"/>
      <c r="AE67" s="3801"/>
      <c r="AF67" s="3801"/>
      <c r="AG67" s="3800"/>
      <c r="AH67" s="3800"/>
      <c r="AI67" s="3800"/>
      <c r="AJ67" s="3800"/>
      <c r="AK67" s="3802"/>
      <c r="AL67" s="374"/>
      <c r="AM67" s="1256"/>
      <c r="AN67" s="1256"/>
      <c r="AO67" s="1041" cm="1" t="str">
        <f t="array" ref="AO67:AO67">K67</f>
        <v>2062</v>
      </c>
      <c r="AP67" s="1256"/>
      <c r="AQ67" s="1256"/>
    </row>
    <row s="1256" customFormat="1" customHeight="1" ht="14.625" hidden="1">
      <c r="A68" s="1256"/>
      <c r="B68" s="417">
        <f>K68&lt;first_year+PERIOD_LENGTH</f>
        <v>0</v>
      </c>
      <c r="C68" s="1256"/>
      <c r="D68" s="1256"/>
      <c r="E68" s="679">
        <v>15</v>
      </c>
      <c r="F68" s="50" cm="1" t="str">
        <f t="array" ref="F68:F68">OFFSET(E68,-1,1)</f>
        <v>0</v>
      </c>
      <c r="G68" s="1256"/>
      <c r="H68" s="1256"/>
      <c r="I68" s="1256"/>
      <c r="J68" s="1256"/>
      <c r="K68" s="124">
        <f>first_year+37</f>
        <v>2063</v>
      </c>
      <c r="L68" s="1256"/>
      <c r="M68" s="1256"/>
      <c r="N68" s="1256"/>
      <c r="O68" s="1256"/>
      <c r="P68" s="1256"/>
      <c r="Q68" s="1256"/>
      <c r="R68" s="1256"/>
      <c r="S68" s="1256"/>
      <c r="T68" s="438" cm="1" t="str">
        <f t="array" ref="T68:T68">T67</f>
        <v>false</v>
      </c>
      <c r="U68" s="1256"/>
      <c r="V68" s="1256"/>
      <c r="W68" s="1256"/>
      <c r="X68" s="1511"/>
      <c r="Y68" s="1256"/>
      <c r="Z68" s="1494"/>
      <c r="AA68" s="1256"/>
      <c r="AB68" s="221" t="str">
        <f>K68&amp;" год"</f>
        <v>2063 год</v>
      </c>
      <c r="AC68" s="3794"/>
      <c r="AD68" s="3800"/>
      <c r="AE68" s="3801"/>
      <c r="AF68" s="3801"/>
      <c r="AG68" s="3800"/>
      <c r="AH68" s="3800"/>
      <c r="AI68" s="3800"/>
      <c r="AJ68" s="3800"/>
      <c r="AK68" s="3802"/>
      <c r="AL68" s="374"/>
      <c r="AM68" s="1256"/>
      <c r="AN68" s="1256"/>
      <c r="AO68" s="1041" cm="1" t="str">
        <f t="array" ref="AO68:AO68">K68</f>
        <v>2063</v>
      </c>
      <c r="AP68" s="1256"/>
      <c r="AQ68" s="1256"/>
    </row>
    <row s="1256" customFormat="1" customHeight="1" ht="14.625" hidden="1">
      <c r="A69" s="1256"/>
      <c r="B69" s="417">
        <f>K69&lt;first_year+PERIOD_LENGTH</f>
        <v>0</v>
      </c>
      <c r="C69" s="1256"/>
      <c r="D69" s="1256"/>
      <c r="E69" s="679">
        <v>15</v>
      </c>
      <c r="F69" s="50" cm="1" t="str">
        <f t="array" ref="F69:F69">OFFSET(E69,-1,1)</f>
        <v>0</v>
      </c>
      <c r="G69" s="1256"/>
      <c r="H69" s="1256"/>
      <c r="I69" s="1256"/>
      <c r="J69" s="1256"/>
      <c r="K69" s="124">
        <f>first_year+38</f>
        <v>2064</v>
      </c>
      <c r="L69" s="1256"/>
      <c r="M69" s="1256"/>
      <c r="N69" s="1256"/>
      <c r="O69" s="1256"/>
      <c r="P69" s="1256"/>
      <c r="Q69" s="1256"/>
      <c r="R69" s="1256"/>
      <c r="S69" s="1256"/>
      <c r="T69" s="438" cm="1" t="str">
        <f t="array" ref="T69:T69">T68</f>
        <v>false</v>
      </c>
      <c r="U69" s="1256"/>
      <c r="V69" s="1256"/>
      <c r="W69" s="1256"/>
      <c r="X69" s="1511"/>
      <c r="Y69" s="1256"/>
      <c r="Z69" s="1494"/>
      <c r="AA69" s="1256"/>
      <c r="AB69" s="221" t="str">
        <f>K69&amp;" год"</f>
        <v>2064 год</v>
      </c>
      <c r="AC69" s="3794"/>
      <c r="AD69" s="3800"/>
      <c r="AE69" s="3801"/>
      <c r="AF69" s="3801"/>
      <c r="AG69" s="3800"/>
      <c r="AH69" s="3800"/>
      <c r="AI69" s="3800"/>
      <c r="AJ69" s="3800"/>
      <c r="AK69" s="3802"/>
      <c r="AL69" s="374"/>
      <c r="AM69" s="1256"/>
      <c r="AN69" s="1256"/>
      <c r="AO69" s="1041" cm="1" t="str">
        <f t="array" ref="AO69:AO69">K69</f>
        <v>2064</v>
      </c>
      <c r="AP69" s="1256"/>
      <c r="AQ69" s="1256"/>
    </row>
    <row s="1256" customFormat="1" customHeight="1" ht="14.625" hidden="1">
      <c r="A70" s="1256"/>
      <c r="B70" s="417">
        <f>K70&lt;first_year+PERIOD_LENGTH</f>
        <v>0</v>
      </c>
      <c r="C70" s="1256"/>
      <c r="D70" s="1256"/>
      <c r="E70" s="679">
        <v>15</v>
      </c>
      <c r="F70" s="50" cm="1" t="str">
        <f t="array" ref="F70:F70">OFFSET(E70,-1,1)</f>
        <v>0</v>
      </c>
      <c r="G70" s="1256"/>
      <c r="H70" s="1256"/>
      <c r="I70" s="1256"/>
      <c r="J70" s="1256"/>
      <c r="K70" s="124">
        <f>first_year+39</f>
        <v>2065</v>
      </c>
      <c r="L70" s="1256"/>
      <c r="M70" s="1256"/>
      <c r="N70" s="1256"/>
      <c r="O70" s="1256"/>
      <c r="P70" s="1256"/>
      <c r="Q70" s="1256"/>
      <c r="R70" s="1256"/>
      <c r="S70" s="1256"/>
      <c r="T70" s="438" cm="1" t="str">
        <f t="array" ref="T70:T70">T69</f>
        <v>false</v>
      </c>
      <c r="U70" s="1256"/>
      <c r="V70" s="1256"/>
      <c r="W70" s="1256"/>
      <c r="X70" s="1511"/>
      <c r="Y70" s="1256"/>
      <c r="Z70" s="1494"/>
      <c r="AA70" s="1256"/>
      <c r="AB70" s="221" t="str">
        <f>K70&amp;" год"</f>
        <v>2065 год</v>
      </c>
      <c r="AC70" s="3794"/>
      <c r="AD70" s="3800"/>
      <c r="AE70" s="3801"/>
      <c r="AF70" s="3801"/>
      <c r="AG70" s="3800"/>
      <c r="AH70" s="3800"/>
      <c r="AI70" s="3800"/>
      <c r="AJ70" s="3800"/>
      <c r="AK70" s="3802"/>
      <c r="AL70" s="374"/>
      <c r="AM70" s="1256"/>
      <c r="AN70" s="1256"/>
      <c r="AO70" s="1041" cm="1" t="str">
        <f t="array" ref="AO70:AO70">K70</f>
        <v>2065</v>
      </c>
      <c r="AP70" s="1256"/>
      <c r="AQ70" s="1256"/>
    </row>
    <row s="1256" customFormat="1" customHeight="1" ht="14.625" hidden="1">
      <c r="A71" s="1256"/>
      <c r="B71" s="417">
        <f>K71&lt;first_year+PERIOD_LENGTH</f>
        <v>0</v>
      </c>
      <c r="C71" s="1256"/>
      <c r="D71" s="1256"/>
      <c r="E71" s="679">
        <v>15</v>
      </c>
      <c r="F71" s="50" cm="1" t="str">
        <f t="array" ref="F71:F71">OFFSET(E71,-1,1)</f>
        <v>0</v>
      </c>
      <c r="G71" s="1256"/>
      <c r="H71" s="1256"/>
      <c r="I71" s="1256"/>
      <c r="J71" s="1256"/>
      <c r="K71" s="124">
        <f>first_year+40</f>
        <v>2066</v>
      </c>
      <c r="L71" s="1256"/>
      <c r="M71" s="1256"/>
      <c r="N71" s="1256"/>
      <c r="O71" s="1256"/>
      <c r="P71" s="1256"/>
      <c r="Q71" s="1256"/>
      <c r="R71" s="1256"/>
      <c r="S71" s="1256"/>
      <c r="T71" s="438" cm="1" t="str">
        <f t="array" ref="T71:T71">T70</f>
        <v>false</v>
      </c>
      <c r="U71" s="1256"/>
      <c r="V71" s="1256"/>
      <c r="W71" s="1256"/>
      <c r="X71" s="1511"/>
      <c r="Y71" s="1256"/>
      <c r="Z71" s="1494"/>
      <c r="AA71" s="1256"/>
      <c r="AB71" s="221" t="str">
        <f>K71&amp;" год"</f>
        <v>2066 год</v>
      </c>
      <c r="AC71" s="3794"/>
      <c r="AD71" s="3800"/>
      <c r="AE71" s="3801"/>
      <c r="AF71" s="3801"/>
      <c r="AG71" s="3800"/>
      <c r="AH71" s="3800"/>
      <c r="AI71" s="3800"/>
      <c r="AJ71" s="3800"/>
      <c r="AK71" s="3802"/>
      <c r="AL71" s="374"/>
      <c r="AM71" s="1256"/>
      <c r="AN71" s="1256"/>
      <c r="AO71" s="1041" cm="1" t="str">
        <f t="array" ref="AO71:AO71">K71</f>
        <v>2066</v>
      </c>
      <c r="AP71" s="1256"/>
      <c r="AQ71" s="1256"/>
    </row>
    <row s="1256" customFormat="1" customHeight="1" ht="14.625" hidden="1">
      <c r="A72" s="1256"/>
      <c r="B72" s="417">
        <f>K72&lt;first_year+PERIOD_LENGTH</f>
        <v>0</v>
      </c>
      <c r="C72" s="1256"/>
      <c r="D72" s="1256"/>
      <c r="E72" s="679">
        <v>15</v>
      </c>
      <c r="F72" s="50" cm="1" t="str">
        <f t="array" ref="F72:F72">OFFSET(E72,-1,1)</f>
        <v>0</v>
      </c>
      <c r="G72" s="1256"/>
      <c r="H72" s="1256"/>
      <c r="I72" s="1256"/>
      <c r="J72" s="1256"/>
      <c r="K72" s="124">
        <f>first_year+41</f>
        <v>2067</v>
      </c>
      <c r="L72" s="1256"/>
      <c r="M72" s="1256"/>
      <c r="N72" s="1256"/>
      <c r="O72" s="1256"/>
      <c r="P72" s="1256"/>
      <c r="Q72" s="1256"/>
      <c r="R72" s="1256"/>
      <c r="S72" s="1256"/>
      <c r="T72" s="438" cm="1" t="str">
        <f t="array" ref="T72:T72">T71</f>
        <v>false</v>
      </c>
      <c r="U72" s="1256"/>
      <c r="V72" s="1256"/>
      <c r="W72" s="1256"/>
      <c r="X72" s="1511"/>
      <c r="Y72" s="1256"/>
      <c r="Z72" s="1494"/>
      <c r="AA72" s="1256"/>
      <c r="AB72" s="221" t="str">
        <f>K72&amp;" год"</f>
        <v>2067 год</v>
      </c>
      <c r="AC72" s="3794"/>
      <c r="AD72" s="3800"/>
      <c r="AE72" s="3801"/>
      <c r="AF72" s="3801"/>
      <c r="AG72" s="3800"/>
      <c r="AH72" s="3800"/>
      <c r="AI72" s="3800"/>
      <c r="AJ72" s="3800"/>
      <c r="AK72" s="3802"/>
      <c r="AL72" s="374"/>
      <c r="AM72" s="1256"/>
      <c r="AN72" s="1256"/>
      <c r="AO72" s="1041" cm="1" t="str">
        <f t="array" ref="AO72:AO72">K72</f>
        <v>2067</v>
      </c>
      <c r="AP72" s="1256"/>
      <c r="AQ72" s="1256"/>
    </row>
    <row s="1256" customFormat="1" customHeight="1" ht="14.625" hidden="1">
      <c r="A73" s="1256"/>
      <c r="B73" s="417">
        <f>K73&lt;first_year+PERIOD_LENGTH</f>
        <v>0</v>
      </c>
      <c r="C73" s="1256"/>
      <c r="D73" s="1256"/>
      <c r="E73" s="679">
        <v>15</v>
      </c>
      <c r="F73" s="50" cm="1" t="str">
        <f t="array" ref="F73:F73">OFFSET(E73,-1,1)</f>
        <v>0</v>
      </c>
      <c r="G73" s="1256"/>
      <c r="H73" s="1256"/>
      <c r="I73" s="1256"/>
      <c r="J73" s="1256"/>
      <c r="K73" s="124">
        <f>first_year+42</f>
        <v>2068</v>
      </c>
      <c r="L73" s="1256"/>
      <c r="M73" s="1256"/>
      <c r="N73" s="1256"/>
      <c r="O73" s="1256"/>
      <c r="P73" s="1256"/>
      <c r="Q73" s="1256"/>
      <c r="R73" s="1256"/>
      <c r="S73" s="1256"/>
      <c r="T73" s="438" cm="1" t="str">
        <f t="array" ref="T73:T73">T72</f>
        <v>false</v>
      </c>
      <c r="U73" s="1256"/>
      <c r="V73" s="1256"/>
      <c r="W73" s="1256"/>
      <c r="X73" s="1511"/>
      <c r="Y73" s="1256"/>
      <c r="Z73" s="1494"/>
      <c r="AA73" s="1256"/>
      <c r="AB73" s="221" t="str">
        <f>K73&amp;" год"</f>
        <v>2068 год</v>
      </c>
      <c r="AC73" s="3794"/>
      <c r="AD73" s="3800"/>
      <c r="AE73" s="3801"/>
      <c r="AF73" s="3801"/>
      <c r="AG73" s="3800"/>
      <c r="AH73" s="3800"/>
      <c r="AI73" s="3800"/>
      <c r="AJ73" s="3800"/>
      <c r="AK73" s="3802"/>
      <c r="AL73" s="374"/>
      <c r="AM73" s="1256"/>
      <c r="AN73" s="1256"/>
      <c r="AO73" s="1041" cm="1" t="str">
        <f t="array" ref="AO73:AO73">K73</f>
        <v>2068</v>
      </c>
      <c r="AP73" s="1256"/>
      <c r="AQ73" s="1256"/>
    </row>
    <row s="1256" customFormat="1" customHeight="1" ht="14.625" hidden="1">
      <c r="A74" s="1256"/>
      <c r="B74" s="417">
        <f>K74&lt;first_year+PERIOD_LENGTH</f>
        <v>0</v>
      </c>
      <c r="C74" s="1256"/>
      <c r="D74" s="1256"/>
      <c r="E74" s="679">
        <v>15</v>
      </c>
      <c r="F74" s="50" cm="1" t="str">
        <f t="array" ref="F74:F74">OFFSET(E74,-1,1)</f>
        <v>0</v>
      </c>
      <c r="G74" s="1256"/>
      <c r="H74" s="1256"/>
      <c r="I74" s="1256"/>
      <c r="J74" s="1256"/>
      <c r="K74" s="124">
        <f>first_year+43</f>
        <v>2069</v>
      </c>
      <c r="L74" s="1256"/>
      <c r="M74" s="1256"/>
      <c r="N74" s="1256"/>
      <c r="O74" s="1256"/>
      <c r="P74" s="1256"/>
      <c r="Q74" s="1256"/>
      <c r="R74" s="1256"/>
      <c r="S74" s="1256"/>
      <c r="T74" s="438" cm="1" t="str">
        <f t="array" ref="T74:T74">T73</f>
        <v>false</v>
      </c>
      <c r="U74" s="1256"/>
      <c r="V74" s="1256"/>
      <c r="W74" s="1256"/>
      <c r="X74" s="1511"/>
      <c r="Y74" s="1256"/>
      <c r="Z74" s="1494"/>
      <c r="AA74" s="1256"/>
      <c r="AB74" s="221" t="str">
        <f>K74&amp;" год"</f>
        <v>2069 год</v>
      </c>
      <c r="AC74" s="3794"/>
      <c r="AD74" s="3800"/>
      <c r="AE74" s="3801"/>
      <c r="AF74" s="3801"/>
      <c r="AG74" s="3800"/>
      <c r="AH74" s="3800"/>
      <c r="AI74" s="3800"/>
      <c r="AJ74" s="3800"/>
      <c r="AK74" s="3802"/>
      <c r="AL74" s="374"/>
      <c r="AM74" s="1256"/>
      <c r="AN74" s="1256"/>
      <c r="AO74" s="1041" cm="1" t="str">
        <f t="array" ref="AO74:AO74">K74</f>
        <v>2069</v>
      </c>
      <c r="AP74" s="1256"/>
      <c r="AQ74" s="1256"/>
    </row>
    <row s="1256" customFormat="1" customHeight="1" ht="14.625" hidden="1">
      <c r="A75" s="1256"/>
      <c r="B75" s="417">
        <f>K75&lt;first_year+PERIOD_LENGTH</f>
        <v>0</v>
      </c>
      <c r="C75" s="1256"/>
      <c r="D75" s="1256"/>
      <c r="E75" s="679">
        <v>15</v>
      </c>
      <c r="F75" s="50" cm="1" t="str">
        <f t="array" ref="F75:F75">OFFSET(E75,-1,1)</f>
        <v>0</v>
      </c>
      <c r="G75" s="1256"/>
      <c r="H75" s="1256"/>
      <c r="I75" s="1256"/>
      <c r="J75" s="1256"/>
      <c r="K75" s="124">
        <f>first_year+44</f>
        <v>2070</v>
      </c>
      <c r="L75" s="1256"/>
      <c r="M75" s="1256"/>
      <c r="N75" s="1256"/>
      <c r="O75" s="1256"/>
      <c r="P75" s="1256"/>
      <c r="Q75" s="1256"/>
      <c r="R75" s="1256"/>
      <c r="S75" s="1256"/>
      <c r="T75" s="438" cm="1" t="str">
        <f t="array" ref="T75:T75">T74</f>
        <v>false</v>
      </c>
      <c r="U75" s="1256"/>
      <c r="V75" s="1256"/>
      <c r="W75" s="1256"/>
      <c r="X75" s="1511"/>
      <c r="Y75" s="1256"/>
      <c r="Z75" s="1494"/>
      <c r="AA75" s="1256"/>
      <c r="AB75" s="221" t="str">
        <f>K75&amp;" год"</f>
        <v>2070 год</v>
      </c>
      <c r="AC75" s="3794"/>
      <c r="AD75" s="3800"/>
      <c r="AE75" s="3801"/>
      <c r="AF75" s="3801"/>
      <c r="AG75" s="3800"/>
      <c r="AH75" s="3800"/>
      <c r="AI75" s="3800"/>
      <c r="AJ75" s="3800"/>
      <c r="AK75" s="3802"/>
      <c r="AL75" s="374"/>
      <c r="AM75" s="1256"/>
      <c r="AN75" s="1256"/>
      <c r="AO75" s="1041" cm="1" t="str">
        <f t="array" ref="AO75:AO75">K75</f>
        <v>2070</v>
      </c>
      <c r="AP75" s="1256"/>
      <c r="AQ75" s="1256"/>
    </row>
    <row s="1256" customFormat="1" customHeight="1" ht="14.625" hidden="1">
      <c r="A76" s="1256"/>
      <c r="B76" s="417">
        <f>K76&lt;first_year+PERIOD_LENGTH</f>
        <v>0</v>
      </c>
      <c r="C76" s="1256"/>
      <c r="D76" s="1256"/>
      <c r="E76" s="679">
        <v>15</v>
      </c>
      <c r="F76" s="50" cm="1" t="str">
        <f t="array" ref="F76:F76">OFFSET(E76,-1,1)</f>
        <v>0</v>
      </c>
      <c r="G76" s="1256"/>
      <c r="H76" s="1256"/>
      <c r="I76" s="1256"/>
      <c r="J76" s="1256"/>
      <c r="K76" s="124">
        <f>first_year+45</f>
        <v>2071</v>
      </c>
      <c r="L76" s="1256"/>
      <c r="M76" s="1256"/>
      <c r="N76" s="1256"/>
      <c r="O76" s="1256"/>
      <c r="P76" s="1256"/>
      <c r="Q76" s="1256"/>
      <c r="R76" s="1256"/>
      <c r="S76" s="1256"/>
      <c r="T76" s="438" cm="1" t="str">
        <f t="array" ref="T76:T76">T75</f>
        <v>false</v>
      </c>
      <c r="U76" s="1256"/>
      <c r="V76" s="1256"/>
      <c r="W76" s="1256"/>
      <c r="X76" s="1511"/>
      <c r="Y76" s="1256"/>
      <c r="Z76" s="1494"/>
      <c r="AA76" s="1256"/>
      <c r="AB76" s="221" t="str">
        <f>K76&amp;" год"</f>
        <v>2071 год</v>
      </c>
      <c r="AC76" s="3794"/>
      <c r="AD76" s="3800"/>
      <c r="AE76" s="3801"/>
      <c r="AF76" s="3801"/>
      <c r="AG76" s="3800"/>
      <c r="AH76" s="3800"/>
      <c r="AI76" s="3800"/>
      <c r="AJ76" s="3800"/>
      <c r="AK76" s="3802"/>
      <c r="AL76" s="374"/>
      <c r="AM76" s="1256"/>
      <c r="AN76" s="1256"/>
      <c r="AO76" s="1041" cm="1" t="str">
        <f t="array" ref="AO76:AO76">K76</f>
        <v>2071</v>
      </c>
      <c r="AP76" s="1256"/>
      <c r="AQ76" s="1256"/>
    </row>
    <row s="1256" customFormat="1" customHeight="1" ht="14.625" hidden="1">
      <c r="A77" s="1256"/>
      <c r="B77" s="417">
        <f>K77&lt;first_year+PERIOD_LENGTH</f>
        <v>0</v>
      </c>
      <c r="C77" s="1256"/>
      <c r="D77" s="1256"/>
      <c r="E77" s="679">
        <v>15</v>
      </c>
      <c r="F77" s="50" cm="1" t="str">
        <f t="array" ref="F77:F77">OFFSET(E77,-1,1)</f>
        <v>0</v>
      </c>
      <c r="G77" s="1256"/>
      <c r="H77" s="1256"/>
      <c r="I77" s="1256"/>
      <c r="J77" s="1256"/>
      <c r="K77" s="124">
        <f>first_year+46</f>
        <v>2072</v>
      </c>
      <c r="L77" s="1256"/>
      <c r="M77" s="1256"/>
      <c r="N77" s="1256"/>
      <c r="O77" s="1256"/>
      <c r="P77" s="1256"/>
      <c r="Q77" s="1256"/>
      <c r="R77" s="1256"/>
      <c r="S77" s="1256"/>
      <c r="T77" s="438" cm="1" t="str">
        <f t="array" ref="T77:T77">T76</f>
        <v>false</v>
      </c>
      <c r="U77" s="1256"/>
      <c r="V77" s="1256"/>
      <c r="W77" s="1256"/>
      <c r="X77" s="1511"/>
      <c r="Y77" s="1256"/>
      <c r="Z77" s="1494"/>
      <c r="AA77" s="1256"/>
      <c r="AB77" s="221" t="str">
        <f>K77&amp;" год"</f>
        <v>2072 год</v>
      </c>
      <c r="AC77" s="3794"/>
      <c r="AD77" s="3800"/>
      <c r="AE77" s="3801"/>
      <c r="AF77" s="3801"/>
      <c r="AG77" s="3800"/>
      <c r="AH77" s="3800"/>
      <c r="AI77" s="3800"/>
      <c r="AJ77" s="3800"/>
      <c r="AK77" s="3802"/>
      <c r="AL77" s="374"/>
      <c r="AM77" s="1256"/>
      <c r="AN77" s="1256"/>
      <c r="AO77" s="1041" cm="1" t="str">
        <f t="array" ref="AO77:AO77">K77</f>
        <v>2072</v>
      </c>
      <c r="AP77" s="1256"/>
      <c r="AQ77" s="1256"/>
    </row>
    <row s="1256" customFormat="1" customHeight="1" ht="14.625" hidden="1">
      <c r="A78" s="1256"/>
      <c r="B78" s="417">
        <f>K78&lt;first_year+PERIOD_LENGTH</f>
        <v>0</v>
      </c>
      <c r="C78" s="1256"/>
      <c r="D78" s="1256"/>
      <c r="E78" s="679">
        <v>15</v>
      </c>
      <c r="F78" s="50" cm="1" t="str">
        <f t="array" ref="F78:F78">OFFSET(E78,-1,1)</f>
        <v>0</v>
      </c>
      <c r="G78" s="1256"/>
      <c r="H78" s="1256"/>
      <c r="I78" s="1256"/>
      <c r="J78" s="1256"/>
      <c r="K78" s="124">
        <f>first_year+47</f>
        <v>2073</v>
      </c>
      <c r="L78" s="1256"/>
      <c r="M78" s="1256"/>
      <c r="N78" s="1256"/>
      <c r="O78" s="1256"/>
      <c r="P78" s="1256"/>
      <c r="Q78" s="1256"/>
      <c r="R78" s="1256"/>
      <c r="S78" s="1256"/>
      <c r="T78" s="438" cm="1" t="str">
        <f t="array" ref="T78:T78">T77</f>
        <v>false</v>
      </c>
      <c r="U78" s="1256"/>
      <c r="V78" s="1256"/>
      <c r="W78" s="1256"/>
      <c r="X78" s="1511"/>
      <c r="Y78" s="1256"/>
      <c r="Z78" s="1494"/>
      <c r="AA78" s="1256"/>
      <c r="AB78" s="221" t="str">
        <f>K78&amp;" год"</f>
        <v>2073 год</v>
      </c>
      <c r="AC78" s="3794"/>
      <c r="AD78" s="3800"/>
      <c r="AE78" s="3801"/>
      <c r="AF78" s="3801"/>
      <c r="AG78" s="3800"/>
      <c r="AH78" s="3800"/>
      <c r="AI78" s="3800"/>
      <c r="AJ78" s="3800"/>
      <c r="AK78" s="3802"/>
      <c r="AL78" s="374"/>
      <c r="AM78" s="1256"/>
      <c r="AN78" s="1256"/>
      <c r="AO78" s="1041" cm="1" t="str">
        <f t="array" ref="AO78:AO78">K78</f>
        <v>2073</v>
      </c>
      <c r="AP78" s="1256"/>
      <c r="AQ78" s="1256"/>
    </row>
    <row s="1256" customFormat="1" customHeight="1" ht="14.625" hidden="1">
      <c r="A79" s="1256"/>
      <c r="B79" s="417">
        <f>K79&lt;first_year+PERIOD_LENGTH</f>
        <v>0</v>
      </c>
      <c r="C79" s="1256"/>
      <c r="D79" s="1256"/>
      <c r="E79" s="679">
        <v>15</v>
      </c>
      <c r="F79" s="50" cm="1" t="str">
        <f t="array" ref="F79:F79">OFFSET(E79,-1,1)</f>
        <v>0</v>
      </c>
      <c r="G79" s="1256"/>
      <c r="H79" s="1256"/>
      <c r="I79" s="1256"/>
      <c r="J79" s="1256"/>
      <c r="K79" s="124">
        <f>first_year+48</f>
        <v>2074</v>
      </c>
      <c r="L79" s="1256"/>
      <c r="M79" s="1256"/>
      <c r="N79" s="1256"/>
      <c r="O79" s="1256"/>
      <c r="P79" s="1256"/>
      <c r="Q79" s="1256"/>
      <c r="R79" s="1256"/>
      <c r="S79" s="1256"/>
      <c r="T79" s="438" cm="1" t="str">
        <f t="array" ref="T79:T79">T78</f>
        <v>false</v>
      </c>
      <c r="U79" s="1256"/>
      <c r="V79" s="1256"/>
      <c r="W79" s="1256"/>
      <c r="X79" s="1511"/>
      <c r="Y79" s="1256"/>
      <c r="Z79" s="1494"/>
      <c r="AA79" s="1256"/>
      <c r="AB79" s="221" t="str">
        <f>K79&amp;" год"</f>
        <v>2074 год</v>
      </c>
      <c r="AC79" s="3794"/>
      <c r="AD79" s="3800"/>
      <c r="AE79" s="3801"/>
      <c r="AF79" s="3801"/>
      <c r="AG79" s="3800"/>
      <c r="AH79" s="3800"/>
      <c r="AI79" s="3800"/>
      <c r="AJ79" s="3800"/>
      <c r="AK79" s="3802"/>
      <c r="AL79" s="374"/>
      <c r="AM79" s="1256"/>
      <c r="AN79" s="1256"/>
      <c r="AO79" s="1041" cm="1" t="str">
        <f t="array" ref="AO79:AO79">K79</f>
        <v>2074</v>
      </c>
      <c r="AP79" s="1256"/>
      <c r="AQ79" s="1256"/>
    </row>
    <row s="1256" customFormat="1" customHeight="1" ht="14.625" hidden="1">
      <c r="A80" s="1256"/>
      <c r="B80" s="417">
        <f>K80&lt;first_year+PERIOD_LENGTH</f>
        <v>0</v>
      </c>
      <c r="C80" s="1256"/>
      <c r="D80" s="1256"/>
      <c r="E80" s="679">
        <v>15</v>
      </c>
      <c r="F80" s="50" cm="1" t="str">
        <f t="array" ref="F80:F80">OFFSET(E80,-1,1)</f>
        <v>0</v>
      </c>
      <c r="G80" s="1256"/>
      <c r="H80" s="1256"/>
      <c r="I80" s="1256"/>
      <c r="J80" s="1256"/>
      <c r="K80" s="124">
        <f>first_year+49</f>
        <v>2075</v>
      </c>
      <c r="L80" s="1256"/>
      <c r="M80" s="1256"/>
      <c r="N80" s="1256"/>
      <c r="O80" s="1256"/>
      <c r="P80" s="1256"/>
      <c r="Q80" s="1256"/>
      <c r="R80" s="1256"/>
      <c r="S80" s="1256"/>
      <c r="T80" s="438" cm="1" t="str">
        <f t="array" ref="T80:T80">T79</f>
        <v>false</v>
      </c>
      <c r="U80" s="1256"/>
      <c r="V80" s="1256"/>
      <c r="W80" s="1256"/>
      <c r="X80" s="1511"/>
      <c r="Y80" s="1256"/>
      <c r="Z80" s="1494"/>
      <c r="AA80" s="1256"/>
      <c r="AB80" s="221" t="str">
        <f>K80&amp;" год"</f>
        <v>2075 год</v>
      </c>
      <c r="AC80" s="3794"/>
      <c r="AD80" s="3800"/>
      <c r="AE80" s="3801"/>
      <c r="AF80" s="3801"/>
      <c r="AG80" s="3800"/>
      <c r="AH80" s="3800"/>
      <c r="AI80" s="3800"/>
      <c r="AJ80" s="3800"/>
      <c r="AK80" s="3802"/>
      <c r="AL80" s="374"/>
      <c r="AM80" s="1256"/>
      <c r="AN80" s="1256"/>
      <c r="AO80" s="1041" cm="1" t="str">
        <f t="array" ref="AO80:AO80">K80</f>
        <v>2075</v>
      </c>
      <c r="AP80" s="1256"/>
      <c r="AQ80" s="1256"/>
    </row>
    <row s="511" customFormat="1" customHeight="1" ht="14.25">
      <c r="A81" s="1363"/>
      <c r="B81" s="400"/>
      <c r="C81" s="1363"/>
      <c r="D81" s="1363"/>
      <c r="E81" s="593">
        <v>15</v>
      </c>
      <c r="F81" s="64" cm="1" t="str">
        <f t="array" ref="F81:F81">X81</f>
        <v>1</v>
      </c>
      <c r="G81" s="1363"/>
      <c r="H81" s="1363"/>
      <c r="I81" s="1363"/>
      <c r="J81" s="1363"/>
      <c r="K81" s="1363"/>
      <c r="L81" s="1363"/>
      <c r="M81" s="1363"/>
      <c r="N81" s="1363"/>
      <c r="O81" s="1363"/>
      <c r="P81" s="1363"/>
      <c r="Q81" s="1363"/>
      <c r="R81" s="1363"/>
      <c r="S81" s="1363"/>
      <c r="T81" s="438">
        <f>X81&gt;0</f>
        <v>1</v>
      </c>
      <c r="U81" s="1363"/>
      <c r="V81" s="88" cm="1" t="str">
        <f t="array" ref="V81:V81">'Калькуляция (МИ корр)'!$AB$171</f>
        <v>Тариф 1 (Водоотведение) - тариф на транспортировку сточных вод</v>
      </c>
      <c r="W81" s="1363"/>
      <c r="X81" s="1511" t="s">
        <v>281</v>
      </c>
      <c r="Y81" s="1363"/>
      <c r="Z81" s="1494"/>
      <c r="AA81" s="1363"/>
      <c r="AB81" s="347" cm="1" t="str">
        <f t="array" ref="AB81:AB81">'Калькуляция (МИ корр)'!$AB$171</f>
        <v>Тариф 1 (Водоотведение) - тариф на транспортировку сточных вод</v>
      </c>
      <c r="AC81" s="808"/>
      <c r="AD81" s="808"/>
      <c r="AE81" s="808"/>
      <c r="AF81" s="808"/>
      <c r="AG81" s="808"/>
      <c r="AH81" s="808"/>
      <c r="AI81" s="808"/>
      <c r="AJ81" s="808"/>
      <c r="AK81" s="808"/>
      <c r="AL81" s="373"/>
      <c r="AM81" s="1363"/>
      <c r="AN81" s="1363"/>
      <c r="AO81" s="974"/>
      <c r="AP81" s="1363"/>
      <c r="AQ81" s="1363"/>
    </row>
    <row s="3803" customFormat="1" customHeight="1" ht="14.25">
      <c r="A82" s="1256"/>
      <c r="B82" s="417">
        <f>K82&lt;first_year+PERIOD_LENGTH</f>
        <v>1</v>
      </c>
      <c r="C82" s="1256"/>
      <c r="D82" s="1256"/>
      <c r="E82" s="679">
        <v>15</v>
      </c>
      <c r="F82" s="50" cm="1" t="str">
        <f t="array" ref="F82:F82">OFFSET(E82,-1,1)</f>
        <v>1</v>
      </c>
      <c r="G82" s="1256"/>
      <c r="H82" s="1256"/>
      <c r="I82" s="1256"/>
      <c r="J82" s="1256"/>
      <c r="K82" s="124" cm="1" t="str">
        <f t="array" ref="K82:K82">first_year</f>
        <v>2026</v>
      </c>
      <c r="L82" s="1256"/>
      <c r="M82" s="1256"/>
      <c r="N82" s="1256"/>
      <c r="O82" s="1256"/>
      <c r="P82" s="1256"/>
      <c r="Q82" s="1256"/>
      <c r="R82" s="1256"/>
      <c r="S82" s="1256"/>
      <c r="T82" s="438" cm="1" t="str">
        <f t="array" ref="T82:T82">T81</f>
        <v>true</v>
      </c>
      <c r="U82" s="1256"/>
      <c r="V82" s="1256"/>
      <c r="W82" s="1256"/>
      <c r="X82" s="1511"/>
      <c r="Y82" s="1256"/>
      <c r="Z82" s="1494"/>
      <c r="AA82" s="1256"/>
      <c r="AB82" s="809" t="str">
        <f>K82&amp;" год"</f>
        <v>2026 год</v>
      </c>
      <c r="AC82" s="897">
        <f>IF(god=first_year,_xlfn.SUMIFS('Калькуляция (МИ)'!AT$26:AT$315,'Калькуляция (МИ)'!F$26:F$315,F82,'Калькуляция (МИ)'!AC$26:AC$315,"операционные расходы"),IF(god&lt;first_year+3,_xlfn.IFERROR(_xlfn.SUMIFS(INDEX('Калькуляция (МИ корр)'!$AE$25:$BC$169,,MATCH(K82&amp;"Принято органом регулирования",'Калькуляция (МИ корр)'!$AE$8:$BC$8,0)),'Калькуляция (МИ корр)'!$F$25:$F$169,F82,'Калькуляция (МИ корр)'!$AC$25:$AC$169,"Операционные расходы"),0),""))</f>
        <v>0</v>
      </c>
      <c r="AD82" s="811">
        <f>_xlfn.IFERROR(_xlfn.SUMIFS(INDEX(Сценарии!$AE$25:$BF$82,,MATCH($K82&amp;"Принято органом регулирования",Сценарии!$AE$8:$BF$8,0)),Сценарии!$F$25:$F$82,$F82,Сценарии!$AC$25:$AC$82,"Индекс эффективности операционных расходов"),0)</f>
        <v>0</v>
      </c>
      <c r="AE82" s="810"/>
      <c r="AF82" s="810">
        <f>_xlfn.IFERROR(_xlfn.SUMIFS(INDEX(Баланс!$AE$25:$BB$209,,MATCH($K82&amp;"Принято органом регулирования",Баланс!$AE$8:$BB$8,0)),Баланс!$F$25:$F$209,$F82,Баланс!$AC$24:$AC$209,"Уровень потерь воды"),0)</f>
        <v>0</v>
      </c>
      <c r="AG82" s="1242">
        <f>_xlfn.IFERROR(_xlfn.SUMIFS(INDEX(Electricity_LOAD_1,,MATCH($K82&amp;"Принято органом регулирования",ЭЭ!$AE$8:$BB$8,0)),ЭЭ!$F$25:$F$67,$F82,ЭЭ!$AC$25:$AC$67,"Удельный расход электроэнергии"),0)</f>
        <v>0</v>
      </c>
      <c r="AH82" s="3808"/>
      <c r="AI82" s="3808"/>
      <c r="AJ82" s="811">
        <f>_xlfn.IFERROR(_xlfn.SUMIFS(INDEX(Electricity_LOAD_1,,MATCH($K82&amp;"Принято органом регулирования",ЭЭ!$AE$8:$BB$8,0)),ЭЭ!$F$25:$F$67,$F82,ЭЭ!$AC$25:$AC$67,"Удельный расход электроэнергии"),0)</f>
        <v>0</v>
      </c>
      <c r="AK82" s="811">
        <f>_xlfn.IFERROR(_xlfn.SUMIFS(INDEX(Electricity_LOAD_1,,MATCH($K82&amp;"Принято органом регулирования",ЭЭ!$AE$8:$BB$8,0)),ЭЭ!$F$25:$F$67,$F82,ЭЭ!$AC$25:$AC$67,"Удельный расход электроэнергии"),0)</f>
        <v>0</v>
      </c>
      <c r="AL82" s="374"/>
      <c r="AM82" s="124" t="s">
        <v>2086</v>
      </c>
      <c r="AN82" s="1256"/>
      <c r="AO82" s="1041" cm="1" t="str">
        <f t="array" ref="AO82:AO82">K82</f>
        <v>2026</v>
      </c>
      <c r="AP82" s="1256"/>
      <c r="AQ82" s="1256"/>
    </row>
    <row s="3809" customFormat="1" customHeight="1" ht="14.25" hidden="1">
      <c r="A83" s="1256"/>
      <c r="B83" s="417">
        <f>K83&lt;first_year+PERIOD_LENGTH</f>
        <v>0</v>
      </c>
      <c r="C83" s="1256"/>
      <c r="D83" s="1256"/>
      <c r="E83" s="679">
        <v>15</v>
      </c>
      <c r="F83" s="50" cm="1" t="str">
        <f t="array" ref="F83:F83">OFFSET(E83,-1,1)</f>
        <v>1</v>
      </c>
      <c r="G83" s="1256"/>
      <c r="H83" s="1256"/>
      <c r="I83" s="1256"/>
      <c r="J83" s="1256"/>
      <c r="K83" s="124">
        <f>first_year+1</f>
        <v>2027</v>
      </c>
      <c r="L83" s="1256"/>
      <c r="M83" s="1256"/>
      <c r="N83" s="1256"/>
      <c r="O83" s="1256"/>
      <c r="P83" s="1256"/>
      <c r="Q83" s="1256"/>
      <c r="R83" s="1256"/>
      <c r="S83" s="1256"/>
      <c r="T83" s="438" cm="1" t="str">
        <f t="array" ref="T83:T83">T82</f>
        <v>true</v>
      </c>
      <c r="U83" s="1256"/>
      <c r="V83" s="1256"/>
      <c r="W83" s="1256"/>
      <c r="X83" s="1511"/>
      <c r="Y83" s="1256"/>
      <c r="Z83" s="1494"/>
      <c r="AA83" s="1256"/>
      <c r="AB83" s="809" t="str">
        <f>K83&amp;" год"</f>
        <v>2027 год</v>
      </c>
      <c r="AC83" s="3794"/>
      <c r="AD83" s="3793">
        <f>_xlfn.IFERROR(_xlfn.SUMIFS(INDEX(Сценарии!$AE$25:$BF$82,,MATCH($K83&amp;"Принято органом регулирования",Сценарии!$AE$8:$BF$8,0)),Сценарии!$F$25:$F$82,$F83,Сценарии!$AC$25:$AC$82,"Индекс эффективности операционных расходов"),0)</f>
        <v>0</v>
      </c>
      <c r="AE83" s="3794"/>
      <c r="AF83" s="3794">
        <f>_xlfn.IFERROR(_xlfn.SUMIFS(INDEX(Баланс!$AE$25:$BB$209,,MATCH($K83&amp;"Принято органом регулирования",Баланс!$AE$8:$BB$8,0)),Баланс!$F$25:$F$209,$F83,Баланс!$AC$24:$AC$209,"Уровень потерь воды"),0)</f>
        <v>0</v>
      </c>
      <c r="AG83" s="3795">
        <f>_xlfn.IFERROR(_xlfn.SUMIFS(INDEX(Electricity_LOAD_1,,MATCH($K83&amp;"Принято органом регулирования",ЭЭ!$AE$8:$BB$8,0)),ЭЭ!$F$25:$F$67,$F83,ЭЭ!$AC$25:$AC$67,"Удельный расход электроэнергии"),0)</f>
        <v>0</v>
      </c>
      <c r="AH83" s="3808"/>
      <c r="AI83" s="3808"/>
      <c r="AJ83" s="3793">
        <f>_xlfn.IFERROR(_xlfn.SUMIFS(INDEX(Electricity_LOAD_1,,MATCH($K83&amp;"Принято органом регулирования",ЭЭ!$AE$8:$BB$8,0)),ЭЭ!$F$25:$F$67,$F83,ЭЭ!$AC$25:$AC$67,"Удельный расход электроэнергии"),0)</f>
        <v>0</v>
      </c>
      <c r="AK83" s="3793">
        <f>_xlfn.IFERROR(_xlfn.SUMIFS(INDEX(Electricity_LOAD_1,,MATCH($K83&amp;"Принято органом регулирования",ЭЭ!$AE$8:$BB$8,0)),ЭЭ!$F$25:$F$67,$F83,ЭЭ!$AC$25:$AC$67,"Удельный расход электроэнергии"),0)</f>
        <v>0</v>
      </c>
      <c r="AL83" s="374"/>
      <c r="AM83" s="1256" t="s">
        <v>2086</v>
      </c>
      <c r="AN83" s="1256"/>
      <c r="AO83" s="1041" cm="1" t="str">
        <f t="array" ref="AO83:AO83">K83</f>
        <v>2027</v>
      </c>
      <c r="AP83" s="1256"/>
      <c r="AQ83" s="1256"/>
    </row>
    <row s="3810" customFormat="1" customHeight="1" ht="14.25" hidden="1">
      <c r="A84" s="1256"/>
      <c r="B84" s="417">
        <f>K84&lt;first_year+PERIOD_LENGTH</f>
        <v>0</v>
      </c>
      <c r="C84" s="1256"/>
      <c r="D84" s="1256"/>
      <c r="E84" s="679">
        <v>15</v>
      </c>
      <c r="F84" s="50" cm="1" t="str">
        <f t="array" ref="F84:F84">OFFSET(E84,-1,1)</f>
        <v>1</v>
      </c>
      <c r="G84" s="1256"/>
      <c r="H84" s="1256"/>
      <c r="I84" s="1256"/>
      <c r="J84" s="1256"/>
      <c r="K84" s="124">
        <f>first_year+2</f>
        <v>2028</v>
      </c>
      <c r="L84" s="1256"/>
      <c r="M84" s="1256"/>
      <c r="N84" s="1256"/>
      <c r="O84" s="1256"/>
      <c r="P84" s="1256"/>
      <c r="Q84" s="1256"/>
      <c r="R84" s="1256"/>
      <c r="S84" s="1256"/>
      <c r="T84" s="438" cm="1" t="str">
        <f t="array" ref="T84:T84">T83</f>
        <v>true</v>
      </c>
      <c r="U84" s="1256"/>
      <c r="V84" s="1256"/>
      <c r="W84" s="1256"/>
      <c r="X84" s="1511"/>
      <c r="Y84" s="1256"/>
      <c r="Z84" s="1494"/>
      <c r="AA84" s="1256"/>
      <c r="AB84" s="809" t="str">
        <f>K84&amp;" год"</f>
        <v>2028 год</v>
      </c>
      <c r="AC84" s="3794"/>
      <c r="AD84" s="3793">
        <f>_xlfn.IFERROR(_xlfn.SUMIFS(INDEX(Сценарии!$AE$25:$BF$82,,MATCH($K84&amp;"Принято органом регулирования",Сценарии!$AE$8:$BF$8,0)),Сценарии!$F$25:$F$82,$F84,Сценарии!$AC$25:$AC$82,"Индекс эффективности операционных расходов"),0)</f>
        <v>0</v>
      </c>
      <c r="AE84" s="3794"/>
      <c r="AF84" s="3794">
        <f>_xlfn.IFERROR(_xlfn.SUMIFS(INDEX(Баланс!$AE$25:$BB$209,,MATCH($K84&amp;"Принято органом регулирования",Баланс!$AE$8:$BB$8,0)),Баланс!$F$25:$F$209,$F84,Баланс!$AC$24:$AC$209,"Уровень потерь воды"),0)</f>
        <v>0</v>
      </c>
      <c r="AG84" s="3795">
        <f>_xlfn.IFERROR(_xlfn.SUMIFS(INDEX(Electricity_LOAD_1,,MATCH($K84&amp;"Принято органом регулирования",ЭЭ!$AE$8:$BB$8,0)),ЭЭ!$F$25:$F$67,$F84,ЭЭ!$AC$25:$AC$67,"Удельный расход электроэнергии"),0)</f>
        <v>0</v>
      </c>
      <c r="AH84" s="3808"/>
      <c r="AI84" s="3808"/>
      <c r="AJ84" s="3793">
        <f>_xlfn.IFERROR(_xlfn.SUMIFS(INDEX(Electricity_LOAD_1,,MATCH($K84&amp;"Принято органом регулирования",ЭЭ!$AE$8:$BB$8,0)),ЭЭ!$F$25:$F$67,$F84,ЭЭ!$AC$25:$AC$67,"Удельный расход электроэнергии"),0)</f>
        <v>0</v>
      </c>
      <c r="AK84" s="3793">
        <f>_xlfn.IFERROR(_xlfn.SUMIFS(INDEX(Electricity_LOAD_1,,MATCH($K84&amp;"Принято органом регулирования",ЭЭ!$AE$8:$BB$8,0)),ЭЭ!$F$25:$F$67,$F84,ЭЭ!$AC$25:$AC$67,"Удельный расход электроэнергии"),0)</f>
        <v>0</v>
      </c>
      <c r="AL84" s="374"/>
      <c r="AM84" s="1256" t="s">
        <v>2086</v>
      </c>
      <c r="AN84" s="1256"/>
      <c r="AO84" s="1041" cm="1" t="str">
        <f t="array" ref="AO84:AO84">K84</f>
        <v>2028</v>
      </c>
      <c r="AP84" s="1256"/>
      <c r="AQ84" s="1256"/>
    </row>
    <row s="3811" customFormat="1" customHeight="1" ht="14.25" hidden="1">
      <c r="A85" s="1256"/>
      <c r="B85" s="417">
        <f>K85&lt;first_year+PERIOD_LENGTH</f>
        <v>0</v>
      </c>
      <c r="C85" s="1256"/>
      <c r="D85" s="1256"/>
      <c r="E85" s="679">
        <v>15</v>
      </c>
      <c r="F85" s="50" cm="1" t="str">
        <f t="array" ref="F85:F85">OFFSET(E85,-1,1)</f>
        <v>1</v>
      </c>
      <c r="G85" s="1256"/>
      <c r="H85" s="1256"/>
      <c r="I85" s="1256"/>
      <c r="J85" s="1256"/>
      <c r="K85" s="124">
        <f>first_year+3</f>
        <v>2029</v>
      </c>
      <c r="L85" s="1256"/>
      <c r="M85" s="1256"/>
      <c r="N85" s="1256"/>
      <c r="O85" s="1256"/>
      <c r="P85" s="1256"/>
      <c r="Q85" s="1256"/>
      <c r="R85" s="1256"/>
      <c r="S85" s="1256"/>
      <c r="T85" s="438" cm="1" t="str">
        <f t="array" ref="T85:T85">T84</f>
        <v>true</v>
      </c>
      <c r="U85" s="1256"/>
      <c r="V85" s="1256"/>
      <c r="W85" s="1256"/>
      <c r="X85" s="1511"/>
      <c r="Y85" s="1256"/>
      <c r="Z85" s="1494"/>
      <c r="AA85" s="1256"/>
      <c r="AB85" s="809" t="str">
        <f>K85&amp;" год"</f>
        <v>2029 год</v>
      </c>
      <c r="AC85" s="3794"/>
      <c r="AD85" s="3793">
        <f>_xlfn.IFERROR(_xlfn.SUMIFS(INDEX(Сценарии!$AE$25:$BF$82,,MATCH($K85&amp;"Принято органом регулирования",Сценарии!$AE$8:$BF$8,0)),Сценарии!$F$25:$F$82,$F85,Сценарии!$AC$25:$AC$82,"Индекс эффективности операционных расходов"),0)</f>
        <v>0</v>
      </c>
      <c r="AE85" s="3794"/>
      <c r="AF85" s="3794">
        <f>_xlfn.IFERROR(_xlfn.SUMIFS(INDEX(Баланс!$AE$25:$BB$209,,MATCH($K85&amp;"Принято органом регулирования",Баланс!$AE$8:$BB$8,0)),Баланс!$F$25:$F$209,$F85,Баланс!$AC$24:$AC$209,"Уровень потерь воды"),0)</f>
        <v>0</v>
      </c>
      <c r="AG85" s="3795">
        <f>_xlfn.IFERROR(_xlfn.SUMIFS(INDEX(Electricity_LOAD_1,,MATCH($K85&amp;"Принято органом регулирования",ЭЭ!$AE$8:$BB$8,0)),ЭЭ!$F$25:$F$67,$F85,ЭЭ!$AC$25:$AC$67,"Удельный расход электроэнергии"),0)</f>
        <v>0</v>
      </c>
      <c r="AH85" s="3808"/>
      <c r="AI85" s="3808"/>
      <c r="AJ85" s="3793">
        <f>_xlfn.IFERROR(_xlfn.SUMIFS(INDEX(Electricity_LOAD_1,,MATCH($K85&amp;"Принято органом регулирования",ЭЭ!$AE$8:$BB$8,0)),ЭЭ!$F$25:$F$67,$F85,ЭЭ!$AC$25:$AC$67,"Удельный расход электроэнергии"),0)</f>
        <v>0</v>
      </c>
      <c r="AK85" s="3793">
        <f>_xlfn.IFERROR(_xlfn.SUMIFS(INDEX(Electricity_LOAD_1,,MATCH($K85&amp;"Принято органом регулирования",ЭЭ!$AE$8:$BB$8,0)),ЭЭ!$F$25:$F$67,$F85,ЭЭ!$AC$25:$AC$67,"Удельный расход электроэнергии"),0)</f>
        <v>0</v>
      </c>
      <c r="AL85" s="374"/>
      <c r="AM85" s="1256" t="s">
        <v>2086</v>
      </c>
      <c r="AN85" s="1256"/>
      <c r="AO85" s="1041" cm="1" t="str">
        <f t="array" ref="AO85:AO85">K85</f>
        <v>2029</v>
      </c>
      <c r="AP85" s="1256"/>
      <c r="AQ85" s="1256"/>
    </row>
    <row s="3812" customFormat="1" customHeight="1" ht="14.25" hidden="1">
      <c r="A86" s="1256"/>
      <c r="B86" s="417">
        <f>K86&lt;first_year+PERIOD_LENGTH</f>
        <v>0</v>
      </c>
      <c r="C86" s="1256"/>
      <c r="D86" s="1256"/>
      <c r="E86" s="679">
        <v>15</v>
      </c>
      <c r="F86" s="50" cm="1" t="str">
        <f t="array" ref="F86:F86">OFFSET(E86,-1,1)</f>
        <v>1</v>
      </c>
      <c r="G86" s="1256"/>
      <c r="H86" s="1256"/>
      <c r="I86" s="1256"/>
      <c r="J86" s="1256"/>
      <c r="K86" s="124">
        <f>first_year+4</f>
        <v>2030</v>
      </c>
      <c r="L86" s="1256"/>
      <c r="M86" s="1256"/>
      <c r="N86" s="1256"/>
      <c r="O86" s="1256"/>
      <c r="P86" s="1256"/>
      <c r="Q86" s="1256"/>
      <c r="R86" s="1256"/>
      <c r="S86" s="1256"/>
      <c r="T86" s="438" cm="1" t="str">
        <f t="array" ref="T86:T86">T85</f>
        <v>true</v>
      </c>
      <c r="U86" s="1256"/>
      <c r="V86" s="1256"/>
      <c r="W86" s="1256"/>
      <c r="X86" s="1511"/>
      <c r="Y86" s="1256"/>
      <c r="Z86" s="1494"/>
      <c r="AA86" s="1256"/>
      <c r="AB86" s="809" t="str">
        <f>K86&amp;" год"</f>
        <v>2030 год</v>
      </c>
      <c r="AC86" s="3794"/>
      <c r="AD86" s="3793">
        <f>_xlfn.IFERROR(_xlfn.SUMIFS(INDEX(Сценарии!$AE$25:$BF$82,,MATCH($K86&amp;"Принято органом регулирования",Сценарии!$AE$8:$BF$8,0)),Сценарии!$F$25:$F$82,$F86,Сценарии!$AC$25:$AC$82,"Индекс эффективности операционных расходов"),0)</f>
        <v>0</v>
      </c>
      <c r="AE86" s="3794"/>
      <c r="AF86" s="3794">
        <f>_xlfn.IFERROR(_xlfn.SUMIFS(INDEX(Баланс!$AE$25:$BB$209,,MATCH($K86&amp;"Принято органом регулирования",Баланс!$AE$8:$BB$8,0)),Баланс!$F$25:$F$209,$F86,Баланс!$AC$24:$AC$209,"Уровень потерь воды"),0)</f>
        <v>0</v>
      </c>
      <c r="AG86" s="3795">
        <f>_xlfn.IFERROR(_xlfn.SUMIFS(INDEX(Electricity_LOAD_1,,MATCH($K86&amp;"Принято органом регулирования",ЭЭ!$AE$8:$BB$8,0)),ЭЭ!$F$25:$F$67,$F86,ЭЭ!$AC$25:$AC$67,"Удельный расход электроэнергии"),0)</f>
        <v>0</v>
      </c>
      <c r="AH86" s="3808"/>
      <c r="AI86" s="3808"/>
      <c r="AJ86" s="3793">
        <f>_xlfn.IFERROR(_xlfn.SUMIFS(INDEX(Electricity_LOAD_1,,MATCH($K86&amp;"Принято органом регулирования",ЭЭ!$AE$8:$BB$8,0)),ЭЭ!$F$25:$F$67,$F86,ЭЭ!$AC$25:$AC$67,"Удельный расход электроэнергии"),0)</f>
        <v>0</v>
      </c>
      <c r="AK86" s="3793">
        <f>_xlfn.IFERROR(_xlfn.SUMIFS(INDEX(Electricity_LOAD_1,,MATCH($K86&amp;"Принято органом регулирования",ЭЭ!$AE$8:$BB$8,0)),ЭЭ!$F$25:$F$67,$F86,ЭЭ!$AC$25:$AC$67,"Удельный расход электроэнергии"),0)</f>
        <v>0</v>
      </c>
      <c r="AL86" s="374"/>
      <c r="AM86" s="1256" t="s">
        <v>2086</v>
      </c>
      <c r="AN86" s="1256"/>
      <c r="AO86" s="1041" cm="1" t="str">
        <f t="array" ref="AO86:AO86">K86</f>
        <v>2030</v>
      </c>
      <c r="AP86" s="1256"/>
      <c r="AQ86" s="1256"/>
    </row>
    <row s="3813" customFormat="1" customHeight="1" ht="14.25" hidden="1">
      <c r="A87" s="1256"/>
      <c r="B87" s="417">
        <f>K87&lt;first_year+PERIOD_LENGTH</f>
        <v>0</v>
      </c>
      <c r="C87" s="1256"/>
      <c r="D87" s="1256"/>
      <c r="E87" s="679">
        <v>15</v>
      </c>
      <c r="F87" s="50" cm="1" t="str">
        <f t="array" ref="F87:F87">OFFSET(E87,-1,1)</f>
        <v>1</v>
      </c>
      <c r="G87" s="1256"/>
      <c r="H87" s="1256"/>
      <c r="I87" s="1256"/>
      <c r="J87" s="1256"/>
      <c r="K87" s="124">
        <f>first_year+5</f>
        <v>2031</v>
      </c>
      <c r="L87" s="1256"/>
      <c r="M87" s="1256"/>
      <c r="N87" s="1256"/>
      <c r="O87" s="1256"/>
      <c r="P87" s="1256"/>
      <c r="Q87" s="1256"/>
      <c r="R87" s="1256"/>
      <c r="S87" s="1256"/>
      <c r="T87" s="438" cm="1" t="str">
        <f t="array" ref="T87:T87">T86</f>
        <v>true</v>
      </c>
      <c r="U87" s="1256"/>
      <c r="V87" s="1256"/>
      <c r="W87" s="1256"/>
      <c r="X87" s="1511"/>
      <c r="Y87" s="1256"/>
      <c r="Z87" s="1494"/>
      <c r="AA87" s="1256"/>
      <c r="AB87" s="809" t="str">
        <f>K87&amp;" год"</f>
        <v>2031 год</v>
      </c>
      <c r="AC87" s="3794"/>
      <c r="AD87" s="3793">
        <f>_xlfn.IFERROR(_xlfn.SUMIFS(INDEX(Сценарии!$AE$25:$BF$82,,MATCH($K87&amp;"Принято органом регулирования",Сценарии!$AE$8:$BF$8,0)),Сценарии!$F$25:$F$82,$F87,Сценарии!$AC$25:$AC$82,"Индекс эффективности операционных расходов"),0)</f>
        <v>0</v>
      </c>
      <c r="AE87" s="3794"/>
      <c r="AF87" s="3794">
        <f>_xlfn.IFERROR(_xlfn.SUMIFS(INDEX(Баланс!$AE$25:$BB$209,,MATCH($K87&amp;"Принято органом регулирования",Баланс!$AE$8:$BB$8,0)),Баланс!$F$25:$F$209,$F87,Баланс!$AC$24:$AC$209,"Уровень потерь воды"),0)</f>
        <v>0</v>
      </c>
      <c r="AG87" s="3795">
        <f>_xlfn.IFERROR(_xlfn.SUMIFS(INDEX(Electricity_LOAD_1,,MATCH($K87&amp;"Принято органом регулирования",ЭЭ!$AE$8:$BB$8,0)),ЭЭ!$F$25:$F$67,$F87,ЭЭ!$AC$25:$AC$67,"Удельный расход электроэнергии"),0)</f>
        <v>0</v>
      </c>
      <c r="AH87" s="3808"/>
      <c r="AI87" s="3808"/>
      <c r="AJ87" s="3793">
        <f>_xlfn.IFERROR(_xlfn.SUMIFS(INDEX(Electricity_LOAD_1,,MATCH($K87&amp;"Принято органом регулирования",ЭЭ!$AE$8:$BB$8,0)),ЭЭ!$F$25:$F$67,$F87,ЭЭ!$AC$25:$AC$67,"Удельный расход электроэнергии"),0)</f>
        <v>0</v>
      </c>
      <c r="AK87" s="3793">
        <f>_xlfn.IFERROR(_xlfn.SUMIFS(INDEX(Electricity_LOAD_1,,MATCH($K87&amp;"Принято органом регулирования",ЭЭ!$AE$8:$BB$8,0)),ЭЭ!$F$25:$F$67,$F87,ЭЭ!$AC$25:$AC$67,"Удельный расход электроэнергии"),0)</f>
        <v>0</v>
      </c>
      <c r="AL87" s="374"/>
      <c r="AM87" s="1256" t="s">
        <v>2086</v>
      </c>
      <c r="AN87" s="1256"/>
      <c r="AO87" s="1041" cm="1" t="str">
        <f t="array" ref="AO87:AO87">K87</f>
        <v>2031</v>
      </c>
      <c r="AP87" s="1256"/>
      <c r="AQ87" s="1256"/>
    </row>
    <row s="3814" customFormat="1" customHeight="1" ht="14.25" hidden="1">
      <c r="A88" s="1256"/>
      <c r="B88" s="417">
        <f>K88&lt;first_year+PERIOD_LENGTH</f>
        <v>0</v>
      </c>
      <c r="C88" s="1256"/>
      <c r="D88" s="1256"/>
      <c r="E88" s="679">
        <v>15</v>
      </c>
      <c r="F88" s="50" cm="1" t="str">
        <f t="array" ref="F88:F88">OFFSET(E88,-1,1)</f>
        <v>1</v>
      </c>
      <c r="G88" s="1256"/>
      <c r="H88" s="1256"/>
      <c r="I88" s="1256"/>
      <c r="J88" s="1256"/>
      <c r="K88" s="124">
        <f>first_year+6</f>
        <v>2032</v>
      </c>
      <c r="L88" s="1256"/>
      <c r="M88" s="1256"/>
      <c r="N88" s="1256"/>
      <c r="O88" s="1256"/>
      <c r="P88" s="1256"/>
      <c r="Q88" s="1256"/>
      <c r="R88" s="1256"/>
      <c r="S88" s="1256"/>
      <c r="T88" s="438" cm="1" t="str">
        <f t="array" ref="T88:T88">T87</f>
        <v>true</v>
      </c>
      <c r="U88" s="1256"/>
      <c r="V88" s="1256"/>
      <c r="W88" s="1256"/>
      <c r="X88" s="1511"/>
      <c r="Y88" s="1256"/>
      <c r="Z88" s="1494"/>
      <c r="AA88" s="1256"/>
      <c r="AB88" s="809" t="str">
        <f>K88&amp;" год"</f>
        <v>2032 год</v>
      </c>
      <c r="AC88" s="3794"/>
      <c r="AD88" s="3793">
        <f>_xlfn.IFERROR(_xlfn.SUMIFS(INDEX(Сценарии!$AE$25:$BF$82,,MATCH($K88&amp;"Принято органом регулирования",Сценарии!$AE$8:$BF$8,0)),Сценарии!$F$25:$F$82,$F88,Сценарии!$AC$25:$AC$82,"Индекс эффективности операционных расходов"),0)</f>
        <v>0</v>
      </c>
      <c r="AE88" s="3794"/>
      <c r="AF88" s="3794">
        <f>_xlfn.IFERROR(_xlfn.SUMIFS(INDEX(Баланс!$AE$25:$BB$209,,MATCH($K88&amp;"Принято органом регулирования",Баланс!$AE$8:$BB$8,0)),Баланс!$F$25:$F$209,$F88,Баланс!$AC$24:$AC$209,"Уровень потерь воды"),0)</f>
        <v>0</v>
      </c>
      <c r="AG88" s="3795">
        <f>_xlfn.IFERROR(_xlfn.SUMIFS(INDEX(Electricity_LOAD_1,,MATCH($K88&amp;"Принято органом регулирования",ЭЭ!$AE$8:$BB$8,0)),ЭЭ!$F$25:$F$67,$F88,ЭЭ!$AC$25:$AC$67,"Удельный расход электроэнергии"),0)</f>
        <v>0</v>
      </c>
      <c r="AH88" s="3808"/>
      <c r="AI88" s="3808"/>
      <c r="AJ88" s="3793">
        <f>_xlfn.IFERROR(_xlfn.SUMIFS(INDEX(Electricity_LOAD_1,,MATCH($K88&amp;"Принято органом регулирования",ЭЭ!$AE$8:$BB$8,0)),ЭЭ!$F$25:$F$67,$F88,ЭЭ!$AC$25:$AC$67,"Удельный расход электроэнергии"),0)</f>
        <v>0</v>
      </c>
      <c r="AK88" s="3793">
        <f>_xlfn.IFERROR(_xlfn.SUMIFS(INDEX(Electricity_LOAD_1,,MATCH($K88&amp;"Принято органом регулирования",ЭЭ!$AE$8:$BB$8,0)),ЭЭ!$F$25:$F$67,$F88,ЭЭ!$AC$25:$AC$67,"Удельный расход электроэнергии"),0)</f>
        <v>0</v>
      </c>
      <c r="AL88" s="374"/>
      <c r="AM88" s="1256" t="s">
        <v>2086</v>
      </c>
      <c r="AN88" s="1256"/>
      <c r="AO88" s="1041" cm="1" t="str">
        <f t="array" ref="AO88:AO88">K88</f>
        <v>2032</v>
      </c>
      <c r="AP88" s="1256"/>
      <c r="AQ88" s="1256"/>
    </row>
    <row s="3815" customFormat="1" customHeight="1" ht="14.25" hidden="1">
      <c r="A89" s="1256"/>
      <c r="B89" s="417">
        <f>K89&lt;first_year+PERIOD_LENGTH</f>
        <v>0</v>
      </c>
      <c r="C89" s="1256"/>
      <c r="D89" s="1256"/>
      <c r="E89" s="679">
        <v>15</v>
      </c>
      <c r="F89" s="50" cm="1" t="str">
        <f t="array" ref="F89:F89">OFFSET(E89,-1,1)</f>
        <v>1</v>
      </c>
      <c r="G89" s="1256"/>
      <c r="H89" s="1256"/>
      <c r="I89" s="1256"/>
      <c r="J89" s="1256"/>
      <c r="K89" s="124">
        <f>first_year+7</f>
        <v>2033</v>
      </c>
      <c r="L89" s="1256"/>
      <c r="M89" s="1256"/>
      <c r="N89" s="1256"/>
      <c r="O89" s="1256"/>
      <c r="P89" s="1256"/>
      <c r="Q89" s="1256"/>
      <c r="R89" s="1256"/>
      <c r="S89" s="1256"/>
      <c r="T89" s="438" cm="1" t="str">
        <f t="array" ref="T89:T89">T88</f>
        <v>true</v>
      </c>
      <c r="U89" s="1256"/>
      <c r="V89" s="1256"/>
      <c r="W89" s="1256"/>
      <c r="X89" s="1511"/>
      <c r="Y89" s="1256"/>
      <c r="Z89" s="1494"/>
      <c r="AA89" s="1256"/>
      <c r="AB89" s="809" t="str">
        <f>K89&amp;" год"</f>
        <v>2033 год</v>
      </c>
      <c r="AC89" s="3794"/>
      <c r="AD89" s="3793">
        <f>_xlfn.IFERROR(_xlfn.SUMIFS(INDEX(Сценарии!$AE$25:$BF$82,,MATCH($K89&amp;"Принято органом регулирования",Сценарии!$AE$8:$BF$8,0)),Сценарии!$F$25:$F$82,$F89,Сценарии!$AC$25:$AC$82,"Индекс эффективности операционных расходов"),0)</f>
        <v>0</v>
      </c>
      <c r="AE89" s="3794"/>
      <c r="AF89" s="3794">
        <f>_xlfn.IFERROR(_xlfn.SUMIFS(INDEX(Баланс!$AE$25:$BB$209,,MATCH($K89&amp;"Принято органом регулирования",Баланс!$AE$8:$BB$8,0)),Баланс!$F$25:$F$209,$F89,Баланс!$AC$24:$AC$209,"Уровень потерь воды"),0)</f>
        <v>0</v>
      </c>
      <c r="AG89" s="3795">
        <f>_xlfn.IFERROR(_xlfn.SUMIFS(INDEX(Electricity_LOAD_1,,MATCH($K89&amp;"Принято органом регулирования",ЭЭ!$AE$8:$BB$8,0)),ЭЭ!$F$25:$F$67,$F89,ЭЭ!$AC$25:$AC$67,"Удельный расход электроэнергии"),0)</f>
        <v>0</v>
      </c>
      <c r="AH89" s="3808"/>
      <c r="AI89" s="3808"/>
      <c r="AJ89" s="3793">
        <f>_xlfn.IFERROR(_xlfn.SUMIFS(INDEX(Electricity_LOAD_1,,MATCH($K89&amp;"Принято органом регулирования",ЭЭ!$AE$8:$BB$8,0)),ЭЭ!$F$25:$F$67,$F89,ЭЭ!$AC$25:$AC$67,"Удельный расход электроэнергии"),0)</f>
        <v>0</v>
      </c>
      <c r="AK89" s="3793">
        <f>_xlfn.IFERROR(_xlfn.SUMIFS(INDEX(Electricity_LOAD_1,,MATCH($K89&amp;"Принято органом регулирования",ЭЭ!$AE$8:$BB$8,0)),ЭЭ!$F$25:$F$67,$F89,ЭЭ!$AC$25:$AC$67,"Удельный расход электроэнергии"),0)</f>
        <v>0</v>
      </c>
      <c r="AL89" s="374"/>
      <c r="AM89" s="1256" t="s">
        <v>2086</v>
      </c>
      <c r="AN89" s="1256"/>
      <c r="AO89" s="1041" cm="1" t="str">
        <f t="array" ref="AO89:AO89">K89</f>
        <v>2033</v>
      </c>
      <c r="AP89" s="1256"/>
      <c r="AQ89" s="1256"/>
    </row>
    <row s="3816" customFormat="1" customHeight="1" ht="14.25" hidden="1">
      <c r="A90" s="1256"/>
      <c r="B90" s="417">
        <f>K90&lt;first_year+PERIOD_LENGTH</f>
        <v>0</v>
      </c>
      <c r="C90" s="1256"/>
      <c r="D90" s="1256"/>
      <c r="E90" s="679">
        <v>15</v>
      </c>
      <c r="F90" s="50" cm="1" t="str">
        <f t="array" ref="F90:F90">OFFSET(E90,-1,1)</f>
        <v>1</v>
      </c>
      <c r="G90" s="1256"/>
      <c r="H90" s="1256"/>
      <c r="I90" s="1256"/>
      <c r="J90" s="1256"/>
      <c r="K90" s="124">
        <f>first_year+8</f>
        <v>2034</v>
      </c>
      <c r="L90" s="1256"/>
      <c r="M90" s="1256"/>
      <c r="N90" s="1256"/>
      <c r="O90" s="1256"/>
      <c r="P90" s="1256"/>
      <c r="Q90" s="1256"/>
      <c r="R90" s="1256"/>
      <c r="S90" s="1256"/>
      <c r="T90" s="438" cm="1" t="str">
        <f t="array" ref="T90:T90">T89</f>
        <v>true</v>
      </c>
      <c r="U90" s="1256"/>
      <c r="V90" s="1256"/>
      <c r="W90" s="1256"/>
      <c r="X90" s="1511"/>
      <c r="Y90" s="1256"/>
      <c r="Z90" s="1494"/>
      <c r="AA90" s="1256"/>
      <c r="AB90" s="809" t="str">
        <f>K90&amp;" год"</f>
        <v>2034 год</v>
      </c>
      <c r="AC90" s="3794"/>
      <c r="AD90" s="3793">
        <f>_xlfn.IFERROR(_xlfn.SUMIFS(INDEX(Сценарии!$AE$25:$BF$82,,MATCH($K90&amp;"Принято органом регулирования",Сценарии!$AE$8:$BF$8,0)),Сценарии!$F$25:$F$82,$F90,Сценарии!$AC$25:$AC$82,"Индекс эффективности операционных расходов"),0)</f>
        <v>0</v>
      </c>
      <c r="AE90" s="3794"/>
      <c r="AF90" s="3794">
        <f>_xlfn.IFERROR(_xlfn.SUMIFS(INDEX(Баланс!$AE$25:$BB$209,,MATCH($K90&amp;"Принято органом регулирования",Баланс!$AE$8:$BB$8,0)),Баланс!$F$25:$F$209,$F90,Баланс!$AC$24:$AC$209,"Уровень потерь воды"),0)</f>
        <v>0</v>
      </c>
      <c r="AG90" s="3795">
        <f>_xlfn.IFERROR(_xlfn.SUMIFS(INDEX(Electricity_LOAD_1,,MATCH($K90&amp;"Принято органом регулирования",ЭЭ!$AE$8:$BB$8,0)),ЭЭ!$F$25:$F$67,$F90,ЭЭ!$AC$25:$AC$67,"Удельный расход электроэнергии"),0)</f>
        <v>0</v>
      </c>
      <c r="AH90" s="3808"/>
      <c r="AI90" s="3808"/>
      <c r="AJ90" s="3793">
        <f>_xlfn.IFERROR(_xlfn.SUMIFS(INDEX(Electricity_LOAD_1,,MATCH($K90&amp;"Принято органом регулирования",ЭЭ!$AE$8:$BB$8,0)),ЭЭ!$F$25:$F$67,$F90,ЭЭ!$AC$25:$AC$67,"Удельный расход электроэнергии"),0)</f>
        <v>0</v>
      </c>
      <c r="AK90" s="3793">
        <f>_xlfn.IFERROR(_xlfn.SUMIFS(INDEX(Electricity_LOAD_1,,MATCH($K90&amp;"Принято органом регулирования",ЭЭ!$AE$8:$BB$8,0)),ЭЭ!$F$25:$F$67,$F90,ЭЭ!$AC$25:$AC$67,"Удельный расход электроэнергии"),0)</f>
        <v>0</v>
      </c>
      <c r="AL90" s="374"/>
      <c r="AM90" s="1256" t="s">
        <v>2086</v>
      </c>
      <c r="AN90" s="1256"/>
      <c r="AO90" s="1041" cm="1" t="str">
        <f t="array" ref="AO90:AO90">K90</f>
        <v>2034</v>
      </c>
      <c r="AP90" s="1256"/>
      <c r="AQ90" s="1256"/>
    </row>
    <row s="3817" customFormat="1" customHeight="1" ht="14.25" hidden="1">
      <c r="A91" s="1256"/>
      <c r="B91" s="417">
        <f>K91&lt;first_year+PERIOD_LENGTH</f>
        <v>0</v>
      </c>
      <c r="C91" s="1256"/>
      <c r="D91" s="1256"/>
      <c r="E91" s="679">
        <v>15</v>
      </c>
      <c r="F91" s="50" cm="1" t="str">
        <f t="array" ref="F91:F91">OFFSET(E91,-1,1)</f>
        <v>1</v>
      </c>
      <c r="G91" s="1256"/>
      <c r="H91" s="1256"/>
      <c r="I91" s="1256"/>
      <c r="J91" s="1256"/>
      <c r="K91" s="124">
        <f>first_year+9</f>
        <v>2035</v>
      </c>
      <c r="L91" s="1256"/>
      <c r="M91" s="1256"/>
      <c r="N91" s="1256"/>
      <c r="O91" s="1256"/>
      <c r="P91" s="1256"/>
      <c r="Q91" s="1256"/>
      <c r="R91" s="1256"/>
      <c r="S91" s="1256"/>
      <c r="T91" s="438" cm="1" t="str">
        <f t="array" ref="T91:T91">T90</f>
        <v>true</v>
      </c>
      <c r="U91" s="1256"/>
      <c r="V91" s="1256"/>
      <c r="W91" s="1256"/>
      <c r="X91" s="1511"/>
      <c r="Y91" s="1256"/>
      <c r="Z91" s="1494"/>
      <c r="AA91" s="1256"/>
      <c r="AB91" s="809" t="str">
        <f>K91&amp;" год"</f>
        <v>2035 год</v>
      </c>
      <c r="AC91" s="3794"/>
      <c r="AD91" s="3793">
        <f>_xlfn.IFERROR(_xlfn.SUMIFS(INDEX(Сценарии!$AE$25:$BF$82,,MATCH($K91&amp;"Принято органом регулирования",Сценарии!$AE$8:$BF$8,0)),Сценарии!$F$25:$F$82,$F91,Сценарии!$AC$25:$AC$82,"Индекс эффективности операционных расходов"),0)</f>
        <v>0</v>
      </c>
      <c r="AE91" s="3794"/>
      <c r="AF91" s="3794">
        <f>_xlfn.IFERROR(_xlfn.SUMIFS(INDEX(Баланс!$AE$25:$BB$209,,MATCH($K91&amp;"Принято органом регулирования",Баланс!$AE$8:$BB$8,0)),Баланс!$F$25:$F$209,$F91,Баланс!$AC$24:$AC$209,"Уровень потерь воды"),0)</f>
        <v>0</v>
      </c>
      <c r="AG91" s="3795">
        <f>_xlfn.IFERROR(_xlfn.SUMIFS(INDEX(Electricity_LOAD_1,,MATCH($K91&amp;"Принято органом регулирования",ЭЭ!$AE$8:$BB$8,0)),ЭЭ!$F$25:$F$67,$F91,ЭЭ!$AC$25:$AC$67,"Удельный расход электроэнергии"),0)</f>
        <v>0</v>
      </c>
      <c r="AH91" s="3808"/>
      <c r="AI91" s="3808"/>
      <c r="AJ91" s="3793">
        <f>_xlfn.IFERROR(_xlfn.SUMIFS(INDEX(Electricity_LOAD_1,,MATCH($K91&amp;"Принято органом регулирования",ЭЭ!$AE$8:$BB$8,0)),ЭЭ!$F$25:$F$67,$F91,ЭЭ!$AC$25:$AC$67,"Удельный расход электроэнергии"),0)</f>
        <v>0</v>
      </c>
      <c r="AK91" s="3793">
        <f>_xlfn.IFERROR(_xlfn.SUMIFS(INDEX(Electricity_LOAD_1,,MATCH($K91&amp;"Принято органом регулирования",ЭЭ!$AE$8:$BB$8,0)),ЭЭ!$F$25:$F$67,$F91,ЭЭ!$AC$25:$AC$67,"Удельный расход электроэнергии"),0)</f>
        <v>0</v>
      </c>
      <c r="AL91" s="374"/>
      <c r="AM91" s="1256" t="s">
        <v>2086</v>
      </c>
      <c r="AN91" s="1256"/>
      <c r="AO91" s="1041" cm="1" t="str">
        <f t="array" ref="AO91:AO91">K91</f>
        <v>2035</v>
      </c>
      <c r="AP91" s="1256"/>
      <c r="AQ91" s="1256"/>
    </row>
    <row s="3818" customFormat="1" customHeight="1" ht="14.25" hidden="1">
      <c r="A92" s="1256"/>
      <c r="B92" s="417">
        <f>K92&lt;first_year+PERIOD_LENGTH</f>
        <v>0</v>
      </c>
      <c r="C92" s="1256"/>
      <c r="D92" s="1256"/>
      <c r="E92" s="679">
        <v>15</v>
      </c>
      <c r="F92" s="50" cm="1" t="str">
        <f t="array" ref="F92:F92">OFFSET(E92,-1,1)</f>
        <v>1</v>
      </c>
      <c r="G92" s="1256"/>
      <c r="H92" s="1256"/>
      <c r="I92" s="1256"/>
      <c r="J92" s="1256"/>
      <c r="K92" s="124">
        <f>first_year+10</f>
        <v>2036</v>
      </c>
      <c r="L92" s="1256"/>
      <c r="M92" s="1256"/>
      <c r="N92" s="1256"/>
      <c r="O92" s="1256"/>
      <c r="P92" s="1256"/>
      <c r="Q92" s="1256"/>
      <c r="R92" s="1256"/>
      <c r="S92" s="1256"/>
      <c r="T92" s="438" cm="1" t="str">
        <f t="array" ref="T92:T92">T91</f>
        <v>true</v>
      </c>
      <c r="U92" s="1256"/>
      <c r="V92" s="1256"/>
      <c r="W92" s="1256"/>
      <c r="X92" s="1511"/>
      <c r="Y92" s="1256"/>
      <c r="Z92" s="1494"/>
      <c r="AA92" s="1256"/>
      <c r="AB92" s="809" t="str">
        <f>K92&amp;" год"</f>
        <v>2036 год</v>
      </c>
      <c r="AC92" s="3794"/>
      <c r="AD92" s="3793"/>
      <c r="AE92" s="3794"/>
      <c r="AF92" s="3794"/>
      <c r="AG92" s="3793"/>
      <c r="AH92" s="3808"/>
      <c r="AI92" s="3808"/>
      <c r="AJ92" s="3793"/>
      <c r="AK92" s="3798"/>
      <c r="AL92" s="374"/>
      <c r="AM92" s="1256"/>
      <c r="AN92" s="1256"/>
      <c r="AO92" s="1041" cm="1" t="str">
        <f t="array" ref="AO92:AO92">K92</f>
        <v>2036</v>
      </c>
      <c r="AP92" s="1256"/>
      <c r="AQ92" s="1256"/>
    </row>
    <row s="3819" customFormat="1" customHeight="1" ht="14.25" hidden="1">
      <c r="A93" s="1256"/>
      <c r="B93" s="417">
        <f>K93&lt;first_year+PERIOD_LENGTH</f>
        <v>0</v>
      </c>
      <c r="C93" s="1256"/>
      <c r="D93" s="1256"/>
      <c r="E93" s="679">
        <v>15</v>
      </c>
      <c r="F93" s="50" cm="1" t="str">
        <f t="array" ref="F93:F93">OFFSET(E93,-1,1)</f>
        <v>1</v>
      </c>
      <c r="G93" s="1256"/>
      <c r="H93" s="1256"/>
      <c r="I93" s="1256"/>
      <c r="J93" s="1256"/>
      <c r="K93" s="124">
        <f>first_year+11</f>
        <v>2037</v>
      </c>
      <c r="L93" s="1256"/>
      <c r="M93" s="1256"/>
      <c r="N93" s="1256"/>
      <c r="O93" s="1256"/>
      <c r="P93" s="1256"/>
      <c r="Q93" s="1256"/>
      <c r="R93" s="1256"/>
      <c r="S93" s="1256"/>
      <c r="T93" s="438" cm="1" t="str">
        <f t="array" ref="T93:T93">T92</f>
        <v>true</v>
      </c>
      <c r="U93" s="1256"/>
      <c r="V93" s="1256"/>
      <c r="W93" s="1256"/>
      <c r="X93" s="1511"/>
      <c r="Y93" s="1256"/>
      <c r="Z93" s="1494"/>
      <c r="AA93" s="1256"/>
      <c r="AB93" s="221" t="str">
        <f>K93&amp;" год"</f>
        <v>2037 год</v>
      </c>
      <c r="AC93" s="3794"/>
      <c r="AD93" s="3800"/>
      <c r="AE93" s="3801"/>
      <c r="AF93" s="3801"/>
      <c r="AG93" s="3800"/>
      <c r="AH93" s="3820"/>
      <c r="AI93" s="3820"/>
      <c r="AJ93" s="3800"/>
      <c r="AK93" s="3802"/>
      <c r="AL93" s="374"/>
      <c r="AM93" s="1256"/>
      <c r="AN93" s="1256"/>
      <c r="AO93" s="1041" cm="1" t="str">
        <f t="array" ref="AO93:AO93">K93</f>
        <v>2037</v>
      </c>
      <c r="AP93" s="1256"/>
      <c r="AQ93" s="1256"/>
    </row>
    <row s="3821" customFormat="1" customHeight="1" ht="14.25" hidden="1">
      <c r="A94" s="1256"/>
      <c r="B94" s="417">
        <f>K94&lt;first_year+PERIOD_LENGTH</f>
        <v>0</v>
      </c>
      <c r="C94" s="1256"/>
      <c r="D94" s="1256"/>
      <c r="E94" s="679">
        <v>15</v>
      </c>
      <c r="F94" s="50" cm="1" t="str">
        <f t="array" ref="F94:F94">OFFSET(E94,-1,1)</f>
        <v>1</v>
      </c>
      <c r="G94" s="1256"/>
      <c r="H94" s="1256"/>
      <c r="I94" s="1256"/>
      <c r="J94" s="1256"/>
      <c r="K94" s="124">
        <f>first_year+12</f>
        <v>2038</v>
      </c>
      <c r="L94" s="1256"/>
      <c r="M94" s="1256"/>
      <c r="N94" s="1256"/>
      <c r="O94" s="1256"/>
      <c r="P94" s="1256"/>
      <c r="Q94" s="1256"/>
      <c r="R94" s="1256"/>
      <c r="S94" s="1256"/>
      <c r="T94" s="438" cm="1" t="str">
        <f t="array" ref="T94:T94">T93</f>
        <v>true</v>
      </c>
      <c r="U94" s="1256"/>
      <c r="V94" s="1256"/>
      <c r="W94" s="1256"/>
      <c r="X94" s="1511"/>
      <c r="Y94" s="1256"/>
      <c r="Z94" s="1494"/>
      <c r="AA94" s="1256"/>
      <c r="AB94" s="221" t="str">
        <f>K94&amp;" год"</f>
        <v>2038 год</v>
      </c>
      <c r="AC94" s="3794"/>
      <c r="AD94" s="3800"/>
      <c r="AE94" s="3801"/>
      <c r="AF94" s="3801"/>
      <c r="AG94" s="3800"/>
      <c r="AH94" s="3820"/>
      <c r="AI94" s="3820"/>
      <c r="AJ94" s="3800"/>
      <c r="AK94" s="3802"/>
      <c r="AL94" s="374"/>
      <c r="AM94" s="1256"/>
      <c r="AN94" s="1256"/>
      <c r="AO94" s="1041" cm="1" t="str">
        <f t="array" ref="AO94:AO94">K94</f>
        <v>2038</v>
      </c>
      <c r="AP94" s="1256"/>
      <c r="AQ94" s="1256"/>
    </row>
    <row s="3822" customFormat="1" customHeight="1" ht="14.25" hidden="1">
      <c r="A95" s="1256"/>
      <c r="B95" s="417">
        <f>K95&lt;first_year+PERIOD_LENGTH</f>
        <v>0</v>
      </c>
      <c r="C95" s="1256"/>
      <c r="D95" s="1256"/>
      <c r="E95" s="679">
        <v>15</v>
      </c>
      <c r="F95" s="50" cm="1" t="str">
        <f t="array" ref="F95:F95">OFFSET(E95,-1,1)</f>
        <v>1</v>
      </c>
      <c r="G95" s="1256"/>
      <c r="H95" s="1256"/>
      <c r="I95" s="1256"/>
      <c r="J95" s="1256"/>
      <c r="K95" s="124">
        <f>first_year+13</f>
        <v>2039</v>
      </c>
      <c r="L95" s="1256"/>
      <c r="M95" s="1256"/>
      <c r="N95" s="1256"/>
      <c r="O95" s="1256"/>
      <c r="P95" s="1256"/>
      <c r="Q95" s="1256"/>
      <c r="R95" s="1256"/>
      <c r="S95" s="1256"/>
      <c r="T95" s="438" cm="1" t="str">
        <f t="array" ref="T95:T95">T94</f>
        <v>true</v>
      </c>
      <c r="U95" s="1256"/>
      <c r="V95" s="1256"/>
      <c r="W95" s="1256"/>
      <c r="X95" s="1511"/>
      <c r="Y95" s="1256"/>
      <c r="Z95" s="1494"/>
      <c r="AA95" s="1256"/>
      <c r="AB95" s="221" t="str">
        <f>K95&amp;" год"</f>
        <v>2039 год</v>
      </c>
      <c r="AC95" s="3794"/>
      <c r="AD95" s="3800"/>
      <c r="AE95" s="3801"/>
      <c r="AF95" s="3801"/>
      <c r="AG95" s="3800"/>
      <c r="AH95" s="3820"/>
      <c r="AI95" s="3820"/>
      <c r="AJ95" s="3800"/>
      <c r="AK95" s="3802"/>
      <c r="AL95" s="374"/>
      <c r="AM95" s="1256"/>
      <c r="AN95" s="1256"/>
      <c r="AO95" s="1041" cm="1" t="str">
        <f t="array" ref="AO95:AO95">K95</f>
        <v>2039</v>
      </c>
      <c r="AP95" s="1256"/>
      <c r="AQ95" s="1256"/>
    </row>
    <row s="3823" customFormat="1" customHeight="1" ht="14.25" hidden="1">
      <c r="A96" s="1256"/>
      <c r="B96" s="417">
        <f>K96&lt;first_year+PERIOD_LENGTH</f>
        <v>0</v>
      </c>
      <c r="C96" s="1256"/>
      <c r="D96" s="1256"/>
      <c r="E96" s="679">
        <v>15</v>
      </c>
      <c r="F96" s="50" cm="1" t="str">
        <f t="array" ref="F96:F96">OFFSET(E96,-1,1)</f>
        <v>1</v>
      </c>
      <c r="G96" s="1256"/>
      <c r="H96" s="1256"/>
      <c r="I96" s="1256"/>
      <c r="J96" s="1256"/>
      <c r="K96" s="124">
        <f>first_year+14</f>
        <v>2040</v>
      </c>
      <c r="L96" s="1256"/>
      <c r="M96" s="1256"/>
      <c r="N96" s="1256"/>
      <c r="O96" s="1256"/>
      <c r="P96" s="1256"/>
      <c r="Q96" s="1256"/>
      <c r="R96" s="1256"/>
      <c r="S96" s="1256"/>
      <c r="T96" s="438" cm="1" t="str">
        <f t="array" ref="T96:T96">T95</f>
        <v>true</v>
      </c>
      <c r="U96" s="1256"/>
      <c r="V96" s="1256"/>
      <c r="W96" s="1256"/>
      <c r="X96" s="1511"/>
      <c r="Y96" s="1256"/>
      <c r="Z96" s="1494"/>
      <c r="AA96" s="1256"/>
      <c r="AB96" s="221" t="str">
        <f>K96&amp;" год"</f>
        <v>2040 год</v>
      </c>
      <c r="AC96" s="3794"/>
      <c r="AD96" s="3800"/>
      <c r="AE96" s="3801"/>
      <c r="AF96" s="3801"/>
      <c r="AG96" s="3800"/>
      <c r="AH96" s="3820"/>
      <c r="AI96" s="3820"/>
      <c r="AJ96" s="3800"/>
      <c r="AK96" s="3802"/>
      <c r="AL96" s="374"/>
      <c r="AM96" s="1256"/>
      <c r="AN96" s="1256"/>
      <c r="AO96" s="1041" cm="1" t="str">
        <f t="array" ref="AO96:AO96">K96</f>
        <v>2040</v>
      </c>
      <c r="AP96" s="1256"/>
      <c r="AQ96" s="1256"/>
    </row>
    <row s="3824" customFormat="1" customHeight="1" ht="14.25" hidden="1">
      <c r="A97" s="1256"/>
      <c r="B97" s="417">
        <f>K97&lt;first_year+PERIOD_LENGTH</f>
        <v>0</v>
      </c>
      <c r="C97" s="1256"/>
      <c r="D97" s="1256"/>
      <c r="E97" s="679">
        <v>15</v>
      </c>
      <c r="F97" s="50" cm="1" t="str">
        <f t="array" ref="F97:F97">OFFSET(E97,-1,1)</f>
        <v>1</v>
      </c>
      <c r="G97" s="1256"/>
      <c r="H97" s="1256"/>
      <c r="I97" s="1256"/>
      <c r="J97" s="1256"/>
      <c r="K97" s="124">
        <f>first_year+15</f>
        <v>2041</v>
      </c>
      <c r="L97" s="1256"/>
      <c r="M97" s="1256"/>
      <c r="N97" s="1256"/>
      <c r="O97" s="1256"/>
      <c r="P97" s="1256"/>
      <c r="Q97" s="1256"/>
      <c r="R97" s="1256"/>
      <c r="S97" s="1256"/>
      <c r="T97" s="438" cm="1" t="str">
        <f t="array" ref="T97:T97">T96</f>
        <v>true</v>
      </c>
      <c r="U97" s="1256"/>
      <c r="V97" s="1256"/>
      <c r="W97" s="1256"/>
      <c r="X97" s="1511"/>
      <c r="Y97" s="1256"/>
      <c r="Z97" s="1494"/>
      <c r="AA97" s="1256"/>
      <c r="AB97" s="221" t="str">
        <f>K97&amp;" год"</f>
        <v>2041 год</v>
      </c>
      <c r="AC97" s="3794"/>
      <c r="AD97" s="3800"/>
      <c r="AE97" s="3801"/>
      <c r="AF97" s="3801"/>
      <c r="AG97" s="3800"/>
      <c r="AH97" s="3820"/>
      <c r="AI97" s="3820"/>
      <c r="AJ97" s="3800"/>
      <c r="AK97" s="3802"/>
      <c r="AL97" s="374"/>
      <c r="AM97" s="1256"/>
      <c r="AN97" s="1256"/>
      <c r="AO97" s="1041" cm="1" t="str">
        <f t="array" ref="AO97:AO97">K97</f>
        <v>2041</v>
      </c>
      <c r="AP97" s="1256"/>
      <c r="AQ97" s="1256"/>
    </row>
    <row s="3825" customFormat="1" customHeight="1" ht="14.25" hidden="1">
      <c r="A98" s="1256"/>
      <c r="B98" s="417">
        <f>K98&lt;first_year+PERIOD_LENGTH</f>
        <v>0</v>
      </c>
      <c r="C98" s="1256"/>
      <c r="D98" s="1256"/>
      <c r="E98" s="679">
        <v>15</v>
      </c>
      <c r="F98" s="50" cm="1" t="str">
        <f t="array" ref="F98:F98">OFFSET(E98,-1,1)</f>
        <v>1</v>
      </c>
      <c r="G98" s="1256"/>
      <c r="H98" s="1256"/>
      <c r="I98" s="1256"/>
      <c r="J98" s="1256"/>
      <c r="K98" s="124">
        <f>first_year+16</f>
        <v>2042</v>
      </c>
      <c r="L98" s="1256"/>
      <c r="M98" s="1256"/>
      <c r="N98" s="1256"/>
      <c r="O98" s="1256"/>
      <c r="P98" s="1256"/>
      <c r="Q98" s="1256"/>
      <c r="R98" s="1256"/>
      <c r="S98" s="1256"/>
      <c r="T98" s="438" cm="1" t="str">
        <f t="array" ref="T98:T98">T97</f>
        <v>true</v>
      </c>
      <c r="U98" s="1256"/>
      <c r="V98" s="1256"/>
      <c r="W98" s="1256"/>
      <c r="X98" s="1511"/>
      <c r="Y98" s="1256"/>
      <c r="Z98" s="1494"/>
      <c r="AA98" s="1256"/>
      <c r="AB98" s="221" t="str">
        <f>K98&amp;" год"</f>
        <v>2042 год</v>
      </c>
      <c r="AC98" s="3794"/>
      <c r="AD98" s="3800"/>
      <c r="AE98" s="3801"/>
      <c r="AF98" s="3801"/>
      <c r="AG98" s="3800"/>
      <c r="AH98" s="3820"/>
      <c r="AI98" s="3820"/>
      <c r="AJ98" s="3800"/>
      <c r="AK98" s="3802"/>
      <c r="AL98" s="374"/>
      <c r="AM98" s="1256"/>
      <c r="AN98" s="1256"/>
      <c r="AO98" s="1041" cm="1" t="str">
        <f t="array" ref="AO98:AO98">K98</f>
        <v>2042</v>
      </c>
      <c r="AP98" s="1256"/>
      <c r="AQ98" s="1256"/>
    </row>
    <row s="3826" customFormat="1" customHeight="1" ht="14.25" hidden="1">
      <c r="A99" s="1256"/>
      <c r="B99" s="417">
        <f>K99&lt;first_year+PERIOD_LENGTH</f>
        <v>0</v>
      </c>
      <c r="C99" s="1256"/>
      <c r="D99" s="1256"/>
      <c r="E99" s="679">
        <v>15</v>
      </c>
      <c r="F99" s="50" cm="1" t="str">
        <f t="array" ref="F99:F99">OFFSET(E99,-1,1)</f>
        <v>1</v>
      </c>
      <c r="G99" s="1256"/>
      <c r="H99" s="1256"/>
      <c r="I99" s="1256"/>
      <c r="J99" s="1256"/>
      <c r="K99" s="124">
        <f>first_year+17</f>
        <v>2043</v>
      </c>
      <c r="L99" s="1256"/>
      <c r="M99" s="1256"/>
      <c r="N99" s="1256"/>
      <c r="O99" s="1256"/>
      <c r="P99" s="1256"/>
      <c r="Q99" s="1256"/>
      <c r="R99" s="1256"/>
      <c r="S99" s="1256"/>
      <c r="T99" s="438" cm="1" t="str">
        <f t="array" ref="T99:T99">T98</f>
        <v>true</v>
      </c>
      <c r="U99" s="1256"/>
      <c r="V99" s="1256"/>
      <c r="W99" s="1256"/>
      <c r="X99" s="1511"/>
      <c r="Y99" s="1256"/>
      <c r="Z99" s="1494"/>
      <c r="AA99" s="1256"/>
      <c r="AB99" s="221" t="str">
        <f>K99&amp;" год"</f>
        <v>2043 год</v>
      </c>
      <c r="AC99" s="3794"/>
      <c r="AD99" s="3800"/>
      <c r="AE99" s="3801"/>
      <c r="AF99" s="3801"/>
      <c r="AG99" s="3800"/>
      <c r="AH99" s="3820"/>
      <c r="AI99" s="3820"/>
      <c r="AJ99" s="3800"/>
      <c r="AK99" s="3802"/>
      <c r="AL99" s="374"/>
      <c r="AM99" s="1256"/>
      <c r="AN99" s="1256"/>
      <c r="AO99" s="1041" cm="1" t="str">
        <f t="array" ref="AO99:AO99">K99</f>
        <v>2043</v>
      </c>
      <c r="AP99" s="1256"/>
      <c r="AQ99" s="1256"/>
    </row>
    <row s="3827" customFormat="1" customHeight="1" ht="14.25" hidden="1">
      <c r="A100" s="1256"/>
      <c r="B100" s="417">
        <f>K100&lt;first_year+PERIOD_LENGTH</f>
        <v>0</v>
      </c>
      <c r="C100" s="1256"/>
      <c r="D100" s="1256"/>
      <c r="E100" s="679">
        <v>15</v>
      </c>
      <c r="F100" s="50" cm="1" t="str">
        <f t="array" ref="F100:F100">OFFSET(E100,-1,1)</f>
        <v>1</v>
      </c>
      <c r="G100" s="1256"/>
      <c r="H100" s="1256"/>
      <c r="I100" s="1256"/>
      <c r="J100" s="1256"/>
      <c r="K100" s="124">
        <f>first_year+18</f>
        <v>2044</v>
      </c>
      <c r="L100" s="1256"/>
      <c r="M100" s="1256"/>
      <c r="N100" s="1256"/>
      <c r="O100" s="1256"/>
      <c r="P100" s="1256"/>
      <c r="Q100" s="1256"/>
      <c r="R100" s="1256"/>
      <c r="S100" s="1256"/>
      <c r="T100" s="438" cm="1" t="str">
        <f t="array" ref="T100:T100">T99</f>
        <v>true</v>
      </c>
      <c r="U100" s="1256"/>
      <c r="V100" s="1256"/>
      <c r="W100" s="1256"/>
      <c r="X100" s="1511"/>
      <c r="Y100" s="1256"/>
      <c r="Z100" s="1494"/>
      <c r="AA100" s="1256"/>
      <c r="AB100" s="221" t="str">
        <f>K100&amp;" год"</f>
        <v>2044 год</v>
      </c>
      <c r="AC100" s="3794"/>
      <c r="AD100" s="3800"/>
      <c r="AE100" s="3801"/>
      <c r="AF100" s="3801"/>
      <c r="AG100" s="3800"/>
      <c r="AH100" s="3820"/>
      <c r="AI100" s="3820"/>
      <c r="AJ100" s="3800"/>
      <c r="AK100" s="3802"/>
      <c r="AL100" s="374"/>
      <c r="AM100" s="1256"/>
      <c r="AN100" s="1256"/>
      <c r="AO100" s="1041" cm="1" t="str">
        <f t="array" ref="AO100:AO100">K100</f>
        <v>2044</v>
      </c>
      <c r="AP100" s="1256"/>
      <c r="AQ100" s="1256"/>
    </row>
    <row s="3828" customFormat="1" customHeight="1" ht="14.25" hidden="1">
      <c r="A101" s="1256"/>
      <c r="B101" s="417">
        <f>K101&lt;first_year+PERIOD_LENGTH</f>
        <v>0</v>
      </c>
      <c r="C101" s="1256"/>
      <c r="D101" s="1256"/>
      <c r="E101" s="679">
        <v>15</v>
      </c>
      <c r="F101" s="50" cm="1" t="str">
        <f t="array" ref="F101:F101">OFFSET(E101,-1,1)</f>
        <v>1</v>
      </c>
      <c r="G101" s="1256"/>
      <c r="H101" s="1256"/>
      <c r="I101" s="1256"/>
      <c r="J101" s="1256"/>
      <c r="K101" s="124">
        <f>first_year+19</f>
        <v>2045</v>
      </c>
      <c r="L101" s="1256"/>
      <c r="M101" s="1256"/>
      <c r="N101" s="1256"/>
      <c r="O101" s="1256"/>
      <c r="P101" s="1256"/>
      <c r="Q101" s="1256"/>
      <c r="R101" s="1256"/>
      <c r="S101" s="1256"/>
      <c r="T101" s="438" cm="1" t="str">
        <f t="array" ref="T101:T101">T100</f>
        <v>true</v>
      </c>
      <c r="U101" s="1256"/>
      <c r="V101" s="1256"/>
      <c r="W101" s="1256"/>
      <c r="X101" s="1511"/>
      <c r="Y101" s="1256"/>
      <c r="Z101" s="1494"/>
      <c r="AA101" s="1256"/>
      <c r="AB101" s="221" t="str">
        <f>K101&amp;" год"</f>
        <v>2045 год</v>
      </c>
      <c r="AC101" s="3794"/>
      <c r="AD101" s="3800"/>
      <c r="AE101" s="3801"/>
      <c r="AF101" s="3801"/>
      <c r="AG101" s="3800"/>
      <c r="AH101" s="3820"/>
      <c r="AI101" s="3820"/>
      <c r="AJ101" s="3800"/>
      <c r="AK101" s="3802"/>
      <c r="AL101" s="374"/>
      <c r="AM101" s="1256"/>
      <c r="AN101" s="1256"/>
      <c r="AO101" s="1041" cm="1" t="str">
        <f t="array" ref="AO101:AO101">K101</f>
        <v>2045</v>
      </c>
      <c r="AP101" s="1256"/>
      <c r="AQ101" s="1256"/>
    </row>
    <row s="3829" customFormat="1" customHeight="1" ht="14.25" hidden="1">
      <c r="A102" s="1256"/>
      <c r="B102" s="417">
        <f>K102&lt;first_year+PERIOD_LENGTH</f>
        <v>0</v>
      </c>
      <c r="C102" s="1256"/>
      <c r="D102" s="1256"/>
      <c r="E102" s="679">
        <v>15</v>
      </c>
      <c r="F102" s="50" cm="1" t="str">
        <f t="array" ref="F102:F102">OFFSET(E102,-1,1)</f>
        <v>1</v>
      </c>
      <c r="G102" s="1256"/>
      <c r="H102" s="1256"/>
      <c r="I102" s="1256"/>
      <c r="J102" s="1256"/>
      <c r="K102" s="124">
        <f>first_year+20</f>
        <v>2046</v>
      </c>
      <c r="L102" s="1256"/>
      <c r="M102" s="1256"/>
      <c r="N102" s="1256"/>
      <c r="O102" s="1256"/>
      <c r="P102" s="1256"/>
      <c r="Q102" s="1256"/>
      <c r="R102" s="1256"/>
      <c r="S102" s="1256"/>
      <c r="T102" s="438" cm="1" t="str">
        <f t="array" ref="T102:T102">T101</f>
        <v>true</v>
      </c>
      <c r="U102" s="1256"/>
      <c r="V102" s="1256"/>
      <c r="W102" s="1256"/>
      <c r="X102" s="1511"/>
      <c r="Y102" s="1256"/>
      <c r="Z102" s="1494"/>
      <c r="AA102" s="1256"/>
      <c r="AB102" s="221" t="str">
        <f>K102&amp;" год"</f>
        <v>2046 год</v>
      </c>
      <c r="AC102" s="3794"/>
      <c r="AD102" s="3800"/>
      <c r="AE102" s="3801"/>
      <c r="AF102" s="3801"/>
      <c r="AG102" s="3800"/>
      <c r="AH102" s="3820"/>
      <c r="AI102" s="3820"/>
      <c r="AJ102" s="3800"/>
      <c r="AK102" s="3802"/>
      <c r="AL102" s="374"/>
      <c r="AM102" s="1256"/>
      <c r="AN102" s="1256"/>
      <c r="AO102" s="1041" cm="1" t="str">
        <f t="array" ref="AO102:AO102">K102</f>
        <v>2046</v>
      </c>
      <c r="AP102" s="1256"/>
      <c r="AQ102" s="1256"/>
    </row>
    <row s="3830" customFormat="1" customHeight="1" ht="14.25" hidden="1">
      <c r="A103" s="1256"/>
      <c r="B103" s="417">
        <f>K103&lt;first_year+PERIOD_LENGTH</f>
        <v>0</v>
      </c>
      <c r="C103" s="1256"/>
      <c r="D103" s="1256"/>
      <c r="E103" s="679">
        <v>15</v>
      </c>
      <c r="F103" s="50" cm="1" t="str">
        <f t="array" ref="F103:F103">OFFSET(E103,-1,1)</f>
        <v>1</v>
      </c>
      <c r="G103" s="1256"/>
      <c r="H103" s="1256"/>
      <c r="I103" s="1256"/>
      <c r="J103" s="1256"/>
      <c r="K103" s="124">
        <f>first_year+21</f>
        <v>2047</v>
      </c>
      <c r="L103" s="1256"/>
      <c r="M103" s="1256"/>
      <c r="N103" s="1256"/>
      <c r="O103" s="1256"/>
      <c r="P103" s="1256"/>
      <c r="Q103" s="1256"/>
      <c r="R103" s="1256"/>
      <c r="S103" s="1256"/>
      <c r="T103" s="438" cm="1" t="str">
        <f t="array" ref="T103:T103">T102</f>
        <v>true</v>
      </c>
      <c r="U103" s="1256"/>
      <c r="V103" s="1256"/>
      <c r="W103" s="1256"/>
      <c r="X103" s="1511"/>
      <c r="Y103" s="1256"/>
      <c r="Z103" s="1494"/>
      <c r="AA103" s="1256"/>
      <c r="AB103" s="221" t="str">
        <f>K103&amp;" год"</f>
        <v>2047 год</v>
      </c>
      <c r="AC103" s="3794"/>
      <c r="AD103" s="3800"/>
      <c r="AE103" s="3801"/>
      <c r="AF103" s="3801"/>
      <c r="AG103" s="3800"/>
      <c r="AH103" s="3820"/>
      <c r="AI103" s="3820"/>
      <c r="AJ103" s="3800"/>
      <c r="AK103" s="3802"/>
      <c r="AL103" s="374"/>
      <c r="AM103" s="1256"/>
      <c r="AN103" s="1256"/>
      <c r="AO103" s="1041" cm="1" t="str">
        <f t="array" ref="AO103:AO103">K103</f>
        <v>2047</v>
      </c>
      <c r="AP103" s="1256"/>
      <c r="AQ103" s="1256"/>
    </row>
    <row s="3831" customFormat="1" customHeight="1" ht="14.25" hidden="1">
      <c r="A104" s="1256"/>
      <c r="B104" s="417">
        <f>K104&lt;first_year+PERIOD_LENGTH</f>
        <v>0</v>
      </c>
      <c r="C104" s="1256"/>
      <c r="D104" s="1256"/>
      <c r="E104" s="679">
        <v>15</v>
      </c>
      <c r="F104" s="50" cm="1" t="str">
        <f t="array" ref="F104:F104">OFFSET(E104,-1,1)</f>
        <v>1</v>
      </c>
      <c r="G104" s="1256"/>
      <c r="H104" s="1256"/>
      <c r="I104" s="1256"/>
      <c r="J104" s="1256"/>
      <c r="K104" s="124">
        <f>first_year+22</f>
        <v>2048</v>
      </c>
      <c r="L104" s="1256"/>
      <c r="M104" s="1256"/>
      <c r="N104" s="1256"/>
      <c r="O104" s="1256"/>
      <c r="P104" s="1256"/>
      <c r="Q104" s="1256"/>
      <c r="R104" s="1256"/>
      <c r="S104" s="1256"/>
      <c r="T104" s="438" cm="1" t="str">
        <f t="array" ref="T104:T104">T103</f>
        <v>true</v>
      </c>
      <c r="U104" s="1256"/>
      <c r="V104" s="1256"/>
      <c r="W104" s="1256"/>
      <c r="X104" s="1511"/>
      <c r="Y104" s="1256"/>
      <c r="Z104" s="1494"/>
      <c r="AA104" s="1256"/>
      <c r="AB104" s="221" t="str">
        <f>K104&amp;" год"</f>
        <v>2048 год</v>
      </c>
      <c r="AC104" s="3794"/>
      <c r="AD104" s="3800"/>
      <c r="AE104" s="3801"/>
      <c r="AF104" s="3801"/>
      <c r="AG104" s="3800"/>
      <c r="AH104" s="3820"/>
      <c r="AI104" s="3820"/>
      <c r="AJ104" s="3800"/>
      <c r="AK104" s="3802"/>
      <c r="AL104" s="374"/>
      <c r="AM104" s="1256"/>
      <c r="AN104" s="1256"/>
      <c r="AO104" s="1041" cm="1" t="str">
        <f t="array" ref="AO104:AO104">K104</f>
        <v>2048</v>
      </c>
      <c r="AP104" s="1256"/>
      <c r="AQ104" s="1256"/>
    </row>
    <row s="3832" customFormat="1" customHeight="1" ht="14.25" hidden="1">
      <c r="A105" s="1256"/>
      <c r="B105" s="417">
        <f>K105&lt;first_year+PERIOD_LENGTH</f>
        <v>0</v>
      </c>
      <c r="C105" s="1256"/>
      <c r="D105" s="1256"/>
      <c r="E105" s="679">
        <v>15</v>
      </c>
      <c r="F105" s="50" cm="1" t="str">
        <f t="array" ref="F105:F105">OFFSET(E105,-1,1)</f>
        <v>1</v>
      </c>
      <c r="G105" s="1256"/>
      <c r="H105" s="1256"/>
      <c r="I105" s="1256"/>
      <c r="J105" s="1256"/>
      <c r="K105" s="124">
        <f>first_year+23</f>
        <v>2049</v>
      </c>
      <c r="L105" s="1256"/>
      <c r="M105" s="1256"/>
      <c r="N105" s="1256"/>
      <c r="O105" s="1256"/>
      <c r="P105" s="1256"/>
      <c r="Q105" s="1256"/>
      <c r="R105" s="1256"/>
      <c r="S105" s="1256"/>
      <c r="T105" s="438" cm="1" t="str">
        <f t="array" ref="T105:T105">T104</f>
        <v>true</v>
      </c>
      <c r="U105" s="1256"/>
      <c r="V105" s="1256"/>
      <c r="W105" s="1256"/>
      <c r="X105" s="1511"/>
      <c r="Y105" s="1256"/>
      <c r="Z105" s="1494"/>
      <c r="AA105" s="1256"/>
      <c r="AB105" s="221" t="str">
        <f>K105&amp;" год"</f>
        <v>2049 год</v>
      </c>
      <c r="AC105" s="3794"/>
      <c r="AD105" s="3800"/>
      <c r="AE105" s="3801"/>
      <c r="AF105" s="3801"/>
      <c r="AG105" s="3800"/>
      <c r="AH105" s="3820"/>
      <c r="AI105" s="3820"/>
      <c r="AJ105" s="3800"/>
      <c r="AK105" s="3802"/>
      <c r="AL105" s="374"/>
      <c r="AM105" s="1256"/>
      <c r="AN105" s="1256"/>
      <c r="AO105" s="1041" cm="1" t="str">
        <f t="array" ref="AO105:AO105">K105</f>
        <v>2049</v>
      </c>
      <c r="AP105" s="1256"/>
      <c r="AQ105" s="1256"/>
    </row>
    <row s="3833" customFormat="1" customHeight="1" ht="14.25" hidden="1">
      <c r="A106" s="1256"/>
      <c r="B106" s="417">
        <f>K106&lt;first_year+PERIOD_LENGTH</f>
        <v>0</v>
      </c>
      <c r="C106" s="1256"/>
      <c r="D106" s="1256"/>
      <c r="E106" s="679">
        <v>15</v>
      </c>
      <c r="F106" s="50" cm="1" t="str">
        <f t="array" ref="F106:F106">OFFSET(E106,-1,1)</f>
        <v>1</v>
      </c>
      <c r="G106" s="1256"/>
      <c r="H106" s="1256"/>
      <c r="I106" s="1256"/>
      <c r="J106" s="1256"/>
      <c r="K106" s="124">
        <f>first_year+24</f>
        <v>2050</v>
      </c>
      <c r="L106" s="1256"/>
      <c r="M106" s="1256"/>
      <c r="N106" s="1256"/>
      <c r="O106" s="1256"/>
      <c r="P106" s="1256"/>
      <c r="Q106" s="1256"/>
      <c r="R106" s="1256"/>
      <c r="S106" s="1256"/>
      <c r="T106" s="438" cm="1" t="str">
        <f t="array" ref="T106:T106">T105</f>
        <v>true</v>
      </c>
      <c r="U106" s="1256"/>
      <c r="V106" s="1256"/>
      <c r="W106" s="1256"/>
      <c r="X106" s="1511"/>
      <c r="Y106" s="1256"/>
      <c r="Z106" s="1494"/>
      <c r="AA106" s="1256"/>
      <c r="AB106" s="221" t="str">
        <f>K106&amp;" год"</f>
        <v>2050 год</v>
      </c>
      <c r="AC106" s="3794"/>
      <c r="AD106" s="3800"/>
      <c r="AE106" s="3801"/>
      <c r="AF106" s="3801"/>
      <c r="AG106" s="3800"/>
      <c r="AH106" s="3820"/>
      <c r="AI106" s="3820"/>
      <c r="AJ106" s="3800"/>
      <c r="AK106" s="3802"/>
      <c r="AL106" s="374"/>
      <c r="AM106" s="1256"/>
      <c r="AN106" s="1256"/>
      <c r="AO106" s="1041" cm="1" t="str">
        <f t="array" ref="AO106:AO106">K106</f>
        <v>2050</v>
      </c>
      <c r="AP106" s="1256"/>
      <c r="AQ106" s="1256"/>
    </row>
    <row s="3834" customFormat="1" customHeight="1" ht="14.25" hidden="1">
      <c r="A107" s="1256"/>
      <c r="B107" s="417">
        <f>K107&lt;first_year+PERIOD_LENGTH</f>
        <v>0</v>
      </c>
      <c r="C107" s="1256"/>
      <c r="D107" s="1256"/>
      <c r="E107" s="679">
        <v>15</v>
      </c>
      <c r="F107" s="50" cm="1" t="str">
        <f t="array" ref="F107:F107">OFFSET(E107,-1,1)</f>
        <v>1</v>
      </c>
      <c r="G107" s="1256"/>
      <c r="H107" s="1256"/>
      <c r="I107" s="1256"/>
      <c r="J107" s="1256"/>
      <c r="K107" s="124">
        <f>first_year+25</f>
        <v>2051</v>
      </c>
      <c r="L107" s="1256"/>
      <c r="M107" s="1256"/>
      <c r="N107" s="1256"/>
      <c r="O107" s="1256"/>
      <c r="P107" s="1256"/>
      <c r="Q107" s="1256"/>
      <c r="R107" s="1256"/>
      <c r="S107" s="1256"/>
      <c r="T107" s="438" cm="1" t="str">
        <f t="array" ref="T107:T107">T106</f>
        <v>true</v>
      </c>
      <c r="U107" s="1256"/>
      <c r="V107" s="1256"/>
      <c r="W107" s="1256"/>
      <c r="X107" s="1511"/>
      <c r="Y107" s="1256"/>
      <c r="Z107" s="1494"/>
      <c r="AA107" s="1256"/>
      <c r="AB107" s="221" t="str">
        <f>K107&amp;" год"</f>
        <v>2051 год</v>
      </c>
      <c r="AC107" s="3794"/>
      <c r="AD107" s="3800"/>
      <c r="AE107" s="3801"/>
      <c r="AF107" s="3801"/>
      <c r="AG107" s="3800"/>
      <c r="AH107" s="3820"/>
      <c r="AI107" s="3820"/>
      <c r="AJ107" s="3800"/>
      <c r="AK107" s="3802"/>
      <c r="AL107" s="374"/>
      <c r="AM107" s="1256"/>
      <c r="AN107" s="1256"/>
      <c r="AO107" s="1041" cm="1" t="str">
        <f t="array" ref="AO107:AO107">K107</f>
        <v>2051</v>
      </c>
      <c r="AP107" s="1256"/>
      <c r="AQ107" s="1256"/>
    </row>
    <row s="3835" customFormat="1" customHeight="1" ht="14.25" hidden="1">
      <c r="A108" s="1256"/>
      <c r="B108" s="417">
        <f>K108&lt;first_year+PERIOD_LENGTH</f>
        <v>0</v>
      </c>
      <c r="C108" s="1256"/>
      <c r="D108" s="1256"/>
      <c r="E108" s="679">
        <v>15</v>
      </c>
      <c r="F108" s="50" cm="1" t="str">
        <f t="array" ref="F108:F108">OFFSET(E108,-1,1)</f>
        <v>1</v>
      </c>
      <c r="G108" s="1256"/>
      <c r="H108" s="1256"/>
      <c r="I108" s="1256"/>
      <c r="J108" s="1256"/>
      <c r="K108" s="124">
        <f>first_year+26</f>
        <v>2052</v>
      </c>
      <c r="L108" s="1256"/>
      <c r="M108" s="1256"/>
      <c r="N108" s="1256"/>
      <c r="O108" s="1256"/>
      <c r="P108" s="1256"/>
      <c r="Q108" s="1256"/>
      <c r="R108" s="1256"/>
      <c r="S108" s="1256"/>
      <c r="T108" s="438" cm="1" t="str">
        <f t="array" ref="T108:T108">T107</f>
        <v>true</v>
      </c>
      <c r="U108" s="1256"/>
      <c r="V108" s="1256"/>
      <c r="W108" s="1256"/>
      <c r="X108" s="1511"/>
      <c r="Y108" s="1256"/>
      <c r="Z108" s="1494"/>
      <c r="AA108" s="1256"/>
      <c r="AB108" s="221" t="str">
        <f>K108&amp;" год"</f>
        <v>2052 год</v>
      </c>
      <c r="AC108" s="3794"/>
      <c r="AD108" s="3800"/>
      <c r="AE108" s="3801"/>
      <c r="AF108" s="3801"/>
      <c r="AG108" s="3800"/>
      <c r="AH108" s="3820"/>
      <c r="AI108" s="3820"/>
      <c r="AJ108" s="3800"/>
      <c r="AK108" s="3802"/>
      <c r="AL108" s="374"/>
      <c r="AM108" s="1256"/>
      <c r="AN108" s="1256"/>
      <c r="AO108" s="1041" cm="1" t="str">
        <f t="array" ref="AO108:AO108">K108</f>
        <v>2052</v>
      </c>
      <c r="AP108" s="1256"/>
      <c r="AQ108" s="1256"/>
    </row>
    <row s="3836" customFormat="1" customHeight="1" ht="14.25" hidden="1">
      <c r="A109" s="1256"/>
      <c r="B109" s="417">
        <f>K109&lt;first_year+PERIOD_LENGTH</f>
        <v>0</v>
      </c>
      <c r="C109" s="1256"/>
      <c r="D109" s="1256"/>
      <c r="E109" s="679">
        <v>15</v>
      </c>
      <c r="F109" s="50" cm="1" t="str">
        <f t="array" ref="F109:F109">OFFSET(E109,-1,1)</f>
        <v>1</v>
      </c>
      <c r="G109" s="1256"/>
      <c r="H109" s="1256"/>
      <c r="I109" s="1256"/>
      <c r="J109" s="1256"/>
      <c r="K109" s="124">
        <f>first_year+27</f>
        <v>2053</v>
      </c>
      <c r="L109" s="1256"/>
      <c r="M109" s="1256"/>
      <c r="N109" s="1256"/>
      <c r="O109" s="1256"/>
      <c r="P109" s="1256"/>
      <c r="Q109" s="1256"/>
      <c r="R109" s="1256"/>
      <c r="S109" s="1256"/>
      <c r="T109" s="438" cm="1" t="str">
        <f t="array" ref="T109:T109">T108</f>
        <v>true</v>
      </c>
      <c r="U109" s="1256"/>
      <c r="V109" s="1256"/>
      <c r="W109" s="1256"/>
      <c r="X109" s="1511"/>
      <c r="Y109" s="1256"/>
      <c r="Z109" s="1494"/>
      <c r="AA109" s="1256"/>
      <c r="AB109" s="221" t="str">
        <f>K109&amp;" год"</f>
        <v>2053 год</v>
      </c>
      <c r="AC109" s="3794"/>
      <c r="AD109" s="3800"/>
      <c r="AE109" s="3801"/>
      <c r="AF109" s="3801"/>
      <c r="AG109" s="3800"/>
      <c r="AH109" s="3820"/>
      <c r="AI109" s="3820"/>
      <c r="AJ109" s="3800"/>
      <c r="AK109" s="3802"/>
      <c r="AL109" s="374"/>
      <c r="AM109" s="1256"/>
      <c r="AN109" s="1256"/>
      <c r="AO109" s="1041" cm="1" t="str">
        <f t="array" ref="AO109:AO109">K109</f>
        <v>2053</v>
      </c>
      <c r="AP109" s="1256"/>
      <c r="AQ109" s="1256"/>
    </row>
    <row s="3837" customFormat="1" customHeight="1" ht="14.25" hidden="1">
      <c r="A110" s="1256"/>
      <c r="B110" s="417">
        <f>K110&lt;first_year+PERIOD_LENGTH</f>
        <v>0</v>
      </c>
      <c r="C110" s="1256"/>
      <c r="D110" s="1256"/>
      <c r="E110" s="679">
        <v>15</v>
      </c>
      <c r="F110" s="50" cm="1" t="str">
        <f t="array" ref="F110:F110">OFFSET(E110,-1,1)</f>
        <v>1</v>
      </c>
      <c r="G110" s="1256"/>
      <c r="H110" s="1256"/>
      <c r="I110" s="1256"/>
      <c r="J110" s="1256"/>
      <c r="K110" s="124">
        <f>first_year+28</f>
        <v>2054</v>
      </c>
      <c r="L110" s="1256"/>
      <c r="M110" s="1256"/>
      <c r="N110" s="1256"/>
      <c r="O110" s="1256"/>
      <c r="P110" s="1256"/>
      <c r="Q110" s="1256"/>
      <c r="R110" s="1256"/>
      <c r="S110" s="1256"/>
      <c r="T110" s="438" cm="1" t="str">
        <f t="array" ref="T110:T110">T109</f>
        <v>true</v>
      </c>
      <c r="U110" s="1256"/>
      <c r="V110" s="1256"/>
      <c r="W110" s="1256"/>
      <c r="X110" s="1511"/>
      <c r="Y110" s="1256"/>
      <c r="Z110" s="1494"/>
      <c r="AA110" s="1256"/>
      <c r="AB110" s="221" t="str">
        <f>K110&amp;" год"</f>
        <v>2054 год</v>
      </c>
      <c r="AC110" s="3794"/>
      <c r="AD110" s="3800"/>
      <c r="AE110" s="3801"/>
      <c r="AF110" s="3801"/>
      <c r="AG110" s="3800"/>
      <c r="AH110" s="3820"/>
      <c r="AI110" s="3820"/>
      <c r="AJ110" s="3800"/>
      <c r="AK110" s="3802"/>
      <c r="AL110" s="374"/>
      <c r="AM110" s="1256"/>
      <c r="AN110" s="1256"/>
      <c r="AO110" s="1041" cm="1" t="str">
        <f t="array" ref="AO110:AO110">K110</f>
        <v>2054</v>
      </c>
      <c r="AP110" s="1256"/>
      <c r="AQ110" s="1256"/>
    </row>
    <row s="3838" customFormat="1" customHeight="1" ht="14.25" hidden="1">
      <c r="A111" s="1256"/>
      <c r="B111" s="417">
        <f>K111&lt;first_year+PERIOD_LENGTH</f>
        <v>0</v>
      </c>
      <c r="C111" s="1256"/>
      <c r="D111" s="1256"/>
      <c r="E111" s="679">
        <v>15</v>
      </c>
      <c r="F111" s="50" cm="1" t="str">
        <f t="array" ref="F111:F111">OFFSET(E111,-1,1)</f>
        <v>1</v>
      </c>
      <c r="G111" s="1256"/>
      <c r="H111" s="1256"/>
      <c r="I111" s="1256"/>
      <c r="J111" s="1256"/>
      <c r="K111" s="124">
        <f>first_year+29</f>
        <v>2055</v>
      </c>
      <c r="L111" s="1256"/>
      <c r="M111" s="1256"/>
      <c r="N111" s="1256"/>
      <c r="O111" s="1256"/>
      <c r="P111" s="1256"/>
      <c r="Q111" s="1256"/>
      <c r="R111" s="1256"/>
      <c r="S111" s="1256"/>
      <c r="T111" s="438" cm="1" t="str">
        <f t="array" ref="T111:T111">T110</f>
        <v>true</v>
      </c>
      <c r="U111" s="1256"/>
      <c r="V111" s="1256"/>
      <c r="W111" s="1256"/>
      <c r="X111" s="1511"/>
      <c r="Y111" s="1256"/>
      <c r="Z111" s="1494"/>
      <c r="AA111" s="1256"/>
      <c r="AB111" s="221" t="str">
        <f>K111&amp;" год"</f>
        <v>2055 год</v>
      </c>
      <c r="AC111" s="3794"/>
      <c r="AD111" s="3800"/>
      <c r="AE111" s="3801"/>
      <c r="AF111" s="3801"/>
      <c r="AG111" s="3800"/>
      <c r="AH111" s="3820"/>
      <c r="AI111" s="3820"/>
      <c r="AJ111" s="3800"/>
      <c r="AK111" s="3802"/>
      <c r="AL111" s="374"/>
      <c r="AM111" s="1256"/>
      <c r="AN111" s="1256"/>
      <c r="AO111" s="1041" cm="1" t="str">
        <f t="array" ref="AO111:AO111">K111</f>
        <v>2055</v>
      </c>
      <c r="AP111" s="1256"/>
      <c r="AQ111" s="1256"/>
    </row>
    <row s="3839" customFormat="1" customHeight="1" ht="14.25" hidden="1">
      <c r="A112" s="1256"/>
      <c r="B112" s="417">
        <f>K112&lt;first_year+PERIOD_LENGTH</f>
        <v>0</v>
      </c>
      <c r="C112" s="1256"/>
      <c r="D112" s="1256"/>
      <c r="E112" s="679">
        <v>15</v>
      </c>
      <c r="F112" s="50" cm="1" t="str">
        <f t="array" ref="F112:F112">OFFSET(E112,-1,1)</f>
        <v>1</v>
      </c>
      <c r="G112" s="1256"/>
      <c r="H112" s="1256"/>
      <c r="I112" s="1256"/>
      <c r="J112" s="1256"/>
      <c r="K112" s="124">
        <f>first_year+30</f>
        <v>2056</v>
      </c>
      <c r="L112" s="1256"/>
      <c r="M112" s="1256"/>
      <c r="N112" s="1256"/>
      <c r="O112" s="1256"/>
      <c r="P112" s="1256"/>
      <c r="Q112" s="1256"/>
      <c r="R112" s="1256"/>
      <c r="S112" s="1256"/>
      <c r="T112" s="438" cm="1" t="str">
        <f t="array" ref="T112:T112">T111</f>
        <v>true</v>
      </c>
      <c r="U112" s="1256"/>
      <c r="V112" s="1256"/>
      <c r="W112" s="1256"/>
      <c r="X112" s="1511"/>
      <c r="Y112" s="1256"/>
      <c r="Z112" s="1494"/>
      <c r="AA112" s="1256"/>
      <c r="AB112" s="221" t="str">
        <f>K112&amp;" год"</f>
        <v>2056 год</v>
      </c>
      <c r="AC112" s="3794"/>
      <c r="AD112" s="3800"/>
      <c r="AE112" s="3801"/>
      <c r="AF112" s="3801"/>
      <c r="AG112" s="3800"/>
      <c r="AH112" s="3820"/>
      <c r="AI112" s="3820"/>
      <c r="AJ112" s="3800"/>
      <c r="AK112" s="3802"/>
      <c r="AL112" s="374"/>
      <c r="AM112" s="1256"/>
      <c r="AN112" s="1256"/>
      <c r="AO112" s="1041" cm="1" t="str">
        <f t="array" ref="AO112:AO112">K112</f>
        <v>2056</v>
      </c>
      <c r="AP112" s="1256"/>
      <c r="AQ112" s="1256"/>
    </row>
    <row s="3840" customFormat="1" customHeight="1" ht="14.25" hidden="1">
      <c r="A113" s="1256"/>
      <c r="B113" s="417">
        <f>K113&lt;first_year+PERIOD_LENGTH</f>
        <v>0</v>
      </c>
      <c r="C113" s="1256"/>
      <c r="D113" s="1256"/>
      <c r="E113" s="679">
        <v>15</v>
      </c>
      <c r="F113" s="50" cm="1" t="str">
        <f t="array" ref="F113:F113">OFFSET(E113,-1,1)</f>
        <v>1</v>
      </c>
      <c r="G113" s="1256"/>
      <c r="H113" s="1256"/>
      <c r="I113" s="1256"/>
      <c r="J113" s="1256"/>
      <c r="K113" s="124">
        <f>first_year+31</f>
        <v>2057</v>
      </c>
      <c r="L113" s="1256"/>
      <c r="M113" s="1256"/>
      <c r="N113" s="1256"/>
      <c r="O113" s="1256"/>
      <c r="P113" s="1256"/>
      <c r="Q113" s="1256"/>
      <c r="R113" s="1256"/>
      <c r="S113" s="1256"/>
      <c r="T113" s="438" cm="1" t="str">
        <f t="array" ref="T113:T113">T112</f>
        <v>true</v>
      </c>
      <c r="U113" s="1256"/>
      <c r="V113" s="1256"/>
      <c r="W113" s="1256"/>
      <c r="X113" s="1511"/>
      <c r="Y113" s="1256"/>
      <c r="Z113" s="1494"/>
      <c r="AA113" s="1256"/>
      <c r="AB113" s="221" t="str">
        <f>K113&amp;" год"</f>
        <v>2057 год</v>
      </c>
      <c r="AC113" s="3794"/>
      <c r="AD113" s="3800"/>
      <c r="AE113" s="3801"/>
      <c r="AF113" s="3801"/>
      <c r="AG113" s="3800"/>
      <c r="AH113" s="3820"/>
      <c r="AI113" s="3820"/>
      <c r="AJ113" s="3800"/>
      <c r="AK113" s="3802"/>
      <c r="AL113" s="374"/>
      <c r="AM113" s="1256"/>
      <c r="AN113" s="1256"/>
      <c r="AO113" s="1041" cm="1" t="str">
        <f t="array" ref="AO113:AO113">K113</f>
        <v>2057</v>
      </c>
      <c r="AP113" s="1256"/>
      <c r="AQ113" s="1256"/>
    </row>
    <row s="3841" customFormat="1" customHeight="1" ht="14.25" hidden="1">
      <c r="A114" s="1256"/>
      <c r="B114" s="417">
        <f>K114&lt;first_year+PERIOD_LENGTH</f>
        <v>0</v>
      </c>
      <c r="C114" s="1256"/>
      <c r="D114" s="1256"/>
      <c r="E114" s="679">
        <v>15</v>
      </c>
      <c r="F114" s="50" cm="1" t="str">
        <f t="array" ref="F114:F114">OFFSET(E114,-1,1)</f>
        <v>1</v>
      </c>
      <c r="G114" s="1256"/>
      <c r="H114" s="1256"/>
      <c r="I114" s="1256"/>
      <c r="J114" s="1256"/>
      <c r="K114" s="124">
        <f>first_year+32</f>
        <v>2058</v>
      </c>
      <c r="L114" s="1256"/>
      <c r="M114" s="1256"/>
      <c r="N114" s="1256"/>
      <c r="O114" s="1256"/>
      <c r="P114" s="1256"/>
      <c r="Q114" s="1256"/>
      <c r="R114" s="1256"/>
      <c r="S114" s="1256"/>
      <c r="T114" s="438" cm="1" t="str">
        <f t="array" ref="T114:T114">T113</f>
        <v>true</v>
      </c>
      <c r="U114" s="1256"/>
      <c r="V114" s="1256"/>
      <c r="W114" s="1256"/>
      <c r="X114" s="1511"/>
      <c r="Y114" s="1256"/>
      <c r="Z114" s="1494"/>
      <c r="AA114" s="1256"/>
      <c r="AB114" s="221" t="str">
        <f>K114&amp;" год"</f>
        <v>2058 год</v>
      </c>
      <c r="AC114" s="3794"/>
      <c r="AD114" s="3800"/>
      <c r="AE114" s="3801"/>
      <c r="AF114" s="3801"/>
      <c r="AG114" s="3800"/>
      <c r="AH114" s="3820"/>
      <c r="AI114" s="3820"/>
      <c r="AJ114" s="3800"/>
      <c r="AK114" s="3802"/>
      <c r="AL114" s="374"/>
      <c r="AM114" s="1256"/>
      <c r="AN114" s="1256"/>
      <c r="AO114" s="1041" cm="1" t="str">
        <f t="array" ref="AO114:AO114">K114</f>
        <v>2058</v>
      </c>
      <c r="AP114" s="1256"/>
      <c r="AQ114" s="1256"/>
    </row>
    <row s="3842" customFormat="1" customHeight="1" ht="14.25" hidden="1">
      <c r="A115" s="1256"/>
      <c r="B115" s="417">
        <f>K115&lt;first_year+PERIOD_LENGTH</f>
        <v>0</v>
      </c>
      <c r="C115" s="1256"/>
      <c r="D115" s="1256"/>
      <c r="E115" s="679">
        <v>15</v>
      </c>
      <c r="F115" s="50" cm="1" t="str">
        <f t="array" ref="F115:F115">OFFSET(E115,-1,1)</f>
        <v>1</v>
      </c>
      <c r="G115" s="1256"/>
      <c r="H115" s="1256"/>
      <c r="I115" s="1256"/>
      <c r="J115" s="1256"/>
      <c r="K115" s="124">
        <f>first_year+33</f>
        <v>2059</v>
      </c>
      <c r="L115" s="1256"/>
      <c r="M115" s="1256"/>
      <c r="N115" s="1256"/>
      <c r="O115" s="1256"/>
      <c r="P115" s="1256"/>
      <c r="Q115" s="1256"/>
      <c r="R115" s="1256"/>
      <c r="S115" s="1256"/>
      <c r="T115" s="438" cm="1" t="str">
        <f t="array" ref="T115:T115">T114</f>
        <v>true</v>
      </c>
      <c r="U115" s="1256"/>
      <c r="V115" s="1256"/>
      <c r="W115" s="1256"/>
      <c r="X115" s="1511"/>
      <c r="Y115" s="1256"/>
      <c r="Z115" s="1494"/>
      <c r="AA115" s="1256"/>
      <c r="AB115" s="221" t="str">
        <f>K115&amp;" год"</f>
        <v>2059 год</v>
      </c>
      <c r="AC115" s="3794"/>
      <c r="AD115" s="3800"/>
      <c r="AE115" s="3801"/>
      <c r="AF115" s="3801"/>
      <c r="AG115" s="3800"/>
      <c r="AH115" s="3820"/>
      <c r="AI115" s="3820"/>
      <c r="AJ115" s="3800"/>
      <c r="AK115" s="3802"/>
      <c r="AL115" s="374"/>
      <c r="AM115" s="1256"/>
      <c r="AN115" s="1256"/>
      <c r="AO115" s="1041" cm="1" t="str">
        <f t="array" ref="AO115:AO115">K115</f>
        <v>2059</v>
      </c>
      <c r="AP115" s="1256"/>
      <c r="AQ115" s="1256"/>
    </row>
    <row s="3843" customFormat="1" customHeight="1" ht="14.25" hidden="1">
      <c r="A116" s="1256"/>
      <c r="B116" s="417">
        <f>K116&lt;first_year+PERIOD_LENGTH</f>
        <v>0</v>
      </c>
      <c r="C116" s="1256"/>
      <c r="D116" s="1256"/>
      <c r="E116" s="679">
        <v>15</v>
      </c>
      <c r="F116" s="50" cm="1" t="str">
        <f t="array" ref="F116:F116">OFFSET(E116,-1,1)</f>
        <v>1</v>
      </c>
      <c r="G116" s="1256"/>
      <c r="H116" s="1256"/>
      <c r="I116" s="1256"/>
      <c r="J116" s="1256"/>
      <c r="K116" s="124">
        <f>first_year+34</f>
        <v>2060</v>
      </c>
      <c r="L116" s="1256"/>
      <c r="M116" s="1256"/>
      <c r="N116" s="1256"/>
      <c r="O116" s="1256"/>
      <c r="P116" s="1256"/>
      <c r="Q116" s="1256"/>
      <c r="R116" s="1256"/>
      <c r="S116" s="1256"/>
      <c r="T116" s="438" cm="1" t="str">
        <f t="array" ref="T116:T116">T115</f>
        <v>true</v>
      </c>
      <c r="U116" s="1256"/>
      <c r="V116" s="1256"/>
      <c r="W116" s="1256"/>
      <c r="X116" s="1511"/>
      <c r="Y116" s="1256"/>
      <c r="Z116" s="1494"/>
      <c r="AA116" s="1256"/>
      <c r="AB116" s="221" t="str">
        <f>K116&amp;" год"</f>
        <v>2060 год</v>
      </c>
      <c r="AC116" s="3794"/>
      <c r="AD116" s="3800"/>
      <c r="AE116" s="3801"/>
      <c r="AF116" s="3801"/>
      <c r="AG116" s="3800"/>
      <c r="AH116" s="3820"/>
      <c r="AI116" s="3820"/>
      <c r="AJ116" s="3800"/>
      <c r="AK116" s="3802"/>
      <c r="AL116" s="374"/>
      <c r="AM116" s="1256"/>
      <c r="AN116" s="1256"/>
      <c r="AO116" s="1041" cm="1" t="str">
        <f t="array" ref="AO116:AO116">K116</f>
        <v>2060</v>
      </c>
      <c r="AP116" s="1256"/>
      <c r="AQ116" s="1256"/>
    </row>
    <row s="3844" customFormat="1" customHeight="1" ht="14.25" hidden="1">
      <c r="A117" s="1256"/>
      <c r="B117" s="417">
        <f>K117&lt;first_year+PERIOD_LENGTH</f>
        <v>0</v>
      </c>
      <c r="C117" s="1256"/>
      <c r="D117" s="1256"/>
      <c r="E117" s="679">
        <v>15</v>
      </c>
      <c r="F117" s="50" cm="1" t="str">
        <f t="array" ref="F117:F117">OFFSET(E117,-1,1)</f>
        <v>1</v>
      </c>
      <c r="G117" s="1256"/>
      <c r="H117" s="1256"/>
      <c r="I117" s="1256"/>
      <c r="J117" s="1256"/>
      <c r="K117" s="124">
        <f>first_year+35</f>
        <v>2061</v>
      </c>
      <c r="L117" s="1256"/>
      <c r="M117" s="1256"/>
      <c r="N117" s="1256"/>
      <c r="O117" s="1256"/>
      <c r="P117" s="1256"/>
      <c r="Q117" s="1256"/>
      <c r="R117" s="1256"/>
      <c r="S117" s="1256"/>
      <c r="T117" s="438" cm="1" t="str">
        <f t="array" ref="T117:T117">T116</f>
        <v>true</v>
      </c>
      <c r="U117" s="1256"/>
      <c r="V117" s="1256"/>
      <c r="W117" s="1256"/>
      <c r="X117" s="1511"/>
      <c r="Y117" s="1256"/>
      <c r="Z117" s="1494"/>
      <c r="AA117" s="1256"/>
      <c r="AB117" s="221" t="str">
        <f>K117&amp;" год"</f>
        <v>2061 год</v>
      </c>
      <c r="AC117" s="3794"/>
      <c r="AD117" s="3800"/>
      <c r="AE117" s="3801"/>
      <c r="AF117" s="3801"/>
      <c r="AG117" s="3800"/>
      <c r="AH117" s="3820"/>
      <c r="AI117" s="3820"/>
      <c r="AJ117" s="3800"/>
      <c r="AK117" s="3802"/>
      <c r="AL117" s="374"/>
      <c r="AM117" s="1256"/>
      <c r="AN117" s="1256"/>
      <c r="AO117" s="1041" cm="1" t="str">
        <f t="array" ref="AO117:AO117">K117</f>
        <v>2061</v>
      </c>
      <c r="AP117" s="1256"/>
      <c r="AQ117" s="1256"/>
    </row>
    <row s="3845" customFormat="1" customHeight="1" ht="14.25" hidden="1">
      <c r="A118" s="1256"/>
      <c r="B118" s="417">
        <f>K118&lt;first_year+PERIOD_LENGTH</f>
        <v>0</v>
      </c>
      <c r="C118" s="1256"/>
      <c r="D118" s="1256"/>
      <c r="E118" s="679">
        <v>15</v>
      </c>
      <c r="F118" s="50" cm="1" t="str">
        <f t="array" ref="F118:F118">OFFSET(E118,-1,1)</f>
        <v>1</v>
      </c>
      <c r="G118" s="1256"/>
      <c r="H118" s="1256"/>
      <c r="I118" s="1256"/>
      <c r="J118" s="1256"/>
      <c r="K118" s="124">
        <f>first_year+36</f>
        <v>2062</v>
      </c>
      <c r="L118" s="1256"/>
      <c r="M118" s="1256"/>
      <c r="N118" s="1256"/>
      <c r="O118" s="1256"/>
      <c r="P118" s="1256"/>
      <c r="Q118" s="1256"/>
      <c r="R118" s="1256"/>
      <c r="S118" s="1256"/>
      <c r="T118" s="438" cm="1" t="str">
        <f t="array" ref="T118:T118">T117</f>
        <v>true</v>
      </c>
      <c r="U118" s="1256"/>
      <c r="V118" s="1256"/>
      <c r="W118" s="1256"/>
      <c r="X118" s="1511"/>
      <c r="Y118" s="1256"/>
      <c r="Z118" s="1494"/>
      <c r="AA118" s="1256"/>
      <c r="AB118" s="221" t="str">
        <f>K118&amp;" год"</f>
        <v>2062 год</v>
      </c>
      <c r="AC118" s="3794"/>
      <c r="AD118" s="3800"/>
      <c r="AE118" s="3801"/>
      <c r="AF118" s="3801"/>
      <c r="AG118" s="3800"/>
      <c r="AH118" s="3820"/>
      <c r="AI118" s="3820"/>
      <c r="AJ118" s="3800"/>
      <c r="AK118" s="3802"/>
      <c r="AL118" s="374"/>
      <c r="AM118" s="1256"/>
      <c r="AN118" s="1256"/>
      <c r="AO118" s="1041" cm="1" t="str">
        <f t="array" ref="AO118:AO118">K118</f>
        <v>2062</v>
      </c>
      <c r="AP118" s="1256"/>
      <c r="AQ118" s="1256"/>
    </row>
    <row s="3846" customFormat="1" customHeight="1" ht="14.25" hidden="1">
      <c r="A119" s="1256"/>
      <c r="B119" s="417">
        <f>K119&lt;first_year+PERIOD_LENGTH</f>
        <v>0</v>
      </c>
      <c r="C119" s="1256"/>
      <c r="D119" s="1256"/>
      <c r="E119" s="679">
        <v>15</v>
      </c>
      <c r="F119" s="50" cm="1" t="str">
        <f t="array" ref="F119:F119">OFFSET(E119,-1,1)</f>
        <v>1</v>
      </c>
      <c r="G119" s="1256"/>
      <c r="H119" s="1256"/>
      <c r="I119" s="1256"/>
      <c r="J119" s="1256"/>
      <c r="K119" s="124">
        <f>first_year+37</f>
        <v>2063</v>
      </c>
      <c r="L119" s="1256"/>
      <c r="M119" s="1256"/>
      <c r="N119" s="1256"/>
      <c r="O119" s="1256"/>
      <c r="P119" s="1256"/>
      <c r="Q119" s="1256"/>
      <c r="R119" s="1256"/>
      <c r="S119" s="1256"/>
      <c r="T119" s="438" cm="1" t="str">
        <f t="array" ref="T119:T119">T118</f>
        <v>true</v>
      </c>
      <c r="U119" s="1256"/>
      <c r="V119" s="1256"/>
      <c r="W119" s="1256"/>
      <c r="X119" s="1511"/>
      <c r="Y119" s="1256"/>
      <c r="Z119" s="1494"/>
      <c r="AA119" s="1256"/>
      <c r="AB119" s="221" t="str">
        <f>K119&amp;" год"</f>
        <v>2063 год</v>
      </c>
      <c r="AC119" s="3794"/>
      <c r="AD119" s="3800"/>
      <c r="AE119" s="3801"/>
      <c r="AF119" s="3801"/>
      <c r="AG119" s="3800"/>
      <c r="AH119" s="3820"/>
      <c r="AI119" s="3820"/>
      <c r="AJ119" s="3800"/>
      <c r="AK119" s="3802"/>
      <c r="AL119" s="374"/>
      <c r="AM119" s="1256"/>
      <c r="AN119" s="1256"/>
      <c r="AO119" s="1041" cm="1" t="str">
        <f t="array" ref="AO119:AO119">K119</f>
        <v>2063</v>
      </c>
      <c r="AP119" s="1256"/>
      <c r="AQ119" s="1256"/>
    </row>
    <row s="3847" customFormat="1" customHeight="1" ht="14.25" hidden="1">
      <c r="A120" s="1256"/>
      <c r="B120" s="417">
        <f>K120&lt;first_year+PERIOD_LENGTH</f>
        <v>0</v>
      </c>
      <c r="C120" s="1256"/>
      <c r="D120" s="1256"/>
      <c r="E120" s="679">
        <v>15</v>
      </c>
      <c r="F120" s="50" cm="1" t="str">
        <f t="array" ref="F120:F120">OFFSET(E120,-1,1)</f>
        <v>1</v>
      </c>
      <c r="G120" s="1256"/>
      <c r="H120" s="1256"/>
      <c r="I120" s="1256"/>
      <c r="J120" s="1256"/>
      <c r="K120" s="124">
        <f>first_year+38</f>
        <v>2064</v>
      </c>
      <c r="L120" s="1256"/>
      <c r="M120" s="1256"/>
      <c r="N120" s="1256"/>
      <c r="O120" s="1256"/>
      <c r="P120" s="1256"/>
      <c r="Q120" s="1256"/>
      <c r="R120" s="1256"/>
      <c r="S120" s="1256"/>
      <c r="T120" s="438" cm="1" t="str">
        <f t="array" ref="T120:T120">T119</f>
        <v>true</v>
      </c>
      <c r="U120" s="1256"/>
      <c r="V120" s="1256"/>
      <c r="W120" s="1256"/>
      <c r="X120" s="1511"/>
      <c r="Y120" s="1256"/>
      <c r="Z120" s="1494"/>
      <c r="AA120" s="1256"/>
      <c r="AB120" s="221" t="str">
        <f>K120&amp;" год"</f>
        <v>2064 год</v>
      </c>
      <c r="AC120" s="3794"/>
      <c r="AD120" s="3800"/>
      <c r="AE120" s="3801"/>
      <c r="AF120" s="3801"/>
      <c r="AG120" s="3800"/>
      <c r="AH120" s="3820"/>
      <c r="AI120" s="3820"/>
      <c r="AJ120" s="3800"/>
      <c r="AK120" s="3802"/>
      <c r="AL120" s="374"/>
      <c r="AM120" s="1256"/>
      <c r="AN120" s="1256"/>
      <c r="AO120" s="1041" cm="1" t="str">
        <f t="array" ref="AO120:AO120">K120</f>
        <v>2064</v>
      </c>
      <c r="AP120" s="1256"/>
      <c r="AQ120" s="1256"/>
    </row>
    <row s="3848" customFormat="1" customHeight="1" ht="14.25" hidden="1">
      <c r="A121" s="1256"/>
      <c r="B121" s="417">
        <f>K121&lt;first_year+PERIOD_LENGTH</f>
        <v>0</v>
      </c>
      <c r="C121" s="1256"/>
      <c r="D121" s="1256"/>
      <c r="E121" s="679">
        <v>15</v>
      </c>
      <c r="F121" s="50" cm="1" t="str">
        <f t="array" ref="F121:F121">OFFSET(E121,-1,1)</f>
        <v>1</v>
      </c>
      <c r="G121" s="1256"/>
      <c r="H121" s="1256"/>
      <c r="I121" s="1256"/>
      <c r="J121" s="1256"/>
      <c r="K121" s="124">
        <f>first_year+39</f>
        <v>2065</v>
      </c>
      <c r="L121" s="1256"/>
      <c r="M121" s="1256"/>
      <c r="N121" s="1256"/>
      <c r="O121" s="1256"/>
      <c r="P121" s="1256"/>
      <c r="Q121" s="1256"/>
      <c r="R121" s="1256"/>
      <c r="S121" s="1256"/>
      <c r="T121" s="438" cm="1" t="str">
        <f t="array" ref="T121:T121">T120</f>
        <v>true</v>
      </c>
      <c r="U121" s="1256"/>
      <c r="V121" s="1256"/>
      <c r="W121" s="1256"/>
      <c r="X121" s="1511"/>
      <c r="Y121" s="1256"/>
      <c r="Z121" s="1494"/>
      <c r="AA121" s="1256"/>
      <c r="AB121" s="221" t="str">
        <f>K121&amp;" год"</f>
        <v>2065 год</v>
      </c>
      <c r="AC121" s="3794"/>
      <c r="AD121" s="3800"/>
      <c r="AE121" s="3801"/>
      <c r="AF121" s="3801"/>
      <c r="AG121" s="3800"/>
      <c r="AH121" s="3820"/>
      <c r="AI121" s="3820"/>
      <c r="AJ121" s="3800"/>
      <c r="AK121" s="3802"/>
      <c r="AL121" s="374"/>
      <c r="AM121" s="1256"/>
      <c r="AN121" s="1256"/>
      <c r="AO121" s="1041" cm="1" t="str">
        <f t="array" ref="AO121:AO121">K121</f>
        <v>2065</v>
      </c>
      <c r="AP121" s="1256"/>
      <c r="AQ121" s="1256"/>
    </row>
    <row s="3849" customFormat="1" customHeight="1" ht="14.25" hidden="1">
      <c r="A122" s="1256"/>
      <c r="B122" s="417">
        <f>K122&lt;first_year+PERIOD_LENGTH</f>
        <v>0</v>
      </c>
      <c r="C122" s="1256"/>
      <c r="D122" s="1256"/>
      <c r="E122" s="679">
        <v>15</v>
      </c>
      <c r="F122" s="50" cm="1" t="str">
        <f t="array" ref="F122:F122">OFFSET(E122,-1,1)</f>
        <v>1</v>
      </c>
      <c r="G122" s="1256"/>
      <c r="H122" s="1256"/>
      <c r="I122" s="1256"/>
      <c r="J122" s="1256"/>
      <c r="K122" s="124">
        <f>first_year+40</f>
        <v>2066</v>
      </c>
      <c r="L122" s="1256"/>
      <c r="M122" s="1256"/>
      <c r="N122" s="1256"/>
      <c r="O122" s="1256"/>
      <c r="P122" s="1256"/>
      <c r="Q122" s="1256"/>
      <c r="R122" s="1256"/>
      <c r="S122" s="1256"/>
      <c r="T122" s="438" cm="1" t="str">
        <f t="array" ref="T122:T122">T121</f>
        <v>true</v>
      </c>
      <c r="U122" s="1256"/>
      <c r="V122" s="1256"/>
      <c r="W122" s="1256"/>
      <c r="X122" s="1511"/>
      <c r="Y122" s="1256"/>
      <c r="Z122" s="1494"/>
      <c r="AA122" s="1256"/>
      <c r="AB122" s="221" t="str">
        <f>K122&amp;" год"</f>
        <v>2066 год</v>
      </c>
      <c r="AC122" s="3794"/>
      <c r="AD122" s="3800"/>
      <c r="AE122" s="3801"/>
      <c r="AF122" s="3801"/>
      <c r="AG122" s="3800"/>
      <c r="AH122" s="3820"/>
      <c r="AI122" s="3820"/>
      <c r="AJ122" s="3800"/>
      <c r="AK122" s="3802"/>
      <c r="AL122" s="374"/>
      <c r="AM122" s="1256"/>
      <c r="AN122" s="1256"/>
      <c r="AO122" s="1041" cm="1" t="str">
        <f t="array" ref="AO122:AO122">K122</f>
        <v>2066</v>
      </c>
      <c r="AP122" s="1256"/>
      <c r="AQ122" s="1256"/>
    </row>
    <row s="3850" customFormat="1" customHeight="1" ht="14.25" hidden="1">
      <c r="A123" s="1256"/>
      <c r="B123" s="417">
        <f>K123&lt;first_year+PERIOD_LENGTH</f>
        <v>0</v>
      </c>
      <c r="C123" s="1256"/>
      <c r="D123" s="1256"/>
      <c r="E123" s="679">
        <v>15</v>
      </c>
      <c r="F123" s="50" cm="1" t="str">
        <f t="array" ref="F123:F123">OFFSET(E123,-1,1)</f>
        <v>1</v>
      </c>
      <c r="G123" s="1256"/>
      <c r="H123" s="1256"/>
      <c r="I123" s="1256"/>
      <c r="J123" s="1256"/>
      <c r="K123" s="124">
        <f>first_year+41</f>
        <v>2067</v>
      </c>
      <c r="L123" s="1256"/>
      <c r="M123" s="1256"/>
      <c r="N123" s="1256"/>
      <c r="O123" s="1256"/>
      <c r="P123" s="1256"/>
      <c r="Q123" s="1256"/>
      <c r="R123" s="1256"/>
      <c r="S123" s="1256"/>
      <c r="T123" s="438" cm="1" t="str">
        <f t="array" ref="T123:T123">T122</f>
        <v>true</v>
      </c>
      <c r="U123" s="1256"/>
      <c r="V123" s="1256"/>
      <c r="W123" s="1256"/>
      <c r="X123" s="1511"/>
      <c r="Y123" s="1256"/>
      <c r="Z123" s="1494"/>
      <c r="AA123" s="1256"/>
      <c r="AB123" s="221" t="str">
        <f>K123&amp;" год"</f>
        <v>2067 год</v>
      </c>
      <c r="AC123" s="3794"/>
      <c r="AD123" s="3800"/>
      <c r="AE123" s="3801"/>
      <c r="AF123" s="3801"/>
      <c r="AG123" s="3800"/>
      <c r="AH123" s="3820"/>
      <c r="AI123" s="3820"/>
      <c r="AJ123" s="3800"/>
      <c r="AK123" s="3802"/>
      <c r="AL123" s="374"/>
      <c r="AM123" s="1256"/>
      <c r="AN123" s="1256"/>
      <c r="AO123" s="1041" cm="1" t="str">
        <f t="array" ref="AO123:AO123">K123</f>
        <v>2067</v>
      </c>
      <c r="AP123" s="1256"/>
      <c r="AQ123" s="1256"/>
    </row>
    <row s="3851" customFormat="1" customHeight="1" ht="14.25" hidden="1">
      <c r="A124" s="1256"/>
      <c r="B124" s="417">
        <f>K124&lt;first_year+PERIOD_LENGTH</f>
        <v>0</v>
      </c>
      <c r="C124" s="1256"/>
      <c r="D124" s="1256"/>
      <c r="E124" s="679">
        <v>15</v>
      </c>
      <c r="F124" s="50" cm="1" t="str">
        <f t="array" ref="F124:F124">OFFSET(E124,-1,1)</f>
        <v>1</v>
      </c>
      <c r="G124" s="1256"/>
      <c r="H124" s="1256"/>
      <c r="I124" s="1256"/>
      <c r="J124" s="1256"/>
      <c r="K124" s="124">
        <f>first_year+42</f>
        <v>2068</v>
      </c>
      <c r="L124" s="1256"/>
      <c r="M124" s="1256"/>
      <c r="N124" s="1256"/>
      <c r="O124" s="1256"/>
      <c r="P124" s="1256"/>
      <c r="Q124" s="1256"/>
      <c r="R124" s="1256"/>
      <c r="S124" s="1256"/>
      <c r="T124" s="438" cm="1" t="str">
        <f t="array" ref="T124:T124">T123</f>
        <v>true</v>
      </c>
      <c r="U124" s="1256"/>
      <c r="V124" s="1256"/>
      <c r="W124" s="1256"/>
      <c r="X124" s="1511"/>
      <c r="Y124" s="1256"/>
      <c r="Z124" s="1494"/>
      <c r="AA124" s="1256"/>
      <c r="AB124" s="221" t="str">
        <f>K124&amp;" год"</f>
        <v>2068 год</v>
      </c>
      <c r="AC124" s="3794"/>
      <c r="AD124" s="3800"/>
      <c r="AE124" s="3801"/>
      <c r="AF124" s="3801"/>
      <c r="AG124" s="3800"/>
      <c r="AH124" s="3820"/>
      <c r="AI124" s="3820"/>
      <c r="AJ124" s="3800"/>
      <c r="AK124" s="3802"/>
      <c r="AL124" s="374"/>
      <c r="AM124" s="1256"/>
      <c r="AN124" s="1256"/>
      <c r="AO124" s="1041" cm="1" t="str">
        <f t="array" ref="AO124:AO124">K124</f>
        <v>2068</v>
      </c>
      <c r="AP124" s="1256"/>
      <c r="AQ124" s="1256"/>
    </row>
    <row s="3852" customFormat="1" customHeight="1" ht="14.25" hidden="1">
      <c r="A125" s="1256"/>
      <c r="B125" s="417">
        <f>K125&lt;first_year+PERIOD_LENGTH</f>
        <v>0</v>
      </c>
      <c r="C125" s="1256"/>
      <c r="D125" s="1256"/>
      <c r="E125" s="679">
        <v>15</v>
      </c>
      <c r="F125" s="50" cm="1" t="str">
        <f t="array" ref="F125:F125">OFFSET(E125,-1,1)</f>
        <v>1</v>
      </c>
      <c r="G125" s="1256"/>
      <c r="H125" s="1256"/>
      <c r="I125" s="1256"/>
      <c r="J125" s="1256"/>
      <c r="K125" s="124">
        <f>first_year+43</f>
        <v>2069</v>
      </c>
      <c r="L125" s="1256"/>
      <c r="M125" s="1256"/>
      <c r="N125" s="1256"/>
      <c r="O125" s="1256"/>
      <c r="P125" s="1256"/>
      <c r="Q125" s="1256"/>
      <c r="R125" s="1256"/>
      <c r="S125" s="1256"/>
      <c r="T125" s="438" cm="1" t="str">
        <f t="array" ref="T125:T125">T124</f>
        <v>true</v>
      </c>
      <c r="U125" s="1256"/>
      <c r="V125" s="1256"/>
      <c r="W125" s="1256"/>
      <c r="X125" s="1511"/>
      <c r="Y125" s="1256"/>
      <c r="Z125" s="1494"/>
      <c r="AA125" s="1256"/>
      <c r="AB125" s="221" t="str">
        <f>K125&amp;" год"</f>
        <v>2069 год</v>
      </c>
      <c r="AC125" s="3794"/>
      <c r="AD125" s="3800"/>
      <c r="AE125" s="3801"/>
      <c r="AF125" s="3801"/>
      <c r="AG125" s="3800"/>
      <c r="AH125" s="3820"/>
      <c r="AI125" s="3820"/>
      <c r="AJ125" s="3800"/>
      <c r="AK125" s="3802"/>
      <c r="AL125" s="374"/>
      <c r="AM125" s="1256"/>
      <c r="AN125" s="1256"/>
      <c r="AO125" s="1041" cm="1" t="str">
        <f t="array" ref="AO125:AO125">K125</f>
        <v>2069</v>
      </c>
      <c r="AP125" s="1256"/>
      <c r="AQ125" s="1256"/>
    </row>
    <row s="3853" customFormat="1" customHeight="1" ht="14.25" hidden="1">
      <c r="A126" s="1256"/>
      <c r="B126" s="417">
        <f>K126&lt;first_year+PERIOD_LENGTH</f>
        <v>0</v>
      </c>
      <c r="C126" s="1256"/>
      <c r="D126" s="1256"/>
      <c r="E126" s="679">
        <v>15</v>
      </c>
      <c r="F126" s="50" cm="1" t="str">
        <f t="array" ref="F126:F126">OFFSET(E126,-1,1)</f>
        <v>1</v>
      </c>
      <c r="G126" s="1256"/>
      <c r="H126" s="1256"/>
      <c r="I126" s="1256"/>
      <c r="J126" s="1256"/>
      <c r="K126" s="124">
        <f>first_year+44</f>
        <v>2070</v>
      </c>
      <c r="L126" s="1256"/>
      <c r="M126" s="1256"/>
      <c r="N126" s="1256"/>
      <c r="O126" s="1256"/>
      <c r="P126" s="1256"/>
      <c r="Q126" s="1256"/>
      <c r="R126" s="1256"/>
      <c r="S126" s="1256"/>
      <c r="T126" s="438" cm="1" t="str">
        <f t="array" ref="T126:T126">T125</f>
        <v>true</v>
      </c>
      <c r="U126" s="1256"/>
      <c r="V126" s="1256"/>
      <c r="W126" s="1256"/>
      <c r="X126" s="1511"/>
      <c r="Y126" s="1256"/>
      <c r="Z126" s="1494"/>
      <c r="AA126" s="1256"/>
      <c r="AB126" s="221" t="str">
        <f>K126&amp;" год"</f>
        <v>2070 год</v>
      </c>
      <c r="AC126" s="3794"/>
      <c r="AD126" s="3800"/>
      <c r="AE126" s="3801"/>
      <c r="AF126" s="3801"/>
      <c r="AG126" s="3800"/>
      <c r="AH126" s="3820"/>
      <c r="AI126" s="3820"/>
      <c r="AJ126" s="3800"/>
      <c r="AK126" s="3802"/>
      <c r="AL126" s="374"/>
      <c r="AM126" s="1256"/>
      <c r="AN126" s="1256"/>
      <c r="AO126" s="1041" cm="1" t="str">
        <f t="array" ref="AO126:AO126">K126</f>
        <v>2070</v>
      </c>
      <c r="AP126" s="1256"/>
      <c r="AQ126" s="1256"/>
    </row>
    <row s="3854" customFormat="1" customHeight="1" ht="14.25" hidden="1">
      <c r="A127" s="1256"/>
      <c r="B127" s="417">
        <f>K127&lt;first_year+PERIOD_LENGTH</f>
        <v>0</v>
      </c>
      <c r="C127" s="1256"/>
      <c r="D127" s="1256"/>
      <c r="E127" s="679">
        <v>15</v>
      </c>
      <c r="F127" s="50" cm="1" t="str">
        <f t="array" ref="F127:F127">OFFSET(E127,-1,1)</f>
        <v>1</v>
      </c>
      <c r="G127" s="1256"/>
      <c r="H127" s="1256"/>
      <c r="I127" s="1256"/>
      <c r="J127" s="1256"/>
      <c r="K127" s="124">
        <f>first_year+45</f>
        <v>2071</v>
      </c>
      <c r="L127" s="1256"/>
      <c r="M127" s="1256"/>
      <c r="N127" s="1256"/>
      <c r="O127" s="1256"/>
      <c r="P127" s="1256"/>
      <c r="Q127" s="1256"/>
      <c r="R127" s="1256"/>
      <c r="S127" s="1256"/>
      <c r="T127" s="438" cm="1" t="str">
        <f t="array" ref="T127:T127">T126</f>
        <v>true</v>
      </c>
      <c r="U127" s="1256"/>
      <c r="V127" s="1256"/>
      <c r="W127" s="1256"/>
      <c r="X127" s="1511"/>
      <c r="Y127" s="1256"/>
      <c r="Z127" s="1494"/>
      <c r="AA127" s="1256"/>
      <c r="AB127" s="221" t="str">
        <f>K127&amp;" год"</f>
        <v>2071 год</v>
      </c>
      <c r="AC127" s="3794"/>
      <c r="AD127" s="3800"/>
      <c r="AE127" s="3801"/>
      <c r="AF127" s="3801"/>
      <c r="AG127" s="3800"/>
      <c r="AH127" s="3820"/>
      <c r="AI127" s="3820"/>
      <c r="AJ127" s="3800"/>
      <c r="AK127" s="3802"/>
      <c r="AL127" s="374"/>
      <c r="AM127" s="1256"/>
      <c r="AN127" s="1256"/>
      <c r="AO127" s="1041" cm="1" t="str">
        <f t="array" ref="AO127:AO127">K127</f>
        <v>2071</v>
      </c>
      <c r="AP127" s="1256"/>
      <c r="AQ127" s="1256"/>
    </row>
    <row s="3855" customFormat="1" customHeight="1" ht="14.25" hidden="1">
      <c r="A128" s="1256"/>
      <c r="B128" s="417">
        <f>K128&lt;first_year+PERIOD_LENGTH</f>
        <v>0</v>
      </c>
      <c r="C128" s="1256"/>
      <c r="D128" s="1256"/>
      <c r="E128" s="679">
        <v>15</v>
      </c>
      <c r="F128" s="50" cm="1" t="str">
        <f t="array" ref="F128:F128">OFFSET(E128,-1,1)</f>
        <v>1</v>
      </c>
      <c r="G128" s="1256"/>
      <c r="H128" s="1256"/>
      <c r="I128" s="1256"/>
      <c r="J128" s="1256"/>
      <c r="K128" s="124">
        <f>first_year+46</f>
        <v>2072</v>
      </c>
      <c r="L128" s="1256"/>
      <c r="M128" s="1256"/>
      <c r="N128" s="1256"/>
      <c r="O128" s="1256"/>
      <c r="P128" s="1256"/>
      <c r="Q128" s="1256"/>
      <c r="R128" s="1256"/>
      <c r="S128" s="1256"/>
      <c r="T128" s="438" cm="1" t="str">
        <f t="array" ref="T128:T128">T127</f>
        <v>true</v>
      </c>
      <c r="U128" s="1256"/>
      <c r="V128" s="1256"/>
      <c r="W128" s="1256"/>
      <c r="X128" s="1511"/>
      <c r="Y128" s="1256"/>
      <c r="Z128" s="1494"/>
      <c r="AA128" s="1256"/>
      <c r="AB128" s="221" t="str">
        <f>K128&amp;" год"</f>
        <v>2072 год</v>
      </c>
      <c r="AC128" s="3794"/>
      <c r="AD128" s="3800"/>
      <c r="AE128" s="3801"/>
      <c r="AF128" s="3801"/>
      <c r="AG128" s="3800"/>
      <c r="AH128" s="3820"/>
      <c r="AI128" s="3820"/>
      <c r="AJ128" s="3800"/>
      <c r="AK128" s="3802"/>
      <c r="AL128" s="374"/>
      <c r="AM128" s="1256"/>
      <c r="AN128" s="1256"/>
      <c r="AO128" s="1041" cm="1" t="str">
        <f t="array" ref="AO128:AO128">K128</f>
        <v>2072</v>
      </c>
      <c r="AP128" s="1256"/>
      <c r="AQ128" s="1256"/>
    </row>
    <row s="3856" customFormat="1" customHeight="1" ht="14.25" hidden="1">
      <c r="A129" s="1256"/>
      <c r="B129" s="417">
        <f>K129&lt;first_year+PERIOD_LENGTH</f>
        <v>0</v>
      </c>
      <c r="C129" s="1256"/>
      <c r="D129" s="1256"/>
      <c r="E129" s="679">
        <v>15</v>
      </c>
      <c r="F129" s="50" cm="1" t="str">
        <f t="array" ref="F129:F129">OFFSET(E129,-1,1)</f>
        <v>1</v>
      </c>
      <c r="G129" s="1256"/>
      <c r="H129" s="1256"/>
      <c r="I129" s="1256"/>
      <c r="J129" s="1256"/>
      <c r="K129" s="124">
        <f>first_year+47</f>
        <v>2073</v>
      </c>
      <c r="L129" s="1256"/>
      <c r="M129" s="1256"/>
      <c r="N129" s="1256"/>
      <c r="O129" s="1256"/>
      <c r="P129" s="1256"/>
      <c r="Q129" s="1256"/>
      <c r="R129" s="1256"/>
      <c r="S129" s="1256"/>
      <c r="T129" s="438" cm="1" t="str">
        <f t="array" ref="T129:T129">T128</f>
        <v>true</v>
      </c>
      <c r="U129" s="1256"/>
      <c r="V129" s="1256"/>
      <c r="W129" s="1256"/>
      <c r="X129" s="1511"/>
      <c r="Y129" s="1256"/>
      <c r="Z129" s="1494"/>
      <c r="AA129" s="1256"/>
      <c r="AB129" s="221" t="str">
        <f>K129&amp;" год"</f>
        <v>2073 год</v>
      </c>
      <c r="AC129" s="3794"/>
      <c r="AD129" s="3800"/>
      <c r="AE129" s="3801"/>
      <c r="AF129" s="3801"/>
      <c r="AG129" s="3800"/>
      <c r="AH129" s="3820"/>
      <c r="AI129" s="3820"/>
      <c r="AJ129" s="3800"/>
      <c r="AK129" s="3802"/>
      <c r="AL129" s="374"/>
      <c r="AM129" s="1256"/>
      <c r="AN129" s="1256"/>
      <c r="AO129" s="1041" cm="1" t="str">
        <f t="array" ref="AO129:AO129">K129</f>
        <v>2073</v>
      </c>
      <c r="AP129" s="1256"/>
      <c r="AQ129" s="1256"/>
    </row>
    <row s="3857" customFormat="1" customHeight="1" ht="14.25" hidden="1">
      <c r="A130" s="1256"/>
      <c r="B130" s="417">
        <f>K130&lt;first_year+PERIOD_LENGTH</f>
        <v>0</v>
      </c>
      <c r="C130" s="1256"/>
      <c r="D130" s="1256"/>
      <c r="E130" s="679">
        <v>15</v>
      </c>
      <c r="F130" s="50" cm="1" t="str">
        <f t="array" ref="F130:F130">OFFSET(E130,-1,1)</f>
        <v>1</v>
      </c>
      <c r="G130" s="1256"/>
      <c r="H130" s="1256"/>
      <c r="I130" s="1256"/>
      <c r="J130" s="1256"/>
      <c r="K130" s="124">
        <f>first_year+48</f>
        <v>2074</v>
      </c>
      <c r="L130" s="1256"/>
      <c r="M130" s="1256"/>
      <c r="N130" s="1256"/>
      <c r="O130" s="1256"/>
      <c r="P130" s="1256"/>
      <c r="Q130" s="1256"/>
      <c r="R130" s="1256"/>
      <c r="S130" s="1256"/>
      <c r="T130" s="438" cm="1" t="str">
        <f t="array" ref="T130:T130">T129</f>
        <v>true</v>
      </c>
      <c r="U130" s="1256"/>
      <c r="V130" s="1256"/>
      <c r="W130" s="1256"/>
      <c r="X130" s="1511"/>
      <c r="Y130" s="1256"/>
      <c r="Z130" s="1494"/>
      <c r="AA130" s="1256"/>
      <c r="AB130" s="221" t="str">
        <f>K130&amp;" год"</f>
        <v>2074 год</v>
      </c>
      <c r="AC130" s="3794"/>
      <c r="AD130" s="3800"/>
      <c r="AE130" s="3801"/>
      <c r="AF130" s="3801"/>
      <c r="AG130" s="3800"/>
      <c r="AH130" s="3820"/>
      <c r="AI130" s="3820"/>
      <c r="AJ130" s="3800"/>
      <c r="AK130" s="3802"/>
      <c r="AL130" s="374"/>
      <c r="AM130" s="1256"/>
      <c r="AN130" s="1256"/>
      <c r="AO130" s="1041" cm="1" t="str">
        <f t="array" ref="AO130:AO130">K130</f>
        <v>2074</v>
      </c>
      <c r="AP130" s="1256"/>
      <c r="AQ130" s="1256"/>
    </row>
    <row s="3858" customFormat="1" customHeight="1" ht="14.25" hidden="1">
      <c r="A131" s="1256"/>
      <c r="B131" s="417">
        <f>K131&lt;first_year+PERIOD_LENGTH</f>
        <v>0</v>
      </c>
      <c r="C131" s="1256"/>
      <c r="D131" s="1256"/>
      <c r="E131" s="679">
        <v>15</v>
      </c>
      <c r="F131" s="50" cm="1" t="str">
        <f t="array" ref="F131:F131">OFFSET(E131,-1,1)</f>
        <v>1</v>
      </c>
      <c r="G131" s="1256"/>
      <c r="H131" s="1256"/>
      <c r="I131" s="1256"/>
      <c r="J131" s="1256"/>
      <c r="K131" s="124">
        <f>first_year+49</f>
        <v>2075</v>
      </c>
      <c r="L131" s="1256"/>
      <c r="M131" s="1256"/>
      <c r="N131" s="1256"/>
      <c r="O131" s="1256"/>
      <c r="P131" s="1256"/>
      <c r="Q131" s="1256"/>
      <c r="R131" s="1256"/>
      <c r="S131" s="1256"/>
      <c r="T131" s="438" cm="1" t="str">
        <f t="array" ref="T131:T131">T130</f>
        <v>true</v>
      </c>
      <c r="U131" s="1256"/>
      <c r="V131" s="1256"/>
      <c r="W131" s="1256"/>
      <c r="X131" s="1511"/>
      <c r="Y131" s="1256"/>
      <c r="Z131" s="1494"/>
      <c r="AA131" s="1256"/>
      <c r="AB131" s="221" t="str">
        <f>K131&amp;" год"</f>
        <v>2075 год</v>
      </c>
      <c r="AC131" s="3794"/>
      <c r="AD131" s="3800"/>
      <c r="AE131" s="3801"/>
      <c r="AF131" s="3801"/>
      <c r="AG131" s="3800"/>
      <c r="AH131" s="3820"/>
      <c r="AI131" s="3820"/>
      <c r="AJ131" s="3800"/>
      <c r="AK131" s="3802"/>
      <c r="AL131" s="374"/>
      <c r="AM131" s="1256"/>
      <c r="AN131" s="1256"/>
      <c r="AO131" s="1041" cm="1" t="str">
        <f t="array" ref="AO131:AO131">K131</f>
        <v>2075</v>
      </c>
      <c r="AP131" s="1256"/>
      <c r="AQ131" s="1256"/>
    </row>
    <row customHeight="1" ht="10.725000000000001">
      <c r="E132" s="679">
        <v>11</v>
      </c>
      <c r="U132" s="672" t="s">
        <v>176</v>
      </c>
      <c r="V132" s="685" t="s">
        <v>2087</v>
      </c>
      <c r="AH132" s="1282"/>
      <c r="AI132" s="1282"/>
      <c r="AJ132" s="1282"/>
      <c r="AK132" s="1282"/>
      <c r="AO132" s="983"/>
    </row>
    <row s="1256" customFormat="1" customHeight="1" ht="14.625">
      <c r="A133" s="64"/>
      <c r="B133" s="399"/>
      <c r="C133" s="64"/>
      <c r="D133" s="64"/>
      <c r="E133" s="607">
        <v>15</v>
      </c>
      <c r="F133" s="64"/>
      <c r="G133" s="64"/>
      <c r="H133" s="64"/>
      <c r="I133" s="64"/>
      <c r="J133" s="64"/>
      <c r="K133" s="64"/>
      <c r="L133" s="64"/>
      <c r="M133" s="64"/>
      <c r="N133" s="64"/>
      <c r="O133" s="64"/>
      <c r="P133" s="64"/>
      <c r="Q133" s="64"/>
      <c r="R133" s="64"/>
      <c r="S133" s="64"/>
      <c r="T133" s="64"/>
      <c r="U133" s="64"/>
      <c r="V133" s="64"/>
      <c r="W133" s="64"/>
      <c r="X133" s="64"/>
      <c r="Y133" s="64"/>
      <c r="Z133" s="64"/>
      <c r="AA133" s="64"/>
      <c r="AB133" s="1514" t="s">
        <v>392</v>
      </c>
      <c r="AC133" s="1514"/>
      <c r="AD133" s="1514"/>
      <c r="AE133" s="1514"/>
      <c r="AF133" s="1514"/>
      <c r="AG133" s="1514"/>
      <c r="AH133" s="1514"/>
      <c r="AI133" s="1514"/>
      <c r="AJ133" s="1514"/>
      <c r="AK133" s="1514"/>
      <c r="AL133" s="64"/>
      <c r="AO133" s="1041"/>
    </row>
    <row s="1256" customFormat="1" customHeight="1" ht="14.625">
      <c r="A134" s="64"/>
      <c r="B134" s="399"/>
      <c r="C134" s="64"/>
      <c r="D134" s="64"/>
      <c r="E134" s="607">
        <v>15</v>
      </c>
      <c r="F134" s="64"/>
      <c r="G134" s="64"/>
      <c r="H134" s="64"/>
      <c r="I134" s="64"/>
      <c r="J134" s="64"/>
      <c r="K134" s="64"/>
      <c r="L134" s="64"/>
      <c r="M134" s="64"/>
      <c r="N134" s="64"/>
      <c r="O134" s="64"/>
      <c r="P134" s="64"/>
      <c r="Q134" s="64"/>
      <c r="R134" s="64"/>
      <c r="S134" s="64"/>
      <c r="T134" s="64"/>
      <c r="U134" s="64"/>
      <c r="V134" s="64"/>
      <c r="W134" s="64"/>
      <c r="X134" s="64"/>
      <c r="Y134" s="64"/>
      <c r="Z134" s="64"/>
      <c r="AA134" s="139"/>
      <c r="AB134" s="1589"/>
      <c r="AC134" s="1589"/>
      <c r="AD134" s="1589"/>
      <c r="AE134" s="1589"/>
      <c r="AF134" s="1589"/>
      <c r="AG134" s="1589"/>
      <c r="AH134" s="3860"/>
      <c r="AI134" s="3860"/>
      <c r="AJ134" s="3860"/>
      <c r="AK134" s="3860"/>
      <c r="AL134" s="64"/>
      <c r="AO134" s="1041"/>
    </row>
    <row s="1624" customFormat="1" customHeight="1" ht="14.625" hidden="1">
      <c r="A135" s="64"/>
      <c r="B135" s="399"/>
      <c r="C135" s="64"/>
      <c r="D135" s="64"/>
      <c r="E135" s="607">
        <v>15</v>
      </c>
      <c r="F135" s="64"/>
      <c r="G135" s="64"/>
      <c r="H135" s="64"/>
      <c r="I135" s="64"/>
      <c r="J135" s="64"/>
      <c r="K135" s="64"/>
      <c r="L135" s="64"/>
      <c r="M135" s="64"/>
      <c r="N135" s="64"/>
      <c r="O135" s="64"/>
      <c r="P135" s="64"/>
      <c r="Q135" s="64"/>
      <c r="R135" s="64"/>
      <c r="S135" s="64"/>
      <c r="T135" s="462">
        <f>ROW(W135)&gt;ROW(W$135)</f>
        <v>0</v>
      </c>
      <c r="U135" s="64"/>
      <c r="V135" s="64"/>
      <c r="W135" s="124" t="s">
        <v>172</v>
      </c>
      <c r="X135" s="64"/>
      <c r="Y135" s="64"/>
      <c r="Z135" s="64"/>
      <c r="AA135" s="392" t="s">
        <v>173</v>
      </c>
      <c r="AB135" s="3860" t="s">
        <v>228</v>
      </c>
      <c r="AC135" s="3860"/>
      <c r="AD135" s="3860"/>
      <c r="AE135" s="3860"/>
      <c r="AF135" s="3860"/>
      <c r="AG135" s="3860"/>
      <c r="AH135" s="3860"/>
      <c r="AI135" s="3860"/>
      <c r="AJ135" s="3860"/>
      <c r="AK135" s="3860"/>
      <c r="AL135" s="64"/>
      <c r="AM135" s="1624"/>
      <c r="AN135" s="1624"/>
      <c r="AO135" s="981"/>
      <c r="AP135" s="1624"/>
      <c r="AQ135" s="67"/>
    </row>
    <row s="1624" customFormat="1" customHeight="1" ht="14.625">
      <c r="A136" s="64"/>
      <c r="B136" s="399"/>
      <c r="C136" s="64"/>
      <c r="D136" s="64"/>
      <c r="E136" s="607">
        <v>15</v>
      </c>
      <c r="F136" s="64"/>
      <c r="G136" s="64"/>
      <c r="H136" s="64"/>
      <c r="I136" s="64"/>
      <c r="J136" s="64"/>
      <c r="K136" s="64"/>
      <c r="L136" s="64"/>
      <c r="M136" s="64"/>
      <c r="N136" s="64"/>
      <c r="O136" s="64"/>
      <c r="P136" s="64"/>
      <c r="Q136" s="64"/>
      <c r="R136" s="64"/>
      <c r="S136" s="64"/>
      <c r="T136" s="64"/>
      <c r="U136" s="64"/>
      <c r="V136" s="64"/>
      <c r="W136" s="805" t="s">
        <v>396</v>
      </c>
      <c r="X136" s="64"/>
      <c r="Y136" s="64"/>
      <c r="Z136" s="64"/>
      <c r="AA136" s="64"/>
      <c r="AB136" s="623"/>
      <c r="AC136" s="487" t="s">
        <v>397</v>
      </c>
      <c r="AD136" s="279"/>
      <c r="AE136" s="279"/>
      <c r="AF136" s="279"/>
      <c r="AG136" s="279"/>
      <c r="AH136" s="279"/>
      <c r="AI136" s="279"/>
      <c r="AJ136" s="279"/>
      <c r="AK136" s="280"/>
      <c r="AL136" s="64"/>
      <c r="AO136" s="981"/>
      <c r="AQ136" s="67"/>
    </row>
    <row s="1624" customFormat="1" customHeight="1" ht="10.725000000000001">
      <c r="A137" s="64"/>
      <c r="B137" s="399"/>
      <c r="C137" s="64"/>
      <c r="D137" s="64"/>
      <c r="E137" s="607">
        <v>11</v>
      </c>
      <c r="F137" s="64"/>
      <c r="G137" s="64"/>
      <c r="H137" s="64"/>
      <c r="I137" s="64"/>
      <c r="J137" s="64"/>
      <c r="K137" s="64"/>
      <c r="L137" s="64"/>
      <c r="M137" s="64"/>
      <c r="N137" s="64"/>
      <c r="O137" s="64"/>
      <c r="P137" s="64"/>
      <c r="Q137" s="64"/>
      <c r="R137" s="64"/>
      <c r="S137" s="64"/>
      <c r="T137" s="64"/>
      <c r="U137" s="64"/>
      <c r="V137" s="64"/>
      <c r="W137" s="64"/>
      <c r="X137" s="64"/>
      <c r="Y137" s="64"/>
      <c r="Z137" s="64"/>
      <c r="AA137" s="64"/>
      <c r="AB137" s="173"/>
      <c r="AC137" s="64"/>
      <c r="AD137" s="64"/>
      <c r="AE137" s="64"/>
      <c r="AF137" s="64"/>
      <c r="AG137" s="64"/>
      <c r="AH137" s="64"/>
      <c r="AI137" s="64"/>
      <c r="AJ137" s="64"/>
      <c r="AK137" s="64"/>
      <c r="AL137" s="398"/>
      <c r="AO137" s="981"/>
      <c r="AQ137" s="67"/>
    </row>
    <row s="1624" customFormat="1" customHeight="1" ht="11.25" hidden="1">
      <c r="B138" s="402"/>
      <c r="E138" s="599"/>
      <c r="AC138" s="66"/>
      <c r="AD138" s="66"/>
      <c r="AE138" s="66"/>
      <c r="AF138" s="66"/>
      <c r="AH138" s="1624"/>
      <c r="AI138" s="1624"/>
      <c r="AJ138" s="1624"/>
      <c r="AK138" s="1624"/>
      <c r="AO138" s="981"/>
      <c r="AQ138" s="67"/>
    </row>
  </sheetData>
  <sheetProtection formatColumns="0" formatRows="0" insertRows="0" deleteColumns="0" deleteRows="0" sort="0" autoFilter="0" insertColumns="1"/>
  <mergeCells count="13">
    <mergeCell ref="AB135:AK135"/>
    <mergeCell ref="X30:X80"/>
    <mergeCell ref="Z30:Z80"/>
    <mergeCell ref="AB24:AE24"/>
    <mergeCell ref="AB133:AK133"/>
    <mergeCell ref="AB134:AK134"/>
    <mergeCell ref="AB26:AB28"/>
    <mergeCell ref="AC26:AC27"/>
    <mergeCell ref="AD26:AD27"/>
    <mergeCell ref="AE26:AE27"/>
    <mergeCell ref="AF26:AK26"/>
    <mergeCell ref="X81:X131"/>
    <mergeCell ref="Z81:Z131"/>
  </mergeCells>
  <dataValidations count="2">
    <dataValidation type="decimal" allowBlank="1" showErrorMessage="1" errorTitle="Ошибка" error="Допускается ввод только неотрицательных чисел!" sqref="AE31:AE80 AE82:AE131">
      <formula1>0</formula1>
      <formula2>9.99999999999999E+23</formula2>
    </dataValidation>
    <dataValidation type="list" allowBlank="1" showInputMessage="1" showErrorMessage="1" errorTitle="Внимание" error="Пожалуйста, выберите значение из списка!" sqref="AF24">
      <formula1>YES_NO</formula1>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8DA0CA-E9C8-AD9A-F938-EE82E8A8DBEF}" mc:Ignorable="x14ac xr xr2 xr3">
  <sheetPr>
    <tabColor rgb="FF002060"/>
    <outlinePr summaryRight="0" summaryBelow="0"/>
  </sheetPr>
  <dimension ref="A1:AR139"/>
  <sheetViews>
    <sheetView showGridLines="0" workbookViewId="0">
      <pane xSplit="29" ySplit="26" topLeftCell="AD27" activePane="bottomRight" state="frozen"/>
      <selection pane="bottomLeft" activeCell="A27" sqref="A27"/>
      <selection pane="topRight" activeCell="AD1" sqref="AD1"/>
      <selection pane="bottomRight" activeCell="AA21" sqref="AA21"/>
    </sheetView>
  </sheetViews>
  <sheetFormatPr defaultColWidth="9.140625" customHeight="1" defaultRowHeight="11.25"/>
  <cols>
    <col min="1" max="1" style="1282" width="3.57421875" hidden="1" customWidth="1"/>
    <col min="2" max="2" style="1389" width="8.57421875" hidden="1" customWidth="1"/>
    <col min="3" max="4" style="1282" width="3.57421875" hidden="1" customWidth="1"/>
    <col min="5" max="5" style="1283" width="3.57421875" hidden="1" customWidth="1"/>
    <col min="6" max="10" style="1282" width="3.57421875" hidden="1" customWidth="1"/>
    <col min="11" max="11" style="1282" width="7.140625" hidden="1" customWidth="1"/>
    <col min="12" max="19" style="1282" width="3.57421875" hidden="1" customWidth="1"/>
    <col min="20" max="20" style="1282" width="9.140625" hidden="1"/>
    <col min="21" max="26" style="1282" width="3.57421875" hidden="1" customWidth="1"/>
    <col min="27" max="27" style="1282" width="3.00390625" customWidth="1"/>
    <col min="28" max="28" style="173" width="14.7109375" customWidth="1"/>
    <col min="29" max="33" style="1282" width="17.00390625" customWidth="1"/>
    <col min="34" max="36" style="1282" width="23.00390625" hidden="1" customWidth="1"/>
    <col min="37" max="37" style="1282" width="25.00390625" hidden="1" customWidth="1"/>
    <col min="38" max="38" style="1282" width="3.00390625" customWidth="1"/>
    <col min="39" max="39" style="1282" width="9.140625" hidden="1"/>
    <col min="40" max="42" style="1284" width="9.140625" hidden="1"/>
    <col min="43" max="44" style="1283" width="9.140625" hidden="1"/>
  </cols>
  <sheetData>
    <row customHeight="1" ht="11.25" hidden="1">
      <c r="E1" s="64"/>
      <c r="F1" s="64" t="s">
        <v>309</v>
      </c>
      <c r="G1" s="64" t="s">
        <v>346</v>
      </c>
      <c r="K1" s="64" t="s">
        <v>349</v>
      </c>
      <c r="T1" s="438" t="s">
        <v>92</v>
      </c>
      <c r="U1" s="438" t="s">
        <v>97</v>
      </c>
      <c r="V1" s="438" t="s">
        <v>93</v>
      </c>
      <c r="W1" s="438" t="s">
        <v>94</v>
      </c>
      <c r="X1" s="438" t="s">
        <v>95</v>
      </c>
      <c r="Y1" s="440" t="s">
        <v>311</v>
      </c>
      <c r="Z1" s="438" t="s">
        <v>99</v>
      </c>
      <c r="AA1" s="439" t="s">
        <v>96</v>
      </c>
      <c r="AB1" s="438" t="s">
        <v>98</v>
      </c>
      <c r="AC1" s="439" t="s">
        <v>98</v>
      </c>
      <c r="AH1" s="1282"/>
      <c r="AI1" s="1282"/>
      <c r="AJ1" s="1282"/>
      <c r="AK1" s="1282"/>
      <c r="AN1" s="992" t="s">
        <v>354</v>
      </c>
      <c r="AO1" s="992" t="s">
        <v>313</v>
      </c>
      <c r="AP1" s="992" t="s">
        <v>314</v>
      </c>
      <c r="AQ1" s="607" t="s">
        <v>317</v>
      </c>
      <c r="AR1" s="607" t="s">
        <v>318</v>
      </c>
    </row>
    <row s="1389" customFormat="1" customHeight="1" ht="11.25" hidden="1">
      <c r="B2" s="417" t="s">
        <v>18</v>
      </c>
      <c r="AB2" s="401"/>
      <c r="AG2" s="417">
        <f>DPR_ee_divide="нет"</f>
        <v>1</v>
      </c>
      <c r="AH2" s="417">
        <f>DPR_ee_divide="да"</f>
        <v>0</v>
      </c>
      <c r="AI2" s="417">
        <f>DPR_ee_divide="да"</f>
        <v>0</v>
      </c>
      <c r="AJ2" s="417">
        <f>DPR_ee_divide="да"</f>
        <v>0</v>
      </c>
      <c r="AK2" s="417">
        <f>DPR_ee_divide="да"</f>
        <v>0</v>
      </c>
      <c r="AN2" s="993"/>
      <c r="AO2" s="993"/>
      <c r="AP2" s="993"/>
      <c r="AQ2" s="1006"/>
      <c r="AR2" s="1006"/>
    </row>
    <row customHeight="1" ht="11.25" hidden="1">
      <c r="E3" s="64"/>
      <c r="AH3" s="1282"/>
      <c r="AI3" s="1282"/>
      <c r="AJ3" s="1282"/>
      <c r="AK3" s="1282"/>
    </row>
    <row customHeight="1" ht="11.25" hidden="1">
      <c r="E4" s="64"/>
      <c r="AH4" s="1282"/>
      <c r="AI4" s="1282"/>
      <c r="AJ4" s="1282"/>
      <c r="AK4" s="1282"/>
    </row>
    <row s="1283" customFormat="1" customHeight="1" ht="11.25" hidden="1">
      <c r="A5" s="64"/>
      <c r="B5" s="399"/>
      <c r="C5" s="64"/>
      <c r="D5" s="64"/>
      <c r="E5" s="607" t="s">
        <v>19</v>
      </c>
      <c r="AA5" s="607">
        <v>3</v>
      </c>
      <c r="AB5" s="669">
        <v>14.71</v>
      </c>
      <c r="AC5" s="607">
        <v>17</v>
      </c>
      <c r="AD5" s="607">
        <v>17</v>
      </c>
      <c r="AE5" s="607">
        <v>17</v>
      </c>
      <c r="AF5" s="607">
        <v>17</v>
      </c>
      <c r="AG5" s="607">
        <v>17</v>
      </c>
      <c r="AH5" s="607">
        <v>23</v>
      </c>
      <c r="AI5" s="607">
        <v>23</v>
      </c>
      <c r="AJ5" s="607">
        <v>23</v>
      </c>
      <c r="AK5" s="607">
        <v>25</v>
      </c>
      <c r="AL5" s="607">
        <v>3</v>
      </c>
      <c r="AN5" s="992"/>
      <c r="AO5" s="992"/>
      <c r="AP5" s="992"/>
    </row>
    <row customHeight="1" ht="11.25" hidden="1">
      <c r="A6" s="64" t="s">
        <v>320</v>
      </c>
      <c r="AC6" s="64" t="s">
        <v>321</v>
      </c>
      <c r="AD6" s="64" t="s">
        <v>322</v>
      </c>
      <c r="AE6" s="64" t="s">
        <v>323</v>
      </c>
      <c r="AF6" s="64" t="s">
        <v>508</v>
      </c>
      <c r="AG6" s="64" t="s">
        <v>512</v>
      </c>
      <c r="AH6" s="64" t="s">
        <v>2062</v>
      </c>
      <c r="AI6" s="64" t="s">
        <v>2063</v>
      </c>
      <c r="AJ6" s="64" t="s">
        <v>2064</v>
      </c>
      <c r="AK6" s="64" t="s">
        <v>2065</v>
      </c>
    </row>
    <row customHeight="1" ht="11.25" hidden="1">
      <c r="AH7" s="1282"/>
      <c r="AI7" s="1282"/>
      <c r="AJ7" s="1282"/>
      <c r="AK7" s="1282"/>
    </row>
    <row customHeight="1" ht="11.25" hidden="1">
      <c r="AH8" s="1282"/>
      <c r="AI8" s="1282"/>
      <c r="AJ8" s="1282"/>
      <c r="AK8" s="1282"/>
    </row>
    <row s="1284" customFormat="1" customHeight="1" ht="11.25" hidden="1">
      <c r="A9" s="992" t="s">
        <v>312</v>
      </c>
      <c r="B9" s="993"/>
      <c r="AB9" s="1031"/>
      <c r="AC9" s="1050" t="s">
        <v>2066</v>
      </c>
      <c r="AD9" s="1050" t="s">
        <v>2067</v>
      </c>
      <c r="AE9" s="1050" t="s">
        <v>2068</v>
      </c>
      <c r="AF9" s="1050" t="s">
        <v>2069</v>
      </c>
      <c r="AG9" s="1050" t="s">
        <v>2070</v>
      </c>
      <c r="AH9" s="1050" t="s">
        <v>2071</v>
      </c>
      <c r="AI9" s="1050" t="s">
        <v>2072</v>
      </c>
      <c r="AJ9" s="1050" t="s">
        <v>2073</v>
      </c>
      <c r="AK9" s="992" t="s">
        <v>2074</v>
      </c>
      <c r="AQ9" s="607"/>
      <c r="AR9" s="607"/>
    </row>
    <row s="1284" customFormat="1" customHeight="1" ht="11.25" hidden="1">
      <c r="A10" s="992" t="s">
        <v>327</v>
      </c>
      <c r="B10" s="993"/>
      <c r="AB10" s="1031" t="s">
        <v>314</v>
      </c>
      <c r="AH10" s="1284"/>
      <c r="AI10" s="1284"/>
      <c r="AJ10" s="1284"/>
      <c r="AK10" s="1284"/>
      <c r="AQ10" s="607"/>
      <c r="AR10" s="607"/>
    </row>
    <row customHeight="1" ht="11.25" hidden="1">
      <c r="AH11" s="1282"/>
      <c r="AI11" s="1282"/>
      <c r="AJ11" s="1282"/>
      <c r="AK11" s="1282"/>
    </row>
    <row customHeight="1" ht="11.25" hidden="1">
      <c r="AH12" s="1282"/>
      <c r="AI12" s="1282"/>
      <c r="AJ12" s="1282"/>
      <c r="AK12" s="1282"/>
    </row>
    <row customHeight="1" ht="11.25" hidden="1">
      <c r="AH13" s="1282"/>
      <c r="AI13" s="1282"/>
      <c r="AJ13" s="1282"/>
      <c r="AK13" s="1282"/>
    </row>
    <row customHeight="1" ht="11.25" hidden="1">
      <c r="AH14" s="1282"/>
      <c r="AI14" s="1282"/>
      <c r="AJ14" s="1282"/>
      <c r="AK14" s="1282"/>
    </row>
    <row customHeight="1" ht="11.25" hidden="1">
      <c r="AH15" s="1282"/>
      <c r="AI15" s="1282"/>
      <c r="AJ15" s="1282"/>
      <c r="AK15" s="1282"/>
    </row>
    <row customHeight="1" ht="11.25" hidden="1">
      <c r="AH16" s="1282"/>
      <c r="AI16" s="1282"/>
      <c r="AJ16" s="1282"/>
      <c r="AK16" s="1282"/>
    </row>
    <row customHeight="1" ht="11.25" hidden="1">
      <c r="AH17" s="1282"/>
      <c r="AI17" s="1282"/>
      <c r="AJ17" s="1282"/>
      <c r="AK17" s="1282"/>
    </row>
    <row customHeight="1" ht="11.25" hidden="1">
      <c r="A18" s="64" t="s">
        <v>357</v>
      </c>
      <c r="AB18" s="173" t="s">
        <v>197</v>
      </c>
      <c r="AH18" s="1282"/>
      <c r="AI18" s="1282"/>
      <c r="AJ18" s="1282"/>
      <c r="AK18" s="1282"/>
    </row>
    <row customHeight="1" ht="11.25" hidden="1">
      <c r="AH19" s="1282"/>
      <c r="AI19" s="1282"/>
      <c r="AJ19" s="1282"/>
      <c r="AK19" s="1282"/>
    </row>
    <row customHeight="1" ht="11.25" hidden="1">
      <c r="AH20" s="1282"/>
      <c r="AI20" s="1282"/>
      <c r="AJ20" s="1282"/>
      <c r="AK20" s="1282"/>
    </row>
    <row customHeight="1" ht="14.625">
      <c r="E21" s="607">
        <v>15</v>
      </c>
      <c r="AA21" s="633"/>
      <c r="AB21" s="333" cm="1" t="str">
        <f t="array" ref="AB21:AB21">tpl_title</f>
        <v>Кемеровская область / 2026 / ОАО «СКЭК» (ИНН:4205153492, КПП:420501001) / ДПР: 2026-2026</v>
      </c>
      <c r="AH21" s="1282"/>
      <c r="AI21" s="1282"/>
      <c r="AJ21" s="1282"/>
      <c r="AK21" s="1282"/>
    </row>
    <row s="1379" customFormat="1" customHeight="1" ht="23.400000000000002">
      <c r="B22" s="399"/>
      <c r="E22" s="608">
        <v>24</v>
      </c>
      <c r="AB22" s="286" t="s">
        <v>86</v>
      </c>
      <c r="AC22" s="172"/>
      <c r="AD22" s="172"/>
      <c r="AE22" s="172"/>
      <c r="AF22" s="172"/>
      <c r="AG22" s="172"/>
      <c r="AH22" s="172"/>
      <c r="AI22" s="172"/>
      <c r="AJ22" s="172"/>
      <c r="AK22" s="172"/>
      <c r="AN22" s="995"/>
      <c r="AO22" s="995"/>
      <c r="AP22" s="995"/>
      <c r="AQ22" s="608"/>
      <c r="AR22" s="608"/>
    </row>
    <row customHeight="1" ht="10.96875">
      <c r="E23" s="607">
        <v>11.25</v>
      </c>
      <c r="AB23" s="110"/>
      <c r="AC23" s="110"/>
      <c r="AH23" s="1282"/>
      <c r="AI23" s="1282"/>
      <c r="AJ23" s="1282"/>
      <c r="AK23" s="1282"/>
    </row>
    <row s="1399" customFormat="1" customHeight="1" ht="38.025">
      <c r="B24" s="401"/>
      <c r="E24" s="605">
        <v>39</v>
      </c>
      <c r="AB24" s="1597" t="s">
        <v>2076</v>
      </c>
      <c r="AC24" s="1600" t="s">
        <v>2077</v>
      </c>
      <c r="AD24" s="1600" t="s">
        <v>435</v>
      </c>
      <c r="AE24" s="1600" t="s">
        <v>2078</v>
      </c>
      <c r="AF24" s="1600" t="s">
        <v>2079</v>
      </c>
      <c r="AG24" s="1600"/>
      <c r="AH24" s="1600"/>
      <c r="AI24" s="1600"/>
      <c r="AJ24" s="1600"/>
      <c r="AK24" s="1601"/>
      <c r="AN24" s="990"/>
      <c r="AO24" s="990"/>
      <c r="AP24" s="990"/>
      <c r="AQ24" s="605"/>
      <c r="AR24" s="605"/>
    </row>
    <row s="1399" customFormat="1" customHeight="1" ht="35.1">
      <c r="B25" s="401"/>
      <c r="E25" s="605">
        <v>36</v>
      </c>
      <c r="AB25" s="1598"/>
      <c r="AC25" s="1600"/>
      <c r="AD25" s="1600"/>
      <c r="AE25" s="1600"/>
      <c r="AF25" s="220" t="s">
        <v>556</v>
      </c>
      <c r="AG25" s="220" t="s">
        <v>2080</v>
      </c>
      <c r="AH25" s="220" t="s">
        <v>2081</v>
      </c>
      <c r="AI25" s="220" t="s">
        <v>2082</v>
      </c>
      <c r="AJ25" s="220" t="s">
        <v>2083</v>
      </c>
      <c r="AK25" s="221" t="s">
        <v>2084</v>
      </c>
      <c r="AN25" s="990"/>
      <c r="AO25" s="990"/>
      <c r="AP25" s="990"/>
      <c r="AQ25" s="605"/>
      <c r="AR25" s="605"/>
    </row>
    <row s="1513" customFormat="1" customHeight="1" ht="10.96875">
      <c r="B26" s="401"/>
      <c r="E26" s="233">
        <v>11.25</v>
      </c>
      <c r="AB26" s="1599"/>
      <c r="AC26" s="220" t="s">
        <v>789</v>
      </c>
      <c r="AD26" s="220" t="s">
        <v>430</v>
      </c>
      <c r="AE26" s="57" t="s">
        <v>430</v>
      </c>
      <c r="AF26" s="220" t="s">
        <v>430</v>
      </c>
      <c r="AG26" s="220" t="s">
        <v>2085</v>
      </c>
      <c r="AH26" s="220" t="s">
        <v>2085</v>
      </c>
      <c r="AI26" s="220" t="s">
        <v>2085</v>
      </c>
      <c r="AJ26" s="220" t="s">
        <v>2085</v>
      </c>
      <c r="AK26" s="221" t="s">
        <v>2085</v>
      </c>
      <c r="AN26" s="1007"/>
      <c r="AO26" s="1007"/>
      <c r="AP26" s="1007"/>
      <c r="AQ26" s="233"/>
      <c r="AR26" s="233"/>
    </row>
    <row s="1624" customFormat="1" customHeight="1" ht="11.25" hidden="1">
      <c r="A27" s="472"/>
      <c r="B27" s="634"/>
      <c r="C27" s="472"/>
      <c r="D27" s="472"/>
      <c r="E27" s="635">
        <v>0</v>
      </c>
      <c r="F27" s="51"/>
      <c r="G27" s="472"/>
      <c r="H27" s="472"/>
      <c r="I27" s="472"/>
      <c r="J27" s="472"/>
      <c r="K27" s="472"/>
      <c r="L27" s="472"/>
      <c r="M27" s="472"/>
      <c r="N27" s="472"/>
      <c r="O27" s="472"/>
      <c r="P27" s="472"/>
      <c r="Q27" s="472"/>
      <c r="R27" s="472"/>
      <c r="S27" s="472"/>
      <c r="T27" s="472"/>
      <c r="U27" s="472"/>
      <c r="V27" s="472"/>
      <c r="W27" s="472"/>
      <c r="X27" s="472"/>
      <c r="Y27" s="472"/>
      <c r="Z27" s="472"/>
      <c r="AA27" s="472"/>
      <c r="AC27" s="66"/>
      <c r="AD27" s="66"/>
      <c r="AE27" s="66"/>
      <c r="AF27" s="66"/>
      <c r="AH27" s="1624"/>
      <c r="AI27" s="1624"/>
      <c r="AJ27" s="1624"/>
      <c r="AK27" s="1624"/>
      <c r="AN27" s="981"/>
      <c r="AO27" s="981"/>
      <c r="AP27" s="981"/>
      <c r="AQ27" s="984"/>
      <c r="AR27" s="599"/>
    </row>
    <row s="1363" customFormat="1" customHeight="1" ht="14.625" hidden="1">
      <c r="A28" s="1363"/>
      <c r="B28" s="400"/>
      <c r="C28" s="1363"/>
      <c r="D28" s="1363"/>
      <c r="E28" s="593">
        <v>15</v>
      </c>
      <c r="F28" s="64" cm="1" t="str">
        <f t="array" ref="F28:F28">X28</f>
        <v>0</v>
      </c>
      <c r="G28" s="1363"/>
      <c r="H28" s="1363"/>
      <c r="I28" s="1363"/>
      <c r="J28" s="1363"/>
      <c r="K28" s="1363"/>
      <c r="L28" s="1363"/>
      <c r="M28" s="1363"/>
      <c r="N28" s="1363"/>
      <c r="O28" s="1363"/>
      <c r="P28" s="1363"/>
      <c r="Q28" s="1363"/>
      <c r="R28" s="1363"/>
      <c r="S28" s="1363"/>
      <c r="T28" s="438">
        <f>X28&gt;0</f>
        <v>0</v>
      </c>
      <c r="U28" s="1363"/>
      <c r="V28" s="88" t="s">
        <v>267</v>
      </c>
      <c r="W28" s="1363"/>
      <c r="X28" s="1511">
        <v>0</v>
      </c>
      <c r="Y28" s="1363"/>
      <c r="Z28" s="1494"/>
      <c r="AA28" s="1363"/>
      <c r="AB28" s="347" cm="1" t="str">
        <f t="array" ref="AB28:AB28">INDEX('Общие сведения'!$AG$179:$AG$208,MATCH($X28,'Общие сведения'!$Z$179:$Z$208,0))</f>
        <v>Тариф 0 () - тариф на транспортировку сточных вод</v>
      </c>
      <c r="AC28" s="209"/>
      <c r="AD28" s="209"/>
      <c r="AE28" s="209"/>
      <c r="AF28" s="209"/>
      <c r="AG28" s="209"/>
      <c r="AH28" s="209"/>
      <c r="AI28" s="209"/>
      <c r="AJ28" s="209"/>
      <c r="AK28" s="209"/>
      <c r="AL28" s="373"/>
      <c r="AM28" s="1363"/>
      <c r="AN28" s="974"/>
      <c r="AO28" s="974"/>
      <c r="AP28" s="974"/>
      <c r="AQ28" s="593"/>
      <c r="AR28" s="593"/>
    </row>
    <row s="1363" customFormat="1" customHeight="1" ht="14.625" hidden="1">
      <c r="A29" s="1363"/>
      <c r="B29" s="400"/>
      <c r="C29" s="1363"/>
      <c r="D29" s="1363"/>
      <c r="E29" s="593">
        <v>15</v>
      </c>
      <c r="F29" s="50" cm="1" t="str">
        <f t="array" ref="F29:F29">OFFSET(E29,-1,1)</f>
        <v>0</v>
      </c>
      <c r="G29" s="88" cm="1" t="str">
        <f t="array" ref="G29:G29">AB29</f>
        <v>0</v>
      </c>
      <c r="H29" s="1363"/>
      <c r="I29" s="1363"/>
      <c r="J29" s="1363"/>
      <c r="K29" s="1363"/>
      <c r="L29" s="1363"/>
      <c r="M29" s="1363"/>
      <c r="N29" s="1363"/>
      <c r="O29" s="1363"/>
      <c r="P29" s="1363"/>
      <c r="Q29" s="1363"/>
      <c r="R29" s="1363"/>
      <c r="S29" s="1363"/>
      <c r="T29" s="438">
        <f>AND(F29&gt;0,Y29&gt;0)</f>
        <v>0</v>
      </c>
      <c r="U29" s="1363"/>
      <c r="V29" s="1363"/>
      <c r="W29" s="88" t="s">
        <v>172</v>
      </c>
      <c r="X29" s="1511"/>
      <c r="Y29" s="1511">
        <v>0</v>
      </c>
      <c r="Z29" s="1494"/>
      <c r="AA29" s="1593" t="s">
        <v>173</v>
      </c>
      <c r="AB29" s="3867"/>
      <c r="AC29" s="3867"/>
      <c r="AD29" s="3867"/>
      <c r="AE29" s="3867"/>
      <c r="AF29" s="3867"/>
      <c r="AG29" s="3867"/>
      <c r="AH29" s="3867"/>
      <c r="AI29" s="3867"/>
      <c r="AJ29" s="3867"/>
      <c r="AK29" s="3868"/>
      <c r="AL29" s="373"/>
      <c r="AM29" s="1363"/>
      <c r="AN29" s="974"/>
      <c r="AO29" s="1041" t="s">
        <v>2088</v>
      </c>
      <c r="AP29" s="1056" cm="1" t="str">
        <f t="array" ref="AP29:AP29">AB29</f>
        <v>0</v>
      </c>
      <c r="AQ29" s="593"/>
      <c r="AR29" s="593" t="b">
        <v>1</v>
      </c>
    </row>
    <row s="1256" customFormat="1" customHeight="1" ht="14.625" hidden="1">
      <c r="A30" s="1256"/>
      <c r="B30" s="417">
        <f>K30&lt;first_year+PERIOD_LENGTH</f>
        <v>1</v>
      </c>
      <c r="C30" s="1256"/>
      <c r="D30" s="1256"/>
      <c r="E30" s="679">
        <v>15</v>
      </c>
      <c r="F30" s="50" cm="1" t="str">
        <f t="array" ref="F30:F30">OFFSET(E30,-1,1)</f>
        <v>0</v>
      </c>
      <c r="G30" s="64" cm="1" t="str">
        <f t="array" ref="G30:G30">G29</f>
        <v>0</v>
      </c>
      <c r="H30" s="1256"/>
      <c r="I30" s="1256"/>
      <c r="J30" s="1256"/>
      <c r="K30" s="124" cm="1" t="str">
        <f t="array" ref="K30:K30">first_year</f>
        <v>2026</v>
      </c>
      <c r="L30" s="1256"/>
      <c r="M30" s="1256"/>
      <c r="N30" s="1256"/>
      <c r="O30" s="1256"/>
      <c r="P30" s="1256"/>
      <c r="Q30" s="1256"/>
      <c r="R30" s="1256"/>
      <c r="S30" s="1256"/>
      <c r="T30" s="438" cm="1" t="str">
        <f t="array" ref="T30:T30">T29</f>
        <v>false</v>
      </c>
      <c r="U30" s="1256"/>
      <c r="V30" s="1256"/>
      <c r="W30" s="1256"/>
      <c r="X30" s="1511"/>
      <c r="Y30" s="1511"/>
      <c r="Z30" s="1494"/>
      <c r="AA30" s="1593"/>
      <c r="AB30" s="268" t="str">
        <f>K30&amp;" год"</f>
        <v>2026 год</v>
      </c>
      <c r="AC30" s="3871"/>
      <c r="AD30" s="3872"/>
      <c r="AE30" s="3871"/>
      <c r="AF30" s="3871"/>
      <c r="AG30" s="3872"/>
      <c r="AH30" s="3871"/>
      <c r="AI30" s="3872"/>
      <c r="AJ30" s="3871"/>
      <c r="AK30" s="3873"/>
      <c r="AL30" s="374"/>
      <c r="AM30" s="1256"/>
      <c r="AN30" s="1041" cm="1" t="str">
        <f t="array" ref="AN30:AN30">K30</f>
        <v>2026</v>
      </c>
      <c r="AO30" s="1041" t="s">
        <v>2088</v>
      </c>
      <c r="AP30" s="1051" cm="1" t="str">
        <f t="array" ref="AP30:AP30">AP29</f>
        <v>0</v>
      </c>
      <c r="AQ30" s="679"/>
      <c r="AR30" s="679"/>
    </row>
    <row s="1256" customFormat="1" customHeight="1" ht="14.625" hidden="1">
      <c r="A31" s="1256"/>
      <c r="B31" s="417">
        <f>K31&lt;first_year+PERIOD_LENGTH</f>
        <v>0</v>
      </c>
      <c r="C31" s="1256"/>
      <c r="D31" s="1256"/>
      <c r="E31" s="679">
        <v>15</v>
      </c>
      <c r="F31" s="50" cm="1" t="str">
        <f t="array" ref="F31:F31">OFFSET(E31,-1,1)</f>
        <v>0</v>
      </c>
      <c r="G31" s="64" cm="1" t="str">
        <f t="array" ref="G31:G31">G30</f>
        <v>0</v>
      </c>
      <c r="H31" s="1256"/>
      <c r="I31" s="1256"/>
      <c r="J31" s="1256"/>
      <c r="K31" s="124">
        <f>first_year+1</f>
        <v>2027</v>
      </c>
      <c r="L31" s="1256"/>
      <c r="M31" s="1256"/>
      <c r="N31" s="1256"/>
      <c r="O31" s="1256"/>
      <c r="P31" s="1256"/>
      <c r="Q31" s="1256"/>
      <c r="R31" s="1256"/>
      <c r="S31" s="1256"/>
      <c r="T31" s="438" cm="1" t="str">
        <f t="array" ref="T31:T31">T30</f>
        <v>false</v>
      </c>
      <c r="U31" s="1256"/>
      <c r="V31" s="1256"/>
      <c r="W31" s="1256"/>
      <c r="X31" s="1511"/>
      <c r="Y31" s="1511"/>
      <c r="Z31" s="1494"/>
      <c r="AA31" s="1593"/>
      <c r="AB31" s="221" t="str">
        <f>K31&amp;" год"</f>
        <v>2027 год</v>
      </c>
      <c r="AC31" s="379"/>
      <c r="AD31" s="3872"/>
      <c r="AE31" s="3871"/>
      <c r="AF31" s="3871"/>
      <c r="AG31" s="3872"/>
      <c r="AH31" s="3871"/>
      <c r="AI31" s="3872"/>
      <c r="AJ31" s="3871"/>
      <c r="AK31" s="3873"/>
      <c r="AL31" s="374"/>
      <c r="AM31" s="1256"/>
      <c r="AN31" s="1041" cm="1" t="str">
        <f t="array" ref="AN31:AN31">K31</f>
        <v>2027</v>
      </c>
      <c r="AO31" s="1041" t="s">
        <v>2088</v>
      </c>
      <c r="AP31" s="1051" cm="1" t="str">
        <f t="array" ref="AP31:AP31">AP30</f>
        <v>0</v>
      </c>
      <c r="AQ31" s="679"/>
      <c r="AR31" s="679"/>
    </row>
    <row s="1256" customFormat="1" customHeight="1" ht="14.625" hidden="1">
      <c r="A32" s="1256"/>
      <c r="B32" s="417">
        <f>K32&lt;first_year+PERIOD_LENGTH</f>
        <v>0</v>
      </c>
      <c r="C32" s="1256"/>
      <c r="D32" s="1256"/>
      <c r="E32" s="679">
        <v>15</v>
      </c>
      <c r="F32" s="50" cm="1" t="str">
        <f t="array" ref="F32:F32">OFFSET(E32,-1,1)</f>
        <v>0</v>
      </c>
      <c r="G32" s="64" cm="1" t="str">
        <f t="array" ref="G32:G32">G31</f>
        <v>0</v>
      </c>
      <c r="H32" s="1256"/>
      <c r="I32" s="1256"/>
      <c r="J32" s="1256"/>
      <c r="K32" s="124">
        <f>first_year+2</f>
        <v>2028</v>
      </c>
      <c r="L32" s="1256"/>
      <c r="M32" s="1256"/>
      <c r="N32" s="1256"/>
      <c r="O32" s="1256"/>
      <c r="P32" s="1256"/>
      <c r="Q32" s="1256"/>
      <c r="R32" s="1256"/>
      <c r="S32" s="1256"/>
      <c r="T32" s="438" cm="1" t="str">
        <f t="array" ref="T32:T32">T31</f>
        <v>false</v>
      </c>
      <c r="U32" s="1256"/>
      <c r="V32" s="1256"/>
      <c r="W32" s="1256"/>
      <c r="X32" s="1511"/>
      <c r="Y32" s="1511"/>
      <c r="Z32" s="1494"/>
      <c r="AA32" s="1593"/>
      <c r="AB32" s="221" t="str">
        <f>K32&amp;" год"</f>
        <v>2028 год</v>
      </c>
      <c r="AC32" s="379"/>
      <c r="AD32" s="3872"/>
      <c r="AE32" s="3871"/>
      <c r="AF32" s="3871"/>
      <c r="AG32" s="3872"/>
      <c r="AH32" s="3871"/>
      <c r="AI32" s="3872"/>
      <c r="AJ32" s="3871"/>
      <c r="AK32" s="3873"/>
      <c r="AL32" s="374"/>
      <c r="AM32" s="1256"/>
      <c r="AN32" s="1041" cm="1" t="str">
        <f t="array" ref="AN32:AN32">K32</f>
        <v>2028</v>
      </c>
      <c r="AO32" s="1041" t="s">
        <v>2088</v>
      </c>
      <c r="AP32" s="1051" cm="1" t="str">
        <f t="array" ref="AP32:AP32">AP31</f>
        <v>0</v>
      </c>
      <c r="AQ32" s="679"/>
      <c r="AR32" s="679"/>
    </row>
    <row s="1256" customFormat="1" customHeight="1" ht="14.625" hidden="1">
      <c r="A33" s="1256"/>
      <c r="B33" s="417">
        <f>K33&lt;first_year+PERIOD_LENGTH</f>
        <v>0</v>
      </c>
      <c r="C33" s="1256"/>
      <c r="D33" s="1256"/>
      <c r="E33" s="679">
        <v>15</v>
      </c>
      <c r="F33" s="50" cm="1" t="str">
        <f t="array" ref="F33:F33">OFFSET(E33,-1,1)</f>
        <v>0</v>
      </c>
      <c r="G33" s="64" cm="1" t="str">
        <f t="array" ref="G33:G33">G32</f>
        <v>0</v>
      </c>
      <c r="H33" s="1256"/>
      <c r="I33" s="1256"/>
      <c r="J33" s="1256"/>
      <c r="K33" s="124">
        <f>first_year+3</f>
        <v>2029</v>
      </c>
      <c r="L33" s="1256"/>
      <c r="M33" s="1256"/>
      <c r="N33" s="1256"/>
      <c r="O33" s="1256"/>
      <c r="P33" s="1256"/>
      <c r="Q33" s="1256"/>
      <c r="R33" s="1256"/>
      <c r="S33" s="1256"/>
      <c r="T33" s="438" cm="1" t="str">
        <f t="array" ref="T33:T33">T32</f>
        <v>false</v>
      </c>
      <c r="U33" s="1256"/>
      <c r="V33" s="1256"/>
      <c r="W33" s="1256"/>
      <c r="X33" s="1511"/>
      <c r="Y33" s="1511"/>
      <c r="Z33" s="1494"/>
      <c r="AA33" s="1593"/>
      <c r="AB33" s="221" t="str">
        <f>K33&amp;" год"</f>
        <v>2029 год</v>
      </c>
      <c r="AC33" s="379"/>
      <c r="AD33" s="3872"/>
      <c r="AE33" s="3871"/>
      <c r="AF33" s="3871"/>
      <c r="AG33" s="3872"/>
      <c r="AH33" s="3871"/>
      <c r="AI33" s="3872"/>
      <c r="AJ33" s="3871"/>
      <c r="AK33" s="3873"/>
      <c r="AL33" s="374"/>
      <c r="AM33" s="1256"/>
      <c r="AN33" s="1041" cm="1" t="str">
        <f t="array" ref="AN33:AN33">K33</f>
        <v>2029</v>
      </c>
      <c r="AO33" s="1041" t="s">
        <v>2088</v>
      </c>
      <c r="AP33" s="1051" cm="1" t="str">
        <f t="array" ref="AP33:AP33">AP32</f>
        <v>0</v>
      </c>
      <c r="AQ33" s="679"/>
      <c r="AR33" s="679"/>
    </row>
    <row s="1256" customFormat="1" customHeight="1" ht="14.625" hidden="1">
      <c r="A34" s="1256"/>
      <c r="B34" s="417">
        <f>K34&lt;first_year+PERIOD_LENGTH</f>
        <v>0</v>
      </c>
      <c r="C34" s="1256"/>
      <c r="D34" s="1256"/>
      <c r="E34" s="679">
        <v>15</v>
      </c>
      <c r="F34" s="50" cm="1" t="str">
        <f t="array" ref="F34:F34">OFFSET(E34,-1,1)</f>
        <v>0</v>
      </c>
      <c r="G34" s="64" cm="1" t="str">
        <f t="array" ref="G34:G34">G33</f>
        <v>0</v>
      </c>
      <c r="H34" s="1256"/>
      <c r="I34" s="1256"/>
      <c r="J34" s="1256"/>
      <c r="K34" s="124">
        <f>first_year+4</f>
        <v>2030</v>
      </c>
      <c r="L34" s="1256"/>
      <c r="M34" s="1256"/>
      <c r="N34" s="1256"/>
      <c r="O34" s="1256"/>
      <c r="P34" s="1256"/>
      <c r="Q34" s="1256"/>
      <c r="R34" s="1256"/>
      <c r="S34" s="1256"/>
      <c r="T34" s="438" cm="1" t="str">
        <f t="array" ref="T34:T34">T33</f>
        <v>false</v>
      </c>
      <c r="U34" s="1256"/>
      <c r="V34" s="1256"/>
      <c r="W34" s="1256"/>
      <c r="X34" s="1511"/>
      <c r="Y34" s="1511"/>
      <c r="Z34" s="1494"/>
      <c r="AA34" s="1593"/>
      <c r="AB34" s="221" t="str">
        <f>K34&amp;" год"</f>
        <v>2030 год</v>
      </c>
      <c r="AC34" s="379"/>
      <c r="AD34" s="3872"/>
      <c r="AE34" s="3871"/>
      <c r="AF34" s="3871"/>
      <c r="AG34" s="3872"/>
      <c r="AH34" s="3871"/>
      <c r="AI34" s="3872"/>
      <c r="AJ34" s="3871"/>
      <c r="AK34" s="3873"/>
      <c r="AL34" s="374"/>
      <c r="AM34" s="1256"/>
      <c r="AN34" s="1041" cm="1" t="str">
        <f t="array" ref="AN34:AN34">K34</f>
        <v>2030</v>
      </c>
      <c r="AO34" s="1041" t="s">
        <v>2088</v>
      </c>
      <c r="AP34" s="1051" cm="1" t="str">
        <f t="array" ref="AP34:AP34">AP33</f>
        <v>0</v>
      </c>
      <c r="AQ34" s="679"/>
      <c r="AR34" s="679"/>
    </row>
    <row s="1256" customFormat="1" customHeight="1" ht="14.625" hidden="1">
      <c r="A35" s="1256"/>
      <c r="B35" s="417">
        <f>K35&lt;first_year+PERIOD_LENGTH</f>
        <v>0</v>
      </c>
      <c r="C35" s="1256"/>
      <c r="D35" s="1256"/>
      <c r="E35" s="679">
        <v>15</v>
      </c>
      <c r="F35" s="50" cm="1" t="str">
        <f t="array" ref="F35:F35">OFFSET(E35,-1,1)</f>
        <v>0</v>
      </c>
      <c r="G35" s="64" cm="1" t="str">
        <f t="array" ref="G35:G35">G34</f>
        <v>0</v>
      </c>
      <c r="H35" s="1256"/>
      <c r="I35" s="1256"/>
      <c r="J35" s="1256"/>
      <c r="K35" s="124">
        <f>first_year+5</f>
        <v>2031</v>
      </c>
      <c r="L35" s="1256"/>
      <c r="M35" s="1256"/>
      <c r="N35" s="1256"/>
      <c r="O35" s="1256"/>
      <c r="P35" s="1256"/>
      <c r="Q35" s="1256"/>
      <c r="R35" s="1256"/>
      <c r="S35" s="1256"/>
      <c r="T35" s="438" cm="1" t="str">
        <f t="array" ref="T35:T35">T34</f>
        <v>false</v>
      </c>
      <c r="U35" s="1256"/>
      <c r="V35" s="1256"/>
      <c r="W35" s="1256"/>
      <c r="X35" s="1511"/>
      <c r="Y35" s="1511"/>
      <c r="Z35" s="1494"/>
      <c r="AA35" s="1593"/>
      <c r="AB35" s="221" t="str">
        <f>K35&amp;" год"</f>
        <v>2031 год</v>
      </c>
      <c r="AC35" s="379"/>
      <c r="AD35" s="3872"/>
      <c r="AE35" s="3871"/>
      <c r="AF35" s="3871"/>
      <c r="AG35" s="3872"/>
      <c r="AH35" s="3871"/>
      <c r="AI35" s="3872"/>
      <c r="AJ35" s="3871"/>
      <c r="AK35" s="3873"/>
      <c r="AL35" s="374"/>
      <c r="AM35" s="1256"/>
      <c r="AN35" s="1041" cm="1" t="str">
        <f t="array" ref="AN35:AN35">K35</f>
        <v>2031</v>
      </c>
      <c r="AO35" s="1041" t="s">
        <v>2088</v>
      </c>
      <c r="AP35" s="1051" cm="1" t="str">
        <f t="array" ref="AP35:AP35">AP34</f>
        <v>0</v>
      </c>
      <c r="AQ35" s="679"/>
      <c r="AR35" s="679"/>
    </row>
    <row s="1256" customFormat="1" customHeight="1" ht="14.625" hidden="1">
      <c r="A36" s="1256"/>
      <c r="B36" s="417">
        <f>K36&lt;first_year+PERIOD_LENGTH</f>
        <v>0</v>
      </c>
      <c r="C36" s="1256"/>
      <c r="D36" s="1256"/>
      <c r="E36" s="679">
        <v>15</v>
      </c>
      <c r="F36" s="50" cm="1" t="str">
        <f t="array" ref="F36:F36">OFFSET(E36,-1,1)</f>
        <v>0</v>
      </c>
      <c r="G36" s="64" cm="1" t="str">
        <f t="array" ref="G36:G36">G35</f>
        <v>0</v>
      </c>
      <c r="H36" s="1256"/>
      <c r="I36" s="1256"/>
      <c r="J36" s="1256"/>
      <c r="K36" s="124">
        <f>first_year+6</f>
        <v>2032</v>
      </c>
      <c r="L36" s="1256"/>
      <c r="M36" s="1256"/>
      <c r="N36" s="1256"/>
      <c r="O36" s="1256"/>
      <c r="P36" s="1256"/>
      <c r="Q36" s="1256"/>
      <c r="R36" s="1256"/>
      <c r="S36" s="1256"/>
      <c r="T36" s="438" cm="1" t="str">
        <f t="array" ref="T36:T36">T35</f>
        <v>false</v>
      </c>
      <c r="U36" s="1256"/>
      <c r="V36" s="1256"/>
      <c r="W36" s="1256"/>
      <c r="X36" s="1511"/>
      <c r="Y36" s="1511"/>
      <c r="Z36" s="1494"/>
      <c r="AA36" s="1593"/>
      <c r="AB36" s="221" t="str">
        <f>K36&amp;" год"</f>
        <v>2032 год</v>
      </c>
      <c r="AC36" s="379"/>
      <c r="AD36" s="3872"/>
      <c r="AE36" s="3871"/>
      <c r="AF36" s="3871"/>
      <c r="AG36" s="3872"/>
      <c r="AH36" s="3871"/>
      <c r="AI36" s="3872"/>
      <c r="AJ36" s="3871"/>
      <c r="AK36" s="3873"/>
      <c r="AL36" s="374"/>
      <c r="AM36" s="1256"/>
      <c r="AN36" s="1041" cm="1" t="str">
        <f t="array" ref="AN36:AN36">K36</f>
        <v>2032</v>
      </c>
      <c r="AO36" s="1041" t="s">
        <v>2088</v>
      </c>
      <c r="AP36" s="1051" cm="1" t="str">
        <f t="array" ref="AP36:AP36">AP35</f>
        <v>0</v>
      </c>
      <c r="AQ36" s="679"/>
      <c r="AR36" s="679"/>
    </row>
    <row s="1256" customFormat="1" customHeight="1" ht="14.625" hidden="1">
      <c r="A37" s="1256"/>
      <c r="B37" s="417">
        <f>K37&lt;first_year+PERIOD_LENGTH</f>
        <v>0</v>
      </c>
      <c r="C37" s="1256"/>
      <c r="D37" s="1256"/>
      <c r="E37" s="679">
        <v>15</v>
      </c>
      <c r="F37" s="50" cm="1" t="str">
        <f t="array" ref="F37:F37">OFFSET(E37,-1,1)</f>
        <v>0</v>
      </c>
      <c r="G37" s="64" cm="1" t="str">
        <f t="array" ref="G37:G37">G36</f>
        <v>0</v>
      </c>
      <c r="H37" s="1256"/>
      <c r="I37" s="1256"/>
      <c r="J37" s="1256"/>
      <c r="K37" s="124">
        <f>first_year+7</f>
        <v>2033</v>
      </c>
      <c r="L37" s="1256"/>
      <c r="M37" s="1256"/>
      <c r="N37" s="1256"/>
      <c r="O37" s="1256"/>
      <c r="P37" s="1256"/>
      <c r="Q37" s="1256"/>
      <c r="R37" s="1256"/>
      <c r="S37" s="1256"/>
      <c r="T37" s="438" cm="1" t="str">
        <f t="array" ref="T37:T37">T36</f>
        <v>false</v>
      </c>
      <c r="U37" s="1256"/>
      <c r="V37" s="1256"/>
      <c r="W37" s="1256"/>
      <c r="X37" s="1511"/>
      <c r="Y37" s="1511"/>
      <c r="Z37" s="1494"/>
      <c r="AA37" s="1593"/>
      <c r="AB37" s="221" t="str">
        <f>K37&amp;" год"</f>
        <v>2033 год</v>
      </c>
      <c r="AC37" s="379"/>
      <c r="AD37" s="3872"/>
      <c r="AE37" s="3871"/>
      <c r="AF37" s="3871"/>
      <c r="AG37" s="3872"/>
      <c r="AH37" s="3871"/>
      <c r="AI37" s="3872"/>
      <c r="AJ37" s="3871"/>
      <c r="AK37" s="3873"/>
      <c r="AL37" s="374"/>
      <c r="AM37" s="1256"/>
      <c r="AN37" s="1041" cm="1" t="str">
        <f t="array" ref="AN37:AN37">K37</f>
        <v>2033</v>
      </c>
      <c r="AO37" s="1041" t="s">
        <v>2088</v>
      </c>
      <c r="AP37" s="1051" cm="1" t="str">
        <f t="array" ref="AP37:AP37">AP36</f>
        <v>0</v>
      </c>
      <c r="AQ37" s="679"/>
      <c r="AR37" s="679"/>
    </row>
    <row s="1256" customFormat="1" customHeight="1" ht="14.625" hidden="1">
      <c r="A38" s="1256"/>
      <c r="B38" s="417">
        <f>K38&lt;first_year+PERIOD_LENGTH</f>
        <v>0</v>
      </c>
      <c r="C38" s="1256"/>
      <c r="D38" s="1256"/>
      <c r="E38" s="679">
        <v>15</v>
      </c>
      <c r="F38" s="50" cm="1" t="str">
        <f t="array" ref="F38:F38">OFFSET(E38,-1,1)</f>
        <v>0</v>
      </c>
      <c r="G38" s="64" cm="1" t="str">
        <f t="array" ref="G38:G38">G37</f>
        <v>0</v>
      </c>
      <c r="H38" s="1256"/>
      <c r="I38" s="1256"/>
      <c r="J38" s="1256"/>
      <c r="K38" s="124">
        <f>first_year+8</f>
        <v>2034</v>
      </c>
      <c r="L38" s="1256"/>
      <c r="M38" s="1256"/>
      <c r="N38" s="1256"/>
      <c r="O38" s="1256"/>
      <c r="P38" s="1256"/>
      <c r="Q38" s="1256"/>
      <c r="R38" s="1256"/>
      <c r="S38" s="1256"/>
      <c r="T38" s="438" cm="1" t="str">
        <f t="array" ref="T38:T38">T37</f>
        <v>false</v>
      </c>
      <c r="U38" s="1256"/>
      <c r="V38" s="1256"/>
      <c r="W38" s="1256"/>
      <c r="X38" s="1511"/>
      <c r="Y38" s="1511"/>
      <c r="Z38" s="1494"/>
      <c r="AA38" s="1593"/>
      <c r="AB38" s="221" t="str">
        <f>K38&amp;" год"</f>
        <v>2034 год</v>
      </c>
      <c r="AC38" s="379"/>
      <c r="AD38" s="3872"/>
      <c r="AE38" s="3871"/>
      <c r="AF38" s="3871"/>
      <c r="AG38" s="3872"/>
      <c r="AH38" s="3871"/>
      <c r="AI38" s="3872"/>
      <c r="AJ38" s="3871"/>
      <c r="AK38" s="3873"/>
      <c r="AL38" s="374"/>
      <c r="AM38" s="1256"/>
      <c r="AN38" s="1041" cm="1" t="str">
        <f t="array" ref="AN38:AN38">K38</f>
        <v>2034</v>
      </c>
      <c r="AO38" s="1041" t="s">
        <v>2088</v>
      </c>
      <c r="AP38" s="1051" cm="1" t="str">
        <f t="array" ref="AP38:AP38">AP37</f>
        <v>0</v>
      </c>
      <c r="AQ38" s="679"/>
      <c r="AR38" s="679"/>
    </row>
    <row s="1256" customFormat="1" customHeight="1" ht="14.625" hidden="1">
      <c r="A39" s="1256"/>
      <c r="B39" s="417">
        <f>K39&lt;first_year+PERIOD_LENGTH</f>
        <v>0</v>
      </c>
      <c r="C39" s="1256"/>
      <c r="D39" s="1256"/>
      <c r="E39" s="679">
        <v>15</v>
      </c>
      <c r="F39" s="50" cm="1" t="str">
        <f t="array" ref="F39:F39">OFFSET(E39,-1,1)</f>
        <v>0</v>
      </c>
      <c r="G39" s="64" cm="1" t="str">
        <f t="array" ref="G39:G39">G38</f>
        <v>0</v>
      </c>
      <c r="H39" s="1256"/>
      <c r="I39" s="1256"/>
      <c r="J39" s="1256"/>
      <c r="K39" s="124">
        <f>first_year+9</f>
        <v>2035</v>
      </c>
      <c r="L39" s="1256"/>
      <c r="M39" s="1256"/>
      <c r="N39" s="1256"/>
      <c r="O39" s="1256"/>
      <c r="P39" s="1256"/>
      <c r="Q39" s="1256"/>
      <c r="R39" s="1256"/>
      <c r="S39" s="1256"/>
      <c r="T39" s="438" cm="1" t="str">
        <f t="array" ref="T39:T39">T38</f>
        <v>false</v>
      </c>
      <c r="U39" s="1256"/>
      <c r="V39" s="1256"/>
      <c r="W39" s="1256"/>
      <c r="X39" s="1511"/>
      <c r="Y39" s="1511"/>
      <c r="Z39" s="1494"/>
      <c r="AA39" s="1593"/>
      <c r="AB39" s="221" t="str">
        <f>K39&amp;" год"</f>
        <v>2035 год</v>
      </c>
      <c r="AC39" s="379"/>
      <c r="AD39" s="3872"/>
      <c r="AE39" s="3871"/>
      <c r="AF39" s="3871"/>
      <c r="AG39" s="3872"/>
      <c r="AH39" s="3871"/>
      <c r="AI39" s="3872"/>
      <c r="AJ39" s="3871"/>
      <c r="AK39" s="3873"/>
      <c r="AL39" s="374"/>
      <c r="AM39" s="1256"/>
      <c r="AN39" s="1041" cm="1" t="str">
        <f t="array" ref="AN39:AN39">K39</f>
        <v>2035</v>
      </c>
      <c r="AO39" s="1041" t="s">
        <v>2088</v>
      </c>
      <c r="AP39" s="1051" cm="1" t="str">
        <f t="array" ref="AP39:AP39">AP38</f>
        <v>0</v>
      </c>
      <c r="AQ39" s="679"/>
      <c r="AR39" s="679"/>
    </row>
    <row s="1256" customFormat="1" customHeight="1" ht="14.625" hidden="1">
      <c r="A40" s="1256"/>
      <c r="B40" s="417">
        <f>K40&lt;first_year+PERIOD_LENGTH</f>
        <v>0</v>
      </c>
      <c r="C40" s="1256"/>
      <c r="D40" s="1256"/>
      <c r="E40" s="679">
        <v>15</v>
      </c>
      <c r="F40" s="50" cm="1" t="str">
        <f t="array" ref="F40:F40">OFFSET(E40,-1,1)</f>
        <v>0</v>
      </c>
      <c r="G40" s="64" cm="1" t="str">
        <f t="array" ref="G40:G40">G39</f>
        <v>0</v>
      </c>
      <c r="H40" s="1256"/>
      <c r="I40" s="1256"/>
      <c r="J40" s="1256"/>
      <c r="K40" s="124">
        <f>first_year+10</f>
        <v>2036</v>
      </c>
      <c r="L40" s="1256"/>
      <c r="M40" s="1256"/>
      <c r="N40" s="1256"/>
      <c r="O40" s="1256"/>
      <c r="P40" s="1256"/>
      <c r="Q40" s="1256"/>
      <c r="R40" s="1256"/>
      <c r="S40" s="1256"/>
      <c r="T40" s="438" cm="1" t="str">
        <f t="array" ref="T40:T40">T39</f>
        <v>false</v>
      </c>
      <c r="U40" s="1256"/>
      <c r="V40" s="1256"/>
      <c r="W40" s="1256"/>
      <c r="X40" s="1511"/>
      <c r="Y40" s="1511"/>
      <c r="Z40" s="1494"/>
      <c r="AA40" s="1593"/>
      <c r="AB40" s="221" t="str">
        <f>K40&amp;" год"</f>
        <v>2036 год</v>
      </c>
      <c r="AC40" s="379"/>
      <c r="AD40" s="3872"/>
      <c r="AE40" s="3871"/>
      <c r="AF40" s="3871"/>
      <c r="AG40" s="3872"/>
      <c r="AH40" s="3871"/>
      <c r="AI40" s="3872"/>
      <c r="AJ40" s="3871"/>
      <c r="AK40" s="3873"/>
      <c r="AL40" s="374"/>
      <c r="AM40" s="1256"/>
      <c r="AN40" s="1041" cm="1" t="str">
        <f t="array" ref="AN40:AN40">K40</f>
        <v>2036</v>
      </c>
      <c r="AO40" s="1041" t="s">
        <v>2088</v>
      </c>
      <c r="AP40" s="1051" cm="1" t="str">
        <f t="array" ref="AP40:AP40">AP39</f>
        <v>0</v>
      </c>
      <c r="AQ40" s="679"/>
      <c r="AR40" s="679"/>
    </row>
    <row s="1256" customFormat="1" customHeight="1" ht="14.625" hidden="1">
      <c r="A41" s="1256"/>
      <c r="B41" s="417">
        <f>K41&lt;first_year+PERIOD_LENGTH</f>
        <v>0</v>
      </c>
      <c r="C41" s="1256"/>
      <c r="D41" s="1256"/>
      <c r="E41" s="679">
        <v>15</v>
      </c>
      <c r="F41" s="50" cm="1" t="str">
        <f t="array" ref="F41:F41">OFFSET(E41,-1,1)</f>
        <v>0</v>
      </c>
      <c r="G41" s="64" cm="1" t="str">
        <f t="array" ref="G41:G41">G40</f>
        <v>0</v>
      </c>
      <c r="H41" s="1256"/>
      <c r="I41" s="1256"/>
      <c r="J41" s="1256"/>
      <c r="K41" s="124">
        <f>first_year+11</f>
        <v>2037</v>
      </c>
      <c r="L41" s="1256"/>
      <c r="M41" s="1256"/>
      <c r="N41" s="1256"/>
      <c r="O41" s="1256"/>
      <c r="P41" s="1256"/>
      <c r="Q41" s="1256"/>
      <c r="R41" s="1256"/>
      <c r="S41" s="1256"/>
      <c r="T41" s="438" cm="1" t="str">
        <f t="array" ref="T41:T41">T40</f>
        <v>false</v>
      </c>
      <c r="U41" s="1256"/>
      <c r="V41" s="1256"/>
      <c r="W41" s="1256"/>
      <c r="X41" s="1511"/>
      <c r="Y41" s="1511"/>
      <c r="Z41" s="1494"/>
      <c r="AA41" s="1593"/>
      <c r="AB41" s="221" t="str">
        <f>K41&amp;" год"</f>
        <v>2037 год</v>
      </c>
      <c r="AC41" s="379"/>
      <c r="AD41" s="3872"/>
      <c r="AE41" s="3871"/>
      <c r="AF41" s="3871"/>
      <c r="AG41" s="3872"/>
      <c r="AH41" s="3871"/>
      <c r="AI41" s="3872"/>
      <c r="AJ41" s="3871"/>
      <c r="AK41" s="3873"/>
      <c r="AL41" s="374"/>
      <c r="AM41" s="1256"/>
      <c r="AN41" s="1041" cm="1" t="str">
        <f t="array" ref="AN41:AN41">K41</f>
        <v>2037</v>
      </c>
      <c r="AO41" s="1041" t="s">
        <v>2088</v>
      </c>
      <c r="AP41" s="1051" cm="1" t="str">
        <f t="array" ref="AP41:AP41">AP40</f>
        <v>0</v>
      </c>
      <c r="AQ41" s="679"/>
      <c r="AR41" s="679"/>
    </row>
    <row s="1256" customFormat="1" customHeight="1" ht="14.625" hidden="1">
      <c r="A42" s="1256"/>
      <c r="B42" s="417">
        <f>K42&lt;first_year+PERIOD_LENGTH</f>
        <v>0</v>
      </c>
      <c r="C42" s="1256"/>
      <c r="D42" s="1256"/>
      <c r="E42" s="679">
        <v>15</v>
      </c>
      <c r="F42" s="50" cm="1" t="str">
        <f t="array" ref="F42:F42">OFFSET(E42,-1,1)</f>
        <v>0</v>
      </c>
      <c r="G42" s="64" cm="1" t="str">
        <f t="array" ref="G42:G42">G41</f>
        <v>0</v>
      </c>
      <c r="H42" s="1256"/>
      <c r="I42" s="1256"/>
      <c r="J42" s="1256"/>
      <c r="K42" s="124">
        <f>first_year+12</f>
        <v>2038</v>
      </c>
      <c r="L42" s="1256"/>
      <c r="M42" s="1256"/>
      <c r="N42" s="1256"/>
      <c r="O42" s="1256"/>
      <c r="P42" s="1256"/>
      <c r="Q42" s="1256"/>
      <c r="R42" s="1256"/>
      <c r="S42" s="1256"/>
      <c r="T42" s="438" cm="1" t="str">
        <f t="array" ref="T42:T42">T41</f>
        <v>false</v>
      </c>
      <c r="U42" s="1256"/>
      <c r="V42" s="1256"/>
      <c r="W42" s="1256"/>
      <c r="X42" s="1511"/>
      <c r="Y42" s="1511"/>
      <c r="Z42" s="1494"/>
      <c r="AA42" s="1593"/>
      <c r="AB42" s="221" t="str">
        <f>K42&amp;" год"</f>
        <v>2038 год</v>
      </c>
      <c r="AC42" s="379"/>
      <c r="AD42" s="3872"/>
      <c r="AE42" s="3871"/>
      <c r="AF42" s="3871"/>
      <c r="AG42" s="3872"/>
      <c r="AH42" s="3871"/>
      <c r="AI42" s="3872"/>
      <c r="AJ42" s="3871"/>
      <c r="AK42" s="3873"/>
      <c r="AL42" s="374"/>
      <c r="AM42" s="1256"/>
      <c r="AN42" s="1041" cm="1" t="str">
        <f t="array" ref="AN42:AN42">K42</f>
        <v>2038</v>
      </c>
      <c r="AO42" s="1041" t="s">
        <v>2088</v>
      </c>
      <c r="AP42" s="1051" cm="1" t="str">
        <f t="array" ref="AP42:AP42">AP41</f>
        <v>0</v>
      </c>
      <c r="AQ42" s="679"/>
      <c r="AR42" s="679"/>
    </row>
    <row s="1256" customFormat="1" customHeight="1" ht="14.625" hidden="1">
      <c r="A43" s="1256"/>
      <c r="B43" s="417">
        <f>K43&lt;first_year+PERIOD_LENGTH</f>
        <v>0</v>
      </c>
      <c r="C43" s="1256"/>
      <c r="D43" s="1256"/>
      <c r="E43" s="679">
        <v>15</v>
      </c>
      <c r="F43" s="50" cm="1" t="str">
        <f t="array" ref="F43:F43">OFFSET(E43,-1,1)</f>
        <v>0</v>
      </c>
      <c r="G43" s="64" cm="1" t="str">
        <f t="array" ref="G43:G43">G42</f>
        <v>0</v>
      </c>
      <c r="H43" s="1256"/>
      <c r="I43" s="1256"/>
      <c r="J43" s="1256"/>
      <c r="K43" s="124">
        <f>first_year+13</f>
        <v>2039</v>
      </c>
      <c r="L43" s="1256"/>
      <c r="M43" s="1256"/>
      <c r="N43" s="1256"/>
      <c r="O43" s="1256"/>
      <c r="P43" s="1256"/>
      <c r="Q43" s="1256"/>
      <c r="R43" s="1256"/>
      <c r="S43" s="1256"/>
      <c r="T43" s="438" cm="1" t="str">
        <f t="array" ref="T43:T43">T42</f>
        <v>false</v>
      </c>
      <c r="U43" s="1256"/>
      <c r="V43" s="1256"/>
      <c r="W43" s="1256"/>
      <c r="X43" s="1511"/>
      <c r="Y43" s="1511"/>
      <c r="Z43" s="1494"/>
      <c r="AA43" s="1593"/>
      <c r="AB43" s="221" t="str">
        <f>K43&amp;" год"</f>
        <v>2039 год</v>
      </c>
      <c r="AC43" s="379"/>
      <c r="AD43" s="3872"/>
      <c r="AE43" s="3871"/>
      <c r="AF43" s="3871"/>
      <c r="AG43" s="3872"/>
      <c r="AH43" s="3871"/>
      <c r="AI43" s="3872"/>
      <c r="AJ43" s="3871"/>
      <c r="AK43" s="3873"/>
      <c r="AL43" s="374"/>
      <c r="AM43" s="1256"/>
      <c r="AN43" s="1041" cm="1" t="str">
        <f t="array" ref="AN43:AN43">K43</f>
        <v>2039</v>
      </c>
      <c r="AO43" s="1041" t="s">
        <v>2088</v>
      </c>
      <c r="AP43" s="1051" cm="1" t="str">
        <f t="array" ref="AP43:AP43">AP42</f>
        <v>0</v>
      </c>
      <c r="AQ43" s="679"/>
      <c r="AR43" s="679"/>
    </row>
    <row s="1256" customFormat="1" customHeight="1" ht="14.625" hidden="1">
      <c r="A44" s="1256"/>
      <c r="B44" s="417">
        <f>K44&lt;first_year+PERIOD_LENGTH</f>
        <v>0</v>
      </c>
      <c r="C44" s="1256"/>
      <c r="D44" s="1256"/>
      <c r="E44" s="679">
        <v>15</v>
      </c>
      <c r="F44" s="50" cm="1" t="str">
        <f t="array" ref="F44:F44">OFFSET(E44,-1,1)</f>
        <v>0</v>
      </c>
      <c r="G44" s="64" cm="1" t="str">
        <f t="array" ref="G44:G44">G43</f>
        <v>0</v>
      </c>
      <c r="H44" s="1256"/>
      <c r="I44" s="1256"/>
      <c r="J44" s="1256"/>
      <c r="K44" s="124">
        <f>first_year+14</f>
        <v>2040</v>
      </c>
      <c r="L44" s="1256"/>
      <c r="M44" s="1256"/>
      <c r="N44" s="1256"/>
      <c r="O44" s="1256"/>
      <c r="P44" s="1256"/>
      <c r="Q44" s="1256"/>
      <c r="R44" s="1256"/>
      <c r="S44" s="1256"/>
      <c r="T44" s="438" cm="1" t="str">
        <f t="array" ref="T44:T44">T43</f>
        <v>false</v>
      </c>
      <c r="U44" s="1256"/>
      <c r="V44" s="1256"/>
      <c r="W44" s="1256"/>
      <c r="X44" s="1511"/>
      <c r="Y44" s="1511"/>
      <c r="Z44" s="1494"/>
      <c r="AA44" s="1593"/>
      <c r="AB44" s="221" t="str">
        <f>K44&amp;" год"</f>
        <v>2040 год</v>
      </c>
      <c r="AC44" s="379"/>
      <c r="AD44" s="3872"/>
      <c r="AE44" s="3871"/>
      <c r="AF44" s="3871"/>
      <c r="AG44" s="3872"/>
      <c r="AH44" s="3871"/>
      <c r="AI44" s="3872"/>
      <c r="AJ44" s="3871"/>
      <c r="AK44" s="3873"/>
      <c r="AL44" s="374"/>
      <c r="AM44" s="1256"/>
      <c r="AN44" s="1041" cm="1" t="str">
        <f t="array" ref="AN44:AN44">K44</f>
        <v>2040</v>
      </c>
      <c r="AO44" s="1041" t="s">
        <v>2088</v>
      </c>
      <c r="AP44" s="1051" cm="1" t="str">
        <f t="array" ref="AP44:AP44">AP43</f>
        <v>0</v>
      </c>
      <c r="AQ44" s="679"/>
      <c r="AR44" s="679"/>
    </row>
    <row s="1256" customFormat="1" customHeight="1" ht="14.625" hidden="1">
      <c r="A45" s="1256"/>
      <c r="B45" s="417">
        <f>K45&lt;first_year+PERIOD_LENGTH</f>
        <v>0</v>
      </c>
      <c r="C45" s="1256"/>
      <c r="D45" s="1256"/>
      <c r="E45" s="679">
        <v>15</v>
      </c>
      <c r="F45" s="50" cm="1" t="str">
        <f t="array" ref="F45:F45">OFFSET(E45,-1,1)</f>
        <v>0</v>
      </c>
      <c r="G45" s="64" cm="1" t="str">
        <f t="array" ref="G45:G45">G44</f>
        <v>0</v>
      </c>
      <c r="H45" s="1256"/>
      <c r="I45" s="1256"/>
      <c r="J45" s="1256"/>
      <c r="K45" s="124">
        <f>first_year+15</f>
        <v>2041</v>
      </c>
      <c r="L45" s="1256"/>
      <c r="M45" s="1256"/>
      <c r="N45" s="1256"/>
      <c r="O45" s="1256"/>
      <c r="P45" s="1256"/>
      <c r="Q45" s="1256"/>
      <c r="R45" s="1256"/>
      <c r="S45" s="1256"/>
      <c r="T45" s="438" cm="1" t="str">
        <f t="array" ref="T45:T45">T44</f>
        <v>false</v>
      </c>
      <c r="U45" s="1256"/>
      <c r="V45" s="1256"/>
      <c r="W45" s="1256"/>
      <c r="X45" s="1511"/>
      <c r="Y45" s="1511"/>
      <c r="Z45" s="1494"/>
      <c r="AA45" s="1593"/>
      <c r="AB45" s="221" t="str">
        <f>K45&amp;" год"</f>
        <v>2041 год</v>
      </c>
      <c r="AC45" s="379"/>
      <c r="AD45" s="3872"/>
      <c r="AE45" s="3871"/>
      <c r="AF45" s="3871"/>
      <c r="AG45" s="3872"/>
      <c r="AH45" s="3871"/>
      <c r="AI45" s="3872"/>
      <c r="AJ45" s="3871"/>
      <c r="AK45" s="3873"/>
      <c r="AL45" s="374"/>
      <c r="AM45" s="1256"/>
      <c r="AN45" s="1041" cm="1" t="str">
        <f t="array" ref="AN45:AN45">K45</f>
        <v>2041</v>
      </c>
      <c r="AO45" s="1041" t="s">
        <v>2088</v>
      </c>
      <c r="AP45" s="1051" cm="1" t="str">
        <f t="array" ref="AP45:AP45">AP44</f>
        <v>0</v>
      </c>
      <c r="AQ45" s="679"/>
      <c r="AR45" s="679"/>
    </row>
    <row s="1256" customFormat="1" customHeight="1" ht="14.625" hidden="1">
      <c r="A46" s="1256"/>
      <c r="B46" s="417">
        <f>K46&lt;first_year+PERIOD_LENGTH</f>
        <v>0</v>
      </c>
      <c r="C46" s="1256"/>
      <c r="D46" s="1256"/>
      <c r="E46" s="679">
        <v>15</v>
      </c>
      <c r="F46" s="50" cm="1" t="str">
        <f t="array" ref="F46:F46">OFFSET(E46,-1,1)</f>
        <v>0</v>
      </c>
      <c r="G46" s="64" cm="1" t="str">
        <f t="array" ref="G46:G46">G45</f>
        <v>0</v>
      </c>
      <c r="H46" s="1256"/>
      <c r="I46" s="1256"/>
      <c r="J46" s="1256"/>
      <c r="K46" s="124">
        <f>first_year+16</f>
        <v>2042</v>
      </c>
      <c r="L46" s="1256"/>
      <c r="M46" s="1256"/>
      <c r="N46" s="1256"/>
      <c r="O46" s="1256"/>
      <c r="P46" s="1256"/>
      <c r="Q46" s="1256"/>
      <c r="R46" s="1256"/>
      <c r="S46" s="1256"/>
      <c r="T46" s="438" cm="1" t="str">
        <f t="array" ref="T46:T46">T45</f>
        <v>false</v>
      </c>
      <c r="U46" s="1256"/>
      <c r="V46" s="1256"/>
      <c r="W46" s="1256"/>
      <c r="X46" s="1511"/>
      <c r="Y46" s="1511"/>
      <c r="Z46" s="1494"/>
      <c r="AA46" s="1593"/>
      <c r="AB46" s="221" t="str">
        <f>K46&amp;" год"</f>
        <v>2042 год</v>
      </c>
      <c r="AC46" s="379"/>
      <c r="AD46" s="3872"/>
      <c r="AE46" s="3871"/>
      <c r="AF46" s="3871"/>
      <c r="AG46" s="3872"/>
      <c r="AH46" s="3871"/>
      <c r="AI46" s="3872"/>
      <c r="AJ46" s="3871"/>
      <c r="AK46" s="3873"/>
      <c r="AL46" s="374"/>
      <c r="AM46" s="1256"/>
      <c r="AN46" s="1041" cm="1" t="str">
        <f t="array" ref="AN46:AN46">K46</f>
        <v>2042</v>
      </c>
      <c r="AO46" s="1041" t="s">
        <v>2088</v>
      </c>
      <c r="AP46" s="1051" cm="1" t="str">
        <f t="array" ref="AP46:AP46">AP45</f>
        <v>0</v>
      </c>
      <c r="AQ46" s="679"/>
      <c r="AR46" s="679"/>
    </row>
    <row s="1256" customFormat="1" customHeight="1" ht="14.625" hidden="1">
      <c r="A47" s="1256"/>
      <c r="B47" s="417">
        <f>K47&lt;first_year+PERIOD_LENGTH</f>
        <v>0</v>
      </c>
      <c r="C47" s="1256"/>
      <c r="D47" s="1256"/>
      <c r="E47" s="679">
        <v>15</v>
      </c>
      <c r="F47" s="50" cm="1" t="str">
        <f t="array" ref="F47:F47">OFFSET(E47,-1,1)</f>
        <v>0</v>
      </c>
      <c r="G47" s="64" cm="1" t="str">
        <f t="array" ref="G47:G47">G46</f>
        <v>0</v>
      </c>
      <c r="H47" s="1256"/>
      <c r="I47" s="1256"/>
      <c r="J47" s="1256"/>
      <c r="K47" s="124">
        <f>first_year+17</f>
        <v>2043</v>
      </c>
      <c r="L47" s="1256"/>
      <c r="M47" s="1256"/>
      <c r="N47" s="1256"/>
      <c r="O47" s="1256"/>
      <c r="P47" s="1256"/>
      <c r="Q47" s="1256"/>
      <c r="R47" s="1256"/>
      <c r="S47" s="1256"/>
      <c r="T47" s="438" cm="1" t="str">
        <f t="array" ref="T47:T47">T46</f>
        <v>false</v>
      </c>
      <c r="U47" s="1256"/>
      <c r="V47" s="1256"/>
      <c r="W47" s="1256"/>
      <c r="X47" s="1511"/>
      <c r="Y47" s="1511"/>
      <c r="Z47" s="1494"/>
      <c r="AA47" s="1593"/>
      <c r="AB47" s="221" t="str">
        <f>K47&amp;" год"</f>
        <v>2043 год</v>
      </c>
      <c r="AC47" s="379"/>
      <c r="AD47" s="3872"/>
      <c r="AE47" s="3871"/>
      <c r="AF47" s="3871"/>
      <c r="AG47" s="3872"/>
      <c r="AH47" s="3871"/>
      <c r="AI47" s="3872"/>
      <c r="AJ47" s="3871"/>
      <c r="AK47" s="3873"/>
      <c r="AL47" s="374"/>
      <c r="AM47" s="1256"/>
      <c r="AN47" s="1041" cm="1" t="str">
        <f t="array" ref="AN47:AN47">K47</f>
        <v>2043</v>
      </c>
      <c r="AO47" s="1041" t="s">
        <v>2088</v>
      </c>
      <c r="AP47" s="1051" cm="1" t="str">
        <f t="array" ref="AP47:AP47">AP46</f>
        <v>0</v>
      </c>
      <c r="AQ47" s="679"/>
      <c r="AR47" s="679"/>
    </row>
    <row s="1256" customFormat="1" customHeight="1" ht="14.625" hidden="1">
      <c r="A48" s="1256"/>
      <c r="B48" s="417">
        <f>K48&lt;first_year+PERIOD_LENGTH</f>
        <v>0</v>
      </c>
      <c r="C48" s="1256"/>
      <c r="D48" s="1256"/>
      <c r="E48" s="679">
        <v>15</v>
      </c>
      <c r="F48" s="50" cm="1" t="str">
        <f t="array" ref="F48:F48">OFFSET(E48,-1,1)</f>
        <v>0</v>
      </c>
      <c r="G48" s="64" cm="1" t="str">
        <f t="array" ref="G48:G48">G47</f>
        <v>0</v>
      </c>
      <c r="H48" s="1256"/>
      <c r="I48" s="1256"/>
      <c r="J48" s="1256"/>
      <c r="K48" s="124">
        <f>first_year+18</f>
        <v>2044</v>
      </c>
      <c r="L48" s="1256"/>
      <c r="M48" s="1256"/>
      <c r="N48" s="1256"/>
      <c r="O48" s="1256"/>
      <c r="P48" s="1256"/>
      <c r="Q48" s="1256"/>
      <c r="R48" s="1256"/>
      <c r="S48" s="1256"/>
      <c r="T48" s="438" cm="1" t="str">
        <f t="array" ref="T48:T48">T47</f>
        <v>false</v>
      </c>
      <c r="U48" s="1256"/>
      <c r="V48" s="1256"/>
      <c r="W48" s="1256"/>
      <c r="X48" s="1511"/>
      <c r="Y48" s="1511"/>
      <c r="Z48" s="1494"/>
      <c r="AA48" s="1593"/>
      <c r="AB48" s="221" t="str">
        <f>K48&amp;" год"</f>
        <v>2044 год</v>
      </c>
      <c r="AC48" s="379"/>
      <c r="AD48" s="3872"/>
      <c r="AE48" s="3871"/>
      <c r="AF48" s="3871"/>
      <c r="AG48" s="3872"/>
      <c r="AH48" s="3871"/>
      <c r="AI48" s="3872"/>
      <c r="AJ48" s="3871"/>
      <c r="AK48" s="3873"/>
      <c r="AL48" s="374"/>
      <c r="AM48" s="1256"/>
      <c r="AN48" s="1041" cm="1" t="str">
        <f t="array" ref="AN48:AN48">K48</f>
        <v>2044</v>
      </c>
      <c r="AO48" s="1041" t="s">
        <v>2088</v>
      </c>
      <c r="AP48" s="1051" cm="1" t="str">
        <f t="array" ref="AP48:AP48">AP47</f>
        <v>0</v>
      </c>
      <c r="AQ48" s="679"/>
      <c r="AR48" s="679"/>
    </row>
    <row s="1256" customFormat="1" customHeight="1" ht="14.625" hidden="1">
      <c r="A49" s="1256"/>
      <c r="B49" s="417">
        <f>K49&lt;first_year+PERIOD_LENGTH</f>
        <v>0</v>
      </c>
      <c r="C49" s="1256"/>
      <c r="D49" s="1256"/>
      <c r="E49" s="679">
        <v>15</v>
      </c>
      <c r="F49" s="50" cm="1" t="str">
        <f t="array" ref="F49:F49">OFFSET(E49,-1,1)</f>
        <v>0</v>
      </c>
      <c r="G49" s="64" cm="1" t="str">
        <f t="array" ref="G49:G49">G48</f>
        <v>0</v>
      </c>
      <c r="H49" s="1256"/>
      <c r="I49" s="1256"/>
      <c r="J49" s="1256"/>
      <c r="K49" s="124">
        <f>first_year+19</f>
        <v>2045</v>
      </c>
      <c r="L49" s="1256"/>
      <c r="M49" s="1256"/>
      <c r="N49" s="1256"/>
      <c r="O49" s="1256"/>
      <c r="P49" s="1256"/>
      <c r="Q49" s="1256"/>
      <c r="R49" s="1256"/>
      <c r="S49" s="1256"/>
      <c r="T49" s="438" cm="1" t="str">
        <f t="array" ref="T49:T49">T48</f>
        <v>false</v>
      </c>
      <c r="U49" s="1256"/>
      <c r="V49" s="1256"/>
      <c r="W49" s="1256"/>
      <c r="X49" s="1511"/>
      <c r="Y49" s="1511"/>
      <c r="Z49" s="1494"/>
      <c r="AA49" s="1593"/>
      <c r="AB49" s="221" t="str">
        <f>K49&amp;" год"</f>
        <v>2045 год</v>
      </c>
      <c r="AC49" s="379"/>
      <c r="AD49" s="3872"/>
      <c r="AE49" s="3871"/>
      <c r="AF49" s="3871"/>
      <c r="AG49" s="3872"/>
      <c r="AH49" s="3871"/>
      <c r="AI49" s="3872"/>
      <c r="AJ49" s="3871"/>
      <c r="AK49" s="3873"/>
      <c r="AL49" s="374"/>
      <c r="AM49" s="1256"/>
      <c r="AN49" s="1041" cm="1" t="str">
        <f t="array" ref="AN49:AN49">K49</f>
        <v>2045</v>
      </c>
      <c r="AO49" s="1041" t="s">
        <v>2088</v>
      </c>
      <c r="AP49" s="1051" cm="1" t="str">
        <f t="array" ref="AP49:AP49">AP48</f>
        <v>0</v>
      </c>
      <c r="AQ49" s="679"/>
      <c r="AR49" s="679"/>
    </row>
    <row s="1256" customFormat="1" customHeight="1" ht="14.625" hidden="1">
      <c r="A50" s="1256"/>
      <c r="B50" s="417">
        <f>K50&lt;first_year+PERIOD_LENGTH</f>
        <v>0</v>
      </c>
      <c r="C50" s="1256"/>
      <c r="D50" s="1256"/>
      <c r="E50" s="679">
        <v>15</v>
      </c>
      <c r="F50" s="50" cm="1" t="str">
        <f t="array" ref="F50:F50">OFFSET(E50,-1,1)</f>
        <v>0</v>
      </c>
      <c r="G50" s="64" cm="1" t="str">
        <f t="array" ref="G50:G50">G49</f>
        <v>0</v>
      </c>
      <c r="H50" s="1256"/>
      <c r="I50" s="1256"/>
      <c r="J50" s="1256"/>
      <c r="K50" s="124">
        <f>first_year+20</f>
        <v>2046</v>
      </c>
      <c r="L50" s="1256"/>
      <c r="M50" s="1256"/>
      <c r="N50" s="1256"/>
      <c r="O50" s="1256"/>
      <c r="P50" s="1256"/>
      <c r="Q50" s="1256"/>
      <c r="R50" s="1256"/>
      <c r="S50" s="1256"/>
      <c r="T50" s="438" cm="1" t="str">
        <f t="array" ref="T50:T50">T49</f>
        <v>false</v>
      </c>
      <c r="U50" s="1256"/>
      <c r="V50" s="1256"/>
      <c r="W50" s="1256"/>
      <c r="X50" s="1511"/>
      <c r="Y50" s="1511"/>
      <c r="Z50" s="1494"/>
      <c r="AA50" s="1593"/>
      <c r="AB50" s="221" t="str">
        <f>K50&amp;" год"</f>
        <v>2046 год</v>
      </c>
      <c r="AC50" s="379"/>
      <c r="AD50" s="3872"/>
      <c r="AE50" s="3871"/>
      <c r="AF50" s="3871"/>
      <c r="AG50" s="3872"/>
      <c r="AH50" s="3871"/>
      <c r="AI50" s="3872"/>
      <c r="AJ50" s="3871"/>
      <c r="AK50" s="3873"/>
      <c r="AL50" s="374"/>
      <c r="AM50" s="1256"/>
      <c r="AN50" s="1041" cm="1" t="str">
        <f t="array" ref="AN50:AN50">K50</f>
        <v>2046</v>
      </c>
      <c r="AO50" s="1041" t="s">
        <v>2088</v>
      </c>
      <c r="AP50" s="1051" cm="1" t="str">
        <f t="array" ref="AP50:AP50">AP49</f>
        <v>0</v>
      </c>
      <c r="AQ50" s="679"/>
      <c r="AR50" s="679"/>
    </row>
    <row s="1256" customFormat="1" customHeight="1" ht="14.625" hidden="1">
      <c r="A51" s="1256"/>
      <c r="B51" s="417">
        <f>K51&lt;first_year+PERIOD_LENGTH</f>
        <v>0</v>
      </c>
      <c r="C51" s="1256"/>
      <c r="D51" s="1256"/>
      <c r="E51" s="679">
        <v>15</v>
      </c>
      <c r="F51" s="50" cm="1" t="str">
        <f t="array" ref="F51:F51">OFFSET(E51,-1,1)</f>
        <v>0</v>
      </c>
      <c r="G51" s="64" cm="1" t="str">
        <f t="array" ref="G51:G51">G50</f>
        <v>0</v>
      </c>
      <c r="H51" s="1256"/>
      <c r="I51" s="1256"/>
      <c r="J51" s="1256"/>
      <c r="K51" s="124">
        <f>first_year+21</f>
        <v>2047</v>
      </c>
      <c r="L51" s="1256"/>
      <c r="M51" s="1256"/>
      <c r="N51" s="1256"/>
      <c r="O51" s="1256"/>
      <c r="P51" s="1256"/>
      <c r="Q51" s="1256"/>
      <c r="R51" s="1256"/>
      <c r="S51" s="1256"/>
      <c r="T51" s="438" cm="1" t="str">
        <f t="array" ref="T51:T51">T50</f>
        <v>false</v>
      </c>
      <c r="U51" s="1256"/>
      <c r="V51" s="1256"/>
      <c r="W51" s="1256"/>
      <c r="X51" s="1511"/>
      <c r="Y51" s="1511"/>
      <c r="Z51" s="1494"/>
      <c r="AA51" s="1593"/>
      <c r="AB51" s="221" t="str">
        <f>K51&amp;" год"</f>
        <v>2047 год</v>
      </c>
      <c r="AC51" s="379"/>
      <c r="AD51" s="3872"/>
      <c r="AE51" s="3871"/>
      <c r="AF51" s="3871"/>
      <c r="AG51" s="3872"/>
      <c r="AH51" s="3871"/>
      <c r="AI51" s="3872"/>
      <c r="AJ51" s="3871"/>
      <c r="AK51" s="3873"/>
      <c r="AL51" s="374"/>
      <c r="AM51" s="1256"/>
      <c r="AN51" s="1041" cm="1" t="str">
        <f t="array" ref="AN51:AN51">K51</f>
        <v>2047</v>
      </c>
      <c r="AO51" s="1041" t="s">
        <v>2088</v>
      </c>
      <c r="AP51" s="1051" cm="1" t="str">
        <f t="array" ref="AP51:AP51">AP50</f>
        <v>0</v>
      </c>
      <c r="AQ51" s="679"/>
      <c r="AR51" s="679"/>
    </row>
    <row s="1256" customFormat="1" customHeight="1" ht="14.625" hidden="1">
      <c r="A52" s="1256"/>
      <c r="B52" s="417">
        <f>K52&lt;first_year+PERIOD_LENGTH</f>
        <v>0</v>
      </c>
      <c r="C52" s="1256"/>
      <c r="D52" s="1256"/>
      <c r="E52" s="679">
        <v>15</v>
      </c>
      <c r="F52" s="50" cm="1" t="str">
        <f t="array" ref="F52:F52">OFFSET(E52,-1,1)</f>
        <v>0</v>
      </c>
      <c r="G52" s="64" cm="1" t="str">
        <f t="array" ref="G52:G52">G51</f>
        <v>0</v>
      </c>
      <c r="H52" s="1256"/>
      <c r="I52" s="1256"/>
      <c r="J52" s="1256"/>
      <c r="K52" s="124">
        <f>first_year+22</f>
        <v>2048</v>
      </c>
      <c r="L52" s="1256"/>
      <c r="M52" s="1256"/>
      <c r="N52" s="1256"/>
      <c r="O52" s="1256"/>
      <c r="P52" s="1256"/>
      <c r="Q52" s="1256"/>
      <c r="R52" s="1256"/>
      <c r="S52" s="1256"/>
      <c r="T52" s="438" cm="1" t="str">
        <f t="array" ref="T52:T52">T51</f>
        <v>false</v>
      </c>
      <c r="U52" s="1256"/>
      <c r="V52" s="1256"/>
      <c r="W52" s="1256"/>
      <c r="X52" s="1511"/>
      <c r="Y52" s="1511"/>
      <c r="Z52" s="1494"/>
      <c r="AA52" s="1593"/>
      <c r="AB52" s="221" t="str">
        <f>K52&amp;" год"</f>
        <v>2048 год</v>
      </c>
      <c r="AC52" s="379"/>
      <c r="AD52" s="3872"/>
      <c r="AE52" s="3871"/>
      <c r="AF52" s="3871"/>
      <c r="AG52" s="3872"/>
      <c r="AH52" s="3871"/>
      <c r="AI52" s="3872"/>
      <c r="AJ52" s="3871"/>
      <c r="AK52" s="3873"/>
      <c r="AL52" s="374"/>
      <c r="AM52" s="1256"/>
      <c r="AN52" s="1041" cm="1" t="str">
        <f t="array" ref="AN52:AN52">K52</f>
        <v>2048</v>
      </c>
      <c r="AO52" s="1041" t="s">
        <v>2088</v>
      </c>
      <c r="AP52" s="1051" cm="1" t="str">
        <f t="array" ref="AP52:AP52">AP51</f>
        <v>0</v>
      </c>
      <c r="AQ52" s="679"/>
      <c r="AR52" s="679"/>
    </row>
    <row s="1256" customFormat="1" customHeight="1" ht="14.625" hidden="1">
      <c r="A53" s="1256"/>
      <c r="B53" s="417">
        <f>K53&lt;first_year+PERIOD_LENGTH</f>
        <v>0</v>
      </c>
      <c r="C53" s="1256"/>
      <c r="D53" s="1256"/>
      <c r="E53" s="679">
        <v>15</v>
      </c>
      <c r="F53" s="50" cm="1" t="str">
        <f t="array" ref="F53:F53">OFFSET(E53,-1,1)</f>
        <v>0</v>
      </c>
      <c r="G53" s="64" cm="1" t="str">
        <f t="array" ref="G53:G53">G52</f>
        <v>0</v>
      </c>
      <c r="H53" s="1256"/>
      <c r="I53" s="1256"/>
      <c r="J53" s="1256"/>
      <c r="K53" s="124">
        <f>first_year+23</f>
        <v>2049</v>
      </c>
      <c r="L53" s="1256"/>
      <c r="M53" s="1256"/>
      <c r="N53" s="1256"/>
      <c r="O53" s="1256"/>
      <c r="P53" s="1256"/>
      <c r="Q53" s="1256"/>
      <c r="R53" s="1256"/>
      <c r="S53" s="1256"/>
      <c r="T53" s="438" cm="1" t="str">
        <f t="array" ref="T53:T53">T52</f>
        <v>false</v>
      </c>
      <c r="U53" s="1256"/>
      <c r="V53" s="1256"/>
      <c r="W53" s="1256"/>
      <c r="X53" s="1511"/>
      <c r="Y53" s="1511"/>
      <c r="Z53" s="1494"/>
      <c r="AA53" s="1593"/>
      <c r="AB53" s="221" t="str">
        <f>K53&amp;" год"</f>
        <v>2049 год</v>
      </c>
      <c r="AC53" s="379"/>
      <c r="AD53" s="3872"/>
      <c r="AE53" s="3871"/>
      <c r="AF53" s="3871"/>
      <c r="AG53" s="3872"/>
      <c r="AH53" s="3871"/>
      <c r="AI53" s="3872"/>
      <c r="AJ53" s="3871"/>
      <c r="AK53" s="3873"/>
      <c r="AL53" s="374"/>
      <c r="AM53" s="1256"/>
      <c r="AN53" s="1041" cm="1" t="str">
        <f t="array" ref="AN53:AN53">K53</f>
        <v>2049</v>
      </c>
      <c r="AO53" s="1041" t="s">
        <v>2088</v>
      </c>
      <c r="AP53" s="1051" cm="1" t="str">
        <f t="array" ref="AP53:AP53">AP52</f>
        <v>0</v>
      </c>
      <c r="AQ53" s="679"/>
      <c r="AR53" s="679"/>
    </row>
    <row s="1256" customFormat="1" customHeight="1" ht="14.625" hidden="1">
      <c r="A54" s="1256"/>
      <c r="B54" s="417">
        <f>K54&lt;first_year+PERIOD_LENGTH</f>
        <v>0</v>
      </c>
      <c r="C54" s="1256"/>
      <c r="D54" s="1256"/>
      <c r="E54" s="679">
        <v>15</v>
      </c>
      <c r="F54" s="50" cm="1" t="str">
        <f t="array" ref="F54:F54">OFFSET(E54,-1,1)</f>
        <v>0</v>
      </c>
      <c r="G54" s="64" cm="1" t="str">
        <f t="array" ref="G54:G54">G53</f>
        <v>0</v>
      </c>
      <c r="H54" s="1256"/>
      <c r="I54" s="1256"/>
      <c r="J54" s="1256"/>
      <c r="K54" s="124">
        <f>first_year+24</f>
        <v>2050</v>
      </c>
      <c r="L54" s="1256"/>
      <c r="M54" s="1256"/>
      <c r="N54" s="1256"/>
      <c r="O54" s="1256"/>
      <c r="P54" s="1256"/>
      <c r="Q54" s="1256"/>
      <c r="R54" s="1256"/>
      <c r="S54" s="1256"/>
      <c r="T54" s="438" cm="1" t="str">
        <f t="array" ref="T54:T54">T53</f>
        <v>false</v>
      </c>
      <c r="U54" s="1256"/>
      <c r="V54" s="1256"/>
      <c r="W54" s="1256"/>
      <c r="X54" s="1511"/>
      <c r="Y54" s="1511"/>
      <c r="Z54" s="1494"/>
      <c r="AA54" s="1593"/>
      <c r="AB54" s="221" t="str">
        <f>K54&amp;" год"</f>
        <v>2050 год</v>
      </c>
      <c r="AC54" s="379"/>
      <c r="AD54" s="3872"/>
      <c r="AE54" s="3871"/>
      <c r="AF54" s="3871"/>
      <c r="AG54" s="3872"/>
      <c r="AH54" s="3871"/>
      <c r="AI54" s="3872"/>
      <c r="AJ54" s="3871"/>
      <c r="AK54" s="3873"/>
      <c r="AL54" s="374"/>
      <c r="AM54" s="1256"/>
      <c r="AN54" s="1041" cm="1" t="str">
        <f t="array" ref="AN54:AN54">K54</f>
        <v>2050</v>
      </c>
      <c r="AO54" s="1041" t="s">
        <v>2088</v>
      </c>
      <c r="AP54" s="1051" cm="1" t="str">
        <f t="array" ref="AP54:AP54">AP53</f>
        <v>0</v>
      </c>
      <c r="AQ54" s="679"/>
      <c r="AR54" s="679"/>
    </row>
    <row s="1256" customFormat="1" customHeight="1" ht="14.625" hidden="1">
      <c r="A55" s="1256"/>
      <c r="B55" s="417">
        <f>K55&lt;first_year+PERIOD_LENGTH</f>
        <v>0</v>
      </c>
      <c r="C55" s="1256"/>
      <c r="D55" s="1256"/>
      <c r="E55" s="679">
        <v>15</v>
      </c>
      <c r="F55" s="50" cm="1" t="str">
        <f t="array" ref="F55:F55">OFFSET(E55,-1,1)</f>
        <v>0</v>
      </c>
      <c r="G55" s="64" cm="1" t="str">
        <f t="array" ref="G55:G55">G54</f>
        <v>0</v>
      </c>
      <c r="H55" s="1256"/>
      <c r="I55" s="1256"/>
      <c r="J55" s="1256"/>
      <c r="K55" s="124">
        <f>first_year+25</f>
        <v>2051</v>
      </c>
      <c r="L55" s="1256"/>
      <c r="M55" s="1256"/>
      <c r="N55" s="1256"/>
      <c r="O55" s="1256"/>
      <c r="P55" s="1256"/>
      <c r="Q55" s="1256"/>
      <c r="R55" s="1256"/>
      <c r="S55" s="1256"/>
      <c r="T55" s="438" cm="1" t="str">
        <f t="array" ref="T55:T55">T54</f>
        <v>false</v>
      </c>
      <c r="U55" s="1256"/>
      <c r="V55" s="1256"/>
      <c r="W55" s="1256"/>
      <c r="X55" s="1511"/>
      <c r="Y55" s="1511"/>
      <c r="Z55" s="1494"/>
      <c r="AA55" s="1593"/>
      <c r="AB55" s="221" t="str">
        <f>K55&amp;" год"</f>
        <v>2051 год</v>
      </c>
      <c r="AC55" s="379"/>
      <c r="AD55" s="3872"/>
      <c r="AE55" s="3871"/>
      <c r="AF55" s="3871"/>
      <c r="AG55" s="3872"/>
      <c r="AH55" s="3871"/>
      <c r="AI55" s="3872"/>
      <c r="AJ55" s="3871"/>
      <c r="AK55" s="3873"/>
      <c r="AL55" s="374"/>
      <c r="AM55" s="1256"/>
      <c r="AN55" s="1041" cm="1" t="str">
        <f t="array" ref="AN55:AN55">K55</f>
        <v>2051</v>
      </c>
      <c r="AO55" s="1041" t="s">
        <v>2088</v>
      </c>
      <c r="AP55" s="1051" cm="1" t="str">
        <f t="array" ref="AP55:AP55">AP54</f>
        <v>0</v>
      </c>
      <c r="AQ55" s="679"/>
      <c r="AR55" s="679"/>
    </row>
    <row s="1256" customFormat="1" customHeight="1" ht="14.625" hidden="1">
      <c r="A56" s="1256"/>
      <c r="B56" s="417">
        <f>K56&lt;first_year+PERIOD_LENGTH</f>
        <v>0</v>
      </c>
      <c r="C56" s="1256"/>
      <c r="D56" s="1256"/>
      <c r="E56" s="679">
        <v>15</v>
      </c>
      <c r="F56" s="50" cm="1" t="str">
        <f t="array" ref="F56:F56">OFFSET(E56,-1,1)</f>
        <v>0</v>
      </c>
      <c r="G56" s="64" cm="1" t="str">
        <f t="array" ref="G56:G56">G55</f>
        <v>0</v>
      </c>
      <c r="H56" s="1256"/>
      <c r="I56" s="1256"/>
      <c r="J56" s="1256"/>
      <c r="K56" s="124">
        <f>first_year+26</f>
        <v>2052</v>
      </c>
      <c r="L56" s="1256"/>
      <c r="M56" s="1256"/>
      <c r="N56" s="1256"/>
      <c r="O56" s="1256"/>
      <c r="P56" s="1256"/>
      <c r="Q56" s="1256"/>
      <c r="R56" s="1256"/>
      <c r="S56" s="1256"/>
      <c r="T56" s="438" cm="1" t="str">
        <f t="array" ref="T56:T56">T55</f>
        <v>false</v>
      </c>
      <c r="U56" s="1256"/>
      <c r="V56" s="1256"/>
      <c r="W56" s="1256"/>
      <c r="X56" s="1511"/>
      <c r="Y56" s="1511"/>
      <c r="Z56" s="1494"/>
      <c r="AA56" s="1593"/>
      <c r="AB56" s="221" t="str">
        <f>K56&amp;" год"</f>
        <v>2052 год</v>
      </c>
      <c r="AC56" s="379"/>
      <c r="AD56" s="3872"/>
      <c r="AE56" s="3871"/>
      <c r="AF56" s="3871"/>
      <c r="AG56" s="3872"/>
      <c r="AH56" s="3871"/>
      <c r="AI56" s="3872"/>
      <c r="AJ56" s="3871"/>
      <c r="AK56" s="3873"/>
      <c r="AL56" s="374"/>
      <c r="AM56" s="1256"/>
      <c r="AN56" s="1041" cm="1" t="str">
        <f t="array" ref="AN56:AN56">K56</f>
        <v>2052</v>
      </c>
      <c r="AO56" s="1041" t="s">
        <v>2088</v>
      </c>
      <c r="AP56" s="1051" cm="1" t="str">
        <f t="array" ref="AP56:AP56">AP55</f>
        <v>0</v>
      </c>
      <c r="AQ56" s="679"/>
      <c r="AR56" s="679"/>
    </row>
    <row s="1256" customFormat="1" customHeight="1" ht="14.625" hidden="1">
      <c r="A57" s="1256"/>
      <c r="B57" s="417">
        <f>K57&lt;first_year+PERIOD_LENGTH</f>
        <v>0</v>
      </c>
      <c r="C57" s="1256"/>
      <c r="D57" s="1256"/>
      <c r="E57" s="679">
        <v>15</v>
      </c>
      <c r="F57" s="50" cm="1" t="str">
        <f t="array" ref="F57:F57">OFFSET(E57,-1,1)</f>
        <v>0</v>
      </c>
      <c r="G57" s="64" cm="1" t="str">
        <f t="array" ref="G57:G57">G56</f>
        <v>0</v>
      </c>
      <c r="H57" s="1256"/>
      <c r="I57" s="1256"/>
      <c r="J57" s="1256"/>
      <c r="K57" s="124">
        <f>first_year+27</f>
        <v>2053</v>
      </c>
      <c r="L57" s="1256"/>
      <c r="M57" s="1256"/>
      <c r="N57" s="1256"/>
      <c r="O57" s="1256"/>
      <c r="P57" s="1256"/>
      <c r="Q57" s="1256"/>
      <c r="R57" s="1256"/>
      <c r="S57" s="1256"/>
      <c r="T57" s="438" cm="1" t="str">
        <f t="array" ref="T57:T57">T56</f>
        <v>false</v>
      </c>
      <c r="U57" s="1256"/>
      <c r="V57" s="1256"/>
      <c r="W57" s="1256"/>
      <c r="X57" s="1511"/>
      <c r="Y57" s="1511"/>
      <c r="Z57" s="1494"/>
      <c r="AA57" s="1593"/>
      <c r="AB57" s="221" t="str">
        <f>K57&amp;" год"</f>
        <v>2053 год</v>
      </c>
      <c r="AC57" s="379"/>
      <c r="AD57" s="3872"/>
      <c r="AE57" s="3871"/>
      <c r="AF57" s="3871"/>
      <c r="AG57" s="3872"/>
      <c r="AH57" s="3871"/>
      <c r="AI57" s="3872"/>
      <c r="AJ57" s="3871"/>
      <c r="AK57" s="3873"/>
      <c r="AL57" s="374"/>
      <c r="AM57" s="1256"/>
      <c r="AN57" s="1041" cm="1" t="str">
        <f t="array" ref="AN57:AN57">K57</f>
        <v>2053</v>
      </c>
      <c r="AO57" s="1041" t="s">
        <v>2088</v>
      </c>
      <c r="AP57" s="1051" cm="1" t="str">
        <f t="array" ref="AP57:AP57">AP56</f>
        <v>0</v>
      </c>
      <c r="AQ57" s="679"/>
      <c r="AR57" s="679"/>
    </row>
    <row s="1256" customFormat="1" customHeight="1" ht="14.625" hidden="1">
      <c r="A58" s="1256"/>
      <c r="B58" s="417">
        <f>K58&lt;first_year+PERIOD_LENGTH</f>
        <v>0</v>
      </c>
      <c r="C58" s="1256"/>
      <c r="D58" s="1256"/>
      <c r="E58" s="679">
        <v>15</v>
      </c>
      <c r="F58" s="50" cm="1" t="str">
        <f t="array" ref="F58:F58">OFFSET(E58,-1,1)</f>
        <v>0</v>
      </c>
      <c r="G58" s="64" cm="1" t="str">
        <f t="array" ref="G58:G58">G57</f>
        <v>0</v>
      </c>
      <c r="H58" s="1256"/>
      <c r="I58" s="1256"/>
      <c r="J58" s="1256"/>
      <c r="K58" s="124">
        <f>first_year+28</f>
        <v>2054</v>
      </c>
      <c r="L58" s="1256"/>
      <c r="M58" s="1256"/>
      <c r="N58" s="1256"/>
      <c r="O58" s="1256"/>
      <c r="P58" s="1256"/>
      <c r="Q58" s="1256"/>
      <c r="R58" s="1256"/>
      <c r="S58" s="1256"/>
      <c r="T58" s="438" cm="1" t="str">
        <f t="array" ref="T58:T58">T57</f>
        <v>false</v>
      </c>
      <c r="U58" s="1256"/>
      <c r="V58" s="1256"/>
      <c r="W58" s="1256"/>
      <c r="X58" s="1511"/>
      <c r="Y58" s="1511"/>
      <c r="Z58" s="1494"/>
      <c r="AA58" s="1593"/>
      <c r="AB58" s="221" t="str">
        <f>K58&amp;" год"</f>
        <v>2054 год</v>
      </c>
      <c r="AC58" s="379"/>
      <c r="AD58" s="3872"/>
      <c r="AE58" s="3871"/>
      <c r="AF58" s="3871"/>
      <c r="AG58" s="3872"/>
      <c r="AH58" s="3871"/>
      <c r="AI58" s="3872"/>
      <c r="AJ58" s="3871"/>
      <c r="AK58" s="3873"/>
      <c r="AL58" s="374"/>
      <c r="AM58" s="1256"/>
      <c r="AN58" s="1041" cm="1" t="str">
        <f t="array" ref="AN58:AN58">K58</f>
        <v>2054</v>
      </c>
      <c r="AO58" s="1041" t="s">
        <v>2088</v>
      </c>
      <c r="AP58" s="1051" cm="1" t="str">
        <f t="array" ref="AP58:AP58">AP57</f>
        <v>0</v>
      </c>
      <c r="AQ58" s="679"/>
      <c r="AR58" s="679"/>
    </row>
    <row s="1256" customFormat="1" customHeight="1" ht="14.625" hidden="1">
      <c r="A59" s="1256"/>
      <c r="B59" s="417">
        <f>K59&lt;first_year+PERIOD_LENGTH</f>
        <v>0</v>
      </c>
      <c r="C59" s="1256"/>
      <c r="D59" s="1256"/>
      <c r="E59" s="679">
        <v>15</v>
      </c>
      <c r="F59" s="50" cm="1" t="str">
        <f t="array" ref="F59:F59">OFFSET(E59,-1,1)</f>
        <v>0</v>
      </c>
      <c r="G59" s="64" cm="1" t="str">
        <f t="array" ref="G59:G59">G58</f>
        <v>0</v>
      </c>
      <c r="H59" s="1256"/>
      <c r="I59" s="1256"/>
      <c r="J59" s="1256"/>
      <c r="K59" s="124">
        <f>first_year+29</f>
        <v>2055</v>
      </c>
      <c r="L59" s="1256"/>
      <c r="M59" s="1256"/>
      <c r="N59" s="1256"/>
      <c r="O59" s="1256"/>
      <c r="P59" s="1256"/>
      <c r="Q59" s="1256"/>
      <c r="R59" s="1256"/>
      <c r="S59" s="1256"/>
      <c r="T59" s="438" cm="1" t="str">
        <f t="array" ref="T59:T59">T58</f>
        <v>false</v>
      </c>
      <c r="U59" s="1256"/>
      <c r="V59" s="1256"/>
      <c r="W59" s="1256"/>
      <c r="X59" s="1511"/>
      <c r="Y59" s="1511"/>
      <c r="Z59" s="1494"/>
      <c r="AA59" s="1593"/>
      <c r="AB59" s="221" t="str">
        <f>K59&amp;" год"</f>
        <v>2055 год</v>
      </c>
      <c r="AC59" s="379"/>
      <c r="AD59" s="3872"/>
      <c r="AE59" s="3871"/>
      <c r="AF59" s="3871"/>
      <c r="AG59" s="3872"/>
      <c r="AH59" s="3871"/>
      <c r="AI59" s="3872"/>
      <c r="AJ59" s="3871"/>
      <c r="AK59" s="3873"/>
      <c r="AL59" s="374"/>
      <c r="AM59" s="1256"/>
      <c r="AN59" s="1041" cm="1" t="str">
        <f t="array" ref="AN59:AN59">K59</f>
        <v>2055</v>
      </c>
      <c r="AO59" s="1041" t="s">
        <v>2088</v>
      </c>
      <c r="AP59" s="1051" cm="1" t="str">
        <f t="array" ref="AP59:AP59">AP58</f>
        <v>0</v>
      </c>
      <c r="AQ59" s="679"/>
      <c r="AR59" s="679"/>
    </row>
    <row s="1256" customFormat="1" customHeight="1" ht="14.625" hidden="1">
      <c r="A60" s="1256"/>
      <c r="B60" s="417">
        <f>K60&lt;first_year+PERIOD_LENGTH</f>
        <v>0</v>
      </c>
      <c r="C60" s="1256"/>
      <c r="D60" s="1256"/>
      <c r="E60" s="679">
        <v>15</v>
      </c>
      <c r="F60" s="50" cm="1" t="str">
        <f t="array" ref="F60:F60">OFFSET(E60,-1,1)</f>
        <v>0</v>
      </c>
      <c r="G60" s="64" cm="1" t="str">
        <f t="array" ref="G60:G60">G59</f>
        <v>0</v>
      </c>
      <c r="H60" s="1256"/>
      <c r="I60" s="1256"/>
      <c r="J60" s="1256"/>
      <c r="K60" s="124">
        <f>first_year+30</f>
        <v>2056</v>
      </c>
      <c r="L60" s="1256"/>
      <c r="M60" s="1256"/>
      <c r="N60" s="1256"/>
      <c r="O60" s="1256"/>
      <c r="P60" s="1256"/>
      <c r="Q60" s="1256"/>
      <c r="R60" s="1256"/>
      <c r="S60" s="1256"/>
      <c r="T60" s="438" cm="1" t="str">
        <f t="array" ref="T60:T60">T59</f>
        <v>false</v>
      </c>
      <c r="U60" s="1256"/>
      <c r="V60" s="1256"/>
      <c r="W60" s="1256"/>
      <c r="X60" s="1511"/>
      <c r="Y60" s="1511"/>
      <c r="Z60" s="1494"/>
      <c r="AA60" s="1593"/>
      <c r="AB60" s="221" t="str">
        <f>K60&amp;" год"</f>
        <v>2056 год</v>
      </c>
      <c r="AC60" s="379"/>
      <c r="AD60" s="3872"/>
      <c r="AE60" s="3871"/>
      <c r="AF60" s="3871"/>
      <c r="AG60" s="3872"/>
      <c r="AH60" s="3871"/>
      <c r="AI60" s="3872"/>
      <c r="AJ60" s="3871"/>
      <c r="AK60" s="3873"/>
      <c r="AL60" s="374"/>
      <c r="AM60" s="1256"/>
      <c r="AN60" s="1041" cm="1" t="str">
        <f t="array" ref="AN60:AN60">K60</f>
        <v>2056</v>
      </c>
      <c r="AO60" s="1041" t="s">
        <v>2088</v>
      </c>
      <c r="AP60" s="1051" cm="1" t="str">
        <f t="array" ref="AP60:AP60">AP59</f>
        <v>0</v>
      </c>
      <c r="AQ60" s="679"/>
      <c r="AR60" s="679"/>
    </row>
    <row s="1256" customFormat="1" customHeight="1" ht="14.625" hidden="1">
      <c r="A61" s="1256"/>
      <c r="B61" s="417">
        <f>K61&lt;first_year+PERIOD_LENGTH</f>
        <v>0</v>
      </c>
      <c r="C61" s="1256"/>
      <c r="D61" s="1256"/>
      <c r="E61" s="679">
        <v>15</v>
      </c>
      <c r="F61" s="50" cm="1" t="str">
        <f t="array" ref="F61:F61">OFFSET(E61,-1,1)</f>
        <v>0</v>
      </c>
      <c r="G61" s="64" cm="1" t="str">
        <f t="array" ref="G61:G61">G60</f>
        <v>0</v>
      </c>
      <c r="H61" s="1256"/>
      <c r="I61" s="1256"/>
      <c r="J61" s="1256"/>
      <c r="K61" s="124">
        <f>first_year+31</f>
        <v>2057</v>
      </c>
      <c r="L61" s="1256"/>
      <c r="M61" s="1256"/>
      <c r="N61" s="1256"/>
      <c r="O61" s="1256"/>
      <c r="P61" s="1256"/>
      <c r="Q61" s="1256"/>
      <c r="R61" s="1256"/>
      <c r="S61" s="1256"/>
      <c r="T61" s="438" cm="1" t="str">
        <f t="array" ref="T61:T61">T60</f>
        <v>false</v>
      </c>
      <c r="U61" s="1256"/>
      <c r="V61" s="1256"/>
      <c r="W61" s="1256"/>
      <c r="X61" s="1511"/>
      <c r="Y61" s="1511"/>
      <c r="Z61" s="1494"/>
      <c r="AA61" s="1593"/>
      <c r="AB61" s="221" t="str">
        <f>K61&amp;" год"</f>
        <v>2057 год</v>
      </c>
      <c r="AC61" s="379"/>
      <c r="AD61" s="3872"/>
      <c r="AE61" s="3871"/>
      <c r="AF61" s="3871"/>
      <c r="AG61" s="3872"/>
      <c r="AH61" s="3871"/>
      <c r="AI61" s="3872"/>
      <c r="AJ61" s="3871"/>
      <c r="AK61" s="3873"/>
      <c r="AL61" s="374"/>
      <c r="AM61" s="1256"/>
      <c r="AN61" s="1041" cm="1" t="str">
        <f t="array" ref="AN61:AN61">K61</f>
        <v>2057</v>
      </c>
      <c r="AO61" s="1041" t="s">
        <v>2088</v>
      </c>
      <c r="AP61" s="1051" cm="1" t="str">
        <f t="array" ref="AP61:AP61">AP60</f>
        <v>0</v>
      </c>
      <c r="AQ61" s="679"/>
      <c r="AR61" s="679"/>
    </row>
    <row s="1256" customFormat="1" customHeight="1" ht="14.625" hidden="1">
      <c r="A62" s="1256"/>
      <c r="B62" s="417">
        <f>K62&lt;first_year+PERIOD_LENGTH</f>
        <v>0</v>
      </c>
      <c r="C62" s="1256"/>
      <c r="D62" s="1256"/>
      <c r="E62" s="679">
        <v>15</v>
      </c>
      <c r="F62" s="50" cm="1" t="str">
        <f t="array" ref="F62:F62">OFFSET(E62,-1,1)</f>
        <v>0</v>
      </c>
      <c r="G62" s="64" cm="1" t="str">
        <f t="array" ref="G62:G62">G61</f>
        <v>0</v>
      </c>
      <c r="H62" s="1256"/>
      <c r="I62" s="1256"/>
      <c r="J62" s="1256"/>
      <c r="K62" s="124">
        <f>first_year+32</f>
        <v>2058</v>
      </c>
      <c r="L62" s="1256"/>
      <c r="M62" s="1256"/>
      <c r="N62" s="1256"/>
      <c r="O62" s="1256"/>
      <c r="P62" s="1256"/>
      <c r="Q62" s="1256"/>
      <c r="R62" s="1256"/>
      <c r="S62" s="1256"/>
      <c r="T62" s="438" cm="1" t="str">
        <f t="array" ref="T62:T62">T61</f>
        <v>false</v>
      </c>
      <c r="U62" s="1256"/>
      <c r="V62" s="1256"/>
      <c r="W62" s="1256"/>
      <c r="X62" s="1511"/>
      <c r="Y62" s="1511"/>
      <c r="Z62" s="1494"/>
      <c r="AA62" s="1593"/>
      <c r="AB62" s="221" t="str">
        <f>K62&amp;" год"</f>
        <v>2058 год</v>
      </c>
      <c r="AC62" s="379"/>
      <c r="AD62" s="3872"/>
      <c r="AE62" s="3871"/>
      <c r="AF62" s="3871"/>
      <c r="AG62" s="3872"/>
      <c r="AH62" s="3871"/>
      <c r="AI62" s="3872"/>
      <c r="AJ62" s="3871"/>
      <c r="AK62" s="3873"/>
      <c r="AL62" s="374"/>
      <c r="AM62" s="1256"/>
      <c r="AN62" s="1041" cm="1" t="str">
        <f t="array" ref="AN62:AN62">K62</f>
        <v>2058</v>
      </c>
      <c r="AO62" s="1041" t="s">
        <v>2088</v>
      </c>
      <c r="AP62" s="1051" cm="1" t="str">
        <f t="array" ref="AP62:AP62">AP61</f>
        <v>0</v>
      </c>
      <c r="AQ62" s="679"/>
      <c r="AR62" s="679"/>
    </row>
    <row s="1256" customFormat="1" customHeight="1" ht="14.625" hidden="1">
      <c r="A63" s="1256"/>
      <c r="B63" s="417">
        <f>K63&lt;first_year+PERIOD_LENGTH</f>
        <v>0</v>
      </c>
      <c r="C63" s="1256"/>
      <c r="D63" s="1256"/>
      <c r="E63" s="679">
        <v>15</v>
      </c>
      <c r="F63" s="50" cm="1" t="str">
        <f t="array" ref="F63:F63">OFFSET(E63,-1,1)</f>
        <v>0</v>
      </c>
      <c r="G63" s="64" cm="1" t="str">
        <f t="array" ref="G63:G63">G62</f>
        <v>0</v>
      </c>
      <c r="H63" s="1256"/>
      <c r="I63" s="1256"/>
      <c r="J63" s="1256"/>
      <c r="K63" s="124">
        <f>first_year+33</f>
        <v>2059</v>
      </c>
      <c r="L63" s="1256"/>
      <c r="M63" s="1256"/>
      <c r="N63" s="1256"/>
      <c r="O63" s="1256"/>
      <c r="P63" s="1256"/>
      <c r="Q63" s="1256"/>
      <c r="R63" s="1256"/>
      <c r="S63" s="1256"/>
      <c r="T63" s="438" cm="1" t="str">
        <f t="array" ref="T63:T63">T62</f>
        <v>false</v>
      </c>
      <c r="U63" s="1256"/>
      <c r="V63" s="1256"/>
      <c r="W63" s="1256"/>
      <c r="X63" s="1511"/>
      <c r="Y63" s="1511"/>
      <c r="Z63" s="1494"/>
      <c r="AA63" s="1593"/>
      <c r="AB63" s="221" t="str">
        <f>K63&amp;" год"</f>
        <v>2059 год</v>
      </c>
      <c r="AC63" s="379"/>
      <c r="AD63" s="3872"/>
      <c r="AE63" s="3871"/>
      <c r="AF63" s="3871"/>
      <c r="AG63" s="3872"/>
      <c r="AH63" s="3871"/>
      <c r="AI63" s="3872"/>
      <c r="AJ63" s="3871"/>
      <c r="AK63" s="3873"/>
      <c r="AL63" s="374"/>
      <c r="AM63" s="1256"/>
      <c r="AN63" s="1041" cm="1" t="str">
        <f t="array" ref="AN63:AN63">K63</f>
        <v>2059</v>
      </c>
      <c r="AO63" s="1041" t="s">
        <v>2088</v>
      </c>
      <c r="AP63" s="1051" cm="1" t="str">
        <f t="array" ref="AP63:AP63">AP62</f>
        <v>0</v>
      </c>
      <c r="AQ63" s="679"/>
      <c r="AR63" s="679"/>
    </row>
    <row s="1256" customFormat="1" customHeight="1" ht="14.625" hidden="1">
      <c r="A64" s="1256"/>
      <c r="B64" s="417">
        <f>K64&lt;first_year+PERIOD_LENGTH</f>
        <v>0</v>
      </c>
      <c r="C64" s="1256"/>
      <c r="D64" s="1256"/>
      <c r="E64" s="679">
        <v>15</v>
      </c>
      <c r="F64" s="50" cm="1" t="str">
        <f t="array" ref="F64:F64">OFFSET(E64,-1,1)</f>
        <v>0</v>
      </c>
      <c r="G64" s="64" cm="1" t="str">
        <f t="array" ref="G64:G64">G63</f>
        <v>0</v>
      </c>
      <c r="H64" s="1256"/>
      <c r="I64" s="1256"/>
      <c r="J64" s="1256"/>
      <c r="K64" s="124">
        <f>first_year+34</f>
        <v>2060</v>
      </c>
      <c r="L64" s="1256"/>
      <c r="M64" s="1256"/>
      <c r="N64" s="1256"/>
      <c r="O64" s="1256"/>
      <c r="P64" s="1256"/>
      <c r="Q64" s="1256"/>
      <c r="R64" s="1256"/>
      <c r="S64" s="1256"/>
      <c r="T64" s="438" cm="1" t="str">
        <f t="array" ref="T64:T64">T63</f>
        <v>false</v>
      </c>
      <c r="U64" s="1256"/>
      <c r="V64" s="1256"/>
      <c r="W64" s="1256"/>
      <c r="X64" s="1511"/>
      <c r="Y64" s="1511"/>
      <c r="Z64" s="1494"/>
      <c r="AA64" s="1593"/>
      <c r="AB64" s="221" t="str">
        <f>K64&amp;" год"</f>
        <v>2060 год</v>
      </c>
      <c r="AC64" s="379"/>
      <c r="AD64" s="3872"/>
      <c r="AE64" s="3871"/>
      <c r="AF64" s="3871"/>
      <c r="AG64" s="3872"/>
      <c r="AH64" s="3871"/>
      <c r="AI64" s="3872"/>
      <c r="AJ64" s="3871"/>
      <c r="AK64" s="3873"/>
      <c r="AL64" s="374"/>
      <c r="AM64" s="1256"/>
      <c r="AN64" s="1041" cm="1" t="str">
        <f t="array" ref="AN64:AN64">K64</f>
        <v>2060</v>
      </c>
      <c r="AO64" s="1041" t="s">
        <v>2088</v>
      </c>
      <c r="AP64" s="1051" cm="1" t="str">
        <f t="array" ref="AP64:AP64">AP63</f>
        <v>0</v>
      </c>
      <c r="AQ64" s="679"/>
      <c r="AR64" s="679"/>
    </row>
    <row s="1256" customFormat="1" customHeight="1" ht="14.625" hidden="1">
      <c r="A65" s="1256"/>
      <c r="B65" s="417">
        <f>K65&lt;first_year+PERIOD_LENGTH</f>
        <v>0</v>
      </c>
      <c r="C65" s="1256"/>
      <c r="D65" s="1256"/>
      <c r="E65" s="679">
        <v>15</v>
      </c>
      <c r="F65" s="50" cm="1" t="str">
        <f t="array" ref="F65:F65">OFFSET(E65,-1,1)</f>
        <v>0</v>
      </c>
      <c r="G65" s="64" cm="1" t="str">
        <f t="array" ref="G65:G65">G64</f>
        <v>0</v>
      </c>
      <c r="H65" s="1256"/>
      <c r="I65" s="1256"/>
      <c r="J65" s="1256"/>
      <c r="K65" s="124">
        <f>first_year+35</f>
        <v>2061</v>
      </c>
      <c r="L65" s="1256"/>
      <c r="M65" s="1256"/>
      <c r="N65" s="1256"/>
      <c r="O65" s="1256"/>
      <c r="P65" s="1256"/>
      <c r="Q65" s="1256"/>
      <c r="R65" s="1256"/>
      <c r="S65" s="1256"/>
      <c r="T65" s="438" cm="1" t="str">
        <f t="array" ref="T65:T65">T64</f>
        <v>false</v>
      </c>
      <c r="U65" s="1256"/>
      <c r="V65" s="1256"/>
      <c r="W65" s="1256"/>
      <c r="X65" s="1511"/>
      <c r="Y65" s="1511"/>
      <c r="Z65" s="1494"/>
      <c r="AA65" s="1593"/>
      <c r="AB65" s="221" t="str">
        <f>K65&amp;" год"</f>
        <v>2061 год</v>
      </c>
      <c r="AC65" s="379"/>
      <c r="AD65" s="3872"/>
      <c r="AE65" s="3871"/>
      <c r="AF65" s="3871"/>
      <c r="AG65" s="3872"/>
      <c r="AH65" s="3871"/>
      <c r="AI65" s="3872"/>
      <c r="AJ65" s="3871"/>
      <c r="AK65" s="3873"/>
      <c r="AL65" s="374"/>
      <c r="AM65" s="1256"/>
      <c r="AN65" s="1041" cm="1" t="str">
        <f t="array" ref="AN65:AN65">K65</f>
        <v>2061</v>
      </c>
      <c r="AO65" s="1041" t="s">
        <v>2088</v>
      </c>
      <c r="AP65" s="1051" cm="1" t="str">
        <f t="array" ref="AP65:AP65">AP64</f>
        <v>0</v>
      </c>
      <c r="AQ65" s="679"/>
      <c r="AR65" s="679"/>
    </row>
    <row s="1256" customFormat="1" customHeight="1" ht="14.625" hidden="1">
      <c r="A66" s="1256"/>
      <c r="B66" s="417">
        <f>K66&lt;first_year+PERIOD_LENGTH</f>
        <v>0</v>
      </c>
      <c r="C66" s="1256"/>
      <c r="D66" s="1256"/>
      <c r="E66" s="679">
        <v>15</v>
      </c>
      <c r="F66" s="50" cm="1" t="str">
        <f t="array" ref="F66:F66">OFFSET(E66,-1,1)</f>
        <v>0</v>
      </c>
      <c r="G66" s="64" cm="1" t="str">
        <f t="array" ref="G66:G66">G65</f>
        <v>0</v>
      </c>
      <c r="H66" s="1256"/>
      <c r="I66" s="1256"/>
      <c r="J66" s="1256"/>
      <c r="K66" s="124">
        <f>first_year+36</f>
        <v>2062</v>
      </c>
      <c r="L66" s="1256"/>
      <c r="M66" s="1256"/>
      <c r="N66" s="1256"/>
      <c r="O66" s="1256"/>
      <c r="P66" s="1256"/>
      <c r="Q66" s="1256"/>
      <c r="R66" s="1256"/>
      <c r="S66" s="1256"/>
      <c r="T66" s="438" cm="1" t="str">
        <f t="array" ref="T66:T66">T65</f>
        <v>false</v>
      </c>
      <c r="U66" s="1256"/>
      <c r="V66" s="1256"/>
      <c r="W66" s="1256"/>
      <c r="X66" s="1511"/>
      <c r="Y66" s="1511"/>
      <c r="Z66" s="1494"/>
      <c r="AA66" s="1593"/>
      <c r="AB66" s="221" t="str">
        <f>K66&amp;" год"</f>
        <v>2062 год</v>
      </c>
      <c r="AC66" s="379"/>
      <c r="AD66" s="3872"/>
      <c r="AE66" s="3871"/>
      <c r="AF66" s="3871"/>
      <c r="AG66" s="3872"/>
      <c r="AH66" s="3871"/>
      <c r="AI66" s="3872"/>
      <c r="AJ66" s="3871"/>
      <c r="AK66" s="3873"/>
      <c r="AL66" s="374"/>
      <c r="AM66" s="1256"/>
      <c r="AN66" s="1041" cm="1" t="str">
        <f t="array" ref="AN66:AN66">K66</f>
        <v>2062</v>
      </c>
      <c r="AO66" s="1041" t="s">
        <v>2088</v>
      </c>
      <c r="AP66" s="1051" cm="1" t="str">
        <f t="array" ref="AP66:AP66">AP65</f>
        <v>0</v>
      </c>
      <c r="AQ66" s="679"/>
      <c r="AR66" s="679"/>
    </row>
    <row s="1256" customFormat="1" customHeight="1" ht="14.625" hidden="1">
      <c r="A67" s="1256"/>
      <c r="B67" s="417">
        <f>K67&lt;first_year+PERIOD_LENGTH</f>
        <v>0</v>
      </c>
      <c r="C67" s="1256"/>
      <c r="D67" s="1256"/>
      <c r="E67" s="679">
        <v>15</v>
      </c>
      <c r="F67" s="50" cm="1" t="str">
        <f t="array" ref="F67:F67">OFFSET(E67,-1,1)</f>
        <v>0</v>
      </c>
      <c r="G67" s="64" cm="1" t="str">
        <f t="array" ref="G67:G67">G66</f>
        <v>0</v>
      </c>
      <c r="H67" s="1256"/>
      <c r="I67" s="1256"/>
      <c r="J67" s="1256"/>
      <c r="K67" s="124">
        <f>first_year+37</f>
        <v>2063</v>
      </c>
      <c r="L67" s="1256"/>
      <c r="M67" s="1256"/>
      <c r="N67" s="1256"/>
      <c r="O67" s="1256"/>
      <c r="P67" s="1256"/>
      <c r="Q67" s="1256"/>
      <c r="R67" s="1256"/>
      <c r="S67" s="1256"/>
      <c r="T67" s="438" cm="1" t="str">
        <f t="array" ref="T67:T67">T66</f>
        <v>false</v>
      </c>
      <c r="U67" s="1256"/>
      <c r="V67" s="1256"/>
      <c r="W67" s="1256"/>
      <c r="X67" s="1511"/>
      <c r="Y67" s="1511"/>
      <c r="Z67" s="1494"/>
      <c r="AA67" s="1593"/>
      <c r="AB67" s="221" t="str">
        <f>K67&amp;" год"</f>
        <v>2063 год</v>
      </c>
      <c r="AC67" s="379"/>
      <c r="AD67" s="3872"/>
      <c r="AE67" s="3871"/>
      <c r="AF67" s="3871"/>
      <c r="AG67" s="3872"/>
      <c r="AH67" s="3871"/>
      <c r="AI67" s="3872"/>
      <c r="AJ67" s="3871"/>
      <c r="AK67" s="3873"/>
      <c r="AL67" s="374"/>
      <c r="AM67" s="1256"/>
      <c r="AN67" s="1041" cm="1" t="str">
        <f t="array" ref="AN67:AN67">K67</f>
        <v>2063</v>
      </c>
      <c r="AO67" s="1041" t="s">
        <v>2088</v>
      </c>
      <c r="AP67" s="1051" cm="1" t="str">
        <f t="array" ref="AP67:AP67">AP66</f>
        <v>0</v>
      </c>
      <c r="AQ67" s="679"/>
      <c r="AR67" s="679"/>
    </row>
    <row s="1256" customFormat="1" customHeight="1" ht="14.625" hidden="1">
      <c r="A68" s="1256"/>
      <c r="B68" s="417">
        <f>K68&lt;first_year+PERIOD_LENGTH</f>
        <v>0</v>
      </c>
      <c r="C68" s="1256"/>
      <c r="D68" s="1256"/>
      <c r="E68" s="679">
        <v>15</v>
      </c>
      <c r="F68" s="50" cm="1" t="str">
        <f t="array" ref="F68:F68">OFFSET(E68,-1,1)</f>
        <v>0</v>
      </c>
      <c r="G68" s="64" cm="1" t="str">
        <f t="array" ref="G68:G68">G67</f>
        <v>0</v>
      </c>
      <c r="H68" s="1256"/>
      <c r="I68" s="1256"/>
      <c r="J68" s="1256"/>
      <c r="K68" s="124">
        <f>first_year+38</f>
        <v>2064</v>
      </c>
      <c r="L68" s="1256"/>
      <c r="M68" s="1256"/>
      <c r="N68" s="1256"/>
      <c r="O68" s="1256"/>
      <c r="P68" s="1256"/>
      <c r="Q68" s="1256"/>
      <c r="R68" s="1256"/>
      <c r="S68" s="1256"/>
      <c r="T68" s="438" cm="1" t="str">
        <f t="array" ref="T68:T68">T67</f>
        <v>false</v>
      </c>
      <c r="U68" s="1256"/>
      <c r="V68" s="1256"/>
      <c r="W68" s="1256"/>
      <c r="X68" s="1511"/>
      <c r="Y68" s="1511"/>
      <c r="Z68" s="1494"/>
      <c r="AA68" s="1593"/>
      <c r="AB68" s="221" t="str">
        <f>K68&amp;" год"</f>
        <v>2064 год</v>
      </c>
      <c r="AC68" s="379"/>
      <c r="AD68" s="3872"/>
      <c r="AE68" s="3871"/>
      <c r="AF68" s="3871"/>
      <c r="AG68" s="3872"/>
      <c r="AH68" s="3871"/>
      <c r="AI68" s="3872"/>
      <c r="AJ68" s="3871"/>
      <c r="AK68" s="3873"/>
      <c r="AL68" s="374"/>
      <c r="AM68" s="1256"/>
      <c r="AN68" s="1041" cm="1" t="str">
        <f t="array" ref="AN68:AN68">K68</f>
        <v>2064</v>
      </c>
      <c r="AO68" s="1041" t="s">
        <v>2088</v>
      </c>
      <c r="AP68" s="1051" cm="1" t="str">
        <f t="array" ref="AP68:AP68">AP67</f>
        <v>0</v>
      </c>
      <c r="AQ68" s="679"/>
      <c r="AR68" s="679"/>
    </row>
    <row s="1256" customFormat="1" customHeight="1" ht="14.625" hidden="1">
      <c r="A69" s="1256"/>
      <c r="B69" s="417">
        <f>K69&lt;first_year+PERIOD_LENGTH</f>
        <v>0</v>
      </c>
      <c r="C69" s="1256"/>
      <c r="D69" s="1256"/>
      <c r="E69" s="679">
        <v>15</v>
      </c>
      <c r="F69" s="50" cm="1" t="str">
        <f t="array" ref="F69:F69">OFFSET(E69,-1,1)</f>
        <v>0</v>
      </c>
      <c r="G69" s="64" cm="1" t="str">
        <f t="array" ref="G69:G69">G68</f>
        <v>0</v>
      </c>
      <c r="H69" s="1256"/>
      <c r="I69" s="1256"/>
      <c r="J69" s="1256"/>
      <c r="K69" s="124">
        <f>first_year+39</f>
        <v>2065</v>
      </c>
      <c r="L69" s="1256"/>
      <c r="M69" s="1256"/>
      <c r="N69" s="1256"/>
      <c r="O69" s="1256"/>
      <c r="P69" s="1256"/>
      <c r="Q69" s="1256"/>
      <c r="R69" s="1256"/>
      <c r="S69" s="1256"/>
      <c r="T69" s="438" cm="1" t="str">
        <f t="array" ref="T69:T69">T68</f>
        <v>false</v>
      </c>
      <c r="U69" s="1256"/>
      <c r="V69" s="1256"/>
      <c r="W69" s="1256"/>
      <c r="X69" s="1511"/>
      <c r="Y69" s="1511"/>
      <c r="Z69" s="1494"/>
      <c r="AA69" s="1593"/>
      <c r="AB69" s="221" t="str">
        <f>K69&amp;" год"</f>
        <v>2065 год</v>
      </c>
      <c r="AC69" s="379"/>
      <c r="AD69" s="3872"/>
      <c r="AE69" s="3871"/>
      <c r="AF69" s="3871"/>
      <c r="AG69" s="3872"/>
      <c r="AH69" s="3871"/>
      <c r="AI69" s="3872"/>
      <c r="AJ69" s="3871"/>
      <c r="AK69" s="3873"/>
      <c r="AL69" s="374"/>
      <c r="AM69" s="1256"/>
      <c r="AN69" s="1041" cm="1" t="str">
        <f t="array" ref="AN69:AN69">K69</f>
        <v>2065</v>
      </c>
      <c r="AO69" s="1041" t="s">
        <v>2088</v>
      </c>
      <c r="AP69" s="1051" cm="1" t="str">
        <f t="array" ref="AP69:AP69">AP68</f>
        <v>0</v>
      </c>
      <c r="AQ69" s="679"/>
      <c r="AR69" s="679"/>
    </row>
    <row s="1256" customFormat="1" customHeight="1" ht="14.625" hidden="1">
      <c r="A70" s="1256"/>
      <c r="B70" s="417">
        <f>K70&lt;first_year+PERIOD_LENGTH</f>
        <v>0</v>
      </c>
      <c r="C70" s="1256"/>
      <c r="D70" s="1256"/>
      <c r="E70" s="679">
        <v>15</v>
      </c>
      <c r="F70" s="50" cm="1" t="str">
        <f t="array" ref="F70:F70">OFFSET(E70,-1,1)</f>
        <v>0</v>
      </c>
      <c r="G70" s="64" cm="1" t="str">
        <f t="array" ref="G70:G70">G69</f>
        <v>0</v>
      </c>
      <c r="H70" s="1256"/>
      <c r="I70" s="1256"/>
      <c r="J70" s="1256"/>
      <c r="K70" s="124">
        <f>first_year+40</f>
        <v>2066</v>
      </c>
      <c r="L70" s="1256"/>
      <c r="M70" s="1256"/>
      <c r="N70" s="1256"/>
      <c r="O70" s="1256"/>
      <c r="P70" s="1256"/>
      <c r="Q70" s="1256"/>
      <c r="R70" s="1256"/>
      <c r="S70" s="1256"/>
      <c r="T70" s="438" cm="1" t="str">
        <f t="array" ref="T70:T70">T69</f>
        <v>false</v>
      </c>
      <c r="U70" s="1256"/>
      <c r="V70" s="1256"/>
      <c r="W70" s="1256"/>
      <c r="X70" s="1511"/>
      <c r="Y70" s="1511"/>
      <c r="Z70" s="1494"/>
      <c r="AA70" s="1593"/>
      <c r="AB70" s="221" t="str">
        <f>K70&amp;" год"</f>
        <v>2066 год</v>
      </c>
      <c r="AC70" s="379"/>
      <c r="AD70" s="3872"/>
      <c r="AE70" s="3871"/>
      <c r="AF70" s="3871"/>
      <c r="AG70" s="3872"/>
      <c r="AH70" s="3871"/>
      <c r="AI70" s="3872"/>
      <c r="AJ70" s="3871"/>
      <c r="AK70" s="3873"/>
      <c r="AL70" s="374"/>
      <c r="AM70" s="1256"/>
      <c r="AN70" s="1041" cm="1" t="str">
        <f t="array" ref="AN70:AN70">K70</f>
        <v>2066</v>
      </c>
      <c r="AO70" s="1041" t="s">
        <v>2088</v>
      </c>
      <c r="AP70" s="1051" cm="1" t="str">
        <f t="array" ref="AP70:AP70">AP69</f>
        <v>0</v>
      </c>
      <c r="AQ70" s="679"/>
      <c r="AR70" s="679"/>
    </row>
    <row s="1256" customFormat="1" customHeight="1" ht="14.625" hidden="1">
      <c r="A71" s="1256"/>
      <c r="B71" s="417">
        <f>K71&lt;first_year+PERIOD_LENGTH</f>
        <v>0</v>
      </c>
      <c r="C71" s="1256"/>
      <c r="D71" s="1256"/>
      <c r="E71" s="679">
        <v>15</v>
      </c>
      <c r="F71" s="50" cm="1" t="str">
        <f t="array" ref="F71:F71">OFFSET(E71,-1,1)</f>
        <v>0</v>
      </c>
      <c r="G71" s="64" cm="1" t="str">
        <f t="array" ref="G71:G71">G70</f>
        <v>0</v>
      </c>
      <c r="H71" s="1256"/>
      <c r="I71" s="1256"/>
      <c r="J71" s="1256"/>
      <c r="K71" s="124">
        <f>first_year+41</f>
        <v>2067</v>
      </c>
      <c r="L71" s="1256"/>
      <c r="M71" s="1256"/>
      <c r="N71" s="1256"/>
      <c r="O71" s="1256"/>
      <c r="P71" s="1256"/>
      <c r="Q71" s="1256"/>
      <c r="R71" s="1256"/>
      <c r="S71" s="1256"/>
      <c r="T71" s="438" cm="1" t="str">
        <f t="array" ref="T71:T71">T70</f>
        <v>false</v>
      </c>
      <c r="U71" s="1256"/>
      <c r="V71" s="1256"/>
      <c r="W71" s="1256"/>
      <c r="X71" s="1511"/>
      <c r="Y71" s="1511"/>
      <c r="Z71" s="1494"/>
      <c r="AA71" s="1593"/>
      <c r="AB71" s="221" t="str">
        <f>K71&amp;" год"</f>
        <v>2067 год</v>
      </c>
      <c r="AC71" s="379"/>
      <c r="AD71" s="3872"/>
      <c r="AE71" s="3871"/>
      <c r="AF71" s="3871"/>
      <c r="AG71" s="3872"/>
      <c r="AH71" s="3871"/>
      <c r="AI71" s="3872"/>
      <c r="AJ71" s="3871"/>
      <c r="AK71" s="3873"/>
      <c r="AL71" s="374"/>
      <c r="AM71" s="1256"/>
      <c r="AN71" s="1041" cm="1" t="str">
        <f t="array" ref="AN71:AN71">K71</f>
        <v>2067</v>
      </c>
      <c r="AO71" s="1041" t="s">
        <v>2088</v>
      </c>
      <c r="AP71" s="1051" cm="1" t="str">
        <f t="array" ref="AP71:AP71">AP70</f>
        <v>0</v>
      </c>
      <c r="AQ71" s="679"/>
      <c r="AR71" s="679"/>
    </row>
    <row s="1256" customFormat="1" customHeight="1" ht="14.625" hidden="1">
      <c r="A72" s="1256"/>
      <c r="B72" s="417">
        <f>K72&lt;first_year+PERIOD_LENGTH</f>
        <v>0</v>
      </c>
      <c r="C72" s="1256"/>
      <c r="D72" s="1256"/>
      <c r="E72" s="679">
        <v>15</v>
      </c>
      <c r="F72" s="50" cm="1" t="str">
        <f t="array" ref="F72:F72">OFFSET(E72,-1,1)</f>
        <v>0</v>
      </c>
      <c r="G72" s="64" cm="1" t="str">
        <f t="array" ref="G72:G72">G71</f>
        <v>0</v>
      </c>
      <c r="H72" s="1256"/>
      <c r="I72" s="1256"/>
      <c r="J72" s="1256"/>
      <c r="K72" s="124">
        <f>first_year+42</f>
        <v>2068</v>
      </c>
      <c r="L72" s="1256"/>
      <c r="M72" s="1256"/>
      <c r="N72" s="1256"/>
      <c r="O72" s="1256"/>
      <c r="P72" s="1256"/>
      <c r="Q72" s="1256"/>
      <c r="R72" s="1256"/>
      <c r="S72" s="1256"/>
      <c r="T72" s="438" cm="1" t="str">
        <f t="array" ref="T72:T72">T71</f>
        <v>false</v>
      </c>
      <c r="U72" s="1256"/>
      <c r="V72" s="1256"/>
      <c r="W72" s="1256"/>
      <c r="X72" s="1511"/>
      <c r="Y72" s="1511"/>
      <c r="Z72" s="1494"/>
      <c r="AA72" s="1593"/>
      <c r="AB72" s="221" t="str">
        <f>K72&amp;" год"</f>
        <v>2068 год</v>
      </c>
      <c r="AC72" s="379"/>
      <c r="AD72" s="3872"/>
      <c r="AE72" s="3871"/>
      <c r="AF72" s="3871"/>
      <c r="AG72" s="3872"/>
      <c r="AH72" s="3871"/>
      <c r="AI72" s="3872"/>
      <c r="AJ72" s="3871"/>
      <c r="AK72" s="3873"/>
      <c r="AL72" s="374"/>
      <c r="AM72" s="1256"/>
      <c r="AN72" s="1041" cm="1" t="str">
        <f t="array" ref="AN72:AN72">K72</f>
        <v>2068</v>
      </c>
      <c r="AO72" s="1041" t="s">
        <v>2088</v>
      </c>
      <c r="AP72" s="1051" cm="1" t="str">
        <f t="array" ref="AP72:AP72">AP71</f>
        <v>0</v>
      </c>
      <c r="AQ72" s="679"/>
      <c r="AR72" s="679"/>
    </row>
    <row s="1256" customFormat="1" customHeight="1" ht="14.625" hidden="1">
      <c r="A73" s="1256"/>
      <c r="B73" s="417">
        <f>K73&lt;first_year+PERIOD_LENGTH</f>
        <v>0</v>
      </c>
      <c r="C73" s="1256"/>
      <c r="D73" s="1256"/>
      <c r="E73" s="679">
        <v>15</v>
      </c>
      <c r="F73" s="50" cm="1" t="str">
        <f t="array" ref="F73:F73">OFFSET(E73,-1,1)</f>
        <v>0</v>
      </c>
      <c r="G73" s="64" cm="1" t="str">
        <f t="array" ref="G73:G73">G72</f>
        <v>0</v>
      </c>
      <c r="H73" s="1256"/>
      <c r="I73" s="1256"/>
      <c r="J73" s="1256"/>
      <c r="K73" s="124">
        <f>first_year+43</f>
        <v>2069</v>
      </c>
      <c r="L73" s="1256"/>
      <c r="M73" s="1256"/>
      <c r="N73" s="1256"/>
      <c r="O73" s="1256"/>
      <c r="P73" s="1256"/>
      <c r="Q73" s="1256"/>
      <c r="R73" s="1256"/>
      <c r="S73" s="1256"/>
      <c r="T73" s="438" cm="1" t="str">
        <f t="array" ref="T73:T73">T72</f>
        <v>false</v>
      </c>
      <c r="U73" s="1256"/>
      <c r="V73" s="1256"/>
      <c r="W73" s="1256"/>
      <c r="X73" s="1511"/>
      <c r="Y73" s="1511"/>
      <c r="Z73" s="1494"/>
      <c r="AA73" s="1593"/>
      <c r="AB73" s="221" t="str">
        <f>K73&amp;" год"</f>
        <v>2069 год</v>
      </c>
      <c r="AC73" s="379"/>
      <c r="AD73" s="3872"/>
      <c r="AE73" s="3871"/>
      <c r="AF73" s="3871"/>
      <c r="AG73" s="3872"/>
      <c r="AH73" s="3871"/>
      <c r="AI73" s="3872"/>
      <c r="AJ73" s="3871"/>
      <c r="AK73" s="3873"/>
      <c r="AL73" s="374"/>
      <c r="AM73" s="1256"/>
      <c r="AN73" s="1041" cm="1" t="str">
        <f t="array" ref="AN73:AN73">K73</f>
        <v>2069</v>
      </c>
      <c r="AO73" s="1041" t="s">
        <v>2088</v>
      </c>
      <c r="AP73" s="1051" cm="1" t="str">
        <f t="array" ref="AP73:AP73">AP72</f>
        <v>0</v>
      </c>
      <c r="AQ73" s="679"/>
      <c r="AR73" s="679"/>
    </row>
    <row s="1256" customFormat="1" customHeight="1" ht="14.625" hidden="1">
      <c r="A74" s="1256"/>
      <c r="B74" s="417">
        <f>K74&lt;first_year+PERIOD_LENGTH</f>
        <v>0</v>
      </c>
      <c r="C74" s="1256"/>
      <c r="D74" s="1256"/>
      <c r="E74" s="679">
        <v>15</v>
      </c>
      <c r="F74" s="50" cm="1" t="str">
        <f t="array" ref="F74:F74">OFFSET(E74,-1,1)</f>
        <v>0</v>
      </c>
      <c r="G74" s="64" cm="1" t="str">
        <f t="array" ref="G74:G74">G73</f>
        <v>0</v>
      </c>
      <c r="H74" s="1256"/>
      <c r="I74" s="1256"/>
      <c r="J74" s="1256"/>
      <c r="K74" s="124">
        <f>first_year+44</f>
        <v>2070</v>
      </c>
      <c r="L74" s="1256"/>
      <c r="M74" s="1256"/>
      <c r="N74" s="1256"/>
      <c r="O74" s="1256"/>
      <c r="P74" s="1256"/>
      <c r="Q74" s="1256"/>
      <c r="R74" s="1256"/>
      <c r="S74" s="1256"/>
      <c r="T74" s="438" cm="1" t="str">
        <f t="array" ref="T74:T74">T73</f>
        <v>false</v>
      </c>
      <c r="U74" s="1256"/>
      <c r="V74" s="1256"/>
      <c r="W74" s="1256"/>
      <c r="X74" s="1511"/>
      <c r="Y74" s="1511"/>
      <c r="Z74" s="1494"/>
      <c r="AA74" s="1593"/>
      <c r="AB74" s="221" t="str">
        <f>K74&amp;" год"</f>
        <v>2070 год</v>
      </c>
      <c r="AC74" s="379"/>
      <c r="AD74" s="3872"/>
      <c r="AE74" s="3871"/>
      <c r="AF74" s="3871"/>
      <c r="AG74" s="3872"/>
      <c r="AH74" s="3871"/>
      <c r="AI74" s="3872"/>
      <c r="AJ74" s="3871"/>
      <c r="AK74" s="3873"/>
      <c r="AL74" s="374"/>
      <c r="AM74" s="1256"/>
      <c r="AN74" s="1041" cm="1" t="str">
        <f t="array" ref="AN74:AN74">K74</f>
        <v>2070</v>
      </c>
      <c r="AO74" s="1041" t="s">
        <v>2088</v>
      </c>
      <c r="AP74" s="1051" cm="1" t="str">
        <f t="array" ref="AP74:AP74">AP73</f>
        <v>0</v>
      </c>
      <c r="AQ74" s="679"/>
      <c r="AR74" s="679"/>
    </row>
    <row s="1256" customFormat="1" customHeight="1" ht="14.625" hidden="1">
      <c r="A75" s="1256"/>
      <c r="B75" s="417">
        <f>K75&lt;first_year+PERIOD_LENGTH</f>
        <v>0</v>
      </c>
      <c r="C75" s="1256"/>
      <c r="D75" s="1256"/>
      <c r="E75" s="679">
        <v>15</v>
      </c>
      <c r="F75" s="50" cm="1" t="str">
        <f t="array" ref="F75:F75">OFFSET(E75,-1,1)</f>
        <v>0</v>
      </c>
      <c r="G75" s="64" cm="1" t="str">
        <f t="array" ref="G75:G75">G74</f>
        <v>0</v>
      </c>
      <c r="H75" s="1256"/>
      <c r="I75" s="1256"/>
      <c r="J75" s="1256"/>
      <c r="K75" s="124">
        <f>first_year+45</f>
        <v>2071</v>
      </c>
      <c r="L75" s="1256"/>
      <c r="M75" s="1256"/>
      <c r="N75" s="1256"/>
      <c r="O75" s="1256"/>
      <c r="P75" s="1256"/>
      <c r="Q75" s="1256"/>
      <c r="R75" s="1256"/>
      <c r="S75" s="1256"/>
      <c r="T75" s="438" cm="1" t="str">
        <f t="array" ref="T75:T75">T74</f>
        <v>false</v>
      </c>
      <c r="U75" s="1256"/>
      <c r="V75" s="1256"/>
      <c r="W75" s="1256"/>
      <c r="X75" s="1511"/>
      <c r="Y75" s="1511"/>
      <c r="Z75" s="1494"/>
      <c r="AA75" s="1593"/>
      <c r="AB75" s="221" t="str">
        <f>K75&amp;" год"</f>
        <v>2071 год</v>
      </c>
      <c r="AC75" s="379"/>
      <c r="AD75" s="3872"/>
      <c r="AE75" s="3871"/>
      <c r="AF75" s="3871"/>
      <c r="AG75" s="3872"/>
      <c r="AH75" s="3871"/>
      <c r="AI75" s="3872"/>
      <c r="AJ75" s="3871"/>
      <c r="AK75" s="3873"/>
      <c r="AL75" s="374"/>
      <c r="AM75" s="1256"/>
      <c r="AN75" s="1041" cm="1" t="str">
        <f t="array" ref="AN75:AN75">K75</f>
        <v>2071</v>
      </c>
      <c r="AO75" s="1041" t="s">
        <v>2088</v>
      </c>
      <c r="AP75" s="1051" cm="1" t="str">
        <f t="array" ref="AP75:AP75">AP74</f>
        <v>0</v>
      </c>
      <c r="AQ75" s="679"/>
      <c r="AR75" s="679"/>
    </row>
    <row s="1256" customFormat="1" customHeight="1" ht="14.625" hidden="1">
      <c r="A76" s="1256"/>
      <c r="B76" s="417">
        <f>K76&lt;first_year+PERIOD_LENGTH</f>
        <v>0</v>
      </c>
      <c r="C76" s="1256"/>
      <c r="D76" s="1256"/>
      <c r="E76" s="679">
        <v>15</v>
      </c>
      <c r="F76" s="50" cm="1" t="str">
        <f t="array" ref="F76:F76">OFFSET(E76,-1,1)</f>
        <v>0</v>
      </c>
      <c r="G76" s="64" cm="1" t="str">
        <f t="array" ref="G76:G76">G75</f>
        <v>0</v>
      </c>
      <c r="H76" s="1256"/>
      <c r="I76" s="1256"/>
      <c r="J76" s="1256"/>
      <c r="K76" s="124">
        <f>first_year+46</f>
        <v>2072</v>
      </c>
      <c r="L76" s="1256"/>
      <c r="M76" s="1256"/>
      <c r="N76" s="1256"/>
      <c r="O76" s="1256"/>
      <c r="P76" s="1256"/>
      <c r="Q76" s="1256"/>
      <c r="R76" s="1256"/>
      <c r="S76" s="1256"/>
      <c r="T76" s="438" cm="1" t="str">
        <f t="array" ref="T76:T76">T75</f>
        <v>false</v>
      </c>
      <c r="U76" s="1256"/>
      <c r="V76" s="1256"/>
      <c r="W76" s="1256"/>
      <c r="X76" s="1511"/>
      <c r="Y76" s="1511"/>
      <c r="Z76" s="1494"/>
      <c r="AA76" s="1593"/>
      <c r="AB76" s="221" t="str">
        <f>K76&amp;" год"</f>
        <v>2072 год</v>
      </c>
      <c r="AC76" s="379"/>
      <c r="AD76" s="3872"/>
      <c r="AE76" s="3871"/>
      <c r="AF76" s="3871"/>
      <c r="AG76" s="3872"/>
      <c r="AH76" s="3871"/>
      <c r="AI76" s="3872"/>
      <c r="AJ76" s="3871"/>
      <c r="AK76" s="3873"/>
      <c r="AL76" s="374"/>
      <c r="AM76" s="1256"/>
      <c r="AN76" s="1041" cm="1" t="str">
        <f t="array" ref="AN76:AN76">K76</f>
        <v>2072</v>
      </c>
      <c r="AO76" s="1041" t="s">
        <v>2088</v>
      </c>
      <c r="AP76" s="1051" cm="1" t="str">
        <f t="array" ref="AP76:AP76">AP75</f>
        <v>0</v>
      </c>
      <c r="AQ76" s="679"/>
      <c r="AR76" s="679"/>
    </row>
    <row s="1256" customFormat="1" customHeight="1" ht="14.625" hidden="1">
      <c r="A77" s="1256"/>
      <c r="B77" s="417">
        <f>K77&lt;first_year+PERIOD_LENGTH</f>
        <v>0</v>
      </c>
      <c r="C77" s="1256"/>
      <c r="D77" s="1256"/>
      <c r="E77" s="679">
        <v>15</v>
      </c>
      <c r="F77" s="50" cm="1" t="str">
        <f t="array" ref="F77:F77">OFFSET(E77,-1,1)</f>
        <v>0</v>
      </c>
      <c r="G77" s="64" cm="1" t="str">
        <f t="array" ref="G77:G77">G76</f>
        <v>0</v>
      </c>
      <c r="H77" s="1256"/>
      <c r="I77" s="1256"/>
      <c r="J77" s="1256"/>
      <c r="K77" s="124">
        <f>first_year+47</f>
        <v>2073</v>
      </c>
      <c r="L77" s="1256"/>
      <c r="M77" s="1256"/>
      <c r="N77" s="1256"/>
      <c r="O77" s="1256"/>
      <c r="P77" s="1256"/>
      <c r="Q77" s="1256"/>
      <c r="R77" s="1256"/>
      <c r="S77" s="1256"/>
      <c r="T77" s="438" cm="1" t="str">
        <f t="array" ref="T77:T77">T76</f>
        <v>false</v>
      </c>
      <c r="U77" s="1256"/>
      <c r="V77" s="1256"/>
      <c r="W77" s="1256"/>
      <c r="X77" s="1511"/>
      <c r="Y77" s="1511"/>
      <c r="Z77" s="1494"/>
      <c r="AA77" s="1593"/>
      <c r="AB77" s="221" t="str">
        <f>K77&amp;" год"</f>
        <v>2073 год</v>
      </c>
      <c r="AC77" s="379"/>
      <c r="AD77" s="3872"/>
      <c r="AE77" s="3871"/>
      <c r="AF77" s="3871"/>
      <c r="AG77" s="3872"/>
      <c r="AH77" s="3871"/>
      <c r="AI77" s="3872"/>
      <c r="AJ77" s="3871"/>
      <c r="AK77" s="3873"/>
      <c r="AL77" s="374"/>
      <c r="AM77" s="1256"/>
      <c r="AN77" s="1041" cm="1" t="str">
        <f t="array" ref="AN77:AN77">K77</f>
        <v>2073</v>
      </c>
      <c r="AO77" s="1041" t="s">
        <v>2088</v>
      </c>
      <c r="AP77" s="1051" cm="1" t="str">
        <f t="array" ref="AP77:AP77">AP76</f>
        <v>0</v>
      </c>
      <c r="AQ77" s="679"/>
      <c r="AR77" s="679"/>
    </row>
    <row s="1256" customFormat="1" customHeight="1" ht="14.625" hidden="1">
      <c r="A78" s="1256"/>
      <c r="B78" s="417">
        <f>K78&lt;first_year+PERIOD_LENGTH</f>
        <v>0</v>
      </c>
      <c r="C78" s="1256"/>
      <c r="D78" s="1256"/>
      <c r="E78" s="679">
        <v>15</v>
      </c>
      <c r="F78" s="50" cm="1" t="str">
        <f t="array" ref="F78:F78">OFFSET(E78,-1,1)</f>
        <v>0</v>
      </c>
      <c r="G78" s="64" cm="1" t="str">
        <f t="array" ref="G78:G78">G77</f>
        <v>0</v>
      </c>
      <c r="H78" s="1256"/>
      <c r="I78" s="1256"/>
      <c r="J78" s="1256"/>
      <c r="K78" s="124">
        <f>first_year+48</f>
        <v>2074</v>
      </c>
      <c r="L78" s="1256"/>
      <c r="M78" s="1256"/>
      <c r="N78" s="1256"/>
      <c r="O78" s="1256"/>
      <c r="P78" s="1256"/>
      <c r="Q78" s="1256"/>
      <c r="R78" s="1256"/>
      <c r="S78" s="1256"/>
      <c r="T78" s="438" cm="1" t="str">
        <f t="array" ref="T78:T78">T77</f>
        <v>false</v>
      </c>
      <c r="U78" s="1256"/>
      <c r="V78" s="1256"/>
      <c r="W78" s="1256"/>
      <c r="X78" s="1511"/>
      <c r="Y78" s="1511"/>
      <c r="Z78" s="1494"/>
      <c r="AA78" s="1593"/>
      <c r="AB78" s="221" t="str">
        <f>K78&amp;" год"</f>
        <v>2074 год</v>
      </c>
      <c r="AC78" s="379"/>
      <c r="AD78" s="3872"/>
      <c r="AE78" s="3871"/>
      <c r="AF78" s="3871"/>
      <c r="AG78" s="3872"/>
      <c r="AH78" s="3871"/>
      <c r="AI78" s="3872"/>
      <c r="AJ78" s="3871"/>
      <c r="AK78" s="3873"/>
      <c r="AL78" s="374"/>
      <c r="AM78" s="1256"/>
      <c r="AN78" s="1041" cm="1" t="str">
        <f t="array" ref="AN78:AN78">K78</f>
        <v>2074</v>
      </c>
      <c r="AO78" s="1041" t="s">
        <v>2088</v>
      </c>
      <c r="AP78" s="1051" cm="1" t="str">
        <f t="array" ref="AP78:AP78">AP77</f>
        <v>0</v>
      </c>
      <c r="AQ78" s="679"/>
      <c r="AR78" s="679"/>
    </row>
    <row s="1256" customFormat="1" customHeight="1" ht="14.625" hidden="1">
      <c r="A79" s="1256"/>
      <c r="B79" s="417">
        <f>K79&lt;first_year+PERIOD_LENGTH</f>
        <v>0</v>
      </c>
      <c r="C79" s="1256"/>
      <c r="D79" s="1256"/>
      <c r="E79" s="679">
        <v>15</v>
      </c>
      <c r="F79" s="50" cm="1" t="str">
        <f t="array" ref="F79:F79">OFFSET(E79,-1,1)</f>
        <v>0</v>
      </c>
      <c r="G79" s="64" cm="1" t="str">
        <f t="array" ref="G79:G79">G78</f>
        <v>0</v>
      </c>
      <c r="H79" s="1256"/>
      <c r="I79" s="1256"/>
      <c r="J79" s="1256"/>
      <c r="K79" s="124">
        <f>first_year+49</f>
        <v>2075</v>
      </c>
      <c r="L79" s="1256"/>
      <c r="M79" s="1256"/>
      <c r="N79" s="1256"/>
      <c r="O79" s="1256"/>
      <c r="P79" s="1256"/>
      <c r="Q79" s="1256"/>
      <c r="R79" s="1256"/>
      <c r="S79" s="1256"/>
      <c r="T79" s="438" cm="1" t="str">
        <f t="array" ref="T79:T79">T78</f>
        <v>false</v>
      </c>
      <c r="U79" s="1256"/>
      <c r="V79" s="1256"/>
      <c r="W79" s="1256"/>
      <c r="X79" s="1511"/>
      <c r="Y79" s="1511"/>
      <c r="Z79" s="1494"/>
      <c r="AA79" s="1593"/>
      <c r="AB79" s="221" t="str">
        <f>K79&amp;" год"</f>
        <v>2075 год</v>
      </c>
      <c r="AC79" s="379"/>
      <c r="AD79" s="3872"/>
      <c r="AE79" s="3871"/>
      <c r="AF79" s="3871"/>
      <c r="AG79" s="3872"/>
      <c r="AH79" s="3871"/>
      <c r="AI79" s="3872"/>
      <c r="AJ79" s="3871"/>
      <c r="AK79" s="3873"/>
      <c r="AL79" s="374"/>
      <c r="AM79" s="1256"/>
      <c r="AN79" s="1041" cm="1" t="str">
        <f t="array" ref="AN79:AN79">K79</f>
        <v>2075</v>
      </c>
      <c r="AO79" s="1041" t="s">
        <v>2088</v>
      </c>
      <c r="AP79" s="1051" cm="1" t="str">
        <f t="array" ref="AP79:AP79">AP78</f>
        <v>0</v>
      </c>
      <c r="AQ79" s="679"/>
      <c r="AR79" s="679"/>
    </row>
    <row s="1624" customFormat="1" customHeight="1" ht="14.625" hidden="1">
      <c r="A80" s="124"/>
      <c r="B80" s="404"/>
      <c r="C80" s="124"/>
      <c r="D80" s="124"/>
      <c r="E80" s="679">
        <v>15</v>
      </c>
      <c r="F80" s="1153" cm="1" t="str">
        <f t="array" ref="F80:F80">OFFSET(E80,-1,1)</f>
        <v>0</v>
      </c>
      <c r="G80" s="124" t="str">
        <f>"!== 'не определено'"</f>
        <v>!== 'не определено'</v>
      </c>
      <c r="H80" s="124"/>
      <c r="I80" s="124"/>
      <c r="J80" s="124"/>
      <c r="K80" s="124"/>
      <c r="L80" s="124"/>
      <c r="M80" s="124"/>
      <c r="N80" s="124"/>
      <c r="O80" s="124"/>
      <c r="P80" s="124"/>
      <c r="Q80" s="124"/>
      <c r="R80" s="124"/>
      <c r="S80" s="124"/>
      <c r="T80" s="438">
        <f>F80&gt;0</f>
        <v>0</v>
      </c>
      <c r="U80" s="124"/>
      <c r="V80" s="124"/>
      <c r="W80" s="805" t="s">
        <v>2089</v>
      </c>
      <c r="X80" s="1511"/>
      <c r="Y80" s="124"/>
      <c r="Z80" s="1494"/>
      <c r="AA80" s="124"/>
      <c r="AB80" s="914" t="s">
        <v>176</v>
      </c>
      <c r="AC80" s="270"/>
      <c r="AD80" s="270"/>
      <c r="AE80" s="270"/>
      <c r="AF80" s="270"/>
      <c r="AG80" s="270"/>
      <c r="AH80" s="270"/>
      <c r="AI80" s="270"/>
      <c r="AJ80" s="270"/>
      <c r="AK80" s="270"/>
      <c r="AL80" s="374"/>
      <c r="AM80" s="1624"/>
      <c r="AN80" s="981"/>
      <c r="AO80" s="981"/>
      <c r="AP80" s="981"/>
      <c r="AQ80" s="984" t="s">
        <v>2088</v>
      </c>
      <c r="AR80" s="599"/>
    </row>
    <row s="511" customFormat="1" customHeight="1" ht="14.25">
      <c r="A81" s="1363"/>
      <c r="B81" s="400"/>
      <c r="C81" s="1363"/>
      <c r="D81" s="1363"/>
      <c r="E81" s="593">
        <v>15</v>
      </c>
      <c r="F81" s="64" cm="1" t="str">
        <f t="array" ref="F81:F81">X81</f>
        <v>1</v>
      </c>
      <c r="G81" s="1363"/>
      <c r="H81" s="1363"/>
      <c r="I81" s="1363"/>
      <c r="J81" s="1363"/>
      <c r="K81" s="1363"/>
      <c r="L81" s="1363"/>
      <c r="M81" s="1363"/>
      <c r="N81" s="1363"/>
      <c r="O81" s="1363"/>
      <c r="P81" s="1363"/>
      <c r="Q81" s="1363"/>
      <c r="R81" s="1363"/>
      <c r="S81" s="1363"/>
      <c r="T81" s="438">
        <f>X81&gt;0</f>
        <v>1</v>
      </c>
      <c r="U81" s="1363"/>
      <c r="V81" s="88" cm="1" t="str">
        <f t="array" ref="V81:V81">ДПР!$AB$81</f>
        <v>Тариф 1 (Водоотведение) - тариф на транспортировку сточных вод</v>
      </c>
      <c r="W81" s="1363"/>
      <c r="X81" s="1511" t="s">
        <v>281</v>
      </c>
      <c r="Y81" s="1363"/>
      <c r="Z81" s="1494"/>
      <c r="AA81" s="1363"/>
      <c r="AB81" s="347" cm="1" t="str">
        <f t="array" ref="AB81:AB81">ДПР!$AB$81</f>
        <v>Тариф 1 (Водоотведение) - тариф на транспортировку сточных вод</v>
      </c>
      <c r="AC81" s="209"/>
      <c r="AD81" s="209"/>
      <c r="AE81" s="209"/>
      <c r="AF81" s="209"/>
      <c r="AG81" s="209"/>
      <c r="AH81" s="209"/>
      <c r="AI81" s="209"/>
      <c r="AJ81" s="209"/>
      <c r="AK81" s="209"/>
      <c r="AL81" s="373"/>
      <c r="AM81" s="1363"/>
      <c r="AN81" s="974"/>
      <c r="AO81" s="974"/>
      <c r="AP81" s="974"/>
      <c r="AQ81" s="593"/>
      <c r="AR81" s="593"/>
    </row>
    <row s="511" customFormat="1" customHeight="1" ht="14.25" hidden="1">
      <c r="A82" s="1363"/>
      <c r="B82" s="400"/>
      <c r="C82" s="1363"/>
      <c r="D82" s="1363"/>
      <c r="E82" s="593">
        <v>15</v>
      </c>
      <c r="F82" s="50" cm="1" t="str">
        <f t="array" ref="F82:F82">OFFSET(E82,-1,1)</f>
        <v>1</v>
      </c>
      <c r="G82" s="88" cm="1" t="str">
        <f t="array" ref="G82:G82">AB82</f>
        <v>0</v>
      </c>
      <c r="H82" s="1363"/>
      <c r="I82" s="1363"/>
      <c r="J82" s="1363"/>
      <c r="K82" s="1363"/>
      <c r="L82" s="1363"/>
      <c r="M82" s="1363"/>
      <c r="N82" s="1363"/>
      <c r="O82" s="1363"/>
      <c r="P82" s="1363"/>
      <c r="Q82" s="1363"/>
      <c r="R82" s="1363"/>
      <c r="S82" s="1363"/>
      <c r="T82" s="438">
        <f>AND(F82&gt;0,Y82&gt;0)</f>
        <v>0</v>
      </c>
      <c r="U82" s="1363"/>
      <c r="V82" s="1363"/>
      <c r="W82" s="88" t="s">
        <v>172</v>
      </c>
      <c r="X82" s="1511"/>
      <c r="Y82" s="1511">
        <v>0</v>
      </c>
      <c r="Z82" s="1494"/>
      <c r="AA82" s="1593" t="s">
        <v>173</v>
      </c>
      <c r="AB82" s="3867"/>
      <c r="AC82" s="3867"/>
      <c r="AD82" s="3867"/>
      <c r="AE82" s="3867"/>
      <c r="AF82" s="3867"/>
      <c r="AG82" s="3867"/>
      <c r="AH82" s="3867"/>
      <c r="AI82" s="3867"/>
      <c r="AJ82" s="3867"/>
      <c r="AK82" s="3868"/>
      <c r="AL82" s="373"/>
      <c r="AM82" s="1363"/>
      <c r="AN82" s="974"/>
      <c r="AO82" s="1041" t="s">
        <v>2088</v>
      </c>
      <c r="AP82" s="1056" cm="1" t="str">
        <f t="array" ref="AP82:AP82">AB82</f>
        <v>0</v>
      </c>
      <c r="AQ82" s="593"/>
      <c r="AR82" s="593" t="b">
        <v>1</v>
      </c>
    </row>
    <row s="3879" customFormat="1" customHeight="1" ht="14.25" hidden="1">
      <c r="A83" s="1256"/>
      <c r="B83" s="417">
        <f>K83&lt;first_year+PERIOD_LENGTH</f>
        <v>1</v>
      </c>
      <c r="C83" s="1256"/>
      <c r="D83" s="1256"/>
      <c r="E83" s="679">
        <v>15</v>
      </c>
      <c r="F83" s="50" cm="1" t="str">
        <f t="array" ref="F83:F83">OFFSET(E83,-1,1)</f>
        <v>1</v>
      </c>
      <c r="G83" s="64" cm="1" t="str">
        <f t="array" ref="G83:G83">G82</f>
        <v>0</v>
      </c>
      <c r="H83" s="1256"/>
      <c r="I83" s="1256"/>
      <c r="J83" s="1256"/>
      <c r="K83" s="124" cm="1" t="str">
        <f t="array" ref="K83:K83">first_year</f>
        <v>2026</v>
      </c>
      <c r="L83" s="1256"/>
      <c r="M83" s="1256"/>
      <c r="N83" s="1256"/>
      <c r="O83" s="1256"/>
      <c r="P83" s="1256"/>
      <c r="Q83" s="1256"/>
      <c r="R83" s="1256"/>
      <c r="S83" s="1256"/>
      <c r="T83" s="438" cm="1" t="str">
        <f t="array" ref="T83:T83">T82</f>
        <v>false</v>
      </c>
      <c r="U83" s="1256"/>
      <c r="V83" s="1256"/>
      <c r="W83" s="1256"/>
      <c r="X83" s="1511"/>
      <c r="Y83" s="1511"/>
      <c r="Z83" s="1494"/>
      <c r="AA83" s="1593"/>
      <c r="AB83" s="268" t="str">
        <f>K83&amp;" год"</f>
        <v>2026 год</v>
      </c>
      <c r="AC83" s="3871"/>
      <c r="AD83" s="3872"/>
      <c r="AE83" s="3871"/>
      <c r="AF83" s="3871"/>
      <c r="AG83" s="3872"/>
      <c r="AH83" s="3871"/>
      <c r="AI83" s="3872"/>
      <c r="AJ83" s="3871"/>
      <c r="AK83" s="3873"/>
      <c r="AL83" s="374"/>
      <c r="AM83" s="1256"/>
      <c r="AN83" s="1041" cm="1" t="str">
        <f t="array" ref="AN83:AN83">K83</f>
        <v>2026</v>
      </c>
      <c r="AO83" s="1041" t="s">
        <v>2088</v>
      </c>
      <c r="AP83" s="1051" cm="1" t="str">
        <f t="array" ref="AP83:AP83">AP82</f>
        <v>0</v>
      </c>
      <c r="AQ83" s="679"/>
      <c r="AR83" s="679"/>
    </row>
    <row s="3880" customFormat="1" customHeight="1" ht="14.25" hidden="1">
      <c r="A84" s="1256"/>
      <c r="B84" s="417">
        <f>K84&lt;first_year+PERIOD_LENGTH</f>
        <v>0</v>
      </c>
      <c r="C84" s="1256"/>
      <c r="D84" s="1256"/>
      <c r="E84" s="679">
        <v>15</v>
      </c>
      <c r="F84" s="50" cm="1" t="str">
        <f t="array" ref="F84:F84">OFFSET(E84,-1,1)</f>
        <v>1</v>
      </c>
      <c r="G84" s="64" cm="1" t="str">
        <f t="array" ref="G84:G84">G83</f>
        <v>0</v>
      </c>
      <c r="H84" s="1256"/>
      <c r="I84" s="1256"/>
      <c r="J84" s="1256"/>
      <c r="K84" s="124">
        <f>first_year+1</f>
        <v>2027</v>
      </c>
      <c r="L84" s="1256"/>
      <c r="M84" s="1256"/>
      <c r="N84" s="1256"/>
      <c r="O84" s="1256"/>
      <c r="P84" s="1256"/>
      <c r="Q84" s="1256"/>
      <c r="R84" s="1256"/>
      <c r="S84" s="1256"/>
      <c r="T84" s="438" cm="1" t="str">
        <f t="array" ref="T84:T84">T83</f>
        <v>false</v>
      </c>
      <c r="U84" s="1256"/>
      <c r="V84" s="1256"/>
      <c r="W84" s="1256"/>
      <c r="X84" s="1511"/>
      <c r="Y84" s="1511"/>
      <c r="Z84" s="1494"/>
      <c r="AA84" s="1593"/>
      <c r="AB84" s="221" t="str">
        <f>K84&amp;" год"</f>
        <v>2027 год</v>
      </c>
      <c r="AC84" s="379"/>
      <c r="AD84" s="3872"/>
      <c r="AE84" s="3871"/>
      <c r="AF84" s="3871"/>
      <c r="AG84" s="3872"/>
      <c r="AH84" s="3871"/>
      <c r="AI84" s="3872"/>
      <c r="AJ84" s="3871"/>
      <c r="AK84" s="3873"/>
      <c r="AL84" s="374"/>
      <c r="AM84" s="1256"/>
      <c r="AN84" s="1041" cm="1" t="str">
        <f t="array" ref="AN84:AN84">K84</f>
        <v>2027</v>
      </c>
      <c r="AO84" s="1041" t="s">
        <v>2088</v>
      </c>
      <c r="AP84" s="1051" cm="1" t="str">
        <f t="array" ref="AP84:AP84">AP83</f>
        <v>0</v>
      </c>
      <c r="AQ84" s="679"/>
      <c r="AR84" s="679"/>
    </row>
    <row s="3881" customFormat="1" customHeight="1" ht="14.25" hidden="1">
      <c r="A85" s="1256"/>
      <c r="B85" s="417">
        <f>K85&lt;first_year+PERIOD_LENGTH</f>
        <v>0</v>
      </c>
      <c r="C85" s="1256"/>
      <c r="D85" s="1256"/>
      <c r="E85" s="679">
        <v>15</v>
      </c>
      <c r="F85" s="50" cm="1" t="str">
        <f t="array" ref="F85:F85">OFFSET(E85,-1,1)</f>
        <v>1</v>
      </c>
      <c r="G85" s="64" cm="1" t="str">
        <f t="array" ref="G85:G85">G84</f>
        <v>0</v>
      </c>
      <c r="H85" s="1256"/>
      <c r="I85" s="1256"/>
      <c r="J85" s="1256"/>
      <c r="K85" s="124">
        <f>first_year+2</f>
        <v>2028</v>
      </c>
      <c r="L85" s="1256"/>
      <c r="M85" s="1256"/>
      <c r="N85" s="1256"/>
      <c r="O85" s="1256"/>
      <c r="P85" s="1256"/>
      <c r="Q85" s="1256"/>
      <c r="R85" s="1256"/>
      <c r="S85" s="1256"/>
      <c r="T85" s="438" cm="1" t="str">
        <f t="array" ref="T85:T85">T84</f>
        <v>false</v>
      </c>
      <c r="U85" s="1256"/>
      <c r="V85" s="1256"/>
      <c r="W85" s="1256"/>
      <c r="X85" s="1511"/>
      <c r="Y85" s="1511"/>
      <c r="Z85" s="1494"/>
      <c r="AA85" s="1593"/>
      <c r="AB85" s="221" t="str">
        <f>K85&amp;" год"</f>
        <v>2028 год</v>
      </c>
      <c r="AC85" s="379"/>
      <c r="AD85" s="3872"/>
      <c r="AE85" s="3871"/>
      <c r="AF85" s="3871"/>
      <c r="AG85" s="3872"/>
      <c r="AH85" s="3871"/>
      <c r="AI85" s="3872"/>
      <c r="AJ85" s="3871"/>
      <c r="AK85" s="3873"/>
      <c r="AL85" s="374"/>
      <c r="AM85" s="1256"/>
      <c r="AN85" s="1041" cm="1" t="str">
        <f t="array" ref="AN85:AN85">K85</f>
        <v>2028</v>
      </c>
      <c r="AO85" s="1041" t="s">
        <v>2088</v>
      </c>
      <c r="AP85" s="1051" cm="1" t="str">
        <f t="array" ref="AP85:AP85">AP84</f>
        <v>0</v>
      </c>
      <c r="AQ85" s="679"/>
      <c r="AR85" s="679"/>
    </row>
    <row s="3882" customFormat="1" customHeight="1" ht="14.25" hidden="1">
      <c r="A86" s="1256"/>
      <c r="B86" s="417">
        <f>K86&lt;first_year+PERIOD_LENGTH</f>
        <v>0</v>
      </c>
      <c r="C86" s="1256"/>
      <c r="D86" s="1256"/>
      <c r="E86" s="679">
        <v>15</v>
      </c>
      <c r="F86" s="50" cm="1" t="str">
        <f t="array" ref="F86:F86">OFFSET(E86,-1,1)</f>
        <v>1</v>
      </c>
      <c r="G86" s="64" cm="1" t="str">
        <f t="array" ref="G86:G86">G85</f>
        <v>0</v>
      </c>
      <c r="H86" s="1256"/>
      <c r="I86" s="1256"/>
      <c r="J86" s="1256"/>
      <c r="K86" s="124">
        <f>first_year+3</f>
        <v>2029</v>
      </c>
      <c r="L86" s="1256"/>
      <c r="M86" s="1256"/>
      <c r="N86" s="1256"/>
      <c r="O86" s="1256"/>
      <c r="P86" s="1256"/>
      <c r="Q86" s="1256"/>
      <c r="R86" s="1256"/>
      <c r="S86" s="1256"/>
      <c r="T86" s="438" cm="1" t="str">
        <f t="array" ref="T86:T86">T85</f>
        <v>false</v>
      </c>
      <c r="U86" s="1256"/>
      <c r="V86" s="1256"/>
      <c r="W86" s="1256"/>
      <c r="X86" s="1511"/>
      <c r="Y86" s="1511"/>
      <c r="Z86" s="1494"/>
      <c r="AA86" s="1593"/>
      <c r="AB86" s="221" t="str">
        <f>K86&amp;" год"</f>
        <v>2029 год</v>
      </c>
      <c r="AC86" s="379"/>
      <c r="AD86" s="3872"/>
      <c r="AE86" s="3871"/>
      <c r="AF86" s="3871"/>
      <c r="AG86" s="3872"/>
      <c r="AH86" s="3871"/>
      <c r="AI86" s="3872"/>
      <c r="AJ86" s="3871"/>
      <c r="AK86" s="3873"/>
      <c r="AL86" s="374"/>
      <c r="AM86" s="1256"/>
      <c r="AN86" s="1041" cm="1" t="str">
        <f t="array" ref="AN86:AN86">K86</f>
        <v>2029</v>
      </c>
      <c r="AO86" s="1041" t="s">
        <v>2088</v>
      </c>
      <c r="AP86" s="1051" cm="1" t="str">
        <f t="array" ref="AP86:AP86">AP85</f>
        <v>0</v>
      </c>
      <c r="AQ86" s="679"/>
      <c r="AR86" s="679"/>
    </row>
    <row s="3883" customFormat="1" customHeight="1" ht="14.25" hidden="1">
      <c r="A87" s="1256"/>
      <c r="B87" s="417">
        <f>K87&lt;first_year+PERIOD_LENGTH</f>
        <v>0</v>
      </c>
      <c r="C87" s="1256"/>
      <c r="D87" s="1256"/>
      <c r="E87" s="679">
        <v>15</v>
      </c>
      <c r="F87" s="50" cm="1" t="str">
        <f t="array" ref="F87:F87">OFFSET(E87,-1,1)</f>
        <v>1</v>
      </c>
      <c r="G87" s="64" cm="1" t="str">
        <f t="array" ref="G87:G87">G86</f>
        <v>0</v>
      </c>
      <c r="H87" s="1256"/>
      <c r="I87" s="1256"/>
      <c r="J87" s="1256"/>
      <c r="K87" s="124">
        <f>first_year+4</f>
        <v>2030</v>
      </c>
      <c r="L87" s="1256"/>
      <c r="M87" s="1256"/>
      <c r="N87" s="1256"/>
      <c r="O87" s="1256"/>
      <c r="P87" s="1256"/>
      <c r="Q87" s="1256"/>
      <c r="R87" s="1256"/>
      <c r="S87" s="1256"/>
      <c r="T87" s="438" cm="1" t="str">
        <f t="array" ref="T87:T87">T86</f>
        <v>false</v>
      </c>
      <c r="U87" s="1256"/>
      <c r="V87" s="1256"/>
      <c r="W87" s="1256"/>
      <c r="X87" s="1511"/>
      <c r="Y87" s="1511"/>
      <c r="Z87" s="1494"/>
      <c r="AA87" s="1593"/>
      <c r="AB87" s="221" t="str">
        <f>K87&amp;" год"</f>
        <v>2030 год</v>
      </c>
      <c r="AC87" s="379"/>
      <c r="AD87" s="3872"/>
      <c r="AE87" s="3871"/>
      <c r="AF87" s="3871"/>
      <c r="AG87" s="3872"/>
      <c r="AH87" s="3871"/>
      <c r="AI87" s="3872"/>
      <c r="AJ87" s="3871"/>
      <c r="AK87" s="3873"/>
      <c r="AL87" s="374"/>
      <c r="AM87" s="1256"/>
      <c r="AN87" s="1041" cm="1" t="str">
        <f t="array" ref="AN87:AN87">K87</f>
        <v>2030</v>
      </c>
      <c r="AO87" s="1041" t="s">
        <v>2088</v>
      </c>
      <c r="AP87" s="1051" cm="1" t="str">
        <f t="array" ref="AP87:AP87">AP86</f>
        <v>0</v>
      </c>
      <c r="AQ87" s="679"/>
      <c r="AR87" s="679"/>
    </row>
    <row s="3884" customFormat="1" customHeight="1" ht="14.25" hidden="1">
      <c r="A88" s="1256"/>
      <c r="B88" s="417">
        <f>K88&lt;first_year+PERIOD_LENGTH</f>
        <v>0</v>
      </c>
      <c r="C88" s="1256"/>
      <c r="D88" s="1256"/>
      <c r="E88" s="679">
        <v>15</v>
      </c>
      <c r="F88" s="50" cm="1" t="str">
        <f t="array" ref="F88:F88">OFFSET(E88,-1,1)</f>
        <v>1</v>
      </c>
      <c r="G88" s="64" cm="1" t="str">
        <f t="array" ref="G88:G88">G87</f>
        <v>0</v>
      </c>
      <c r="H88" s="1256"/>
      <c r="I88" s="1256"/>
      <c r="J88" s="1256"/>
      <c r="K88" s="124">
        <f>first_year+5</f>
        <v>2031</v>
      </c>
      <c r="L88" s="1256"/>
      <c r="M88" s="1256"/>
      <c r="N88" s="1256"/>
      <c r="O88" s="1256"/>
      <c r="P88" s="1256"/>
      <c r="Q88" s="1256"/>
      <c r="R88" s="1256"/>
      <c r="S88" s="1256"/>
      <c r="T88" s="438" cm="1" t="str">
        <f t="array" ref="T88:T88">T87</f>
        <v>false</v>
      </c>
      <c r="U88" s="1256"/>
      <c r="V88" s="1256"/>
      <c r="W88" s="1256"/>
      <c r="X88" s="1511"/>
      <c r="Y88" s="1511"/>
      <c r="Z88" s="1494"/>
      <c r="AA88" s="1593"/>
      <c r="AB88" s="221" t="str">
        <f>K88&amp;" год"</f>
        <v>2031 год</v>
      </c>
      <c r="AC88" s="379"/>
      <c r="AD88" s="3872"/>
      <c r="AE88" s="3871"/>
      <c r="AF88" s="3871"/>
      <c r="AG88" s="3872"/>
      <c r="AH88" s="3871"/>
      <c r="AI88" s="3872"/>
      <c r="AJ88" s="3871"/>
      <c r="AK88" s="3873"/>
      <c r="AL88" s="374"/>
      <c r="AM88" s="1256"/>
      <c r="AN88" s="1041" cm="1" t="str">
        <f t="array" ref="AN88:AN88">K88</f>
        <v>2031</v>
      </c>
      <c r="AO88" s="1041" t="s">
        <v>2088</v>
      </c>
      <c r="AP88" s="1051" cm="1" t="str">
        <f t="array" ref="AP88:AP88">AP87</f>
        <v>0</v>
      </c>
      <c r="AQ88" s="679"/>
      <c r="AR88" s="679"/>
    </row>
    <row s="3885" customFormat="1" customHeight="1" ht="14.25" hidden="1">
      <c r="A89" s="1256"/>
      <c r="B89" s="417">
        <f>K89&lt;first_year+PERIOD_LENGTH</f>
        <v>0</v>
      </c>
      <c r="C89" s="1256"/>
      <c r="D89" s="1256"/>
      <c r="E89" s="679">
        <v>15</v>
      </c>
      <c r="F89" s="50" cm="1" t="str">
        <f t="array" ref="F89:F89">OFFSET(E89,-1,1)</f>
        <v>1</v>
      </c>
      <c r="G89" s="64" cm="1" t="str">
        <f t="array" ref="G89:G89">G88</f>
        <v>0</v>
      </c>
      <c r="H89" s="1256"/>
      <c r="I89" s="1256"/>
      <c r="J89" s="1256"/>
      <c r="K89" s="124">
        <f>first_year+6</f>
        <v>2032</v>
      </c>
      <c r="L89" s="1256"/>
      <c r="M89" s="1256"/>
      <c r="N89" s="1256"/>
      <c r="O89" s="1256"/>
      <c r="P89" s="1256"/>
      <c r="Q89" s="1256"/>
      <c r="R89" s="1256"/>
      <c r="S89" s="1256"/>
      <c r="T89" s="438" cm="1" t="str">
        <f t="array" ref="T89:T89">T88</f>
        <v>false</v>
      </c>
      <c r="U89" s="1256"/>
      <c r="V89" s="1256"/>
      <c r="W89" s="1256"/>
      <c r="X89" s="1511"/>
      <c r="Y89" s="1511"/>
      <c r="Z89" s="1494"/>
      <c r="AA89" s="1593"/>
      <c r="AB89" s="221" t="str">
        <f>K89&amp;" год"</f>
        <v>2032 год</v>
      </c>
      <c r="AC89" s="379"/>
      <c r="AD89" s="3872"/>
      <c r="AE89" s="3871"/>
      <c r="AF89" s="3871"/>
      <c r="AG89" s="3872"/>
      <c r="AH89" s="3871"/>
      <c r="AI89" s="3872"/>
      <c r="AJ89" s="3871"/>
      <c r="AK89" s="3873"/>
      <c r="AL89" s="374"/>
      <c r="AM89" s="1256"/>
      <c r="AN89" s="1041" cm="1" t="str">
        <f t="array" ref="AN89:AN89">K89</f>
        <v>2032</v>
      </c>
      <c r="AO89" s="1041" t="s">
        <v>2088</v>
      </c>
      <c r="AP89" s="1051" cm="1" t="str">
        <f t="array" ref="AP89:AP89">AP88</f>
        <v>0</v>
      </c>
      <c r="AQ89" s="679"/>
      <c r="AR89" s="679"/>
    </row>
    <row s="3886" customFormat="1" customHeight="1" ht="14.25" hidden="1">
      <c r="A90" s="1256"/>
      <c r="B90" s="417">
        <f>K90&lt;first_year+PERIOD_LENGTH</f>
        <v>0</v>
      </c>
      <c r="C90" s="1256"/>
      <c r="D90" s="1256"/>
      <c r="E90" s="679">
        <v>15</v>
      </c>
      <c r="F90" s="50" cm="1" t="str">
        <f t="array" ref="F90:F90">OFFSET(E90,-1,1)</f>
        <v>1</v>
      </c>
      <c r="G90" s="64" cm="1" t="str">
        <f t="array" ref="G90:G90">G89</f>
        <v>0</v>
      </c>
      <c r="H90" s="1256"/>
      <c r="I90" s="1256"/>
      <c r="J90" s="1256"/>
      <c r="K90" s="124">
        <f>first_year+7</f>
        <v>2033</v>
      </c>
      <c r="L90" s="1256"/>
      <c r="M90" s="1256"/>
      <c r="N90" s="1256"/>
      <c r="O90" s="1256"/>
      <c r="P90" s="1256"/>
      <c r="Q90" s="1256"/>
      <c r="R90" s="1256"/>
      <c r="S90" s="1256"/>
      <c r="T90" s="438" cm="1" t="str">
        <f t="array" ref="T90:T90">T89</f>
        <v>false</v>
      </c>
      <c r="U90" s="1256"/>
      <c r="V90" s="1256"/>
      <c r="W90" s="1256"/>
      <c r="X90" s="1511"/>
      <c r="Y90" s="1511"/>
      <c r="Z90" s="1494"/>
      <c r="AA90" s="1593"/>
      <c r="AB90" s="221" t="str">
        <f>K90&amp;" год"</f>
        <v>2033 год</v>
      </c>
      <c r="AC90" s="379"/>
      <c r="AD90" s="3872"/>
      <c r="AE90" s="3871"/>
      <c r="AF90" s="3871"/>
      <c r="AG90" s="3872"/>
      <c r="AH90" s="3871"/>
      <c r="AI90" s="3872"/>
      <c r="AJ90" s="3871"/>
      <c r="AK90" s="3873"/>
      <c r="AL90" s="374"/>
      <c r="AM90" s="1256"/>
      <c r="AN90" s="1041" cm="1" t="str">
        <f t="array" ref="AN90:AN90">K90</f>
        <v>2033</v>
      </c>
      <c r="AO90" s="1041" t="s">
        <v>2088</v>
      </c>
      <c r="AP90" s="1051" cm="1" t="str">
        <f t="array" ref="AP90:AP90">AP89</f>
        <v>0</v>
      </c>
      <c r="AQ90" s="679"/>
      <c r="AR90" s="679"/>
    </row>
    <row s="3887" customFormat="1" customHeight="1" ht="14.25" hidden="1">
      <c r="A91" s="1256"/>
      <c r="B91" s="417">
        <f>K91&lt;first_year+PERIOD_LENGTH</f>
        <v>0</v>
      </c>
      <c r="C91" s="1256"/>
      <c r="D91" s="1256"/>
      <c r="E91" s="679">
        <v>15</v>
      </c>
      <c r="F91" s="50" cm="1" t="str">
        <f t="array" ref="F91:F91">OFFSET(E91,-1,1)</f>
        <v>1</v>
      </c>
      <c r="G91" s="64" cm="1" t="str">
        <f t="array" ref="G91:G91">G90</f>
        <v>0</v>
      </c>
      <c r="H91" s="1256"/>
      <c r="I91" s="1256"/>
      <c r="J91" s="1256"/>
      <c r="K91" s="124">
        <f>first_year+8</f>
        <v>2034</v>
      </c>
      <c r="L91" s="1256"/>
      <c r="M91" s="1256"/>
      <c r="N91" s="1256"/>
      <c r="O91" s="1256"/>
      <c r="P91" s="1256"/>
      <c r="Q91" s="1256"/>
      <c r="R91" s="1256"/>
      <c r="S91" s="1256"/>
      <c r="T91" s="438" cm="1" t="str">
        <f t="array" ref="T91:T91">T90</f>
        <v>false</v>
      </c>
      <c r="U91" s="1256"/>
      <c r="V91" s="1256"/>
      <c r="W91" s="1256"/>
      <c r="X91" s="1511"/>
      <c r="Y91" s="1511"/>
      <c r="Z91" s="1494"/>
      <c r="AA91" s="1593"/>
      <c r="AB91" s="221" t="str">
        <f>K91&amp;" год"</f>
        <v>2034 год</v>
      </c>
      <c r="AC91" s="379"/>
      <c r="AD91" s="3872"/>
      <c r="AE91" s="3871"/>
      <c r="AF91" s="3871"/>
      <c r="AG91" s="3872"/>
      <c r="AH91" s="3871"/>
      <c r="AI91" s="3872"/>
      <c r="AJ91" s="3871"/>
      <c r="AK91" s="3873"/>
      <c r="AL91" s="374"/>
      <c r="AM91" s="1256"/>
      <c r="AN91" s="1041" cm="1" t="str">
        <f t="array" ref="AN91:AN91">K91</f>
        <v>2034</v>
      </c>
      <c r="AO91" s="1041" t="s">
        <v>2088</v>
      </c>
      <c r="AP91" s="1051" cm="1" t="str">
        <f t="array" ref="AP91:AP91">AP90</f>
        <v>0</v>
      </c>
      <c r="AQ91" s="679"/>
      <c r="AR91" s="679"/>
    </row>
    <row s="3888" customFormat="1" customHeight="1" ht="14.25" hidden="1">
      <c r="A92" s="1256"/>
      <c r="B92" s="417">
        <f>K92&lt;first_year+PERIOD_LENGTH</f>
        <v>0</v>
      </c>
      <c r="C92" s="1256"/>
      <c r="D92" s="1256"/>
      <c r="E92" s="679">
        <v>15</v>
      </c>
      <c r="F92" s="50" cm="1" t="str">
        <f t="array" ref="F92:F92">OFFSET(E92,-1,1)</f>
        <v>1</v>
      </c>
      <c r="G92" s="64" cm="1" t="str">
        <f t="array" ref="G92:G92">G91</f>
        <v>0</v>
      </c>
      <c r="H92" s="1256"/>
      <c r="I92" s="1256"/>
      <c r="J92" s="1256"/>
      <c r="K92" s="124">
        <f>first_year+9</f>
        <v>2035</v>
      </c>
      <c r="L92" s="1256"/>
      <c r="M92" s="1256"/>
      <c r="N92" s="1256"/>
      <c r="O92" s="1256"/>
      <c r="P92" s="1256"/>
      <c r="Q92" s="1256"/>
      <c r="R92" s="1256"/>
      <c r="S92" s="1256"/>
      <c r="T92" s="438" cm="1" t="str">
        <f t="array" ref="T92:T92">T91</f>
        <v>false</v>
      </c>
      <c r="U92" s="1256"/>
      <c r="V92" s="1256"/>
      <c r="W92" s="1256"/>
      <c r="X92" s="1511"/>
      <c r="Y92" s="1511"/>
      <c r="Z92" s="1494"/>
      <c r="AA92" s="1593"/>
      <c r="AB92" s="221" t="str">
        <f>K92&amp;" год"</f>
        <v>2035 год</v>
      </c>
      <c r="AC92" s="379"/>
      <c r="AD92" s="3872"/>
      <c r="AE92" s="3871"/>
      <c r="AF92" s="3871"/>
      <c r="AG92" s="3872"/>
      <c r="AH92" s="3871"/>
      <c r="AI92" s="3872"/>
      <c r="AJ92" s="3871"/>
      <c r="AK92" s="3873"/>
      <c r="AL92" s="374"/>
      <c r="AM92" s="1256"/>
      <c r="AN92" s="1041" cm="1" t="str">
        <f t="array" ref="AN92:AN92">K92</f>
        <v>2035</v>
      </c>
      <c r="AO92" s="1041" t="s">
        <v>2088</v>
      </c>
      <c r="AP92" s="1051" cm="1" t="str">
        <f t="array" ref="AP92:AP92">AP91</f>
        <v>0</v>
      </c>
      <c r="AQ92" s="679"/>
      <c r="AR92" s="679"/>
    </row>
    <row s="3889" customFormat="1" customHeight="1" ht="14.25" hidden="1">
      <c r="A93" s="1256"/>
      <c r="B93" s="417">
        <f>K93&lt;first_year+PERIOD_LENGTH</f>
        <v>0</v>
      </c>
      <c r="C93" s="1256"/>
      <c r="D93" s="1256"/>
      <c r="E93" s="679">
        <v>15</v>
      </c>
      <c r="F93" s="50" cm="1" t="str">
        <f t="array" ref="F93:F93">OFFSET(E93,-1,1)</f>
        <v>1</v>
      </c>
      <c r="G93" s="64" cm="1" t="str">
        <f t="array" ref="G93:G93">G92</f>
        <v>0</v>
      </c>
      <c r="H93" s="1256"/>
      <c r="I93" s="1256"/>
      <c r="J93" s="1256"/>
      <c r="K93" s="124">
        <f>first_year+10</f>
        <v>2036</v>
      </c>
      <c r="L93" s="1256"/>
      <c r="M93" s="1256"/>
      <c r="N93" s="1256"/>
      <c r="O93" s="1256"/>
      <c r="P93" s="1256"/>
      <c r="Q93" s="1256"/>
      <c r="R93" s="1256"/>
      <c r="S93" s="1256"/>
      <c r="T93" s="438" cm="1" t="str">
        <f t="array" ref="T93:T93">T92</f>
        <v>false</v>
      </c>
      <c r="U93" s="1256"/>
      <c r="V93" s="1256"/>
      <c r="W93" s="1256"/>
      <c r="X93" s="1511"/>
      <c r="Y93" s="1511"/>
      <c r="Z93" s="1494"/>
      <c r="AA93" s="1593"/>
      <c r="AB93" s="221" t="str">
        <f>K93&amp;" год"</f>
        <v>2036 год</v>
      </c>
      <c r="AC93" s="379"/>
      <c r="AD93" s="3872"/>
      <c r="AE93" s="3871"/>
      <c r="AF93" s="3871"/>
      <c r="AG93" s="3872"/>
      <c r="AH93" s="3871"/>
      <c r="AI93" s="3872"/>
      <c r="AJ93" s="3871"/>
      <c r="AK93" s="3873"/>
      <c r="AL93" s="374"/>
      <c r="AM93" s="1256"/>
      <c r="AN93" s="1041" cm="1" t="str">
        <f t="array" ref="AN93:AN93">K93</f>
        <v>2036</v>
      </c>
      <c r="AO93" s="1041" t="s">
        <v>2088</v>
      </c>
      <c r="AP93" s="1051" cm="1" t="str">
        <f t="array" ref="AP93:AP93">AP92</f>
        <v>0</v>
      </c>
      <c r="AQ93" s="679"/>
      <c r="AR93" s="679"/>
    </row>
    <row s="3890" customFormat="1" customHeight="1" ht="14.25" hidden="1">
      <c r="A94" s="1256"/>
      <c r="B94" s="417">
        <f>K94&lt;first_year+PERIOD_LENGTH</f>
        <v>0</v>
      </c>
      <c r="C94" s="1256"/>
      <c r="D94" s="1256"/>
      <c r="E94" s="679">
        <v>15</v>
      </c>
      <c r="F94" s="50" cm="1" t="str">
        <f t="array" ref="F94:F94">OFFSET(E94,-1,1)</f>
        <v>1</v>
      </c>
      <c r="G94" s="64" cm="1" t="str">
        <f t="array" ref="G94:G94">G93</f>
        <v>0</v>
      </c>
      <c r="H94" s="1256"/>
      <c r="I94" s="1256"/>
      <c r="J94" s="1256"/>
      <c r="K94" s="124">
        <f>first_year+11</f>
        <v>2037</v>
      </c>
      <c r="L94" s="1256"/>
      <c r="M94" s="1256"/>
      <c r="N94" s="1256"/>
      <c r="O94" s="1256"/>
      <c r="P94" s="1256"/>
      <c r="Q94" s="1256"/>
      <c r="R94" s="1256"/>
      <c r="S94" s="1256"/>
      <c r="T94" s="438" cm="1" t="str">
        <f t="array" ref="T94:T94">T93</f>
        <v>false</v>
      </c>
      <c r="U94" s="1256"/>
      <c r="V94" s="1256"/>
      <c r="W94" s="1256"/>
      <c r="X94" s="1511"/>
      <c r="Y94" s="1511"/>
      <c r="Z94" s="1494"/>
      <c r="AA94" s="1593"/>
      <c r="AB94" s="221" t="str">
        <f>K94&amp;" год"</f>
        <v>2037 год</v>
      </c>
      <c r="AC94" s="379"/>
      <c r="AD94" s="3872"/>
      <c r="AE94" s="3871"/>
      <c r="AF94" s="3871"/>
      <c r="AG94" s="3872"/>
      <c r="AH94" s="3871"/>
      <c r="AI94" s="3872"/>
      <c r="AJ94" s="3871"/>
      <c r="AK94" s="3873"/>
      <c r="AL94" s="374"/>
      <c r="AM94" s="1256"/>
      <c r="AN94" s="1041" cm="1" t="str">
        <f t="array" ref="AN94:AN94">K94</f>
        <v>2037</v>
      </c>
      <c r="AO94" s="1041" t="s">
        <v>2088</v>
      </c>
      <c r="AP94" s="1051" cm="1" t="str">
        <f t="array" ref="AP94:AP94">AP93</f>
        <v>0</v>
      </c>
      <c r="AQ94" s="679"/>
      <c r="AR94" s="679"/>
    </row>
    <row s="3891" customFormat="1" customHeight="1" ht="14.25" hidden="1">
      <c r="A95" s="1256"/>
      <c r="B95" s="417">
        <f>K95&lt;first_year+PERIOD_LENGTH</f>
        <v>0</v>
      </c>
      <c r="C95" s="1256"/>
      <c r="D95" s="1256"/>
      <c r="E95" s="679">
        <v>15</v>
      </c>
      <c r="F95" s="50" cm="1" t="str">
        <f t="array" ref="F95:F95">OFFSET(E95,-1,1)</f>
        <v>1</v>
      </c>
      <c r="G95" s="64" cm="1" t="str">
        <f t="array" ref="G95:G95">G94</f>
        <v>0</v>
      </c>
      <c r="H95" s="1256"/>
      <c r="I95" s="1256"/>
      <c r="J95" s="1256"/>
      <c r="K95" s="124">
        <f>first_year+12</f>
        <v>2038</v>
      </c>
      <c r="L95" s="1256"/>
      <c r="M95" s="1256"/>
      <c r="N95" s="1256"/>
      <c r="O95" s="1256"/>
      <c r="P95" s="1256"/>
      <c r="Q95" s="1256"/>
      <c r="R95" s="1256"/>
      <c r="S95" s="1256"/>
      <c r="T95" s="438" cm="1" t="str">
        <f t="array" ref="T95:T95">T94</f>
        <v>false</v>
      </c>
      <c r="U95" s="1256"/>
      <c r="V95" s="1256"/>
      <c r="W95" s="1256"/>
      <c r="X95" s="1511"/>
      <c r="Y95" s="1511"/>
      <c r="Z95" s="1494"/>
      <c r="AA95" s="1593"/>
      <c r="AB95" s="221" t="str">
        <f>K95&amp;" год"</f>
        <v>2038 год</v>
      </c>
      <c r="AC95" s="379"/>
      <c r="AD95" s="3872"/>
      <c r="AE95" s="3871"/>
      <c r="AF95" s="3871"/>
      <c r="AG95" s="3872"/>
      <c r="AH95" s="3871"/>
      <c r="AI95" s="3872"/>
      <c r="AJ95" s="3871"/>
      <c r="AK95" s="3873"/>
      <c r="AL95" s="374"/>
      <c r="AM95" s="1256"/>
      <c r="AN95" s="1041" cm="1" t="str">
        <f t="array" ref="AN95:AN95">K95</f>
        <v>2038</v>
      </c>
      <c r="AO95" s="1041" t="s">
        <v>2088</v>
      </c>
      <c r="AP95" s="1051" cm="1" t="str">
        <f t="array" ref="AP95:AP95">AP94</f>
        <v>0</v>
      </c>
      <c r="AQ95" s="679"/>
      <c r="AR95" s="679"/>
    </row>
    <row s="3892" customFormat="1" customHeight="1" ht="14.25" hidden="1">
      <c r="A96" s="1256"/>
      <c r="B96" s="417">
        <f>K96&lt;first_year+PERIOD_LENGTH</f>
        <v>0</v>
      </c>
      <c r="C96" s="1256"/>
      <c r="D96" s="1256"/>
      <c r="E96" s="679">
        <v>15</v>
      </c>
      <c r="F96" s="50" cm="1" t="str">
        <f t="array" ref="F96:F96">OFFSET(E96,-1,1)</f>
        <v>1</v>
      </c>
      <c r="G96" s="64" cm="1" t="str">
        <f t="array" ref="G96:G96">G95</f>
        <v>0</v>
      </c>
      <c r="H96" s="1256"/>
      <c r="I96" s="1256"/>
      <c r="J96" s="1256"/>
      <c r="K96" s="124">
        <f>first_year+13</f>
        <v>2039</v>
      </c>
      <c r="L96" s="1256"/>
      <c r="M96" s="1256"/>
      <c r="N96" s="1256"/>
      <c r="O96" s="1256"/>
      <c r="P96" s="1256"/>
      <c r="Q96" s="1256"/>
      <c r="R96" s="1256"/>
      <c r="S96" s="1256"/>
      <c r="T96" s="438" cm="1" t="str">
        <f t="array" ref="T96:T96">T95</f>
        <v>false</v>
      </c>
      <c r="U96" s="1256"/>
      <c r="V96" s="1256"/>
      <c r="W96" s="1256"/>
      <c r="X96" s="1511"/>
      <c r="Y96" s="1511"/>
      <c r="Z96" s="1494"/>
      <c r="AA96" s="1593"/>
      <c r="AB96" s="221" t="str">
        <f>K96&amp;" год"</f>
        <v>2039 год</v>
      </c>
      <c r="AC96" s="379"/>
      <c r="AD96" s="3872"/>
      <c r="AE96" s="3871"/>
      <c r="AF96" s="3871"/>
      <c r="AG96" s="3872"/>
      <c r="AH96" s="3871"/>
      <c r="AI96" s="3872"/>
      <c r="AJ96" s="3871"/>
      <c r="AK96" s="3873"/>
      <c r="AL96" s="374"/>
      <c r="AM96" s="1256"/>
      <c r="AN96" s="1041" cm="1" t="str">
        <f t="array" ref="AN96:AN96">K96</f>
        <v>2039</v>
      </c>
      <c r="AO96" s="1041" t="s">
        <v>2088</v>
      </c>
      <c r="AP96" s="1051" cm="1" t="str">
        <f t="array" ref="AP96:AP96">AP95</f>
        <v>0</v>
      </c>
      <c r="AQ96" s="679"/>
      <c r="AR96" s="679"/>
    </row>
    <row s="3893" customFormat="1" customHeight="1" ht="14.25" hidden="1">
      <c r="A97" s="1256"/>
      <c r="B97" s="417">
        <f>K97&lt;first_year+PERIOD_LENGTH</f>
        <v>0</v>
      </c>
      <c r="C97" s="1256"/>
      <c r="D97" s="1256"/>
      <c r="E97" s="679">
        <v>15</v>
      </c>
      <c r="F97" s="50" cm="1" t="str">
        <f t="array" ref="F97:F97">OFFSET(E97,-1,1)</f>
        <v>1</v>
      </c>
      <c r="G97" s="64" cm="1" t="str">
        <f t="array" ref="G97:G97">G96</f>
        <v>0</v>
      </c>
      <c r="H97" s="1256"/>
      <c r="I97" s="1256"/>
      <c r="J97" s="1256"/>
      <c r="K97" s="124">
        <f>first_year+14</f>
        <v>2040</v>
      </c>
      <c r="L97" s="1256"/>
      <c r="M97" s="1256"/>
      <c r="N97" s="1256"/>
      <c r="O97" s="1256"/>
      <c r="P97" s="1256"/>
      <c r="Q97" s="1256"/>
      <c r="R97" s="1256"/>
      <c r="S97" s="1256"/>
      <c r="T97" s="438" cm="1" t="str">
        <f t="array" ref="T97:T97">T96</f>
        <v>false</v>
      </c>
      <c r="U97" s="1256"/>
      <c r="V97" s="1256"/>
      <c r="W97" s="1256"/>
      <c r="X97" s="1511"/>
      <c r="Y97" s="1511"/>
      <c r="Z97" s="1494"/>
      <c r="AA97" s="1593"/>
      <c r="AB97" s="221" t="str">
        <f>K97&amp;" год"</f>
        <v>2040 год</v>
      </c>
      <c r="AC97" s="379"/>
      <c r="AD97" s="3872"/>
      <c r="AE97" s="3871"/>
      <c r="AF97" s="3871"/>
      <c r="AG97" s="3872"/>
      <c r="AH97" s="3871"/>
      <c r="AI97" s="3872"/>
      <c r="AJ97" s="3871"/>
      <c r="AK97" s="3873"/>
      <c r="AL97" s="374"/>
      <c r="AM97" s="1256"/>
      <c r="AN97" s="1041" cm="1" t="str">
        <f t="array" ref="AN97:AN97">K97</f>
        <v>2040</v>
      </c>
      <c r="AO97" s="1041" t="s">
        <v>2088</v>
      </c>
      <c r="AP97" s="1051" cm="1" t="str">
        <f t="array" ref="AP97:AP97">AP96</f>
        <v>0</v>
      </c>
      <c r="AQ97" s="679"/>
      <c r="AR97" s="679"/>
    </row>
    <row s="3894" customFormat="1" customHeight="1" ht="14.25" hidden="1">
      <c r="A98" s="1256"/>
      <c r="B98" s="417">
        <f>K98&lt;first_year+PERIOD_LENGTH</f>
        <v>0</v>
      </c>
      <c r="C98" s="1256"/>
      <c r="D98" s="1256"/>
      <c r="E98" s="679">
        <v>15</v>
      </c>
      <c r="F98" s="50" cm="1" t="str">
        <f t="array" ref="F98:F98">OFFSET(E98,-1,1)</f>
        <v>1</v>
      </c>
      <c r="G98" s="64" cm="1" t="str">
        <f t="array" ref="G98:G98">G97</f>
        <v>0</v>
      </c>
      <c r="H98" s="1256"/>
      <c r="I98" s="1256"/>
      <c r="J98" s="1256"/>
      <c r="K98" s="124">
        <f>first_year+15</f>
        <v>2041</v>
      </c>
      <c r="L98" s="1256"/>
      <c r="M98" s="1256"/>
      <c r="N98" s="1256"/>
      <c r="O98" s="1256"/>
      <c r="P98" s="1256"/>
      <c r="Q98" s="1256"/>
      <c r="R98" s="1256"/>
      <c r="S98" s="1256"/>
      <c r="T98" s="438" cm="1" t="str">
        <f t="array" ref="T98:T98">T97</f>
        <v>false</v>
      </c>
      <c r="U98" s="1256"/>
      <c r="V98" s="1256"/>
      <c r="W98" s="1256"/>
      <c r="X98" s="1511"/>
      <c r="Y98" s="1511"/>
      <c r="Z98" s="1494"/>
      <c r="AA98" s="1593"/>
      <c r="AB98" s="221" t="str">
        <f>K98&amp;" год"</f>
        <v>2041 год</v>
      </c>
      <c r="AC98" s="379"/>
      <c r="AD98" s="3872"/>
      <c r="AE98" s="3871"/>
      <c r="AF98" s="3871"/>
      <c r="AG98" s="3872"/>
      <c r="AH98" s="3871"/>
      <c r="AI98" s="3872"/>
      <c r="AJ98" s="3871"/>
      <c r="AK98" s="3873"/>
      <c r="AL98" s="374"/>
      <c r="AM98" s="1256"/>
      <c r="AN98" s="1041" cm="1" t="str">
        <f t="array" ref="AN98:AN98">K98</f>
        <v>2041</v>
      </c>
      <c r="AO98" s="1041" t="s">
        <v>2088</v>
      </c>
      <c r="AP98" s="1051" cm="1" t="str">
        <f t="array" ref="AP98:AP98">AP97</f>
        <v>0</v>
      </c>
      <c r="AQ98" s="679"/>
      <c r="AR98" s="679"/>
    </row>
    <row s="3895" customFormat="1" customHeight="1" ht="14.25" hidden="1">
      <c r="A99" s="1256"/>
      <c r="B99" s="417">
        <f>K99&lt;first_year+PERIOD_LENGTH</f>
        <v>0</v>
      </c>
      <c r="C99" s="1256"/>
      <c r="D99" s="1256"/>
      <c r="E99" s="679">
        <v>15</v>
      </c>
      <c r="F99" s="50" cm="1" t="str">
        <f t="array" ref="F99:F99">OFFSET(E99,-1,1)</f>
        <v>1</v>
      </c>
      <c r="G99" s="64" cm="1" t="str">
        <f t="array" ref="G99:G99">G98</f>
        <v>0</v>
      </c>
      <c r="H99" s="1256"/>
      <c r="I99" s="1256"/>
      <c r="J99" s="1256"/>
      <c r="K99" s="124">
        <f>first_year+16</f>
        <v>2042</v>
      </c>
      <c r="L99" s="1256"/>
      <c r="M99" s="1256"/>
      <c r="N99" s="1256"/>
      <c r="O99" s="1256"/>
      <c r="P99" s="1256"/>
      <c r="Q99" s="1256"/>
      <c r="R99" s="1256"/>
      <c r="S99" s="1256"/>
      <c r="T99" s="438" cm="1" t="str">
        <f t="array" ref="T99:T99">T98</f>
        <v>false</v>
      </c>
      <c r="U99" s="1256"/>
      <c r="V99" s="1256"/>
      <c r="W99" s="1256"/>
      <c r="X99" s="1511"/>
      <c r="Y99" s="1511"/>
      <c r="Z99" s="1494"/>
      <c r="AA99" s="1593"/>
      <c r="AB99" s="221" t="str">
        <f>K99&amp;" год"</f>
        <v>2042 год</v>
      </c>
      <c r="AC99" s="379"/>
      <c r="AD99" s="3872"/>
      <c r="AE99" s="3871"/>
      <c r="AF99" s="3871"/>
      <c r="AG99" s="3872"/>
      <c r="AH99" s="3871"/>
      <c r="AI99" s="3872"/>
      <c r="AJ99" s="3871"/>
      <c r="AK99" s="3873"/>
      <c r="AL99" s="374"/>
      <c r="AM99" s="1256"/>
      <c r="AN99" s="1041" cm="1" t="str">
        <f t="array" ref="AN99:AN99">K99</f>
        <v>2042</v>
      </c>
      <c r="AO99" s="1041" t="s">
        <v>2088</v>
      </c>
      <c r="AP99" s="1051" cm="1" t="str">
        <f t="array" ref="AP99:AP99">AP98</f>
        <v>0</v>
      </c>
      <c r="AQ99" s="679"/>
      <c r="AR99" s="679"/>
    </row>
    <row s="3896" customFormat="1" customHeight="1" ht="14.25" hidden="1">
      <c r="A100" s="1256"/>
      <c r="B100" s="417">
        <f>K100&lt;first_year+PERIOD_LENGTH</f>
        <v>0</v>
      </c>
      <c r="C100" s="1256"/>
      <c r="D100" s="1256"/>
      <c r="E100" s="679">
        <v>15</v>
      </c>
      <c r="F100" s="50" cm="1" t="str">
        <f t="array" ref="F100:F100">OFFSET(E100,-1,1)</f>
        <v>1</v>
      </c>
      <c r="G100" s="64" cm="1" t="str">
        <f t="array" ref="G100:G100">G99</f>
        <v>0</v>
      </c>
      <c r="H100" s="1256"/>
      <c r="I100" s="1256"/>
      <c r="J100" s="1256"/>
      <c r="K100" s="124">
        <f>first_year+17</f>
        <v>2043</v>
      </c>
      <c r="L100" s="1256"/>
      <c r="M100" s="1256"/>
      <c r="N100" s="1256"/>
      <c r="O100" s="1256"/>
      <c r="P100" s="1256"/>
      <c r="Q100" s="1256"/>
      <c r="R100" s="1256"/>
      <c r="S100" s="1256"/>
      <c r="T100" s="438" cm="1" t="str">
        <f t="array" ref="T100:T100">T99</f>
        <v>false</v>
      </c>
      <c r="U100" s="1256"/>
      <c r="V100" s="1256"/>
      <c r="W100" s="1256"/>
      <c r="X100" s="1511"/>
      <c r="Y100" s="1511"/>
      <c r="Z100" s="1494"/>
      <c r="AA100" s="1593"/>
      <c r="AB100" s="221" t="str">
        <f>K100&amp;" год"</f>
        <v>2043 год</v>
      </c>
      <c r="AC100" s="379"/>
      <c r="AD100" s="3872"/>
      <c r="AE100" s="3871"/>
      <c r="AF100" s="3871"/>
      <c r="AG100" s="3872"/>
      <c r="AH100" s="3871"/>
      <c r="AI100" s="3872"/>
      <c r="AJ100" s="3871"/>
      <c r="AK100" s="3873"/>
      <c r="AL100" s="374"/>
      <c r="AM100" s="1256"/>
      <c r="AN100" s="1041" cm="1" t="str">
        <f t="array" ref="AN100:AN100">K100</f>
        <v>2043</v>
      </c>
      <c r="AO100" s="1041" t="s">
        <v>2088</v>
      </c>
      <c r="AP100" s="1051" cm="1" t="str">
        <f t="array" ref="AP100:AP100">AP99</f>
        <v>0</v>
      </c>
      <c r="AQ100" s="679"/>
      <c r="AR100" s="679"/>
    </row>
    <row s="3897" customFormat="1" customHeight="1" ht="14.25" hidden="1">
      <c r="A101" s="1256"/>
      <c r="B101" s="417">
        <f>K101&lt;first_year+PERIOD_LENGTH</f>
        <v>0</v>
      </c>
      <c r="C101" s="1256"/>
      <c r="D101" s="1256"/>
      <c r="E101" s="679">
        <v>15</v>
      </c>
      <c r="F101" s="50" cm="1" t="str">
        <f t="array" ref="F101:F101">OFFSET(E101,-1,1)</f>
        <v>1</v>
      </c>
      <c r="G101" s="64" cm="1" t="str">
        <f t="array" ref="G101:G101">G100</f>
        <v>0</v>
      </c>
      <c r="H101" s="1256"/>
      <c r="I101" s="1256"/>
      <c r="J101" s="1256"/>
      <c r="K101" s="124">
        <f>first_year+18</f>
        <v>2044</v>
      </c>
      <c r="L101" s="1256"/>
      <c r="M101" s="1256"/>
      <c r="N101" s="1256"/>
      <c r="O101" s="1256"/>
      <c r="P101" s="1256"/>
      <c r="Q101" s="1256"/>
      <c r="R101" s="1256"/>
      <c r="S101" s="1256"/>
      <c r="T101" s="438" cm="1" t="str">
        <f t="array" ref="T101:T101">T100</f>
        <v>false</v>
      </c>
      <c r="U101" s="1256"/>
      <c r="V101" s="1256"/>
      <c r="W101" s="1256"/>
      <c r="X101" s="1511"/>
      <c r="Y101" s="1511"/>
      <c r="Z101" s="1494"/>
      <c r="AA101" s="1593"/>
      <c r="AB101" s="221" t="str">
        <f>K101&amp;" год"</f>
        <v>2044 год</v>
      </c>
      <c r="AC101" s="379"/>
      <c r="AD101" s="3872"/>
      <c r="AE101" s="3871"/>
      <c r="AF101" s="3871"/>
      <c r="AG101" s="3872"/>
      <c r="AH101" s="3871"/>
      <c r="AI101" s="3872"/>
      <c r="AJ101" s="3871"/>
      <c r="AK101" s="3873"/>
      <c r="AL101" s="374"/>
      <c r="AM101" s="1256"/>
      <c r="AN101" s="1041" cm="1" t="str">
        <f t="array" ref="AN101:AN101">K101</f>
        <v>2044</v>
      </c>
      <c r="AO101" s="1041" t="s">
        <v>2088</v>
      </c>
      <c r="AP101" s="1051" cm="1" t="str">
        <f t="array" ref="AP101:AP101">AP100</f>
        <v>0</v>
      </c>
      <c r="AQ101" s="679"/>
      <c r="AR101" s="679"/>
    </row>
    <row s="3898" customFormat="1" customHeight="1" ht="14.25" hidden="1">
      <c r="A102" s="1256"/>
      <c r="B102" s="417">
        <f>K102&lt;first_year+PERIOD_LENGTH</f>
        <v>0</v>
      </c>
      <c r="C102" s="1256"/>
      <c r="D102" s="1256"/>
      <c r="E102" s="679">
        <v>15</v>
      </c>
      <c r="F102" s="50" cm="1" t="str">
        <f t="array" ref="F102:F102">OFFSET(E102,-1,1)</f>
        <v>1</v>
      </c>
      <c r="G102" s="64" cm="1" t="str">
        <f t="array" ref="G102:G102">G101</f>
        <v>0</v>
      </c>
      <c r="H102" s="1256"/>
      <c r="I102" s="1256"/>
      <c r="J102" s="1256"/>
      <c r="K102" s="124">
        <f>first_year+19</f>
        <v>2045</v>
      </c>
      <c r="L102" s="1256"/>
      <c r="M102" s="1256"/>
      <c r="N102" s="1256"/>
      <c r="O102" s="1256"/>
      <c r="P102" s="1256"/>
      <c r="Q102" s="1256"/>
      <c r="R102" s="1256"/>
      <c r="S102" s="1256"/>
      <c r="T102" s="438" cm="1" t="str">
        <f t="array" ref="T102:T102">T101</f>
        <v>false</v>
      </c>
      <c r="U102" s="1256"/>
      <c r="V102" s="1256"/>
      <c r="W102" s="1256"/>
      <c r="X102" s="1511"/>
      <c r="Y102" s="1511"/>
      <c r="Z102" s="1494"/>
      <c r="AA102" s="1593"/>
      <c r="AB102" s="221" t="str">
        <f>K102&amp;" год"</f>
        <v>2045 год</v>
      </c>
      <c r="AC102" s="379"/>
      <c r="AD102" s="3872"/>
      <c r="AE102" s="3871"/>
      <c r="AF102" s="3871"/>
      <c r="AG102" s="3872"/>
      <c r="AH102" s="3871"/>
      <c r="AI102" s="3872"/>
      <c r="AJ102" s="3871"/>
      <c r="AK102" s="3873"/>
      <c r="AL102" s="374"/>
      <c r="AM102" s="1256"/>
      <c r="AN102" s="1041" cm="1" t="str">
        <f t="array" ref="AN102:AN102">K102</f>
        <v>2045</v>
      </c>
      <c r="AO102" s="1041" t="s">
        <v>2088</v>
      </c>
      <c r="AP102" s="1051" cm="1" t="str">
        <f t="array" ref="AP102:AP102">AP101</f>
        <v>0</v>
      </c>
      <c r="AQ102" s="679"/>
      <c r="AR102" s="679"/>
    </row>
    <row s="3899" customFormat="1" customHeight="1" ht="14.25" hidden="1">
      <c r="A103" s="1256"/>
      <c r="B103" s="417">
        <f>K103&lt;first_year+PERIOD_LENGTH</f>
        <v>0</v>
      </c>
      <c r="C103" s="1256"/>
      <c r="D103" s="1256"/>
      <c r="E103" s="679">
        <v>15</v>
      </c>
      <c r="F103" s="50" cm="1" t="str">
        <f t="array" ref="F103:F103">OFFSET(E103,-1,1)</f>
        <v>1</v>
      </c>
      <c r="G103" s="64" cm="1" t="str">
        <f t="array" ref="G103:G103">G102</f>
        <v>0</v>
      </c>
      <c r="H103" s="1256"/>
      <c r="I103" s="1256"/>
      <c r="J103" s="1256"/>
      <c r="K103" s="124">
        <f>first_year+20</f>
        <v>2046</v>
      </c>
      <c r="L103" s="1256"/>
      <c r="M103" s="1256"/>
      <c r="N103" s="1256"/>
      <c r="O103" s="1256"/>
      <c r="P103" s="1256"/>
      <c r="Q103" s="1256"/>
      <c r="R103" s="1256"/>
      <c r="S103" s="1256"/>
      <c r="T103" s="438" cm="1" t="str">
        <f t="array" ref="T103:T103">T102</f>
        <v>false</v>
      </c>
      <c r="U103" s="1256"/>
      <c r="V103" s="1256"/>
      <c r="W103" s="1256"/>
      <c r="X103" s="1511"/>
      <c r="Y103" s="1511"/>
      <c r="Z103" s="1494"/>
      <c r="AA103" s="1593"/>
      <c r="AB103" s="221" t="str">
        <f>K103&amp;" год"</f>
        <v>2046 год</v>
      </c>
      <c r="AC103" s="379"/>
      <c r="AD103" s="3872"/>
      <c r="AE103" s="3871"/>
      <c r="AF103" s="3871"/>
      <c r="AG103" s="3872"/>
      <c r="AH103" s="3871"/>
      <c r="AI103" s="3872"/>
      <c r="AJ103" s="3871"/>
      <c r="AK103" s="3873"/>
      <c r="AL103" s="374"/>
      <c r="AM103" s="1256"/>
      <c r="AN103" s="1041" cm="1" t="str">
        <f t="array" ref="AN103:AN103">K103</f>
        <v>2046</v>
      </c>
      <c r="AO103" s="1041" t="s">
        <v>2088</v>
      </c>
      <c r="AP103" s="1051" cm="1" t="str">
        <f t="array" ref="AP103:AP103">AP102</f>
        <v>0</v>
      </c>
      <c r="AQ103" s="679"/>
      <c r="AR103" s="679"/>
    </row>
    <row s="3900" customFormat="1" customHeight="1" ht="14.25" hidden="1">
      <c r="A104" s="1256"/>
      <c r="B104" s="417">
        <f>K104&lt;first_year+PERIOD_LENGTH</f>
        <v>0</v>
      </c>
      <c r="C104" s="1256"/>
      <c r="D104" s="1256"/>
      <c r="E104" s="679">
        <v>15</v>
      </c>
      <c r="F104" s="50" cm="1" t="str">
        <f t="array" ref="F104:F104">OFFSET(E104,-1,1)</f>
        <v>1</v>
      </c>
      <c r="G104" s="64" cm="1" t="str">
        <f t="array" ref="G104:G104">G103</f>
        <v>0</v>
      </c>
      <c r="H104" s="1256"/>
      <c r="I104" s="1256"/>
      <c r="J104" s="1256"/>
      <c r="K104" s="124">
        <f>first_year+21</f>
        <v>2047</v>
      </c>
      <c r="L104" s="1256"/>
      <c r="M104" s="1256"/>
      <c r="N104" s="1256"/>
      <c r="O104" s="1256"/>
      <c r="P104" s="1256"/>
      <c r="Q104" s="1256"/>
      <c r="R104" s="1256"/>
      <c r="S104" s="1256"/>
      <c r="T104" s="438" cm="1" t="str">
        <f t="array" ref="T104:T104">T103</f>
        <v>false</v>
      </c>
      <c r="U104" s="1256"/>
      <c r="V104" s="1256"/>
      <c r="W104" s="1256"/>
      <c r="X104" s="1511"/>
      <c r="Y104" s="1511"/>
      <c r="Z104" s="1494"/>
      <c r="AA104" s="1593"/>
      <c r="AB104" s="221" t="str">
        <f>K104&amp;" год"</f>
        <v>2047 год</v>
      </c>
      <c r="AC104" s="379"/>
      <c r="AD104" s="3872"/>
      <c r="AE104" s="3871"/>
      <c r="AF104" s="3871"/>
      <c r="AG104" s="3872"/>
      <c r="AH104" s="3871"/>
      <c r="AI104" s="3872"/>
      <c r="AJ104" s="3871"/>
      <c r="AK104" s="3873"/>
      <c r="AL104" s="374"/>
      <c r="AM104" s="1256"/>
      <c r="AN104" s="1041" cm="1" t="str">
        <f t="array" ref="AN104:AN104">K104</f>
        <v>2047</v>
      </c>
      <c r="AO104" s="1041" t="s">
        <v>2088</v>
      </c>
      <c r="AP104" s="1051" cm="1" t="str">
        <f t="array" ref="AP104:AP104">AP103</f>
        <v>0</v>
      </c>
      <c r="AQ104" s="679"/>
      <c r="AR104" s="679"/>
    </row>
    <row s="3901" customFormat="1" customHeight="1" ht="14.25" hidden="1">
      <c r="A105" s="1256"/>
      <c r="B105" s="417">
        <f>K105&lt;first_year+PERIOD_LENGTH</f>
        <v>0</v>
      </c>
      <c r="C105" s="1256"/>
      <c r="D105" s="1256"/>
      <c r="E105" s="679">
        <v>15</v>
      </c>
      <c r="F105" s="50" cm="1" t="str">
        <f t="array" ref="F105:F105">OFFSET(E105,-1,1)</f>
        <v>1</v>
      </c>
      <c r="G105" s="64" cm="1" t="str">
        <f t="array" ref="G105:G105">G104</f>
        <v>0</v>
      </c>
      <c r="H105" s="1256"/>
      <c r="I105" s="1256"/>
      <c r="J105" s="1256"/>
      <c r="K105" s="124">
        <f>first_year+22</f>
        <v>2048</v>
      </c>
      <c r="L105" s="1256"/>
      <c r="M105" s="1256"/>
      <c r="N105" s="1256"/>
      <c r="O105" s="1256"/>
      <c r="P105" s="1256"/>
      <c r="Q105" s="1256"/>
      <c r="R105" s="1256"/>
      <c r="S105" s="1256"/>
      <c r="T105" s="438" cm="1" t="str">
        <f t="array" ref="T105:T105">T104</f>
        <v>false</v>
      </c>
      <c r="U105" s="1256"/>
      <c r="V105" s="1256"/>
      <c r="W105" s="1256"/>
      <c r="X105" s="1511"/>
      <c r="Y105" s="1511"/>
      <c r="Z105" s="1494"/>
      <c r="AA105" s="1593"/>
      <c r="AB105" s="221" t="str">
        <f>K105&amp;" год"</f>
        <v>2048 год</v>
      </c>
      <c r="AC105" s="379"/>
      <c r="AD105" s="3872"/>
      <c r="AE105" s="3871"/>
      <c r="AF105" s="3871"/>
      <c r="AG105" s="3872"/>
      <c r="AH105" s="3871"/>
      <c r="AI105" s="3872"/>
      <c r="AJ105" s="3871"/>
      <c r="AK105" s="3873"/>
      <c r="AL105" s="374"/>
      <c r="AM105" s="1256"/>
      <c r="AN105" s="1041" cm="1" t="str">
        <f t="array" ref="AN105:AN105">K105</f>
        <v>2048</v>
      </c>
      <c r="AO105" s="1041" t="s">
        <v>2088</v>
      </c>
      <c r="AP105" s="1051" cm="1" t="str">
        <f t="array" ref="AP105:AP105">AP104</f>
        <v>0</v>
      </c>
      <c r="AQ105" s="679"/>
      <c r="AR105" s="679"/>
    </row>
    <row s="3902" customFormat="1" customHeight="1" ht="14.25" hidden="1">
      <c r="A106" s="1256"/>
      <c r="B106" s="417">
        <f>K106&lt;first_year+PERIOD_LENGTH</f>
        <v>0</v>
      </c>
      <c r="C106" s="1256"/>
      <c r="D106" s="1256"/>
      <c r="E106" s="679">
        <v>15</v>
      </c>
      <c r="F106" s="50" cm="1" t="str">
        <f t="array" ref="F106:F106">OFFSET(E106,-1,1)</f>
        <v>1</v>
      </c>
      <c r="G106" s="64" cm="1" t="str">
        <f t="array" ref="G106:G106">G105</f>
        <v>0</v>
      </c>
      <c r="H106" s="1256"/>
      <c r="I106" s="1256"/>
      <c r="J106" s="1256"/>
      <c r="K106" s="124">
        <f>first_year+23</f>
        <v>2049</v>
      </c>
      <c r="L106" s="1256"/>
      <c r="M106" s="1256"/>
      <c r="N106" s="1256"/>
      <c r="O106" s="1256"/>
      <c r="P106" s="1256"/>
      <c r="Q106" s="1256"/>
      <c r="R106" s="1256"/>
      <c r="S106" s="1256"/>
      <c r="T106" s="438" cm="1" t="str">
        <f t="array" ref="T106:T106">T105</f>
        <v>false</v>
      </c>
      <c r="U106" s="1256"/>
      <c r="V106" s="1256"/>
      <c r="W106" s="1256"/>
      <c r="X106" s="1511"/>
      <c r="Y106" s="1511"/>
      <c r="Z106" s="1494"/>
      <c r="AA106" s="1593"/>
      <c r="AB106" s="221" t="str">
        <f>K106&amp;" год"</f>
        <v>2049 год</v>
      </c>
      <c r="AC106" s="379"/>
      <c r="AD106" s="3872"/>
      <c r="AE106" s="3871"/>
      <c r="AF106" s="3871"/>
      <c r="AG106" s="3872"/>
      <c r="AH106" s="3871"/>
      <c r="AI106" s="3872"/>
      <c r="AJ106" s="3871"/>
      <c r="AK106" s="3873"/>
      <c r="AL106" s="374"/>
      <c r="AM106" s="1256"/>
      <c r="AN106" s="1041" cm="1" t="str">
        <f t="array" ref="AN106:AN106">K106</f>
        <v>2049</v>
      </c>
      <c r="AO106" s="1041" t="s">
        <v>2088</v>
      </c>
      <c r="AP106" s="1051" cm="1" t="str">
        <f t="array" ref="AP106:AP106">AP105</f>
        <v>0</v>
      </c>
      <c r="AQ106" s="679"/>
      <c r="AR106" s="679"/>
    </row>
    <row s="3903" customFormat="1" customHeight="1" ht="14.25" hidden="1">
      <c r="A107" s="1256"/>
      <c r="B107" s="417">
        <f>K107&lt;first_year+PERIOD_LENGTH</f>
        <v>0</v>
      </c>
      <c r="C107" s="1256"/>
      <c r="D107" s="1256"/>
      <c r="E107" s="679">
        <v>15</v>
      </c>
      <c r="F107" s="50" cm="1" t="str">
        <f t="array" ref="F107:F107">OFFSET(E107,-1,1)</f>
        <v>1</v>
      </c>
      <c r="G107" s="64" cm="1" t="str">
        <f t="array" ref="G107:G107">G106</f>
        <v>0</v>
      </c>
      <c r="H107" s="1256"/>
      <c r="I107" s="1256"/>
      <c r="J107" s="1256"/>
      <c r="K107" s="124">
        <f>first_year+24</f>
        <v>2050</v>
      </c>
      <c r="L107" s="1256"/>
      <c r="M107" s="1256"/>
      <c r="N107" s="1256"/>
      <c r="O107" s="1256"/>
      <c r="P107" s="1256"/>
      <c r="Q107" s="1256"/>
      <c r="R107" s="1256"/>
      <c r="S107" s="1256"/>
      <c r="T107" s="438" cm="1" t="str">
        <f t="array" ref="T107:T107">T106</f>
        <v>false</v>
      </c>
      <c r="U107" s="1256"/>
      <c r="V107" s="1256"/>
      <c r="W107" s="1256"/>
      <c r="X107" s="1511"/>
      <c r="Y107" s="1511"/>
      <c r="Z107" s="1494"/>
      <c r="AA107" s="1593"/>
      <c r="AB107" s="221" t="str">
        <f>K107&amp;" год"</f>
        <v>2050 год</v>
      </c>
      <c r="AC107" s="379"/>
      <c r="AD107" s="3872"/>
      <c r="AE107" s="3871"/>
      <c r="AF107" s="3871"/>
      <c r="AG107" s="3872"/>
      <c r="AH107" s="3871"/>
      <c r="AI107" s="3872"/>
      <c r="AJ107" s="3871"/>
      <c r="AK107" s="3873"/>
      <c r="AL107" s="374"/>
      <c r="AM107" s="1256"/>
      <c r="AN107" s="1041" cm="1" t="str">
        <f t="array" ref="AN107:AN107">K107</f>
        <v>2050</v>
      </c>
      <c r="AO107" s="1041" t="s">
        <v>2088</v>
      </c>
      <c r="AP107" s="1051" cm="1" t="str">
        <f t="array" ref="AP107:AP107">AP106</f>
        <v>0</v>
      </c>
      <c r="AQ107" s="679"/>
      <c r="AR107" s="679"/>
    </row>
    <row s="3904" customFormat="1" customHeight="1" ht="14.25" hidden="1">
      <c r="A108" s="1256"/>
      <c r="B108" s="417">
        <f>K108&lt;first_year+PERIOD_LENGTH</f>
        <v>0</v>
      </c>
      <c r="C108" s="1256"/>
      <c r="D108" s="1256"/>
      <c r="E108" s="679">
        <v>15</v>
      </c>
      <c r="F108" s="50" cm="1" t="str">
        <f t="array" ref="F108:F108">OFFSET(E108,-1,1)</f>
        <v>1</v>
      </c>
      <c r="G108" s="64" cm="1" t="str">
        <f t="array" ref="G108:G108">G107</f>
        <v>0</v>
      </c>
      <c r="H108" s="1256"/>
      <c r="I108" s="1256"/>
      <c r="J108" s="1256"/>
      <c r="K108" s="124">
        <f>first_year+25</f>
        <v>2051</v>
      </c>
      <c r="L108" s="1256"/>
      <c r="M108" s="1256"/>
      <c r="N108" s="1256"/>
      <c r="O108" s="1256"/>
      <c r="P108" s="1256"/>
      <c r="Q108" s="1256"/>
      <c r="R108" s="1256"/>
      <c r="S108" s="1256"/>
      <c r="T108" s="438" cm="1" t="str">
        <f t="array" ref="T108:T108">T107</f>
        <v>false</v>
      </c>
      <c r="U108" s="1256"/>
      <c r="V108" s="1256"/>
      <c r="W108" s="1256"/>
      <c r="X108" s="1511"/>
      <c r="Y108" s="1511"/>
      <c r="Z108" s="1494"/>
      <c r="AA108" s="1593"/>
      <c r="AB108" s="221" t="str">
        <f>K108&amp;" год"</f>
        <v>2051 год</v>
      </c>
      <c r="AC108" s="379"/>
      <c r="AD108" s="3872"/>
      <c r="AE108" s="3871"/>
      <c r="AF108" s="3871"/>
      <c r="AG108" s="3872"/>
      <c r="AH108" s="3871"/>
      <c r="AI108" s="3872"/>
      <c r="AJ108" s="3871"/>
      <c r="AK108" s="3873"/>
      <c r="AL108" s="374"/>
      <c r="AM108" s="1256"/>
      <c r="AN108" s="1041" cm="1" t="str">
        <f t="array" ref="AN108:AN108">K108</f>
        <v>2051</v>
      </c>
      <c r="AO108" s="1041" t="s">
        <v>2088</v>
      </c>
      <c r="AP108" s="1051" cm="1" t="str">
        <f t="array" ref="AP108:AP108">AP107</f>
        <v>0</v>
      </c>
      <c r="AQ108" s="679"/>
      <c r="AR108" s="679"/>
    </row>
    <row s="3905" customFormat="1" customHeight="1" ht="14.25" hidden="1">
      <c r="A109" s="1256"/>
      <c r="B109" s="417">
        <f>K109&lt;first_year+PERIOD_LENGTH</f>
        <v>0</v>
      </c>
      <c r="C109" s="1256"/>
      <c r="D109" s="1256"/>
      <c r="E109" s="679">
        <v>15</v>
      </c>
      <c r="F109" s="50" cm="1" t="str">
        <f t="array" ref="F109:F109">OFFSET(E109,-1,1)</f>
        <v>1</v>
      </c>
      <c r="G109" s="64" cm="1" t="str">
        <f t="array" ref="G109:G109">G108</f>
        <v>0</v>
      </c>
      <c r="H109" s="1256"/>
      <c r="I109" s="1256"/>
      <c r="J109" s="1256"/>
      <c r="K109" s="124">
        <f>first_year+26</f>
        <v>2052</v>
      </c>
      <c r="L109" s="1256"/>
      <c r="M109" s="1256"/>
      <c r="N109" s="1256"/>
      <c r="O109" s="1256"/>
      <c r="P109" s="1256"/>
      <c r="Q109" s="1256"/>
      <c r="R109" s="1256"/>
      <c r="S109" s="1256"/>
      <c r="T109" s="438" cm="1" t="str">
        <f t="array" ref="T109:T109">T108</f>
        <v>false</v>
      </c>
      <c r="U109" s="1256"/>
      <c r="V109" s="1256"/>
      <c r="W109" s="1256"/>
      <c r="X109" s="1511"/>
      <c r="Y109" s="1511"/>
      <c r="Z109" s="1494"/>
      <c r="AA109" s="1593"/>
      <c r="AB109" s="221" t="str">
        <f>K109&amp;" год"</f>
        <v>2052 год</v>
      </c>
      <c r="AC109" s="379"/>
      <c r="AD109" s="3872"/>
      <c r="AE109" s="3871"/>
      <c r="AF109" s="3871"/>
      <c r="AG109" s="3872"/>
      <c r="AH109" s="3871"/>
      <c r="AI109" s="3872"/>
      <c r="AJ109" s="3871"/>
      <c r="AK109" s="3873"/>
      <c r="AL109" s="374"/>
      <c r="AM109" s="1256"/>
      <c r="AN109" s="1041" cm="1" t="str">
        <f t="array" ref="AN109:AN109">K109</f>
        <v>2052</v>
      </c>
      <c r="AO109" s="1041" t="s">
        <v>2088</v>
      </c>
      <c r="AP109" s="1051" cm="1" t="str">
        <f t="array" ref="AP109:AP109">AP108</f>
        <v>0</v>
      </c>
      <c r="AQ109" s="679"/>
      <c r="AR109" s="679"/>
    </row>
    <row s="3906" customFormat="1" customHeight="1" ht="14.25" hidden="1">
      <c r="A110" s="1256"/>
      <c r="B110" s="417">
        <f>K110&lt;first_year+PERIOD_LENGTH</f>
        <v>0</v>
      </c>
      <c r="C110" s="1256"/>
      <c r="D110" s="1256"/>
      <c r="E110" s="679">
        <v>15</v>
      </c>
      <c r="F110" s="50" cm="1" t="str">
        <f t="array" ref="F110:F110">OFFSET(E110,-1,1)</f>
        <v>1</v>
      </c>
      <c r="G110" s="64" cm="1" t="str">
        <f t="array" ref="G110:G110">G109</f>
        <v>0</v>
      </c>
      <c r="H110" s="1256"/>
      <c r="I110" s="1256"/>
      <c r="J110" s="1256"/>
      <c r="K110" s="124">
        <f>first_year+27</f>
        <v>2053</v>
      </c>
      <c r="L110" s="1256"/>
      <c r="M110" s="1256"/>
      <c r="N110" s="1256"/>
      <c r="O110" s="1256"/>
      <c r="P110" s="1256"/>
      <c r="Q110" s="1256"/>
      <c r="R110" s="1256"/>
      <c r="S110" s="1256"/>
      <c r="T110" s="438" cm="1" t="str">
        <f t="array" ref="T110:T110">T109</f>
        <v>false</v>
      </c>
      <c r="U110" s="1256"/>
      <c r="V110" s="1256"/>
      <c r="W110" s="1256"/>
      <c r="X110" s="1511"/>
      <c r="Y110" s="1511"/>
      <c r="Z110" s="1494"/>
      <c r="AA110" s="1593"/>
      <c r="AB110" s="221" t="str">
        <f>K110&amp;" год"</f>
        <v>2053 год</v>
      </c>
      <c r="AC110" s="379"/>
      <c r="AD110" s="3872"/>
      <c r="AE110" s="3871"/>
      <c r="AF110" s="3871"/>
      <c r="AG110" s="3872"/>
      <c r="AH110" s="3871"/>
      <c r="AI110" s="3872"/>
      <c r="AJ110" s="3871"/>
      <c r="AK110" s="3873"/>
      <c r="AL110" s="374"/>
      <c r="AM110" s="1256"/>
      <c r="AN110" s="1041" cm="1" t="str">
        <f t="array" ref="AN110:AN110">K110</f>
        <v>2053</v>
      </c>
      <c r="AO110" s="1041" t="s">
        <v>2088</v>
      </c>
      <c r="AP110" s="1051" cm="1" t="str">
        <f t="array" ref="AP110:AP110">AP109</f>
        <v>0</v>
      </c>
      <c r="AQ110" s="679"/>
      <c r="AR110" s="679"/>
    </row>
    <row s="3907" customFormat="1" customHeight="1" ht="14.25" hidden="1">
      <c r="A111" s="1256"/>
      <c r="B111" s="417">
        <f>K111&lt;first_year+PERIOD_LENGTH</f>
        <v>0</v>
      </c>
      <c r="C111" s="1256"/>
      <c r="D111" s="1256"/>
      <c r="E111" s="679">
        <v>15</v>
      </c>
      <c r="F111" s="50" cm="1" t="str">
        <f t="array" ref="F111:F111">OFFSET(E111,-1,1)</f>
        <v>1</v>
      </c>
      <c r="G111" s="64" cm="1" t="str">
        <f t="array" ref="G111:G111">G110</f>
        <v>0</v>
      </c>
      <c r="H111" s="1256"/>
      <c r="I111" s="1256"/>
      <c r="J111" s="1256"/>
      <c r="K111" s="124">
        <f>first_year+28</f>
        <v>2054</v>
      </c>
      <c r="L111" s="1256"/>
      <c r="M111" s="1256"/>
      <c r="N111" s="1256"/>
      <c r="O111" s="1256"/>
      <c r="P111" s="1256"/>
      <c r="Q111" s="1256"/>
      <c r="R111" s="1256"/>
      <c r="S111" s="1256"/>
      <c r="T111" s="438" cm="1" t="str">
        <f t="array" ref="T111:T111">T110</f>
        <v>false</v>
      </c>
      <c r="U111" s="1256"/>
      <c r="V111" s="1256"/>
      <c r="W111" s="1256"/>
      <c r="X111" s="1511"/>
      <c r="Y111" s="1511"/>
      <c r="Z111" s="1494"/>
      <c r="AA111" s="1593"/>
      <c r="AB111" s="221" t="str">
        <f>K111&amp;" год"</f>
        <v>2054 год</v>
      </c>
      <c r="AC111" s="379"/>
      <c r="AD111" s="3872"/>
      <c r="AE111" s="3871"/>
      <c r="AF111" s="3871"/>
      <c r="AG111" s="3872"/>
      <c r="AH111" s="3871"/>
      <c r="AI111" s="3872"/>
      <c r="AJ111" s="3871"/>
      <c r="AK111" s="3873"/>
      <c r="AL111" s="374"/>
      <c r="AM111" s="1256"/>
      <c r="AN111" s="1041" cm="1" t="str">
        <f t="array" ref="AN111:AN111">K111</f>
        <v>2054</v>
      </c>
      <c r="AO111" s="1041" t="s">
        <v>2088</v>
      </c>
      <c r="AP111" s="1051" cm="1" t="str">
        <f t="array" ref="AP111:AP111">AP110</f>
        <v>0</v>
      </c>
      <c r="AQ111" s="679"/>
      <c r="AR111" s="679"/>
    </row>
    <row s="3908" customFormat="1" customHeight="1" ht="14.25" hidden="1">
      <c r="A112" s="1256"/>
      <c r="B112" s="417">
        <f>K112&lt;first_year+PERIOD_LENGTH</f>
        <v>0</v>
      </c>
      <c r="C112" s="1256"/>
      <c r="D112" s="1256"/>
      <c r="E112" s="679">
        <v>15</v>
      </c>
      <c r="F112" s="50" cm="1" t="str">
        <f t="array" ref="F112:F112">OFFSET(E112,-1,1)</f>
        <v>1</v>
      </c>
      <c r="G112" s="64" cm="1" t="str">
        <f t="array" ref="G112:G112">G111</f>
        <v>0</v>
      </c>
      <c r="H112" s="1256"/>
      <c r="I112" s="1256"/>
      <c r="J112" s="1256"/>
      <c r="K112" s="124">
        <f>first_year+29</f>
        <v>2055</v>
      </c>
      <c r="L112" s="1256"/>
      <c r="M112" s="1256"/>
      <c r="N112" s="1256"/>
      <c r="O112" s="1256"/>
      <c r="P112" s="1256"/>
      <c r="Q112" s="1256"/>
      <c r="R112" s="1256"/>
      <c r="S112" s="1256"/>
      <c r="T112" s="438" cm="1" t="str">
        <f t="array" ref="T112:T112">T111</f>
        <v>false</v>
      </c>
      <c r="U112" s="1256"/>
      <c r="V112" s="1256"/>
      <c r="W112" s="1256"/>
      <c r="X112" s="1511"/>
      <c r="Y112" s="1511"/>
      <c r="Z112" s="1494"/>
      <c r="AA112" s="1593"/>
      <c r="AB112" s="221" t="str">
        <f>K112&amp;" год"</f>
        <v>2055 год</v>
      </c>
      <c r="AC112" s="379"/>
      <c r="AD112" s="3872"/>
      <c r="AE112" s="3871"/>
      <c r="AF112" s="3871"/>
      <c r="AG112" s="3872"/>
      <c r="AH112" s="3871"/>
      <c r="AI112" s="3872"/>
      <c r="AJ112" s="3871"/>
      <c r="AK112" s="3873"/>
      <c r="AL112" s="374"/>
      <c r="AM112" s="1256"/>
      <c r="AN112" s="1041" cm="1" t="str">
        <f t="array" ref="AN112:AN112">K112</f>
        <v>2055</v>
      </c>
      <c r="AO112" s="1041" t="s">
        <v>2088</v>
      </c>
      <c r="AP112" s="1051" cm="1" t="str">
        <f t="array" ref="AP112:AP112">AP111</f>
        <v>0</v>
      </c>
      <c r="AQ112" s="679"/>
      <c r="AR112" s="679"/>
    </row>
    <row s="3909" customFormat="1" customHeight="1" ht="14.25" hidden="1">
      <c r="A113" s="1256"/>
      <c r="B113" s="417">
        <f>K113&lt;first_year+PERIOD_LENGTH</f>
        <v>0</v>
      </c>
      <c r="C113" s="1256"/>
      <c r="D113" s="1256"/>
      <c r="E113" s="679">
        <v>15</v>
      </c>
      <c r="F113" s="50" cm="1" t="str">
        <f t="array" ref="F113:F113">OFFSET(E113,-1,1)</f>
        <v>1</v>
      </c>
      <c r="G113" s="64" cm="1" t="str">
        <f t="array" ref="G113:G113">G112</f>
        <v>0</v>
      </c>
      <c r="H113" s="1256"/>
      <c r="I113" s="1256"/>
      <c r="J113" s="1256"/>
      <c r="K113" s="124">
        <f>first_year+30</f>
        <v>2056</v>
      </c>
      <c r="L113" s="1256"/>
      <c r="M113" s="1256"/>
      <c r="N113" s="1256"/>
      <c r="O113" s="1256"/>
      <c r="P113" s="1256"/>
      <c r="Q113" s="1256"/>
      <c r="R113" s="1256"/>
      <c r="S113" s="1256"/>
      <c r="T113" s="438" cm="1" t="str">
        <f t="array" ref="T113:T113">T112</f>
        <v>false</v>
      </c>
      <c r="U113" s="1256"/>
      <c r="V113" s="1256"/>
      <c r="W113" s="1256"/>
      <c r="X113" s="1511"/>
      <c r="Y113" s="1511"/>
      <c r="Z113" s="1494"/>
      <c r="AA113" s="1593"/>
      <c r="AB113" s="221" t="str">
        <f>K113&amp;" год"</f>
        <v>2056 год</v>
      </c>
      <c r="AC113" s="379"/>
      <c r="AD113" s="3872"/>
      <c r="AE113" s="3871"/>
      <c r="AF113" s="3871"/>
      <c r="AG113" s="3872"/>
      <c r="AH113" s="3871"/>
      <c r="AI113" s="3872"/>
      <c r="AJ113" s="3871"/>
      <c r="AK113" s="3873"/>
      <c r="AL113" s="374"/>
      <c r="AM113" s="1256"/>
      <c r="AN113" s="1041" cm="1" t="str">
        <f t="array" ref="AN113:AN113">K113</f>
        <v>2056</v>
      </c>
      <c r="AO113" s="1041" t="s">
        <v>2088</v>
      </c>
      <c r="AP113" s="1051" cm="1" t="str">
        <f t="array" ref="AP113:AP113">AP112</f>
        <v>0</v>
      </c>
      <c r="AQ113" s="679"/>
      <c r="AR113" s="679"/>
    </row>
    <row s="3910" customFormat="1" customHeight="1" ht="14.25" hidden="1">
      <c r="A114" s="1256"/>
      <c r="B114" s="417">
        <f>K114&lt;first_year+PERIOD_LENGTH</f>
        <v>0</v>
      </c>
      <c r="C114" s="1256"/>
      <c r="D114" s="1256"/>
      <c r="E114" s="679">
        <v>15</v>
      </c>
      <c r="F114" s="50" cm="1" t="str">
        <f t="array" ref="F114:F114">OFFSET(E114,-1,1)</f>
        <v>1</v>
      </c>
      <c r="G114" s="64" cm="1" t="str">
        <f t="array" ref="G114:G114">G113</f>
        <v>0</v>
      </c>
      <c r="H114" s="1256"/>
      <c r="I114" s="1256"/>
      <c r="J114" s="1256"/>
      <c r="K114" s="124">
        <f>first_year+31</f>
        <v>2057</v>
      </c>
      <c r="L114" s="1256"/>
      <c r="M114" s="1256"/>
      <c r="N114" s="1256"/>
      <c r="O114" s="1256"/>
      <c r="P114" s="1256"/>
      <c r="Q114" s="1256"/>
      <c r="R114" s="1256"/>
      <c r="S114" s="1256"/>
      <c r="T114" s="438" cm="1" t="str">
        <f t="array" ref="T114:T114">T113</f>
        <v>false</v>
      </c>
      <c r="U114" s="1256"/>
      <c r="V114" s="1256"/>
      <c r="W114" s="1256"/>
      <c r="X114" s="1511"/>
      <c r="Y114" s="1511"/>
      <c r="Z114" s="1494"/>
      <c r="AA114" s="1593"/>
      <c r="AB114" s="221" t="str">
        <f>K114&amp;" год"</f>
        <v>2057 год</v>
      </c>
      <c r="AC114" s="379"/>
      <c r="AD114" s="3872"/>
      <c r="AE114" s="3871"/>
      <c r="AF114" s="3871"/>
      <c r="AG114" s="3872"/>
      <c r="AH114" s="3871"/>
      <c r="AI114" s="3872"/>
      <c r="AJ114" s="3871"/>
      <c r="AK114" s="3873"/>
      <c r="AL114" s="374"/>
      <c r="AM114" s="1256"/>
      <c r="AN114" s="1041" cm="1" t="str">
        <f t="array" ref="AN114:AN114">K114</f>
        <v>2057</v>
      </c>
      <c r="AO114" s="1041" t="s">
        <v>2088</v>
      </c>
      <c r="AP114" s="1051" cm="1" t="str">
        <f t="array" ref="AP114:AP114">AP113</f>
        <v>0</v>
      </c>
      <c r="AQ114" s="679"/>
      <c r="AR114" s="679"/>
    </row>
    <row s="3911" customFormat="1" customHeight="1" ht="14.25" hidden="1">
      <c r="A115" s="1256"/>
      <c r="B115" s="417">
        <f>K115&lt;first_year+PERIOD_LENGTH</f>
        <v>0</v>
      </c>
      <c r="C115" s="1256"/>
      <c r="D115" s="1256"/>
      <c r="E115" s="679">
        <v>15</v>
      </c>
      <c r="F115" s="50" cm="1" t="str">
        <f t="array" ref="F115:F115">OFFSET(E115,-1,1)</f>
        <v>1</v>
      </c>
      <c r="G115" s="64" cm="1" t="str">
        <f t="array" ref="G115:G115">G114</f>
        <v>0</v>
      </c>
      <c r="H115" s="1256"/>
      <c r="I115" s="1256"/>
      <c r="J115" s="1256"/>
      <c r="K115" s="124">
        <f>first_year+32</f>
        <v>2058</v>
      </c>
      <c r="L115" s="1256"/>
      <c r="M115" s="1256"/>
      <c r="N115" s="1256"/>
      <c r="O115" s="1256"/>
      <c r="P115" s="1256"/>
      <c r="Q115" s="1256"/>
      <c r="R115" s="1256"/>
      <c r="S115" s="1256"/>
      <c r="T115" s="438" cm="1" t="str">
        <f t="array" ref="T115:T115">T114</f>
        <v>false</v>
      </c>
      <c r="U115" s="1256"/>
      <c r="V115" s="1256"/>
      <c r="W115" s="1256"/>
      <c r="X115" s="1511"/>
      <c r="Y115" s="1511"/>
      <c r="Z115" s="1494"/>
      <c r="AA115" s="1593"/>
      <c r="AB115" s="221" t="str">
        <f>K115&amp;" год"</f>
        <v>2058 год</v>
      </c>
      <c r="AC115" s="379"/>
      <c r="AD115" s="3872"/>
      <c r="AE115" s="3871"/>
      <c r="AF115" s="3871"/>
      <c r="AG115" s="3872"/>
      <c r="AH115" s="3871"/>
      <c r="AI115" s="3872"/>
      <c r="AJ115" s="3871"/>
      <c r="AK115" s="3873"/>
      <c r="AL115" s="374"/>
      <c r="AM115" s="1256"/>
      <c r="AN115" s="1041" cm="1" t="str">
        <f t="array" ref="AN115:AN115">K115</f>
        <v>2058</v>
      </c>
      <c r="AO115" s="1041" t="s">
        <v>2088</v>
      </c>
      <c r="AP115" s="1051" cm="1" t="str">
        <f t="array" ref="AP115:AP115">AP114</f>
        <v>0</v>
      </c>
      <c r="AQ115" s="679"/>
      <c r="AR115" s="679"/>
    </row>
    <row s="3912" customFormat="1" customHeight="1" ht="14.25" hidden="1">
      <c r="A116" s="1256"/>
      <c r="B116" s="417">
        <f>K116&lt;first_year+PERIOD_LENGTH</f>
        <v>0</v>
      </c>
      <c r="C116" s="1256"/>
      <c r="D116" s="1256"/>
      <c r="E116" s="679">
        <v>15</v>
      </c>
      <c r="F116" s="50" cm="1" t="str">
        <f t="array" ref="F116:F116">OFFSET(E116,-1,1)</f>
        <v>1</v>
      </c>
      <c r="G116" s="64" cm="1" t="str">
        <f t="array" ref="G116:G116">G115</f>
        <v>0</v>
      </c>
      <c r="H116" s="1256"/>
      <c r="I116" s="1256"/>
      <c r="J116" s="1256"/>
      <c r="K116" s="124">
        <f>first_year+33</f>
        <v>2059</v>
      </c>
      <c r="L116" s="1256"/>
      <c r="M116" s="1256"/>
      <c r="N116" s="1256"/>
      <c r="O116" s="1256"/>
      <c r="P116" s="1256"/>
      <c r="Q116" s="1256"/>
      <c r="R116" s="1256"/>
      <c r="S116" s="1256"/>
      <c r="T116" s="438" cm="1" t="str">
        <f t="array" ref="T116:T116">T115</f>
        <v>false</v>
      </c>
      <c r="U116" s="1256"/>
      <c r="V116" s="1256"/>
      <c r="W116" s="1256"/>
      <c r="X116" s="1511"/>
      <c r="Y116" s="1511"/>
      <c r="Z116" s="1494"/>
      <c r="AA116" s="1593"/>
      <c r="AB116" s="221" t="str">
        <f>K116&amp;" год"</f>
        <v>2059 год</v>
      </c>
      <c r="AC116" s="379"/>
      <c r="AD116" s="3872"/>
      <c r="AE116" s="3871"/>
      <c r="AF116" s="3871"/>
      <c r="AG116" s="3872"/>
      <c r="AH116" s="3871"/>
      <c r="AI116" s="3872"/>
      <c r="AJ116" s="3871"/>
      <c r="AK116" s="3873"/>
      <c r="AL116" s="374"/>
      <c r="AM116" s="1256"/>
      <c r="AN116" s="1041" cm="1" t="str">
        <f t="array" ref="AN116:AN116">K116</f>
        <v>2059</v>
      </c>
      <c r="AO116" s="1041" t="s">
        <v>2088</v>
      </c>
      <c r="AP116" s="1051" cm="1" t="str">
        <f t="array" ref="AP116:AP116">AP115</f>
        <v>0</v>
      </c>
      <c r="AQ116" s="679"/>
      <c r="AR116" s="679"/>
    </row>
    <row s="3913" customFormat="1" customHeight="1" ht="14.25" hidden="1">
      <c r="A117" s="1256"/>
      <c r="B117" s="417">
        <f>K117&lt;first_year+PERIOD_LENGTH</f>
        <v>0</v>
      </c>
      <c r="C117" s="1256"/>
      <c r="D117" s="1256"/>
      <c r="E117" s="679">
        <v>15</v>
      </c>
      <c r="F117" s="50" cm="1" t="str">
        <f t="array" ref="F117:F117">OFFSET(E117,-1,1)</f>
        <v>1</v>
      </c>
      <c r="G117" s="64" cm="1" t="str">
        <f t="array" ref="G117:G117">G116</f>
        <v>0</v>
      </c>
      <c r="H117" s="1256"/>
      <c r="I117" s="1256"/>
      <c r="J117" s="1256"/>
      <c r="K117" s="124">
        <f>first_year+34</f>
        <v>2060</v>
      </c>
      <c r="L117" s="1256"/>
      <c r="M117" s="1256"/>
      <c r="N117" s="1256"/>
      <c r="O117" s="1256"/>
      <c r="P117" s="1256"/>
      <c r="Q117" s="1256"/>
      <c r="R117" s="1256"/>
      <c r="S117" s="1256"/>
      <c r="T117" s="438" cm="1" t="str">
        <f t="array" ref="T117:T117">T116</f>
        <v>false</v>
      </c>
      <c r="U117" s="1256"/>
      <c r="V117" s="1256"/>
      <c r="W117" s="1256"/>
      <c r="X117" s="1511"/>
      <c r="Y117" s="1511"/>
      <c r="Z117" s="1494"/>
      <c r="AA117" s="1593"/>
      <c r="AB117" s="221" t="str">
        <f>K117&amp;" год"</f>
        <v>2060 год</v>
      </c>
      <c r="AC117" s="379"/>
      <c r="AD117" s="3872"/>
      <c r="AE117" s="3871"/>
      <c r="AF117" s="3871"/>
      <c r="AG117" s="3872"/>
      <c r="AH117" s="3871"/>
      <c r="AI117" s="3872"/>
      <c r="AJ117" s="3871"/>
      <c r="AK117" s="3873"/>
      <c r="AL117" s="374"/>
      <c r="AM117" s="1256"/>
      <c r="AN117" s="1041" cm="1" t="str">
        <f t="array" ref="AN117:AN117">K117</f>
        <v>2060</v>
      </c>
      <c r="AO117" s="1041" t="s">
        <v>2088</v>
      </c>
      <c r="AP117" s="1051" cm="1" t="str">
        <f t="array" ref="AP117:AP117">AP116</f>
        <v>0</v>
      </c>
      <c r="AQ117" s="679"/>
      <c r="AR117" s="679"/>
    </row>
    <row s="3914" customFormat="1" customHeight="1" ht="14.25" hidden="1">
      <c r="A118" s="1256"/>
      <c r="B118" s="417">
        <f>K118&lt;first_year+PERIOD_LENGTH</f>
        <v>0</v>
      </c>
      <c r="C118" s="1256"/>
      <c r="D118" s="1256"/>
      <c r="E118" s="679">
        <v>15</v>
      </c>
      <c r="F118" s="50" cm="1" t="str">
        <f t="array" ref="F118:F118">OFFSET(E118,-1,1)</f>
        <v>1</v>
      </c>
      <c r="G118" s="64" cm="1" t="str">
        <f t="array" ref="G118:G118">G117</f>
        <v>0</v>
      </c>
      <c r="H118" s="1256"/>
      <c r="I118" s="1256"/>
      <c r="J118" s="1256"/>
      <c r="K118" s="124">
        <f>first_year+35</f>
        <v>2061</v>
      </c>
      <c r="L118" s="1256"/>
      <c r="M118" s="1256"/>
      <c r="N118" s="1256"/>
      <c r="O118" s="1256"/>
      <c r="P118" s="1256"/>
      <c r="Q118" s="1256"/>
      <c r="R118" s="1256"/>
      <c r="S118" s="1256"/>
      <c r="T118" s="438" cm="1" t="str">
        <f t="array" ref="T118:T118">T117</f>
        <v>false</v>
      </c>
      <c r="U118" s="1256"/>
      <c r="V118" s="1256"/>
      <c r="W118" s="1256"/>
      <c r="X118" s="1511"/>
      <c r="Y118" s="1511"/>
      <c r="Z118" s="1494"/>
      <c r="AA118" s="1593"/>
      <c r="AB118" s="221" t="str">
        <f>K118&amp;" год"</f>
        <v>2061 год</v>
      </c>
      <c r="AC118" s="379"/>
      <c r="AD118" s="3872"/>
      <c r="AE118" s="3871"/>
      <c r="AF118" s="3871"/>
      <c r="AG118" s="3872"/>
      <c r="AH118" s="3871"/>
      <c r="AI118" s="3872"/>
      <c r="AJ118" s="3871"/>
      <c r="AK118" s="3873"/>
      <c r="AL118" s="374"/>
      <c r="AM118" s="1256"/>
      <c r="AN118" s="1041" cm="1" t="str">
        <f t="array" ref="AN118:AN118">K118</f>
        <v>2061</v>
      </c>
      <c r="AO118" s="1041" t="s">
        <v>2088</v>
      </c>
      <c r="AP118" s="1051" cm="1" t="str">
        <f t="array" ref="AP118:AP118">AP117</f>
        <v>0</v>
      </c>
      <c r="AQ118" s="679"/>
      <c r="AR118" s="679"/>
    </row>
    <row s="3915" customFormat="1" customHeight="1" ht="14.25" hidden="1">
      <c r="A119" s="1256"/>
      <c r="B119" s="417">
        <f>K119&lt;first_year+PERIOD_LENGTH</f>
        <v>0</v>
      </c>
      <c r="C119" s="1256"/>
      <c r="D119" s="1256"/>
      <c r="E119" s="679">
        <v>15</v>
      </c>
      <c r="F119" s="50" cm="1" t="str">
        <f t="array" ref="F119:F119">OFFSET(E119,-1,1)</f>
        <v>1</v>
      </c>
      <c r="G119" s="64" cm="1" t="str">
        <f t="array" ref="G119:G119">G118</f>
        <v>0</v>
      </c>
      <c r="H119" s="1256"/>
      <c r="I119" s="1256"/>
      <c r="J119" s="1256"/>
      <c r="K119" s="124">
        <f>first_year+36</f>
        <v>2062</v>
      </c>
      <c r="L119" s="1256"/>
      <c r="M119" s="1256"/>
      <c r="N119" s="1256"/>
      <c r="O119" s="1256"/>
      <c r="P119" s="1256"/>
      <c r="Q119" s="1256"/>
      <c r="R119" s="1256"/>
      <c r="S119" s="1256"/>
      <c r="T119" s="438" cm="1" t="str">
        <f t="array" ref="T119:T119">T118</f>
        <v>false</v>
      </c>
      <c r="U119" s="1256"/>
      <c r="V119" s="1256"/>
      <c r="W119" s="1256"/>
      <c r="X119" s="1511"/>
      <c r="Y119" s="1511"/>
      <c r="Z119" s="1494"/>
      <c r="AA119" s="1593"/>
      <c r="AB119" s="221" t="str">
        <f>K119&amp;" год"</f>
        <v>2062 год</v>
      </c>
      <c r="AC119" s="379"/>
      <c r="AD119" s="3872"/>
      <c r="AE119" s="3871"/>
      <c r="AF119" s="3871"/>
      <c r="AG119" s="3872"/>
      <c r="AH119" s="3871"/>
      <c r="AI119" s="3872"/>
      <c r="AJ119" s="3871"/>
      <c r="AK119" s="3873"/>
      <c r="AL119" s="374"/>
      <c r="AM119" s="1256"/>
      <c r="AN119" s="1041" cm="1" t="str">
        <f t="array" ref="AN119:AN119">K119</f>
        <v>2062</v>
      </c>
      <c r="AO119" s="1041" t="s">
        <v>2088</v>
      </c>
      <c r="AP119" s="1051" cm="1" t="str">
        <f t="array" ref="AP119:AP119">AP118</f>
        <v>0</v>
      </c>
      <c r="AQ119" s="679"/>
      <c r="AR119" s="679"/>
    </row>
    <row s="3916" customFormat="1" customHeight="1" ht="14.25" hidden="1">
      <c r="A120" s="1256"/>
      <c r="B120" s="417">
        <f>K120&lt;first_year+PERIOD_LENGTH</f>
        <v>0</v>
      </c>
      <c r="C120" s="1256"/>
      <c r="D120" s="1256"/>
      <c r="E120" s="679">
        <v>15</v>
      </c>
      <c r="F120" s="50" cm="1" t="str">
        <f t="array" ref="F120:F120">OFFSET(E120,-1,1)</f>
        <v>1</v>
      </c>
      <c r="G120" s="64" cm="1" t="str">
        <f t="array" ref="G120:G120">G119</f>
        <v>0</v>
      </c>
      <c r="H120" s="1256"/>
      <c r="I120" s="1256"/>
      <c r="J120" s="1256"/>
      <c r="K120" s="124">
        <f>first_year+37</f>
        <v>2063</v>
      </c>
      <c r="L120" s="1256"/>
      <c r="M120" s="1256"/>
      <c r="N120" s="1256"/>
      <c r="O120" s="1256"/>
      <c r="P120" s="1256"/>
      <c r="Q120" s="1256"/>
      <c r="R120" s="1256"/>
      <c r="S120" s="1256"/>
      <c r="T120" s="438" cm="1" t="str">
        <f t="array" ref="T120:T120">T119</f>
        <v>false</v>
      </c>
      <c r="U120" s="1256"/>
      <c r="V120" s="1256"/>
      <c r="W120" s="1256"/>
      <c r="X120" s="1511"/>
      <c r="Y120" s="1511"/>
      <c r="Z120" s="1494"/>
      <c r="AA120" s="1593"/>
      <c r="AB120" s="221" t="str">
        <f>K120&amp;" год"</f>
        <v>2063 год</v>
      </c>
      <c r="AC120" s="379"/>
      <c r="AD120" s="3872"/>
      <c r="AE120" s="3871"/>
      <c r="AF120" s="3871"/>
      <c r="AG120" s="3872"/>
      <c r="AH120" s="3871"/>
      <c r="AI120" s="3872"/>
      <c r="AJ120" s="3871"/>
      <c r="AK120" s="3873"/>
      <c r="AL120" s="374"/>
      <c r="AM120" s="1256"/>
      <c r="AN120" s="1041" cm="1" t="str">
        <f t="array" ref="AN120:AN120">K120</f>
        <v>2063</v>
      </c>
      <c r="AO120" s="1041" t="s">
        <v>2088</v>
      </c>
      <c r="AP120" s="1051" cm="1" t="str">
        <f t="array" ref="AP120:AP120">AP119</f>
        <v>0</v>
      </c>
      <c r="AQ120" s="679"/>
      <c r="AR120" s="679"/>
    </row>
    <row s="3917" customFormat="1" customHeight="1" ht="14.25" hidden="1">
      <c r="A121" s="1256"/>
      <c r="B121" s="417">
        <f>K121&lt;first_year+PERIOD_LENGTH</f>
        <v>0</v>
      </c>
      <c r="C121" s="1256"/>
      <c r="D121" s="1256"/>
      <c r="E121" s="679">
        <v>15</v>
      </c>
      <c r="F121" s="50" cm="1" t="str">
        <f t="array" ref="F121:F121">OFFSET(E121,-1,1)</f>
        <v>1</v>
      </c>
      <c r="G121" s="64" cm="1" t="str">
        <f t="array" ref="G121:G121">G120</f>
        <v>0</v>
      </c>
      <c r="H121" s="1256"/>
      <c r="I121" s="1256"/>
      <c r="J121" s="1256"/>
      <c r="K121" s="124">
        <f>first_year+38</f>
        <v>2064</v>
      </c>
      <c r="L121" s="1256"/>
      <c r="M121" s="1256"/>
      <c r="N121" s="1256"/>
      <c r="O121" s="1256"/>
      <c r="P121" s="1256"/>
      <c r="Q121" s="1256"/>
      <c r="R121" s="1256"/>
      <c r="S121" s="1256"/>
      <c r="T121" s="438" cm="1" t="str">
        <f t="array" ref="T121:T121">T120</f>
        <v>false</v>
      </c>
      <c r="U121" s="1256"/>
      <c r="V121" s="1256"/>
      <c r="W121" s="1256"/>
      <c r="X121" s="1511"/>
      <c r="Y121" s="1511"/>
      <c r="Z121" s="1494"/>
      <c r="AA121" s="1593"/>
      <c r="AB121" s="221" t="str">
        <f>K121&amp;" год"</f>
        <v>2064 год</v>
      </c>
      <c r="AC121" s="379"/>
      <c r="AD121" s="3872"/>
      <c r="AE121" s="3871"/>
      <c r="AF121" s="3871"/>
      <c r="AG121" s="3872"/>
      <c r="AH121" s="3871"/>
      <c r="AI121" s="3872"/>
      <c r="AJ121" s="3871"/>
      <c r="AK121" s="3873"/>
      <c r="AL121" s="374"/>
      <c r="AM121" s="1256"/>
      <c r="AN121" s="1041" cm="1" t="str">
        <f t="array" ref="AN121:AN121">K121</f>
        <v>2064</v>
      </c>
      <c r="AO121" s="1041" t="s">
        <v>2088</v>
      </c>
      <c r="AP121" s="1051" cm="1" t="str">
        <f t="array" ref="AP121:AP121">AP120</f>
        <v>0</v>
      </c>
      <c r="AQ121" s="679"/>
      <c r="AR121" s="679"/>
    </row>
    <row s="3918" customFormat="1" customHeight="1" ht="14.25" hidden="1">
      <c r="A122" s="1256"/>
      <c r="B122" s="417">
        <f>K122&lt;first_year+PERIOD_LENGTH</f>
        <v>0</v>
      </c>
      <c r="C122" s="1256"/>
      <c r="D122" s="1256"/>
      <c r="E122" s="679">
        <v>15</v>
      </c>
      <c r="F122" s="50" cm="1" t="str">
        <f t="array" ref="F122:F122">OFFSET(E122,-1,1)</f>
        <v>1</v>
      </c>
      <c r="G122" s="64" cm="1" t="str">
        <f t="array" ref="G122:G122">G121</f>
        <v>0</v>
      </c>
      <c r="H122" s="1256"/>
      <c r="I122" s="1256"/>
      <c r="J122" s="1256"/>
      <c r="K122" s="124">
        <f>first_year+39</f>
        <v>2065</v>
      </c>
      <c r="L122" s="1256"/>
      <c r="M122" s="1256"/>
      <c r="N122" s="1256"/>
      <c r="O122" s="1256"/>
      <c r="P122" s="1256"/>
      <c r="Q122" s="1256"/>
      <c r="R122" s="1256"/>
      <c r="S122" s="1256"/>
      <c r="T122" s="438" cm="1" t="str">
        <f t="array" ref="T122:T122">T121</f>
        <v>false</v>
      </c>
      <c r="U122" s="1256"/>
      <c r="V122" s="1256"/>
      <c r="W122" s="1256"/>
      <c r="X122" s="1511"/>
      <c r="Y122" s="1511"/>
      <c r="Z122" s="1494"/>
      <c r="AA122" s="1593"/>
      <c r="AB122" s="221" t="str">
        <f>K122&amp;" год"</f>
        <v>2065 год</v>
      </c>
      <c r="AC122" s="379"/>
      <c r="AD122" s="3872"/>
      <c r="AE122" s="3871"/>
      <c r="AF122" s="3871"/>
      <c r="AG122" s="3872"/>
      <c r="AH122" s="3871"/>
      <c r="AI122" s="3872"/>
      <c r="AJ122" s="3871"/>
      <c r="AK122" s="3873"/>
      <c r="AL122" s="374"/>
      <c r="AM122" s="1256"/>
      <c r="AN122" s="1041" cm="1" t="str">
        <f t="array" ref="AN122:AN122">K122</f>
        <v>2065</v>
      </c>
      <c r="AO122" s="1041" t="s">
        <v>2088</v>
      </c>
      <c r="AP122" s="1051" cm="1" t="str">
        <f t="array" ref="AP122:AP122">AP121</f>
        <v>0</v>
      </c>
      <c r="AQ122" s="679"/>
      <c r="AR122" s="679"/>
    </row>
    <row s="3919" customFormat="1" customHeight="1" ht="14.25" hidden="1">
      <c r="A123" s="1256"/>
      <c r="B123" s="417">
        <f>K123&lt;first_year+PERIOD_LENGTH</f>
        <v>0</v>
      </c>
      <c r="C123" s="1256"/>
      <c r="D123" s="1256"/>
      <c r="E123" s="679">
        <v>15</v>
      </c>
      <c r="F123" s="50" cm="1" t="str">
        <f t="array" ref="F123:F123">OFFSET(E123,-1,1)</f>
        <v>1</v>
      </c>
      <c r="G123" s="64" cm="1" t="str">
        <f t="array" ref="G123:G123">G122</f>
        <v>0</v>
      </c>
      <c r="H123" s="1256"/>
      <c r="I123" s="1256"/>
      <c r="J123" s="1256"/>
      <c r="K123" s="124">
        <f>first_year+40</f>
        <v>2066</v>
      </c>
      <c r="L123" s="1256"/>
      <c r="M123" s="1256"/>
      <c r="N123" s="1256"/>
      <c r="O123" s="1256"/>
      <c r="P123" s="1256"/>
      <c r="Q123" s="1256"/>
      <c r="R123" s="1256"/>
      <c r="S123" s="1256"/>
      <c r="T123" s="438" cm="1" t="str">
        <f t="array" ref="T123:T123">T122</f>
        <v>false</v>
      </c>
      <c r="U123" s="1256"/>
      <c r="V123" s="1256"/>
      <c r="W123" s="1256"/>
      <c r="X123" s="1511"/>
      <c r="Y123" s="1511"/>
      <c r="Z123" s="1494"/>
      <c r="AA123" s="1593"/>
      <c r="AB123" s="221" t="str">
        <f>K123&amp;" год"</f>
        <v>2066 год</v>
      </c>
      <c r="AC123" s="379"/>
      <c r="AD123" s="3872"/>
      <c r="AE123" s="3871"/>
      <c r="AF123" s="3871"/>
      <c r="AG123" s="3872"/>
      <c r="AH123" s="3871"/>
      <c r="AI123" s="3872"/>
      <c r="AJ123" s="3871"/>
      <c r="AK123" s="3873"/>
      <c r="AL123" s="374"/>
      <c r="AM123" s="1256"/>
      <c r="AN123" s="1041" cm="1" t="str">
        <f t="array" ref="AN123:AN123">K123</f>
        <v>2066</v>
      </c>
      <c r="AO123" s="1041" t="s">
        <v>2088</v>
      </c>
      <c r="AP123" s="1051" cm="1" t="str">
        <f t="array" ref="AP123:AP123">AP122</f>
        <v>0</v>
      </c>
      <c r="AQ123" s="679"/>
      <c r="AR123" s="679"/>
    </row>
    <row s="3920" customFormat="1" customHeight="1" ht="14.25" hidden="1">
      <c r="A124" s="1256"/>
      <c r="B124" s="417">
        <f>K124&lt;first_year+PERIOD_LENGTH</f>
        <v>0</v>
      </c>
      <c r="C124" s="1256"/>
      <c r="D124" s="1256"/>
      <c r="E124" s="679">
        <v>15</v>
      </c>
      <c r="F124" s="50" cm="1" t="str">
        <f t="array" ref="F124:F124">OFFSET(E124,-1,1)</f>
        <v>1</v>
      </c>
      <c r="G124" s="64" cm="1" t="str">
        <f t="array" ref="G124:G124">G123</f>
        <v>0</v>
      </c>
      <c r="H124" s="1256"/>
      <c r="I124" s="1256"/>
      <c r="J124" s="1256"/>
      <c r="K124" s="124">
        <f>first_year+41</f>
        <v>2067</v>
      </c>
      <c r="L124" s="1256"/>
      <c r="M124" s="1256"/>
      <c r="N124" s="1256"/>
      <c r="O124" s="1256"/>
      <c r="P124" s="1256"/>
      <c r="Q124" s="1256"/>
      <c r="R124" s="1256"/>
      <c r="S124" s="1256"/>
      <c r="T124" s="438" cm="1" t="str">
        <f t="array" ref="T124:T124">T123</f>
        <v>false</v>
      </c>
      <c r="U124" s="1256"/>
      <c r="V124" s="1256"/>
      <c r="W124" s="1256"/>
      <c r="X124" s="1511"/>
      <c r="Y124" s="1511"/>
      <c r="Z124" s="1494"/>
      <c r="AA124" s="1593"/>
      <c r="AB124" s="221" t="str">
        <f>K124&amp;" год"</f>
        <v>2067 год</v>
      </c>
      <c r="AC124" s="379"/>
      <c r="AD124" s="3872"/>
      <c r="AE124" s="3871"/>
      <c r="AF124" s="3871"/>
      <c r="AG124" s="3872"/>
      <c r="AH124" s="3871"/>
      <c r="AI124" s="3872"/>
      <c r="AJ124" s="3871"/>
      <c r="AK124" s="3873"/>
      <c r="AL124" s="374"/>
      <c r="AM124" s="1256"/>
      <c r="AN124" s="1041" cm="1" t="str">
        <f t="array" ref="AN124:AN124">K124</f>
        <v>2067</v>
      </c>
      <c r="AO124" s="1041" t="s">
        <v>2088</v>
      </c>
      <c r="AP124" s="1051" cm="1" t="str">
        <f t="array" ref="AP124:AP124">AP123</f>
        <v>0</v>
      </c>
      <c r="AQ124" s="679"/>
      <c r="AR124" s="679"/>
    </row>
    <row s="3921" customFormat="1" customHeight="1" ht="14.25" hidden="1">
      <c r="A125" s="1256"/>
      <c r="B125" s="417">
        <f>K125&lt;first_year+PERIOD_LENGTH</f>
        <v>0</v>
      </c>
      <c r="C125" s="1256"/>
      <c r="D125" s="1256"/>
      <c r="E125" s="679">
        <v>15</v>
      </c>
      <c r="F125" s="50" cm="1" t="str">
        <f t="array" ref="F125:F125">OFFSET(E125,-1,1)</f>
        <v>1</v>
      </c>
      <c r="G125" s="64" cm="1" t="str">
        <f t="array" ref="G125:G125">G124</f>
        <v>0</v>
      </c>
      <c r="H125" s="1256"/>
      <c r="I125" s="1256"/>
      <c r="J125" s="1256"/>
      <c r="K125" s="124">
        <f>first_year+42</f>
        <v>2068</v>
      </c>
      <c r="L125" s="1256"/>
      <c r="M125" s="1256"/>
      <c r="N125" s="1256"/>
      <c r="O125" s="1256"/>
      <c r="P125" s="1256"/>
      <c r="Q125" s="1256"/>
      <c r="R125" s="1256"/>
      <c r="S125" s="1256"/>
      <c r="T125" s="438" cm="1" t="str">
        <f t="array" ref="T125:T125">T124</f>
        <v>false</v>
      </c>
      <c r="U125" s="1256"/>
      <c r="V125" s="1256"/>
      <c r="W125" s="1256"/>
      <c r="X125" s="1511"/>
      <c r="Y125" s="1511"/>
      <c r="Z125" s="1494"/>
      <c r="AA125" s="1593"/>
      <c r="AB125" s="221" t="str">
        <f>K125&amp;" год"</f>
        <v>2068 год</v>
      </c>
      <c r="AC125" s="379"/>
      <c r="AD125" s="3872"/>
      <c r="AE125" s="3871"/>
      <c r="AF125" s="3871"/>
      <c r="AG125" s="3872"/>
      <c r="AH125" s="3871"/>
      <c r="AI125" s="3872"/>
      <c r="AJ125" s="3871"/>
      <c r="AK125" s="3873"/>
      <c r="AL125" s="374"/>
      <c r="AM125" s="1256"/>
      <c r="AN125" s="1041" cm="1" t="str">
        <f t="array" ref="AN125:AN125">K125</f>
        <v>2068</v>
      </c>
      <c r="AO125" s="1041" t="s">
        <v>2088</v>
      </c>
      <c r="AP125" s="1051" cm="1" t="str">
        <f t="array" ref="AP125:AP125">AP124</f>
        <v>0</v>
      </c>
      <c r="AQ125" s="679"/>
      <c r="AR125" s="679"/>
    </row>
    <row s="3922" customFormat="1" customHeight="1" ht="14.25" hidden="1">
      <c r="A126" s="1256"/>
      <c r="B126" s="417">
        <f>K126&lt;first_year+PERIOD_LENGTH</f>
        <v>0</v>
      </c>
      <c r="C126" s="1256"/>
      <c r="D126" s="1256"/>
      <c r="E126" s="679">
        <v>15</v>
      </c>
      <c r="F126" s="50" cm="1" t="str">
        <f t="array" ref="F126:F126">OFFSET(E126,-1,1)</f>
        <v>1</v>
      </c>
      <c r="G126" s="64" cm="1" t="str">
        <f t="array" ref="G126:G126">G125</f>
        <v>0</v>
      </c>
      <c r="H126" s="1256"/>
      <c r="I126" s="1256"/>
      <c r="J126" s="1256"/>
      <c r="K126" s="124">
        <f>first_year+43</f>
        <v>2069</v>
      </c>
      <c r="L126" s="1256"/>
      <c r="M126" s="1256"/>
      <c r="N126" s="1256"/>
      <c r="O126" s="1256"/>
      <c r="P126" s="1256"/>
      <c r="Q126" s="1256"/>
      <c r="R126" s="1256"/>
      <c r="S126" s="1256"/>
      <c r="T126" s="438" cm="1" t="str">
        <f t="array" ref="T126:T126">T125</f>
        <v>false</v>
      </c>
      <c r="U126" s="1256"/>
      <c r="V126" s="1256"/>
      <c r="W126" s="1256"/>
      <c r="X126" s="1511"/>
      <c r="Y126" s="1511"/>
      <c r="Z126" s="1494"/>
      <c r="AA126" s="1593"/>
      <c r="AB126" s="221" t="str">
        <f>K126&amp;" год"</f>
        <v>2069 год</v>
      </c>
      <c r="AC126" s="379"/>
      <c r="AD126" s="3872"/>
      <c r="AE126" s="3871"/>
      <c r="AF126" s="3871"/>
      <c r="AG126" s="3872"/>
      <c r="AH126" s="3871"/>
      <c r="AI126" s="3872"/>
      <c r="AJ126" s="3871"/>
      <c r="AK126" s="3873"/>
      <c r="AL126" s="374"/>
      <c r="AM126" s="1256"/>
      <c r="AN126" s="1041" cm="1" t="str">
        <f t="array" ref="AN126:AN126">K126</f>
        <v>2069</v>
      </c>
      <c r="AO126" s="1041" t="s">
        <v>2088</v>
      </c>
      <c r="AP126" s="1051" cm="1" t="str">
        <f t="array" ref="AP126:AP126">AP125</f>
        <v>0</v>
      </c>
      <c r="AQ126" s="679"/>
      <c r="AR126" s="679"/>
    </row>
    <row s="3923" customFormat="1" customHeight="1" ht="14.25" hidden="1">
      <c r="A127" s="1256"/>
      <c r="B127" s="417">
        <f>K127&lt;first_year+PERIOD_LENGTH</f>
        <v>0</v>
      </c>
      <c r="C127" s="1256"/>
      <c r="D127" s="1256"/>
      <c r="E127" s="679">
        <v>15</v>
      </c>
      <c r="F127" s="50" cm="1" t="str">
        <f t="array" ref="F127:F127">OFFSET(E127,-1,1)</f>
        <v>1</v>
      </c>
      <c r="G127" s="64" cm="1" t="str">
        <f t="array" ref="G127:G127">G126</f>
        <v>0</v>
      </c>
      <c r="H127" s="1256"/>
      <c r="I127" s="1256"/>
      <c r="J127" s="1256"/>
      <c r="K127" s="124">
        <f>first_year+44</f>
        <v>2070</v>
      </c>
      <c r="L127" s="1256"/>
      <c r="M127" s="1256"/>
      <c r="N127" s="1256"/>
      <c r="O127" s="1256"/>
      <c r="P127" s="1256"/>
      <c r="Q127" s="1256"/>
      <c r="R127" s="1256"/>
      <c r="S127" s="1256"/>
      <c r="T127" s="438" cm="1" t="str">
        <f t="array" ref="T127:T127">T126</f>
        <v>false</v>
      </c>
      <c r="U127" s="1256"/>
      <c r="V127" s="1256"/>
      <c r="W127" s="1256"/>
      <c r="X127" s="1511"/>
      <c r="Y127" s="1511"/>
      <c r="Z127" s="1494"/>
      <c r="AA127" s="1593"/>
      <c r="AB127" s="221" t="str">
        <f>K127&amp;" год"</f>
        <v>2070 год</v>
      </c>
      <c r="AC127" s="379"/>
      <c r="AD127" s="3872"/>
      <c r="AE127" s="3871"/>
      <c r="AF127" s="3871"/>
      <c r="AG127" s="3872"/>
      <c r="AH127" s="3871"/>
      <c r="AI127" s="3872"/>
      <c r="AJ127" s="3871"/>
      <c r="AK127" s="3873"/>
      <c r="AL127" s="374"/>
      <c r="AM127" s="1256"/>
      <c r="AN127" s="1041" cm="1" t="str">
        <f t="array" ref="AN127:AN127">K127</f>
        <v>2070</v>
      </c>
      <c r="AO127" s="1041" t="s">
        <v>2088</v>
      </c>
      <c r="AP127" s="1051" cm="1" t="str">
        <f t="array" ref="AP127:AP127">AP126</f>
        <v>0</v>
      </c>
      <c r="AQ127" s="679"/>
      <c r="AR127" s="679"/>
    </row>
    <row s="3924" customFormat="1" customHeight="1" ht="14.25" hidden="1">
      <c r="A128" s="1256"/>
      <c r="B128" s="417">
        <f>K128&lt;first_year+PERIOD_LENGTH</f>
        <v>0</v>
      </c>
      <c r="C128" s="1256"/>
      <c r="D128" s="1256"/>
      <c r="E128" s="679">
        <v>15</v>
      </c>
      <c r="F128" s="50" cm="1" t="str">
        <f t="array" ref="F128:F128">OFFSET(E128,-1,1)</f>
        <v>1</v>
      </c>
      <c r="G128" s="64" cm="1" t="str">
        <f t="array" ref="G128:G128">G127</f>
        <v>0</v>
      </c>
      <c r="H128" s="1256"/>
      <c r="I128" s="1256"/>
      <c r="J128" s="1256"/>
      <c r="K128" s="124">
        <f>first_year+45</f>
        <v>2071</v>
      </c>
      <c r="L128" s="1256"/>
      <c r="M128" s="1256"/>
      <c r="N128" s="1256"/>
      <c r="O128" s="1256"/>
      <c r="P128" s="1256"/>
      <c r="Q128" s="1256"/>
      <c r="R128" s="1256"/>
      <c r="S128" s="1256"/>
      <c r="T128" s="438" cm="1" t="str">
        <f t="array" ref="T128:T128">T127</f>
        <v>false</v>
      </c>
      <c r="U128" s="1256"/>
      <c r="V128" s="1256"/>
      <c r="W128" s="1256"/>
      <c r="X128" s="1511"/>
      <c r="Y128" s="1511"/>
      <c r="Z128" s="1494"/>
      <c r="AA128" s="1593"/>
      <c r="AB128" s="221" t="str">
        <f>K128&amp;" год"</f>
        <v>2071 год</v>
      </c>
      <c r="AC128" s="379"/>
      <c r="AD128" s="3872"/>
      <c r="AE128" s="3871"/>
      <c r="AF128" s="3871"/>
      <c r="AG128" s="3872"/>
      <c r="AH128" s="3871"/>
      <c r="AI128" s="3872"/>
      <c r="AJ128" s="3871"/>
      <c r="AK128" s="3873"/>
      <c r="AL128" s="374"/>
      <c r="AM128" s="1256"/>
      <c r="AN128" s="1041" cm="1" t="str">
        <f t="array" ref="AN128:AN128">K128</f>
        <v>2071</v>
      </c>
      <c r="AO128" s="1041" t="s">
        <v>2088</v>
      </c>
      <c r="AP128" s="1051" cm="1" t="str">
        <f t="array" ref="AP128:AP128">AP127</f>
        <v>0</v>
      </c>
      <c r="AQ128" s="679"/>
      <c r="AR128" s="679"/>
    </row>
    <row s="3925" customFormat="1" customHeight="1" ht="14.25" hidden="1">
      <c r="A129" s="1256"/>
      <c r="B129" s="417">
        <f>K129&lt;first_year+PERIOD_LENGTH</f>
        <v>0</v>
      </c>
      <c r="C129" s="1256"/>
      <c r="D129" s="1256"/>
      <c r="E129" s="679">
        <v>15</v>
      </c>
      <c r="F129" s="50" cm="1" t="str">
        <f t="array" ref="F129:F129">OFFSET(E129,-1,1)</f>
        <v>1</v>
      </c>
      <c r="G129" s="64" cm="1" t="str">
        <f t="array" ref="G129:G129">G128</f>
        <v>0</v>
      </c>
      <c r="H129" s="1256"/>
      <c r="I129" s="1256"/>
      <c r="J129" s="1256"/>
      <c r="K129" s="124">
        <f>first_year+46</f>
        <v>2072</v>
      </c>
      <c r="L129" s="1256"/>
      <c r="M129" s="1256"/>
      <c r="N129" s="1256"/>
      <c r="O129" s="1256"/>
      <c r="P129" s="1256"/>
      <c r="Q129" s="1256"/>
      <c r="R129" s="1256"/>
      <c r="S129" s="1256"/>
      <c r="T129" s="438" cm="1" t="str">
        <f t="array" ref="T129:T129">T128</f>
        <v>false</v>
      </c>
      <c r="U129" s="1256"/>
      <c r="V129" s="1256"/>
      <c r="W129" s="1256"/>
      <c r="X129" s="1511"/>
      <c r="Y129" s="1511"/>
      <c r="Z129" s="1494"/>
      <c r="AA129" s="1593"/>
      <c r="AB129" s="221" t="str">
        <f>K129&amp;" год"</f>
        <v>2072 год</v>
      </c>
      <c r="AC129" s="379"/>
      <c r="AD129" s="3872"/>
      <c r="AE129" s="3871"/>
      <c r="AF129" s="3871"/>
      <c r="AG129" s="3872"/>
      <c r="AH129" s="3871"/>
      <c r="AI129" s="3872"/>
      <c r="AJ129" s="3871"/>
      <c r="AK129" s="3873"/>
      <c r="AL129" s="374"/>
      <c r="AM129" s="1256"/>
      <c r="AN129" s="1041" cm="1" t="str">
        <f t="array" ref="AN129:AN129">K129</f>
        <v>2072</v>
      </c>
      <c r="AO129" s="1041" t="s">
        <v>2088</v>
      </c>
      <c r="AP129" s="1051" cm="1" t="str">
        <f t="array" ref="AP129:AP129">AP128</f>
        <v>0</v>
      </c>
      <c r="AQ129" s="679"/>
      <c r="AR129" s="679"/>
    </row>
    <row s="3926" customFormat="1" customHeight="1" ht="14.25" hidden="1">
      <c r="A130" s="1256"/>
      <c r="B130" s="417">
        <f>K130&lt;first_year+PERIOD_LENGTH</f>
        <v>0</v>
      </c>
      <c r="C130" s="1256"/>
      <c r="D130" s="1256"/>
      <c r="E130" s="679">
        <v>15</v>
      </c>
      <c r="F130" s="50" cm="1" t="str">
        <f t="array" ref="F130:F130">OFFSET(E130,-1,1)</f>
        <v>1</v>
      </c>
      <c r="G130" s="64" cm="1" t="str">
        <f t="array" ref="G130:G130">G129</f>
        <v>0</v>
      </c>
      <c r="H130" s="1256"/>
      <c r="I130" s="1256"/>
      <c r="J130" s="1256"/>
      <c r="K130" s="124">
        <f>first_year+47</f>
        <v>2073</v>
      </c>
      <c r="L130" s="1256"/>
      <c r="M130" s="1256"/>
      <c r="N130" s="1256"/>
      <c r="O130" s="1256"/>
      <c r="P130" s="1256"/>
      <c r="Q130" s="1256"/>
      <c r="R130" s="1256"/>
      <c r="S130" s="1256"/>
      <c r="T130" s="438" cm="1" t="str">
        <f t="array" ref="T130:T130">T129</f>
        <v>false</v>
      </c>
      <c r="U130" s="1256"/>
      <c r="V130" s="1256"/>
      <c r="W130" s="1256"/>
      <c r="X130" s="1511"/>
      <c r="Y130" s="1511"/>
      <c r="Z130" s="1494"/>
      <c r="AA130" s="1593"/>
      <c r="AB130" s="221" t="str">
        <f>K130&amp;" год"</f>
        <v>2073 год</v>
      </c>
      <c r="AC130" s="379"/>
      <c r="AD130" s="3872"/>
      <c r="AE130" s="3871"/>
      <c r="AF130" s="3871"/>
      <c r="AG130" s="3872"/>
      <c r="AH130" s="3871"/>
      <c r="AI130" s="3872"/>
      <c r="AJ130" s="3871"/>
      <c r="AK130" s="3873"/>
      <c r="AL130" s="374"/>
      <c r="AM130" s="1256"/>
      <c r="AN130" s="1041" cm="1" t="str">
        <f t="array" ref="AN130:AN130">K130</f>
        <v>2073</v>
      </c>
      <c r="AO130" s="1041" t="s">
        <v>2088</v>
      </c>
      <c r="AP130" s="1051" cm="1" t="str">
        <f t="array" ref="AP130:AP130">AP129</f>
        <v>0</v>
      </c>
      <c r="AQ130" s="679"/>
      <c r="AR130" s="679"/>
    </row>
    <row s="3927" customFormat="1" customHeight="1" ht="14.25" hidden="1">
      <c r="A131" s="1256"/>
      <c r="B131" s="417">
        <f>K131&lt;first_year+PERIOD_LENGTH</f>
        <v>0</v>
      </c>
      <c r="C131" s="1256"/>
      <c r="D131" s="1256"/>
      <c r="E131" s="679">
        <v>15</v>
      </c>
      <c r="F131" s="50" cm="1" t="str">
        <f t="array" ref="F131:F131">OFFSET(E131,-1,1)</f>
        <v>1</v>
      </c>
      <c r="G131" s="64" cm="1" t="str">
        <f t="array" ref="G131:G131">G130</f>
        <v>0</v>
      </c>
      <c r="H131" s="1256"/>
      <c r="I131" s="1256"/>
      <c r="J131" s="1256"/>
      <c r="K131" s="124">
        <f>first_year+48</f>
        <v>2074</v>
      </c>
      <c r="L131" s="1256"/>
      <c r="M131" s="1256"/>
      <c r="N131" s="1256"/>
      <c r="O131" s="1256"/>
      <c r="P131" s="1256"/>
      <c r="Q131" s="1256"/>
      <c r="R131" s="1256"/>
      <c r="S131" s="1256"/>
      <c r="T131" s="438" cm="1" t="str">
        <f t="array" ref="T131:T131">T130</f>
        <v>false</v>
      </c>
      <c r="U131" s="1256"/>
      <c r="V131" s="1256"/>
      <c r="W131" s="1256"/>
      <c r="X131" s="1511"/>
      <c r="Y131" s="1511"/>
      <c r="Z131" s="1494"/>
      <c r="AA131" s="1593"/>
      <c r="AB131" s="221" t="str">
        <f>K131&amp;" год"</f>
        <v>2074 год</v>
      </c>
      <c r="AC131" s="379"/>
      <c r="AD131" s="3872"/>
      <c r="AE131" s="3871"/>
      <c r="AF131" s="3871"/>
      <c r="AG131" s="3872"/>
      <c r="AH131" s="3871"/>
      <c r="AI131" s="3872"/>
      <c r="AJ131" s="3871"/>
      <c r="AK131" s="3873"/>
      <c r="AL131" s="374"/>
      <c r="AM131" s="1256"/>
      <c r="AN131" s="1041" cm="1" t="str">
        <f t="array" ref="AN131:AN131">K131</f>
        <v>2074</v>
      </c>
      <c r="AO131" s="1041" t="s">
        <v>2088</v>
      </c>
      <c r="AP131" s="1051" cm="1" t="str">
        <f t="array" ref="AP131:AP131">AP130</f>
        <v>0</v>
      </c>
      <c r="AQ131" s="679"/>
      <c r="AR131" s="679"/>
    </row>
    <row s="3928" customFormat="1" customHeight="1" ht="14.25" hidden="1">
      <c r="A132" s="1256"/>
      <c r="B132" s="417">
        <f>K132&lt;first_year+PERIOD_LENGTH</f>
        <v>0</v>
      </c>
      <c r="C132" s="1256"/>
      <c r="D132" s="1256"/>
      <c r="E132" s="679">
        <v>15</v>
      </c>
      <c r="F132" s="50" cm="1" t="str">
        <f t="array" ref="F132:F132">OFFSET(E132,-1,1)</f>
        <v>1</v>
      </c>
      <c r="G132" s="64" cm="1" t="str">
        <f t="array" ref="G132:G132">G131</f>
        <v>0</v>
      </c>
      <c r="H132" s="1256"/>
      <c r="I132" s="1256"/>
      <c r="J132" s="1256"/>
      <c r="K132" s="124">
        <f>first_year+49</f>
        <v>2075</v>
      </c>
      <c r="L132" s="1256"/>
      <c r="M132" s="1256"/>
      <c r="N132" s="1256"/>
      <c r="O132" s="1256"/>
      <c r="P132" s="1256"/>
      <c r="Q132" s="1256"/>
      <c r="R132" s="1256"/>
      <c r="S132" s="1256"/>
      <c r="T132" s="438" cm="1" t="str">
        <f t="array" ref="T132:T132">T131</f>
        <v>false</v>
      </c>
      <c r="U132" s="1256"/>
      <c r="V132" s="1256"/>
      <c r="W132" s="1256"/>
      <c r="X132" s="1511"/>
      <c r="Y132" s="1511"/>
      <c r="Z132" s="1494"/>
      <c r="AA132" s="1593"/>
      <c r="AB132" s="221" t="str">
        <f>K132&amp;" год"</f>
        <v>2075 год</v>
      </c>
      <c r="AC132" s="379"/>
      <c r="AD132" s="3872"/>
      <c r="AE132" s="3871"/>
      <c r="AF132" s="3871"/>
      <c r="AG132" s="3872"/>
      <c r="AH132" s="3871"/>
      <c r="AI132" s="3872"/>
      <c r="AJ132" s="3871"/>
      <c r="AK132" s="3873"/>
      <c r="AL132" s="374"/>
      <c r="AM132" s="1256"/>
      <c r="AN132" s="1041" cm="1" t="str">
        <f t="array" ref="AN132:AN132">K132</f>
        <v>2075</v>
      </c>
      <c r="AO132" s="1041" t="s">
        <v>2088</v>
      </c>
      <c r="AP132" s="1051" cm="1" t="str">
        <f t="array" ref="AP132:AP132">AP131</f>
        <v>0</v>
      </c>
      <c r="AQ132" s="679"/>
      <c r="AR132" s="679"/>
    </row>
    <row s="1624" customFormat="1" customHeight="1" ht="14.25">
      <c r="A133" s="124"/>
      <c r="B133" s="404"/>
      <c r="C133" s="124"/>
      <c r="D133" s="124"/>
      <c r="E133" s="679">
        <v>15</v>
      </c>
      <c r="F133" s="1153" cm="1" t="str">
        <f t="array" ref="F133:F133">OFFSET(E133,-1,1)</f>
        <v>1</v>
      </c>
      <c r="G133" s="124" t="str">
        <f>"!== 'не определено'"</f>
        <v>!== 'не определено'</v>
      </c>
      <c r="H133" s="124"/>
      <c r="I133" s="124"/>
      <c r="J133" s="124"/>
      <c r="K133" s="124"/>
      <c r="L133" s="124"/>
      <c r="M133" s="124"/>
      <c r="N133" s="124"/>
      <c r="O133" s="124"/>
      <c r="P133" s="124"/>
      <c r="Q133" s="124"/>
      <c r="R133" s="124"/>
      <c r="S133" s="124"/>
      <c r="T133" s="438">
        <f>F133&gt;0</f>
        <v>1</v>
      </c>
      <c r="U133" s="124"/>
      <c r="V133" s="124"/>
      <c r="W133" s="805" t="s">
        <v>2089</v>
      </c>
      <c r="X133" s="1511"/>
      <c r="Y133" s="124"/>
      <c r="Z133" s="1494"/>
      <c r="AA133" s="124"/>
      <c r="AB133" s="914" t="s">
        <v>176</v>
      </c>
      <c r="AC133" s="270"/>
      <c r="AD133" s="270"/>
      <c r="AE133" s="270"/>
      <c r="AF133" s="270"/>
      <c r="AG133" s="270"/>
      <c r="AH133" s="270"/>
      <c r="AI133" s="270"/>
      <c r="AJ133" s="270"/>
      <c r="AK133" s="270"/>
      <c r="AL133" s="374"/>
      <c r="AM133" s="1624"/>
      <c r="AN133" s="981"/>
      <c r="AO133" s="981"/>
      <c r="AP133" s="981"/>
      <c r="AQ133" s="984" t="s">
        <v>2088</v>
      </c>
      <c r="AR133" s="599"/>
    </row>
    <row customHeight="1" ht="10.96875">
      <c r="E134" s="679">
        <v>11.25</v>
      </c>
      <c r="U134" s="672" t="s">
        <v>176</v>
      </c>
      <c r="V134" s="685" t="s">
        <v>2090</v>
      </c>
      <c r="AH134" s="1282"/>
      <c r="AI134" s="1282"/>
      <c r="AJ134" s="1282"/>
      <c r="AK134" s="1282"/>
      <c r="AN134" s="983"/>
      <c r="AO134" s="983"/>
      <c r="AP134" s="983"/>
      <c r="AQ134" s="651"/>
      <c r="AR134" s="651"/>
    </row>
    <row customHeight="1" ht="14.625">
      <c r="E135" s="607">
        <v>15</v>
      </c>
      <c r="AB135" s="1514" t="s">
        <v>392</v>
      </c>
      <c r="AC135" s="1514"/>
      <c r="AD135" s="1514"/>
      <c r="AE135" s="1514"/>
      <c r="AF135" s="1514"/>
      <c r="AG135" s="1514"/>
      <c r="AH135" s="1514"/>
      <c r="AI135" s="1514"/>
      <c r="AJ135" s="1514"/>
      <c r="AK135" s="1514"/>
    </row>
    <row customHeight="1" ht="14.625">
      <c r="E136" s="607">
        <v>15</v>
      </c>
      <c r="AA136" s="637"/>
      <c r="AB136" s="1589"/>
      <c r="AC136" s="1589"/>
      <c r="AD136" s="1589"/>
      <c r="AE136" s="1589"/>
      <c r="AF136" s="1589"/>
      <c r="AG136" s="1589"/>
      <c r="AH136" s="3860"/>
      <c r="AI136" s="3860"/>
      <c r="AJ136" s="3860"/>
      <c r="AK136" s="3860"/>
    </row>
    <row customHeight="1" ht="14.625" hidden="1">
      <c r="A137" s="1282"/>
      <c r="B137" s="1389"/>
      <c r="C137" s="1282"/>
      <c r="D137" s="1282"/>
      <c r="E137" s="607">
        <v>15</v>
      </c>
      <c r="F137" s="1282"/>
      <c r="G137" s="1282"/>
      <c r="H137" s="1282"/>
      <c r="I137" s="1282"/>
      <c r="J137" s="1282"/>
      <c r="K137" s="1282"/>
      <c r="L137" s="1282"/>
      <c r="M137" s="1282"/>
      <c r="N137" s="1282"/>
      <c r="O137" s="1282"/>
      <c r="P137" s="1282"/>
      <c r="Q137" s="1282"/>
      <c r="R137" s="1282"/>
      <c r="S137" s="1282"/>
      <c r="T137" s="64">
        <f>ROW(W137)&gt;ROW(W$137)</f>
        <v>0</v>
      </c>
      <c r="U137" s="1282"/>
      <c r="V137" s="1282"/>
      <c r="W137" s="64" t="s">
        <v>172</v>
      </c>
      <c r="X137" s="1282"/>
      <c r="Y137" s="1282"/>
      <c r="Z137" s="1282"/>
      <c r="AA137" s="392" t="s">
        <v>173</v>
      </c>
      <c r="AB137" s="3860" t="s">
        <v>228</v>
      </c>
      <c r="AC137" s="3860"/>
      <c r="AD137" s="3860"/>
      <c r="AE137" s="3860"/>
      <c r="AF137" s="3860"/>
      <c r="AG137" s="3860"/>
      <c r="AH137" s="3860"/>
      <c r="AI137" s="3860"/>
      <c r="AJ137" s="3860"/>
      <c r="AK137" s="3939"/>
      <c r="AL137" s="1282"/>
      <c r="AM137" s="1282"/>
      <c r="AN137" s="1284"/>
      <c r="AO137" s="1284"/>
      <c r="AP137" s="1284"/>
      <c r="AQ137" s="1283"/>
      <c r="AR137" s="1283"/>
    </row>
    <row customHeight="1" ht="14.625">
      <c r="E138" s="607">
        <v>15</v>
      </c>
      <c r="W138" s="805" t="s">
        <v>396</v>
      </c>
      <c r="AB138" s="623"/>
      <c r="AC138" s="487" t="s">
        <v>397</v>
      </c>
      <c r="AD138" s="279"/>
      <c r="AE138" s="279"/>
      <c r="AF138" s="279"/>
      <c r="AG138" s="279"/>
      <c r="AH138" s="279"/>
      <c r="AI138" s="279"/>
      <c r="AJ138" s="279"/>
      <c r="AK138" s="686"/>
    </row>
    <row customHeight="1" ht="10.725000000000001">
      <c r="E139" s="607">
        <v>11</v>
      </c>
      <c r="AH139" s="1282"/>
      <c r="AI139" s="1282"/>
      <c r="AJ139" s="1282"/>
      <c r="AK139" s="1282"/>
      <c r="AL139" s="398"/>
    </row>
  </sheetData>
  <sheetProtection formatColumns="0" formatRows="0" insertRows="0" deleteColumns="0" deleteRows="0" sort="0" autoFilter="0" insertColumns="1"/>
  <mergeCells count="18">
    <mergeCell ref="AB136:AK136"/>
    <mergeCell ref="AB135:AK135"/>
    <mergeCell ref="AB137:AK137"/>
    <mergeCell ref="AB24:AB26"/>
    <mergeCell ref="AC24:AC25"/>
    <mergeCell ref="AD24:AD25"/>
    <mergeCell ref="AE24:AE25"/>
    <mergeCell ref="AF24:AK24"/>
    <mergeCell ref="X28:X80"/>
    <mergeCell ref="Z28:Z80"/>
    <mergeCell ref="Y29:Y79"/>
    <mergeCell ref="AA29:AA79"/>
    <mergeCell ref="AB29:AK29"/>
    <mergeCell ref="X81:X133"/>
    <mergeCell ref="Z81:Z133"/>
    <mergeCell ref="Y82:Y132"/>
    <mergeCell ref="AA82:AA132"/>
    <mergeCell ref="AB82:AK82"/>
  </mergeCells>
  <dataValidations count="1">
    <dataValidation type="decimal" allowBlank="1" showErrorMessage="1" errorTitle="Ошибка" error="Допускается ввод только неотрицательных чисел!" sqref="AK30:AK80 AK83:AK133 AJ30:AJ80 AJ83:AJ133 AI30:AI80 AI83:AI133 AH30:AH80 AH83:AH133 AG30:AG80 AG83:AG133 AF30:AF80 AF83:AF133 AE30:AE80 AE83:AE133 AD30:AD80 AD83:AD133 AC30:AC80 AC83:AC133">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32F998-5A11-EB78-D7BE-16F943D127FE}" mc:Ignorable="x14ac xr xr2 xr3">
  <sheetPr>
    <tabColor rgb="FF002060"/>
    <outlinePr summaryRight="0" summaryBelow="0"/>
    <pageSetUpPr fitToPage="1"/>
  </sheetPr>
  <dimension ref="A1:AP239"/>
  <sheetViews>
    <sheetView showGridLines="0" zoomScale="120" workbookViewId="0">
      <pane xSplit="30" ySplit="25" topLeftCell="AE184" activePane="bottomRight" state="frozen"/>
      <selection pane="bottomLeft" activeCell="A26" sqref="A26"/>
      <selection pane="topRight" activeCell="AE1" sqref="AE1"/>
      <selection pane="bottomRight" activeCell="AA219" sqref="AA219"/>
    </sheetView>
  </sheetViews>
  <sheetFormatPr defaultColWidth="8.7109375" customHeight="1" defaultRowHeight="11.25"/>
  <cols>
    <col min="1" max="1" style="643" width="5.140625" hidden="1" customWidth="1"/>
    <col min="2" max="2" style="1412" width="9.28125" hidden="1" customWidth="1"/>
    <col min="3" max="3" style="1412" width="5.140625" hidden="1" customWidth="1"/>
    <col min="4" max="4" style="1412" width="2.7109375" hidden="1" customWidth="1"/>
    <col min="5" max="5" style="1372" width="5.7109375" hidden="1" customWidth="1"/>
    <col min="6" max="6" style="1412" width="2.7109375" hidden="1" customWidth="1"/>
    <col min="7" max="7" style="1412" width="7.57421875" hidden="1" customWidth="1"/>
    <col min="8" max="9" style="1412" width="2.7109375" hidden="1" customWidth="1"/>
    <col min="10" max="10" style="1412" width="8.140625" hidden="1" customWidth="1"/>
    <col min="11" max="18" style="1412" width="2.7109375" hidden="1" customWidth="1"/>
    <col min="19" max="19" style="1412" width="4.421875" hidden="1" customWidth="1"/>
    <col min="20" max="20" style="1412" width="9.140625" hidden="1" customWidth="1"/>
    <col min="21" max="21" style="1412" width="5.8515625" hidden="1" customWidth="1"/>
    <col min="22" max="23" style="1412" width="6.140625" hidden="1" customWidth="1"/>
    <col min="24" max="25" style="1412" width="5.57421875" hidden="1" customWidth="1"/>
    <col min="26" max="26" style="1412" width="5.28125" hidden="1" customWidth="1"/>
    <col min="27" max="27" style="1412" width="3.00390625" customWidth="1"/>
    <col min="28" max="28" style="1412" width="11.00390625" customWidth="1"/>
    <col min="29" max="29" style="1412" width="85.59375" customWidth="1"/>
    <col min="30" max="30" style="1542" width="11.00390625" customWidth="1"/>
    <col min="31" max="31" style="1542" width="38.8125" customWidth="1"/>
    <col min="32" max="32" style="1395" width="8.7109375"/>
    <col min="33" max="33" style="1395" width="8.7109375" hidden="1"/>
    <col min="34" max="36" style="1267" width="8.7109375" hidden="1"/>
    <col min="37" max="38" style="1397" width="8.7109375" hidden="1"/>
    <col min="39" max="42" width="8.7109375" hidden="1"/>
  </cols>
  <sheetData>
    <row customHeight="1" ht="11.25" hidden="1">
      <c r="E1" s="461"/>
      <c r="F1" s="461" t="s">
        <v>309</v>
      </c>
      <c r="H1" s="461" t="s">
        <v>320</v>
      </c>
      <c r="I1" s="461" t="s">
        <v>346</v>
      </c>
      <c r="T1" s="438" t="s">
        <v>92</v>
      </c>
      <c r="U1" s="438" t="s">
        <v>97</v>
      </c>
      <c r="V1" s="438" t="s">
        <v>93</v>
      </c>
      <c r="W1" s="438" t="s">
        <v>94</v>
      </c>
      <c r="X1" s="438" t="s">
        <v>95</v>
      </c>
      <c r="Y1" s="440" t="s">
        <v>311</v>
      </c>
      <c r="Z1" s="438" t="s">
        <v>99</v>
      </c>
      <c r="AA1" s="440" t="s">
        <v>96</v>
      </c>
      <c r="AB1" s="387"/>
      <c r="AC1" s="439" t="s">
        <v>98</v>
      </c>
      <c r="AH1" s="978" t="s">
        <v>312</v>
      </c>
      <c r="AI1" s="978" t="s">
        <v>313</v>
      </c>
      <c r="AJ1" s="978" t="s">
        <v>314</v>
      </c>
      <c r="AK1" s="632" t="s">
        <v>317</v>
      </c>
      <c r="AL1" s="632" t="s">
        <v>318</v>
      </c>
    </row>
    <row customHeight="1" ht="11.25" hidden="1">
      <c r="B2" s="1243" t="s">
        <v>18</v>
      </c>
      <c r="E2" s="461"/>
    </row>
    <row customHeight="1" ht="11.25" hidden="1">
      <c r="E3" s="461"/>
    </row>
    <row customHeight="1" ht="11.25" hidden="1">
      <c r="E4" s="461"/>
    </row>
    <row s="1372" customFormat="1" customHeight="1" ht="11.25" hidden="1">
      <c r="A5" s="643"/>
      <c r="B5" s="461"/>
      <c r="C5" s="461"/>
      <c r="D5" s="461"/>
      <c r="E5" s="625" t="s">
        <v>19</v>
      </c>
      <c r="AA5" s="625">
        <v>3</v>
      </c>
      <c r="AB5" s="625">
        <v>11</v>
      </c>
      <c r="AC5" s="625">
        <v>58</v>
      </c>
      <c r="AD5" s="627">
        <v>11</v>
      </c>
      <c r="AE5" s="627">
        <v>18.29</v>
      </c>
      <c r="AF5" s="632" t="s">
        <v>319</v>
      </c>
      <c r="AG5" s="632"/>
      <c r="AH5" s="978"/>
      <c r="AI5" s="978"/>
      <c r="AJ5" s="978"/>
      <c r="AK5" s="632"/>
      <c r="AL5" s="632"/>
      <c r="AM5" s="651"/>
      <c r="AN5" s="651"/>
      <c r="AO5" s="651"/>
      <c r="AP5" s="651"/>
    </row>
    <row customHeight="1" ht="13.5" hidden="1">
      <c r="A6" s="643" t="s">
        <v>349</v>
      </c>
      <c r="AE6" s="528">
        <f>god-2</f>
        <v>2024</v>
      </c>
    </row>
    <row customHeight="1" ht="11.25" hidden="1">
      <c r="AE7" s="528"/>
    </row>
    <row customHeight="1" ht="11.25" hidden="1">
      <c r="AE8" s="528"/>
    </row>
    <row customHeight="1" ht="11.25" hidden="1">
      <c r="AE9" s="528" cm="1" t="str">
        <f t="array" ref="AE9:AE9">god</f>
        <v>2026</v>
      </c>
    </row>
    <row s="1377" customFormat="1" customHeight="1" ht="11.25" hidden="1">
      <c r="A10" s="1052" t="s">
        <v>327</v>
      </c>
      <c r="AC10" s="1002" t="s">
        <v>314</v>
      </c>
      <c r="AD10" s="1003"/>
      <c r="AE10" s="1053"/>
      <c r="AF10" s="978"/>
      <c r="AG10" s="978"/>
      <c r="AH10" s="978"/>
      <c r="AI10" s="978"/>
      <c r="AJ10" s="978"/>
      <c r="AK10" s="632"/>
      <c r="AL10" s="632"/>
      <c r="AM10" s="983"/>
      <c r="AN10" s="983"/>
      <c r="AO10" s="983"/>
      <c r="AP10" s="983"/>
    </row>
    <row customHeight="1" ht="11.25" hidden="1">
      <c r="AE11" s="528"/>
    </row>
    <row customHeight="1" ht="11.25" hidden="1">
      <c r="AE12" s="528"/>
    </row>
    <row customHeight="1" ht="11.25" hidden="1">
      <c r="AE13" s="528"/>
    </row>
    <row customHeight="1" ht="11.25" hidden="1">
      <c r="AE14" s="528"/>
    </row>
    <row customHeight="1" ht="11.25" hidden="1">
      <c r="AE15" s="528"/>
    </row>
    <row customHeight="1" ht="11.25" hidden="1">
      <c r="AE16" s="528"/>
    </row>
    <row customHeight="1" ht="11.25" hidden="1">
      <c r="AE17" s="490"/>
    </row>
    <row customHeight="1" ht="11.25" hidden="1">
      <c r="A18" s="643" t="s">
        <v>357</v>
      </c>
      <c r="AC18" s="461" t="s">
        <v>197</v>
      </c>
    </row>
    <row customHeight="1" ht="11.25" hidden="1"/>
    <row customHeight="1" ht="11.25" hidden="1"/>
    <row customHeight="1" ht="14.625">
      <c r="E21" s="625">
        <v>15</v>
      </c>
      <c r="AA21" s="461"/>
      <c r="AC21" s="496" cm="1" t="str">
        <f t="array" ref="AC21:AC21">tpl_title</f>
        <v>Кемеровская область / 2026 / ОАО «СКЭК» (ИНН:4205153492, КПП:420501001) / ДПР: 2026-2026</v>
      </c>
    </row>
    <row customHeight="1" ht="23.83462905883789">
      <c r="E22" s="625">
        <v>45</v>
      </c>
      <c r="AB22" s="1602"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 Калькуляция расходов гарантирующей организации ()</v>
      </c>
      <c r="AC22" s="1603"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 Калькуляция расходов гарантирующей организации ()</v>
      </c>
      <c r="AD22" s="1604"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 Калькуляция расходов гарантирующей организации ()</v>
      </c>
      <c r="AE22" s="1603"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 Калькуляция расходов гарантирующей организации ()</v>
      </c>
    </row>
    <row customHeight="1" ht="10.96875">
      <c r="E23" s="625">
        <v>11.25</v>
      </c>
      <c r="AB23" s="1526"/>
      <c r="AC23" s="1526"/>
      <c r="AD23" s="1526"/>
      <c r="AE23" s="1526"/>
    </row>
    <row customHeight="1" ht="14.625">
      <c r="E24" s="625">
        <v>15</v>
      </c>
      <c r="AB24" s="1522" t="s">
        <v>758</v>
      </c>
      <c r="AC24" s="1553" t="s">
        <v>197</v>
      </c>
      <c r="AD24" s="1522" t="s">
        <v>359</v>
      </c>
      <c r="AE24" s="1308" t="str">
        <f>god-2&amp;" год"</f>
        <v>2024 год</v>
      </c>
    </row>
    <row customHeight="1" ht="25.08462905883789">
      <c r="E25" s="625">
        <v>50</v>
      </c>
      <c r="AB25" s="1522"/>
      <c r="AC25" s="1553"/>
      <c r="AD25" s="1550"/>
      <c r="AE25" s="529" t="s">
        <v>2091</v>
      </c>
    </row>
    <row customHeight="1" ht="11.25" hidden="1">
      <c r="E26" s="625">
        <v>0</v>
      </c>
      <c r="AB26" s="698"/>
      <c r="AC26" s="697"/>
      <c r="AD26" s="698"/>
      <c r="AE26" s="704"/>
    </row>
    <row customHeight="1" ht="14.625" hidden="1">
      <c r="A27" s="643"/>
      <c r="B27" s="1412"/>
      <c r="C27" s="1412"/>
      <c r="D27" s="1412"/>
      <c r="E27" s="625">
        <v>15</v>
      </c>
      <c r="F27" s="812" cm="1" t="str">
        <f t="array" ref="F27:F27">X27</f>
        <v>0</v>
      </c>
      <c r="G27" s="461" t="s">
        <v>769</v>
      </c>
      <c r="H27" s="1412"/>
      <c r="I27" s="1412"/>
      <c r="J27" s="1412"/>
      <c r="K27" s="1412"/>
      <c r="L27" s="1412"/>
      <c r="M27" s="1412"/>
      <c r="N27" s="1412"/>
      <c r="O27" s="1412"/>
      <c r="P27" s="1412"/>
      <c r="Q27" s="1412"/>
      <c r="R27" s="1412"/>
      <c r="S27" s="1412"/>
      <c r="T27" s="438">
        <f>X27&gt;0</f>
        <v>0</v>
      </c>
      <c r="U27" s="1412"/>
      <c r="V27" s="461" t="s">
        <v>267</v>
      </c>
      <c r="W27" s="1412"/>
      <c r="X27" s="1541">
        <v>0</v>
      </c>
      <c r="Y27" s="1412"/>
      <c r="Z27" s="1542"/>
      <c r="AA27" s="1412"/>
      <c r="AB27" s="188" cm="1" t="str">
        <f t="array" ref="AB27:AB27">INDEX('Общие сведения'!$AG$179:$AG$208,MATCH($X27,'Общие сведения'!$Z$179:$Z$208,0))</f>
        <v>Тариф 0 () - тариф на транспортировку сточных вод</v>
      </c>
      <c r="AC27" s="146"/>
      <c r="AD27" s="140"/>
      <c r="AE27" s="1244">
        <f>AE28+AE78+AE115</f>
        <v>0</v>
      </c>
      <c r="AF27" s="1395"/>
      <c r="AG27" s="1395"/>
      <c r="AH27" s="1267"/>
      <c r="AI27" s="1267"/>
      <c r="AJ27" s="1267"/>
      <c r="AK27" s="1397"/>
      <c r="AL27" s="1397"/>
      <c r="AM27" s="3943"/>
      <c r="AN27" s="3943"/>
      <c r="AO27" s="3943"/>
      <c r="AP27" s="3943"/>
    </row>
    <row customHeight="1" ht="14.625" hidden="1">
      <c r="A28" s="643"/>
      <c r="B28" s="1412"/>
      <c r="C28" s="1412"/>
      <c r="D28" s="1412"/>
      <c r="E28" s="625">
        <v>15</v>
      </c>
      <c r="F28" s="50" cm="1" t="str">
        <f t="array" ref="F28:F28">OFFSET(E28,-1,1)</f>
        <v>0</v>
      </c>
      <c r="G28" s="1412"/>
      <c r="H28" s="461" t="s">
        <v>321</v>
      </c>
      <c r="I28" s="1412"/>
      <c r="J28" s="1412"/>
      <c r="K28" s="1412"/>
      <c r="L28" s="1412"/>
      <c r="M28" s="1412"/>
      <c r="N28" s="1412"/>
      <c r="O28" s="1412"/>
      <c r="P28" s="1412"/>
      <c r="Q28" s="1412"/>
      <c r="R28" s="1412"/>
      <c r="S28" s="1412"/>
      <c r="T28" s="438" cm="1" t="str">
        <f t="array" ref="T28:T28">T27</f>
        <v>false</v>
      </c>
      <c r="U28" s="1412"/>
      <c r="V28" s="1412"/>
      <c r="W28" s="1412"/>
      <c r="X28" s="1541"/>
      <c r="Y28" s="1412"/>
      <c r="Z28" s="1542"/>
      <c r="AA28" s="1412"/>
      <c r="AB28" s="1245" t="s">
        <v>281</v>
      </c>
      <c r="AC28" s="1246" t="s">
        <v>1780</v>
      </c>
      <c r="AD28" s="1247" t="s">
        <v>789</v>
      </c>
      <c r="AE28" s="1309">
        <f>AE29+AE47+AE55+AE75</f>
        <v>0</v>
      </c>
      <c r="AF28" s="1395"/>
      <c r="AG28" s="1395"/>
      <c r="AH28" s="978" t="s">
        <v>497</v>
      </c>
      <c r="AI28" s="1267"/>
      <c r="AJ28" s="1267"/>
      <c r="AK28" s="1397"/>
      <c r="AL28" s="1397"/>
      <c r="AM28" s="3943"/>
      <c r="AN28" s="3943"/>
      <c r="AO28" s="3943"/>
      <c r="AP28" s="3943"/>
    </row>
    <row customHeight="1" ht="14.625" hidden="1">
      <c r="A29" s="643"/>
      <c r="B29" s="1412"/>
      <c r="C29" s="1412"/>
      <c r="D29" s="1412"/>
      <c r="E29" s="625">
        <v>15</v>
      </c>
      <c r="F29" s="50" cm="1" t="str">
        <f t="array" ref="F29:F29">OFFSET(E29,-1,1)</f>
        <v>0</v>
      </c>
      <c r="G29" s="1412"/>
      <c r="H29" s="461" t="s">
        <v>434</v>
      </c>
      <c r="I29" s="1412"/>
      <c r="J29" s="1412"/>
      <c r="K29" s="1412"/>
      <c r="L29" s="1412"/>
      <c r="M29" s="1412"/>
      <c r="N29" s="1412"/>
      <c r="O29" s="1412"/>
      <c r="P29" s="1412"/>
      <c r="Q29" s="1412"/>
      <c r="R29" s="1412"/>
      <c r="S29" s="1412"/>
      <c r="T29" s="438" cm="1" t="str">
        <f t="array" ref="T29:T29">T28</f>
        <v>false</v>
      </c>
      <c r="U29" s="1412"/>
      <c r="V29" s="1412"/>
      <c r="W29" s="1412"/>
      <c r="X29" s="1541"/>
      <c r="Y29" s="1412"/>
      <c r="Z29" s="1542"/>
      <c r="AA29" s="1412"/>
      <c r="AB29" s="1248" t="s">
        <v>844</v>
      </c>
      <c r="AC29" s="1249" t="s">
        <v>1568</v>
      </c>
      <c r="AD29" s="1250" t="s">
        <v>789</v>
      </c>
      <c r="AE29" s="530">
        <f>AE30+AE31+AE32+AE37+AE38+AE39</f>
        <v>0</v>
      </c>
      <c r="AF29" s="1395"/>
      <c r="AG29" s="1395"/>
      <c r="AH29" s="978" t="s">
        <v>1035</v>
      </c>
      <c r="AI29" s="1267"/>
      <c r="AJ29" s="1267"/>
      <c r="AK29" s="1397"/>
      <c r="AL29" s="1397"/>
      <c r="AM29" s="3943"/>
      <c r="AN29" s="3943"/>
      <c r="AO29" s="3943"/>
      <c r="AP29" s="3943"/>
    </row>
    <row customHeight="1" ht="14.625" hidden="1">
      <c r="A30" s="643"/>
      <c r="B30" s="1412"/>
      <c r="C30" s="1412"/>
      <c r="D30" s="1412"/>
      <c r="E30" s="625">
        <v>15</v>
      </c>
      <c r="F30" s="50" cm="1" t="str">
        <f t="array" ref="F30:F30">OFFSET(E30,-1,1)</f>
        <v>0</v>
      </c>
      <c r="G30" s="1412"/>
      <c r="H30" s="461" t="s">
        <v>947</v>
      </c>
      <c r="I30" s="1412"/>
      <c r="J30" s="1412"/>
      <c r="K30" s="1412"/>
      <c r="L30" s="1412"/>
      <c r="M30" s="1412"/>
      <c r="N30" s="1412"/>
      <c r="O30" s="1412"/>
      <c r="P30" s="1412"/>
      <c r="Q30" s="1412"/>
      <c r="R30" s="1412"/>
      <c r="S30" s="1412"/>
      <c r="T30" s="438" cm="1" t="str">
        <f t="array" ref="T30:T30">T29</f>
        <v>false</v>
      </c>
      <c r="U30" s="1412"/>
      <c r="V30" s="1412"/>
      <c r="W30" s="1412"/>
      <c r="X30" s="1541"/>
      <c r="Y30" s="1412"/>
      <c r="Z30" s="1542"/>
      <c r="AA30" s="1412"/>
      <c r="AB30" s="690" t="s">
        <v>948</v>
      </c>
      <c r="AC30" s="1251" t="s">
        <v>2092</v>
      </c>
      <c r="AD30" s="521" t="s">
        <v>789</v>
      </c>
      <c r="AE30" s="3955"/>
      <c r="AF30" s="1395"/>
      <c r="AG30" s="1395"/>
      <c r="AH30" s="978" t="s">
        <v>1131</v>
      </c>
      <c r="AI30" s="1267"/>
      <c r="AJ30" s="1267"/>
      <c r="AK30" s="1397"/>
      <c r="AL30" s="1397"/>
      <c r="AM30" s="3943"/>
      <c r="AN30" s="3943"/>
      <c r="AO30" s="3943"/>
      <c r="AP30" s="3943"/>
    </row>
    <row customHeight="1" ht="21.9375" hidden="1">
      <c r="A31" s="643"/>
      <c r="B31" s="1412"/>
      <c r="C31" s="1412"/>
      <c r="D31" s="1412"/>
      <c r="E31" s="625">
        <v>22.5</v>
      </c>
      <c r="F31" s="50" cm="1" t="str">
        <f t="array" ref="F31:F31">OFFSET(E31,-1,1)</f>
        <v>0</v>
      </c>
      <c r="G31" s="1412"/>
      <c r="H31" s="461" t="s">
        <v>951</v>
      </c>
      <c r="I31" s="1412"/>
      <c r="J31" s="1412"/>
      <c r="K31" s="1412"/>
      <c r="L31" s="1412"/>
      <c r="M31" s="1412"/>
      <c r="N31" s="1412"/>
      <c r="O31" s="1412"/>
      <c r="P31" s="1412"/>
      <c r="Q31" s="1412"/>
      <c r="R31" s="1412"/>
      <c r="S31" s="1412"/>
      <c r="T31" s="438" cm="1" t="str">
        <f t="array" ref="T31:T31">T30</f>
        <v>false</v>
      </c>
      <c r="U31" s="1412"/>
      <c r="V31" s="1412"/>
      <c r="W31" s="1412"/>
      <c r="X31" s="1541"/>
      <c r="Y31" s="1412"/>
      <c r="Z31" s="1542"/>
      <c r="AA31" s="1412"/>
      <c r="AB31" s="690" t="s">
        <v>952</v>
      </c>
      <c r="AC31" s="522" t="s">
        <v>1788</v>
      </c>
      <c r="AD31" s="521" t="s">
        <v>789</v>
      </c>
      <c r="AE31" s="3955"/>
      <c r="AF31" s="1395"/>
      <c r="AG31" s="1395"/>
      <c r="AH31" s="978" t="s">
        <v>1601</v>
      </c>
      <c r="AI31" s="1267"/>
      <c r="AJ31" s="1267"/>
      <c r="AK31" s="1397"/>
      <c r="AL31" s="1397"/>
      <c r="AM31" s="3943"/>
      <c r="AN31" s="3943"/>
      <c r="AO31" s="3943"/>
      <c r="AP31" s="3943"/>
    </row>
    <row customHeight="1" ht="32.90625" hidden="1">
      <c r="A32" s="643"/>
      <c r="B32" s="1412"/>
      <c r="C32" s="1412"/>
      <c r="D32" s="1412"/>
      <c r="E32" s="625">
        <v>33.75</v>
      </c>
      <c r="F32" s="50" cm="1" t="str">
        <f t="array" ref="F32:F32">OFFSET(E32,-1,1)</f>
        <v>0</v>
      </c>
      <c r="G32" s="1412"/>
      <c r="H32" s="461" t="s">
        <v>1183</v>
      </c>
      <c r="I32" s="1412"/>
      <c r="J32" s="1412"/>
      <c r="K32" s="1412"/>
      <c r="L32" s="1412"/>
      <c r="M32" s="1412"/>
      <c r="N32" s="1412"/>
      <c r="O32" s="1412"/>
      <c r="P32" s="1412"/>
      <c r="Q32" s="1412"/>
      <c r="R32" s="1412"/>
      <c r="S32" s="1412"/>
      <c r="T32" s="438" cm="1" t="str">
        <f t="array" ref="T32:T32">T31</f>
        <v>false</v>
      </c>
      <c r="U32" s="1412"/>
      <c r="V32" s="1412"/>
      <c r="W32" s="1412"/>
      <c r="X32" s="1541"/>
      <c r="Y32" s="1412"/>
      <c r="Z32" s="1542"/>
      <c r="AA32" s="1412"/>
      <c r="AB32" s="690" t="s">
        <v>1184</v>
      </c>
      <c r="AC32" s="522" t="s">
        <v>2093</v>
      </c>
      <c r="AD32" s="521" t="s">
        <v>789</v>
      </c>
      <c r="AE32" s="530">
        <f>AE33+AE36</f>
        <v>0</v>
      </c>
      <c r="AF32" s="1395"/>
      <c r="AG32" s="1395"/>
      <c r="AH32" s="978" t="s">
        <v>1603</v>
      </c>
      <c r="AI32" s="1267"/>
      <c r="AJ32" s="1267"/>
      <c r="AK32" s="1397"/>
      <c r="AL32" s="1397"/>
      <c r="AM32" s="3943"/>
      <c r="AN32" s="3943"/>
      <c r="AO32" s="3943"/>
      <c r="AP32" s="3943"/>
    </row>
    <row customHeight="1" ht="21.9375" hidden="1">
      <c r="A33" s="643"/>
      <c r="B33" s="1412"/>
      <c r="C33" s="1412"/>
      <c r="D33" s="1412"/>
      <c r="E33" s="625">
        <v>22.5</v>
      </c>
      <c r="F33" s="50" cm="1" t="str">
        <f t="array" ref="F33:F33">OFFSET(E33,-1,1)</f>
        <v>0</v>
      </c>
      <c r="G33" s="1412"/>
      <c r="H33" s="461" t="s">
        <v>2094</v>
      </c>
      <c r="I33" s="1412"/>
      <c r="J33" s="1412"/>
      <c r="K33" s="1412"/>
      <c r="L33" s="1412"/>
      <c r="M33" s="1412"/>
      <c r="N33" s="1412"/>
      <c r="O33" s="1412"/>
      <c r="P33" s="1412"/>
      <c r="Q33" s="1412"/>
      <c r="R33" s="1412"/>
      <c r="S33" s="1412"/>
      <c r="T33" s="438" cm="1" t="str">
        <f t="array" ref="T33:T33">T32</f>
        <v>false</v>
      </c>
      <c r="U33" s="1412"/>
      <c r="V33" s="1412"/>
      <c r="W33" s="1412"/>
      <c r="X33" s="1541"/>
      <c r="Y33" s="1412"/>
      <c r="Z33" s="1542"/>
      <c r="AA33" s="1412"/>
      <c r="AB33" s="690" t="s">
        <v>2095</v>
      </c>
      <c r="AC33" s="1252" t="s">
        <v>2096</v>
      </c>
      <c r="AD33" s="521" t="s">
        <v>789</v>
      </c>
      <c r="AE33" s="3955"/>
      <c r="AF33" s="1395"/>
      <c r="AG33" s="1395"/>
      <c r="AH33" s="978" t="s">
        <v>1605</v>
      </c>
      <c r="AI33" s="1267"/>
      <c r="AJ33" s="1267"/>
      <c r="AK33" s="1397"/>
      <c r="AL33" s="1397"/>
      <c r="AM33" s="3943"/>
      <c r="AN33" s="3943"/>
      <c r="AO33" s="3943"/>
      <c r="AP33" s="3943"/>
    </row>
    <row customHeight="1" ht="21.9375" hidden="1">
      <c r="A34" s="643"/>
      <c r="B34" s="1412"/>
      <c r="C34" s="1412"/>
      <c r="D34" s="1412"/>
      <c r="E34" s="625">
        <v>22.5</v>
      </c>
      <c r="F34" s="50" cm="1" t="str">
        <f t="array" ref="F34:F34">OFFSET(E34,-1,1)</f>
        <v>0</v>
      </c>
      <c r="G34" s="1412"/>
      <c r="H34" s="461" t="s">
        <v>2097</v>
      </c>
      <c r="I34" s="1412"/>
      <c r="J34" s="1412"/>
      <c r="K34" s="1412"/>
      <c r="L34" s="1412"/>
      <c r="M34" s="1412"/>
      <c r="N34" s="1412"/>
      <c r="O34" s="1412"/>
      <c r="P34" s="1412"/>
      <c r="Q34" s="1412"/>
      <c r="R34" s="1412"/>
      <c r="S34" s="1412"/>
      <c r="T34" s="438" cm="1" t="str">
        <f t="array" ref="T34:T34">T33</f>
        <v>false</v>
      </c>
      <c r="U34" s="1412"/>
      <c r="V34" s="1412"/>
      <c r="W34" s="1412"/>
      <c r="X34" s="1541"/>
      <c r="Y34" s="1412"/>
      <c r="Z34" s="1542"/>
      <c r="AA34" s="1412"/>
      <c r="AB34" s="690" t="s">
        <v>2098</v>
      </c>
      <c r="AC34" s="1253" t="s">
        <v>2099</v>
      </c>
      <c r="AD34" s="521" t="s">
        <v>2100</v>
      </c>
      <c r="AE34" s="3955"/>
      <c r="AF34" s="1395"/>
      <c r="AG34" s="1395"/>
      <c r="AH34" s="978" t="s">
        <v>2101</v>
      </c>
      <c r="AI34" s="1267"/>
      <c r="AJ34" s="1267"/>
      <c r="AK34" s="1397"/>
      <c r="AL34" s="1397"/>
      <c r="AM34" s="3943"/>
      <c r="AN34" s="3943"/>
      <c r="AO34" s="3943"/>
      <c r="AP34" s="3943"/>
    </row>
    <row customHeight="1" ht="21.9375" hidden="1">
      <c r="A35" s="643"/>
      <c r="B35" s="1412"/>
      <c r="C35" s="1412"/>
      <c r="D35" s="1412"/>
      <c r="E35" s="625">
        <v>22.5</v>
      </c>
      <c r="F35" s="50" cm="1" t="str">
        <f t="array" ref="F35:F35">OFFSET(E35,-1,1)</f>
        <v>0</v>
      </c>
      <c r="G35" s="1412"/>
      <c r="H35" s="461" t="s">
        <v>2102</v>
      </c>
      <c r="I35" s="1412"/>
      <c r="J35" s="1412"/>
      <c r="K35" s="1412"/>
      <c r="L35" s="1412"/>
      <c r="M35" s="1412"/>
      <c r="N35" s="1412"/>
      <c r="O35" s="1412"/>
      <c r="P35" s="1412"/>
      <c r="Q35" s="1412"/>
      <c r="R35" s="1412"/>
      <c r="S35" s="1412"/>
      <c r="T35" s="438" cm="1" t="str">
        <f t="array" ref="T35:T35">T34</f>
        <v>false</v>
      </c>
      <c r="U35" s="1412"/>
      <c r="V35" s="1412"/>
      <c r="W35" s="1412"/>
      <c r="X35" s="1541"/>
      <c r="Y35" s="1412"/>
      <c r="Z35" s="1542"/>
      <c r="AA35" s="1412"/>
      <c r="AB35" s="690" t="s">
        <v>2103</v>
      </c>
      <c r="AC35" s="524" t="s">
        <v>2104</v>
      </c>
      <c r="AD35" s="521" t="s">
        <v>2105</v>
      </c>
      <c r="AE35" s="3955"/>
      <c r="AF35" s="1395"/>
      <c r="AG35" s="1395"/>
      <c r="AH35" s="978" t="s">
        <v>2106</v>
      </c>
      <c r="AI35" s="1267"/>
      <c r="AJ35" s="1267"/>
      <c r="AK35" s="1397"/>
      <c r="AL35" s="1397"/>
      <c r="AM35" s="3943"/>
      <c r="AN35" s="3943"/>
      <c r="AO35" s="3943"/>
      <c r="AP35" s="3943"/>
    </row>
    <row customHeight="1" ht="21.9375" hidden="1">
      <c r="A36" s="643"/>
      <c r="B36" s="1412"/>
      <c r="C36" s="1412"/>
      <c r="D36" s="1412"/>
      <c r="E36" s="625">
        <v>22.5</v>
      </c>
      <c r="F36" s="50" cm="1" t="str">
        <f t="array" ref="F36:F36">OFFSET(E36,-1,1)</f>
        <v>0</v>
      </c>
      <c r="G36" s="1412"/>
      <c r="H36" s="461" t="s">
        <v>2107</v>
      </c>
      <c r="I36" s="1412"/>
      <c r="J36" s="1412"/>
      <c r="K36" s="1412"/>
      <c r="L36" s="1412"/>
      <c r="M36" s="1412"/>
      <c r="N36" s="1412"/>
      <c r="O36" s="1412"/>
      <c r="P36" s="1412"/>
      <c r="Q36" s="1412"/>
      <c r="R36" s="1412"/>
      <c r="S36" s="1412"/>
      <c r="T36" s="438" cm="1" t="str">
        <f t="array" ref="T36:T36">T35</f>
        <v>false</v>
      </c>
      <c r="U36" s="1412"/>
      <c r="V36" s="1412"/>
      <c r="W36" s="1412"/>
      <c r="X36" s="1541"/>
      <c r="Y36" s="1412"/>
      <c r="Z36" s="1542"/>
      <c r="AA36" s="1412"/>
      <c r="AB36" s="690" t="s">
        <v>2108</v>
      </c>
      <c r="AC36" s="523" t="s">
        <v>2109</v>
      </c>
      <c r="AD36" s="521" t="s">
        <v>789</v>
      </c>
      <c r="AE36" s="3955"/>
      <c r="AF36" s="1395"/>
      <c r="AG36" s="1395"/>
      <c r="AH36" s="978" t="s">
        <v>1607</v>
      </c>
      <c r="AI36" s="1267"/>
      <c r="AJ36" s="1267"/>
      <c r="AK36" s="1397"/>
      <c r="AL36" s="1397"/>
      <c r="AM36" s="3943"/>
      <c r="AN36" s="3943"/>
      <c r="AO36" s="3943"/>
      <c r="AP36" s="3943"/>
    </row>
    <row customHeight="1" ht="14.625" hidden="1">
      <c r="A37" s="643"/>
      <c r="B37" s="1412"/>
      <c r="C37" s="1412"/>
      <c r="D37" s="1412"/>
      <c r="E37" s="625">
        <v>15</v>
      </c>
      <c r="F37" s="50" cm="1" t="str">
        <f t="array" ref="F37:F37">OFFSET(E37,-1,1)</f>
        <v>0</v>
      </c>
      <c r="G37" s="1412"/>
      <c r="H37" s="461" t="s">
        <v>1187</v>
      </c>
      <c r="I37" s="1412"/>
      <c r="J37" s="1412"/>
      <c r="K37" s="1412"/>
      <c r="L37" s="1412"/>
      <c r="M37" s="1412"/>
      <c r="N37" s="1412"/>
      <c r="O37" s="1412"/>
      <c r="P37" s="1412"/>
      <c r="Q37" s="1412"/>
      <c r="R37" s="1412"/>
      <c r="S37" s="1412"/>
      <c r="T37" s="438" cm="1" t="str">
        <f t="array" ref="T37:T37">T36</f>
        <v>false</v>
      </c>
      <c r="U37" s="1412"/>
      <c r="V37" s="1412"/>
      <c r="W37" s="1412"/>
      <c r="X37" s="1541"/>
      <c r="Y37" s="1412"/>
      <c r="Z37" s="1542"/>
      <c r="AA37" s="1412"/>
      <c r="AB37" s="690" t="s">
        <v>1188</v>
      </c>
      <c r="AC37" s="522" t="s">
        <v>2110</v>
      </c>
      <c r="AD37" s="521" t="s">
        <v>789</v>
      </c>
      <c r="AE37" s="3955"/>
      <c r="AF37" s="1395"/>
      <c r="AG37" s="1395"/>
      <c r="AH37" s="978" t="s">
        <v>1969</v>
      </c>
      <c r="AI37" s="1267"/>
      <c r="AJ37" s="1267"/>
      <c r="AK37" s="1397"/>
      <c r="AL37" s="1397"/>
      <c r="AM37" s="3943"/>
      <c r="AN37" s="3943"/>
      <c r="AO37" s="3943"/>
      <c r="AP37" s="3943"/>
    </row>
    <row customHeight="1" ht="14.625" hidden="1">
      <c r="A38" s="643"/>
      <c r="B38" s="1412"/>
      <c r="C38" s="1412"/>
      <c r="D38" s="1412"/>
      <c r="E38" s="625">
        <v>15</v>
      </c>
      <c r="F38" s="50" cm="1" t="str">
        <f t="array" ref="F38:F38">OFFSET(E38,-1,1)</f>
        <v>0</v>
      </c>
      <c r="G38" s="1412"/>
      <c r="H38" s="461" t="s">
        <v>2111</v>
      </c>
      <c r="I38" s="1412"/>
      <c r="J38" s="1412"/>
      <c r="K38" s="1412"/>
      <c r="L38" s="1412"/>
      <c r="M38" s="1412"/>
      <c r="N38" s="1412"/>
      <c r="O38" s="1412"/>
      <c r="P38" s="1412"/>
      <c r="Q38" s="1412"/>
      <c r="R38" s="1412"/>
      <c r="S38" s="1412"/>
      <c r="T38" s="438" cm="1" t="str">
        <f t="array" ref="T38:T38">T37</f>
        <v>false</v>
      </c>
      <c r="U38" s="1412"/>
      <c r="V38" s="1412"/>
      <c r="W38" s="1412"/>
      <c r="X38" s="1541"/>
      <c r="Y38" s="1412"/>
      <c r="Z38" s="1542"/>
      <c r="AA38" s="1412"/>
      <c r="AB38" s="690" t="s">
        <v>1191</v>
      </c>
      <c r="AC38" s="522" t="s">
        <v>1794</v>
      </c>
      <c r="AD38" s="521" t="s">
        <v>789</v>
      </c>
      <c r="AE38" s="3955"/>
      <c r="AF38" s="1395"/>
      <c r="AG38" s="1395"/>
      <c r="AH38" s="978" t="s">
        <v>1612</v>
      </c>
      <c r="AI38" s="1267"/>
      <c r="AJ38" s="1267"/>
      <c r="AK38" s="1397"/>
      <c r="AL38" s="1397"/>
      <c r="AM38" s="3943"/>
      <c r="AN38" s="3943"/>
      <c r="AO38" s="3943"/>
      <c r="AP38" s="3943"/>
    </row>
    <row customHeight="1" ht="14.625" hidden="1">
      <c r="A39" s="643"/>
      <c r="B39" s="1412"/>
      <c r="C39" s="1412"/>
      <c r="D39" s="1412"/>
      <c r="E39" s="625">
        <v>15</v>
      </c>
      <c r="F39" s="50" cm="1" t="str">
        <f t="array" ref="F39:F39">OFFSET(E39,-1,1)</f>
        <v>0</v>
      </c>
      <c r="G39" s="1412"/>
      <c r="H39" s="461" t="s">
        <v>2112</v>
      </c>
      <c r="I39" s="1412"/>
      <c r="J39" s="1412"/>
      <c r="K39" s="1412"/>
      <c r="L39" s="1412"/>
      <c r="M39" s="1412"/>
      <c r="N39" s="1412"/>
      <c r="O39" s="1412"/>
      <c r="P39" s="1412"/>
      <c r="Q39" s="1412"/>
      <c r="R39" s="1412"/>
      <c r="S39" s="1412"/>
      <c r="T39" s="438" cm="1" t="str">
        <f t="array" ref="T39:T39">T38</f>
        <v>false</v>
      </c>
      <c r="U39" s="1412"/>
      <c r="V39" s="1412"/>
      <c r="W39" s="1412"/>
      <c r="X39" s="1541"/>
      <c r="Y39" s="1412"/>
      <c r="Z39" s="1542"/>
      <c r="AA39" s="1412"/>
      <c r="AB39" s="690" t="s">
        <v>2113</v>
      </c>
      <c r="AC39" s="522" t="s">
        <v>2114</v>
      </c>
      <c r="AD39" s="521" t="s">
        <v>789</v>
      </c>
      <c r="AE39" s="530">
        <f>SUM(AE40:AE46)</f>
        <v>0</v>
      </c>
      <c r="AF39" s="1395"/>
      <c r="AG39" s="1395"/>
      <c r="AH39" s="978" t="s">
        <v>1616</v>
      </c>
      <c r="AI39" s="1267"/>
      <c r="AJ39" s="1267"/>
      <c r="AK39" s="1397"/>
      <c r="AL39" s="1397"/>
      <c r="AM39" s="3943"/>
      <c r="AN39" s="3943"/>
      <c r="AO39" s="3943"/>
      <c r="AP39" s="3943"/>
    </row>
    <row customHeight="1" ht="14.625" hidden="1">
      <c r="A40" s="643"/>
      <c r="B40" s="1412"/>
      <c r="C40" s="1412"/>
      <c r="D40" s="1412"/>
      <c r="E40" s="625">
        <v>15</v>
      </c>
      <c r="F40" s="50" cm="1" t="str">
        <f t="array" ref="F40:F40">OFFSET(E40,-1,1)</f>
        <v>0</v>
      </c>
      <c r="G40" s="1412"/>
      <c r="H40" s="461" t="s">
        <v>2115</v>
      </c>
      <c r="I40" s="1412"/>
      <c r="J40" s="1412"/>
      <c r="K40" s="1412"/>
      <c r="L40" s="1412"/>
      <c r="M40" s="1412"/>
      <c r="N40" s="1412"/>
      <c r="O40" s="1412"/>
      <c r="P40" s="1412"/>
      <c r="Q40" s="1412"/>
      <c r="R40" s="1412"/>
      <c r="S40" s="1412"/>
      <c r="T40" s="438" cm="1" t="str">
        <f t="array" ref="T40:T40">T39</f>
        <v>false</v>
      </c>
      <c r="U40" s="1412"/>
      <c r="V40" s="1412"/>
      <c r="W40" s="1412"/>
      <c r="X40" s="1541"/>
      <c r="Y40" s="1412"/>
      <c r="Z40" s="1542"/>
      <c r="AA40" s="1412"/>
      <c r="AB40" s="690" t="s">
        <v>2116</v>
      </c>
      <c r="AC40" s="523" t="s">
        <v>1623</v>
      </c>
      <c r="AD40" s="521" t="s">
        <v>789</v>
      </c>
      <c r="AE40" s="3955"/>
      <c r="AF40" s="1395"/>
      <c r="AG40" s="1395"/>
      <c r="AH40" s="978" t="s">
        <v>2117</v>
      </c>
      <c r="AI40" s="1267"/>
      <c r="AJ40" s="1267"/>
      <c r="AK40" s="1397"/>
      <c r="AL40" s="1397"/>
      <c r="AM40" s="3943"/>
      <c r="AN40" s="3943"/>
      <c r="AO40" s="3943"/>
      <c r="AP40" s="3943"/>
    </row>
    <row customHeight="1" ht="21.9375" hidden="1">
      <c r="A41" s="643"/>
      <c r="B41" s="1412"/>
      <c r="C41" s="1412"/>
      <c r="D41" s="1412"/>
      <c r="E41" s="625">
        <v>22.5</v>
      </c>
      <c r="F41" s="50" cm="1" t="str">
        <f t="array" ref="F41:F41">OFFSET(E41,-1,1)</f>
        <v>0</v>
      </c>
      <c r="G41" s="1412"/>
      <c r="H41" s="461" t="s">
        <v>2118</v>
      </c>
      <c r="I41" s="1412"/>
      <c r="J41" s="1412"/>
      <c r="K41" s="1412"/>
      <c r="L41" s="1412"/>
      <c r="M41" s="1412"/>
      <c r="N41" s="1412"/>
      <c r="O41" s="1412"/>
      <c r="P41" s="1412"/>
      <c r="Q41" s="1412"/>
      <c r="R41" s="1412"/>
      <c r="S41" s="1412"/>
      <c r="T41" s="438" cm="1" t="str">
        <f t="array" ref="T41:T41">T40</f>
        <v>false</v>
      </c>
      <c r="U41" s="1412"/>
      <c r="V41" s="1412"/>
      <c r="W41" s="1412"/>
      <c r="X41" s="1541"/>
      <c r="Y41" s="1412"/>
      <c r="Z41" s="1542"/>
      <c r="AA41" s="1412"/>
      <c r="AB41" s="690" t="s">
        <v>2119</v>
      </c>
      <c r="AC41" s="523" t="s">
        <v>1802</v>
      </c>
      <c r="AD41" s="521" t="s">
        <v>789</v>
      </c>
      <c r="AE41" s="3955"/>
      <c r="AF41" s="1395"/>
      <c r="AG41" s="1395"/>
      <c r="AH41" s="1041" t="s">
        <v>1803</v>
      </c>
      <c r="AI41" s="1267"/>
      <c r="AJ41" s="1267"/>
      <c r="AK41" s="1397"/>
      <c r="AL41" s="1397"/>
      <c r="AM41" s="3943"/>
      <c r="AN41" s="3943"/>
      <c r="AO41" s="3943"/>
      <c r="AP41" s="3943"/>
    </row>
    <row customHeight="1" ht="21.9375" hidden="1">
      <c r="A42" s="643"/>
      <c r="B42" s="1412"/>
      <c r="C42" s="1412"/>
      <c r="D42" s="1412"/>
      <c r="E42" s="625">
        <v>22.5</v>
      </c>
      <c r="F42" s="50" cm="1" t="str">
        <f t="array" ref="F42:F42">OFFSET(E42,-1,1)</f>
        <v>0</v>
      </c>
      <c r="G42" s="1412"/>
      <c r="H42" s="461" t="s">
        <v>2120</v>
      </c>
      <c r="I42" s="1412"/>
      <c r="J42" s="1412"/>
      <c r="K42" s="1412"/>
      <c r="L42" s="1412"/>
      <c r="M42" s="1412"/>
      <c r="N42" s="1412"/>
      <c r="O42" s="1412"/>
      <c r="P42" s="1412"/>
      <c r="Q42" s="1412"/>
      <c r="R42" s="1412"/>
      <c r="S42" s="1412"/>
      <c r="T42" s="438" cm="1" t="str">
        <f t="array" ref="T42:T42">T41</f>
        <v>false</v>
      </c>
      <c r="U42" s="1412"/>
      <c r="V42" s="1412"/>
      <c r="W42" s="1412"/>
      <c r="X42" s="1541"/>
      <c r="Y42" s="1412"/>
      <c r="Z42" s="1542"/>
      <c r="AA42" s="1412"/>
      <c r="AB42" s="690" t="s">
        <v>2121</v>
      </c>
      <c r="AC42" s="523" t="s">
        <v>1806</v>
      </c>
      <c r="AD42" s="521" t="s">
        <v>789</v>
      </c>
      <c r="AE42" s="3955"/>
      <c r="AF42" s="1395"/>
      <c r="AG42" s="1395"/>
      <c r="AH42" s="1041" t="s">
        <v>1807</v>
      </c>
      <c r="AI42" s="1267"/>
      <c r="AJ42" s="1267"/>
      <c r="AK42" s="1397"/>
      <c r="AL42" s="1397"/>
      <c r="AM42" s="3943"/>
      <c r="AN42" s="3943"/>
      <c r="AO42" s="3943"/>
      <c r="AP42" s="3943"/>
    </row>
    <row customHeight="1" ht="21.9375" hidden="1">
      <c r="A43" s="643"/>
      <c r="B43" s="1412"/>
      <c r="C43" s="1412"/>
      <c r="D43" s="1412"/>
      <c r="E43" s="625">
        <v>22.5</v>
      </c>
      <c r="F43" s="50" cm="1" t="str">
        <f t="array" ref="F43:F43">OFFSET(E43,-1,1)</f>
        <v>0</v>
      </c>
      <c r="G43" s="1412"/>
      <c r="H43" s="461" t="s">
        <v>2122</v>
      </c>
      <c r="I43" s="1412"/>
      <c r="J43" s="1412"/>
      <c r="K43" s="1412"/>
      <c r="L43" s="1412"/>
      <c r="M43" s="1412"/>
      <c r="N43" s="1412"/>
      <c r="O43" s="1412"/>
      <c r="P43" s="1412"/>
      <c r="Q43" s="1412"/>
      <c r="R43" s="1412"/>
      <c r="S43" s="1412"/>
      <c r="T43" s="438" cm="1" t="str">
        <f t="array" ref="T43:T43">T42</f>
        <v>false</v>
      </c>
      <c r="U43" s="1412"/>
      <c r="V43" s="1412"/>
      <c r="W43" s="1412"/>
      <c r="X43" s="1541"/>
      <c r="Y43" s="1412"/>
      <c r="Z43" s="1542"/>
      <c r="AA43" s="1412"/>
      <c r="AB43" s="690" t="s">
        <v>2123</v>
      </c>
      <c r="AC43" s="523" t="s">
        <v>2124</v>
      </c>
      <c r="AD43" s="521" t="s">
        <v>789</v>
      </c>
      <c r="AE43" s="3955"/>
      <c r="AF43" s="1395"/>
      <c r="AG43" s="1395"/>
      <c r="AH43" s="1041" t="s">
        <v>1811</v>
      </c>
      <c r="AI43" s="1267"/>
      <c r="AJ43" s="1267"/>
      <c r="AK43" s="1397"/>
      <c r="AL43" s="1397"/>
      <c r="AM43" s="3943"/>
      <c r="AN43" s="3943"/>
      <c r="AO43" s="3943"/>
      <c r="AP43" s="3943"/>
    </row>
    <row customHeight="1" ht="54.84375" hidden="1">
      <c r="A44" s="643"/>
      <c r="B44" s="1412"/>
      <c r="C44" s="1412"/>
      <c r="D44" s="1412"/>
      <c r="E44" s="625">
        <v>56.25</v>
      </c>
      <c r="F44" s="50" cm="1" t="str">
        <f t="array" ref="F44:F44">OFFSET(E44,-1,1)</f>
        <v>0</v>
      </c>
      <c r="G44" s="1412"/>
      <c r="H44" s="461" t="s">
        <v>2125</v>
      </c>
      <c r="I44" s="1412"/>
      <c r="J44" s="1412"/>
      <c r="K44" s="1412"/>
      <c r="L44" s="1412"/>
      <c r="M44" s="1412"/>
      <c r="N44" s="1412"/>
      <c r="O44" s="1412"/>
      <c r="P44" s="1412"/>
      <c r="Q44" s="1412"/>
      <c r="R44" s="1412"/>
      <c r="S44" s="1412"/>
      <c r="T44" s="438" cm="1" t="str">
        <f t="array" ref="T44:T44">T43</f>
        <v>false</v>
      </c>
      <c r="U44" s="1412"/>
      <c r="V44" s="1412"/>
      <c r="W44" s="1412"/>
      <c r="X44" s="1541"/>
      <c r="Y44" s="1412"/>
      <c r="Z44" s="1542"/>
      <c r="AA44" s="1412"/>
      <c r="AB44" s="690" t="s">
        <v>2126</v>
      </c>
      <c r="AC44" s="523" t="s">
        <v>1814</v>
      </c>
      <c r="AD44" s="521" t="s">
        <v>789</v>
      </c>
      <c r="AE44" s="3955"/>
      <c r="AF44" s="1395"/>
      <c r="AG44" s="1395"/>
      <c r="AH44" s="1041" t="s">
        <v>1628</v>
      </c>
      <c r="AI44" s="1267"/>
      <c r="AJ44" s="1267"/>
      <c r="AK44" s="1397"/>
      <c r="AL44" s="1397"/>
      <c r="AM44" s="3943"/>
      <c r="AN44" s="3943"/>
      <c r="AO44" s="3943"/>
      <c r="AP44" s="3943"/>
    </row>
    <row customHeight="1" ht="14.625" hidden="1">
      <c r="A45" s="643"/>
      <c r="B45" s="1412"/>
      <c r="C45" s="1412"/>
      <c r="D45" s="1412"/>
      <c r="E45" s="625">
        <v>15</v>
      </c>
      <c r="F45" s="50" cm="1" t="str">
        <f t="array" ref="F45:F45">OFFSET(E45,-1,1)</f>
        <v>0</v>
      </c>
      <c r="G45" s="1412"/>
      <c r="H45" s="461" t="s">
        <v>2127</v>
      </c>
      <c r="I45" s="1412"/>
      <c r="J45" s="1412"/>
      <c r="K45" s="1412"/>
      <c r="L45" s="1412"/>
      <c r="M45" s="1412"/>
      <c r="N45" s="1412"/>
      <c r="O45" s="1412"/>
      <c r="P45" s="1412"/>
      <c r="Q45" s="1412"/>
      <c r="R45" s="1412"/>
      <c r="S45" s="1412"/>
      <c r="T45" s="438" cm="1" t="str">
        <f t="array" ref="T45:T45">T44</f>
        <v>false</v>
      </c>
      <c r="U45" s="1412"/>
      <c r="V45" s="1412"/>
      <c r="W45" s="1412"/>
      <c r="X45" s="1541"/>
      <c r="Y45" s="1412"/>
      <c r="Z45" s="1542"/>
      <c r="AA45" s="1412"/>
      <c r="AB45" s="690" t="s">
        <v>2128</v>
      </c>
      <c r="AC45" s="523" t="s">
        <v>1631</v>
      </c>
      <c r="AD45" s="521" t="s">
        <v>789</v>
      </c>
      <c r="AE45" s="3955"/>
      <c r="AF45" s="1395"/>
      <c r="AG45" s="1395"/>
      <c r="AH45" s="1041" t="s">
        <v>1632</v>
      </c>
      <c r="AI45" s="1267"/>
      <c r="AJ45" s="1267"/>
      <c r="AK45" s="1397"/>
      <c r="AL45" s="1397"/>
      <c r="AM45" s="3943"/>
      <c r="AN45" s="3943"/>
      <c r="AO45" s="3943"/>
      <c r="AP45" s="3943"/>
    </row>
    <row customHeight="1" ht="14.625" hidden="1">
      <c r="A46" s="643"/>
      <c r="B46" s="1412"/>
      <c r="C46" s="1412"/>
      <c r="D46" s="1412"/>
      <c r="E46" s="625">
        <v>15</v>
      </c>
      <c r="F46" s="50" cm="1" t="str">
        <f t="array" ref="F46:F46">OFFSET(E46,-1,1)</f>
        <v>0</v>
      </c>
      <c r="G46" s="1412"/>
      <c r="H46" s="461" t="s">
        <v>2129</v>
      </c>
      <c r="I46" s="1412"/>
      <c r="J46" s="1412"/>
      <c r="K46" s="1412"/>
      <c r="L46" s="1412"/>
      <c r="M46" s="1412"/>
      <c r="N46" s="1412"/>
      <c r="O46" s="1412"/>
      <c r="P46" s="1412"/>
      <c r="Q46" s="1412"/>
      <c r="R46" s="1412"/>
      <c r="S46" s="1412"/>
      <c r="T46" s="438" cm="1" t="str">
        <f t="array" ref="T46:T46">T45</f>
        <v>false</v>
      </c>
      <c r="U46" s="1412"/>
      <c r="V46" s="1412"/>
      <c r="W46" s="1412"/>
      <c r="X46" s="1541"/>
      <c r="Y46" s="1412"/>
      <c r="Z46" s="1542"/>
      <c r="AA46" s="1412"/>
      <c r="AB46" s="690" t="s">
        <v>2130</v>
      </c>
      <c r="AC46" s="523" t="s">
        <v>1123</v>
      </c>
      <c r="AD46" s="521" t="s">
        <v>789</v>
      </c>
      <c r="AE46" s="3955"/>
      <c r="AF46" s="1395"/>
      <c r="AG46" s="1395"/>
      <c r="AH46" s="1041" t="s">
        <v>1616</v>
      </c>
      <c r="AI46" s="1267"/>
      <c r="AJ46" s="1267"/>
      <c r="AK46" s="1397"/>
      <c r="AL46" s="1397"/>
      <c r="AM46" s="3943"/>
      <c r="AN46" s="3943"/>
      <c r="AO46" s="3943"/>
      <c r="AP46" s="3943"/>
    </row>
    <row customHeight="1" ht="14.625" hidden="1">
      <c r="A47" s="643"/>
      <c r="B47" s="1412"/>
      <c r="C47" s="1412"/>
      <c r="D47" s="1412"/>
      <c r="E47" s="625">
        <v>15</v>
      </c>
      <c r="F47" s="50" cm="1" t="str">
        <f t="array" ref="F47:F47">OFFSET(E47,-1,1)</f>
        <v>0</v>
      </c>
      <c r="G47" s="1412"/>
      <c r="H47" s="461" t="s">
        <v>438</v>
      </c>
      <c r="I47" s="1412"/>
      <c r="J47" s="1412"/>
      <c r="K47" s="1412"/>
      <c r="L47" s="1412"/>
      <c r="M47" s="1412"/>
      <c r="N47" s="1412"/>
      <c r="O47" s="1412"/>
      <c r="P47" s="1412"/>
      <c r="Q47" s="1412"/>
      <c r="R47" s="1412"/>
      <c r="S47" s="1412"/>
      <c r="T47" s="438" cm="1" t="str">
        <f t="array" ref="T47:T47">T46</f>
        <v>false</v>
      </c>
      <c r="U47" s="1412"/>
      <c r="V47" s="1412"/>
      <c r="W47" s="1412"/>
      <c r="X47" s="1541"/>
      <c r="Y47" s="1412"/>
      <c r="Z47" s="1542"/>
      <c r="AA47" s="1412"/>
      <c r="AB47" s="690" t="s">
        <v>847</v>
      </c>
      <c r="AC47" s="520" t="s">
        <v>2131</v>
      </c>
      <c r="AD47" s="521" t="s">
        <v>789</v>
      </c>
      <c r="AE47" s="530">
        <f>AE48+AE49+AE50</f>
        <v>0</v>
      </c>
      <c r="AF47" s="1395"/>
      <c r="AG47" s="1395"/>
      <c r="AH47" s="1040" t="s">
        <v>1637</v>
      </c>
      <c r="AI47" s="1267"/>
      <c r="AJ47" s="1267"/>
      <c r="AK47" s="1397"/>
      <c r="AL47" s="1397"/>
      <c r="AM47" s="3943"/>
      <c r="AN47" s="3943"/>
      <c r="AO47" s="3943"/>
      <c r="AP47" s="3943"/>
    </row>
    <row customHeight="1" ht="14.625" hidden="1">
      <c r="A48" s="643"/>
      <c r="B48" s="1412"/>
      <c r="C48" s="1412"/>
      <c r="D48" s="1412"/>
      <c r="E48" s="625">
        <v>15</v>
      </c>
      <c r="F48" s="50" cm="1" t="str">
        <f t="array" ref="F48:F48">OFFSET(E48,-1,1)</f>
        <v>0</v>
      </c>
      <c r="G48" s="1412"/>
      <c r="H48" s="461" t="s">
        <v>1208</v>
      </c>
      <c r="I48" s="1412"/>
      <c r="J48" s="1412"/>
      <c r="K48" s="1412"/>
      <c r="L48" s="1412"/>
      <c r="M48" s="1412"/>
      <c r="N48" s="1412"/>
      <c r="O48" s="1412"/>
      <c r="P48" s="1412"/>
      <c r="Q48" s="1412"/>
      <c r="R48" s="1412"/>
      <c r="S48" s="1412"/>
      <c r="T48" s="438" cm="1" t="str">
        <f t="array" ref="T48:T48">T47</f>
        <v>false</v>
      </c>
      <c r="U48" s="1412"/>
      <c r="V48" s="1412"/>
      <c r="W48" s="1412"/>
      <c r="X48" s="1541"/>
      <c r="Y48" s="1412"/>
      <c r="Z48" s="1542"/>
      <c r="AA48" s="1412"/>
      <c r="AB48" s="690" t="s">
        <v>1209</v>
      </c>
      <c r="AC48" s="522" t="s">
        <v>2132</v>
      </c>
      <c r="AD48" s="521" t="s">
        <v>789</v>
      </c>
      <c r="AE48" s="3955"/>
      <c r="AF48" s="1395"/>
      <c r="AG48" s="1395"/>
      <c r="AH48" s="1039" t="s">
        <v>1639</v>
      </c>
      <c r="AI48" s="1267"/>
      <c r="AJ48" s="1267"/>
      <c r="AK48" s="1397"/>
      <c r="AL48" s="1397"/>
      <c r="AM48" s="3943"/>
      <c r="AN48" s="3943"/>
      <c r="AO48" s="3943"/>
      <c r="AP48" s="3943"/>
    </row>
    <row customHeight="1" ht="14.625" hidden="1">
      <c r="A49" s="643"/>
      <c r="B49" s="1412"/>
      <c r="C49" s="1412"/>
      <c r="D49" s="1412"/>
      <c r="E49" s="625">
        <v>15</v>
      </c>
      <c r="F49" s="50" cm="1" t="str">
        <f t="array" ref="F49:F49">OFFSET(E49,-1,1)</f>
        <v>0</v>
      </c>
      <c r="G49" s="1412"/>
      <c r="H49" s="461" t="s">
        <v>1211</v>
      </c>
      <c r="I49" s="1412"/>
      <c r="J49" s="1412"/>
      <c r="K49" s="1412"/>
      <c r="L49" s="1412"/>
      <c r="M49" s="1412"/>
      <c r="N49" s="1412"/>
      <c r="O49" s="1412"/>
      <c r="P49" s="1412"/>
      <c r="Q49" s="1412"/>
      <c r="R49" s="1412"/>
      <c r="S49" s="1412"/>
      <c r="T49" s="438" cm="1" t="str">
        <f t="array" ref="T49:T49">T48</f>
        <v>false</v>
      </c>
      <c r="U49" s="1412"/>
      <c r="V49" s="1412"/>
      <c r="W49" s="1412"/>
      <c r="X49" s="1541"/>
      <c r="Y49" s="1412"/>
      <c r="Z49" s="1542"/>
      <c r="AA49" s="1412"/>
      <c r="AB49" s="690" t="s">
        <v>1212</v>
      </c>
      <c r="AC49" s="522" t="s">
        <v>2133</v>
      </c>
      <c r="AD49" s="521" t="s">
        <v>789</v>
      </c>
      <c r="AE49" s="3955"/>
      <c r="AF49" s="1395"/>
      <c r="AG49" s="1395"/>
      <c r="AH49" s="1041" t="s">
        <v>1822</v>
      </c>
      <c r="AI49" s="1267"/>
      <c r="AJ49" s="1267"/>
      <c r="AK49" s="1397"/>
      <c r="AL49" s="1397"/>
      <c r="AM49" s="3943"/>
      <c r="AN49" s="3943"/>
      <c r="AO49" s="3943"/>
      <c r="AP49" s="3943"/>
    </row>
    <row customHeight="1" ht="21.9375" hidden="1">
      <c r="A50" s="643"/>
      <c r="B50" s="1412"/>
      <c r="C50" s="1412"/>
      <c r="D50" s="1412"/>
      <c r="E50" s="625">
        <v>22.5</v>
      </c>
      <c r="F50" s="50" cm="1" t="str">
        <f t="array" ref="F50:F50">OFFSET(E50,-1,1)</f>
        <v>0</v>
      </c>
      <c r="G50" s="1412"/>
      <c r="H50" s="461" t="s">
        <v>1215</v>
      </c>
      <c r="I50" s="1412"/>
      <c r="J50" s="1412"/>
      <c r="K50" s="1412"/>
      <c r="L50" s="1412"/>
      <c r="M50" s="1412"/>
      <c r="N50" s="1412"/>
      <c r="O50" s="1412"/>
      <c r="P50" s="1412"/>
      <c r="Q50" s="1412"/>
      <c r="R50" s="1412"/>
      <c r="S50" s="1412"/>
      <c r="T50" s="438" cm="1" t="str">
        <f t="array" ref="T50:T50">T49</f>
        <v>false</v>
      </c>
      <c r="U50" s="1412"/>
      <c r="V50" s="1412"/>
      <c r="W50" s="1412"/>
      <c r="X50" s="1541"/>
      <c r="Y50" s="1412"/>
      <c r="Z50" s="1542"/>
      <c r="AA50" s="1412"/>
      <c r="AB50" s="690" t="s">
        <v>1216</v>
      </c>
      <c r="AC50" s="522" t="s">
        <v>2134</v>
      </c>
      <c r="AD50" s="521" t="s">
        <v>789</v>
      </c>
      <c r="AE50" s="530">
        <f>AE51+AE54</f>
        <v>0</v>
      </c>
      <c r="AF50" s="1395"/>
      <c r="AG50" s="1395"/>
      <c r="AH50" s="1039" t="s">
        <v>1641</v>
      </c>
      <c r="AI50" s="1267"/>
      <c r="AJ50" s="1267"/>
      <c r="AK50" s="1397"/>
      <c r="AL50" s="1397"/>
      <c r="AM50" s="3943"/>
      <c r="AN50" s="3943"/>
      <c r="AO50" s="3943"/>
      <c r="AP50" s="3943"/>
    </row>
    <row customHeight="1" ht="14.625" hidden="1">
      <c r="A51" s="643"/>
      <c r="B51" s="1412"/>
      <c r="C51" s="1412"/>
      <c r="D51" s="1412"/>
      <c r="E51" s="625">
        <v>15</v>
      </c>
      <c r="F51" s="50" cm="1" t="str">
        <f t="array" ref="F51:F51">OFFSET(E51,-1,1)</f>
        <v>0</v>
      </c>
      <c r="G51" s="1412"/>
      <c r="H51" s="461" t="s">
        <v>1359</v>
      </c>
      <c r="I51" s="1412"/>
      <c r="J51" s="1412"/>
      <c r="K51" s="1412"/>
      <c r="L51" s="1412"/>
      <c r="M51" s="1412"/>
      <c r="N51" s="1412"/>
      <c r="O51" s="1412"/>
      <c r="P51" s="1412"/>
      <c r="Q51" s="1412"/>
      <c r="R51" s="1412"/>
      <c r="S51" s="1412"/>
      <c r="T51" s="438" cm="1" t="str">
        <f t="array" ref="T51:T51">T50</f>
        <v>false</v>
      </c>
      <c r="U51" s="1412"/>
      <c r="V51" s="1412"/>
      <c r="W51" s="1412"/>
      <c r="X51" s="1541"/>
      <c r="Y51" s="1412"/>
      <c r="Z51" s="1542"/>
      <c r="AA51" s="1412"/>
      <c r="AB51" s="690" t="s">
        <v>1791</v>
      </c>
      <c r="AC51" s="523" t="s">
        <v>1643</v>
      </c>
      <c r="AD51" s="521" t="s">
        <v>789</v>
      </c>
      <c r="AE51" s="3955"/>
      <c r="AF51" s="1395"/>
      <c r="AG51" s="1395"/>
      <c r="AH51" s="1039" t="s">
        <v>1644</v>
      </c>
      <c r="AI51" s="1267"/>
      <c r="AJ51" s="1267"/>
      <c r="AK51" s="1397"/>
      <c r="AL51" s="1397"/>
      <c r="AM51" s="3943"/>
      <c r="AN51" s="3943"/>
      <c r="AO51" s="3943"/>
      <c r="AP51" s="3943"/>
    </row>
    <row customHeight="1" ht="14.625" hidden="1">
      <c r="A52" s="643"/>
      <c r="B52" s="1412"/>
      <c r="C52" s="1412"/>
      <c r="D52" s="1412"/>
      <c r="E52" s="625">
        <v>15</v>
      </c>
      <c r="F52" s="50" cm="1" t="str">
        <f t="array" ref="F52:F52">OFFSET(E52,-1,1)</f>
        <v>0</v>
      </c>
      <c r="G52" s="1412"/>
      <c r="H52" s="461" t="s">
        <v>2135</v>
      </c>
      <c r="I52" s="1412"/>
      <c r="J52" s="1412"/>
      <c r="K52" s="1412"/>
      <c r="L52" s="1412"/>
      <c r="M52" s="1412"/>
      <c r="N52" s="1412"/>
      <c r="O52" s="1412"/>
      <c r="P52" s="1412"/>
      <c r="Q52" s="1412"/>
      <c r="R52" s="1412"/>
      <c r="S52" s="1412"/>
      <c r="T52" s="438" cm="1" t="str">
        <f t="array" ref="T52:T52">T51</f>
        <v>false</v>
      </c>
      <c r="U52" s="1412"/>
      <c r="V52" s="1412"/>
      <c r="W52" s="1412"/>
      <c r="X52" s="1541"/>
      <c r="Y52" s="1412"/>
      <c r="Z52" s="1542"/>
      <c r="AA52" s="1412"/>
      <c r="AB52" s="690" t="s">
        <v>2136</v>
      </c>
      <c r="AC52" s="524" t="s">
        <v>2137</v>
      </c>
      <c r="AD52" s="521" t="s">
        <v>2100</v>
      </c>
      <c r="AE52" s="3955"/>
      <c r="AF52" s="1395"/>
      <c r="AG52" s="1395"/>
      <c r="AH52" s="978" t="s">
        <v>2138</v>
      </c>
      <c r="AI52" s="1267"/>
      <c r="AJ52" s="1267"/>
      <c r="AK52" s="1397"/>
      <c r="AL52" s="1397"/>
      <c r="AM52" s="3943"/>
      <c r="AN52" s="3943"/>
      <c r="AO52" s="3943"/>
      <c r="AP52" s="3943"/>
    </row>
    <row customHeight="1" ht="14.625" hidden="1">
      <c r="A53" s="643"/>
      <c r="B53" s="1412"/>
      <c r="C53" s="1412"/>
      <c r="D53" s="1412"/>
      <c r="E53" s="625">
        <v>15</v>
      </c>
      <c r="F53" s="50" cm="1" t="str">
        <f t="array" ref="F53:F53">OFFSET(E53,-1,1)</f>
        <v>0</v>
      </c>
      <c r="G53" s="1412"/>
      <c r="H53" s="461" t="s">
        <v>2139</v>
      </c>
      <c r="I53" s="1412"/>
      <c r="J53" s="1412"/>
      <c r="K53" s="1412"/>
      <c r="L53" s="1412"/>
      <c r="M53" s="1412"/>
      <c r="N53" s="1412"/>
      <c r="O53" s="1412"/>
      <c r="P53" s="1412"/>
      <c r="Q53" s="1412"/>
      <c r="R53" s="1412"/>
      <c r="S53" s="1412"/>
      <c r="T53" s="438" cm="1" t="str">
        <f t="array" ref="T53:T53">T52</f>
        <v>false</v>
      </c>
      <c r="U53" s="1412"/>
      <c r="V53" s="1412"/>
      <c r="W53" s="1412"/>
      <c r="X53" s="1541"/>
      <c r="Y53" s="1412"/>
      <c r="Z53" s="1542"/>
      <c r="AA53" s="1412"/>
      <c r="AB53" s="690" t="s">
        <v>2140</v>
      </c>
      <c r="AC53" s="524" t="s">
        <v>2141</v>
      </c>
      <c r="AD53" s="521" t="s">
        <v>2105</v>
      </c>
      <c r="AE53" s="3955"/>
      <c r="AF53" s="1395"/>
      <c r="AG53" s="1395"/>
      <c r="AH53" s="978" t="s">
        <v>2142</v>
      </c>
      <c r="AI53" s="1267"/>
      <c r="AJ53" s="1267"/>
      <c r="AK53" s="1397"/>
      <c r="AL53" s="1397"/>
      <c r="AM53" s="3943"/>
      <c r="AN53" s="3943"/>
      <c r="AO53" s="3943"/>
      <c r="AP53" s="3943"/>
    </row>
    <row customHeight="1" ht="21.9375" hidden="1">
      <c r="A54" s="643"/>
      <c r="B54" s="1412"/>
      <c r="C54" s="1412"/>
      <c r="D54" s="1412"/>
      <c r="E54" s="625">
        <v>22.5</v>
      </c>
      <c r="F54" s="50" cm="1" t="str">
        <f t="array" ref="F54:F54">OFFSET(E54,-1,1)</f>
        <v>0</v>
      </c>
      <c r="G54" s="1412"/>
      <c r="H54" s="461" t="s">
        <v>1363</v>
      </c>
      <c r="I54" s="1412"/>
      <c r="J54" s="1412"/>
      <c r="K54" s="1412"/>
      <c r="L54" s="1412"/>
      <c r="M54" s="1412"/>
      <c r="N54" s="1412"/>
      <c r="O54" s="1412"/>
      <c r="P54" s="1412"/>
      <c r="Q54" s="1412"/>
      <c r="R54" s="1412"/>
      <c r="S54" s="1412"/>
      <c r="T54" s="438" cm="1" t="str">
        <f t="array" ref="T54:T54">T53</f>
        <v>false</v>
      </c>
      <c r="U54" s="1412"/>
      <c r="V54" s="1412"/>
      <c r="W54" s="1412"/>
      <c r="X54" s="1541"/>
      <c r="Y54" s="1412"/>
      <c r="Z54" s="1542"/>
      <c r="AA54" s="1412"/>
      <c r="AB54" s="690" t="s">
        <v>1792</v>
      </c>
      <c r="AC54" s="523" t="s">
        <v>1828</v>
      </c>
      <c r="AD54" s="521" t="s">
        <v>789</v>
      </c>
      <c r="AE54" s="3955"/>
      <c r="AF54" s="1395"/>
      <c r="AG54" s="1395"/>
      <c r="AH54" s="1039" t="s">
        <v>1647</v>
      </c>
      <c r="AI54" s="1267"/>
      <c r="AJ54" s="1267"/>
      <c r="AK54" s="1397"/>
      <c r="AL54" s="1397"/>
      <c r="AM54" s="3943"/>
      <c r="AN54" s="3943"/>
      <c r="AO54" s="3943"/>
      <c r="AP54" s="3943"/>
    </row>
    <row customHeight="1" ht="14.625" hidden="1">
      <c r="A55" s="643"/>
      <c r="B55" s="1412"/>
      <c r="C55" s="1412"/>
      <c r="D55" s="1412"/>
      <c r="E55" s="625">
        <v>15</v>
      </c>
      <c r="F55" s="50" cm="1" t="str">
        <f t="array" ref="F55:F55">OFFSET(E55,-1,1)</f>
        <v>0</v>
      </c>
      <c r="G55" s="1412"/>
      <c r="H55" s="461" t="s">
        <v>441</v>
      </c>
      <c r="I55" s="1412"/>
      <c r="J55" s="1412"/>
      <c r="K55" s="1412"/>
      <c r="L55" s="1412"/>
      <c r="M55" s="1412"/>
      <c r="N55" s="1412"/>
      <c r="O55" s="1412"/>
      <c r="P55" s="1412"/>
      <c r="Q55" s="1412"/>
      <c r="R55" s="1412"/>
      <c r="S55" s="1412"/>
      <c r="T55" s="438" cm="1" t="str">
        <f t="array" ref="T55:T55">T54</f>
        <v>false</v>
      </c>
      <c r="U55" s="1412"/>
      <c r="V55" s="1412"/>
      <c r="W55" s="1412"/>
      <c r="X55" s="1541"/>
      <c r="Y55" s="1412"/>
      <c r="Z55" s="1542"/>
      <c r="AA55" s="1412"/>
      <c r="AB55" s="690" t="s">
        <v>850</v>
      </c>
      <c r="AC55" s="520" t="s">
        <v>1829</v>
      </c>
      <c r="AD55" s="521" t="s">
        <v>789</v>
      </c>
      <c r="AE55" s="530">
        <f>AE56+AE62+AE67+AE68+AE69+AE70+AE71</f>
        <v>0</v>
      </c>
      <c r="AF55" s="1395"/>
      <c r="AG55" s="1395"/>
      <c r="AH55" s="1040" t="s">
        <v>1649</v>
      </c>
      <c r="AI55" s="1267"/>
      <c r="AJ55" s="1267"/>
      <c r="AK55" s="1397"/>
      <c r="AL55" s="1397"/>
      <c r="AM55" s="3943"/>
      <c r="AN55" s="3943"/>
      <c r="AO55" s="3943"/>
      <c r="AP55" s="3943"/>
    </row>
    <row customHeight="1" ht="21.9375" hidden="1">
      <c r="A56" s="643"/>
      <c r="B56" s="1412"/>
      <c r="C56" s="1412"/>
      <c r="D56" s="1412"/>
      <c r="E56" s="625">
        <v>22.5</v>
      </c>
      <c r="F56" s="50" cm="1" t="str">
        <f t="array" ref="F56:F56">OFFSET(E56,-1,1)</f>
        <v>0</v>
      </c>
      <c r="G56" s="1412"/>
      <c r="H56" s="461" t="s">
        <v>1221</v>
      </c>
      <c r="I56" s="1412"/>
      <c r="J56" s="1412"/>
      <c r="K56" s="1412"/>
      <c r="L56" s="1412"/>
      <c r="M56" s="1412"/>
      <c r="N56" s="1412"/>
      <c r="O56" s="1412"/>
      <c r="P56" s="1412"/>
      <c r="Q56" s="1412"/>
      <c r="R56" s="1412"/>
      <c r="S56" s="1412"/>
      <c r="T56" s="438" cm="1" t="str">
        <f t="array" ref="T56:T56">T55</f>
        <v>false</v>
      </c>
      <c r="U56" s="1412"/>
      <c r="V56" s="1412"/>
      <c r="W56" s="1412"/>
      <c r="X56" s="1541"/>
      <c r="Y56" s="1412"/>
      <c r="Z56" s="1542"/>
      <c r="AA56" s="1412"/>
      <c r="AB56" s="690" t="s">
        <v>1222</v>
      </c>
      <c r="AC56" s="522" t="s">
        <v>1650</v>
      </c>
      <c r="AD56" s="521" t="s">
        <v>789</v>
      </c>
      <c r="AE56" s="530">
        <f>SUM(AE57:AE61)</f>
        <v>0</v>
      </c>
      <c r="AF56" s="1395"/>
      <c r="AG56" s="1395"/>
      <c r="AH56" s="1039" t="s">
        <v>1076</v>
      </c>
      <c r="AI56" s="1267"/>
      <c r="AJ56" s="1267"/>
      <c r="AK56" s="1397"/>
      <c r="AL56" s="1397"/>
      <c r="AM56" s="3943"/>
      <c r="AN56" s="3943"/>
      <c r="AO56" s="3943"/>
      <c r="AP56" s="3943"/>
    </row>
    <row customHeight="1" ht="14.625" hidden="1">
      <c r="A57" s="643"/>
      <c r="B57" s="1412"/>
      <c r="C57" s="1412"/>
      <c r="D57" s="1412"/>
      <c r="E57" s="625">
        <v>15</v>
      </c>
      <c r="F57" s="50" cm="1" t="str">
        <f t="array" ref="F57:F57">OFFSET(E57,-1,1)</f>
        <v>0</v>
      </c>
      <c r="G57" s="1412"/>
      <c r="H57" s="461" t="s">
        <v>2143</v>
      </c>
      <c r="I57" s="1412"/>
      <c r="J57" s="1412"/>
      <c r="K57" s="1412"/>
      <c r="L57" s="1412"/>
      <c r="M57" s="1412"/>
      <c r="N57" s="1412"/>
      <c r="O57" s="1412"/>
      <c r="P57" s="1412"/>
      <c r="Q57" s="1412"/>
      <c r="R57" s="1412"/>
      <c r="S57" s="1412"/>
      <c r="T57" s="438" cm="1" t="str">
        <f t="array" ref="T57:T57">T56</f>
        <v>false</v>
      </c>
      <c r="U57" s="1412"/>
      <c r="V57" s="1412"/>
      <c r="W57" s="1412"/>
      <c r="X57" s="1541"/>
      <c r="Y57" s="1412"/>
      <c r="Z57" s="1542"/>
      <c r="AA57" s="1412"/>
      <c r="AB57" s="690" t="s">
        <v>2144</v>
      </c>
      <c r="AC57" s="523" t="s">
        <v>1078</v>
      </c>
      <c r="AD57" s="521" t="s">
        <v>789</v>
      </c>
      <c r="AE57" s="3955"/>
      <c r="AF57" s="1395"/>
      <c r="AG57" s="1395"/>
      <c r="AH57" s="1041" t="s">
        <v>1079</v>
      </c>
      <c r="AI57" s="1267"/>
      <c r="AJ57" s="1267"/>
      <c r="AK57" s="1397"/>
      <c r="AL57" s="1397"/>
      <c r="AM57" s="3943"/>
      <c r="AN57" s="3943"/>
      <c r="AO57" s="3943"/>
      <c r="AP57" s="3943"/>
    </row>
    <row customHeight="1" ht="14.625" hidden="1">
      <c r="A58" s="643"/>
      <c r="B58" s="1412"/>
      <c r="C58" s="1412"/>
      <c r="D58" s="1412"/>
      <c r="E58" s="625">
        <v>15</v>
      </c>
      <c r="F58" s="50" cm="1" t="str">
        <f t="array" ref="F58:F58">OFFSET(E58,-1,1)</f>
        <v>0</v>
      </c>
      <c r="G58" s="1412"/>
      <c r="H58" s="461" t="s">
        <v>2145</v>
      </c>
      <c r="I58" s="1412"/>
      <c r="J58" s="1412"/>
      <c r="K58" s="1412"/>
      <c r="L58" s="1412"/>
      <c r="M58" s="1412"/>
      <c r="N58" s="1412"/>
      <c r="O58" s="1412"/>
      <c r="P58" s="1412"/>
      <c r="Q58" s="1412"/>
      <c r="R58" s="1412"/>
      <c r="S58" s="1412"/>
      <c r="T58" s="438" cm="1" t="str">
        <f t="array" ref="T58:T58">T57</f>
        <v>false</v>
      </c>
      <c r="U58" s="1412"/>
      <c r="V58" s="1412"/>
      <c r="W58" s="1412"/>
      <c r="X58" s="1541"/>
      <c r="Y58" s="1412"/>
      <c r="Z58" s="1542"/>
      <c r="AA58" s="1412"/>
      <c r="AB58" s="690" t="s">
        <v>2146</v>
      </c>
      <c r="AC58" s="523" t="s">
        <v>1081</v>
      </c>
      <c r="AD58" s="521" t="s">
        <v>789</v>
      </c>
      <c r="AE58" s="3955"/>
      <c r="AF58" s="1395"/>
      <c r="AG58" s="1395"/>
      <c r="AH58" s="1041" t="s">
        <v>1082</v>
      </c>
      <c r="AI58" s="1267"/>
      <c r="AJ58" s="1267"/>
      <c r="AK58" s="1397"/>
      <c r="AL58" s="1397"/>
      <c r="AM58" s="3943"/>
      <c r="AN58" s="3943"/>
      <c r="AO58" s="3943"/>
      <c r="AP58" s="3943"/>
    </row>
    <row customHeight="1" ht="14.625" hidden="1">
      <c r="A59" s="643"/>
      <c r="B59" s="1412"/>
      <c r="C59" s="1412"/>
      <c r="D59" s="1412"/>
      <c r="E59" s="625">
        <v>15</v>
      </c>
      <c r="F59" s="50" cm="1" t="str">
        <f t="array" ref="F59:F59">OFFSET(E59,-1,1)</f>
        <v>0</v>
      </c>
      <c r="G59" s="1412"/>
      <c r="H59" s="461" t="s">
        <v>2147</v>
      </c>
      <c r="I59" s="1412"/>
      <c r="J59" s="1412"/>
      <c r="K59" s="1412"/>
      <c r="L59" s="1412"/>
      <c r="M59" s="1412"/>
      <c r="N59" s="1412"/>
      <c r="O59" s="1412"/>
      <c r="P59" s="1412"/>
      <c r="Q59" s="1412"/>
      <c r="R59" s="1412"/>
      <c r="S59" s="1412"/>
      <c r="T59" s="438" cm="1" t="str">
        <f t="array" ref="T59:T59">T58</f>
        <v>false</v>
      </c>
      <c r="U59" s="1412"/>
      <c r="V59" s="1412"/>
      <c r="W59" s="1412"/>
      <c r="X59" s="1541"/>
      <c r="Y59" s="1412"/>
      <c r="Z59" s="1542"/>
      <c r="AA59" s="1412"/>
      <c r="AB59" s="690" t="s">
        <v>2148</v>
      </c>
      <c r="AC59" s="523" t="s">
        <v>1084</v>
      </c>
      <c r="AD59" s="521" t="s">
        <v>789</v>
      </c>
      <c r="AE59" s="3955"/>
      <c r="AF59" s="1395"/>
      <c r="AG59" s="1395"/>
      <c r="AH59" s="1041" t="s">
        <v>1085</v>
      </c>
      <c r="AI59" s="1267"/>
      <c r="AJ59" s="1267"/>
      <c r="AK59" s="1397"/>
      <c r="AL59" s="1397"/>
      <c r="AM59" s="3943"/>
      <c r="AN59" s="3943"/>
      <c r="AO59" s="3943"/>
      <c r="AP59" s="3943"/>
    </row>
    <row customHeight="1" ht="14.625" hidden="1">
      <c r="A60" s="643"/>
      <c r="B60" s="1412"/>
      <c r="C60" s="1412"/>
      <c r="D60" s="1412"/>
      <c r="E60" s="625">
        <v>15</v>
      </c>
      <c r="F60" s="50" cm="1" t="str">
        <f t="array" ref="F60:F60">OFFSET(E60,-1,1)</f>
        <v>0</v>
      </c>
      <c r="G60" s="1412"/>
      <c r="H60" s="461" t="s">
        <v>2149</v>
      </c>
      <c r="I60" s="1412"/>
      <c r="J60" s="1412"/>
      <c r="K60" s="1412"/>
      <c r="L60" s="1412"/>
      <c r="M60" s="1412"/>
      <c r="N60" s="1412"/>
      <c r="O60" s="1412"/>
      <c r="P60" s="1412"/>
      <c r="Q60" s="1412"/>
      <c r="R60" s="1412"/>
      <c r="S60" s="1412"/>
      <c r="T60" s="438" cm="1" t="str">
        <f t="array" ref="T60:T60">T59</f>
        <v>false</v>
      </c>
      <c r="U60" s="1412"/>
      <c r="V60" s="1412"/>
      <c r="W60" s="1412"/>
      <c r="X60" s="1541"/>
      <c r="Y60" s="1412"/>
      <c r="Z60" s="1542"/>
      <c r="AA60" s="1412"/>
      <c r="AB60" s="690" t="s">
        <v>2150</v>
      </c>
      <c r="AC60" s="523" t="s">
        <v>1087</v>
      </c>
      <c r="AD60" s="521" t="s">
        <v>789</v>
      </c>
      <c r="AE60" s="3955"/>
      <c r="AF60" s="1395"/>
      <c r="AG60" s="1395"/>
      <c r="AH60" s="1041" t="s">
        <v>1088</v>
      </c>
      <c r="AI60" s="1267"/>
      <c r="AJ60" s="1267"/>
      <c r="AK60" s="1397"/>
      <c r="AL60" s="1397"/>
      <c r="AM60" s="3943"/>
      <c r="AN60" s="3943"/>
      <c r="AO60" s="3943"/>
      <c r="AP60" s="3943"/>
    </row>
    <row customHeight="1" ht="14.625" hidden="1">
      <c r="A61" s="643"/>
      <c r="B61" s="1412"/>
      <c r="C61" s="1412"/>
      <c r="D61" s="1412"/>
      <c r="E61" s="625">
        <v>15</v>
      </c>
      <c r="F61" s="50" cm="1" t="str">
        <f t="array" ref="F61:F61">OFFSET(E61,-1,1)</f>
        <v>0</v>
      </c>
      <c r="G61" s="1412"/>
      <c r="H61" s="461" t="s">
        <v>2151</v>
      </c>
      <c r="I61" s="1412"/>
      <c r="J61" s="1412"/>
      <c r="K61" s="1412"/>
      <c r="L61" s="1412"/>
      <c r="M61" s="1412"/>
      <c r="N61" s="1412"/>
      <c r="O61" s="1412"/>
      <c r="P61" s="1412"/>
      <c r="Q61" s="1412"/>
      <c r="R61" s="1412"/>
      <c r="S61" s="1412"/>
      <c r="T61" s="438" cm="1" t="str">
        <f t="array" ref="T61:T61">T60</f>
        <v>false</v>
      </c>
      <c r="U61" s="1412"/>
      <c r="V61" s="1412"/>
      <c r="W61" s="1412"/>
      <c r="X61" s="1541"/>
      <c r="Y61" s="1412"/>
      <c r="Z61" s="1542"/>
      <c r="AA61" s="1412"/>
      <c r="AB61" s="690" t="s">
        <v>2152</v>
      </c>
      <c r="AC61" s="523" t="s">
        <v>1095</v>
      </c>
      <c r="AD61" s="521" t="s">
        <v>789</v>
      </c>
      <c r="AE61" s="3955"/>
      <c r="AF61" s="1395"/>
      <c r="AG61" s="1395"/>
      <c r="AH61" s="1041" t="s">
        <v>1096</v>
      </c>
      <c r="AI61" s="1267"/>
      <c r="AJ61" s="1267"/>
      <c r="AK61" s="1397"/>
      <c r="AL61" s="1397"/>
      <c r="AM61" s="3943"/>
      <c r="AN61" s="3943"/>
      <c r="AO61" s="3943"/>
      <c r="AP61" s="3943"/>
    </row>
    <row customHeight="1" ht="32.90625" hidden="1">
      <c r="A62" s="643"/>
      <c r="B62" s="1412"/>
      <c r="C62" s="1412"/>
      <c r="D62" s="1412"/>
      <c r="E62" s="625">
        <v>33.75</v>
      </c>
      <c r="F62" s="50" cm="1" t="str">
        <f t="array" ref="F62:F62">OFFSET(E62,-1,1)</f>
        <v>0</v>
      </c>
      <c r="G62" s="1412"/>
      <c r="H62" s="461" t="s">
        <v>1225</v>
      </c>
      <c r="I62" s="1412"/>
      <c r="J62" s="1412"/>
      <c r="K62" s="1412"/>
      <c r="L62" s="1412"/>
      <c r="M62" s="1412"/>
      <c r="N62" s="1412"/>
      <c r="O62" s="1412"/>
      <c r="P62" s="1412"/>
      <c r="Q62" s="1412"/>
      <c r="R62" s="1412"/>
      <c r="S62" s="1412"/>
      <c r="T62" s="438" cm="1" t="str">
        <f t="array" ref="T62:T62">T61</f>
        <v>false</v>
      </c>
      <c r="U62" s="1412"/>
      <c r="V62" s="1412"/>
      <c r="W62" s="1412"/>
      <c r="X62" s="1541"/>
      <c r="Y62" s="1412"/>
      <c r="Z62" s="1542"/>
      <c r="AA62" s="1412"/>
      <c r="AB62" s="690" t="s">
        <v>1226</v>
      </c>
      <c r="AC62" s="522" t="s">
        <v>2153</v>
      </c>
      <c r="AD62" s="521" t="s">
        <v>789</v>
      </c>
      <c r="AE62" s="530">
        <f>AE63+AE66</f>
        <v>0</v>
      </c>
      <c r="AF62" s="1395"/>
      <c r="AG62" s="1395"/>
      <c r="AH62" s="1039" t="s">
        <v>1652</v>
      </c>
      <c r="AI62" s="1267"/>
      <c r="AJ62" s="1267"/>
      <c r="AK62" s="1397"/>
      <c r="AL62" s="1397"/>
      <c r="AM62" s="3943"/>
      <c r="AN62" s="3943"/>
      <c r="AO62" s="3943"/>
      <c r="AP62" s="3943"/>
    </row>
    <row customHeight="1" ht="21.9375" hidden="1">
      <c r="A63" s="643"/>
      <c r="B63" s="1412"/>
      <c r="C63" s="1412"/>
      <c r="D63" s="1412"/>
      <c r="E63" s="625">
        <v>22.5</v>
      </c>
      <c r="F63" s="50" cm="1" t="str">
        <f t="array" ref="F63:F63">OFFSET(E63,-1,1)</f>
        <v>0</v>
      </c>
      <c r="G63" s="1412"/>
      <c r="H63" s="461" t="s">
        <v>2154</v>
      </c>
      <c r="I63" s="1412"/>
      <c r="J63" s="1412"/>
      <c r="K63" s="1412"/>
      <c r="L63" s="1412"/>
      <c r="M63" s="1412"/>
      <c r="N63" s="1412"/>
      <c r="O63" s="1412"/>
      <c r="P63" s="1412"/>
      <c r="Q63" s="1412"/>
      <c r="R63" s="1412"/>
      <c r="S63" s="1412"/>
      <c r="T63" s="438" cm="1" t="str">
        <f t="array" ref="T63:T63">T62</f>
        <v>false</v>
      </c>
      <c r="U63" s="1412"/>
      <c r="V63" s="1412"/>
      <c r="W63" s="1412"/>
      <c r="X63" s="1541"/>
      <c r="Y63" s="1412"/>
      <c r="Z63" s="1542"/>
      <c r="AA63" s="1412"/>
      <c r="AB63" s="690" t="s">
        <v>2155</v>
      </c>
      <c r="AC63" s="523" t="s">
        <v>1653</v>
      </c>
      <c r="AD63" s="521" t="s">
        <v>789</v>
      </c>
      <c r="AE63" s="3955"/>
      <c r="AF63" s="1395"/>
      <c r="AG63" s="1395"/>
      <c r="AH63" s="1039" t="s">
        <v>1073</v>
      </c>
      <c r="AI63" s="1267"/>
      <c r="AJ63" s="1267"/>
      <c r="AK63" s="1397"/>
      <c r="AL63" s="1397"/>
      <c r="AM63" s="3943"/>
      <c r="AN63" s="3943"/>
      <c r="AO63" s="3943"/>
      <c r="AP63" s="3943"/>
    </row>
    <row customHeight="1" ht="14.625" hidden="1">
      <c r="A64" s="643"/>
      <c r="B64" s="1412"/>
      <c r="C64" s="1412"/>
      <c r="D64" s="1412"/>
      <c r="E64" s="625">
        <v>15</v>
      </c>
      <c r="F64" s="50" cm="1" t="str">
        <f t="array" ref="F64:F64">OFFSET(E64,-1,1)</f>
        <v>0</v>
      </c>
      <c r="G64" s="1412"/>
      <c r="H64" s="461" t="s">
        <v>2156</v>
      </c>
      <c r="I64" s="1412"/>
      <c r="J64" s="1412"/>
      <c r="K64" s="1412"/>
      <c r="L64" s="1412"/>
      <c r="M64" s="1412"/>
      <c r="N64" s="1412"/>
      <c r="O64" s="1412"/>
      <c r="P64" s="1412"/>
      <c r="Q64" s="1412"/>
      <c r="R64" s="1412"/>
      <c r="S64" s="1412"/>
      <c r="T64" s="438" cm="1" t="str">
        <f t="array" ref="T64:T64">T63</f>
        <v>false</v>
      </c>
      <c r="U64" s="1412"/>
      <c r="V64" s="1412"/>
      <c r="W64" s="1412"/>
      <c r="X64" s="1541"/>
      <c r="Y64" s="1412"/>
      <c r="Z64" s="1542"/>
      <c r="AA64" s="1412"/>
      <c r="AB64" s="690" t="s">
        <v>2157</v>
      </c>
      <c r="AC64" s="524" t="s">
        <v>2158</v>
      </c>
      <c r="AD64" s="521" t="s">
        <v>2100</v>
      </c>
      <c r="AE64" s="3955"/>
      <c r="AF64" s="1395"/>
      <c r="AG64" s="1395"/>
      <c r="AH64" s="978" t="s">
        <v>2159</v>
      </c>
      <c r="AI64" s="1267"/>
      <c r="AJ64" s="1267"/>
      <c r="AK64" s="1397"/>
      <c r="AL64" s="1397"/>
      <c r="AM64" s="3943"/>
      <c r="AN64" s="3943"/>
      <c r="AO64" s="3943"/>
      <c r="AP64" s="3943"/>
    </row>
    <row customHeight="1" ht="21.9375" hidden="1">
      <c r="A65" s="643"/>
      <c r="B65" s="1412"/>
      <c r="C65" s="1412"/>
      <c r="D65" s="1412"/>
      <c r="E65" s="625">
        <v>22.5</v>
      </c>
      <c r="F65" s="50" cm="1" t="str">
        <f t="array" ref="F65:F65">OFFSET(E65,-1,1)</f>
        <v>0</v>
      </c>
      <c r="G65" s="1412"/>
      <c r="H65" s="461" t="s">
        <v>2160</v>
      </c>
      <c r="I65" s="1412"/>
      <c r="J65" s="1412"/>
      <c r="K65" s="1412"/>
      <c r="L65" s="1412"/>
      <c r="M65" s="1412"/>
      <c r="N65" s="1412"/>
      <c r="O65" s="1412"/>
      <c r="P65" s="1412"/>
      <c r="Q65" s="1412"/>
      <c r="R65" s="1412"/>
      <c r="S65" s="1412"/>
      <c r="T65" s="438" cm="1" t="str">
        <f t="array" ref="T65:T65">T64</f>
        <v>false</v>
      </c>
      <c r="U65" s="1412"/>
      <c r="V65" s="1412"/>
      <c r="W65" s="1412"/>
      <c r="X65" s="1541"/>
      <c r="Y65" s="1412"/>
      <c r="Z65" s="1542"/>
      <c r="AA65" s="1412"/>
      <c r="AB65" s="690" t="s">
        <v>2161</v>
      </c>
      <c r="AC65" s="524" t="s">
        <v>2162</v>
      </c>
      <c r="AD65" s="521" t="s">
        <v>2105</v>
      </c>
      <c r="AE65" s="3955"/>
      <c r="AF65" s="1395"/>
      <c r="AG65" s="1395"/>
      <c r="AH65" s="978" t="s">
        <v>2163</v>
      </c>
      <c r="AI65" s="1267"/>
      <c r="AJ65" s="1267"/>
      <c r="AK65" s="1397"/>
      <c r="AL65" s="1397"/>
      <c r="AM65" s="3943"/>
      <c r="AN65" s="3943"/>
      <c r="AO65" s="3943"/>
      <c r="AP65" s="3943"/>
    </row>
    <row customHeight="1" ht="21.9375" hidden="1">
      <c r="A66" s="643"/>
      <c r="B66" s="1412"/>
      <c r="C66" s="1412"/>
      <c r="D66" s="1412"/>
      <c r="E66" s="625">
        <v>22.5</v>
      </c>
      <c r="F66" s="50" cm="1" t="str">
        <f t="array" ref="F66:F66">OFFSET(E66,-1,1)</f>
        <v>0</v>
      </c>
      <c r="G66" s="1412"/>
      <c r="H66" s="461" t="s">
        <v>2164</v>
      </c>
      <c r="I66" s="1412"/>
      <c r="J66" s="1412"/>
      <c r="K66" s="1412"/>
      <c r="L66" s="1412"/>
      <c r="M66" s="1412"/>
      <c r="N66" s="1412"/>
      <c r="O66" s="1412"/>
      <c r="P66" s="1412"/>
      <c r="Q66" s="1412"/>
      <c r="R66" s="1412"/>
      <c r="S66" s="1412"/>
      <c r="T66" s="438" cm="1" t="str">
        <f t="array" ref="T66:T66">T65</f>
        <v>false</v>
      </c>
      <c r="U66" s="1412"/>
      <c r="V66" s="1412"/>
      <c r="W66" s="1412"/>
      <c r="X66" s="1541"/>
      <c r="Y66" s="1412"/>
      <c r="Z66" s="1542"/>
      <c r="AA66" s="1412"/>
      <c r="AB66" s="690" t="s">
        <v>2165</v>
      </c>
      <c r="AC66" s="523" t="s">
        <v>1852</v>
      </c>
      <c r="AD66" s="521" t="s">
        <v>789</v>
      </c>
      <c r="AE66" s="3955"/>
      <c r="AF66" s="1395"/>
      <c r="AG66" s="1395"/>
      <c r="AH66" s="1039" t="s">
        <v>1655</v>
      </c>
      <c r="AI66" s="1267"/>
      <c r="AJ66" s="1267"/>
      <c r="AK66" s="1397"/>
      <c r="AL66" s="1397"/>
      <c r="AM66" s="3943"/>
      <c r="AN66" s="3943"/>
      <c r="AO66" s="3943"/>
      <c r="AP66" s="3943"/>
    </row>
    <row customHeight="1" ht="21.9375" hidden="1">
      <c r="A67" s="643"/>
      <c r="B67" s="1412"/>
      <c r="C67" s="1412"/>
      <c r="D67" s="1412"/>
      <c r="E67" s="625">
        <v>22.5</v>
      </c>
      <c r="F67" s="50" cm="1" t="str">
        <f t="array" ref="F67:F67">OFFSET(E67,-1,1)</f>
        <v>0</v>
      </c>
      <c r="G67" s="1412"/>
      <c r="H67" s="461" t="s">
        <v>1229</v>
      </c>
      <c r="I67" s="1412"/>
      <c r="J67" s="1412"/>
      <c r="K67" s="1412"/>
      <c r="L67" s="1412"/>
      <c r="M67" s="1412"/>
      <c r="N67" s="1412"/>
      <c r="O67" s="1412"/>
      <c r="P67" s="1412"/>
      <c r="Q67" s="1412"/>
      <c r="R67" s="1412"/>
      <c r="S67" s="1412"/>
      <c r="T67" s="438" cm="1" t="str">
        <f t="array" ref="T67:T67">T66</f>
        <v>false</v>
      </c>
      <c r="U67" s="1412"/>
      <c r="V67" s="1412"/>
      <c r="W67" s="1412"/>
      <c r="X67" s="1541"/>
      <c r="Y67" s="1412"/>
      <c r="Z67" s="1542"/>
      <c r="AA67" s="1412"/>
      <c r="AB67" s="690" t="s">
        <v>1230</v>
      </c>
      <c r="AC67" s="522" t="s">
        <v>2166</v>
      </c>
      <c r="AD67" s="521" t="s">
        <v>789</v>
      </c>
      <c r="AE67" s="3955"/>
      <c r="AF67" s="1395"/>
      <c r="AG67" s="1395"/>
      <c r="AH67" s="1039" t="s">
        <v>1104</v>
      </c>
      <c r="AI67" s="1267"/>
      <c r="AJ67" s="1267"/>
      <c r="AK67" s="1397"/>
      <c r="AL67" s="1397"/>
      <c r="AM67" s="3943"/>
      <c r="AN67" s="3943"/>
      <c r="AO67" s="3943"/>
      <c r="AP67" s="3943"/>
    </row>
    <row customHeight="1" ht="14.625" hidden="1">
      <c r="A68" s="643"/>
      <c r="B68" s="1412"/>
      <c r="C68" s="1412"/>
      <c r="D68" s="1412"/>
      <c r="E68" s="625">
        <v>15</v>
      </c>
      <c r="F68" s="50" cm="1" t="str">
        <f t="array" ref="F68:F68">OFFSET(E68,-1,1)</f>
        <v>0</v>
      </c>
      <c r="G68" s="1412"/>
      <c r="H68" s="461" t="s">
        <v>2167</v>
      </c>
      <c r="I68" s="1412"/>
      <c r="J68" s="1412"/>
      <c r="K68" s="1412"/>
      <c r="L68" s="1412"/>
      <c r="M68" s="1412"/>
      <c r="N68" s="1412"/>
      <c r="O68" s="1412"/>
      <c r="P68" s="1412"/>
      <c r="Q68" s="1412"/>
      <c r="R68" s="1412"/>
      <c r="S68" s="1412"/>
      <c r="T68" s="438" cm="1" t="str">
        <f t="array" ref="T68:T68">T67</f>
        <v>false</v>
      </c>
      <c r="U68" s="1412"/>
      <c r="V68" s="1412"/>
      <c r="W68" s="1412"/>
      <c r="X68" s="1541"/>
      <c r="Y68" s="1412"/>
      <c r="Z68" s="1542"/>
      <c r="AA68" s="1412"/>
      <c r="AB68" s="690" t="s">
        <v>2168</v>
      </c>
      <c r="AC68" s="522" t="s">
        <v>1106</v>
      </c>
      <c r="AD68" s="521" t="s">
        <v>789</v>
      </c>
      <c r="AE68" s="3955"/>
      <c r="AF68" s="1395"/>
      <c r="AG68" s="1395"/>
      <c r="AH68" s="1039" t="s">
        <v>1107</v>
      </c>
      <c r="AI68" s="1267"/>
      <c r="AJ68" s="1267"/>
      <c r="AK68" s="1397"/>
      <c r="AL68" s="1397"/>
      <c r="AM68" s="3943"/>
      <c r="AN68" s="3943"/>
      <c r="AO68" s="3943"/>
      <c r="AP68" s="3943"/>
    </row>
    <row customHeight="1" ht="14.625" hidden="1">
      <c r="A69" s="643"/>
      <c r="B69" s="1412"/>
      <c r="C69" s="1412"/>
      <c r="D69" s="1412"/>
      <c r="E69" s="625">
        <v>15</v>
      </c>
      <c r="F69" s="50" cm="1" t="str">
        <f t="array" ref="F69:F69">OFFSET(E69,-1,1)</f>
        <v>0</v>
      </c>
      <c r="G69" s="1412"/>
      <c r="H69" s="461" t="s">
        <v>2169</v>
      </c>
      <c r="I69" s="1412"/>
      <c r="J69" s="1412"/>
      <c r="K69" s="1412"/>
      <c r="L69" s="1412"/>
      <c r="M69" s="1412"/>
      <c r="N69" s="1412"/>
      <c r="O69" s="1412"/>
      <c r="P69" s="1412"/>
      <c r="Q69" s="1412"/>
      <c r="R69" s="1412"/>
      <c r="S69" s="1412"/>
      <c r="T69" s="438" cm="1" t="str">
        <f t="array" ref="T69:T69">T68</f>
        <v>false</v>
      </c>
      <c r="U69" s="1412"/>
      <c r="V69" s="1412"/>
      <c r="W69" s="1412"/>
      <c r="X69" s="1541"/>
      <c r="Y69" s="1412"/>
      <c r="Z69" s="1542"/>
      <c r="AA69" s="1412"/>
      <c r="AB69" s="690" t="s">
        <v>2170</v>
      </c>
      <c r="AC69" s="522" t="s">
        <v>1109</v>
      </c>
      <c r="AD69" s="521" t="s">
        <v>789</v>
      </c>
      <c r="AE69" s="3955"/>
      <c r="AF69" s="1395"/>
      <c r="AG69" s="1395"/>
      <c r="AH69" s="1039" t="s">
        <v>1110</v>
      </c>
      <c r="AI69" s="1267"/>
      <c r="AJ69" s="1267"/>
      <c r="AK69" s="1397"/>
      <c r="AL69" s="1397"/>
      <c r="AM69" s="3943"/>
      <c r="AN69" s="3943"/>
      <c r="AO69" s="3943"/>
      <c r="AP69" s="3943"/>
    </row>
    <row customHeight="1" ht="21.9375" hidden="1">
      <c r="A70" s="643"/>
      <c r="B70" s="1412"/>
      <c r="C70" s="1412"/>
      <c r="D70" s="1412"/>
      <c r="E70" s="625">
        <v>22.5</v>
      </c>
      <c r="F70" s="50" cm="1" t="str">
        <f t="array" ref="F70:F70">OFFSET(E70,-1,1)</f>
        <v>0</v>
      </c>
      <c r="G70" s="1412"/>
      <c r="H70" s="461" t="s">
        <v>2171</v>
      </c>
      <c r="I70" s="1412"/>
      <c r="J70" s="1412"/>
      <c r="K70" s="1412"/>
      <c r="L70" s="1412"/>
      <c r="M70" s="1412"/>
      <c r="N70" s="1412"/>
      <c r="O70" s="1412"/>
      <c r="P70" s="1412"/>
      <c r="Q70" s="1412"/>
      <c r="R70" s="1412"/>
      <c r="S70" s="1412"/>
      <c r="T70" s="438" cm="1" t="str">
        <f t="array" ref="T70:T70">T69</f>
        <v>false</v>
      </c>
      <c r="U70" s="1412"/>
      <c r="V70" s="1412"/>
      <c r="W70" s="1412"/>
      <c r="X70" s="1541"/>
      <c r="Y70" s="1412"/>
      <c r="Z70" s="1542"/>
      <c r="AA70" s="1412"/>
      <c r="AB70" s="690" t="s">
        <v>2172</v>
      </c>
      <c r="AC70" s="522" t="s">
        <v>2173</v>
      </c>
      <c r="AD70" s="521" t="s">
        <v>789</v>
      </c>
      <c r="AE70" s="3955"/>
      <c r="AF70" s="1395"/>
      <c r="AG70" s="1395"/>
      <c r="AH70" s="1039" t="s">
        <v>1657</v>
      </c>
      <c r="AI70" s="1267"/>
      <c r="AJ70" s="1267"/>
      <c r="AK70" s="1397"/>
      <c r="AL70" s="1397"/>
      <c r="AM70" s="3943"/>
      <c r="AN70" s="3943"/>
      <c r="AO70" s="3943"/>
      <c r="AP70" s="3943"/>
    </row>
    <row customHeight="1" ht="14.625" hidden="1">
      <c r="A71" s="643"/>
      <c r="B71" s="1412"/>
      <c r="C71" s="1412"/>
      <c r="D71" s="1412"/>
      <c r="E71" s="625">
        <v>15</v>
      </c>
      <c r="F71" s="50" cm="1" t="str">
        <f t="array" ref="F71:F71">OFFSET(E71,-1,1)</f>
        <v>0</v>
      </c>
      <c r="G71" s="1412"/>
      <c r="H71" s="461" t="s">
        <v>2174</v>
      </c>
      <c r="I71" s="1412"/>
      <c r="J71" s="1412"/>
      <c r="K71" s="1412"/>
      <c r="L71" s="1412"/>
      <c r="M71" s="1412"/>
      <c r="N71" s="1412"/>
      <c r="O71" s="1412"/>
      <c r="P71" s="1412"/>
      <c r="Q71" s="1412"/>
      <c r="R71" s="1412"/>
      <c r="S71" s="1412"/>
      <c r="T71" s="438" cm="1" t="str">
        <f t="array" ref="T71:T71">T70</f>
        <v>false</v>
      </c>
      <c r="U71" s="1412"/>
      <c r="V71" s="1412"/>
      <c r="W71" s="1412"/>
      <c r="X71" s="1541"/>
      <c r="Y71" s="1412"/>
      <c r="Z71" s="1542"/>
      <c r="AA71" s="1412"/>
      <c r="AB71" s="690" t="s">
        <v>2175</v>
      </c>
      <c r="AC71" s="522" t="s">
        <v>2176</v>
      </c>
      <c r="AD71" s="521" t="s">
        <v>789</v>
      </c>
      <c r="AE71" s="530">
        <f>AE72+AE73+AE74</f>
        <v>0</v>
      </c>
      <c r="AF71" s="1395"/>
      <c r="AG71" s="1395"/>
      <c r="AH71" s="1039" t="s">
        <v>1659</v>
      </c>
      <c r="AI71" s="1267"/>
      <c r="AJ71" s="1267"/>
      <c r="AK71" s="1397"/>
      <c r="AL71" s="1397"/>
      <c r="AM71" s="3943"/>
      <c r="AN71" s="3943"/>
      <c r="AO71" s="3943"/>
      <c r="AP71" s="3943"/>
    </row>
    <row customHeight="1" ht="14.625" hidden="1">
      <c r="A72" s="643"/>
      <c r="B72" s="1412"/>
      <c r="C72" s="1412"/>
      <c r="D72" s="1412"/>
      <c r="E72" s="625">
        <v>15</v>
      </c>
      <c r="F72" s="50" cm="1" t="str">
        <f t="array" ref="F72:F72">OFFSET(E72,-1,1)</f>
        <v>0</v>
      </c>
      <c r="G72" s="1412"/>
      <c r="H72" s="461" t="s">
        <v>2177</v>
      </c>
      <c r="I72" s="1412"/>
      <c r="J72" s="1412"/>
      <c r="K72" s="1412"/>
      <c r="L72" s="1412"/>
      <c r="M72" s="1412"/>
      <c r="N72" s="1412"/>
      <c r="O72" s="1412"/>
      <c r="P72" s="1412"/>
      <c r="Q72" s="1412"/>
      <c r="R72" s="1412"/>
      <c r="S72" s="1412"/>
      <c r="T72" s="438" cm="1" t="str">
        <f t="array" ref="T72:T72">T71</f>
        <v>false</v>
      </c>
      <c r="U72" s="1412"/>
      <c r="V72" s="1412"/>
      <c r="W72" s="1412"/>
      <c r="X72" s="1541"/>
      <c r="Y72" s="1412"/>
      <c r="Z72" s="1542"/>
      <c r="AA72" s="1412"/>
      <c r="AB72" s="690" t="s">
        <v>2178</v>
      </c>
      <c r="AC72" s="523" t="s">
        <v>2179</v>
      </c>
      <c r="AD72" s="521" t="s">
        <v>789</v>
      </c>
      <c r="AE72" s="3955"/>
      <c r="AF72" s="1395"/>
      <c r="AG72" s="1395"/>
      <c r="AH72" s="1039" t="s">
        <v>1663</v>
      </c>
      <c r="AI72" s="1267"/>
      <c r="AJ72" s="1267"/>
      <c r="AK72" s="1397"/>
      <c r="AL72" s="1397"/>
      <c r="AM72" s="3943"/>
      <c r="AN72" s="3943"/>
      <c r="AO72" s="3943"/>
      <c r="AP72" s="3943"/>
    </row>
    <row customHeight="1" ht="14.625" hidden="1">
      <c r="A73" s="643"/>
      <c r="B73" s="1412"/>
      <c r="C73" s="1412"/>
      <c r="D73" s="1412"/>
      <c r="E73" s="625">
        <v>15</v>
      </c>
      <c r="F73" s="50" cm="1" t="str">
        <f t="array" ref="F73:F73">OFFSET(E73,-1,1)</f>
        <v>0</v>
      </c>
      <c r="G73" s="1412"/>
      <c r="H73" s="461" t="s">
        <v>2180</v>
      </c>
      <c r="I73" s="1412"/>
      <c r="J73" s="1412"/>
      <c r="K73" s="1412"/>
      <c r="L73" s="1412"/>
      <c r="M73" s="1412"/>
      <c r="N73" s="1412"/>
      <c r="O73" s="1412"/>
      <c r="P73" s="1412"/>
      <c r="Q73" s="1412"/>
      <c r="R73" s="1412"/>
      <c r="S73" s="1412"/>
      <c r="T73" s="438" cm="1" t="str">
        <f t="array" ref="T73:T73">T72</f>
        <v>false</v>
      </c>
      <c r="U73" s="1412"/>
      <c r="V73" s="1412"/>
      <c r="W73" s="1412"/>
      <c r="X73" s="1541"/>
      <c r="Y73" s="1412"/>
      <c r="Z73" s="1542"/>
      <c r="AA73" s="1412"/>
      <c r="AB73" s="691" t="s">
        <v>2181</v>
      </c>
      <c r="AC73" s="525" t="s">
        <v>2182</v>
      </c>
      <c r="AD73" s="526" t="s">
        <v>789</v>
      </c>
      <c r="AE73" s="3955"/>
      <c r="AF73" s="1395"/>
      <c r="AG73" s="1395"/>
      <c r="AH73" s="1039" t="s">
        <v>1666</v>
      </c>
      <c r="AI73" s="1267"/>
      <c r="AJ73" s="1267"/>
      <c r="AK73" s="1397"/>
      <c r="AL73" s="1397"/>
      <c r="AM73" s="3943"/>
      <c r="AN73" s="3943"/>
      <c r="AO73" s="3943"/>
      <c r="AP73" s="3943"/>
    </row>
    <row customHeight="1" ht="14.625" hidden="1">
      <c r="A74" s="643"/>
      <c r="B74" s="1412"/>
      <c r="C74" s="1412"/>
      <c r="D74" s="1412"/>
      <c r="E74" s="625">
        <v>15</v>
      </c>
      <c r="F74" s="50" cm="1" t="str">
        <f t="array" ref="F74:F74">OFFSET(E74,-1,1)</f>
        <v>0</v>
      </c>
      <c r="G74" s="1412"/>
      <c r="H74" s="461" t="s">
        <v>2183</v>
      </c>
      <c r="I74" s="1412"/>
      <c r="J74" s="1412"/>
      <c r="K74" s="1412"/>
      <c r="L74" s="1412"/>
      <c r="M74" s="1412"/>
      <c r="N74" s="1412"/>
      <c r="O74" s="1412"/>
      <c r="P74" s="1412"/>
      <c r="Q74" s="1412"/>
      <c r="R74" s="1412"/>
      <c r="S74" s="1412"/>
      <c r="T74" s="438" cm="1" t="str">
        <f t="array" ref="T74:T74">T73</f>
        <v>false</v>
      </c>
      <c r="U74" s="1412"/>
      <c r="V74" s="1412"/>
      <c r="W74" s="1412"/>
      <c r="X74" s="1541"/>
      <c r="Y74" s="1412"/>
      <c r="Z74" s="1542"/>
      <c r="AA74" s="1412"/>
      <c r="AB74" s="691" t="s">
        <v>2184</v>
      </c>
      <c r="AC74" s="525" t="s">
        <v>1123</v>
      </c>
      <c r="AD74" s="526" t="s">
        <v>789</v>
      </c>
      <c r="AE74" s="3955"/>
      <c r="AF74" s="1395"/>
      <c r="AG74" s="1395"/>
      <c r="AH74" s="1039" t="s">
        <v>1669</v>
      </c>
      <c r="AI74" s="1267"/>
      <c r="AJ74" s="1267"/>
      <c r="AK74" s="1397"/>
      <c r="AL74" s="1397"/>
      <c r="AM74" s="3943"/>
      <c r="AN74" s="3943"/>
      <c r="AO74" s="3943"/>
      <c r="AP74" s="3943"/>
    </row>
    <row customHeight="1" ht="14.625" hidden="1">
      <c r="A75" s="643"/>
      <c r="B75" s="1412"/>
      <c r="C75" s="1412"/>
      <c r="D75" s="1412"/>
      <c r="E75" s="625">
        <v>15</v>
      </c>
      <c r="F75" s="50" cm="1" t="str">
        <f t="array" ref="F75:F75">OFFSET(E75,-1,1)</f>
        <v>0</v>
      </c>
      <c r="G75" s="1412"/>
      <c r="H75" s="461" t="s">
        <v>445</v>
      </c>
      <c r="I75" s="1412"/>
      <c r="J75" s="1412"/>
      <c r="K75" s="1412"/>
      <c r="L75" s="1412"/>
      <c r="M75" s="1412"/>
      <c r="N75" s="1412"/>
      <c r="O75" s="1412"/>
      <c r="P75" s="1412"/>
      <c r="Q75" s="1412"/>
      <c r="R75" s="1412"/>
      <c r="S75" s="1412"/>
      <c r="T75" s="438" cm="1" t="str">
        <f t="array" ref="T75:T75">T74</f>
        <v>false</v>
      </c>
      <c r="U75" s="1412"/>
      <c r="V75" s="1412"/>
      <c r="W75" s="1412"/>
      <c r="X75" s="1541"/>
      <c r="Y75" s="1412"/>
      <c r="Z75" s="1542"/>
      <c r="AA75" s="1412"/>
      <c r="AB75" s="691" t="s">
        <v>853</v>
      </c>
      <c r="AC75" s="527" t="s">
        <v>2185</v>
      </c>
      <c r="AD75" s="526" t="s">
        <v>789</v>
      </c>
      <c r="AE75" s="530">
        <f>SUM(AE76:AE77)</f>
        <v>0</v>
      </c>
      <c r="AF75" s="1395"/>
      <c r="AG75" s="1395"/>
      <c r="AH75" s="1041" t="s">
        <v>2186</v>
      </c>
      <c r="AI75" s="1267"/>
      <c r="AJ75" s="1267"/>
      <c r="AK75" s="1397"/>
      <c r="AL75" s="1397"/>
      <c r="AM75" s="3943"/>
      <c r="AN75" s="3943"/>
      <c r="AO75" s="3943"/>
      <c r="AP75" s="3943"/>
    </row>
    <row customHeight="1" ht="14.625" hidden="1">
      <c r="A76" s="643"/>
      <c r="B76" s="1412"/>
      <c r="C76" s="1412"/>
      <c r="D76" s="1412"/>
      <c r="E76" s="625">
        <v>15</v>
      </c>
      <c r="F76" s="50" cm="1" t="str">
        <f t="array" ref="F76:F76">OFFSET(E76,-1,1)</f>
        <v>0</v>
      </c>
      <c r="G76" s="1412"/>
      <c r="H76" s="461" t="s">
        <v>445</v>
      </c>
      <c r="I76" s="536" cm="1" t="str">
        <f t="array" ref="I76:I76">AC76</f>
        <v>0</v>
      </c>
      <c r="J76" s="1412"/>
      <c r="K76" s="1412"/>
      <c r="L76" s="1412"/>
      <c r="M76" s="1412"/>
      <c r="N76" s="1412"/>
      <c r="O76" s="1412"/>
      <c r="P76" s="1412"/>
      <c r="Q76" s="1412"/>
      <c r="R76" s="1412"/>
      <c r="S76" s="1412"/>
      <c r="T76" s="438">
        <f>AND(F76&gt;0,Y76&gt;0)</f>
        <v>0</v>
      </c>
      <c r="U76" s="1412"/>
      <c r="V76" s="1412"/>
      <c r="W76" s="528" t="s">
        <v>172</v>
      </c>
      <c r="X76" s="1541"/>
      <c r="Y76" s="461">
        <v>0</v>
      </c>
      <c r="Z76" s="1542"/>
      <c r="AA76" s="1254" t="s">
        <v>173</v>
      </c>
      <c r="AB76" s="690" t="str">
        <f>"1.4."&amp;Y76</f>
        <v>1.4.0</v>
      </c>
      <c r="AC76" s="3969"/>
      <c r="AD76" s="521" t="s">
        <v>789</v>
      </c>
      <c r="AE76" s="3970"/>
      <c r="AF76" s="1395"/>
      <c r="AG76" s="1395"/>
      <c r="AH76" s="1041" t="s">
        <v>2186</v>
      </c>
      <c r="AI76" s="978" t="s">
        <v>2187</v>
      </c>
      <c r="AJ76" s="978" cm="1" t="str">
        <f t="array" ref="AJ76:AJ76">AC76</f>
        <v>0</v>
      </c>
      <c r="AK76" s="1397"/>
      <c r="AL76" s="632" t="b">
        <v>1</v>
      </c>
      <c r="AM76" s="3943"/>
      <c r="AN76" s="3943"/>
      <c r="AO76" s="3943"/>
      <c r="AP76" s="3943"/>
    </row>
    <row customHeight="1" ht="14.625" hidden="1">
      <c r="A77" s="643"/>
      <c r="B77" s="1412"/>
      <c r="C77" s="1412"/>
      <c r="D77" s="1412"/>
      <c r="E77" s="625">
        <v>15</v>
      </c>
      <c r="F77" s="50" cm="1" t="str">
        <f t="array" ref="F77:F77">OFFSET(E77,-1,1)</f>
        <v>0</v>
      </c>
      <c r="G77" s="1412"/>
      <c r="H77" s="1412"/>
      <c r="I77" s="1256" t="str">
        <f>"!== 'не определено' &amp;&amp; row.l1_4 !== null"</f>
        <v>!== 'не определено' &amp;&amp; row.l1_4 !== null</v>
      </c>
      <c r="J77" s="1412"/>
      <c r="K77" s="1412"/>
      <c r="L77" s="1412"/>
      <c r="M77" s="1412"/>
      <c r="N77" s="1412"/>
      <c r="O77" s="1412"/>
      <c r="P77" s="1412"/>
      <c r="Q77" s="1412"/>
      <c r="R77" s="1412"/>
      <c r="S77" s="1412"/>
      <c r="T77" s="438">
        <f>F77&gt;0</f>
        <v>0</v>
      </c>
      <c r="U77" s="1412"/>
      <c r="V77" s="1412"/>
      <c r="W77" s="1358" t="s">
        <v>388</v>
      </c>
      <c r="X77" s="1541"/>
      <c r="Y77" s="1412"/>
      <c r="Z77" s="1542"/>
      <c r="AA77" s="1412"/>
      <c r="AB77" s="1257"/>
      <c r="AC77" s="1258" t="s">
        <v>176</v>
      </c>
      <c r="AD77" s="1259"/>
      <c r="AE77" s="1311"/>
      <c r="AF77" s="1395"/>
      <c r="AG77" s="1395"/>
      <c r="AH77" s="1267"/>
      <c r="AI77" s="1267"/>
      <c r="AJ77" s="1267"/>
      <c r="AK77" s="632" t="s">
        <v>2187</v>
      </c>
      <c r="AL77" s="1397"/>
      <c r="AM77" s="3943"/>
      <c r="AN77" s="3943"/>
      <c r="AO77" s="3943"/>
      <c r="AP77" s="3943"/>
    </row>
    <row customHeight="1" ht="14.625" hidden="1">
      <c r="A78" s="643"/>
      <c r="B78" s="1412"/>
      <c r="C78" s="1412"/>
      <c r="D78" s="1412"/>
      <c r="E78" s="625">
        <v>15</v>
      </c>
      <c r="F78" s="50" cm="1" t="str">
        <f t="array" ref="F78:F78">OFFSET(E78,-1,1)</f>
        <v>0</v>
      </c>
      <c r="G78" s="1412"/>
      <c r="H78" s="461" t="s">
        <v>322</v>
      </c>
      <c r="I78" s="1412"/>
      <c r="J78" s="1412"/>
      <c r="K78" s="1412"/>
      <c r="L78" s="1412"/>
      <c r="M78" s="1412"/>
      <c r="N78" s="1412"/>
      <c r="O78" s="1412"/>
      <c r="P78" s="1412"/>
      <c r="Q78" s="1412"/>
      <c r="R78" s="1412"/>
      <c r="S78" s="1412"/>
      <c r="T78" s="438" cm="1" t="str">
        <f t="array" ref="T78:T78">T77</f>
        <v>false</v>
      </c>
      <c r="U78" s="1412"/>
      <c r="V78" s="1412"/>
      <c r="W78" s="1412"/>
      <c r="X78" s="1541"/>
      <c r="Y78" s="1412"/>
      <c r="Z78" s="1542"/>
      <c r="AA78" s="1412"/>
      <c r="AB78" s="689" t="s">
        <v>504</v>
      </c>
      <c r="AC78" s="518" t="s">
        <v>1877</v>
      </c>
      <c r="AD78" s="519" t="s">
        <v>789</v>
      </c>
      <c r="AE78" s="530">
        <f>AE79+AE91+AE92+AE102+AE103+AE104+AE107+AE108+AE109+AE110+AE111+AE112</f>
        <v>0</v>
      </c>
      <c r="AF78" s="1395"/>
      <c r="AG78" s="1395"/>
      <c r="AH78" s="978" t="s">
        <v>2188</v>
      </c>
      <c r="AI78" s="1267"/>
      <c r="AJ78" s="1267"/>
      <c r="AK78" s="1397"/>
      <c r="AL78" s="1397"/>
      <c r="AM78" s="3943"/>
      <c r="AN78" s="3943"/>
      <c r="AO78" s="3943"/>
      <c r="AP78" s="3943"/>
    </row>
    <row s="1353" customFormat="1" customHeight="1" ht="26.325000000000003" hidden="1">
      <c r="A79" s="643"/>
      <c r="B79" s="461"/>
      <c r="C79" s="461"/>
      <c r="D79" s="461"/>
      <c r="E79" s="625">
        <v>27</v>
      </c>
      <c r="F79" s="496" cm="1" t="str">
        <f t="array" ref="F79:F79">OFFSET(E79,-1,1)</f>
        <v>0</v>
      </c>
      <c r="G79" s="461"/>
      <c r="H79" s="461"/>
      <c r="I79" s="461"/>
      <c r="J79" s="461"/>
      <c r="K79" s="461"/>
      <c r="L79" s="461"/>
      <c r="M79" s="461"/>
      <c r="N79" s="461"/>
      <c r="O79" s="461"/>
      <c r="P79" s="461"/>
      <c r="Q79" s="461"/>
      <c r="R79" s="461"/>
      <c r="S79" s="461"/>
      <c r="T79" s="438" cm="1" t="str">
        <f t="array" ref="T79:T79">T78</f>
        <v>false</v>
      </c>
      <c r="U79" s="461"/>
      <c r="V79" s="461"/>
      <c r="W79" s="461"/>
      <c r="X79" s="1541"/>
      <c r="Y79" s="461"/>
      <c r="Z79" s="1542"/>
      <c r="AA79" s="461"/>
      <c r="AB79" s="1248" t="s">
        <v>509</v>
      </c>
      <c r="AC79" s="1260" t="s">
        <v>1879</v>
      </c>
      <c r="AD79" s="1247" t="s">
        <v>789</v>
      </c>
      <c r="AE79" s="530">
        <f>SUM(AE80:AE90)</f>
        <v>0</v>
      </c>
      <c r="AF79" s="1086"/>
      <c r="AG79" s="1086"/>
      <c r="AH79" s="1041" t="s">
        <v>1124</v>
      </c>
      <c r="AI79" s="1035"/>
      <c r="AJ79" s="1035"/>
      <c r="AK79" s="942"/>
      <c r="AL79" s="942"/>
      <c r="AM79" s="1353"/>
      <c r="AN79" s="1353"/>
      <c r="AO79" s="1353"/>
      <c r="AP79" s="1353"/>
    </row>
    <row s="1353" customFormat="1" customHeight="1" ht="14.625" hidden="1">
      <c r="A80" s="643"/>
      <c r="B80" s="461"/>
      <c r="C80" s="461"/>
      <c r="D80" s="461"/>
      <c r="E80" s="625">
        <v>15</v>
      </c>
      <c r="F80" s="496" cm="1" t="str">
        <f t="array" ref="F80:F80">OFFSET(E80,-1,1)</f>
        <v>0</v>
      </c>
      <c r="G80" s="461"/>
      <c r="H80" s="461"/>
      <c r="I80" s="461"/>
      <c r="J80" s="461"/>
      <c r="K80" s="461"/>
      <c r="L80" s="461"/>
      <c r="M80" s="461"/>
      <c r="N80" s="461"/>
      <c r="O80" s="461"/>
      <c r="P80" s="461"/>
      <c r="Q80" s="461"/>
      <c r="R80" s="461"/>
      <c r="S80" s="461"/>
      <c r="T80" s="438" cm="1" t="str">
        <f t="array" ref="T80:T80">T79</f>
        <v>false</v>
      </c>
      <c r="U80" s="461"/>
      <c r="V80" s="461"/>
      <c r="W80" s="461"/>
      <c r="X80" s="1541"/>
      <c r="Y80" s="461"/>
      <c r="Z80" s="1542"/>
      <c r="AA80" s="461"/>
      <c r="AB80" s="1248" t="s">
        <v>460</v>
      </c>
      <c r="AC80" s="1251" t="s">
        <v>1881</v>
      </c>
      <c r="AD80" s="1250" t="s">
        <v>789</v>
      </c>
      <c r="AE80" s="3984"/>
      <c r="AF80" s="1086"/>
      <c r="AG80" s="1086"/>
      <c r="AH80" s="1041" t="s">
        <v>2189</v>
      </c>
      <c r="AI80" s="1035"/>
      <c r="AJ80" s="1035"/>
      <c r="AK80" s="942"/>
      <c r="AL80" s="942"/>
      <c r="AM80" s="1353"/>
      <c r="AN80" s="1353"/>
      <c r="AO80" s="1353"/>
      <c r="AP80" s="1353"/>
    </row>
    <row s="1353" customFormat="1" customHeight="1" ht="14.625" hidden="1">
      <c r="A81" s="643"/>
      <c r="B81" s="461"/>
      <c r="C81" s="461"/>
      <c r="D81" s="461"/>
      <c r="E81" s="625">
        <v>15</v>
      </c>
      <c r="F81" s="496" cm="1" t="str">
        <f t="array" ref="F81:F81">OFFSET(E81,-1,1)</f>
        <v>0</v>
      </c>
      <c r="G81" s="461"/>
      <c r="H81" s="461"/>
      <c r="I81" s="461"/>
      <c r="J81" s="461"/>
      <c r="K81" s="461"/>
      <c r="L81" s="461"/>
      <c r="M81" s="461"/>
      <c r="N81" s="461"/>
      <c r="O81" s="461"/>
      <c r="P81" s="461"/>
      <c r="Q81" s="461"/>
      <c r="R81" s="461"/>
      <c r="S81" s="461"/>
      <c r="T81" s="438" cm="1" t="str">
        <f t="array" ref="T81:T81">T80</f>
        <v>false</v>
      </c>
      <c r="U81" s="461"/>
      <c r="V81" s="461"/>
      <c r="W81" s="461"/>
      <c r="X81" s="1541"/>
      <c r="Y81" s="461"/>
      <c r="Z81" s="1542"/>
      <c r="AA81" s="461"/>
      <c r="AB81" s="1248" t="s">
        <v>1882</v>
      </c>
      <c r="AC81" s="1251" t="s">
        <v>1883</v>
      </c>
      <c r="AD81" s="1250" t="s">
        <v>789</v>
      </c>
      <c r="AE81" s="3984"/>
      <c r="AF81" s="1086"/>
      <c r="AG81" s="1086"/>
      <c r="AH81" s="1041" t="s">
        <v>2190</v>
      </c>
      <c r="AI81" s="1035"/>
      <c r="AJ81" s="1035"/>
      <c r="AK81" s="942"/>
      <c r="AL81" s="942"/>
      <c r="AM81" s="1353"/>
      <c r="AN81" s="1353"/>
      <c r="AO81" s="1353"/>
      <c r="AP81" s="1353"/>
    </row>
    <row s="1353" customFormat="1" customHeight="1" ht="14.625" hidden="1">
      <c r="A82" s="643"/>
      <c r="B82" s="461"/>
      <c r="C82" s="461"/>
      <c r="D82" s="461"/>
      <c r="E82" s="625">
        <v>15</v>
      </c>
      <c r="F82" s="496" cm="1" t="str">
        <f t="array" ref="F82:F82">OFFSET(E82,-1,1)</f>
        <v>0</v>
      </c>
      <c r="G82" s="461"/>
      <c r="H82" s="461"/>
      <c r="I82" s="461"/>
      <c r="J82" s="461"/>
      <c r="K82" s="461"/>
      <c r="L82" s="461"/>
      <c r="M82" s="461"/>
      <c r="N82" s="461"/>
      <c r="O82" s="461"/>
      <c r="P82" s="461"/>
      <c r="Q82" s="461"/>
      <c r="R82" s="461"/>
      <c r="S82" s="461"/>
      <c r="T82" s="438" cm="1" t="str">
        <f t="array" ref="T82:T82">T81</f>
        <v>false</v>
      </c>
      <c r="U82" s="461"/>
      <c r="V82" s="461"/>
      <c r="W82" s="461"/>
      <c r="X82" s="1541"/>
      <c r="Y82" s="461"/>
      <c r="Z82" s="1542"/>
      <c r="AA82" s="461"/>
      <c r="AB82" s="1248" t="s">
        <v>1884</v>
      </c>
      <c r="AC82" s="1251" t="s">
        <v>1885</v>
      </c>
      <c r="AD82" s="1250" t="s">
        <v>789</v>
      </c>
      <c r="AE82" s="3984"/>
      <c r="AF82" s="1086"/>
      <c r="AG82" s="1086"/>
      <c r="AH82" s="1041" t="s">
        <v>2191</v>
      </c>
      <c r="AI82" s="1035"/>
      <c r="AJ82" s="1035"/>
      <c r="AK82" s="942"/>
      <c r="AL82" s="942"/>
      <c r="AM82" s="1353"/>
      <c r="AN82" s="1353"/>
      <c r="AO82" s="1353"/>
      <c r="AP82" s="1353"/>
    </row>
    <row s="1353" customFormat="1" customHeight="1" ht="14.625" hidden="1">
      <c r="A83" s="643"/>
      <c r="B83" s="461"/>
      <c r="C83" s="461"/>
      <c r="D83" s="461"/>
      <c r="E83" s="625">
        <v>15</v>
      </c>
      <c r="F83" s="496" cm="1" t="str">
        <f t="array" ref="F83:F83">OFFSET(E83,-1,1)</f>
        <v>0</v>
      </c>
      <c r="G83" s="461"/>
      <c r="H83" s="461"/>
      <c r="I83" s="461"/>
      <c r="J83" s="461"/>
      <c r="K83" s="461"/>
      <c r="L83" s="461"/>
      <c r="M83" s="461"/>
      <c r="N83" s="461"/>
      <c r="O83" s="461"/>
      <c r="P83" s="461"/>
      <c r="Q83" s="461"/>
      <c r="R83" s="461"/>
      <c r="S83" s="461"/>
      <c r="T83" s="438" cm="1" t="str">
        <f t="array" ref="T83:T83">T82</f>
        <v>false</v>
      </c>
      <c r="U83" s="461"/>
      <c r="V83" s="461"/>
      <c r="W83" s="461"/>
      <c r="X83" s="1541"/>
      <c r="Y83" s="461"/>
      <c r="Z83" s="1542"/>
      <c r="AA83" s="461"/>
      <c r="AB83" s="1248" t="s">
        <v>1887</v>
      </c>
      <c r="AC83" s="1251" t="s">
        <v>1888</v>
      </c>
      <c r="AD83" s="1250" t="s">
        <v>789</v>
      </c>
      <c r="AE83" s="3984"/>
      <c r="AF83" s="1086"/>
      <c r="AG83" s="1086"/>
      <c r="AH83" s="1041" t="s">
        <v>2192</v>
      </c>
      <c r="AI83" s="1035"/>
      <c r="AJ83" s="1035"/>
      <c r="AK83" s="942"/>
      <c r="AL83" s="942"/>
      <c r="AM83" s="1353"/>
      <c r="AN83" s="1353"/>
      <c r="AO83" s="1353"/>
      <c r="AP83" s="1353"/>
    </row>
    <row s="1353" customFormat="1" customHeight="1" ht="14.625" hidden="1">
      <c r="A84" s="643"/>
      <c r="B84" s="461"/>
      <c r="C84" s="461"/>
      <c r="D84" s="461"/>
      <c r="E84" s="625">
        <v>15</v>
      </c>
      <c r="F84" s="496" cm="1" t="str">
        <f t="array" ref="F84:F84">OFFSET(E84,-1,1)</f>
        <v>0</v>
      </c>
      <c r="G84" s="461"/>
      <c r="H84" s="461"/>
      <c r="I84" s="461"/>
      <c r="J84" s="461"/>
      <c r="K84" s="461"/>
      <c r="L84" s="461"/>
      <c r="M84" s="461"/>
      <c r="N84" s="461"/>
      <c r="O84" s="461"/>
      <c r="P84" s="461"/>
      <c r="Q84" s="461"/>
      <c r="R84" s="461"/>
      <c r="S84" s="461"/>
      <c r="T84" s="438" cm="1" t="str">
        <f t="array" ref="T84:T84">T83</f>
        <v>false</v>
      </c>
      <c r="U84" s="461"/>
      <c r="V84" s="461"/>
      <c r="W84" s="461"/>
      <c r="X84" s="1541"/>
      <c r="Y84" s="461"/>
      <c r="Z84" s="1542"/>
      <c r="AA84" s="461"/>
      <c r="AB84" s="1248" t="s">
        <v>1890</v>
      </c>
      <c r="AC84" s="1251" t="s">
        <v>1891</v>
      </c>
      <c r="AD84" s="1250" t="s">
        <v>789</v>
      </c>
      <c r="AE84" s="3984"/>
      <c r="AF84" s="1086"/>
      <c r="AG84" s="1086"/>
      <c r="AH84" s="1041" t="s">
        <v>2193</v>
      </c>
      <c r="AI84" s="1035"/>
      <c r="AJ84" s="1035"/>
      <c r="AK84" s="942"/>
      <c r="AL84" s="942"/>
      <c r="AM84" s="1353"/>
      <c r="AN84" s="1353"/>
      <c r="AO84" s="1353"/>
      <c r="AP84" s="1353"/>
    </row>
    <row s="1353" customFormat="1" customHeight="1" ht="26.325000000000003" hidden="1">
      <c r="A85" s="643"/>
      <c r="B85" s="461"/>
      <c r="C85" s="461"/>
      <c r="D85" s="461"/>
      <c r="E85" s="625">
        <v>27</v>
      </c>
      <c r="F85" s="496" cm="1" t="str">
        <f t="array" ref="F85:F85">OFFSET(E85,-1,1)</f>
        <v>0</v>
      </c>
      <c r="G85" s="461"/>
      <c r="H85" s="461"/>
      <c r="I85" s="461"/>
      <c r="J85" s="461"/>
      <c r="K85" s="461"/>
      <c r="L85" s="461"/>
      <c r="M85" s="461"/>
      <c r="N85" s="461"/>
      <c r="O85" s="461"/>
      <c r="P85" s="461"/>
      <c r="Q85" s="461"/>
      <c r="R85" s="461"/>
      <c r="S85" s="461"/>
      <c r="T85" s="438" cm="1" t="str">
        <f t="array" ref="T85:T85">T84</f>
        <v>false</v>
      </c>
      <c r="U85" s="461"/>
      <c r="V85" s="461"/>
      <c r="W85" s="461"/>
      <c r="X85" s="1541"/>
      <c r="Y85" s="461"/>
      <c r="Z85" s="1542"/>
      <c r="AA85" s="461"/>
      <c r="AB85" s="1248" t="s">
        <v>1893</v>
      </c>
      <c r="AC85" s="1251" t="s">
        <v>1894</v>
      </c>
      <c r="AD85" s="1250" t="s">
        <v>789</v>
      </c>
      <c r="AE85" s="3984"/>
      <c r="AF85" s="1086"/>
      <c r="AG85" s="1086"/>
      <c r="AH85" s="1041" t="s">
        <v>2194</v>
      </c>
      <c r="AI85" s="1035"/>
      <c r="AJ85" s="1035"/>
      <c r="AK85" s="942"/>
      <c r="AL85" s="942"/>
      <c r="AM85" s="1353"/>
      <c r="AN85" s="1353"/>
      <c r="AO85" s="1353"/>
      <c r="AP85" s="1353"/>
    </row>
    <row s="1353" customFormat="1" customHeight="1" ht="14.625" hidden="1">
      <c r="A86" s="643"/>
      <c r="B86" s="461"/>
      <c r="C86" s="461"/>
      <c r="D86" s="461"/>
      <c r="E86" s="625">
        <v>15</v>
      </c>
      <c r="F86" s="496" cm="1" t="str">
        <f t="array" ref="F86:F86">OFFSET(E86,-1,1)</f>
        <v>0</v>
      </c>
      <c r="G86" s="461"/>
      <c r="H86" s="461"/>
      <c r="I86" s="461"/>
      <c r="J86" s="461"/>
      <c r="K86" s="461"/>
      <c r="L86" s="461"/>
      <c r="M86" s="461"/>
      <c r="N86" s="461"/>
      <c r="O86" s="461"/>
      <c r="P86" s="461"/>
      <c r="Q86" s="461"/>
      <c r="R86" s="461"/>
      <c r="S86" s="461"/>
      <c r="T86" s="438" cm="1" t="str">
        <f t="array" ref="T86:T86">T85</f>
        <v>false</v>
      </c>
      <c r="U86" s="461"/>
      <c r="V86" s="461"/>
      <c r="W86" s="461"/>
      <c r="X86" s="1541"/>
      <c r="Y86" s="461"/>
      <c r="Z86" s="1542"/>
      <c r="AA86" s="461"/>
      <c r="AB86" s="1248" t="s">
        <v>1897</v>
      </c>
      <c r="AC86" s="1251" t="s">
        <v>1898</v>
      </c>
      <c r="AD86" s="1250" t="s">
        <v>789</v>
      </c>
      <c r="AE86" s="3984"/>
      <c r="AF86" s="1086"/>
      <c r="AG86" s="1086"/>
      <c r="AH86" s="1041" t="s">
        <v>2195</v>
      </c>
      <c r="AI86" s="1035"/>
      <c r="AJ86" s="1035"/>
      <c r="AK86" s="942"/>
      <c r="AL86" s="942"/>
      <c r="AM86" s="1353"/>
      <c r="AN86" s="1353"/>
      <c r="AO86" s="1353"/>
      <c r="AP86" s="1353"/>
    </row>
    <row s="1353" customFormat="1" customHeight="1" ht="14.625" hidden="1">
      <c r="A87" s="643"/>
      <c r="B87" s="461"/>
      <c r="C87" s="461"/>
      <c r="D87" s="461"/>
      <c r="E87" s="625">
        <v>15</v>
      </c>
      <c r="F87" s="496" cm="1" t="str">
        <f t="array" ref="F87:F87">OFFSET(E87,-1,1)</f>
        <v>0</v>
      </c>
      <c r="G87" s="461"/>
      <c r="H87" s="461"/>
      <c r="I87" s="461"/>
      <c r="J87" s="461"/>
      <c r="K87" s="461"/>
      <c r="L87" s="461"/>
      <c r="M87" s="461"/>
      <c r="N87" s="461"/>
      <c r="O87" s="461"/>
      <c r="P87" s="461"/>
      <c r="Q87" s="461"/>
      <c r="R87" s="461"/>
      <c r="S87" s="461"/>
      <c r="T87" s="438" cm="1" t="str">
        <f t="array" ref="T87:T87">T86</f>
        <v>false</v>
      </c>
      <c r="U87" s="461"/>
      <c r="V87" s="461"/>
      <c r="W87" s="461"/>
      <c r="X87" s="1541"/>
      <c r="Y87" s="461"/>
      <c r="Z87" s="1542"/>
      <c r="AA87" s="461"/>
      <c r="AB87" s="1248" t="s">
        <v>1901</v>
      </c>
      <c r="AC87" s="1251" t="s">
        <v>1902</v>
      </c>
      <c r="AD87" s="1250" t="s">
        <v>789</v>
      </c>
      <c r="AE87" s="3984"/>
      <c r="AF87" s="1086"/>
      <c r="AG87" s="1086"/>
      <c r="AH87" s="1041" t="s">
        <v>2196</v>
      </c>
      <c r="AI87" s="1035"/>
      <c r="AJ87" s="1035"/>
      <c r="AK87" s="942"/>
      <c r="AL87" s="942"/>
      <c r="AM87" s="1353"/>
      <c r="AN87" s="1353"/>
      <c r="AO87" s="1353"/>
      <c r="AP87" s="1353"/>
    </row>
    <row s="1353" customFormat="1" customHeight="1" ht="14.625" hidden="1">
      <c r="A88" s="643"/>
      <c r="B88" s="461"/>
      <c r="C88" s="461"/>
      <c r="D88" s="461"/>
      <c r="E88" s="625">
        <v>15</v>
      </c>
      <c r="F88" s="496" cm="1" t="str">
        <f t="array" ref="F88:F88">OFFSET(E88,-1,1)</f>
        <v>0</v>
      </c>
      <c r="G88" s="461"/>
      <c r="H88" s="461"/>
      <c r="I88" s="461"/>
      <c r="J88" s="461"/>
      <c r="K88" s="461"/>
      <c r="L88" s="461"/>
      <c r="M88" s="461"/>
      <c r="N88" s="461"/>
      <c r="O88" s="461"/>
      <c r="P88" s="461"/>
      <c r="Q88" s="461"/>
      <c r="R88" s="461"/>
      <c r="S88" s="461"/>
      <c r="T88" s="438" cm="1" t="str">
        <f t="array" ref="T88:T88">T87</f>
        <v>false</v>
      </c>
      <c r="U88" s="461"/>
      <c r="V88" s="461"/>
      <c r="W88" s="461"/>
      <c r="X88" s="1541"/>
      <c r="Y88" s="461"/>
      <c r="Z88" s="1542"/>
      <c r="AA88" s="461"/>
      <c r="AB88" s="1248" t="s">
        <v>1904</v>
      </c>
      <c r="AC88" s="1251" t="s">
        <v>1905</v>
      </c>
      <c r="AD88" s="1250" t="s">
        <v>789</v>
      </c>
      <c r="AE88" s="3984"/>
      <c r="AF88" s="1086"/>
      <c r="AG88" s="1086"/>
      <c r="AH88" s="1041" t="s">
        <v>2197</v>
      </c>
      <c r="AI88" s="1035"/>
      <c r="AJ88" s="1035"/>
      <c r="AK88" s="942"/>
      <c r="AL88" s="942"/>
      <c r="AM88" s="1353"/>
      <c r="AN88" s="1353"/>
      <c r="AO88" s="1353"/>
      <c r="AP88" s="1353"/>
    </row>
    <row s="1353" customFormat="1" customHeight="1" ht="14.625" hidden="1">
      <c r="A89" s="643"/>
      <c r="B89" s="461"/>
      <c r="C89" s="461"/>
      <c r="D89" s="461"/>
      <c r="E89" s="625">
        <v>15</v>
      </c>
      <c r="F89" s="496" cm="1" t="str">
        <f t="array" ref="F89:F89">OFFSET(E89,-1,1)</f>
        <v>0</v>
      </c>
      <c r="G89" s="461"/>
      <c r="H89" s="461"/>
      <c r="I89" s="461"/>
      <c r="J89" s="461"/>
      <c r="K89" s="461"/>
      <c r="L89" s="461"/>
      <c r="M89" s="461"/>
      <c r="N89" s="461"/>
      <c r="O89" s="461"/>
      <c r="P89" s="461"/>
      <c r="Q89" s="461"/>
      <c r="R89" s="461"/>
      <c r="S89" s="461"/>
      <c r="T89" s="438" cm="1" t="str">
        <f t="array" ref="T89:T89">T88</f>
        <v>false</v>
      </c>
      <c r="U89" s="461"/>
      <c r="V89" s="461"/>
      <c r="W89" s="461"/>
      <c r="X89" s="1541"/>
      <c r="Y89" s="461"/>
      <c r="Z89" s="1542"/>
      <c r="AA89" s="461"/>
      <c r="AB89" s="1248" t="s">
        <v>1907</v>
      </c>
      <c r="AC89" s="1251" t="s">
        <v>1908</v>
      </c>
      <c r="AD89" s="1250" t="s">
        <v>789</v>
      </c>
      <c r="AE89" s="3984"/>
      <c r="AF89" s="1086"/>
      <c r="AG89" s="1086"/>
      <c r="AH89" s="1041" t="s">
        <v>2198</v>
      </c>
      <c r="AI89" s="1035"/>
      <c r="AJ89" s="1035"/>
      <c r="AK89" s="942"/>
      <c r="AL89" s="942"/>
      <c r="AM89" s="1353"/>
      <c r="AN89" s="1353"/>
      <c r="AO89" s="1353"/>
      <c r="AP89" s="1353"/>
    </row>
    <row s="1353" customFormat="1" customHeight="1" ht="14.625" hidden="1">
      <c r="A90" s="643"/>
      <c r="B90" s="461"/>
      <c r="C90" s="461"/>
      <c r="D90" s="461"/>
      <c r="E90" s="625">
        <v>15</v>
      </c>
      <c r="F90" s="496" cm="1" t="str">
        <f t="array" ref="F90:F90">OFFSET(E90,-1,1)</f>
        <v>0</v>
      </c>
      <c r="G90" s="461"/>
      <c r="H90" s="461"/>
      <c r="I90" s="461"/>
      <c r="J90" s="461"/>
      <c r="K90" s="461"/>
      <c r="L90" s="461"/>
      <c r="M90" s="461"/>
      <c r="N90" s="461"/>
      <c r="O90" s="461"/>
      <c r="P90" s="461"/>
      <c r="Q90" s="461"/>
      <c r="R90" s="461"/>
      <c r="S90" s="461"/>
      <c r="T90" s="438" cm="1" t="str">
        <f t="array" ref="T90:T90">T89</f>
        <v>false</v>
      </c>
      <c r="U90" s="461"/>
      <c r="V90" s="461"/>
      <c r="W90" s="461"/>
      <c r="X90" s="1541"/>
      <c r="Y90" s="461"/>
      <c r="Z90" s="1542"/>
      <c r="AA90" s="461"/>
      <c r="AB90" s="1248" t="s">
        <v>1909</v>
      </c>
      <c r="AC90" s="1251" t="s">
        <v>1910</v>
      </c>
      <c r="AD90" s="1250" t="s">
        <v>789</v>
      </c>
      <c r="AE90" s="3984"/>
      <c r="AF90" s="1086"/>
      <c r="AG90" s="1086"/>
      <c r="AH90" s="1041" t="s">
        <v>2199</v>
      </c>
      <c r="AI90" s="1035"/>
      <c r="AJ90" s="1035"/>
      <c r="AK90" s="942"/>
      <c r="AL90" s="942"/>
      <c r="AM90" s="1353"/>
      <c r="AN90" s="1353"/>
      <c r="AO90" s="1353"/>
      <c r="AP90" s="1353"/>
    </row>
    <row s="1353" customFormat="1" customHeight="1" ht="14.625" hidden="1">
      <c r="A91" s="643"/>
      <c r="B91" s="461"/>
      <c r="C91" s="461"/>
      <c r="D91" s="461"/>
      <c r="E91" s="625">
        <v>15</v>
      </c>
      <c r="F91" s="496" cm="1" t="str">
        <f t="array" ref="F91:F91">OFFSET(E91,-1,1)</f>
        <v>0</v>
      </c>
      <c r="G91" s="461"/>
      <c r="H91" s="461"/>
      <c r="I91" s="461"/>
      <c r="J91" s="461"/>
      <c r="K91" s="461"/>
      <c r="L91" s="461"/>
      <c r="M91" s="461"/>
      <c r="N91" s="461"/>
      <c r="O91" s="461"/>
      <c r="P91" s="461"/>
      <c r="Q91" s="461"/>
      <c r="R91" s="461"/>
      <c r="S91" s="461"/>
      <c r="T91" s="438" cm="1" t="str">
        <f t="array" ref="T91:T91">T90</f>
        <v>false</v>
      </c>
      <c r="U91" s="461"/>
      <c r="V91" s="461"/>
      <c r="W91" s="461"/>
      <c r="X91" s="1541"/>
      <c r="Y91" s="461"/>
      <c r="Z91" s="1542"/>
      <c r="AA91" s="461"/>
      <c r="AB91" s="1248" t="s">
        <v>513</v>
      </c>
      <c r="AC91" s="1249" t="s">
        <v>1911</v>
      </c>
      <c r="AD91" s="1250" t="s">
        <v>789</v>
      </c>
      <c r="AE91" s="3984"/>
      <c r="AF91" s="1086"/>
      <c r="AG91" s="1086"/>
      <c r="AH91" s="1041" t="s">
        <v>2200</v>
      </c>
      <c r="AI91" s="1035"/>
      <c r="AJ91" s="1035"/>
      <c r="AK91" s="942"/>
      <c r="AL91" s="942"/>
      <c r="AM91" s="1353"/>
      <c r="AN91" s="1353"/>
      <c r="AO91" s="1353"/>
      <c r="AP91" s="1353"/>
    </row>
    <row customHeight="1" ht="14.625" hidden="1">
      <c r="A92" s="643"/>
      <c r="B92" s="1412"/>
      <c r="C92" s="1412"/>
      <c r="D92" s="1412"/>
      <c r="E92" s="625">
        <v>15</v>
      </c>
      <c r="F92" s="50" cm="1" t="str">
        <f t="array" ref="F92:F92">OFFSET(E92,-1,1)</f>
        <v>0</v>
      </c>
      <c r="G92" s="1412"/>
      <c r="H92" s="461" t="s">
        <v>455</v>
      </c>
      <c r="I92" s="1412"/>
      <c r="J92" s="1412"/>
      <c r="K92" s="1412"/>
      <c r="L92" s="1412"/>
      <c r="M92" s="1412"/>
      <c r="N92" s="1412"/>
      <c r="O92" s="1412"/>
      <c r="P92" s="1412"/>
      <c r="Q92" s="1412"/>
      <c r="R92" s="1412"/>
      <c r="S92" s="1412"/>
      <c r="T92" s="438" cm="1" t="str">
        <f t="array" ref="T92:T92">T78</f>
        <v>false</v>
      </c>
      <c r="U92" s="1412"/>
      <c r="V92" s="1412"/>
      <c r="W92" s="1412"/>
      <c r="X92" s="1541"/>
      <c r="Y92" s="1412"/>
      <c r="Z92" s="1542"/>
      <c r="AA92" s="1412"/>
      <c r="AB92" s="690" t="s">
        <v>517</v>
      </c>
      <c r="AC92" s="520" t="s">
        <v>2201</v>
      </c>
      <c r="AD92" s="521" t="s">
        <v>789</v>
      </c>
      <c r="AE92" s="530">
        <f>SUM(AE93:AE101)</f>
        <v>0</v>
      </c>
      <c r="AF92" s="1395"/>
      <c r="AG92" s="1395"/>
      <c r="AH92" s="1047" t="s">
        <v>1146</v>
      </c>
      <c r="AI92" s="1267"/>
      <c r="AJ92" s="1267"/>
      <c r="AK92" s="1397"/>
      <c r="AL92" s="1397"/>
      <c r="AM92" s="3943"/>
      <c r="AN92" s="3943"/>
      <c r="AO92" s="3943"/>
      <c r="AP92" s="3943"/>
    </row>
    <row customHeight="1" ht="14.625" hidden="1">
      <c r="A93" s="643"/>
      <c r="B93" s="1412"/>
      <c r="C93" s="1412"/>
      <c r="D93" s="1412"/>
      <c r="E93" s="625">
        <v>15</v>
      </c>
      <c r="F93" s="50" cm="1" t="str">
        <f t="array" ref="F93:F93">OFFSET(E93,-1,1)</f>
        <v>0</v>
      </c>
      <c r="G93" s="1412"/>
      <c r="H93" s="461" t="s">
        <v>1642</v>
      </c>
      <c r="I93" s="1412"/>
      <c r="J93" s="1412"/>
      <c r="K93" s="1412"/>
      <c r="L93" s="1412"/>
      <c r="M93" s="1412"/>
      <c r="N93" s="1412"/>
      <c r="O93" s="1412"/>
      <c r="P93" s="1412"/>
      <c r="Q93" s="1412"/>
      <c r="R93" s="1412"/>
      <c r="S93" s="1412"/>
      <c r="T93" s="438" cm="1" t="str">
        <f t="array" ref="T93:T93">T92</f>
        <v>false</v>
      </c>
      <c r="U93" s="1412"/>
      <c r="V93" s="1412"/>
      <c r="W93" s="1412"/>
      <c r="X93" s="1541"/>
      <c r="Y93" s="1412"/>
      <c r="Z93" s="1542"/>
      <c r="AA93" s="1412"/>
      <c r="AB93" s="690" t="s">
        <v>471</v>
      </c>
      <c r="AC93" s="522" t="s">
        <v>1161</v>
      </c>
      <c r="AD93" s="521" t="s">
        <v>789</v>
      </c>
      <c r="AE93" s="3955"/>
      <c r="AF93" s="1395"/>
      <c r="AG93" s="1395"/>
      <c r="AH93" s="1041" t="s">
        <v>1914</v>
      </c>
      <c r="AI93" s="1267"/>
      <c r="AJ93" s="1267"/>
      <c r="AK93" s="1397"/>
      <c r="AL93" s="1397"/>
      <c r="AM93" s="3943"/>
      <c r="AN93" s="3943"/>
      <c r="AO93" s="3943"/>
      <c r="AP93" s="3943"/>
    </row>
    <row customHeight="1" ht="14.625" hidden="1">
      <c r="A94" s="643"/>
      <c r="B94" s="1412"/>
      <c r="C94" s="1412"/>
      <c r="D94" s="1412"/>
      <c r="E94" s="625">
        <v>15</v>
      </c>
      <c r="F94" s="50" cm="1" t="str">
        <f t="array" ref="F94:F94">OFFSET(E94,-1,1)</f>
        <v>0</v>
      </c>
      <c r="G94" s="1412"/>
      <c r="H94" s="461" t="s">
        <v>1645</v>
      </c>
      <c r="I94" s="1412"/>
      <c r="J94" s="1412"/>
      <c r="K94" s="1412"/>
      <c r="L94" s="1412"/>
      <c r="M94" s="1412"/>
      <c r="N94" s="1412"/>
      <c r="O94" s="1412"/>
      <c r="P94" s="1412"/>
      <c r="Q94" s="1412"/>
      <c r="R94" s="1412"/>
      <c r="S94" s="1412"/>
      <c r="T94" s="438" cm="1" t="str">
        <f t="array" ref="T94:T94">T93</f>
        <v>false</v>
      </c>
      <c r="U94" s="1412"/>
      <c r="V94" s="1412"/>
      <c r="W94" s="1412"/>
      <c r="X94" s="1541"/>
      <c r="Y94" s="1412"/>
      <c r="Z94" s="1542"/>
      <c r="AA94" s="1412"/>
      <c r="AB94" s="690" t="s">
        <v>1364</v>
      </c>
      <c r="AC94" s="522" t="s">
        <v>2202</v>
      </c>
      <c r="AD94" s="521" t="s">
        <v>789</v>
      </c>
      <c r="AE94" s="3955"/>
      <c r="AF94" s="1395"/>
      <c r="AG94" s="1395"/>
      <c r="AH94" s="1041" t="s">
        <v>1917</v>
      </c>
      <c r="AI94" s="1267"/>
      <c r="AJ94" s="1267"/>
      <c r="AK94" s="1397"/>
      <c r="AL94" s="1397"/>
      <c r="AM94" s="3943"/>
      <c r="AN94" s="3943"/>
      <c r="AO94" s="3943"/>
      <c r="AP94" s="3943"/>
    </row>
    <row customHeight="1" ht="14.625" hidden="1">
      <c r="A95" s="643"/>
      <c r="B95" s="1412"/>
      <c r="C95" s="1412"/>
      <c r="D95" s="1412"/>
      <c r="E95" s="625">
        <v>15</v>
      </c>
      <c r="F95" s="50" cm="1" t="str">
        <f t="array" ref="F95:F95">OFFSET(E95,-1,1)</f>
        <v>0</v>
      </c>
      <c r="G95" s="1412"/>
      <c r="H95" s="461" t="s">
        <v>2203</v>
      </c>
      <c r="I95" s="1412"/>
      <c r="J95" s="1412"/>
      <c r="K95" s="1412"/>
      <c r="L95" s="1412"/>
      <c r="M95" s="1412"/>
      <c r="N95" s="1412"/>
      <c r="O95" s="1412"/>
      <c r="P95" s="1412"/>
      <c r="Q95" s="1412"/>
      <c r="R95" s="1412"/>
      <c r="S95" s="1412"/>
      <c r="T95" s="438" cm="1" t="str">
        <f t="array" ref="T95:T95">T94</f>
        <v>false</v>
      </c>
      <c r="U95" s="1412"/>
      <c r="V95" s="1412"/>
      <c r="W95" s="1412"/>
      <c r="X95" s="1541"/>
      <c r="Y95" s="1412"/>
      <c r="Z95" s="1542"/>
      <c r="AA95" s="1412"/>
      <c r="AB95" s="690" t="s">
        <v>1369</v>
      </c>
      <c r="AC95" s="522" t="s">
        <v>2204</v>
      </c>
      <c r="AD95" s="521" t="s">
        <v>789</v>
      </c>
      <c r="AE95" s="3955"/>
      <c r="AF95" s="1395"/>
      <c r="AG95" s="1395"/>
      <c r="AH95" s="1041" t="s">
        <v>1920</v>
      </c>
      <c r="AI95" s="1267"/>
      <c r="AJ95" s="1267"/>
      <c r="AK95" s="1397"/>
      <c r="AL95" s="1397"/>
      <c r="AM95" s="3943"/>
      <c r="AN95" s="3943"/>
      <c r="AO95" s="3943"/>
      <c r="AP95" s="3943"/>
    </row>
    <row customHeight="1" ht="14.625" hidden="1">
      <c r="A96" s="643"/>
      <c r="B96" s="1412"/>
      <c r="C96" s="1412"/>
      <c r="D96" s="1412"/>
      <c r="E96" s="625">
        <v>15</v>
      </c>
      <c r="F96" s="50" cm="1" t="str">
        <f t="array" ref="F96:F96">OFFSET(E96,-1,1)</f>
        <v>0</v>
      </c>
      <c r="G96" s="1412"/>
      <c r="H96" s="461" t="s">
        <v>2205</v>
      </c>
      <c r="I96" s="1412"/>
      <c r="J96" s="1412"/>
      <c r="K96" s="1412"/>
      <c r="L96" s="1412"/>
      <c r="M96" s="1412"/>
      <c r="N96" s="1412"/>
      <c r="O96" s="1412"/>
      <c r="P96" s="1412"/>
      <c r="Q96" s="1412"/>
      <c r="R96" s="1412"/>
      <c r="S96" s="1412"/>
      <c r="T96" s="438" cm="1" t="str">
        <f t="array" ref="T96:T96">T95</f>
        <v>false</v>
      </c>
      <c r="U96" s="1412"/>
      <c r="V96" s="1412"/>
      <c r="W96" s="1412"/>
      <c r="X96" s="1541"/>
      <c r="Y96" s="1412"/>
      <c r="Z96" s="1542"/>
      <c r="AA96" s="1412"/>
      <c r="AB96" s="690" t="s">
        <v>1922</v>
      </c>
      <c r="AC96" s="522" t="s">
        <v>1154</v>
      </c>
      <c r="AD96" s="521" t="s">
        <v>789</v>
      </c>
      <c r="AE96" s="3955"/>
      <c r="AF96" s="1395"/>
      <c r="AG96" s="1395"/>
      <c r="AH96" s="1041" t="s">
        <v>1924</v>
      </c>
      <c r="AI96" s="1267"/>
      <c r="AJ96" s="1267"/>
      <c r="AK96" s="1397"/>
      <c r="AL96" s="1397"/>
      <c r="AM96" s="3943"/>
      <c r="AN96" s="3943"/>
      <c r="AO96" s="3943"/>
      <c r="AP96" s="3943"/>
    </row>
    <row customHeight="1" ht="14.625" hidden="1">
      <c r="A97" s="643"/>
      <c r="B97" s="1412"/>
      <c r="C97" s="1412"/>
      <c r="D97" s="1412"/>
      <c r="E97" s="625">
        <v>15</v>
      </c>
      <c r="F97" s="50" cm="1" t="str">
        <f t="array" ref="F97:F97">OFFSET(E97,-1,1)</f>
        <v>0</v>
      </c>
      <c r="G97" s="1412"/>
      <c r="H97" s="461" t="s">
        <v>2206</v>
      </c>
      <c r="I97" s="1412"/>
      <c r="J97" s="1412"/>
      <c r="K97" s="1412"/>
      <c r="L97" s="1412"/>
      <c r="M97" s="1412"/>
      <c r="N97" s="1412"/>
      <c r="O97" s="1412"/>
      <c r="P97" s="1412"/>
      <c r="Q97" s="1412"/>
      <c r="R97" s="1412"/>
      <c r="S97" s="1412"/>
      <c r="T97" s="438" cm="1" t="str">
        <f t="array" ref="T97:T97">T96</f>
        <v>false</v>
      </c>
      <c r="U97" s="1412"/>
      <c r="V97" s="1412"/>
      <c r="W97" s="1412"/>
      <c r="X97" s="1541"/>
      <c r="Y97" s="1412"/>
      <c r="Z97" s="1542"/>
      <c r="AA97" s="1412"/>
      <c r="AB97" s="690" t="s">
        <v>1926</v>
      </c>
      <c r="AC97" s="522" t="s">
        <v>1156</v>
      </c>
      <c r="AD97" s="521" t="s">
        <v>789</v>
      </c>
      <c r="AE97" s="3955"/>
      <c r="AF97" s="1395"/>
      <c r="AG97" s="1395"/>
      <c r="AH97" s="1041" t="s">
        <v>1928</v>
      </c>
      <c r="AI97" s="1267"/>
      <c r="AJ97" s="1267"/>
      <c r="AK97" s="1397"/>
      <c r="AL97" s="1397"/>
      <c r="AM97" s="3943"/>
      <c r="AN97" s="3943"/>
      <c r="AO97" s="3943"/>
      <c r="AP97" s="3943"/>
    </row>
    <row customHeight="1" ht="14.625" hidden="1">
      <c r="A98" s="643"/>
      <c r="B98" s="1412"/>
      <c r="C98" s="1412"/>
      <c r="D98" s="1412"/>
      <c r="E98" s="625">
        <v>15</v>
      </c>
      <c r="F98" s="50" cm="1" t="str">
        <f t="array" ref="F98:F98">OFFSET(E98,-1,1)</f>
        <v>0</v>
      </c>
      <c r="G98" s="1412"/>
      <c r="H98" s="461" t="s">
        <v>2207</v>
      </c>
      <c r="I98" s="1412"/>
      <c r="J98" s="1412"/>
      <c r="K98" s="1412"/>
      <c r="L98" s="1412"/>
      <c r="M98" s="1412"/>
      <c r="N98" s="1412"/>
      <c r="O98" s="1412"/>
      <c r="P98" s="1412"/>
      <c r="Q98" s="1412"/>
      <c r="R98" s="1412"/>
      <c r="S98" s="1412"/>
      <c r="T98" s="438" cm="1" t="str">
        <f t="array" ref="T98:T98">T97</f>
        <v>false</v>
      </c>
      <c r="U98" s="1412"/>
      <c r="V98" s="1412"/>
      <c r="W98" s="1412"/>
      <c r="X98" s="1541"/>
      <c r="Y98" s="1412"/>
      <c r="Z98" s="1542"/>
      <c r="AA98" s="1412"/>
      <c r="AB98" s="690" t="s">
        <v>1930</v>
      </c>
      <c r="AC98" s="522" t="s">
        <v>1147</v>
      </c>
      <c r="AD98" s="521" t="s">
        <v>789</v>
      </c>
      <c r="AE98" s="3955"/>
      <c r="AF98" s="1395"/>
      <c r="AG98" s="1395"/>
      <c r="AH98" s="1041" t="s">
        <v>1932</v>
      </c>
      <c r="AI98" s="1267"/>
      <c r="AJ98" s="1267"/>
      <c r="AK98" s="1397"/>
      <c r="AL98" s="1397"/>
      <c r="AM98" s="3943"/>
      <c r="AN98" s="3943"/>
      <c r="AO98" s="3943"/>
      <c r="AP98" s="3943"/>
    </row>
    <row s="1353" customFormat="1" customHeight="1" ht="14.625" hidden="1">
      <c r="A99" s="643"/>
      <c r="B99" s="461"/>
      <c r="C99" s="461"/>
      <c r="D99" s="461"/>
      <c r="E99" s="625">
        <v>15</v>
      </c>
      <c r="F99" s="496" cm="1" t="str">
        <f t="array" ref="F99:F99">OFFSET(E99,-1,1)</f>
        <v>0</v>
      </c>
      <c r="G99" s="461"/>
      <c r="H99" s="461"/>
      <c r="I99" s="461"/>
      <c r="J99" s="461"/>
      <c r="K99" s="461"/>
      <c r="L99" s="461"/>
      <c r="M99" s="461"/>
      <c r="N99" s="461"/>
      <c r="O99" s="461"/>
      <c r="P99" s="461"/>
      <c r="Q99" s="461"/>
      <c r="R99" s="461"/>
      <c r="S99" s="461"/>
      <c r="T99" s="438" cm="1" t="str">
        <f t="array" ref="T99:T99">T98</f>
        <v>false</v>
      </c>
      <c r="U99" s="461"/>
      <c r="V99" s="461"/>
      <c r="W99" s="461"/>
      <c r="X99" s="1541"/>
      <c r="Y99" s="461"/>
      <c r="Z99" s="1542"/>
      <c r="AA99" s="461"/>
      <c r="AB99" s="1248" t="s">
        <v>1934</v>
      </c>
      <c r="AC99" s="1251" t="s">
        <v>2208</v>
      </c>
      <c r="AD99" s="1250" t="s">
        <v>789</v>
      </c>
      <c r="AE99" s="3984"/>
      <c r="AF99" s="1086"/>
      <c r="AG99" s="1086"/>
      <c r="AH99" s="1041" t="s">
        <v>1164</v>
      </c>
      <c r="AI99" s="1035"/>
      <c r="AJ99" s="1035"/>
      <c r="AK99" s="942"/>
      <c r="AL99" s="942"/>
      <c r="AM99" s="1353"/>
      <c r="AN99" s="1353"/>
      <c r="AO99" s="1353"/>
      <c r="AP99" s="1353"/>
    </row>
    <row s="1353" customFormat="1" customHeight="1" ht="14.625" hidden="1">
      <c r="A100" s="643"/>
      <c r="B100" s="461"/>
      <c r="C100" s="461"/>
      <c r="D100" s="461"/>
      <c r="E100" s="625">
        <v>15</v>
      </c>
      <c r="F100" s="496" cm="1" t="str">
        <f t="array" ref="F100:F100">OFFSET(E100,-1,1)</f>
        <v>0</v>
      </c>
      <c r="G100" s="461"/>
      <c r="H100" s="461"/>
      <c r="I100" s="461"/>
      <c r="J100" s="461"/>
      <c r="K100" s="461"/>
      <c r="L100" s="461"/>
      <c r="M100" s="461"/>
      <c r="N100" s="461"/>
      <c r="O100" s="461"/>
      <c r="P100" s="461"/>
      <c r="Q100" s="461"/>
      <c r="R100" s="461"/>
      <c r="S100" s="461"/>
      <c r="T100" s="438" cm="1" t="str">
        <f t="array" ref="T100:T100">T99</f>
        <v>false</v>
      </c>
      <c r="U100" s="461"/>
      <c r="V100" s="461"/>
      <c r="W100" s="461"/>
      <c r="X100" s="1541"/>
      <c r="Y100" s="461"/>
      <c r="Z100" s="1542"/>
      <c r="AA100" s="461"/>
      <c r="AB100" s="1248" t="s">
        <v>1938</v>
      </c>
      <c r="AC100" s="1251" t="s">
        <v>1165</v>
      </c>
      <c r="AD100" s="1250" t="s">
        <v>789</v>
      </c>
      <c r="AE100" s="3984"/>
      <c r="AF100" s="1086"/>
      <c r="AG100" s="1086"/>
      <c r="AH100" s="1041" t="s">
        <v>2209</v>
      </c>
      <c r="AI100" s="1035"/>
      <c r="AJ100" s="1035"/>
      <c r="AK100" s="942"/>
      <c r="AL100" s="942"/>
      <c r="AM100" s="1353"/>
      <c r="AN100" s="1353"/>
      <c r="AO100" s="1353"/>
      <c r="AP100" s="1353"/>
    </row>
    <row customHeight="1" ht="14.625" hidden="1">
      <c r="A101" s="643"/>
      <c r="B101" s="1412"/>
      <c r="C101" s="1412"/>
      <c r="D101" s="1412"/>
      <c r="E101" s="625">
        <v>15</v>
      </c>
      <c r="F101" s="50" cm="1" t="str">
        <f t="array" ref="F101:F101">OFFSET(E101,-1,1)</f>
        <v>0</v>
      </c>
      <c r="G101" s="1412"/>
      <c r="H101" s="461" t="s">
        <v>2210</v>
      </c>
      <c r="I101" s="1412"/>
      <c r="J101" s="1412"/>
      <c r="K101" s="1412"/>
      <c r="L101" s="1412"/>
      <c r="M101" s="1412"/>
      <c r="N101" s="1412"/>
      <c r="O101" s="1412"/>
      <c r="P101" s="1412"/>
      <c r="Q101" s="1412"/>
      <c r="R101" s="1412"/>
      <c r="S101" s="1412"/>
      <c r="T101" s="438" cm="1" t="str">
        <f t="array" ref="T101:T101">T98</f>
        <v>false</v>
      </c>
      <c r="U101" s="1412"/>
      <c r="V101" s="1412"/>
      <c r="W101" s="1412"/>
      <c r="X101" s="1541"/>
      <c r="Y101" s="1412"/>
      <c r="Z101" s="1542"/>
      <c r="AA101" s="1412"/>
      <c r="AB101" s="690" t="s">
        <v>1940</v>
      </c>
      <c r="AC101" s="522" t="s">
        <v>1167</v>
      </c>
      <c r="AD101" s="521" t="s">
        <v>789</v>
      </c>
      <c r="AE101" s="3955"/>
      <c r="AF101" s="1395"/>
      <c r="AG101" s="1395"/>
      <c r="AH101" s="1041" t="s">
        <v>1946</v>
      </c>
      <c r="AI101" s="1267"/>
      <c r="AJ101" s="1267"/>
      <c r="AK101" s="1397"/>
      <c r="AL101" s="1397"/>
      <c r="AM101" s="3943"/>
      <c r="AN101" s="3943"/>
      <c r="AO101" s="3943"/>
      <c r="AP101" s="3943"/>
    </row>
    <row customHeight="1" ht="14.625" hidden="1">
      <c r="A102" s="643"/>
      <c r="B102" s="1412"/>
      <c r="C102" s="1412"/>
      <c r="D102" s="1412"/>
      <c r="E102" s="625">
        <v>15</v>
      </c>
      <c r="F102" s="50" cm="1" t="str">
        <f t="array" ref="F102:F102">OFFSET(E102,-1,1)</f>
        <v>0</v>
      </c>
      <c r="G102" s="1412"/>
      <c r="H102" s="461" t="s">
        <v>864</v>
      </c>
      <c r="I102" s="1412"/>
      <c r="J102" s="1412"/>
      <c r="K102" s="1412"/>
      <c r="L102" s="1412"/>
      <c r="M102" s="1412"/>
      <c r="N102" s="1412"/>
      <c r="O102" s="1412"/>
      <c r="P102" s="1412"/>
      <c r="Q102" s="1412"/>
      <c r="R102" s="1412"/>
      <c r="S102" s="1412"/>
      <c r="T102" s="438" cm="1" t="str">
        <f t="array" ref="T102:T102">T101</f>
        <v>false</v>
      </c>
      <c r="U102" s="1412"/>
      <c r="V102" s="1412"/>
      <c r="W102" s="1412"/>
      <c r="X102" s="1541"/>
      <c r="Y102" s="1412"/>
      <c r="Z102" s="1542"/>
      <c r="AA102" s="1412"/>
      <c r="AB102" s="690" t="s">
        <v>867</v>
      </c>
      <c r="AC102" s="522" t="s">
        <v>962</v>
      </c>
      <c r="AD102" s="521" t="s">
        <v>789</v>
      </c>
      <c r="AE102" s="3955"/>
      <c r="AF102" s="1395"/>
      <c r="AG102" s="1395"/>
      <c r="AH102" s="1041" t="s">
        <v>1104</v>
      </c>
      <c r="AI102" s="1267"/>
      <c r="AJ102" s="1267"/>
      <c r="AK102" s="1397"/>
      <c r="AL102" s="1397"/>
      <c r="AM102" s="3943"/>
      <c r="AN102" s="3943"/>
      <c r="AO102" s="3943"/>
      <c r="AP102" s="3943"/>
    </row>
    <row customHeight="1" ht="14.625" hidden="1">
      <c r="A103" s="643"/>
      <c r="B103" s="1412"/>
      <c r="C103" s="1412"/>
      <c r="D103" s="1412"/>
      <c r="E103" s="625">
        <v>15</v>
      </c>
      <c r="F103" s="50" cm="1" t="str">
        <f t="array" ref="F103:F103">OFFSET(E103,-1,1)</f>
        <v>0</v>
      </c>
      <c r="G103" s="1412"/>
      <c r="H103" s="461" t="s">
        <v>1949</v>
      </c>
      <c r="I103" s="1412"/>
      <c r="J103" s="1412"/>
      <c r="K103" s="1412"/>
      <c r="L103" s="1412"/>
      <c r="M103" s="1412"/>
      <c r="N103" s="1412"/>
      <c r="O103" s="1412"/>
      <c r="P103" s="1412"/>
      <c r="Q103" s="1412"/>
      <c r="R103" s="1412"/>
      <c r="S103" s="1412"/>
      <c r="T103" s="438" cm="1" t="str">
        <f t="array" ref="T103:T103">T102</f>
        <v>false</v>
      </c>
      <c r="U103" s="1412"/>
      <c r="V103" s="1412"/>
      <c r="W103" s="1412"/>
      <c r="X103" s="1541"/>
      <c r="Y103" s="1412"/>
      <c r="Z103" s="1542"/>
      <c r="AA103" s="1412"/>
      <c r="AB103" s="690" t="s">
        <v>870</v>
      </c>
      <c r="AC103" s="520" t="s">
        <v>1336</v>
      </c>
      <c r="AD103" s="521" t="s">
        <v>789</v>
      </c>
      <c r="AE103" s="3955"/>
      <c r="AF103" s="1395"/>
      <c r="AG103" s="1395"/>
      <c r="AH103" s="1048" t="s">
        <v>1686</v>
      </c>
      <c r="AI103" s="1267"/>
      <c r="AJ103" s="1267"/>
      <c r="AK103" s="1397"/>
      <c r="AL103" s="1397"/>
      <c r="AM103" s="3943"/>
      <c r="AN103" s="3943"/>
      <c r="AO103" s="3943"/>
      <c r="AP103" s="3943"/>
    </row>
    <row customHeight="1" ht="14.625" hidden="1">
      <c r="A104" s="643"/>
      <c r="B104" s="1412"/>
      <c r="C104" s="1412"/>
      <c r="D104" s="1412"/>
      <c r="E104" s="625">
        <v>15</v>
      </c>
      <c r="F104" s="50" cm="1" t="str">
        <f t="array" ref="F104:F104">OFFSET(E104,-1,1)</f>
        <v>0</v>
      </c>
      <c r="G104" s="1412"/>
      <c r="H104" s="461" t="s">
        <v>1957</v>
      </c>
      <c r="I104" s="1412"/>
      <c r="J104" s="1412"/>
      <c r="K104" s="1412"/>
      <c r="L104" s="1412"/>
      <c r="M104" s="1412"/>
      <c r="N104" s="1412"/>
      <c r="O104" s="1412"/>
      <c r="P104" s="1412"/>
      <c r="Q104" s="1412"/>
      <c r="R104" s="1412"/>
      <c r="S104" s="1412"/>
      <c r="T104" s="438" cm="1" t="str">
        <f t="array" ref="T104:T104">T103</f>
        <v>false</v>
      </c>
      <c r="U104" s="1412"/>
      <c r="V104" s="1412"/>
      <c r="W104" s="1412"/>
      <c r="X104" s="1541"/>
      <c r="Y104" s="1412"/>
      <c r="Z104" s="1542"/>
      <c r="AA104" s="1412"/>
      <c r="AB104" s="690" t="s">
        <v>1384</v>
      </c>
      <c r="AC104" s="520" t="s">
        <v>1346</v>
      </c>
      <c r="AD104" s="521" t="s">
        <v>789</v>
      </c>
      <c r="AE104" s="530">
        <f>AE105+AE106</f>
        <v>0</v>
      </c>
      <c r="AF104" s="1395"/>
      <c r="AG104" s="1395"/>
      <c r="AH104" s="1041" t="s">
        <v>1962</v>
      </c>
      <c r="AI104" s="1267"/>
      <c r="AJ104" s="1267"/>
      <c r="AK104" s="1397"/>
      <c r="AL104" s="1397"/>
      <c r="AM104" s="3943"/>
      <c r="AN104" s="3943"/>
      <c r="AO104" s="3943"/>
      <c r="AP104" s="3943"/>
    </row>
    <row customHeight="1" ht="14.625" hidden="1">
      <c r="A105" s="643"/>
      <c r="B105" s="1412"/>
      <c r="C105" s="1412"/>
      <c r="D105" s="1412"/>
      <c r="E105" s="625">
        <v>15</v>
      </c>
      <c r="F105" s="50" cm="1" t="str">
        <f t="array" ref="F105:F105">OFFSET(E105,-1,1)</f>
        <v>0</v>
      </c>
      <c r="G105" s="1412"/>
      <c r="H105" s="461" t="s">
        <v>2211</v>
      </c>
      <c r="I105" s="1412"/>
      <c r="J105" s="1412"/>
      <c r="K105" s="1412"/>
      <c r="L105" s="1412"/>
      <c r="M105" s="1412"/>
      <c r="N105" s="1412"/>
      <c r="O105" s="1412"/>
      <c r="P105" s="1412"/>
      <c r="Q105" s="1412"/>
      <c r="R105" s="1412"/>
      <c r="S105" s="1412"/>
      <c r="T105" s="438" cm="1" t="str">
        <f t="array" ref="T105:T105">T104</f>
        <v>false</v>
      </c>
      <c r="U105" s="1412"/>
      <c r="V105" s="1412"/>
      <c r="W105" s="1412"/>
      <c r="X105" s="1541"/>
      <c r="Y105" s="1412"/>
      <c r="Z105" s="1542"/>
      <c r="AA105" s="1412"/>
      <c r="AB105" s="690" t="s">
        <v>1953</v>
      </c>
      <c r="AC105" s="522" t="s">
        <v>2212</v>
      </c>
      <c r="AD105" s="521" t="s">
        <v>789</v>
      </c>
      <c r="AE105" s="3955"/>
      <c r="AF105" s="1395"/>
      <c r="AG105" s="1395"/>
      <c r="AH105" s="1041" t="s">
        <v>1139</v>
      </c>
      <c r="AI105" s="1267"/>
      <c r="AJ105" s="1267"/>
      <c r="AK105" s="1397"/>
      <c r="AL105" s="1397"/>
      <c r="AM105" s="3943"/>
      <c r="AN105" s="3943"/>
      <c r="AO105" s="3943"/>
      <c r="AP105" s="3943"/>
    </row>
    <row customHeight="1" ht="21.9375" hidden="1">
      <c r="A106" s="643"/>
      <c r="B106" s="1412"/>
      <c r="C106" s="1412"/>
      <c r="D106" s="1412"/>
      <c r="E106" s="625">
        <v>22.5</v>
      </c>
      <c r="F106" s="50" cm="1" t="str">
        <f t="array" ref="F106:F106">OFFSET(E106,-1,1)</f>
        <v>0</v>
      </c>
      <c r="G106" s="1412"/>
      <c r="H106" s="461" t="s">
        <v>2213</v>
      </c>
      <c r="I106" s="1412"/>
      <c r="J106" s="1412"/>
      <c r="K106" s="1412"/>
      <c r="L106" s="1412"/>
      <c r="M106" s="1412"/>
      <c r="N106" s="1412"/>
      <c r="O106" s="1412"/>
      <c r="P106" s="1412"/>
      <c r="Q106" s="1412"/>
      <c r="R106" s="1412"/>
      <c r="S106" s="1412"/>
      <c r="T106" s="438" cm="1" t="str">
        <f t="array" ref="T106:T106">T105</f>
        <v>false</v>
      </c>
      <c r="U106" s="1412"/>
      <c r="V106" s="1412"/>
      <c r="W106" s="1412"/>
      <c r="X106" s="1541"/>
      <c r="Y106" s="1412"/>
      <c r="Z106" s="1542"/>
      <c r="AA106" s="1412"/>
      <c r="AB106" s="690" t="s">
        <v>2214</v>
      </c>
      <c r="AC106" s="522" t="s">
        <v>2215</v>
      </c>
      <c r="AD106" s="521" t="s">
        <v>789</v>
      </c>
      <c r="AE106" s="3955"/>
      <c r="AF106" s="1395"/>
      <c r="AG106" s="1395"/>
      <c r="AH106" s="1041" t="s">
        <v>1969</v>
      </c>
      <c r="AI106" s="1267"/>
      <c r="AJ106" s="1267"/>
      <c r="AK106" s="1397"/>
      <c r="AL106" s="1397"/>
      <c r="AM106" s="3943"/>
      <c r="AN106" s="3943"/>
      <c r="AO106" s="3943"/>
      <c r="AP106" s="3943"/>
    </row>
    <row customHeight="1" ht="76.78125" hidden="1">
      <c r="A107" s="643"/>
      <c r="B107" s="1412"/>
      <c r="C107" s="1412"/>
      <c r="D107" s="1412"/>
      <c r="E107" s="625">
        <v>78.75</v>
      </c>
      <c r="F107" s="50" cm="1" t="str">
        <f t="array" ref="F107:F107">OFFSET(E107,-1,1)</f>
        <v>0</v>
      </c>
      <c r="G107" s="1412"/>
      <c r="H107" s="461" t="s">
        <v>1961</v>
      </c>
      <c r="I107" s="1412"/>
      <c r="J107" s="1412"/>
      <c r="K107" s="1412"/>
      <c r="L107" s="1412"/>
      <c r="M107" s="1412"/>
      <c r="N107" s="1412"/>
      <c r="O107" s="1412"/>
      <c r="P107" s="1412"/>
      <c r="Q107" s="1412"/>
      <c r="R107" s="1412"/>
      <c r="S107" s="1412"/>
      <c r="T107" s="438" cm="1" t="str">
        <f t="array" ref="T107:T107">T106</f>
        <v>false</v>
      </c>
      <c r="U107" s="1412"/>
      <c r="V107" s="1412"/>
      <c r="W107" s="1412"/>
      <c r="X107" s="1541"/>
      <c r="Y107" s="1412"/>
      <c r="Z107" s="1542"/>
      <c r="AA107" s="1412"/>
      <c r="AB107" s="690" t="s">
        <v>1389</v>
      </c>
      <c r="AC107" s="1261" t="s">
        <v>1320</v>
      </c>
      <c r="AD107" s="521" t="s">
        <v>789</v>
      </c>
      <c r="AE107" s="3955"/>
      <c r="AF107" s="1395"/>
      <c r="AG107" s="1395"/>
      <c r="AH107" s="1041" t="s">
        <v>1947</v>
      </c>
      <c r="AI107" s="1267"/>
      <c r="AJ107" s="1267"/>
      <c r="AK107" s="1397"/>
      <c r="AL107" s="1397"/>
      <c r="AM107" s="3943"/>
      <c r="AN107" s="3943"/>
      <c r="AO107" s="3943"/>
      <c r="AP107" s="3943"/>
    </row>
    <row s="1353" customFormat="1" customHeight="1" ht="14.625" hidden="1">
      <c r="A108" s="643"/>
      <c r="B108" s="461"/>
      <c r="C108" s="461"/>
      <c r="D108" s="461"/>
      <c r="E108" s="625">
        <v>15</v>
      </c>
      <c r="F108" s="496" cm="1" t="str">
        <f t="array" ref="F108:F108">OFFSET(E108,-1,1)</f>
        <v>0</v>
      </c>
      <c r="G108" s="461"/>
      <c r="H108" s="461"/>
      <c r="I108" s="461"/>
      <c r="J108" s="461"/>
      <c r="K108" s="461"/>
      <c r="L108" s="461"/>
      <c r="M108" s="461"/>
      <c r="N108" s="461"/>
      <c r="O108" s="461"/>
      <c r="P108" s="461"/>
      <c r="Q108" s="461"/>
      <c r="R108" s="461"/>
      <c r="S108" s="461"/>
      <c r="T108" s="438" cm="1" t="str">
        <f t="array" ref="T108:T108">T107</f>
        <v>false</v>
      </c>
      <c r="U108" s="461"/>
      <c r="V108" s="461"/>
      <c r="W108" s="461"/>
      <c r="X108" s="1541"/>
      <c r="Y108" s="461"/>
      <c r="Z108" s="1542"/>
      <c r="AA108" s="461"/>
      <c r="AB108" s="1248" t="s">
        <v>1958</v>
      </c>
      <c r="AC108" s="1261" t="s">
        <v>942</v>
      </c>
      <c r="AD108" s="1250" t="s">
        <v>789</v>
      </c>
      <c r="AE108" s="3984"/>
      <c r="AF108" s="1086"/>
      <c r="AG108" s="1086"/>
      <c r="AH108" s="1041" t="s">
        <v>944</v>
      </c>
      <c r="AI108" s="1035"/>
      <c r="AJ108" s="1035"/>
      <c r="AK108" s="942"/>
      <c r="AL108" s="942"/>
      <c r="AM108" s="1353"/>
      <c r="AN108" s="1353"/>
      <c r="AO108" s="1353"/>
      <c r="AP108" s="1353"/>
    </row>
    <row s="1353" customFormat="1" customHeight="1" ht="14.625" hidden="1">
      <c r="A109" s="643"/>
      <c r="B109" s="461"/>
      <c r="C109" s="461"/>
      <c r="D109" s="461"/>
      <c r="E109" s="625">
        <v>15</v>
      </c>
      <c r="F109" s="496" cm="1" t="str">
        <f t="array" ref="F109:F109">OFFSET(E109,-1,1)</f>
        <v>0</v>
      </c>
      <c r="G109" s="461"/>
      <c r="H109" s="461"/>
      <c r="I109" s="461"/>
      <c r="J109" s="461"/>
      <c r="K109" s="461"/>
      <c r="L109" s="461"/>
      <c r="M109" s="461"/>
      <c r="N109" s="461"/>
      <c r="O109" s="461"/>
      <c r="P109" s="461"/>
      <c r="Q109" s="461"/>
      <c r="R109" s="461"/>
      <c r="S109" s="461"/>
      <c r="T109" s="438" cm="1" t="str">
        <f t="array" ref="T109:T109">T108</f>
        <v>false</v>
      </c>
      <c r="U109" s="461"/>
      <c r="V109" s="461"/>
      <c r="W109" s="461"/>
      <c r="X109" s="1541"/>
      <c r="Y109" s="461"/>
      <c r="Z109" s="1542"/>
      <c r="AA109" s="461"/>
      <c r="AB109" s="1248" t="s">
        <v>1408</v>
      </c>
      <c r="AC109" s="1261" t="s">
        <v>1331</v>
      </c>
      <c r="AD109" s="1250" t="s">
        <v>789</v>
      </c>
      <c r="AE109" s="3984"/>
      <c r="AF109" s="1086"/>
      <c r="AG109" s="1086"/>
      <c r="AH109" s="1041" t="s">
        <v>2216</v>
      </c>
      <c r="AI109" s="1035"/>
      <c r="AJ109" s="1035"/>
      <c r="AK109" s="942"/>
      <c r="AL109" s="942"/>
      <c r="AM109" s="1353"/>
      <c r="AN109" s="1353"/>
      <c r="AO109" s="1353"/>
      <c r="AP109" s="1353"/>
    </row>
    <row customHeight="1" ht="14.625" hidden="1">
      <c r="A110" s="643"/>
      <c r="B110" s="1412"/>
      <c r="C110" s="1412"/>
      <c r="D110" s="1412"/>
      <c r="E110" s="625">
        <v>15</v>
      </c>
      <c r="F110" s="50" cm="1" t="str">
        <f t="array" ref="F110:F110">OFFSET(E110,-1,1)</f>
        <v>0</v>
      </c>
      <c r="G110" s="1412"/>
      <c r="H110" s="461" t="s">
        <v>2217</v>
      </c>
      <c r="I110" s="1412"/>
      <c r="J110" s="1412"/>
      <c r="K110" s="1412"/>
      <c r="L110" s="1412"/>
      <c r="M110" s="1412"/>
      <c r="N110" s="1412"/>
      <c r="O110" s="1412"/>
      <c r="P110" s="1412"/>
      <c r="Q110" s="1412"/>
      <c r="R110" s="1412"/>
      <c r="S110" s="1412"/>
      <c r="T110" s="438" cm="1" t="str">
        <f t="array" ref="T110:T110">T107</f>
        <v>false</v>
      </c>
      <c r="U110" s="1412"/>
      <c r="V110" s="1412"/>
      <c r="W110" s="1412"/>
      <c r="X110" s="1541"/>
      <c r="Y110" s="1412"/>
      <c r="Z110" s="1542"/>
      <c r="AA110" s="1412"/>
      <c r="AB110" s="690" t="s">
        <v>1412</v>
      </c>
      <c r="AC110" s="520" t="s">
        <v>2218</v>
      </c>
      <c r="AD110" s="521" t="s">
        <v>789</v>
      </c>
      <c r="AE110" s="3955"/>
      <c r="AF110" s="1395"/>
      <c r="AG110" s="1395"/>
      <c r="AH110" s="978" t="s">
        <v>2219</v>
      </c>
      <c r="AI110" s="1267"/>
      <c r="AJ110" s="1267"/>
      <c r="AK110" s="1397"/>
      <c r="AL110" s="1397"/>
      <c r="AM110" s="3943"/>
      <c r="AN110" s="3943"/>
      <c r="AO110" s="3943"/>
      <c r="AP110" s="3943"/>
    </row>
    <row s="1353" customFormat="1" customHeight="1" ht="32.175" hidden="1">
      <c r="A111" s="643"/>
      <c r="B111" s="461"/>
      <c r="C111" s="461"/>
      <c r="D111" s="461"/>
      <c r="E111" s="625">
        <v>33</v>
      </c>
      <c r="F111" s="496" cm="1" t="str">
        <f t="array" ref="F111:F111">OFFSET(E111,-1,1)</f>
        <v>0</v>
      </c>
      <c r="G111" s="461"/>
      <c r="H111" s="461"/>
      <c r="I111" s="461"/>
      <c r="J111" s="461"/>
      <c r="K111" s="461"/>
      <c r="L111" s="461"/>
      <c r="M111" s="461"/>
      <c r="N111" s="461"/>
      <c r="O111" s="461"/>
      <c r="P111" s="461"/>
      <c r="Q111" s="461"/>
      <c r="R111" s="461"/>
      <c r="S111" s="461"/>
      <c r="T111" s="438" cm="1" t="str">
        <f t="array" ref="T111:T111">T110</f>
        <v>false</v>
      </c>
      <c r="U111" s="461"/>
      <c r="V111" s="461"/>
      <c r="W111" s="461"/>
      <c r="X111" s="1541"/>
      <c r="Y111" s="461"/>
      <c r="Z111" s="1542"/>
      <c r="AA111" s="461"/>
      <c r="AB111" s="1248" t="s">
        <v>1415</v>
      </c>
      <c r="AC111" s="1249" t="s">
        <v>1971</v>
      </c>
      <c r="AD111" s="1250" t="s">
        <v>789</v>
      </c>
      <c r="AE111" s="3984"/>
      <c r="AF111" s="1086"/>
      <c r="AG111" s="1086"/>
      <c r="AH111" s="1035" t="s">
        <v>2220</v>
      </c>
      <c r="AI111" s="1035"/>
      <c r="AJ111" s="1035"/>
      <c r="AK111" s="942"/>
      <c r="AL111" s="942"/>
      <c r="AM111" s="1353"/>
      <c r="AN111" s="1353"/>
      <c r="AO111" s="1353"/>
      <c r="AP111" s="1353"/>
    </row>
    <row customHeight="1" ht="14.625" hidden="1">
      <c r="A112" s="643"/>
      <c r="B112" s="1412"/>
      <c r="C112" s="1412"/>
      <c r="D112" s="1412"/>
      <c r="E112" s="625">
        <v>15</v>
      </c>
      <c r="F112" s="50" cm="1" t="str">
        <f t="array" ref="F112:F112">OFFSET(E112,-1,1)</f>
        <v>0</v>
      </c>
      <c r="G112" s="1412"/>
      <c r="H112" s="461" t="s">
        <v>2221</v>
      </c>
      <c r="I112" s="1412"/>
      <c r="J112" s="1412"/>
      <c r="K112" s="1412"/>
      <c r="L112" s="1412"/>
      <c r="M112" s="1412"/>
      <c r="N112" s="1412"/>
      <c r="O112" s="1412"/>
      <c r="P112" s="1412"/>
      <c r="Q112" s="1412"/>
      <c r="R112" s="1412"/>
      <c r="S112" s="1412"/>
      <c r="T112" s="438" cm="1" t="str">
        <f t="array" ref="T112:T112">T110</f>
        <v>false</v>
      </c>
      <c r="U112" s="1412"/>
      <c r="V112" s="1412"/>
      <c r="W112" s="1412"/>
      <c r="X112" s="1541"/>
      <c r="Y112" s="1412"/>
      <c r="Z112" s="1542"/>
      <c r="AA112" s="1412"/>
      <c r="AB112" s="690" t="s">
        <v>2222</v>
      </c>
      <c r="AC112" s="520" t="s">
        <v>2223</v>
      </c>
      <c r="AD112" s="521" t="s">
        <v>789</v>
      </c>
      <c r="AE112" s="530">
        <f>SUM(AE113:AE114)</f>
        <v>0</v>
      </c>
      <c r="AF112" s="1395"/>
      <c r="AG112" s="1395"/>
      <c r="AH112" s="978" t="s">
        <v>2224</v>
      </c>
      <c r="AI112" s="1267"/>
      <c r="AJ112" s="1267"/>
      <c r="AK112" s="1397"/>
      <c r="AL112" s="1397"/>
      <c r="AM112" s="3943"/>
      <c r="AN112" s="3943"/>
      <c r="AO112" s="3943"/>
      <c r="AP112" s="3943"/>
    </row>
    <row customHeight="1" ht="14.625" hidden="1">
      <c r="A113" s="643"/>
      <c r="B113" s="1412"/>
      <c r="C113" s="1412"/>
      <c r="D113" s="1412"/>
      <c r="E113" s="625">
        <v>15</v>
      </c>
      <c r="F113" s="50" cm="1" t="str">
        <f t="array" ref="F113:F113">OFFSET(E113,-1,1)</f>
        <v>0</v>
      </c>
      <c r="G113" s="1412"/>
      <c r="H113" s="461" t="s">
        <v>2221</v>
      </c>
      <c r="I113" s="536" cm="1" t="str">
        <f t="array" ref="I113:I113">AC113</f>
        <v>0</v>
      </c>
      <c r="J113" s="1412"/>
      <c r="K113" s="1412"/>
      <c r="L113" s="1412"/>
      <c r="M113" s="1412"/>
      <c r="N113" s="1412"/>
      <c r="O113" s="1412"/>
      <c r="P113" s="1412"/>
      <c r="Q113" s="1412"/>
      <c r="R113" s="1412"/>
      <c r="S113" s="1412"/>
      <c r="T113" s="438">
        <f>AND(F113&gt;0,Y113&gt;0)</f>
        <v>0</v>
      </c>
      <c r="U113" s="1412"/>
      <c r="V113" s="1412"/>
      <c r="W113" s="528" t="s">
        <v>172</v>
      </c>
      <c r="X113" s="1541"/>
      <c r="Y113" s="461">
        <v>0</v>
      </c>
      <c r="Z113" s="1542"/>
      <c r="AA113" s="638" t="s">
        <v>173</v>
      </c>
      <c r="AB113" s="690" t="str">
        <f>"2.12."&amp;Y113</f>
        <v>2.12.0</v>
      </c>
      <c r="AC113" s="3969"/>
      <c r="AD113" s="521" t="s">
        <v>789</v>
      </c>
      <c r="AE113" s="3970"/>
      <c r="AF113" s="1395"/>
      <c r="AG113" s="1395"/>
      <c r="AH113" s="978" t="s">
        <v>2224</v>
      </c>
      <c r="AI113" s="978" t="s">
        <v>2225</v>
      </c>
      <c r="AJ113" s="983" cm="1" t="str">
        <f t="array" ref="AJ113:AJ113">AC113</f>
        <v>0</v>
      </c>
      <c r="AK113" s="1397"/>
      <c r="AL113" s="632" t="b">
        <v>1</v>
      </c>
      <c r="AM113" s="3943"/>
      <c r="AN113" s="3943"/>
      <c r="AO113" s="3943"/>
      <c r="AP113" s="3943"/>
    </row>
    <row customHeight="1" ht="14.625" hidden="1">
      <c r="A114" s="643"/>
      <c r="B114" s="1412"/>
      <c r="C114" s="1412"/>
      <c r="D114" s="1412"/>
      <c r="E114" s="625">
        <v>15</v>
      </c>
      <c r="F114" s="50" cm="1" t="str">
        <f t="array" ref="F114:F114">OFFSET(E114,-1,1)</f>
        <v>0</v>
      </c>
      <c r="G114" s="1412"/>
      <c r="H114" s="1412"/>
      <c r="I114" s="124" t="str">
        <f>"!== 'не определено' &amp;&amp; row.l2_13 !== null"</f>
        <v>!== 'не определено' &amp;&amp; row.l2_13 !== null</v>
      </c>
      <c r="J114" s="1412"/>
      <c r="K114" s="1412"/>
      <c r="L114" s="1412"/>
      <c r="M114" s="1412"/>
      <c r="N114" s="1412"/>
      <c r="O114" s="1412"/>
      <c r="P114" s="1412"/>
      <c r="Q114" s="1412"/>
      <c r="R114" s="1412"/>
      <c r="S114" s="1412"/>
      <c r="T114" s="438">
        <f>F114&gt;0</f>
        <v>0</v>
      </c>
      <c r="U114" s="1412"/>
      <c r="V114" s="1412"/>
      <c r="W114" s="805" t="s">
        <v>837</v>
      </c>
      <c r="X114" s="1541"/>
      <c r="Y114" s="1412"/>
      <c r="Z114" s="1542"/>
      <c r="AA114" s="1412"/>
      <c r="AB114" s="1257"/>
      <c r="AC114" s="1312" t="s">
        <v>176</v>
      </c>
      <c r="AD114" s="1259"/>
      <c r="AE114" s="1311"/>
      <c r="AF114" s="1395"/>
      <c r="AG114" s="1395"/>
      <c r="AH114" s="1267"/>
      <c r="AI114" s="1267"/>
      <c r="AJ114" s="1267"/>
      <c r="AK114" s="632" t="s">
        <v>2225</v>
      </c>
      <c r="AL114" s="1397"/>
      <c r="AM114" s="3943"/>
      <c r="AN114" s="3943"/>
      <c r="AO114" s="3943"/>
      <c r="AP114" s="3943"/>
    </row>
    <row customHeight="1" ht="14.625" hidden="1">
      <c r="A115" s="643"/>
      <c r="B115" s="1412"/>
      <c r="C115" s="1412"/>
      <c r="D115" s="1412"/>
      <c r="E115" s="625">
        <v>15</v>
      </c>
      <c r="F115" s="50" cm="1" t="str">
        <f t="array" ref="F115:F115">OFFSET(E115,-1,1)</f>
        <v>0</v>
      </c>
      <c r="G115" s="461" t="s">
        <v>50</v>
      </c>
      <c r="H115" s="461" t="s">
        <v>323</v>
      </c>
      <c r="I115" s="1412"/>
      <c r="J115" s="1412"/>
      <c r="K115" s="1412"/>
      <c r="L115" s="1412"/>
      <c r="M115" s="1412"/>
      <c r="N115" s="1412"/>
      <c r="O115" s="1412"/>
      <c r="P115" s="1412"/>
      <c r="Q115" s="1412"/>
      <c r="R115" s="1412"/>
      <c r="S115" s="1412"/>
      <c r="T115" s="438" cm="1" t="str">
        <f t="array" ref="T115:T115">T114</f>
        <v>false</v>
      </c>
      <c r="U115" s="1412"/>
      <c r="V115" s="1412"/>
      <c r="W115" s="1412"/>
      <c r="X115" s="1541"/>
      <c r="Y115" s="1412"/>
      <c r="Z115" s="1542"/>
      <c r="AA115" s="1412"/>
      <c r="AB115" s="689" t="s">
        <v>319</v>
      </c>
      <c r="AC115" s="518" t="s">
        <v>1974</v>
      </c>
      <c r="AD115" s="519" t="s">
        <v>789</v>
      </c>
      <c r="AE115" s="3987"/>
      <c r="AF115" s="1395"/>
      <c r="AG115" s="1395"/>
      <c r="AH115" s="978" t="s">
        <v>1580</v>
      </c>
      <c r="AI115" s="1267"/>
      <c r="AJ115" s="1267"/>
      <c r="AK115" s="1397"/>
      <c r="AL115" s="1397"/>
      <c r="AM115" s="3943"/>
      <c r="AN115" s="3943"/>
      <c r="AO115" s="3943"/>
      <c r="AP115" s="3943"/>
    </row>
    <row s="1624" customFormat="1" customHeight="1" ht="24.45962905883789">
      <c r="A116" s="643"/>
      <c r="B116" s="1412"/>
      <c r="C116" s="1412"/>
      <c r="D116" s="1412"/>
      <c r="E116" s="625">
        <v>15</v>
      </c>
      <c r="F116" s="812" cm="1" t="str">
        <f t="array" ref="F116:F116">X116</f>
        <v>1</v>
      </c>
      <c r="G116" s="461" t="s">
        <v>769</v>
      </c>
      <c r="H116" s="1412"/>
      <c r="I116" s="1412"/>
      <c r="J116" s="1412"/>
      <c r="K116" s="1412"/>
      <c r="L116" s="1412"/>
      <c r="M116" s="1412"/>
      <c r="N116" s="1412"/>
      <c r="O116" s="1412"/>
      <c r="P116" s="1412"/>
      <c r="Q116" s="1412"/>
      <c r="R116" s="1412"/>
      <c r="S116" s="1412"/>
      <c r="T116" s="438">
        <f>X116&gt;0</f>
        <v>1</v>
      </c>
      <c r="U116" s="1412"/>
      <c r="V116" s="461" cm="1" t="str">
        <f t="array" ref="V116:V116">'ДПР (концессии)'!$AB$81</f>
        <v>Тариф 1 (Водоотведение) - тариф на транспортировку сточных вод</v>
      </c>
      <c r="W116" s="1412"/>
      <c r="X116" s="1541" t="s">
        <v>281</v>
      </c>
      <c r="Y116" s="1412"/>
      <c r="Z116" s="1542"/>
      <c r="AA116" s="1412"/>
      <c r="AB116" s="188" cm="1" t="str">
        <f t="array" ref="AB116:AB116">'ДПР (концессии)'!$AB$81</f>
        <v>Тариф 1 (Водоотведение) - тариф на транспортировку сточных вод</v>
      </c>
      <c r="AC116" s="146"/>
      <c r="AD116" s="140"/>
      <c r="AE116" s="1244">
        <f>AE117+AE167+AE204</f>
        <v>634.44</v>
      </c>
      <c r="AF116" s="1395"/>
      <c r="AG116" s="1395"/>
      <c r="AH116" s="1267"/>
      <c r="AI116" s="1267"/>
      <c r="AJ116" s="1267"/>
      <c r="AK116" s="1397"/>
      <c r="AL116" s="1397"/>
      <c r="AM116" s="1624"/>
      <c r="AN116" s="1624"/>
      <c r="AO116" s="1624"/>
      <c r="AP116" s="1624"/>
    </row>
    <row s="1624" customFormat="1" customHeight="1" ht="22.58462905883789">
      <c r="A117" s="643"/>
      <c r="B117" s="1412"/>
      <c r="C117" s="1412"/>
      <c r="D117" s="1412"/>
      <c r="E117" s="625">
        <v>15</v>
      </c>
      <c r="F117" s="50" cm="1" t="str">
        <f t="array" ref="F117:F117">OFFSET(E117,-1,1)</f>
        <v>1</v>
      </c>
      <c r="G117" s="1412"/>
      <c r="H117" s="461" t="s">
        <v>321</v>
      </c>
      <c r="I117" s="1412"/>
      <c r="J117" s="1412"/>
      <c r="K117" s="1412"/>
      <c r="L117" s="1412"/>
      <c r="M117" s="1412"/>
      <c r="N117" s="1412"/>
      <c r="O117" s="1412"/>
      <c r="P117" s="1412"/>
      <c r="Q117" s="1412"/>
      <c r="R117" s="1412"/>
      <c r="S117" s="1412"/>
      <c r="T117" s="438" cm="1" t="str">
        <f t="array" ref="T117:T117">T116</f>
        <v>true</v>
      </c>
      <c r="U117" s="1412"/>
      <c r="V117" s="1412"/>
      <c r="W117" s="1412"/>
      <c r="X117" s="1541"/>
      <c r="Y117" s="1412"/>
      <c r="Z117" s="1542"/>
      <c r="AA117" s="1412"/>
      <c r="AB117" s="1245" t="s">
        <v>281</v>
      </c>
      <c r="AC117" s="1246" t="s">
        <v>1780</v>
      </c>
      <c r="AD117" s="1247" t="s">
        <v>789</v>
      </c>
      <c r="AE117" s="1309">
        <f>AE118+AE136+AE144+AE164</f>
        <v>632.37</v>
      </c>
      <c r="AF117" s="1395"/>
      <c r="AG117" s="1395"/>
      <c r="AH117" s="978" t="s">
        <v>497</v>
      </c>
      <c r="AI117" s="1267"/>
      <c r="AJ117" s="1267"/>
      <c r="AK117" s="1397"/>
      <c r="AL117" s="1397"/>
      <c r="AM117" s="1624"/>
      <c r="AN117" s="1624"/>
      <c r="AO117" s="1624"/>
      <c r="AP117" s="1624"/>
    </row>
    <row s="1624" customFormat="1" customHeight="1" ht="18.20962905883789">
      <c r="A118" s="643"/>
      <c r="B118" s="1412"/>
      <c r="C118" s="1412"/>
      <c r="D118" s="1412"/>
      <c r="E118" s="625">
        <v>15</v>
      </c>
      <c r="F118" s="50" cm="1" t="str">
        <f t="array" ref="F118:F118">OFFSET(E118,-1,1)</f>
        <v>1</v>
      </c>
      <c r="G118" s="1412"/>
      <c r="H118" s="461" t="s">
        <v>434</v>
      </c>
      <c r="I118" s="1412"/>
      <c r="J118" s="1412"/>
      <c r="K118" s="1412"/>
      <c r="L118" s="1412"/>
      <c r="M118" s="1412"/>
      <c r="N118" s="1412"/>
      <c r="O118" s="1412"/>
      <c r="P118" s="1412"/>
      <c r="Q118" s="1412"/>
      <c r="R118" s="1412"/>
      <c r="S118" s="1412"/>
      <c r="T118" s="438" cm="1" t="str">
        <f t="array" ref="T118:T118">T117</f>
        <v>true</v>
      </c>
      <c r="U118" s="1412"/>
      <c r="V118" s="1412"/>
      <c r="W118" s="1412"/>
      <c r="X118" s="1541"/>
      <c r="Y118" s="1412"/>
      <c r="Z118" s="1542"/>
      <c r="AA118" s="1412"/>
      <c r="AB118" s="1248" t="s">
        <v>844</v>
      </c>
      <c r="AC118" s="1249" t="s">
        <v>1568</v>
      </c>
      <c r="AD118" s="1250" t="s">
        <v>789</v>
      </c>
      <c r="AE118" s="530">
        <f>AE119+AE120+AE121+AE126+AE127+AE128</f>
        <v>559.41</v>
      </c>
      <c r="AF118" s="1395"/>
      <c r="AG118" s="1395"/>
      <c r="AH118" s="978" t="s">
        <v>1035</v>
      </c>
      <c r="AI118" s="1267"/>
      <c r="AJ118" s="1267"/>
      <c r="AK118" s="1397"/>
      <c r="AL118" s="1397"/>
      <c r="AM118" s="1624"/>
      <c r="AN118" s="1624"/>
      <c r="AO118" s="1624"/>
      <c r="AP118" s="1624"/>
    </row>
    <row s="1624" customFormat="1" customHeight="1" ht="21.33462905883789">
      <c r="A119" s="643"/>
      <c r="B119" s="1412"/>
      <c r="C119" s="1412"/>
      <c r="D119" s="1412"/>
      <c r="E119" s="625">
        <v>15</v>
      </c>
      <c r="F119" s="50" cm="1" t="str">
        <f t="array" ref="F119:F119">OFFSET(E119,-1,1)</f>
        <v>1</v>
      </c>
      <c r="G119" s="1412"/>
      <c r="H119" s="461" t="s">
        <v>947</v>
      </c>
      <c r="I119" s="1412"/>
      <c r="J119" s="1412"/>
      <c r="K119" s="1412"/>
      <c r="L119" s="1412"/>
      <c r="M119" s="1412"/>
      <c r="N119" s="1412"/>
      <c r="O119" s="1412"/>
      <c r="P119" s="1412"/>
      <c r="Q119" s="1412"/>
      <c r="R119" s="1412"/>
      <c r="S119" s="1412"/>
      <c r="T119" s="438" cm="1" t="str">
        <f t="array" ref="T119:T119">T118</f>
        <v>true</v>
      </c>
      <c r="U119" s="1412"/>
      <c r="V119" s="1412"/>
      <c r="W119" s="1412"/>
      <c r="X119" s="1541"/>
      <c r="Y119" s="1412"/>
      <c r="Z119" s="1542"/>
      <c r="AA119" s="1412"/>
      <c r="AB119" s="690" t="s">
        <v>948</v>
      </c>
      <c r="AC119" s="1251" t="s">
        <v>2092</v>
      </c>
      <c r="AD119" s="521" t="s">
        <v>789</v>
      </c>
      <c r="AE119" s="1310">
        <f>9.25+3.27</f>
        <v>12.52</v>
      </c>
      <c r="AF119" s="1395"/>
      <c r="AG119" s="1395"/>
      <c r="AH119" s="978" t="s">
        <v>1131</v>
      </c>
      <c r="AI119" s="1267"/>
      <c r="AJ119" s="1267"/>
      <c r="AK119" s="1397"/>
      <c r="AL119" s="1397"/>
      <c r="AM119" s="1624"/>
      <c r="AN119" s="1624"/>
      <c r="AO119" s="1624"/>
      <c r="AP119" s="1624"/>
    </row>
    <row s="1624" customFormat="1" customHeight="1" ht="29.459629058837894">
      <c r="A120" s="643"/>
      <c r="B120" s="1412"/>
      <c r="C120" s="1412"/>
      <c r="D120" s="1412"/>
      <c r="E120" s="625">
        <v>22.5</v>
      </c>
      <c r="F120" s="50" cm="1" t="str">
        <f t="array" ref="F120:F120">OFFSET(E120,-1,1)</f>
        <v>1</v>
      </c>
      <c r="G120" s="1412"/>
      <c r="H120" s="461" t="s">
        <v>951</v>
      </c>
      <c r="I120" s="1412"/>
      <c r="J120" s="1412"/>
      <c r="K120" s="1412"/>
      <c r="L120" s="1412"/>
      <c r="M120" s="1412"/>
      <c r="N120" s="1412"/>
      <c r="O120" s="1412"/>
      <c r="P120" s="1412"/>
      <c r="Q120" s="1412"/>
      <c r="R120" s="1412"/>
      <c r="S120" s="1412"/>
      <c r="T120" s="438" cm="1" t="str">
        <f t="array" ref="T120:T120">T119</f>
        <v>true</v>
      </c>
      <c r="U120" s="1412"/>
      <c r="V120" s="1412"/>
      <c r="W120" s="1412"/>
      <c r="X120" s="1541"/>
      <c r="Y120" s="1412"/>
      <c r="Z120" s="1542"/>
      <c r="AA120" s="1412"/>
      <c r="AB120" s="690" t="s">
        <v>952</v>
      </c>
      <c r="AC120" s="522" t="s">
        <v>1788</v>
      </c>
      <c r="AD120" s="521" t="s">
        <v>789</v>
      </c>
      <c r="AE120" s="1310"/>
      <c r="AF120" s="1395"/>
      <c r="AG120" s="1395"/>
      <c r="AH120" s="978" t="s">
        <v>1601</v>
      </c>
      <c r="AI120" s="1267"/>
      <c r="AJ120" s="1267"/>
      <c r="AK120" s="1397"/>
      <c r="AL120" s="1397"/>
      <c r="AM120" s="1624"/>
      <c r="AN120" s="1624"/>
      <c r="AO120" s="1624"/>
      <c r="AP120" s="1624"/>
    </row>
    <row s="1624" customFormat="1" customHeight="1" ht="32.25">
      <c r="A121" s="643"/>
      <c r="B121" s="1412"/>
      <c r="C121" s="1412"/>
      <c r="D121" s="1412"/>
      <c r="E121" s="625">
        <v>33.75</v>
      </c>
      <c r="F121" s="50" cm="1" t="str">
        <f t="array" ref="F121:F121">OFFSET(E121,-1,1)</f>
        <v>1</v>
      </c>
      <c r="G121" s="1412"/>
      <c r="H121" s="461" t="s">
        <v>1183</v>
      </c>
      <c r="I121" s="1412"/>
      <c r="J121" s="1412"/>
      <c r="K121" s="1412"/>
      <c r="L121" s="1412"/>
      <c r="M121" s="1412"/>
      <c r="N121" s="1412"/>
      <c r="O121" s="1412"/>
      <c r="P121" s="1412"/>
      <c r="Q121" s="1412"/>
      <c r="R121" s="1412"/>
      <c r="S121" s="1412"/>
      <c r="T121" s="438" cm="1" t="str">
        <f t="array" ref="T121:T121">T120</f>
        <v>true</v>
      </c>
      <c r="U121" s="1412"/>
      <c r="V121" s="1412"/>
      <c r="W121" s="1412"/>
      <c r="X121" s="1541"/>
      <c r="Y121" s="1412"/>
      <c r="Z121" s="1542"/>
      <c r="AA121" s="1412"/>
      <c r="AB121" s="690" t="s">
        <v>1184</v>
      </c>
      <c r="AC121" s="522" t="s">
        <v>2093</v>
      </c>
      <c r="AD121" s="521" t="s">
        <v>789</v>
      </c>
      <c r="AE121" s="530">
        <f>AE122+AE125</f>
        <v>535.35</v>
      </c>
      <c r="AF121" s="1395"/>
      <c r="AG121" s="1395"/>
      <c r="AH121" s="978" t="s">
        <v>1603</v>
      </c>
      <c r="AI121" s="1267"/>
      <c r="AJ121" s="1267"/>
      <c r="AK121" s="1397"/>
      <c r="AL121" s="1397"/>
      <c r="AM121" s="1624"/>
      <c r="AN121" s="1624"/>
      <c r="AO121" s="1624"/>
      <c r="AP121" s="1624"/>
    </row>
    <row s="1624" customFormat="1" customHeight="1" ht="21.75">
      <c r="A122" s="643"/>
      <c r="B122" s="1412"/>
      <c r="C122" s="1412"/>
      <c r="D122" s="1412"/>
      <c r="E122" s="625">
        <v>22.5</v>
      </c>
      <c r="F122" s="50" cm="1" t="str">
        <f t="array" ref="F122:F122">OFFSET(E122,-1,1)</f>
        <v>1</v>
      </c>
      <c r="G122" s="1412"/>
      <c r="H122" s="461" t="s">
        <v>2094</v>
      </c>
      <c r="I122" s="1412"/>
      <c r="J122" s="1412"/>
      <c r="K122" s="1412"/>
      <c r="L122" s="1412"/>
      <c r="M122" s="1412"/>
      <c r="N122" s="1412"/>
      <c r="O122" s="1412"/>
      <c r="P122" s="1412"/>
      <c r="Q122" s="1412"/>
      <c r="R122" s="1412"/>
      <c r="S122" s="1412"/>
      <c r="T122" s="438" cm="1" t="str">
        <f t="array" ref="T122:T122">T121</f>
        <v>true</v>
      </c>
      <c r="U122" s="1412"/>
      <c r="V122" s="1412"/>
      <c r="W122" s="1412"/>
      <c r="X122" s="1541"/>
      <c r="Y122" s="1412"/>
      <c r="Z122" s="1542"/>
      <c r="AA122" s="1412"/>
      <c r="AB122" s="690" t="s">
        <v>2095</v>
      </c>
      <c r="AC122" s="1252" t="s">
        <v>2096</v>
      </c>
      <c r="AD122" s="521" t="s">
        <v>789</v>
      </c>
      <c r="AE122" s="1310">
        <v>411.18</v>
      </c>
      <c r="AF122" s="1395"/>
      <c r="AG122" s="1395"/>
      <c r="AH122" s="978" t="s">
        <v>1605</v>
      </c>
      <c r="AI122" s="1267"/>
      <c r="AJ122" s="1267"/>
      <c r="AK122" s="1397"/>
      <c r="AL122" s="1397"/>
      <c r="AM122" s="1624"/>
      <c r="AN122" s="1624"/>
      <c r="AO122" s="1624"/>
      <c r="AP122" s="1624"/>
    </row>
    <row s="1624" customFormat="1" customHeight="1" ht="21.75">
      <c r="A123" s="643"/>
      <c r="B123" s="1412"/>
      <c r="C123" s="1412"/>
      <c r="D123" s="1412"/>
      <c r="E123" s="625">
        <v>22.5</v>
      </c>
      <c r="F123" s="50" cm="1" t="str">
        <f t="array" ref="F123:F123">OFFSET(E123,-1,1)</f>
        <v>1</v>
      </c>
      <c r="G123" s="1412"/>
      <c r="H123" s="461" t="s">
        <v>2097</v>
      </c>
      <c r="I123" s="1412"/>
      <c r="J123" s="1412"/>
      <c r="K123" s="1412"/>
      <c r="L123" s="1412"/>
      <c r="M123" s="1412"/>
      <c r="N123" s="1412"/>
      <c r="O123" s="1412"/>
      <c r="P123" s="1412"/>
      <c r="Q123" s="1412"/>
      <c r="R123" s="1412"/>
      <c r="S123" s="1412"/>
      <c r="T123" s="438" cm="1" t="str">
        <f t="array" ref="T123:T123">T122</f>
        <v>true</v>
      </c>
      <c r="U123" s="1412"/>
      <c r="V123" s="1412"/>
      <c r="W123" s="1412"/>
      <c r="X123" s="1541"/>
      <c r="Y123" s="1412"/>
      <c r="Z123" s="1542"/>
      <c r="AA123" s="1412"/>
      <c r="AB123" s="690" t="s">
        <v>2098</v>
      </c>
      <c r="AC123" s="1253" t="s">
        <v>2099</v>
      </c>
      <c r="AD123" s="521" t="s">
        <v>2100</v>
      </c>
      <c r="AE123" s="1310">
        <v>1.47</v>
      </c>
      <c r="AF123" s="1395"/>
      <c r="AG123" s="1395"/>
      <c r="AH123" s="978" t="s">
        <v>2101</v>
      </c>
      <c r="AI123" s="1267"/>
      <c r="AJ123" s="1267"/>
      <c r="AK123" s="1397"/>
      <c r="AL123" s="1397"/>
      <c r="AM123" s="1624"/>
      <c r="AN123" s="1624"/>
      <c r="AO123" s="1624"/>
      <c r="AP123" s="1624"/>
    </row>
    <row s="1624" customFormat="1" customHeight="1" ht="21.75">
      <c r="A124" s="643"/>
      <c r="B124" s="1412"/>
      <c r="C124" s="1412"/>
      <c r="D124" s="1412"/>
      <c r="E124" s="625">
        <v>22.5</v>
      </c>
      <c r="F124" s="50" cm="1" t="str">
        <f t="array" ref="F124:F124">OFFSET(E124,-1,1)</f>
        <v>1</v>
      </c>
      <c r="G124" s="1412"/>
      <c r="H124" s="461" t="s">
        <v>2102</v>
      </c>
      <c r="I124" s="1412"/>
      <c r="J124" s="1412"/>
      <c r="K124" s="1412"/>
      <c r="L124" s="1412"/>
      <c r="M124" s="1412"/>
      <c r="N124" s="1412"/>
      <c r="O124" s="1412"/>
      <c r="P124" s="1412"/>
      <c r="Q124" s="1412"/>
      <c r="R124" s="1412"/>
      <c r="S124" s="1412"/>
      <c r="T124" s="438" cm="1" t="str">
        <f t="array" ref="T124:T124">T123</f>
        <v>true</v>
      </c>
      <c r="U124" s="1412"/>
      <c r="V124" s="1412"/>
      <c r="W124" s="1412"/>
      <c r="X124" s="1541"/>
      <c r="Y124" s="1412"/>
      <c r="Z124" s="1542"/>
      <c r="AA124" s="1412"/>
      <c r="AB124" s="690" t="s">
        <v>2103</v>
      </c>
      <c r="AC124" s="524" t="s">
        <v>2104</v>
      </c>
      <c r="AD124" s="521" t="s">
        <v>2105</v>
      </c>
      <c r="AE124" s="1310">
        <f>AE122/AE123/12*1000</f>
        <v>23309.5238095238</v>
      </c>
      <c r="AF124" s="1395"/>
      <c r="AG124" s="1395"/>
      <c r="AH124" s="978" t="s">
        <v>2106</v>
      </c>
      <c r="AI124" s="1267"/>
      <c r="AJ124" s="1267"/>
      <c r="AK124" s="1397"/>
      <c r="AL124" s="1397"/>
      <c r="AM124" s="1624"/>
      <c r="AN124" s="1624"/>
      <c r="AO124" s="1624"/>
      <c r="AP124" s="1624"/>
    </row>
    <row s="1624" customFormat="1" customHeight="1" ht="21.75">
      <c r="A125" s="643"/>
      <c r="B125" s="1412"/>
      <c r="C125" s="1412"/>
      <c r="D125" s="1412"/>
      <c r="E125" s="625">
        <v>22.5</v>
      </c>
      <c r="F125" s="50" cm="1" t="str">
        <f t="array" ref="F125:F125">OFFSET(E125,-1,1)</f>
        <v>1</v>
      </c>
      <c r="G125" s="1412"/>
      <c r="H125" s="461" t="s">
        <v>2107</v>
      </c>
      <c r="I125" s="1412"/>
      <c r="J125" s="1412"/>
      <c r="K125" s="1412"/>
      <c r="L125" s="1412"/>
      <c r="M125" s="1412"/>
      <c r="N125" s="1412"/>
      <c r="O125" s="1412"/>
      <c r="P125" s="1412"/>
      <c r="Q125" s="1412"/>
      <c r="R125" s="1412"/>
      <c r="S125" s="1412"/>
      <c r="T125" s="438" cm="1" t="str">
        <f t="array" ref="T125:T125">T124</f>
        <v>true</v>
      </c>
      <c r="U125" s="1412"/>
      <c r="V125" s="1412"/>
      <c r="W125" s="1412"/>
      <c r="X125" s="1541"/>
      <c r="Y125" s="1412"/>
      <c r="Z125" s="1542"/>
      <c r="AA125" s="1412"/>
      <c r="AB125" s="690" t="s">
        <v>2108</v>
      </c>
      <c r="AC125" s="523" t="s">
        <v>2109</v>
      </c>
      <c r="AD125" s="521" t="s">
        <v>789</v>
      </c>
      <c r="AE125" s="1310">
        <v>124.17</v>
      </c>
      <c r="AF125" s="1395"/>
      <c r="AG125" s="1395"/>
      <c r="AH125" s="978" t="s">
        <v>1607</v>
      </c>
      <c r="AI125" s="1267"/>
      <c r="AJ125" s="1267"/>
      <c r="AK125" s="1397"/>
      <c r="AL125" s="1397"/>
      <c r="AM125" s="1624"/>
      <c r="AN125" s="1624"/>
      <c r="AO125" s="1624"/>
      <c r="AP125" s="1624"/>
    </row>
    <row s="1624" customFormat="1" customHeight="1" ht="14.25">
      <c r="A126" s="643"/>
      <c r="B126" s="1412"/>
      <c r="C126" s="1412"/>
      <c r="D126" s="1412"/>
      <c r="E126" s="625">
        <v>15</v>
      </c>
      <c r="F126" s="50" cm="1" t="str">
        <f t="array" ref="F126:F126">OFFSET(E126,-1,1)</f>
        <v>1</v>
      </c>
      <c r="G126" s="1412"/>
      <c r="H126" s="461" t="s">
        <v>1187</v>
      </c>
      <c r="I126" s="1412"/>
      <c r="J126" s="1412"/>
      <c r="K126" s="1412"/>
      <c r="L126" s="1412"/>
      <c r="M126" s="1412"/>
      <c r="N126" s="1412"/>
      <c r="O126" s="1412"/>
      <c r="P126" s="1412"/>
      <c r="Q126" s="1412"/>
      <c r="R126" s="1412"/>
      <c r="S126" s="1412"/>
      <c r="T126" s="438" cm="1" t="str">
        <f t="array" ref="T126:T126">T125</f>
        <v>true</v>
      </c>
      <c r="U126" s="1412"/>
      <c r="V126" s="1412"/>
      <c r="W126" s="1412"/>
      <c r="X126" s="1541"/>
      <c r="Y126" s="1412"/>
      <c r="Z126" s="1542"/>
      <c r="AA126" s="1412"/>
      <c r="AB126" s="690" t="s">
        <v>1188</v>
      </c>
      <c r="AC126" s="522" t="s">
        <v>2110</v>
      </c>
      <c r="AD126" s="521" t="s">
        <v>789</v>
      </c>
      <c r="AE126" s="1310"/>
      <c r="AF126" s="1395"/>
      <c r="AG126" s="1395"/>
      <c r="AH126" s="978" t="s">
        <v>1969</v>
      </c>
      <c r="AI126" s="1267"/>
      <c r="AJ126" s="1267"/>
      <c r="AK126" s="1397"/>
      <c r="AL126" s="1397"/>
      <c r="AM126" s="1624"/>
      <c r="AN126" s="1624"/>
      <c r="AO126" s="1624"/>
      <c r="AP126" s="1624"/>
    </row>
    <row s="1624" customFormat="1" customHeight="1" ht="24.45962905883789">
      <c r="A127" s="643"/>
      <c r="B127" s="1412"/>
      <c r="C127" s="1412"/>
      <c r="D127" s="1412"/>
      <c r="E127" s="625">
        <v>15</v>
      </c>
      <c r="F127" s="50" cm="1" t="str">
        <f t="array" ref="F127:F127">OFFSET(E127,-1,1)</f>
        <v>1</v>
      </c>
      <c r="G127" s="1412"/>
      <c r="H127" s="461" t="s">
        <v>2111</v>
      </c>
      <c r="I127" s="1412"/>
      <c r="J127" s="1412"/>
      <c r="K127" s="1412"/>
      <c r="L127" s="1412"/>
      <c r="M127" s="1412"/>
      <c r="N127" s="1412"/>
      <c r="O127" s="1412"/>
      <c r="P127" s="1412"/>
      <c r="Q127" s="1412"/>
      <c r="R127" s="1412"/>
      <c r="S127" s="1412"/>
      <c r="T127" s="438" cm="1" t="str">
        <f t="array" ref="T127:T127">T126</f>
        <v>true</v>
      </c>
      <c r="U127" s="1412"/>
      <c r="V127" s="1412"/>
      <c r="W127" s="1412"/>
      <c r="X127" s="1541"/>
      <c r="Y127" s="1412"/>
      <c r="Z127" s="1542"/>
      <c r="AA127" s="1412"/>
      <c r="AB127" s="690" t="s">
        <v>1191</v>
      </c>
      <c r="AC127" s="522" t="s">
        <v>1794</v>
      </c>
      <c r="AD127" s="521" t="s">
        <v>789</v>
      </c>
      <c r="AE127" s="1310">
        <v>11.54</v>
      </c>
      <c r="AF127" s="1395"/>
      <c r="AG127" s="1395"/>
      <c r="AH127" s="978" t="s">
        <v>1612</v>
      </c>
      <c r="AI127" s="1267"/>
      <c r="AJ127" s="1267"/>
      <c r="AK127" s="1397"/>
      <c r="AL127" s="1397"/>
      <c r="AM127" s="1624"/>
      <c r="AN127" s="1624"/>
      <c r="AO127" s="1624"/>
      <c r="AP127" s="1624"/>
    </row>
    <row s="1624" customFormat="1" customHeight="1" ht="20.08462905883789">
      <c r="A128" s="643"/>
      <c r="B128" s="1412"/>
      <c r="C128" s="1412"/>
      <c r="D128" s="1412"/>
      <c r="E128" s="625">
        <v>15</v>
      </c>
      <c r="F128" s="50" cm="1" t="str">
        <f t="array" ref="F128:F128">OFFSET(E128,-1,1)</f>
        <v>1</v>
      </c>
      <c r="G128" s="1412"/>
      <c r="H128" s="461" t="s">
        <v>2112</v>
      </c>
      <c r="I128" s="1412"/>
      <c r="J128" s="1412"/>
      <c r="K128" s="1412"/>
      <c r="L128" s="1412"/>
      <c r="M128" s="1412"/>
      <c r="N128" s="1412"/>
      <c r="O128" s="1412"/>
      <c r="P128" s="1412"/>
      <c r="Q128" s="1412"/>
      <c r="R128" s="1412"/>
      <c r="S128" s="1412"/>
      <c r="T128" s="438" cm="1" t="str">
        <f t="array" ref="T128:T128">T127</f>
        <v>true</v>
      </c>
      <c r="U128" s="1412"/>
      <c r="V128" s="1412"/>
      <c r="W128" s="1412"/>
      <c r="X128" s="1541"/>
      <c r="Y128" s="1412"/>
      <c r="Z128" s="1542"/>
      <c r="AA128" s="1412"/>
      <c r="AB128" s="690" t="s">
        <v>2113</v>
      </c>
      <c r="AC128" s="522" t="s">
        <v>2114</v>
      </c>
      <c r="AD128" s="521" t="s">
        <v>789</v>
      </c>
      <c r="AE128" s="530">
        <f>SUM(AE129:AE135)</f>
        <v>0</v>
      </c>
      <c r="AF128" s="1395"/>
      <c r="AG128" s="1395"/>
      <c r="AH128" s="978" t="s">
        <v>1616</v>
      </c>
      <c r="AI128" s="1267"/>
      <c r="AJ128" s="1267"/>
      <c r="AK128" s="1397"/>
      <c r="AL128" s="1397"/>
      <c r="AM128" s="1624"/>
      <c r="AN128" s="1624"/>
      <c r="AO128" s="1624"/>
      <c r="AP128" s="1624"/>
    </row>
    <row s="1624" customFormat="1" customHeight="1" ht="20.70962905883789">
      <c r="A129" s="643"/>
      <c r="B129" s="1412"/>
      <c r="C129" s="1412"/>
      <c r="D129" s="1412"/>
      <c r="E129" s="625">
        <v>15</v>
      </c>
      <c r="F129" s="50" cm="1" t="str">
        <f t="array" ref="F129:F129">OFFSET(E129,-1,1)</f>
        <v>1</v>
      </c>
      <c r="G129" s="1412"/>
      <c r="H129" s="461" t="s">
        <v>2115</v>
      </c>
      <c r="I129" s="1412"/>
      <c r="J129" s="1412"/>
      <c r="K129" s="1412"/>
      <c r="L129" s="1412"/>
      <c r="M129" s="1412"/>
      <c r="N129" s="1412"/>
      <c r="O129" s="1412"/>
      <c r="P129" s="1412"/>
      <c r="Q129" s="1412"/>
      <c r="R129" s="1412"/>
      <c r="S129" s="1412"/>
      <c r="T129" s="438" cm="1" t="str">
        <f t="array" ref="T129:T129">T128</f>
        <v>true</v>
      </c>
      <c r="U129" s="1412"/>
      <c r="V129" s="1412"/>
      <c r="W129" s="1412"/>
      <c r="X129" s="1541"/>
      <c r="Y129" s="1412"/>
      <c r="Z129" s="1542"/>
      <c r="AA129" s="1412"/>
      <c r="AB129" s="690" t="s">
        <v>2116</v>
      </c>
      <c r="AC129" s="523" t="s">
        <v>1623</v>
      </c>
      <c r="AD129" s="521" t="s">
        <v>789</v>
      </c>
      <c r="AE129" s="1310"/>
      <c r="AF129" s="1395"/>
      <c r="AG129" s="1395"/>
      <c r="AH129" s="978" t="s">
        <v>2117</v>
      </c>
      <c r="AI129" s="1267"/>
      <c r="AJ129" s="1267"/>
      <c r="AK129" s="1397"/>
      <c r="AL129" s="1397"/>
      <c r="AM129" s="1624"/>
      <c r="AN129" s="1624"/>
      <c r="AO129" s="1624"/>
      <c r="AP129" s="1624"/>
    </row>
    <row s="1624" customFormat="1" customHeight="1" ht="21.75">
      <c r="A130" s="643"/>
      <c r="B130" s="1412"/>
      <c r="C130" s="1412"/>
      <c r="D130" s="1412"/>
      <c r="E130" s="625">
        <v>22.5</v>
      </c>
      <c r="F130" s="50" cm="1" t="str">
        <f t="array" ref="F130:F130">OFFSET(E130,-1,1)</f>
        <v>1</v>
      </c>
      <c r="G130" s="1412"/>
      <c r="H130" s="461" t="s">
        <v>2118</v>
      </c>
      <c r="I130" s="1412"/>
      <c r="J130" s="1412"/>
      <c r="K130" s="1412"/>
      <c r="L130" s="1412"/>
      <c r="M130" s="1412"/>
      <c r="N130" s="1412"/>
      <c r="O130" s="1412"/>
      <c r="P130" s="1412"/>
      <c r="Q130" s="1412"/>
      <c r="R130" s="1412"/>
      <c r="S130" s="1412"/>
      <c r="T130" s="438" cm="1" t="str">
        <f t="array" ref="T130:T130">T129</f>
        <v>true</v>
      </c>
      <c r="U130" s="1412"/>
      <c r="V130" s="1412"/>
      <c r="W130" s="1412"/>
      <c r="X130" s="1541"/>
      <c r="Y130" s="1412"/>
      <c r="Z130" s="1542"/>
      <c r="AA130" s="1412"/>
      <c r="AB130" s="690" t="s">
        <v>2119</v>
      </c>
      <c r="AC130" s="523" t="s">
        <v>1802</v>
      </c>
      <c r="AD130" s="521" t="s">
        <v>789</v>
      </c>
      <c r="AE130" s="1310"/>
      <c r="AF130" s="1395"/>
      <c r="AG130" s="1395"/>
      <c r="AH130" s="1041" t="s">
        <v>1803</v>
      </c>
      <c r="AI130" s="1267"/>
      <c r="AJ130" s="1267"/>
      <c r="AK130" s="1397"/>
      <c r="AL130" s="1397"/>
      <c r="AM130" s="1624"/>
      <c r="AN130" s="1624"/>
      <c r="AO130" s="1624"/>
      <c r="AP130" s="1624"/>
    </row>
    <row s="1624" customFormat="1" customHeight="1" ht="21.75">
      <c r="A131" s="643"/>
      <c r="B131" s="1412"/>
      <c r="C131" s="1412"/>
      <c r="D131" s="1412"/>
      <c r="E131" s="625">
        <v>22.5</v>
      </c>
      <c r="F131" s="50" cm="1" t="str">
        <f t="array" ref="F131:F131">OFFSET(E131,-1,1)</f>
        <v>1</v>
      </c>
      <c r="G131" s="1412"/>
      <c r="H131" s="461" t="s">
        <v>2120</v>
      </c>
      <c r="I131" s="1412"/>
      <c r="J131" s="1412"/>
      <c r="K131" s="1412"/>
      <c r="L131" s="1412"/>
      <c r="M131" s="1412"/>
      <c r="N131" s="1412"/>
      <c r="O131" s="1412"/>
      <c r="P131" s="1412"/>
      <c r="Q131" s="1412"/>
      <c r="R131" s="1412"/>
      <c r="S131" s="1412"/>
      <c r="T131" s="438" cm="1" t="str">
        <f t="array" ref="T131:T131">T130</f>
        <v>true</v>
      </c>
      <c r="U131" s="1412"/>
      <c r="V131" s="1412"/>
      <c r="W131" s="1412"/>
      <c r="X131" s="1541"/>
      <c r="Y131" s="1412"/>
      <c r="Z131" s="1542"/>
      <c r="AA131" s="1412"/>
      <c r="AB131" s="690" t="s">
        <v>2121</v>
      </c>
      <c r="AC131" s="523" t="s">
        <v>1806</v>
      </c>
      <c r="AD131" s="521" t="s">
        <v>789</v>
      </c>
      <c r="AE131" s="1310"/>
      <c r="AF131" s="1395"/>
      <c r="AG131" s="1395"/>
      <c r="AH131" s="1041" t="s">
        <v>1807</v>
      </c>
      <c r="AI131" s="1267"/>
      <c r="AJ131" s="1267"/>
      <c r="AK131" s="1397"/>
      <c r="AL131" s="1397"/>
      <c r="AM131" s="1624"/>
      <c r="AN131" s="1624"/>
      <c r="AO131" s="1624"/>
      <c r="AP131" s="1624"/>
    </row>
    <row s="1624" customFormat="1" customHeight="1" ht="21.75">
      <c r="A132" s="643"/>
      <c r="B132" s="1412"/>
      <c r="C132" s="1412"/>
      <c r="D132" s="1412"/>
      <c r="E132" s="625">
        <v>22.5</v>
      </c>
      <c r="F132" s="50" cm="1" t="str">
        <f t="array" ref="F132:F132">OFFSET(E132,-1,1)</f>
        <v>1</v>
      </c>
      <c r="G132" s="1412"/>
      <c r="H132" s="461" t="s">
        <v>2122</v>
      </c>
      <c r="I132" s="1412"/>
      <c r="J132" s="1412"/>
      <c r="K132" s="1412"/>
      <c r="L132" s="1412"/>
      <c r="M132" s="1412"/>
      <c r="N132" s="1412"/>
      <c r="O132" s="1412"/>
      <c r="P132" s="1412"/>
      <c r="Q132" s="1412"/>
      <c r="R132" s="1412"/>
      <c r="S132" s="1412"/>
      <c r="T132" s="438" cm="1" t="str">
        <f t="array" ref="T132:T132">T131</f>
        <v>true</v>
      </c>
      <c r="U132" s="1412"/>
      <c r="V132" s="1412"/>
      <c r="W132" s="1412"/>
      <c r="X132" s="1541"/>
      <c r="Y132" s="1412"/>
      <c r="Z132" s="1542"/>
      <c r="AA132" s="1412"/>
      <c r="AB132" s="690" t="s">
        <v>2123</v>
      </c>
      <c r="AC132" s="523" t="s">
        <v>2124</v>
      </c>
      <c r="AD132" s="521" t="s">
        <v>789</v>
      </c>
      <c r="AE132" s="1310"/>
      <c r="AF132" s="1395"/>
      <c r="AG132" s="1395"/>
      <c r="AH132" s="1041" t="s">
        <v>1811</v>
      </c>
      <c r="AI132" s="1267"/>
      <c r="AJ132" s="1267"/>
      <c r="AK132" s="1397"/>
      <c r="AL132" s="1397"/>
      <c r="AM132" s="1624"/>
      <c r="AN132" s="1624"/>
      <c r="AO132" s="1624"/>
      <c r="AP132" s="1624"/>
    </row>
    <row s="1624" customFormat="1" customHeight="1" ht="54.75">
      <c r="A133" s="643"/>
      <c r="B133" s="1412"/>
      <c r="C133" s="1412"/>
      <c r="D133" s="1412"/>
      <c r="E133" s="625">
        <v>56.25</v>
      </c>
      <c r="F133" s="50" cm="1" t="str">
        <f t="array" ref="F133:F133">OFFSET(E133,-1,1)</f>
        <v>1</v>
      </c>
      <c r="G133" s="1412"/>
      <c r="H133" s="461" t="s">
        <v>2125</v>
      </c>
      <c r="I133" s="1412"/>
      <c r="J133" s="1412"/>
      <c r="K133" s="1412"/>
      <c r="L133" s="1412"/>
      <c r="M133" s="1412"/>
      <c r="N133" s="1412"/>
      <c r="O133" s="1412"/>
      <c r="P133" s="1412"/>
      <c r="Q133" s="1412"/>
      <c r="R133" s="1412"/>
      <c r="S133" s="1412"/>
      <c r="T133" s="438" cm="1" t="str">
        <f t="array" ref="T133:T133">T132</f>
        <v>true</v>
      </c>
      <c r="U133" s="1412"/>
      <c r="V133" s="1412"/>
      <c r="W133" s="1412"/>
      <c r="X133" s="1541"/>
      <c r="Y133" s="1412"/>
      <c r="Z133" s="1542"/>
      <c r="AA133" s="1412"/>
      <c r="AB133" s="690" t="s">
        <v>2126</v>
      </c>
      <c r="AC133" s="523" t="s">
        <v>1814</v>
      </c>
      <c r="AD133" s="521" t="s">
        <v>789</v>
      </c>
      <c r="AE133" s="1310"/>
      <c r="AF133" s="1395"/>
      <c r="AG133" s="1395"/>
      <c r="AH133" s="1041" t="s">
        <v>1628</v>
      </c>
      <c r="AI133" s="1267"/>
      <c r="AJ133" s="1267"/>
      <c r="AK133" s="1397"/>
      <c r="AL133" s="1397"/>
      <c r="AM133" s="1624"/>
      <c r="AN133" s="1624"/>
      <c r="AO133" s="1624"/>
      <c r="AP133" s="1624"/>
    </row>
    <row s="1624" customFormat="1" customHeight="1" ht="14.25">
      <c r="A134" s="643"/>
      <c r="B134" s="1412"/>
      <c r="C134" s="1412"/>
      <c r="D134" s="1412"/>
      <c r="E134" s="625">
        <v>15</v>
      </c>
      <c r="F134" s="50" cm="1" t="str">
        <f t="array" ref="F134:F134">OFFSET(E134,-1,1)</f>
        <v>1</v>
      </c>
      <c r="G134" s="1412"/>
      <c r="H134" s="461" t="s">
        <v>2127</v>
      </c>
      <c r="I134" s="1412"/>
      <c r="J134" s="1412"/>
      <c r="K134" s="1412"/>
      <c r="L134" s="1412"/>
      <c r="M134" s="1412"/>
      <c r="N134" s="1412"/>
      <c r="O134" s="1412"/>
      <c r="P134" s="1412"/>
      <c r="Q134" s="1412"/>
      <c r="R134" s="1412"/>
      <c r="S134" s="1412"/>
      <c r="T134" s="438" cm="1" t="str">
        <f t="array" ref="T134:T134">T133</f>
        <v>true</v>
      </c>
      <c r="U134" s="1412"/>
      <c r="V134" s="1412"/>
      <c r="W134" s="1412"/>
      <c r="X134" s="1541"/>
      <c r="Y134" s="1412"/>
      <c r="Z134" s="1542"/>
      <c r="AA134" s="1412"/>
      <c r="AB134" s="690" t="s">
        <v>2128</v>
      </c>
      <c r="AC134" s="523" t="s">
        <v>1631</v>
      </c>
      <c r="AD134" s="521" t="s">
        <v>789</v>
      </c>
      <c r="AE134" s="1310"/>
      <c r="AF134" s="1395"/>
      <c r="AG134" s="1395"/>
      <c r="AH134" s="1041" t="s">
        <v>1632</v>
      </c>
      <c r="AI134" s="1267"/>
      <c r="AJ134" s="1267"/>
      <c r="AK134" s="1397"/>
      <c r="AL134" s="1397"/>
      <c r="AM134" s="1624"/>
      <c r="AN134" s="1624"/>
      <c r="AO134" s="1624"/>
      <c r="AP134" s="1624"/>
    </row>
    <row s="1624" customFormat="1" customHeight="1" ht="14.25">
      <c r="A135" s="643"/>
      <c r="B135" s="1412"/>
      <c r="C135" s="1412"/>
      <c r="D135" s="1412"/>
      <c r="E135" s="625">
        <v>15</v>
      </c>
      <c r="F135" s="50" cm="1" t="str">
        <f t="array" ref="F135:F135">OFFSET(E135,-1,1)</f>
        <v>1</v>
      </c>
      <c r="G135" s="1412"/>
      <c r="H135" s="461" t="s">
        <v>2129</v>
      </c>
      <c r="I135" s="1412"/>
      <c r="J135" s="1412"/>
      <c r="K135" s="1412"/>
      <c r="L135" s="1412"/>
      <c r="M135" s="1412"/>
      <c r="N135" s="1412"/>
      <c r="O135" s="1412"/>
      <c r="P135" s="1412"/>
      <c r="Q135" s="1412"/>
      <c r="R135" s="1412"/>
      <c r="S135" s="1412"/>
      <c r="T135" s="438" cm="1" t="str">
        <f t="array" ref="T135:T135">T134</f>
        <v>true</v>
      </c>
      <c r="U135" s="1412"/>
      <c r="V135" s="1412"/>
      <c r="W135" s="1412"/>
      <c r="X135" s="1541"/>
      <c r="Y135" s="1412"/>
      <c r="Z135" s="1542"/>
      <c r="AA135" s="1412"/>
      <c r="AB135" s="690" t="s">
        <v>2130</v>
      </c>
      <c r="AC135" s="523" t="s">
        <v>1123</v>
      </c>
      <c r="AD135" s="521" t="s">
        <v>789</v>
      </c>
      <c r="AE135" s="1310"/>
      <c r="AF135" s="1395"/>
      <c r="AG135" s="1395"/>
      <c r="AH135" s="1041" t="s">
        <v>1616</v>
      </c>
      <c r="AI135" s="1267"/>
      <c r="AJ135" s="1267"/>
      <c r="AK135" s="1397"/>
      <c r="AL135" s="1397"/>
      <c r="AM135" s="1624"/>
      <c r="AN135" s="1624"/>
      <c r="AO135" s="1624"/>
      <c r="AP135" s="1624"/>
    </row>
    <row s="1624" customFormat="1" customHeight="1" ht="18.83462905883789">
      <c r="A136" s="643"/>
      <c r="B136" s="1412"/>
      <c r="C136" s="1412"/>
      <c r="D136" s="1412"/>
      <c r="E136" s="625">
        <v>15</v>
      </c>
      <c r="F136" s="50" cm="1" t="str">
        <f t="array" ref="F136:F136">OFFSET(E136,-1,1)</f>
        <v>1</v>
      </c>
      <c r="G136" s="1412"/>
      <c r="H136" s="461" t="s">
        <v>438</v>
      </c>
      <c r="I136" s="1412"/>
      <c r="J136" s="1412"/>
      <c r="K136" s="1412"/>
      <c r="L136" s="1412"/>
      <c r="M136" s="1412"/>
      <c r="N136" s="1412"/>
      <c r="O136" s="1412"/>
      <c r="P136" s="1412"/>
      <c r="Q136" s="1412"/>
      <c r="R136" s="1412"/>
      <c r="S136" s="1412"/>
      <c r="T136" s="438" cm="1" t="str">
        <f t="array" ref="T136:T136">T135</f>
        <v>true</v>
      </c>
      <c r="U136" s="1412"/>
      <c r="V136" s="1412"/>
      <c r="W136" s="1412"/>
      <c r="X136" s="1541"/>
      <c r="Y136" s="1412"/>
      <c r="Z136" s="1542"/>
      <c r="AA136" s="1412"/>
      <c r="AB136" s="690" t="s">
        <v>847</v>
      </c>
      <c r="AC136" s="520" t="s">
        <v>2131</v>
      </c>
      <c r="AD136" s="521" t="s">
        <v>789</v>
      </c>
      <c r="AE136" s="530">
        <f>AE137+AE138+AE139</f>
        <v>72.96</v>
      </c>
      <c r="AF136" s="1395"/>
      <c r="AG136" s="1395"/>
      <c r="AH136" s="1040" t="s">
        <v>1637</v>
      </c>
      <c r="AI136" s="1267"/>
      <c r="AJ136" s="1267"/>
      <c r="AK136" s="1397"/>
      <c r="AL136" s="1397"/>
      <c r="AM136" s="1624"/>
      <c r="AN136" s="1624"/>
      <c r="AO136" s="1624"/>
      <c r="AP136" s="1624"/>
    </row>
    <row s="1624" customFormat="1" customHeight="1" ht="21.33462905883789">
      <c r="A137" s="643"/>
      <c r="B137" s="1412"/>
      <c r="C137" s="1412"/>
      <c r="D137" s="1412"/>
      <c r="E137" s="625">
        <v>15</v>
      </c>
      <c r="F137" s="50" cm="1" t="str">
        <f t="array" ref="F137:F137">OFFSET(E137,-1,1)</f>
        <v>1</v>
      </c>
      <c r="G137" s="1412"/>
      <c r="H137" s="461" t="s">
        <v>1208</v>
      </c>
      <c r="I137" s="1412"/>
      <c r="J137" s="1412"/>
      <c r="K137" s="1412"/>
      <c r="L137" s="1412"/>
      <c r="M137" s="1412"/>
      <c r="N137" s="1412"/>
      <c r="O137" s="1412"/>
      <c r="P137" s="1412"/>
      <c r="Q137" s="1412"/>
      <c r="R137" s="1412"/>
      <c r="S137" s="1412"/>
      <c r="T137" s="438" cm="1" t="str">
        <f t="array" ref="T137:T137">T136</f>
        <v>true</v>
      </c>
      <c r="U137" s="1412"/>
      <c r="V137" s="1412"/>
      <c r="W137" s="1412"/>
      <c r="X137" s="1541"/>
      <c r="Y137" s="1412"/>
      <c r="Z137" s="1542"/>
      <c r="AA137" s="1412"/>
      <c r="AB137" s="690" t="s">
        <v>1209</v>
      </c>
      <c r="AC137" s="522" t="s">
        <v>2132</v>
      </c>
      <c r="AD137" s="521" t="s">
        <v>789</v>
      </c>
      <c r="AE137" s="1310">
        <v>72.96</v>
      </c>
      <c r="AF137" s="1395"/>
      <c r="AG137" s="1395"/>
      <c r="AH137" s="1039" t="s">
        <v>1639</v>
      </c>
      <c r="AI137" s="1267"/>
      <c r="AJ137" s="1267"/>
      <c r="AK137" s="1397"/>
      <c r="AL137" s="1397"/>
      <c r="AM137" s="1624"/>
      <c r="AN137" s="1624"/>
      <c r="AO137" s="1624"/>
      <c r="AP137" s="1624"/>
    </row>
    <row s="1624" customFormat="1" customHeight="1" ht="19.459629058837894">
      <c r="A138" s="643"/>
      <c r="B138" s="1412"/>
      <c r="C138" s="1412"/>
      <c r="D138" s="1412"/>
      <c r="E138" s="625">
        <v>15</v>
      </c>
      <c r="F138" s="50" cm="1" t="str">
        <f t="array" ref="F138:F138">OFFSET(E138,-1,1)</f>
        <v>1</v>
      </c>
      <c r="G138" s="1412"/>
      <c r="H138" s="461" t="s">
        <v>1211</v>
      </c>
      <c r="I138" s="1412"/>
      <c r="J138" s="1412"/>
      <c r="K138" s="1412"/>
      <c r="L138" s="1412"/>
      <c r="M138" s="1412"/>
      <c r="N138" s="1412"/>
      <c r="O138" s="1412"/>
      <c r="P138" s="1412"/>
      <c r="Q138" s="1412"/>
      <c r="R138" s="1412"/>
      <c r="S138" s="1412"/>
      <c r="T138" s="438" cm="1" t="str">
        <f t="array" ref="T138:T138">T137</f>
        <v>true</v>
      </c>
      <c r="U138" s="1412"/>
      <c r="V138" s="1412"/>
      <c r="W138" s="1412"/>
      <c r="X138" s="1541"/>
      <c r="Y138" s="1412"/>
      <c r="Z138" s="1542"/>
      <c r="AA138" s="1412"/>
      <c r="AB138" s="690" t="s">
        <v>1212</v>
      </c>
      <c r="AC138" s="522" t="s">
        <v>2133</v>
      </c>
      <c r="AD138" s="521" t="s">
        <v>789</v>
      </c>
      <c r="AE138" s="1310"/>
      <c r="AF138" s="1395"/>
      <c r="AG138" s="1395"/>
      <c r="AH138" s="1041" t="s">
        <v>1822</v>
      </c>
      <c r="AI138" s="1267"/>
      <c r="AJ138" s="1267"/>
      <c r="AK138" s="1397"/>
      <c r="AL138" s="1397"/>
      <c r="AM138" s="1624"/>
      <c r="AN138" s="1624"/>
      <c r="AO138" s="1624"/>
      <c r="AP138" s="1624"/>
    </row>
    <row s="1624" customFormat="1" customHeight="1" ht="0">
      <c r="A139" s="643"/>
      <c r="B139" s="1412"/>
      <c r="C139" s="1412"/>
      <c r="D139" s="1412"/>
      <c r="E139" s="625">
        <v>22.5</v>
      </c>
      <c r="F139" s="50" cm="1" t="str">
        <f t="array" ref="F139:F139">OFFSET(E139,-1,1)</f>
        <v>1</v>
      </c>
      <c r="G139" s="1412"/>
      <c r="H139" s="461" t="s">
        <v>1215</v>
      </c>
      <c r="I139" s="1412"/>
      <c r="J139" s="1412"/>
      <c r="K139" s="1412"/>
      <c r="L139" s="1412"/>
      <c r="M139" s="1412"/>
      <c r="N139" s="1412"/>
      <c r="O139" s="1412"/>
      <c r="P139" s="1412"/>
      <c r="Q139" s="1412"/>
      <c r="R139" s="1412"/>
      <c r="S139" s="1412"/>
      <c r="T139" s="438" cm="1" t="str">
        <f t="array" ref="T139:T139">T138</f>
        <v>true</v>
      </c>
      <c r="U139" s="1412"/>
      <c r="V139" s="1412"/>
      <c r="W139" s="1412"/>
      <c r="X139" s="1541"/>
      <c r="Y139" s="1412"/>
      <c r="Z139" s="1542"/>
      <c r="AA139" s="1412"/>
      <c r="AB139" s="690" t="s">
        <v>1216</v>
      </c>
      <c r="AC139" s="522" t="s">
        <v>2134</v>
      </c>
      <c r="AD139" s="521" t="s">
        <v>789</v>
      </c>
      <c r="AE139" s="530">
        <f>AE140+AE143</f>
        <v>0</v>
      </c>
      <c r="AF139" s="1395"/>
      <c r="AG139" s="1395"/>
      <c r="AH139" s="1039" t="s">
        <v>1641</v>
      </c>
      <c r="AI139" s="1267"/>
      <c r="AJ139" s="1267"/>
      <c r="AK139" s="1397"/>
      <c r="AL139" s="1397"/>
      <c r="AM139" s="1624"/>
      <c r="AN139" s="1624"/>
      <c r="AO139" s="1624"/>
      <c r="AP139" s="1624"/>
    </row>
    <row s="1624" customFormat="1" customHeight="1" ht="0">
      <c r="A140" s="643"/>
      <c r="B140" s="1412"/>
      <c r="C140" s="1412"/>
      <c r="D140" s="1412"/>
      <c r="E140" s="625">
        <v>15</v>
      </c>
      <c r="F140" s="50" cm="1" t="str">
        <f t="array" ref="F140:F140">OFFSET(E140,-1,1)</f>
        <v>1</v>
      </c>
      <c r="G140" s="1412"/>
      <c r="H140" s="461" t="s">
        <v>1359</v>
      </c>
      <c r="I140" s="1412"/>
      <c r="J140" s="1412"/>
      <c r="K140" s="1412"/>
      <c r="L140" s="1412"/>
      <c r="M140" s="1412"/>
      <c r="N140" s="1412"/>
      <c r="O140" s="1412"/>
      <c r="P140" s="1412"/>
      <c r="Q140" s="1412"/>
      <c r="R140" s="1412"/>
      <c r="S140" s="1412"/>
      <c r="T140" s="438" cm="1" t="str">
        <f t="array" ref="T140:T140">T139</f>
        <v>true</v>
      </c>
      <c r="U140" s="1412"/>
      <c r="V140" s="1412"/>
      <c r="W140" s="1412"/>
      <c r="X140" s="1541"/>
      <c r="Y140" s="1412"/>
      <c r="Z140" s="1542"/>
      <c r="AA140" s="1412"/>
      <c r="AB140" s="690" t="s">
        <v>1791</v>
      </c>
      <c r="AC140" s="523" t="s">
        <v>1643</v>
      </c>
      <c r="AD140" s="521" t="s">
        <v>789</v>
      </c>
      <c r="AE140" s="1310"/>
      <c r="AF140" s="1395"/>
      <c r="AG140" s="1395"/>
      <c r="AH140" s="1039" t="s">
        <v>1644</v>
      </c>
      <c r="AI140" s="1267"/>
      <c r="AJ140" s="1267"/>
      <c r="AK140" s="1397"/>
      <c r="AL140" s="1397"/>
      <c r="AM140" s="1624"/>
      <c r="AN140" s="1624"/>
      <c r="AO140" s="1624"/>
      <c r="AP140" s="1624"/>
    </row>
    <row s="1624" customFormat="1" customHeight="1" ht="0">
      <c r="A141" s="643"/>
      <c r="B141" s="1412"/>
      <c r="C141" s="1412"/>
      <c r="D141" s="1412"/>
      <c r="E141" s="625">
        <v>15</v>
      </c>
      <c r="F141" s="50" cm="1" t="str">
        <f t="array" ref="F141:F141">OFFSET(E141,-1,1)</f>
        <v>1</v>
      </c>
      <c r="G141" s="1412"/>
      <c r="H141" s="461" t="s">
        <v>2135</v>
      </c>
      <c r="I141" s="1412"/>
      <c r="J141" s="1412"/>
      <c r="K141" s="1412"/>
      <c r="L141" s="1412"/>
      <c r="M141" s="1412"/>
      <c r="N141" s="1412"/>
      <c r="O141" s="1412"/>
      <c r="P141" s="1412"/>
      <c r="Q141" s="1412"/>
      <c r="R141" s="1412"/>
      <c r="S141" s="1412"/>
      <c r="T141" s="438" cm="1" t="str">
        <f t="array" ref="T141:T141">T140</f>
        <v>true</v>
      </c>
      <c r="U141" s="1412"/>
      <c r="V141" s="1412"/>
      <c r="W141" s="1412"/>
      <c r="X141" s="1541"/>
      <c r="Y141" s="1412"/>
      <c r="Z141" s="1542"/>
      <c r="AA141" s="1412"/>
      <c r="AB141" s="690" t="s">
        <v>2136</v>
      </c>
      <c r="AC141" s="524" t="s">
        <v>2137</v>
      </c>
      <c r="AD141" s="521" t="s">
        <v>2100</v>
      </c>
      <c r="AE141" s="1310"/>
      <c r="AF141" s="1395"/>
      <c r="AG141" s="1395"/>
      <c r="AH141" s="978" t="s">
        <v>2138</v>
      </c>
      <c r="AI141" s="1267"/>
      <c r="AJ141" s="1267"/>
      <c r="AK141" s="1397"/>
      <c r="AL141" s="1397"/>
      <c r="AM141" s="1624"/>
      <c r="AN141" s="1624"/>
      <c r="AO141" s="1624"/>
      <c r="AP141" s="1624"/>
    </row>
    <row s="1624" customFormat="1" customHeight="1" ht="0">
      <c r="A142" s="643"/>
      <c r="B142" s="1412"/>
      <c r="C142" s="1412"/>
      <c r="D142" s="1412"/>
      <c r="E142" s="625">
        <v>15</v>
      </c>
      <c r="F142" s="50" cm="1" t="str">
        <f t="array" ref="F142:F142">OFFSET(E142,-1,1)</f>
        <v>1</v>
      </c>
      <c r="G142" s="1412"/>
      <c r="H142" s="461" t="s">
        <v>2139</v>
      </c>
      <c r="I142" s="1412"/>
      <c r="J142" s="1412"/>
      <c r="K142" s="1412"/>
      <c r="L142" s="1412"/>
      <c r="M142" s="1412"/>
      <c r="N142" s="1412"/>
      <c r="O142" s="1412"/>
      <c r="P142" s="1412"/>
      <c r="Q142" s="1412"/>
      <c r="R142" s="1412"/>
      <c r="S142" s="1412"/>
      <c r="T142" s="438" cm="1" t="str">
        <f t="array" ref="T142:T142">T141</f>
        <v>true</v>
      </c>
      <c r="U142" s="1412"/>
      <c r="V142" s="1412"/>
      <c r="W142" s="1412"/>
      <c r="X142" s="1541"/>
      <c r="Y142" s="1412"/>
      <c r="Z142" s="1542"/>
      <c r="AA142" s="1412"/>
      <c r="AB142" s="690" t="s">
        <v>2140</v>
      </c>
      <c r="AC142" s="524" t="s">
        <v>2141</v>
      </c>
      <c r="AD142" s="521" t="s">
        <v>2105</v>
      </c>
      <c r="AE142" s="1310"/>
      <c r="AF142" s="1395"/>
      <c r="AG142" s="1395"/>
      <c r="AH142" s="978" t="s">
        <v>2142</v>
      </c>
      <c r="AI142" s="1267"/>
      <c r="AJ142" s="1267"/>
      <c r="AK142" s="1397"/>
      <c r="AL142" s="1397"/>
      <c r="AM142" s="1624"/>
      <c r="AN142" s="1624"/>
      <c r="AO142" s="1624"/>
      <c r="AP142" s="1624"/>
    </row>
    <row s="1624" customFormat="1" customHeight="1" ht="0">
      <c r="A143" s="643"/>
      <c r="B143" s="1412"/>
      <c r="C143" s="1412"/>
      <c r="D143" s="1412"/>
      <c r="E143" s="625">
        <v>22.5</v>
      </c>
      <c r="F143" s="50" cm="1" t="str">
        <f t="array" ref="F143:F143">OFFSET(E143,-1,1)</f>
        <v>1</v>
      </c>
      <c r="G143" s="1412"/>
      <c r="H143" s="461" t="s">
        <v>1363</v>
      </c>
      <c r="I143" s="1412"/>
      <c r="J143" s="1412"/>
      <c r="K143" s="1412"/>
      <c r="L143" s="1412"/>
      <c r="M143" s="1412"/>
      <c r="N143" s="1412"/>
      <c r="O143" s="1412"/>
      <c r="P143" s="1412"/>
      <c r="Q143" s="1412"/>
      <c r="R143" s="1412"/>
      <c r="S143" s="1412"/>
      <c r="T143" s="438" cm="1" t="str">
        <f t="array" ref="T143:T143">T142</f>
        <v>true</v>
      </c>
      <c r="U143" s="1412"/>
      <c r="V143" s="1412"/>
      <c r="W143" s="1412"/>
      <c r="X143" s="1541"/>
      <c r="Y143" s="1412"/>
      <c r="Z143" s="1542"/>
      <c r="AA143" s="1412"/>
      <c r="AB143" s="690" t="s">
        <v>1792</v>
      </c>
      <c r="AC143" s="523" t="s">
        <v>1828</v>
      </c>
      <c r="AD143" s="521" t="s">
        <v>789</v>
      </c>
      <c r="AE143" s="1310"/>
      <c r="AF143" s="1395"/>
      <c r="AG143" s="1395"/>
      <c r="AH143" s="1039" t="s">
        <v>1647</v>
      </c>
      <c r="AI143" s="1267"/>
      <c r="AJ143" s="1267"/>
      <c r="AK143" s="1397"/>
      <c r="AL143" s="1397"/>
      <c r="AM143" s="1624"/>
      <c r="AN143" s="1624"/>
      <c r="AO143" s="1624"/>
      <c r="AP143" s="1624"/>
    </row>
    <row s="1624" customFormat="1" customHeight="1" ht="18.83462905883789">
      <c r="A144" s="643"/>
      <c r="B144" s="1412"/>
      <c r="C144" s="1412"/>
      <c r="D144" s="1412"/>
      <c r="E144" s="625">
        <v>15</v>
      </c>
      <c r="F144" s="50" cm="1" t="str">
        <f t="array" ref="F144:F144">OFFSET(E144,-1,1)</f>
        <v>1</v>
      </c>
      <c r="G144" s="1412"/>
      <c r="H144" s="461" t="s">
        <v>441</v>
      </c>
      <c r="I144" s="1412"/>
      <c r="J144" s="1412"/>
      <c r="K144" s="1412"/>
      <c r="L144" s="1412"/>
      <c r="M144" s="1412"/>
      <c r="N144" s="1412"/>
      <c r="O144" s="1412"/>
      <c r="P144" s="1412"/>
      <c r="Q144" s="1412"/>
      <c r="R144" s="1412"/>
      <c r="S144" s="1412"/>
      <c r="T144" s="438" cm="1" t="str">
        <f t="array" ref="T144:T144">T143</f>
        <v>true</v>
      </c>
      <c r="U144" s="1412"/>
      <c r="V144" s="1412"/>
      <c r="W144" s="1412"/>
      <c r="X144" s="1541"/>
      <c r="Y144" s="1412"/>
      <c r="Z144" s="1542"/>
      <c r="AA144" s="1412"/>
      <c r="AB144" s="690" t="s">
        <v>850</v>
      </c>
      <c r="AC144" s="520" t="s">
        <v>1829</v>
      </c>
      <c r="AD144" s="521" t="s">
        <v>789</v>
      </c>
      <c r="AE144" s="530">
        <f>AE145+AE151+AE156+AE157+AE158+AE159+AE160</f>
        <v>0</v>
      </c>
      <c r="AF144" s="1395"/>
      <c r="AG144" s="1395"/>
      <c r="AH144" s="1040" t="s">
        <v>1649</v>
      </c>
      <c r="AI144" s="1267"/>
      <c r="AJ144" s="1267"/>
      <c r="AK144" s="1397"/>
      <c r="AL144" s="1397"/>
      <c r="AM144" s="1624"/>
      <c r="AN144" s="1624"/>
      <c r="AO144" s="1624"/>
      <c r="AP144" s="1624"/>
    </row>
    <row s="1624" customFormat="1" customHeight="1" ht="0">
      <c r="A145" s="643"/>
      <c r="B145" s="1412"/>
      <c r="C145" s="1412"/>
      <c r="D145" s="1412"/>
      <c r="E145" s="625">
        <v>22.5</v>
      </c>
      <c r="F145" s="50" cm="1" t="str">
        <f t="array" ref="F145:F145">OFFSET(E145,-1,1)</f>
        <v>1</v>
      </c>
      <c r="G145" s="1412"/>
      <c r="H145" s="461" t="s">
        <v>1221</v>
      </c>
      <c r="I145" s="1412"/>
      <c r="J145" s="1412"/>
      <c r="K145" s="1412"/>
      <c r="L145" s="1412"/>
      <c r="M145" s="1412"/>
      <c r="N145" s="1412"/>
      <c r="O145" s="1412"/>
      <c r="P145" s="1412"/>
      <c r="Q145" s="1412"/>
      <c r="R145" s="1412"/>
      <c r="S145" s="1412"/>
      <c r="T145" s="438" cm="1" t="str">
        <f t="array" ref="T145:T145">T144</f>
        <v>true</v>
      </c>
      <c r="U145" s="1412"/>
      <c r="V145" s="1412"/>
      <c r="W145" s="1412"/>
      <c r="X145" s="1541"/>
      <c r="Y145" s="1412"/>
      <c r="Z145" s="1542"/>
      <c r="AA145" s="1412"/>
      <c r="AB145" s="690" t="s">
        <v>1222</v>
      </c>
      <c r="AC145" s="522" t="s">
        <v>1650</v>
      </c>
      <c r="AD145" s="521" t="s">
        <v>789</v>
      </c>
      <c r="AE145" s="530">
        <f>SUM(AE146:AE150)</f>
        <v>0</v>
      </c>
      <c r="AF145" s="1395"/>
      <c r="AG145" s="1395"/>
      <c r="AH145" s="1039" t="s">
        <v>1076</v>
      </c>
      <c r="AI145" s="1267"/>
      <c r="AJ145" s="1267"/>
      <c r="AK145" s="1397"/>
      <c r="AL145" s="1397"/>
      <c r="AM145" s="1624"/>
      <c r="AN145" s="1624"/>
      <c r="AO145" s="1624"/>
      <c r="AP145" s="1624"/>
    </row>
    <row s="1624" customFormat="1" customHeight="1" ht="0">
      <c r="A146" s="643"/>
      <c r="B146" s="1412"/>
      <c r="C146" s="1412"/>
      <c r="D146" s="1412"/>
      <c r="E146" s="625">
        <v>15</v>
      </c>
      <c r="F146" s="50" cm="1" t="str">
        <f t="array" ref="F146:F146">OFFSET(E146,-1,1)</f>
        <v>1</v>
      </c>
      <c r="G146" s="1412"/>
      <c r="H146" s="461" t="s">
        <v>2143</v>
      </c>
      <c r="I146" s="1412"/>
      <c r="J146" s="1412"/>
      <c r="K146" s="1412"/>
      <c r="L146" s="1412"/>
      <c r="M146" s="1412"/>
      <c r="N146" s="1412"/>
      <c r="O146" s="1412"/>
      <c r="P146" s="1412"/>
      <c r="Q146" s="1412"/>
      <c r="R146" s="1412"/>
      <c r="S146" s="1412"/>
      <c r="T146" s="438" cm="1" t="str">
        <f t="array" ref="T146:T146">T145</f>
        <v>true</v>
      </c>
      <c r="U146" s="1412"/>
      <c r="V146" s="1412"/>
      <c r="W146" s="1412"/>
      <c r="X146" s="1541"/>
      <c r="Y146" s="1412"/>
      <c r="Z146" s="1542"/>
      <c r="AA146" s="1412"/>
      <c r="AB146" s="690" t="s">
        <v>2144</v>
      </c>
      <c r="AC146" s="523" t="s">
        <v>1078</v>
      </c>
      <c r="AD146" s="521" t="s">
        <v>789</v>
      </c>
      <c r="AE146" s="1310"/>
      <c r="AF146" s="1395"/>
      <c r="AG146" s="1395"/>
      <c r="AH146" s="1041" t="s">
        <v>1079</v>
      </c>
      <c r="AI146" s="1267"/>
      <c r="AJ146" s="1267"/>
      <c r="AK146" s="1397"/>
      <c r="AL146" s="1397"/>
      <c r="AM146" s="1624"/>
      <c r="AN146" s="1624"/>
      <c r="AO146" s="1624"/>
      <c r="AP146" s="1624"/>
    </row>
    <row s="1624" customFormat="1" customHeight="1" ht="0">
      <c r="A147" s="643"/>
      <c r="B147" s="1412"/>
      <c r="C147" s="1412"/>
      <c r="D147" s="1412"/>
      <c r="E147" s="625">
        <v>15</v>
      </c>
      <c r="F147" s="50" cm="1" t="str">
        <f t="array" ref="F147:F147">OFFSET(E147,-1,1)</f>
        <v>1</v>
      </c>
      <c r="G147" s="1412"/>
      <c r="H147" s="461" t="s">
        <v>2145</v>
      </c>
      <c r="I147" s="1412"/>
      <c r="J147" s="1412"/>
      <c r="K147" s="1412"/>
      <c r="L147" s="1412"/>
      <c r="M147" s="1412"/>
      <c r="N147" s="1412"/>
      <c r="O147" s="1412"/>
      <c r="P147" s="1412"/>
      <c r="Q147" s="1412"/>
      <c r="R147" s="1412"/>
      <c r="S147" s="1412"/>
      <c r="T147" s="438" cm="1" t="str">
        <f t="array" ref="T147:T147">T146</f>
        <v>true</v>
      </c>
      <c r="U147" s="1412"/>
      <c r="V147" s="1412"/>
      <c r="W147" s="1412"/>
      <c r="X147" s="1541"/>
      <c r="Y147" s="1412"/>
      <c r="Z147" s="1542"/>
      <c r="AA147" s="1412"/>
      <c r="AB147" s="690" t="s">
        <v>2146</v>
      </c>
      <c r="AC147" s="523" t="s">
        <v>1081</v>
      </c>
      <c r="AD147" s="521" t="s">
        <v>789</v>
      </c>
      <c r="AE147" s="1310"/>
      <c r="AF147" s="1395"/>
      <c r="AG147" s="1395"/>
      <c r="AH147" s="1041" t="s">
        <v>1082</v>
      </c>
      <c r="AI147" s="1267"/>
      <c r="AJ147" s="1267"/>
      <c r="AK147" s="1397"/>
      <c r="AL147" s="1397"/>
      <c r="AM147" s="1624"/>
      <c r="AN147" s="1624"/>
      <c r="AO147" s="1624"/>
      <c r="AP147" s="1624"/>
    </row>
    <row s="1624" customFormat="1" customHeight="1" ht="0">
      <c r="A148" s="643"/>
      <c r="B148" s="1412"/>
      <c r="C148" s="1412"/>
      <c r="D148" s="1412"/>
      <c r="E148" s="625">
        <v>15</v>
      </c>
      <c r="F148" s="50" cm="1" t="str">
        <f t="array" ref="F148:F148">OFFSET(E148,-1,1)</f>
        <v>1</v>
      </c>
      <c r="G148" s="1412"/>
      <c r="H148" s="461" t="s">
        <v>2147</v>
      </c>
      <c r="I148" s="1412"/>
      <c r="J148" s="1412"/>
      <c r="K148" s="1412"/>
      <c r="L148" s="1412"/>
      <c r="M148" s="1412"/>
      <c r="N148" s="1412"/>
      <c r="O148" s="1412"/>
      <c r="P148" s="1412"/>
      <c r="Q148" s="1412"/>
      <c r="R148" s="1412"/>
      <c r="S148" s="1412"/>
      <c r="T148" s="438" cm="1" t="str">
        <f t="array" ref="T148:T148">T147</f>
        <v>true</v>
      </c>
      <c r="U148" s="1412"/>
      <c r="V148" s="1412"/>
      <c r="W148" s="1412"/>
      <c r="X148" s="1541"/>
      <c r="Y148" s="1412"/>
      <c r="Z148" s="1542"/>
      <c r="AA148" s="1412"/>
      <c r="AB148" s="690" t="s">
        <v>2148</v>
      </c>
      <c r="AC148" s="523" t="s">
        <v>1084</v>
      </c>
      <c r="AD148" s="521" t="s">
        <v>789</v>
      </c>
      <c r="AE148" s="1310"/>
      <c r="AF148" s="1395"/>
      <c r="AG148" s="1395"/>
      <c r="AH148" s="1041" t="s">
        <v>1085</v>
      </c>
      <c r="AI148" s="1267"/>
      <c r="AJ148" s="1267"/>
      <c r="AK148" s="1397"/>
      <c r="AL148" s="1397"/>
      <c r="AM148" s="1624"/>
      <c r="AN148" s="1624"/>
      <c r="AO148" s="1624"/>
      <c r="AP148" s="1624"/>
    </row>
    <row s="1624" customFormat="1" customHeight="1" ht="0">
      <c r="A149" s="643"/>
      <c r="B149" s="1412"/>
      <c r="C149" s="1412"/>
      <c r="D149" s="1412"/>
      <c r="E149" s="625">
        <v>15</v>
      </c>
      <c r="F149" s="50" cm="1" t="str">
        <f t="array" ref="F149:F149">OFFSET(E149,-1,1)</f>
        <v>1</v>
      </c>
      <c r="G149" s="1412"/>
      <c r="H149" s="461" t="s">
        <v>2149</v>
      </c>
      <c r="I149" s="1412"/>
      <c r="J149" s="1412"/>
      <c r="K149" s="1412"/>
      <c r="L149" s="1412"/>
      <c r="M149" s="1412"/>
      <c r="N149" s="1412"/>
      <c r="O149" s="1412"/>
      <c r="P149" s="1412"/>
      <c r="Q149" s="1412"/>
      <c r="R149" s="1412"/>
      <c r="S149" s="1412"/>
      <c r="T149" s="438" cm="1" t="str">
        <f t="array" ref="T149:T149">T148</f>
        <v>true</v>
      </c>
      <c r="U149" s="1412"/>
      <c r="V149" s="1412"/>
      <c r="W149" s="1412"/>
      <c r="X149" s="1541"/>
      <c r="Y149" s="1412"/>
      <c r="Z149" s="1542"/>
      <c r="AA149" s="1412"/>
      <c r="AB149" s="690" t="s">
        <v>2150</v>
      </c>
      <c r="AC149" s="523" t="s">
        <v>1087</v>
      </c>
      <c r="AD149" s="521" t="s">
        <v>789</v>
      </c>
      <c r="AE149" s="1310"/>
      <c r="AF149" s="1395"/>
      <c r="AG149" s="1395"/>
      <c r="AH149" s="1041" t="s">
        <v>1088</v>
      </c>
      <c r="AI149" s="1267"/>
      <c r="AJ149" s="1267"/>
      <c r="AK149" s="1397"/>
      <c r="AL149" s="1397"/>
      <c r="AM149" s="1624"/>
      <c r="AN149" s="1624"/>
      <c r="AO149" s="1624"/>
      <c r="AP149" s="1624"/>
    </row>
    <row s="1624" customFormat="1" customHeight="1" ht="0">
      <c r="A150" s="643"/>
      <c r="B150" s="1412"/>
      <c r="C150" s="1412"/>
      <c r="D150" s="1412"/>
      <c r="E150" s="625">
        <v>15</v>
      </c>
      <c r="F150" s="50" cm="1" t="str">
        <f t="array" ref="F150:F150">OFFSET(E150,-1,1)</f>
        <v>1</v>
      </c>
      <c r="G150" s="1412"/>
      <c r="H150" s="461" t="s">
        <v>2151</v>
      </c>
      <c r="I150" s="1412"/>
      <c r="J150" s="1412"/>
      <c r="K150" s="1412"/>
      <c r="L150" s="1412"/>
      <c r="M150" s="1412"/>
      <c r="N150" s="1412"/>
      <c r="O150" s="1412"/>
      <c r="P150" s="1412"/>
      <c r="Q150" s="1412"/>
      <c r="R150" s="1412"/>
      <c r="S150" s="1412"/>
      <c r="T150" s="438" cm="1" t="str">
        <f t="array" ref="T150:T150">T149</f>
        <v>true</v>
      </c>
      <c r="U150" s="1412"/>
      <c r="V150" s="1412"/>
      <c r="W150" s="1412"/>
      <c r="X150" s="1541"/>
      <c r="Y150" s="1412"/>
      <c r="Z150" s="1542"/>
      <c r="AA150" s="1412"/>
      <c r="AB150" s="690" t="s">
        <v>2152</v>
      </c>
      <c r="AC150" s="523" t="s">
        <v>1095</v>
      </c>
      <c r="AD150" s="521" t="s">
        <v>789</v>
      </c>
      <c r="AE150" s="1310"/>
      <c r="AF150" s="1395"/>
      <c r="AG150" s="1395"/>
      <c r="AH150" s="1041" t="s">
        <v>1096</v>
      </c>
      <c r="AI150" s="1267"/>
      <c r="AJ150" s="1267"/>
      <c r="AK150" s="1397"/>
      <c r="AL150" s="1397"/>
      <c r="AM150" s="1624"/>
      <c r="AN150" s="1624"/>
      <c r="AO150" s="1624"/>
      <c r="AP150" s="1624"/>
    </row>
    <row s="1624" customFormat="1" customHeight="1" ht="0">
      <c r="A151" s="643"/>
      <c r="B151" s="1412"/>
      <c r="C151" s="1412"/>
      <c r="D151" s="1412"/>
      <c r="E151" s="625">
        <v>33.75</v>
      </c>
      <c r="F151" s="50" cm="1" t="str">
        <f t="array" ref="F151:F151">OFFSET(E151,-1,1)</f>
        <v>1</v>
      </c>
      <c r="G151" s="1412"/>
      <c r="H151" s="461" t="s">
        <v>1225</v>
      </c>
      <c r="I151" s="1412"/>
      <c r="J151" s="1412"/>
      <c r="K151" s="1412"/>
      <c r="L151" s="1412"/>
      <c r="M151" s="1412"/>
      <c r="N151" s="1412"/>
      <c r="O151" s="1412"/>
      <c r="P151" s="1412"/>
      <c r="Q151" s="1412"/>
      <c r="R151" s="1412"/>
      <c r="S151" s="1412"/>
      <c r="T151" s="438" cm="1" t="str">
        <f t="array" ref="T151:T151">T150</f>
        <v>true</v>
      </c>
      <c r="U151" s="1412"/>
      <c r="V151" s="1412"/>
      <c r="W151" s="1412"/>
      <c r="X151" s="1541"/>
      <c r="Y151" s="1412"/>
      <c r="Z151" s="1542"/>
      <c r="AA151" s="1412"/>
      <c r="AB151" s="690" t="s">
        <v>1226</v>
      </c>
      <c r="AC151" s="522" t="s">
        <v>2153</v>
      </c>
      <c r="AD151" s="521" t="s">
        <v>789</v>
      </c>
      <c r="AE151" s="530">
        <f>AE152+AE155</f>
        <v>0</v>
      </c>
      <c r="AF151" s="1395"/>
      <c r="AG151" s="1395"/>
      <c r="AH151" s="1039" t="s">
        <v>1652</v>
      </c>
      <c r="AI151" s="1267"/>
      <c r="AJ151" s="1267"/>
      <c r="AK151" s="1397"/>
      <c r="AL151" s="1397"/>
      <c r="AM151" s="1624"/>
      <c r="AN151" s="1624"/>
      <c r="AO151" s="1624"/>
      <c r="AP151" s="1624"/>
    </row>
    <row s="1624" customFormat="1" customHeight="1" ht="0">
      <c r="A152" s="643"/>
      <c r="B152" s="1412"/>
      <c r="C152" s="1412"/>
      <c r="D152" s="1412"/>
      <c r="E152" s="625">
        <v>22.5</v>
      </c>
      <c r="F152" s="50" cm="1" t="str">
        <f t="array" ref="F152:F152">OFFSET(E152,-1,1)</f>
        <v>1</v>
      </c>
      <c r="G152" s="1412"/>
      <c r="H152" s="461" t="s">
        <v>2154</v>
      </c>
      <c r="I152" s="1412"/>
      <c r="J152" s="1412"/>
      <c r="K152" s="1412"/>
      <c r="L152" s="1412"/>
      <c r="M152" s="1412"/>
      <c r="N152" s="1412"/>
      <c r="O152" s="1412"/>
      <c r="P152" s="1412"/>
      <c r="Q152" s="1412"/>
      <c r="R152" s="1412"/>
      <c r="S152" s="1412"/>
      <c r="T152" s="438" cm="1" t="str">
        <f t="array" ref="T152:T152">T151</f>
        <v>true</v>
      </c>
      <c r="U152" s="1412"/>
      <c r="V152" s="1412"/>
      <c r="W152" s="1412"/>
      <c r="X152" s="1541"/>
      <c r="Y152" s="1412"/>
      <c r="Z152" s="1542"/>
      <c r="AA152" s="1412"/>
      <c r="AB152" s="690" t="s">
        <v>2155</v>
      </c>
      <c r="AC152" s="523" t="s">
        <v>1653</v>
      </c>
      <c r="AD152" s="521" t="s">
        <v>789</v>
      </c>
      <c r="AE152" s="1310"/>
      <c r="AF152" s="1395"/>
      <c r="AG152" s="1395"/>
      <c r="AH152" s="1039" t="s">
        <v>1073</v>
      </c>
      <c r="AI152" s="1267"/>
      <c r="AJ152" s="1267"/>
      <c r="AK152" s="1397"/>
      <c r="AL152" s="1397"/>
      <c r="AM152" s="1624"/>
      <c r="AN152" s="1624"/>
      <c r="AO152" s="1624"/>
      <c r="AP152" s="1624"/>
    </row>
    <row s="1624" customFormat="1" customHeight="1" ht="0">
      <c r="A153" s="643"/>
      <c r="B153" s="1412"/>
      <c r="C153" s="1412"/>
      <c r="D153" s="1412"/>
      <c r="E153" s="625">
        <v>15</v>
      </c>
      <c r="F153" s="50" cm="1" t="str">
        <f t="array" ref="F153:F153">OFFSET(E153,-1,1)</f>
        <v>1</v>
      </c>
      <c r="G153" s="1412"/>
      <c r="H153" s="461" t="s">
        <v>2156</v>
      </c>
      <c r="I153" s="1412"/>
      <c r="J153" s="1412"/>
      <c r="K153" s="1412"/>
      <c r="L153" s="1412"/>
      <c r="M153" s="1412"/>
      <c r="N153" s="1412"/>
      <c r="O153" s="1412"/>
      <c r="P153" s="1412"/>
      <c r="Q153" s="1412"/>
      <c r="R153" s="1412"/>
      <c r="S153" s="1412"/>
      <c r="T153" s="438" cm="1" t="str">
        <f t="array" ref="T153:T153">T152</f>
        <v>true</v>
      </c>
      <c r="U153" s="1412"/>
      <c r="V153" s="1412"/>
      <c r="W153" s="1412"/>
      <c r="X153" s="1541"/>
      <c r="Y153" s="1412"/>
      <c r="Z153" s="1542"/>
      <c r="AA153" s="1412"/>
      <c r="AB153" s="690" t="s">
        <v>2157</v>
      </c>
      <c r="AC153" s="524" t="s">
        <v>2158</v>
      </c>
      <c r="AD153" s="521" t="s">
        <v>2100</v>
      </c>
      <c r="AE153" s="1310"/>
      <c r="AF153" s="1395"/>
      <c r="AG153" s="1395"/>
      <c r="AH153" s="978" t="s">
        <v>2159</v>
      </c>
      <c r="AI153" s="1267"/>
      <c r="AJ153" s="1267"/>
      <c r="AK153" s="1397"/>
      <c r="AL153" s="1397"/>
      <c r="AM153" s="1624"/>
      <c r="AN153" s="1624"/>
      <c r="AO153" s="1624"/>
      <c r="AP153" s="1624"/>
    </row>
    <row s="1624" customFormat="1" customHeight="1" ht="0">
      <c r="A154" s="643"/>
      <c r="B154" s="1412"/>
      <c r="C154" s="1412"/>
      <c r="D154" s="1412"/>
      <c r="E154" s="625">
        <v>22.5</v>
      </c>
      <c r="F154" s="50" cm="1" t="str">
        <f t="array" ref="F154:F154">OFFSET(E154,-1,1)</f>
        <v>1</v>
      </c>
      <c r="G154" s="1412"/>
      <c r="H154" s="461" t="s">
        <v>2160</v>
      </c>
      <c r="I154" s="1412"/>
      <c r="J154" s="1412"/>
      <c r="K154" s="1412"/>
      <c r="L154" s="1412"/>
      <c r="M154" s="1412"/>
      <c r="N154" s="1412"/>
      <c r="O154" s="1412"/>
      <c r="P154" s="1412"/>
      <c r="Q154" s="1412"/>
      <c r="R154" s="1412"/>
      <c r="S154" s="1412"/>
      <c r="T154" s="438" cm="1" t="str">
        <f t="array" ref="T154:T154">T153</f>
        <v>true</v>
      </c>
      <c r="U154" s="1412"/>
      <c r="V154" s="1412"/>
      <c r="W154" s="1412"/>
      <c r="X154" s="1541"/>
      <c r="Y154" s="1412"/>
      <c r="Z154" s="1542"/>
      <c r="AA154" s="1412"/>
      <c r="AB154" s="690" t="s">
        <v>2161</v>
      </c>
      <c r="AC154" s="524" t="s">
        <v>2162</v>
      </c>
      <c r="AD154" s="521" t="s">
        <v>2105</v>
      </c>
      <c r="AE154" s="1310"/>
      <c r="AF154" s="1395"/>
      <c r="AG154" s="1395"/>
      <c r="AH154" s="978" t="s">
        <v>2163</v>
      </c>
      <c r="AI154" s="1267"/>
      <c r="AJ154" s="1267"/>
      <c r="AK154" s="1397"/>
      <c r="AL154" s="1397"/>
      <c r="AM154" s="1624"/>
      <c r="AN154" s="1624"/>
      <c r="AO154" s="1624"/>
      <c r="AP154" s="1624"/>
    </row>
    <row s="1624" customFormat="1" customHeight="1" ht="0">
      <c r="A155" s="643"/>
      <c r="B155" s="1412"/>
      <c r="C155" s="1412"/>
      <c r="D155" s="1412"/>
      <c r="E155" s="625">
        <v>22.5</v>
      </c>
      <c r="F155" s="50" cm="1" t="str">
        <f t="array" ref="F155:F155">OFFSET(E155,-1,1)</f>
        <v>1</v>
      </c>
      <c r="G155" s="1412"/>
      <c r="H155" s="461" t="s">
        <v>2164</v>
      </c>
      <c r="I155" s="1412"/>
      <c r="J155" s="1412"/>
      <c r="K155" s="1412"/>
      <c r="L155" s="1412"/>
      <c r="M155" s="1412"/>
      <c r="N155" s="1412"/>
      <c r="O155" s="1412"/>
      <c r="P155" s="1412"/>
      <c r="Q155" s="1412"/>
      <c r="R155" s="1412"/>
      <c r="S155" s="1412"/>
      <c r="T155" s="438" cm="1" t="str">
        <f t="array" ref="T155:T155">T154</f>
        <v>true</v>
      </c>
      <c r="U155" s="1412"/>
      <c r="V155" s="1412"/>
      <c r="W155" s="1412"/>
      <c r="X155" s="1541"/>
      <c r="Y155" s="1412"/>
      <c r="Z155" s="1542"/>
      <c r="AA155" s="1412"/>
      <c r="AB155" s="690" t="s">
        <v>2165</v>
      </c>
      <c r="AC155" s="523" t="s">
        <v>1852</v>
      </c>
      <c r="AD155" s="521" t="s">
        <v>789</v>
      </c>
      <c r="AE155" s="1310"/>
      <c r="AF155" s="1395"/>
      <c r="AG155" s="1395"/>
      <c r="AH155" s="1039" t="s">
        <v>1655</v>
      </c>
      <c r="AI155" s="1267"/>
      <c r="AJ155" s="1267"/>
      <c r="AK155" s="1397"/>
      <c r="AL155" s="1397"/>
      <c r="AM155" s="1624"/>
      <c r="AN155" s="1624"/>
      <c r="AO155" s="1624"/>
      <c r="AP155" s="1624"/>
    </row>
    <row s="1624" customFormat="1" customHeight="1" ht="0">
      <c r="A156" s="643"/>
      <c r="B156" s="1412"/>
      <c r="C156" s="1412"/>
      <c r="D156" s="1412"/>
      <c r="E156" s="625">
        <v>22.5</v>
      </c>
      <c r="F156" s="50" cm="1" t="str">
        <f t="array" ref="F156:F156">OFFSET(E156,-1,1)</f>
        <v>1</v>
      </c>
      <c r="G156" s="1412"/>
      <c r="H156" s="461" t="s">
        <v>1229</v>
      </c>
      <c r="I156" s="1412"/>
      <c r="J156" s="1412"/>
      <c r="K156" s="1412"/>
      <c r="L156" s="1412"/>
      <c r="M156" s="1412"/>
      <c r="N156" s="1412"/>
      <c r="O156" s="1412"/>
      <c r="P156" s="1412"/>
      <c r="Q156" s="1412"/>
      <c r="R156" s="1412"/>
      <c r="S156" s="1412"/>
      <c r="T156" s="438" cm="1" t="str">
        <f t="array" ref="T156:T156">T155</f>
        <v>true</v>
      </c>
      <c r="U156" s="1412"/>
      <c r="V156" s="1412"/>
      <c r="W156" s="1412"/>
      <c r="X156" s="1541"/>
      <c r="Y156" s="1412"/>
      <c r="Z156" s="1542"/>
      <c r="AA156" s="1412"/>
      <c r="AB156" s="690" t="s">
        <v>1230</v>
      </c>
      <c r="AC156" s="522" t="s">
        <v>2166</v>
      </c>
      <c r="AD156" s="521" t="s">
        <v>789</v>
      </c>
      <c r="AE156" s="1310"/>
      <c r="AF156" s="1395"/>
      <c r="AG156" s="1395"/>
      <c r="AH156" s="1039" t="s">
        <v>1104</v>
      </c>
      <c r="AI156" s="1267"/>
      <c r="AJ156" s="1267"/>
      <c r="AK156" s="1397"/>
      <c r="AL156" s="1397"/>
      <c r="AM156" s="1624"/>
      <c r="AN156" s="1624"/>
      <c r="AO156" s="1624"/>
      <c r="AP156" s="1624"/>
    </row>
    <row s="1624" customFormat="1" customHeight="1" ht="0">
      <c r="A157" s="643"/>
      <c r="B157" s="1412"/>
      <c r="C157" s="1412"/>
      <c r="D157" s="1412"/>
      <c r="E157" s="625">
        <v>15</v>
      </c>
      <c r="F157" s="50" cm="1" t="str">
        <f t="array" ref="F157:F157">OFFSET(E157,-1,1)</f>
        <v>1</v>
      </c>
      <c r="G157" s="1412"/>
      <c r="H157" s="461" t="s">
        <v>2167</v>
      </c>
      <c r="I157" s="1412"/>
      <c r="J157" s="1412"/>
      <c r="K157" s="1412"/>
      <c r="L157" s="1412"/>
      <c r="M157" s="1412"/>
      <c r="N157" s="1412"/>
      <c r="O157" s="1412"/>
      <c r="P157" s="1412"/>
      <c r="Q157" s="1412"/>
      <c r="R157" s="1412"/>
      <c r="S157" s="1412"/>
      <c r="T157" s="438" cm="1" t="str">
        <f t="array" ref="T157:T157">T156</f>
        <v>true</v>
      </c>
      <c r="U157" s="1412"/>
      <c r="V157" s="1412"/>
      <c r="W157" s="1412"/>
      <c r="X157" s="1541"/>
      <c r="Y157" s="1412"/>
      <c r="Z157" s="1542"/>
      <c r="AA157" s="1412"/>
      <c r="AB157" s="690" t="s">
        <v>2168</v>
      </c>
      <c r="AC157" s="522" t="s">
        <v>1106</v>
      </c>
      <c r="AD157" s="521" t="s">
        <v>789</v>
      </c>
      <c r="AE157" s="1310"/>
      <c r="AF157" s="1395"/>
      <c r="AG157" s="1395"/>
      <c r="AH157" s="1039" t="s">
        <v>1107</v>
      </c>
      <c r="AI157" s="1267"/>
      <c r="AJ157" s="1267"/>
      <c r="AK157" s="1397"/>
      <c r="AL157" s="1397"/>
      <c r="AM157" s="1624"/>
      <c r="AN157" s="1624"/>
      <c r="AO157" s="1624"/>
      <c r="AP157" s="1624"/>
    </row>
    <row s="1624" customFormat="1" customHeight="1" ht="0">
      <c r="A158" s="643"/>
      <c r="B158" s="1412"/>
      <c r="C158" s="1412"/>
      <c r="D158" s="1412"/>
      <c r="E158" s="625">
        <v>15</v>
      </c>
      <c r="F158" s="50" cm="1" t="str">
        <f t="array" ref="F158:F158">OFFSET(E158,-1,1)</f>
        <v>1</v>
      </c>
      <c r="G158" s="1412"/>
      <c r="H158" s="461" t="s">
        <v>2169</v>
      </c>
      <c r="I158" s="1412"/>
      <c r="J158" s="1412"/>
      <c r="K158" s="1412"/>
      <c r="L158" s="1412"/>
      <c r="M158" s="1412"/>
      <c r="N158" s="1412"/>
      <c r="O158" s="1412"/>
      <c r="P158" s="1412"/>
      <c r="Q158" s="1412"/>
      <c r="R158" s="1412"/>
      <c r="S158" s="1412"/>
      <c r="T158" s="438" cm="1" t="str">
        <f t="array" ref="T158:T158">T157</f>
        <v>true</v>
      </c>
      <c r="U158" s="1412"/>
      <c r="V158" s="1412"/>
      <c r="W158" s="1412"/>
      <c r="X158" s="1541"/>
      <c r="Y158" s="1412"/>
      <c r="Z158" s="1542"/>
      <c r="AA158" s="1412"/>
      <c r="AB158" s="690" t="s">
        <v>2170</v>
      </c>
      <c r="AC158" s="522" t="s">
        <v>1109</v>
      </c>
      <c r="AD158" s="521" t="s">
        <v>789</v>
      </c>
      <c r="AE158" s="1310"/>
      <c r="AF158" s="1395"/>
      <c r="AG158" s="1395"/>
      <c r="AH158" s="1039" t="s">
        <v>1110</v>
      </c>
      <c r="AI158" s="1267"/>
      <c r="AJ158" s="1267"/>
      <c r="AK158" s="1397"/>
      <c r="AL158" s="1397"/>
      <c r="AM158" s="1624"/>
      <c r="AN158" s="1624"/>
      <c r="AO158" s="1624"/>
      <c r="AP158" s="1624"/>
    </row>
    <row s="1624" customFormat="1" customHeight="1" ht="0">
      <c r="A159" s="643"/>
      <c r="B159" s="1412"/>
      <c r="C159" s="1412"/>
      <c r="D159" s="1412"/>
      <c r="E159" s="625">
        <v>22.5</v>
      </c>
      <c r="F159" s="50" cm="1" t="str">
        <f t="array" ref="F159:F159">OFFSET(E159,-1,1)</f>
        <v>1</v>
      </c>
      <c r="G159" s="1412"/>
      <c r="H159" s="461" t="s">
        <v>2171</v>
      </c>
      <c r="I159" s="1412"/>
      <c r="J159" s="1412"/>
      <c r="K159" s="1412"/>
      <c r="L159" s="1412"/>
      <c r="M159" s="1412"/>
      <c r="N159" s="1412"/>
      <c r="O159" s="1412"/>
      <c r="P159" s="1412"/>
      <c r="Q159" s="1412"/>
      <c r="R159" s="1412"/>
      <c r="S159" s="1412"/>
      <c r="T159" s="438" cm="1" t="str">
        <f t="array" ref="T159:T159">T158</f>
        <v>true</v>
      </c>
      <c r="U159" s="1412"/>
      <c r="V159" s="1412"/>
      <c r="W159" s="1412"/>
      <c r="X159" s="1541"/>
      <c r="Y159" s="1412"/>
      <c r="Z159" s="1542"/>
      <c r="AA159" s="1412"/>
      <c r="AB159" s="690" t="s">
        <v>2172</v>
      </c>
      <c r="AC159" s="522" t="s">
        <v>2173</v>
      </c>
      <c r="AD159" s="521" t="s">
        <v>789</v>
      </c>
      <c r="AE159" s="1310"/>
      <c r="AF159" s="1395"/>
      <c r="AG159" s="1395"/>
      <c r="AH159" s="1039" t="s">
        <v>1657</v>
      </c>
      <c r="AI159" s="1267"/>
      <c r="AJ159" s="1267"/>
      <c r="AK159" s="1397"/>
      <c r="AL159" s="1397"/>
      <c r="AM159" s="1624"/>
      <c r="AN159" s="1624"/>
      <c r="AO159" s="1624"/>
      <c r="AP159" s="1624"/>
    </row>
    <row s="1624" customFormat="1" customHeight="1" ht="0">
      <c r="A160" s="643"/>
      <c r="B160" s="1412"/>
      <c r="C160" s="1412"/>
      <c r="D160" s="1412"/>
      <c r="E160" s="625">
        <v>15</v>
      </c>
      <c r="F160" s="50" cm="1" t="str">
        <f t="array" ref="F160:F160">OFFSET(E160,-1,1)</f>
        <v>1</v>
      </c>
      <c r="G160" s="1412"/>
      <c r="H160" s="461" t="s">
        <v>2174</v>
      </c>
      <c r="I160" s="1412"/>
      <c r="J160" s="1412"/>
      <c r="K160" s="1412"/>
      <c r="L160" s="1412"/>
      <c r="M160" s="1412"/>
      <c r="N160" s="1412"/>
      <c r="O160" s="1412"/>
      <c r="P160" s="1412"/>
      <c r="Q160" s="1412"/>
      <c r="R160" s="1412"/>
      <c r="S160" s="1412"/>
      <c r="T160" s="438" cm="1" t="str">
        <f t="array" ref="T160:T160">T159</f>
        <v>true</v>
      </c>
      <c r="U160" s="1412"/>
      <c r="V160" s="1412"/>
      <c r="W160" s="1412"/>
      <c r="X160" s="1541"/>
      <c r="Y160" s="1412"/>
      <c r="Z160" s="1542"/>
      <c r="AA160" s="1412"/>
      <c r="AB160" s="690" t="s">
        <v>2175</v>
      </c>
      <c r="AC160" s="522" t="s">
        <v>2176</v>
      </c>
      <c r="AD160" s="521" t="s">
        <v>789</v>
      </c>
      <c r="AE160" s="530">
        <f>AE161+AE162+AE163</f>
        <v>0</v>
      </c>
      <c r="AF160" s="1395"/>
      <c r="AG160" s="1395"/>
      <c r="AH160" s="1039" t="s">
        <v>1659</v>
      </c>
      <c r="AI160" s="1267"/>
      <c r="AJ160" s="1267"/>
      <c r="AK160" s="1397"/>
      <c r="AL160" s="1397"/>
      <c r="AM160" s="1624"/>
      <c r="AN160" s="1624"/>
      <c r="AO160" s="1624"/>
      <c r="AP160" s="1624"/>
    </row>
    <row s="1624" customFormat="1" customHeight="1" ht="0">
      <c r="A161" s="643"/>
      <c r="B161" s="1412"/>
      <c r="C161" s="1412"/>
      <c r="D161" s="1412"/>
      <c r="E161" s="625">
        <v>15</v>
      </c>
      <c r="F161" s="50" cm="1" t="str">
        <f t="array" ref="F161:F161">OFFSET(E161,-1,1)</f>
        <v>1</v>
      </c>
      <c r="G161" s="1412"/>
      <c r="H161" s="461" t="s">
        <v>2177</v>
      </c>
      <c r="I161" s="1412"/>
      <c r="J161" s="1412"/>
      <c r="K161" s="1412"/>
      <c r="L161" s="1412"/>
      <c r="M161" s="1412"/>
      <c r="N161" s="1412"/>
      <c r="O161" s="1412"/>
      <c r="P161" s="1412"/>
      <c r="Q161" s="1412"/>
      <c r="R161" s="1412"/>
      <c r="S161" s="1412"/>
      <c r="T161" s="438" cm="1" t="str">
        <f t="array" ref="T161:T161">T160</f>
        <v>true</v>
      </c>
      <c r="U161" s="1412"/>
      <c r="V161" s="1412"/>
      <c r="W161" s="1412"/>
      <c r="X161" s="1541"/>
      <c r="Y161" s="1412"/>
      <c r="Z161" s="1542"/>
      <c r="AA161" s="1412"/>
      <c r="AB161" s="690" t="s">
        <v>2178</v>
      </c>
      <c r="AC161" s="523" t="s">
        <v>2179</v>
      </c>
      <c r="AD161" s="521" t="s">
        <v>789</v>
      </c>
      <c r="AE161" s="1310"/>
      <c r="AF161" s="1395"/>
      <c r="AG161" s="1395"/>
      <c r="AH161" s="1039" t="s">
        <v>1663</v>
      </c>
      <c r="AI161" s="1267"/>
      <c r="AJ161" s="1267"/>
      <c r="AK161" s="1397"/>
      <c r="AL161" s="1397"/>
      <c r="AM161" s="1624"/>
      <c r="AN161" s="1624"/>
      <c r="AO161" s="1624"/>
      <c r="AP161" s="1624"/>
    </row>
    <row s="1624" customFormat="1" customHeight="1" ht="0">
      <c r="A162" s="643"/>
      <c r="B162" s="1412"/>
      <c r="C162" s="1412"/>
      <c r="D162" s="1412"/>
      <c r="E162" s="625">
        <v>15</v>
      </c>
      <c r="F162" s="50" cm="1" t="str">
        <f t="array" ref="F162:F162">OFFSET(E162,-1,1)</f>
        <v>1</v>
      </c>
      <c r="G162" s="1412"/>
      <c r="H162" s="461" t="s">
        <v>2180</v>
      </c>
      <c r="I162" s="1412"/>
      <c r="J162" s="1412"/>
      <c r="K162" s="1412"/>
      <c r="L162" s="1412"/>
      <c r="M162" s="1412"/>
      <c r="N162" s="1412"/>
      <c r="O162" s="1412"/>
      <c r="P162" s="1412"/>
      <c r="Q162" s="1412"/>
      <c r="R162" s="1412"/>
      <c r="S162" s="1412"/>
      <c r="T162" s="438" cm="1" t="str">
        <f t="array" ref="T162:T162">T161</f>
        <v>true</v>
      </c>
      <c r="U162" s="1412"/>
      <c r="V162" s="1412"/>
      <c r="W162" s="1412"/>
      <c r="X162" s="1541"/>
      <c r="Y162" s="1412"/>
      <c r="Z162" s="1542"/>
      <c r="AA162" s="1412"/>
      <c r="AB162" s="691" t="s">
        <v>2181</v>
      </c>
      <c r="AC162" s="525" t="s">
        <v>2182</v>
      </c>
      <c r="AD162" s="526" t="s">
        <v>789</v>
      </c>
      <c r="AE162" s="1310"/>
      <c r="AF162" s="1395"/>
      <c r="AG162" s="1395"/>
      <c r="AH162" s="1039" t="s">
        <v>1666</v>
      </c>
      <c r="AI162" s="1267"/>
      <c r="AJ162" s="1267"/>
      <c r="AK162" s="1397"/>
      <c r="AL162" s="1397"/>
      <c r="AM162" s="1624"/>
      <c r="AN162" s="1624"/>
      <c r="AO162" s="1624"/>
      <c r="AP162" s="1624"/>
    </row>
    <row s="1624" customFormat="1" customHeight="1" ht="0">
      <c r="A163" s="643"/>
      <c r="B163" s="1412"/>
      <c r="C163" s="1412"/>
      <c r="D163" s="1412"/>
      <c r="E163" s="625">
        <v>15</v>
      </c>
      <c r="F163" s="50" cm="1" t="str">
        <f t="array" ref="F163:F163">OFFSET(E163,-1,1)</f>
        <v>1</v>
      </c>
      <c r="G163" s="1412"/>
      <c r="H163" s="461" t="s">
        <v>2183</v>
      </c>
      <c r="I163" s="1412"/>
      <c r="J163" s="1412"/>
      <c r="K163" s="1412"/>
      <c r="L163" s="1412"/>
      <c r="M163" s="1412"/>
      <c r="N163" s="1412"/>
      <c r="O163" s="1412"/>
      <c r="P163" s="1412"/>
      <c r="Q163" s="1412"/>
      <c r="R163" s="1412"/>
      <c r="S163" s="1412"/>
      <c r="T163" s="438" cm="1" t="str">
        <f t="array" ref="T163:T163">T162</f>
        <v>true</v>
      </c>
      <c r="U163" s="1412"/>
      <c r="V163" s="1412"/>
      <c r="W163" s="1412"/>
      <c r="X163" s="1541"/>
      <c r="Y163" s="1412"/>
      <c r="Z163" s="1542"/>
      <c r="AA163" s="1412"/>
      <c r="AB163" s="691" t="s">
        <v>2184</v>
      </c>
      <c r="AC163" s="525" t="s">
        <v>1123</v>
      </c>
      <c r="AD163" s="526" t="s">
        <v>789</v>
      </c>
      <c r="AE163" s="1310"/>
      <c r="AF163" s="1395"/>
      <c r="AG163" s="1395"/>
      <c r="AH163" s="1039" t="s">
        <v>1669</v>
      </c>
      <c r="AI163" s="1267"/>
      <c r="AJ163" s="1267"/>
      <c r="AK163" s="1397"/>
      <c r="AL163" s="1397"/>
      <c r="AM163" s="1624"/>
      <c r="AN163" s="1624"/>
      <c r="AO163" s="1624"/>
      <c r="AP163" s="1624"/>
    </row>
    <row s="1624" customFormat="1" customHeight="1" ht="0">
      <c r="A164" s="643"/>
      <c r="B164" s="1412"/>
      <c r="C164" s="1412"/>
      <c r="D164" s="1412"/>
      <c r="E164" s="625">
        <v>15</v>
      </c>
      <c r="F164" s="50" cm="1" t="str">
        <f t="array" ref="F164:F164">OFFSET(E164,-1,1)</f>
        <v>1</v>
      </c>
      <c r="G164" s="1412"/>
      <c r="H164" s="461" t="s">
        <v>445</v>
      </c>
      <c r="I164" s="1412"/>
      <c r="J164" s="1412"/>
      <c r="K164" s="1412"/>
      <c r="L164" s="1412"/>
      <c r="M164" s="1412"/>
      <c r="N164" s="1412"/>
      <c r="O164" s="1412"/>
      <c r="P164" s="1412"/>
      <c r="Q164" s="1412"/>
      <c r="R164" s="1412"/>
      <c r="S164" s="1412"/>
      <c r="T164" s="438" cm="1" t="str">
        <f t="array" ref="T164:T164">T163</f>
        <v>true</v>
      </c>
      <c r="U164" s="1412"/>
      <c r="V164" s="1412"/>
      <c r="W164" s="1412"/>
      <c r="X164" s="1541"/>
      <c r="Y164" s="1412"/>
      <c r="Z164" s="1542"/>
      <c r="AA164" s="1412"/>
      <c r="AB164" s="691" t="s">
        <v>853</v>
      </c>
      <c r="AC164" s="527" t="s">
        <v>2185</v>
      </c>
      <c r="AD164" s="526" t="s">
        <v>789</v>
      </c>
      <c r="AE164" s="530">
        <f>SUM(AE165:AE166)</f>
        <v>0</v>
      </c>
      <c r="AF164" s="1395"/>
      <c r="AG164" s="1395"/>
      <c r="AH164" s="1041" t="s">
        <v>2186</v>
      </c>
      <c r="AI164" s="1267"/>
      <c r="AJ164" s="1267"/>
      <c r="AK164" s="1397"/>
      <c r="AL164" s="1397"/>
      <c r="AM164" s="1624"/>
      <c r="AN164" s="1624"/>
      <c r="AO164" s="1624"/>
      <c r="AP164" s="1624"/>
    </row>
    <row s="1624" customFormat="1" customHeight="1" ht="0" hidden="1">
      <c r="A165" s="643"/>
      <c r="B165" s="1412"/>
      <c r="C165" s="1412"/>
      <c r="D165" s="1412"/>
      <c r="E165" s="625">
        <v>15</v>
      </c>
      <c r="F165" s="50" cm="1" t="str">
        <f t="array" ref="F165:F165">OFFSET(E165,-1,1)</f>
        <v>1</v>
      </c>
      <c r="G165" s="1412"/>
      <c r="H165" s="461" t="s">
        <v>445</v>
      </c>
      <c r="I165" s="536" cm="1" t="str">
        <f t="array" ref="I165:I165">AC165</f>
        <v>0</v>
      </c>
      <c r="J165" s="1412"/>
      <c r="K165" s="1412"/>
      <c r="L165" s="1412"/>
      <c r="M165" s="1412"/>
      <c r="N165" s="1412"/>
      <c r="O165" s="1412"/>
      <c r="P165" s="1412"/>
      <c r="Q165" s="1412"/>
      <c r="R165" s="1412"/>
      <c r="S165" s="1412"/>
      <c r="T165" s="438">
        <f>AND(F165&gt;0,Y165&gt;0)</f>
        <v>0</v>
      </c>
      <c r="U165" s="1412"/>
      <c r="V165" s="1412"/>
      <c r="W165" s="528" t="s">
        <v>172</v>
      </c>
      <c r="X165" s="1541"/>
      <c r="Y165" s="461">
        <v>0</v>
      </c>
      <c r="Z165" s="1542"/>
      <c r="AA165" s="1254" t="s">
        <v>173</v>
      </c>
      <c r="AB165" s="690" t="str">
        <f>"1.4."&amp;Y165</f>
        <v>1.4.0</v>
      </c>
      <c r="AC165" s="3969"/>
      <c r="AD165" s="521" t="s">
        <v>789</v>
      </c>
      <c r="AE165" s="3970"/>
      <c r="AF165" s="1395"/>
      <c r="AG165" s="1395"/>
      <c r="AH165" s="1041" t="s">
        <v>2186</v>
      </c>
      <c r="AI165" s="978" t="s">
        <v>2187</v>
      </c>
      <c r="AJ165" s="978" cm="1" t="str">
        <f t="array" ref="AJ165:AJ165">AC165</f>
        <v>0</v>
      </c>
      <c r="AK165" s="1397"/>
      <c r="AL165" s="632" t="b">
        <v>1</v>
      </c>
      <c r="AM165" s="1624"/>
      <c r="AN165" s="1624"/>
      <c r="AO165" s="1624"/>
      <c r="AP165" s="1624"/>
    </row>
    <row s="1624" customFormat="1" customHeight="1" ht="0">
      <c r="A166" s="643"/>
      <c r="B166" s="1412"/>
      <c r="C166" s="1412"/>
      <c r="D166" s="1412"/>
      <c r="E166" s="625">
        <v>15</v>
      </c>
      <c r="F166" s="50" cm="1" t="str">
        <f t="array" ref="F166:F166">OFFSET(E166,-1,1)</f>
        <v>1</v>
      </c>
      <c r="G166" s="1412"/>
      <c r="H166" s="1412"/>
      <c r="I166" s="1256" t="str">
        <f>"!== 'не определено' &amp;&amp; row.l1_4 !== null"</f>
        <v>!== 'не определено' &amp;&amp; row.l1_4 !== null</v>
      </c>
      <c r="J166" s="1412"/>
      <c r="K166" s="1412"/>
      <c r="L166" s="1412"/>
      <c r="M166" s="1412"/>
      <c r="N166" s="1412"/>
      <c r="O166" s="1412"/>
      <c r="P166" s="1412"/>
      <c r="Q166" s="1412"/>
      <c r="R166" s="1412"/>
      <c r="S166" s="1412"/>
      <c r="T166" s="438">
        <f>F166&gt;0</f>
        <v>1</v>
      </c>
      <c r="U166" s="1412"/>
      <c r="V166" s="1412"/>
      <c r="W166" s="1358" t="s">
        <v>388</v>
      </c>
      <c r="X166" s="1541"/>
      <c r="Y166" s="1412"/>
      <c r="Z166" s="1542"/>
      <c r="AA166" s="1412"/>
      <c r="AB166" s="1257"/>
      <c r="AC166" s="1258" t="s">
        <v>176</v>
      </c>
      <c r="AD166" s="1259"/>
      <c r="AE166" s="1311"/>
      <c r="AF166" s="1395"/>
      <c r="AG166" s="1395"/>
      <c r="AH166" s="1267"/>
      <c r="AI166" s="1267"/>
      <c r="AJ166" s="1267"/>
      <c r="AK166" s="632" t="s">
        <v>2187</v>
      </c>
      <c r="AL166" s="1397"/>
      <c r="AM166" s="1624"/>
      <c r="AN166" s="1624"/>
      <c r="AO166" s="1624"/>
      <c r="AP166" s="1624"/>
    </row>
    <row s="1624" customFormat="1" customHeight="1" ht="21.33462905883789">
      <c r="A167" s="643"/>
      <c r="B167" s="1412"/>
      <c r="C167" s="1412"/>
      <c r="D167" s="1412"/>
      <c r="E167" s="625">
        <v>15</v>
      </c>
      <c r="F167" s="50" cm="1" t="str">
        <f t="array" ref="F167:F167">OFFSET(E167,-1,1)</f>
        <v>1</v>
      </c>
      <c r="G167" s="1412"/>
      <c r="H167" s="461" t="s">
        <v>322</v>
      </c>
      <c r="I167" s="1412"/>
      <c r="J167" s="1412"/>
      <c r="K167" s="1412"/>
      <c r="L167" s="1412"/>
      <c r="M167" s="1412"/>
      <c r="N167" s="1412"/>
      <c r="O167" s="1412"/>
      <c r="P167" s="1412"/>
      <c r="Q167" s="1412"/>
      <c r="R167" s="1412"/>
      <c r="S167" s="1412"/>
      <c r="T167" s="438" cm="1" t="str">
        <f t="array" ref="T167:T167">T166</f>
        <v>true</v>
      </c>
      <c r="U167" s="1412"/>
      <c r="V167" s="1412"/>
      <c r="W167" s="1412"/>
      <c r="X167" s="1541"/>
      <c r="Y167" s="1412"/>
      <c r="Z167" s="1542"/>
      <c r="AA167" s="1412"/>
      <c r="AB167" s="689" t="s">
        <v>504</v>
      </c>
      <c r="AC167" s="518" t="s">
        <v>1877</v>
      </c>
      <c r="AD167" s="519" t="s">
        <v>789</v>
      </c>
      <c r="AE167" s="530">
        <f>AE168+AE180+AE181+AE191+AE192+AE193+AE196+AE197+AE198+AE199+AE200+AE201</f>
        <v>2.07</v>
      </c>
      <c r="AF167" s="1395"/>
      <c r="AG167" s="1395"/>
      <c r="AH167" s="978" t="s">
        <v>2188</v>
      </c>
      <c r="AI167" s="1267"/>
      <c r="AJ167" s="1267"/>
      <c r="AK167" s="1397"/>
      <c r="AL167" s="1397"/>
      <c r="AM167" s="1624"/>
      <c r="AN167" s="1624"/>
      <c r="AO167" s="1624"/>
      <c r="AP167" s="1624"/>
    </row>
    <row s="1353" customFormat="1" customHeight="1" ht="26.25">
      <c r="A168" s="643"/>
      <c r="B168" s="461"/>
      <c r="C168" s="461"/>
      <c r="D168" s="461"/>
      <c r="E168" s="625">
        <v>27</v>
      </c>
      <c r="F168" s="496" cm="1" t="str">
        <f t="array" ref="F168:F168">OFFSET(E168,-1,1)</f>
        <v>1</v>
      </c>
      <c r="G168" s="461"/>
      <c r="H168" s="461"/>
      <c r="I168" s="461"/>
      <c r="J168" s="461"/>
      <c r="K168" s="461"/>
      <c r="L168" s="461"/>
      <c r="M168" s="461"/>
      <c r="N168" s="461"/>
      <c r="O168" s="461"/>
      <c r="P168" s="461"/>
      <c r="Q168" s="461"/>
      <c r="R168" s="461"/>
      <c r="S168" s="461"/>
      <c r="T168" s="438" cm="1" t="str">
        <f t="array" ref="T168:T168">T167</f>
        <v>true</v>
      </c>
      <c r="U168" s="461"/>
      <c r="V168" s="461"/>
      <c r="W168" s="461"/>
      <c r="X168" s="1541"/>
      <c r="Y168" s="461"/>
      <c r="Z168" s="1542"/>
      <c r="AA168" s="461"/>
      <c r="AB168" s="1248" t="s">
        <v>509</v>
      </c>
      <c r="AC168" s="1260" t="s">
        <v>1879</v>
      </c>
      <c r="AD168" s="1247" t="s">
        <v>789</v>
      </c>
      <c r="AE168" s="530">
        <f>SUM(AE169:AE179)</f>
        <v>0</v>
      </c>
      <c r="AF168" s="1086"/>
      <c r="AG168" s="1086"/>
      <c r="AH168" s="1041" t="s">
        <v>1124</v>
      </c>
      <c r="AI168" s="1035"/>
      <c r="AJ168" s="1035"/>
      <c r="AK168" s="942"/>
      <c r="AL168" s="942"/>
      <c r="AM168" s="1353"/>
      <c r="AN168" s="1353"/>
      <c r="AO168" s="1353"/>
      <c r="AP168" s="1353"/>
    </row>
    <row s="1353" customFormat="1" customHeight="1" ht="0">
      <c r="A169" s="643"/>
      <c r="B169" s="461"/>
      <c r="C169" s="461"/>
      <c r="D169" s="461"/>
      <c r="E169" s="625">
        <v>15</v>
      </c>
      <c r="F169" s="496" cm="1" t="str">
        <f t="array" ref="F169:F169">OFFSET(E169,-1,1)</f>
        <v>1</v>
      </c>
      <c r="G169" s="461"/>
      <c r="H169" s="461"/>
      <c r="I169" s="461"/>
      <c r="J169" s="461"/>
      <c r="K169" s="461"/>
      <c r="L169" s="461"/>
      <c r="M169" s="461"/>
      <c r="N169" s="461"/>
      <c r="O169" s="461"/>
      <c r="P169" s="461"/>
      <c r="Q169" s="461"/>
      <c r="R169" s="461"/>
      <c r="S169" s="461"/>
      <c r="T169" s="438" cm="1" t="str">
        <f t="array" ref="T169:T169">T168</f>
        <v>true</v>
      </c>
      <c r="U169" s="461"/>
      <c r="V169" s="461"/>
      <c r="W169" s="461"/>
      <c r="X169" s="1541"/>
      <c r="Y169" s="461"/>
      <c r="Z169" s="1542"/>
      <c r="AA169" s="461"/>
      <c r="AB169" s="1248" t="s">
        <v>460</v>
      </c>
      <c r="AC169" s="1251" t="s">
        <v>1881</v>
      </c>
      <c r="AD169" s="1250" t="s">
        <v>789</v>
      </c>
      <c r="AE169" s="531"/>
      <c r="AF169" s="1086"/>
      <c r="AG169" s="1086"/>
      <c r="AH169" s="1041" t="s">
        <v>2189</v>
      </c>
      <c r="AI169" s="1035"/>
      <c r="AJ169" s="1035"/>
      <c r="AK169" s="942"/>
      <c r="AL169" s="942"/>
      <c r="AM169" s="1353"/>
      <c r="AN169" s="1353"/>
      <c r="AO169" s="1353"/>
      <c r="AP169" s="1353"/>
    </row>
    <row s="1353" customFormat="1" customHeight="1" ht="0">
      <c r="A170" s="643"/>
      <c r="B170" s="461"/>
      <c r="C170" s="461"/>
      <c r="D170" s="461"/>
      <c r="E170" s="625">
        <v>15</v>
      </c>
      <c r="F170" s="496" cm="1" t="str">
        <f t="array" ref="F170:F170">OFFSET(E170,-1,1)</f>
        <v>1</v>
      </c>
      <c r="G170" s="461"/>
      <c r="H170" s="461"/>
      <c r="I170" s="461"/>
      <c r="J170" s="461"/>
      <c r="K170" s="461"/>
      <c r="L170" s="461"/>
      <c r="M170" s="461"/>
      <c r="N170" s="461"/>
      <c r="O170" s="461"/>
      <c r="P170" s="461"/>
      <c r="Q170" s="461"/>
      <c r="R170" s="461"/>
      <c r="S170" s="461"/>
      <c r="T170" s="438" cm="1" t="str">
        <f t="array" ref="T170:T170">T169</f>
        <v>true</v>
      </c>
      <c r="U170" s="461"/>
      <c r="V170" s="461"/>
      <c r="W170" s="461"/>
      <c r="X170" s="1541"/>
      <c r="Y170" s="461"/>
      <c r="Z170" s="1542"/>
      <c r="AA170" s="461"/>
      <c r="AB170" s="1248" t="s">
        <v>1882</v>
      </c>
      <c r="AC170" s="1251" t="s">
        <v>1883</v>
      </c>
      <c r="AD170" s="1250" t="s">
        <v>789</v>
      </c>
      <c r="AE170" s="531"/>
      <c r="AF170" s="1086"/>
      <c r="AG170" s="1086"/>
      <c r="AH170" s="1041" t="s">
        <v>2190</v>
      </c>
      <c r="AI170" s="1035"/>
      <c r="AJ170" s="1035"/>
      <c r="AK170" s="942"/>
      <c r="AL170" s="942"/>
      <c r="AM170" s="1353"/>
      <c r="AN170" s="1353"/>
      <c r="AO170" s="1353"/>
      <c r="AP170" s="1353"/>
    </row>
    <row s="1353" customFormat="1" customHeight="1" ht="0">
      <c r="A171" s="643"/>
      <c r="B171" s="461"/>
      <c r="C171" s="461"/>
      <c r="D171" s="461"/>
      <c r="E171" s="625">
        <v>15</v>
      </c>
      <c r="F171" s="496" cm="1" t="str">
        <f t="array" ref="F171:F171">OFFSET(E171,-1,1)</f>
        <v>1</v>
      </c>
      <c r="G171" s="461"/>
      <c r="H171" s="461"/>
      <c r="I171" s="461"/>
      <c r="J171" s="461"/>
      <c r="K171" s="461"/>
      <c r="L171" s="461"/>
      <c r="M171" s="461"/>
      <c r="N171" s="461"/>
      <c r="O171" s="461"/>
      <c r="P171" s="461"/>
      <c r="Q171" s="461"/>
      <c r="R171" s="461"/>
      <c r="S171" s="461"/>
      <c r="T171" s="438" cm="1" t="str">
        <f t="array" ref="T171:T171">T170</f>
        <v>true</v>
      </c>
      <c r="U171" s="461"/>
      <c r="V171" s="461"/>
      <c r="W171" s="461"/>
      <c r="X171" s="1541"/>
      <c r="Y171" s="461"/>
      <c r="Z171" s="1542"/>
      <c r="AA171" s="461"/>
      <c r="AB171" s="1248" t="s">
        <v>1884</v>
      </c>
      <c r="AC171" s="1251" t="s">
        <v>1885</v>
      </c>
      <c r="AD171" s="1250" t="s">
        <v>789</v>
      </c>
      <c r="AE171" s="531"/>
      <c r="AF171" s="1086"/>
      <c r="AG171" s="1086"/>
      <c r="AH171" s="1041" t="s">
        <v>2191</v>
      </c>
      <c r="AI171" s="1035"/>
      <c r="AJ171" s="1035"/>
      <c r="AK171" s="942"/>
      <c r="AL171" s="942"/>
      <c r="AM171" s="1353"/>
      <c r="AN171" s="1353"/>
      <c r="AO171" s="1353"/>
      <c r="AP171" s="1353"/>
    </row>
    <row s="1353" customFormat="1" customHeight="1" ht="0">
      <c r="A172" s="643"/>
      <c r="B172" s="461"/>
      <c r="C172" s="461"/>
      <c r="D172" s="461"/>
      <c r="E172" s="625">
        <v>15</v>
      </c>
      <c r="F172" s="496" cm="1" t="str">
        <f t="array" ref="F172:F172">OFFSET(E172,-1,1)</f>
        <v>1</v>
      </c>
      <c r="G172" s="461"/>
      <c r="H172" s="461"/>
      <c r="I172" s="461"/>
      <c r="J172" s="461"/>
      <c r="K172" s="461"/>
      <c r="L172" s="461"/>
      <c r="M172" s="461"/>
      <c r="N172" s="461"/>
      <c r="O172" s="461"/>
      <c r="P172" s="461"/>
      <c r="Q172" s="461"/>
      <c r="R172" s="461"/>
      <c r="S172" s="461"/>
      <c r="T172" s="438" cm="1" t="str">
        <f t="array" ref="T172:T172">T171</f>
        <v>true</v>
      </c>
      <c r="U172" s="461"/>
      <c r="V172" s="461"/>
      <c r="W172" s="461"/>
      <c r="X172" s="1541"/>
      <c r="Y172" s="461"/>
      <c r="Z172" s="1542"/>
      <c r="AA172" s="461"/>
      <c r="AB172" s="1248" t="s">
        <v>1887</v>
      </c>
      <c r="AC172" s="1251" t="s">
        <v>1888</v>
      </c>
      <c r="AD172" s="1250" t="s">
        <v>789</v>
      </c>
      <c r="AE172" s="531"/>
      <c r="AF172" s="1086"/>
      <c r="AG172" s="1086"/>
      <c r="AH172" s="1041" t="s">
        <v>2192</v>
      </c>
      <c r="AI172" s="1035"/>
      <c r="AJ172" s="1035"/>
      <c r="AK172" s="942"/>
      <c r="AL172" s="942"/>
      <c r="AM172" s="1353"/>
      <c r="AN172" s="1353"/>
      <c r="AO172" s="1353"/>
      <c r="AP172" s="1353"/>
    </row>
    <row s="1353" customFormat="1" customHeight="1" ht="0">
      <c r="A173" s="643"/>
      <c r="B173" s="461"/>
      <c r="C173" s="461"/>
      <c r="D173" s="461"/>
      <c r="E173" s="625">
        <v>15</v>
      </c>
      <c r="F173" s="496" cm="1" t="str">
        <f t="array" ref="F173:F173">OFFSET(E173,-1,1)</f>
        <v>1</v>
      </c>
      <c r="G173" s="461"/>
      <c r="H173" s="461"/>
      <c r="I173" s="461"/>
      <c r="J173" s="461"/>
      <c r="K173" s="461"/>
      <c r="L173" s="461"/>
      <c r="M173" s="461"/>
      <c r="N173" s="461"/>
      <c r="O173" s="461"/>
      <c r="P173" s="461"/>
      <c r="Q173" s="461"/>
      <c r="R173" s="461"/>
      <c r="S173" s="461"/>
      <c r="T173" s="438" cm="1" t="str">
        <f t="array" ref="T173:T173">T172</f>
        <v>true</v>
      </c>
      <c r="U173" s="461"/>
      <c r="V173" s="461"/>
      <c r="W173" s="461"/>
      <c r="X173" s="1541"/>
      <c r="Y173" s="461"/>
      <c r="Z173" s="1542"/>
      <c r="AA173" s="461"/>
      <c r="AB173" s="1248" t="s">
        <v>1890</v>
      </c>
      <c r="AC173" s="1251" t="s">
        <v>1891</v>
      </c>
      <c r="AD173" s="1250" t="s">
        <v>789</v>
      </c>
      <c r="AE173" s="531"/>
      <c r="AF173" s="1086"/>
      <c r="AG173" s="1086"/>
      <c r="AH173" s="1041" t="s">
        <v>2193</v>
      </c>
      <c r="AI173" s="1035"/>
      <c r="AJ173" s="1035"/>
      <c r="AK173" s="942"/>
      <c r="AL173" s="942"/>
      <c r="AM173" s="1353"/>
      <c r="AN173" s="1353"/>
      <c r="AO173" s="1353"/>
      <c r="AP173" s="1353"/>
    </row>
    <row s="1353" customFormat="1" customHeight="1" ht="0">
      <c r="A174" s="643"/>
      <c r="B174" s="461"/>
      <c r="C174" s="461"/>
      <c r="D174" s="461"/>
      <c r="E174" s="625">
        <v>27</v>
      </c>
      <c r="F174" s="496" cm="1" t="str">
        <f t="array" ref="F174:F174">OFFSET(E174,-1,1)</f>
        <v>1</v>
      </c>
      <c r="G174" s="461"/>
      <c r="H174" s="461"/>
      <c r="I174" s="461"/>
      <c r="J174" s="461"/>
      <c r="K174" s="461"/>
      <c r="L174" s="461"/>
      <c r="M174" s="461"/>
      <c r="N174" s="461"/>
      <c r="O174" s="461"/>
      <c r="P174" s="461"/>
      <c r="Q174" s="461"/>
      <c r="R174" s="461"/>
      <c r="S174" s="461"/>
      <c r="T174" s="438" cm="1" t="str">
        <f t="array" ref="T174:T174">T173</f>
        <v>true</v>
      </c>
      <c r="U174" s="461"/>
      <c r="V174" s="461"/>
      <c r="W174" s="461"/>
      <c r="X174" s="1541"/>
      <c r="Y174" s="461"/>
      <c r="Z174" s="1542"/>
      <c r="AA174" s="461"/>
      <c r="AB174" s="1248" t="s">
        <v>1893</v>
      </c>
      <c r="AC174" s="1251" t="s">
        <v>1894</v>
      </c>
      <c r="AD174" s="1250" t="s">
        <v>789</v>
      </c>
      <c r="AE174" s="531"/>
      <c r="AF174" s="1086"/>
      <c r="AG174" s="1086"/>
      <c r="AH174" s="1041" t="s">
        <v>2194</v>
      </c>
      <c r="AI174" s="1035"/>
      <c r="AJ174" s="1035"/>
      <c r="AK174" s="942"/>
      <c r="AL174" s="942"/>
      <c r="AM174" s="1353"/>
      <c r="AN174" s="1353"/>
      <c r="AO174" s="1353"/>
      <c r="AP174" s="1353"/>
    </row>
    <row s="1353" customFormat="1" customHeight="1" ht="0">
      <c r="A175" s="643"/>
      <c r="B175" s="461"/>
      <c r="C175" s="461"/>
      <c r="D175" s="461"/>
      <c r="E175" s="625">
        <v>15</v>
      </c>
      <c r="F175" s="496" cm="1" t="str">
        <f t="array" ref="F175:F175">OFFSET(E175,-1,1)</f>
        <v>1</v>
      </c>
      <c r="G175" s="461"/>
      <c r="H175" s="461"/>
      <c r="I175" s="461"/>
      <c r="J175" s="461"/>
      <c r="K175" s="461"/>
      <c r="L175" s="461"/>
      <c r="M175" s="461"/>
      <c r="N175" s="461"/>
      <c r="O175" s="461"/>
      <c r="P175" s="461"/>
      <c r="Q175" s="461"/>
      <c r="R175" s="461"/>
      <c r="S175" s="461"/>
      <c r="T175" s="438" cm="1" t="str">
        <f t="array" ref="T175:T175">T174</f>
        <v>true</v>
      </c>
      <c r="U175" s="461"/>
      <c r="V175" s="461"/>
      <c r="W175" s="461"/>
      <c r="X175" s="1541"/>
      <c r="Y175" s="461"/>
      <c r="Z175" s="1542"/>
      <c r="AA175" s="461"/>
      <c r="AB175" s="1248" t="s">
        <v>1897</v>
      </c>
      <c r="AC175" s="1251" t="s">
        <v>1898</v>
      </c>
      <c r="AD175" s="1250" t="s">
        <v>789</v>
      </c>
      <c r="AE175" s="531"/>
      <c r="AF175" s="1086"/>
      <c r="AG175" s="1086"/>
      <c r="AH175" s="1041" t="s">
        <v>2195</v>
      </c>
      <c r="AI175" s="1035"/>
      <c r="AJ175" s="1035"/>
      <c r="AK175" s="942"/>
      <c r="AL175" s="942"/>
      <c r="AM175" s="1353"/>
      <c r="AN175" s="1353"/>
      <c r="AO175" s="1353"/>
      <c r="AP175" s="1353"/>
    </row>
    <row s="1353" customFormat="1" customHeight="1" ht="0">
      <c r="A176" s="643"/>
      <c r="B176" s="461"/>
      <c r="C176" s="461"/>
      <c r="D176" s="461"/>
      <c r="E176" s="625">
        <v>15</v>
      </c>
      <c r="F176" s="496" cm="1" t="str">
        <f t="array" ref="F176:F176">OFFSET(E176,-1,1)</f>
        <v>1</v>
      </c>
      <c r="G176" s="461"/>
      <c r="H176" s="461"/>
      <c r="I176" s="461"/>
      <c r="J176" s="461"/>
      <c r="K176" s="461"/>
      <c r="L176" s="461"/>
      <c r="M176" s="461"/>
      <c r="N176" s="461"/>
      <c r="O176" s="461"/>
      <c r="P176" s="461"/>
      <c r="Q176" s="461"/>
      <c r="R176" s="461"/>
      <c r="S176" s="461"/>
      <c r="T176" s="438" cm="1" t="str">
        <f t="array" ref="T176:T176">T175</f>
        <v>true</v>
      </c>
      <c r="U176" s="461"/>
      <c r="V176" s="461"/>
      <c r="W176" s="461"/>
      <c r="X176" s="1541"/>
      <c r="Y176" s="461"/>
      <c r="Z176" s="1542"/>
      <c r="AA176" s="461"/>
      <c r="AB176" s="1248" t="s">
        <v>1901</v>
      </c>
      <c r="AC176" s="1251" t="s">
        <v>1902</v>
      </c>
      <c r="AD176" s="1250" t="s">
        <v>789</v>
      </c>
      <c r="AE176" s="531"/>
      <c r="AF176" s="1086"/>
      <c r="AG176" s="1086"/>
      <c r="AH176" s="1041" t="s">
        <v>2196</v>
      </c>
      <c r="AI176" s="1035"/>
      <c r="AJ176" s="1035"/>
      <c r="AK176" s="942"/>
      <c r="AL176" s="942"/>
      <c r="AM176" s="1353"/>
      <c r="AN176" s="1353"/>
      <c r="AO176" s="1353"/>
      <c r="AP176" s="1353"/>
    </row>
    <row s="1353" customFormat="1" customHeight="1" ht="0">
      <c r="A177" s="643"/>
      <c r="B177" s="461"/>
      <c r="C177" s="461"/>
      <c r="D177" s="461"/>
      <c r="E177" s="625">
        <v>15</v>
      </c>
      <c r="F177" s="496" cm="1" t="str">
        <f t="array" ref="F177:F177">OFFSET(E177,-1,1)</f>
        <v>1</v>
      </c>
      <c r="G177" s="461"/>
      <c r="H177" s="461"/>
      <c r="I177" s="461"/>
      <c r="J177" s="461"/>
      <c r="K177" s="461"/>
      <c r="L177" s="461"/>
      <c r="M177" s="461"/>
      <c r="N177" s="461"/>
      <c r="O177" s="461"/>
      <c r="P177" s="461"/>
      <c r="Q177" s="461"/>
      <c r="R177" s="461"/>
      <c r="S177" s="461"/>
      <c r="T177" s="438" cm="1" t="str">
        <f t="array" ref="T177:T177">T176</f>
        <v>true</v>
      </c>
      <c r="U177" s="461"/>
      <c r="V177" s="461"/>
      <c r="W177" s="461"/>
      <c r="X177" s="1541"/>
      <c r="Y177" s="461"/>
      <c r="Z177" s="1542"/>
      <c r="AA177" s="461"/>
      <c r="AB177" s="1248" t="s">
        <v>1904</v>
      </c>
      <c r="AC177" s="1251" t="s">
        <v>1905</v>
      </c>
      <c r="AD177" s="1250" t="s">
        <v>789</v>
      </c>
      <c r="AE177" s="531"/>
      <c r="AF177" s="1086"/>
      <c r="AG177" s="1086"/>
      <c r="AH177" s="1041" t="s">
        <v>2197</v>
      </c>
      <c r="AI177" s="1035"/>
      <c r="AJ177" s="1035"/>
      <c r="AK177" s="942"/>
      <c r="AL177" s="942"/>
      <c r="AM177" s="1353"/>
      <c r="AN177" s="1353"/>
      <c r="AO177" s="1353"/>
      <c r="AP177" s="1353"/>
    </row>
    <row s="1353" customFormat="1" customHeight="1" ht="0">
      <c r="A178" s="643"/>
      <c r="B178" s="461"/>
      <c r="C178" s="461"/>
      <c r="D178" s="461"/>
      <c r="E178" s="625">
        <v>15</v>
      </c>
      <c r="F178" s="496" cm="1" t="str">
        <f t="array" ref="F178:F178">OFFSET(E178,-1,1)</f>
        <v>1</v>
      </c>
      <c r="G178" s="461"/>
      <c r="H178" s="461"/>
      <c r="I178" s="461"/>
      <c r="J178" s="461"/>
      <c r="K178" s="461"/>
      <c r="L178" s="461"/>
      <c r="M178" s="461"/>
      <c r="N178" s="461"/>
      <c r="O178" s="461"/>
      <c r="P178" s="461"/>
      <c r="Q178" s="461"/>
      <c r="R178" s="461"/>
      <c r="S178" s="461"/>
      <c r="T178" s="438" cm="1" t="str">
        <f t="array" ref="T178:T178">T177</f>
        <v>true</v>
      </c>
      <c r="U178" s="461"/>
      <c r="V178" s="461"/>
      <c r="W178" s="461"/>
      <c r="X178" s="1541"/>
      <c r="Y178" s="461"/>
      <c r="Z178" s="1542"/>
      <c r="AA178" s="461"/>
      <c r="AB178" s="1248" t="s">
        <v>1907</v>
      </c>
      <c r="AC178" s="1251" t="s">
        <v>1908</v>
      </c>
      <c r="AD178" s="1250" t="s">
        <v>789</v>
      </c>
      <c r="AE178" s="531"/>
      <c r="AF178" s="1086"/>
      <c r="AG178" s="1086"/>
      <c r="AH178" s="1041" t="s">
        <v>2198</v>
      </c>
      <c r="AI178" s="1035"/>
      <c r="AJ178" s="1035"/>
      <c r="AK178" s="942"/>
      <c r="AL178" s="942"/>
      <c r="AM178" s="1353"/>
      <c r="AN178" s="1353"/>
      <c r="AO178" s="1353"/>
      <c r="AP178" s="1353"/>
    </row>
    <row s="1353" customFormat="1" customHeight="1" ht="0">
      <c r="A179" s="643"/>
      <c r="B179" s="461"/>
      <c r="C179" s="461"/>
      <c r="D179" s="461"/>
      <c r="E179" s="625">
        <v>15</v>
      </c>
      <c r="F179" s="496" cm="1" t="str">
        <f t="array" ref="F179:F179">OFFSET(E179,-1,1)</f>
        <v>1</v>
      </c>
      <c r="G179" s="461"/>
      <c r="H179" s="461"/>
      <c r="I179" s="461"/>
      <c r="J179" s="461"/>
      <c r="K179" s="461"/>
      <c r="L179" s="461"/>
      <c r="M179" s="461"/>
      <c r="N179" s="461"/>
      <c r="O179" s="461"/>
      <c r="P179" s="461"/>
      <c r="Q179" s="461"/>
      <c r="R179" s="461"/>
      <c r="S179" s="461"/>
      <c r="T179" s="438" cm="1" t="str">
        <f t="array" ref="T179:T179">T178</f>
        <v>true</v>
      </c>
      <c r="U179" s="461"/>
      <c r="V179" s="461"/>
      <c r="W179" s="461"/>
      <c r="X179" s="1541"/>
      <c r="Y179" s="461"/>
      <c r="Z179" s="1542"/>
      <c r="AA179" s="461"/>
      <c r="AB179" s="1248" t="s">
        <v>1909</v>
      </c>
      <c r="AC179" s="1251" t="s">
        <v>1910</v>
      </c>
      <c r="AD179" s="1250" t="s">
        <v>789</v>
      </c>
      <c r="AE179" s="531"/>
      <c r="AF179" s="1086"/>
      <c r="AG179" s="1086"/>
      <c r="AH179" s="1041" t="s">
        <v>2199</v>
      </c>
      <c r="AI179" s="1035"/>
      <c r="AJ179" s="1035"/>
      <c r="AK179" s="942"/>
      <c r="AL179" s="942"/>
      <c r="AM179" s="1353"/>
      <c r="AN179" s="1353"/>
      <c r="AO179" s="1353"/>
      <c r="AP179" s="1353"/>
    </row>
    <row s="1353" customFormat="1" customHeight="1" ht="0">
      <c r="A180" s="643"/>
      <c r="B180" s="461"/>
      <c r="C180" s="461"/>
      <c r="D180" s="461"/>
      <c r="E180" s="625">
        <v>15</v>
      </c>
      <c r="F180" s="496" cm="1" t="str">
        <f t="array" ref="F180:F180">OFFSET(E180,-1,1)</f>
        <v>1</v>
      </c>
      <c r="G180" s="461"/>
      <c r="H180" s="461"/>
      <c r="I180" s="461"/>
      <c r="J180" s="461"/>
      <c r="K180" s="461"/>
      <c r="L180" s="461"/>
      <c r="M180" s="461"/>
      <c r="N180" s="461"/>
      <c r="O180" s="461"/>
      <c r="P180" s="461"/>
      <c r="Q180" s="461"/>
      <c r="R180" s="461"/>
      <c r="S180" s="461"/>
      <c r="T180" s="438" cm="1" t="str">
        <f t="array" ref="T180:T180">T179</f>
        <v>true</v>
      </c>
      <c r="U180" s="461"/>
      <c r="V180" s="461"/>
      <c r="W180" s="461"/>
      <c r="X180" s="1541"/>
      <c r="Y180" s="461"/>
      <c r="Z180" s="1542"/>
      <c r="AA180" s="461"/>
      <c r="AB180" s="1248" t="s">
        <v>513</v>
      </c>
      <c r="AC180" s="1249" t="s">
        <v>1911</v>
      </c>
      <c r="AD180" s="1250" t="s">
        <v>789</v>
      </c>
      <c r="AE180" s="531"/>
      <c r="AF180" s="1086"/>
      <c r="AG180" s="1086"/>
      <c r="AH180" s="1041" t="s">
        <v>2200</v>
      </c>
      <c r="AI180" s="1035"/>
      <c r="AJ180" s="1035"/>
      <c r="AK180" s="942"/>
      <c r="AL180" s="942"/>
      <c r="AM180" s="1353"/>
      <c r="AN180" s="1353"/>
      <c r="AO180" s="1353"/>
      <c r="AP180" s="1353"/>
    </row>
    <row s="1624" customFormat="1" customHeight="1" ht="18.20962905883789">
      <c r="A181" s="643"/>
      <c r="B181" s="1412"/>
      <c r="C181" s="1412"/>
      <c r="D181" s="1412"/>
      <c r="E181" s="625">
        <v>15</v>
      </c>
      <c r="F181" s="50" cm="1" t="str">
        <f t="array" ref="F181:F181">OFFSET(E181,-1,1)</f>
        <v>1</v>
      </c>
      <c r="G181" s="1412"/>
      <c r="H181" s="461" t="s">
        <v>455</v>
      </c>
      <c r="I181" s="1412"/>
      <c r="J181" s="1412"/>
      <c r="K181" s="1412"/>
      <c r="L181" s="1412"/>
      <c r="M181" s="1412"/>
      <c r="N181" s="1412"/>
      <c r="O181" s="1412"/>
      <c r="P181" s="1412"/>
      <c r="Q181" s="1412"/>
      <c r="R181" s="1412"/>
      <c r="S181" s="1412"/>
      <c r="T181" s="438" cm="1" t="str">
        <f t="array" ref="T181:T181">T167</f>
        <v>true</v>
      </c>
      <c r="U181" s="1412"/>
      <c r="V181" s="1412"/>
      <c r="W181" s="1412"/>
      <c r="X181" s="1541"/>
      <c r="Y181" s="1412"/>
      <c r="Z181" s="1542"/>
      <c r="AA181" s="1412"/>
      <c r="AB181" s="690" t="s">
        <v>517</v>
      </c>
      <c r="AC181" s="520" t="s">
        <v>2201</v>
      </c>
      <c r="AD181" s="521" t="s">
        <v>789</v>
      </c>
      <c r="AE181" s="530">
        <f>SUM(AE182:AE190)</f>
        <v>2.07</v>
      </c>
      <c r="AF181" s="1395"/>
      <c r="AG181" s="1395"/>
      <c r="AH181" s="1047" t="s">
        <v>1146</v>
      </c>
      <c r="AI181" s="1267"/>
      <c r="AJ181" s="1267"/>
      <c r="AK181" s="1397"/>
      <c r="AL181" s="1397"/>
      <c r="AM181" s="1624"/>
      <c r="AN181" s="1624"/>
      <c r="AO181" s="1624"/>
      <c r="AP181" s="1624"/>
    </row>
    <row s="1624" customFormat="1" customHeight="1" ht="16.33462905883789">
      <c r="A182" s="643"/>
      <c r="B182" s="1412"/>
      <c r="C182" s="1412"/>
      <c r="D182" s="1412"/>
      <c r="E182" s="625">
        <v>15</v>
      </c>
      <c r="F182" s="50" cm="1" t="str">
        <f t="array" ref="F182:F182">OFFSET(E182,-1,1)</f>
        <v>1</v>
      </c>
      <c r="G182" s="1412"/>
      <c r="H182" s="461" t="s">
        <v>1642</v>
      </c>
      <c r="I182" s="1412"/>
      <c r="J182" s="1412"/>
      <c r="K182" s="1412"/>
      <c r="L182" s="1412"/>
      <c r="M182" s="1412"/>
      <c r="N182" s="1412"/>
      <c r="O182" s="1412"/>
      <c r="P182" s="1412"/>
      <c r="Q182" s="1412"/>
      <c r="R182" s="1412"/>
      <c r="S182" s="1412"/>
      <c r="T182" s="438" cm="1" t="str">
        <f t="array" ref="T182:T182">T181</f>
        <v>true</v>
      </c>
      <c r="U182" s="1412"/>
      <c r="V182" s="1412"/>
      <c r="W182" s="1412"/>
      <c r="X182" s="1541"/>
      <c r="Y182" s="1412"/>
      <c r="Z182" s="1542"/>
      <c r="AA182" s="1412"/>
      <c r="AB182" s="690" t="s">
        <v>471</v>
      </c>
      <c r="AC182" s="522" t="s">
        <v>1161</v>
      </c>
      <c r="AD182" s="521" t="s">
        <v>789</v>
      </c>
      <c r="AE182" s="1310"/>
      <c r="AF182" s="1395"/>
      <c r="AG182" s="1395"/>
      <c r="AH182" s="1041" t="s">
        <v>1914</v>
      </c>
      <c r="AI182" s="1267"/>
      <c r="AJ182" s="1267"/>
      <c r="AK182" s="1397"/>
      <c r="AL182" s="1397"/>
      <c r="AM182" s="1624"/>
      <c r="AN182" s="1624"/>
      <c r="AO182" s="1624"/>
      <c r="AP182" s="1624"/>
    </row>
    <row s="1624" customFormat="1" customHeight="1" ht="14.25">
      <c r="A183" s="643"/>
      <c r="B183" s="1412"/>
      <c r="C183" s="1412"/>
      <c r="D183" s="1412"/>
      <c r="E183" s="625">
        <v>15</v>
      </c>
      <c r="F183" s="50" cm="1" t="str">
        <f t="array" ref="F183:F183">OFFSET(E183,-1,1)</f>
        <v>1</v>
      </c>
      <c r="G183" s="1412"/>
      <c r="H183" s="461" t="s">
        <v>1645</v>
      </c>
      <c r="I183" s="1412"/>
      <c r="J183" s="1412"/>
      <c r="K183" s="1412"/>
      <c r="L183" s="1412"/>
      <c r="M183" s="1412"/>
      <c r="N183" s="1412"/>
      <c r="O183" s="1412"/>
      <c r="P183" s="1412"/>
      <c r="Q183" s="1412"/>
      <c r="R183" s="1412"/>
      <c r="S183" s="1412"/>
      <c r="T183" s="438" cm="1" t="str">
        <f t="array" ref="T183:T183">T182</f>
        <v>true</v>
      </c>
      <c r="U183" s="1412"/>
      <c r="V183" s="1412"/>
      <c r="W183" s="1412"/>
      <c r="X183" s="1541"/>
      <c r="Y183" s="1412"/>
      <c r="Z183" s="1542"/>
      <c r="AA183" s="1412"/>
      <c r="AB183" s="690" t="s">
        <v>1364</v>
      </c>
      <c r="AC183" s="522" t="s">
        <v>2202</v>
      </c>
      <c r="AD183" s="521" t="s">
        <v>789</v>
      </c>
      <c r="AE183" s="1310">
        <v>2.07</v>
      </c>
      <c r="AF183" s="1395"/>
      <c r="AG183" s="1395"/>
      <c r="AH183" s="1041" t="s">
        <v>1917</v>
      </c>
      <c r="AI183" s="1267"/>
      <c r="AJ183" s="1267"/>
      <c r="AK183" s="1397"/>
      <c r="AL183" s="1397"/>
      <c r="AM183" s="1624"/>
      <c r="AN183" s="1624"/>
      <c r="AO183" s="1624"/>
      <c r="AP183" s="1624"/>
    </row>
    <row s="1624" customFormat="1" customHeight="1" ht="14.25">
      <c r="A184" s="643"/>
      <c r="B184" s="1412"/>
      <c r="C184" s="1412"/>
      <c r="D184" s="1412"/>
      <c r="E184" s="625">
        <v>15</v>
      </c>
      <c r="F184" s="50" cm="1" t="str">
        <f t="array" ref="F184:F184">OFFSET(E184,-1,1)</f>
        <v>1</v>
      </c>
      <c r="G184" s="1412"/>
      <c r="H184" s="461" t="s">
        <v>2203</v>
      </c>
      <c r="I184" s="1412"/>
      <c r="J184" s="1412"/>
      <c r="K184" s="1412"/>
      <c r="L184" s="1412"/>
      <c r="M184" s="1412"/>
      <c r="N184" s="1412"/>
      <c r="O184" s="1412"/>
      <c r="P184" s="1412"/>
      <c r="Q184" s="1412"/>
      <c r="R184" s="1412"/>
      <c r="S184" s="1412"/>
      <c r="T184" s="438" cm="1" t="str">
        <f t="array" ref="T184:T184">T183</f>
        <v>true</v>
      </c>
      <c r="U184" s="1412"/>
      <c r="V184" s="1412"/>
      <c r="W184" s="1412"/>
      <c r="X184" s="1541"/>
      <c r="Y184" s="1412"/>
      <c r="Z184" s="1542"/>
      <c r="AA184" s="1412"/>
      <c r="AB184" s="690" t="s">
        <v>1369</v>
      </c>
      <c r="AC184" s="522" t="s">
        <v>2204</v>
      </c>
      <c r="AD184" s="521" t="s">
        <v>789</v>
      </c>
      <c r="AE184" s="1310"/>
      <c r="AF184" s="1395"/>
      <c r="AG184" s="1395"/>
      <c r="AH184" s="1041" t="s">
        <v>1920</v>
      </c>
      <c r="AI184" s="1267"/>
      <c r="AJ184" s="1267"/>
      <c r="AK184" s="1397"/>
      <c r="AL184" s="1397"/>
      <c r="AM184" s="1624"/>
      <c r="AN184" s="1624"/>
      <c r="AO184" s="1624"/>
      <c r="AP184" s="1624"/>
    </row>
    <row s="1624" customFormat="1" customHeight="1" ht="14.25">
      <c r="A185" s="643"/>
      <c r="B185" s="1412"/>
      <c r="C185" s="1412"/>
      <c r="D185" s="1412"/>
      <c r="E185" s="625">
        <v>15</v>
      </c>
      <c r="F185" s="50" cm="1" t="str">
        <f t="array" ref="F185:F185">OFFSET(E185,-1,1)</f>
        <v>1</v>
      </c>
      <c r="G185" s="1412"/>
      <c r="H185" s="461" t="s">
        <v>2205</v>
      </c>
      <c r="I185" s="1412"/>
      <c r="J185" s="1412"/>
      <c r="K185" s="1412"/>
      <c r="L185" s="1412"/>
      <c r="M185" s="1412"/>
      <c r="N185" s="1412"/>
      <c r="O185" s="1412"/>
      <c r="P185" s="1412"/>
      <c r="Q185" s="1412"/>
      <c r="R185" s="1412"/>
      <c r="S185" s="1412"/>
      <c r="T185" s="438" cm="1" t="str">
        <f t="array" ref="T185:T185">T184</f>
        <v>true</v>
      </c>
      <c r="U185" s="1412"/>
      <c r="V185" s="1412"/>
      <c r="W185" s="1412"/>
      <c r="X185" s="1541"/>
      <c r="Y185" s="1412"/>
      <c r="Z185" s="1542"/>
      <c r="AA185" s="1412"/>
      <c r="AB185" s="690" t="s">
        <v>1922</v>
      </c>
      <c r="AC185" s="522" t="s">
        <v>1154</v>
      </c>
      <c r="AD185" s="521" t="s">
        <v>789</v>
      </c>
      <c r="AE185" s="1310"/>
      <c r="AF185" s="1395"/>
      <c r="AG185" s="1395"/>
      <c r="AH185" s="1041" t="s">
        <v>1924</v>
      </c>
      <c r="AI185" s="1267"/>
      <c r="AJ185" s="1267"/>
      <c r="AK185" s="1397"/>
      <c r="AL185" s="1397"/>
      <c r="AM185" s="1624"/>
      <c r="AN185" s="1624"/>
      <c r="AO185" s="1624"/>
      <c r="AP185" s="1624"/>
    </row>
    <row s="1624" customFormat="1" customHeight="1" ht="14.25">
      <c r="A186" s="643"/>
      <c r="B186" s="1412"/>
      <c r="C186" s="1412"/>
      <c r="D186" s="1412"/>
      <c r="E186" s="625">
        <v>15</v>
      </c>
      <c r="F186" s="50" cm="1" t="str">
        <f t="array" ref="F186:F186">OFFSET(E186,-1,1)</f>
        <v>1</v>
      </c>
      <c r="G186" s="1412"/>
      <c r="H186" s="461" t="s">
        <v>2206</v>
      </c>
      <c r="I186" s="1412"/>
      <c r="J186" s="1412"/>
      <c r="K186" s="1412"/>
      <c r="L186" s="1412"/>
      <c r="M186" s="1412"/>
      <c r="N186" s="1412"/>
      <c r="O186" s="1412"/>
      <c r="P186" s="1412"/>
      <c r="Q186" s="1412"/>
      <c r="R186" s="1412"/>
      <c r="S186" s="1412"/>
      <c r="T186" s="438" cm="1" t="str">
        <f t="array" ref="T186:T186">T185</f>
        <v>true</v>
      </c>
      <c r="U186" s="1412"/>
      <c r="V186" s="1412"/>
      <c r="W186" s="1412"/>
      <c r="X186" s="1541"/>
      <c r="Y186" s="1412"/>
      <c r="Z186" s="1542"/>
      <c r="AA186" s="1412"/>
      <c r="AB186" s="690" t="s">
        <v>1926</v>
      </c>
      <c r="AC186" s="522" t="s">
        <v>1156</v>
      </c>
      <c r="AD186" s="521" t="s">
        <v>789</v>
      </c>
      <c r="AE186" s="1310"/>
      <c r="AF186" s="1395"/>
      <c r="AG186" s="1395"/>
      <c r="AH186" s="1041" t="s">
        <v>1928</v>
      </c>
      <c r="AI186" s="1267"/>
      <c r="AJ186" s="1267"/>
      <c r="AK186" s="1397"/>
      <c r="AL186" s="1397"/>
      <c r="AM186" s="1624"/>
      <c r="AN186" s="1624"/>
      <c r="AO186" s="1624"/>
      <c r="AP186" s="1624"/>
    </row>
    <row s="1624" customFormat="1" customHeight="1" ht="14.25">
      <c r="A187" s="643"/>
      <c r="B187" s="1412"/>
      <c r="C187" s="1412"/>
      <c r="D187" s="1412"/>
      <c r="E187" s="625">
        <v>15</v>
      </c>
      <c r="F187" s="50" cm="1" t="str">
        <f t="array" ref="F187:F187">OFFSET(E187,-1,1)</f>
        <v>1</v>
      </c>
      <c r="G187" s="1412"/>
      <c r="H187" s="461" t="s">
        <v>2207</v>
      </c>
      <c r="I187" s="1412"/>
      <c r="J187" s="1412"/>
      <c r="K187" s="1412"/>
      <c r="L187" s="1412"/>
      <c r="M187" s="1412"/>
      <c r="N187" s="1412"/>
      <c r="O187" s="1412"/>
      <c r="P187" s="1412"/>
      <c r="Q187" s="1412"/>
      <c r="R187" s="1412"/>
      <c r="S187" s="1412"/>
      <c r="T187" s="438" cm="1" t="str">
        <f t="array" ref="T187:T187">T186</f>
        <v>true</v>
      </c>
      <c r="U187" s="1412"/>
      <c r="V187" s="1412"/>
      <c r="W187" s="1412"/>
      <c r="X187" s="1541"/>
      <c r="Y187" s="1412"/>
      <c r="Z187" s="1542"/>
      <c r="AA187" s="1412"/>
      <c r="AB187" s="690" t="s">
        <v>1930</v>
      </c>
      <c r="AC187" s="522" t="s">
        <v>1147</v>
      </c>
      <c r="AD187" s="521" t="s">
        <v>789</v>
      </c>
      <c r="AE187" s="1310"/>
      <c r="AF187" s="1395"/>
      <c r="AG187" s="1395"/>
      <c r="AH187" s="1041" t="s">
        <v>1932</v>
      </c>
      <c r="AI187" s="1267"/>
      <c r="AJ187" s="1267"/>
      <c r="AK187" s="1397"/>
      <c r="AL187" s="1397"/>
      <c r="AM187" s="1624"/>
      <c r="AN187" s="1624"/>
      <c r="AO187" s="1624"/>
      <c r="AP187" s="1624"/>
    </row>
    <row s="1353" customFormat="1" customHeight="1" ht="0">
      <c r="A188" s="643"/>
      <c r="B188" s="461"/>
      <c r="C188" s="461"/>
      <c r="D188" s="461"/>
      <c r="E188" s="625">
        <v>15</v>
      </c>
      <c r="F188" s="496" cm="1" t="str">
        <f t="array" ref="F188:F188">OFFSET(E188,-1,1)</f>
        <v>1</v>
      </c>
      <c r="G188" s="461"/>
      <c r="H188" s="461"/>
      <c r="I188" s="461"/>
      <c r="J188" s="461"/>
      <c r="K188" s="461"/>
      <c r="L188" s="461"/>
      <c r="M188" s="461"/>
      <c r="N188" s="461"/>
      <c r="O188" s="461"/>
      <c r="P188" s="461"/>
      <c r="Q188" s="461"/>
      <c r="R188" s="461"/>
      <c r="S188" s="461"/>
      <c r="T188" s="438" cm="1" t="str">
        <f t="array" ref="T188:T188">T187</f>
        <v>true</v>
      </c>
      <c r="U188" s="461"/>
      <c r="V188" s="461"/>
      <c r="W188" s="461"/>
      <c r="X188" s="1541"/>
      <c r="Y188" s="461"/>
      <c r="Z188" s="1542"/>
      <c r="AA188" s="461"/>
      <c r="AB188" s="1248" t="s">
        <v>1934</v>
      </c>
      <c r="AC188" s="1251" t="s">
        <v>2208</v>
      </c>
      <c r="AD188" s="1250" t="s">
        <v>789</v>
      </c>
      <c r="AE188" s="531"/>
      <c r="AF188" s="1086"/>
      <c r="AG188" s="1086"/>
      <c r="AH188" s="1041" t="s">
        <v>1164</v>
      </c>
      <c r="AI188" s="1035"/>
      <c r="AJ188" s="1035"/>
      <c r="AK188" s="942"/>
      <c r="AL188" s="942"/>
      <c r="AM188" s="1353"/>
      <c r="AN188" s="1353"/>
      <c r="AO188" s="1353"/>
      <c r="AP188" s="1353"/>
    </row>
    <row s="1353" customFormat="1" customHeight="1" ht="0">
      <c r="A189" s="643"/>
      <c r="B189" s="461"/>
      <c r="C189" s="461"/>
      <c r="D189" s="461"/>
      <c r="E189" s="625">
        <v>15</v>
      </c>
      <c r="F189" s="496" cm="1" t="str">
        <f t="array" ref="F189:F189">OFFSET(E189,-1,1)</f>
        <v>1</v>
      </c>
      <c r="G189" s="461"/>
      <c r="H189" s="461"/>
      <c r="I189" s="461"/>
      <c r="J189" s="461"/>
      <c r="K189" s="461"/>
      <c r="L189" s="461"/>
      <c r="M189" s="461"/>
      <c r="N189" s="461"/>
      <c r="O189" s="461"/>
      <c r="P189" s="461"/>
      <c r="Q189" s="461"/>
      <c r="R189" s="461"/>
      <c r="S189" s="461"/>
      <c r="T189" s="438" cm="1" t="str">
        <f t="array" ref="T189:T189">T188</f>
        <v>true</v>
      </c>
      <c r="U189" s="461"/>
      <c r="V189" s="461"/>
      <c r="W189" s="461"/>
      <c r="X189" s="1541"/>
      <c r="Y189" s="461"/>
      <c r="Z189" s="1542"/>
      <c r="AA189" s="461"/>
      <c r="AB189" s="1248" t="s">
        <v>1938</v>
      </c>
      <c r="AC189" s="1251" t="s">
        <v>1165</v>
      </c>
      <c r="AD189" s="1250" t="s">
        <v>789</v>
      </c>
      <c r="AE189" s="531"/>
      <c r="AF189" s="1086"/>
      <c r="AG189" s="1086"/>
      <c r="AH189" s="1041" t="s">
        <v>2209</v>
      </c>
      <c r="AI189" s="1035"/>
      <c r="AJ189" s="1035"/>
      <c r="AK189" s="942"/>
      <c r="AL189" s="942"/>
      <c r="AM189" s="1353"/>
      <c r="AN189" s="1353"/>
      <c r="AO189" s="1353"/>
      <c r="AP189" s="1353"/>
    </row>
    <row s="1624" customFormat="1" customHeight="1" ht="0">
      <c r="A190" s="643"/>
      <c r="B190" s="1412"/>
      <c r="C190" s="1412"/>
      <c r="D190" s="1412"/>
      <c r="E190" s="625">
        <v>15</v>
      </c>
      <c r="F190" s="50" cm="1" t="str">
        <f t="array" ref="F190:F190">OFFSET(E190,-1,1)</f>
        <v>1</v>
      </c>
      <c r="G190" s="1412"/>
      <c r="H190" s="461" t="s">
        <v>2210</v>
      </c>
      <c r="I190" s="1412"/>
      <c r="J190" s="1412"/>
      <c r="K190" s="1412"/>
      <c r="L190" s="1412"/>
      <c r="M190" s="1412"/>
      <c r="N190" s="1412"/>
      <c r="O190" s="1412"/>
      <c r="P190" s="1412"/>
      <c r="Q190" s="1412"/>
      <c r="R190" s="1412"/>
      <c r="S190" s="1412"/>
      <c r="T190" s="438" cm="1" t="str">
        <f t="array" ref="T190:T190">T187</f>
        <v>true</v>
      </c>
      <c r="U190" s="1412"/>
      <c r="V190" s="1412"/>
      <c r="W190" s="1412"/>
      <c r="X190" s="1541"/>
      <c r="Y190" s="1412"/>
      <c r="Z190" s="1542"/>
      <c r="AA190" s="1412"/>
      <c r="AB190" s="690" t="s">
        <v>1940</v>
      </c>
      <c r="AC190" s="522" t="s">
        <v>1167</v>
      </c>
      <c r="AD190" s="521" t="s">
        <v>789</v>
      </c>
      <c r="AE190" s="1310"/>
      <c r="AF190" s="1395"/>
      <c r="AG190" s="1395"/>
      <c r="AH190" s="1041" t="s">
        <v>1946</v>
      </c>
      <c r="AI190" s="1267"/>
      <c r="AJ190" s="1267"/>
      <c r="AK190" s="1397"/>
      <c r="AL190" s="1397"/>
      <c r="AM190" s="1624"/>
      <c r="AN190" s="1624"/>
      <c r="AO190" s="1624"/>
      <c r="AP190" s="1624"/>
    </row>
    <row s="1624" customFormat="1" customHeight="1" ht="0">
      <c r="A191" s="643"/>
      <c r="B191" s="1412"/>
      <c r="C191" s="1412"/>
      <c r="D191" s="1412"/>
      <c r="E191" s="625">
        <v>15</v>
      </c>
      <c r="F191" s="50" cm="1" t="str">
        <f t="array" ref="F191:F191">OFFSET(E191,-1,1)</f>
        <v>1</v>
      </c>
      <c r="G191" s="1412"/>
      <c r="H191" s="461" t="s">
        <v>864</v>
      </c>
      <c r="I191" s="1412"/>
      <c r="J191" s="1412"/>
      <c r="K191" s="1412"/>
      <c r="L191" s="1412"/>
      <c r="M191" s="1412"/>
      <c r="N191" s="1412"/>
      <c r="O191" s="1412"/>
      <c r="P191" s="1412"/>
      <c r="Q191" s="1412"/>
      <c r="R191" s="1412"/>
      <c r="S191" s="1412"/>
      <c r="T191" s="438" cm="1" t="str">
        <f t="array" ref="T191:T191">T190</f>
        <v>true</v>
      </c>
      <c r="U191" s="1412"/>
      <c r="V191" s="1412"/>
      <c r="W191" s="1412"/>
      <c r="X191" s="1541"/>
      <c r="Y191" s="1412"/>
      <c r="Z191" s="1542"/>
      <c r="AA191" s="1412"/>
      <c r="AB191" s="690" t="s">
        <v>867</v>
      </c>
      <c r="AC191" s="522" t="s">
        <v>962</v>
      </c>
      <c r="AD191" s="521" t="s">
        <v>789</v>
      </c>
      <c r="AE191" s="1310"/>
      <c r="AF191" s="1395"/>
      <c r="AG191" s="1395"/>
      <c r="AH191" s="1041" t="s">
        <v>1104</v>
      </c>
      <c r="AI191" s="1267"/>
      <c r="AJ191" s="1267"/>
      <c r="AK191" s="1397"/>
      <c r="AL191" s="1397"/>
      <c r="AM191" s="1624"/>
      <c r="AN191" s="1624"/>
      <c r="AO191" s="1624"/>
      <c r="AP191" s="1624"/>
    </row>
    <row s="1624" customFormat="1" customHeight="1" ht="0">
      <c r="A192" s="643"/>
      <c r="B192" s="1412"/>
      <c r="C192" s="1412"/>
      <c r="D192" s="1412"/>
      <c r="E192" s="625">
        <v>15</v>
      </c>
      <c r="F192" s="50" cm="1" t="str">
        <f t="array" ref="F192:F192">OFFSET(E192,-1,1)</f>
        <v>1</v>
      </c>
      <c r="G192" s="1412"/>
      <c r="H192" s="461" t="s">
        <v>1949</v>
      </c>
      <c r="I192" s="1412"/>
      <c r="J192" s="1412"/>
      <c r="K192" s="1412"/>
      <c r="L192" s="1412"/>
      <c r="M192" s="1412"/>
      <c r="N192" s="1412"/>
      <c r="O192" s="1412"/>
      <c r="P192" s="1412"/>
      <c r="Q192" s="1412"/>
      <c r="R192" s="1412"/>
      <c r="S192" s="1412"/>
      <c r="T192" s="438" cm="1" t="str">
        <f t="array" ref="T192:T192">T191</f>
        <v>true</v>
      </c>
      <c r="U192" s="1412"/>
      <c r="V192" s="1412"/>
      <c r="W192" s="1412"/>
      <c r="X192" s="1541"/>
      <c r="Y192" s="1412"/>
      <c r="Z192" s="1542"/>
      <c r="AA192" s="1412"/>
      <c r="AB192" s="690" t="s">
        <v>870</v>
      </c>
      <c r="AC192" s="520" t="s">
        <v>1336</v>
      </c>
      <c r="AD192" s="521" t="s">
        <v>789</v>
      </c>
      <c r="AE192" s="1310"/>
      <c r="AF192" s="1395"/>
      <c r="AG192" s="1395"/>
      <c r="AH192" s="1048" t="s">
        <v>1686</v>
      </c>
      <c r="AI192" s="1267"/>
      <c r="AJ192" s="1267"/>
      <c r="AK192" s="1397"/>
      <c r="AL192" s="1397"/>
      <c r="AM192" s="1624"/>
      <c r="AN192" s="1624"/>
      <c r="AO192" s="1624"/>
      <c r="AP192" s="1624"/>
    </row>
    <row s="1624" customFormat="1" customHeight="1" ht="0">
      <c r="A193" s="643"/>
      <c r="B193" s="1412"/>
      <c r="C193" s="1412"/>
      <c r="D193" s="1412"/>
      <c r="E193" s="625">
        <v>15</v>
      </c>
      <c r="F193" s="50" cm="1" t="str">
        <f t="array" ref="F193:F193">OFFSET(E193,-1,1)</f>
        <v>1</v>
      </c>
      <c r="G193" s="1412"/>
      <c r="H193" s="461" t="s">
        <v>1957</v>
      </c>
      <c r="I193" s="1412"/>
      <c r="J193" s="1412"/>
      <c r="K193" s="1412"/>
      <c r="L193" s="1412"/>
      <c r="M193" s="1412"/>
      <c r="N193" s="1412"/>
      <c r="O193" s="1412"/>
      <c r="P193" s="1412"/>
      <c r="Q193" s="1412"/>
      <c r="R193" s="1412"/>
      <c r="S193" s="1412"/>
      <c r="T193" s="438" cm="1" t="str">
        <f t="array" ref="T193:T193">T192</f>
        <v>true</v>
      </c>
      <c r="U193" s="1412"/>
      <c r="V193" s="1412"/>
      <c r="W193" s="1412"/>
      <c r="X193" s="1541"/>
      <c r="Y193" s="1412"/>
      <c r="Z193" s="1542"/>
      <c r="AA193" s="1412"/>
      <c r="AB193" s="690" t="s">
        <v>1384</v>
      </c>
      <c r="AC193" s="520" t="s">
        <v>1346</v>
      </c>
      <c r="AD193" s="521" t="s">
        <v>789</v>
      </c>
      <c r="AE193" s="530">
        <f>AE194+AE195</f>
        <v>0</v>
      </c>
      <c r="AF193" s="1395"/>
      <c r="AG193" s="1395"/>
      <c r="AH193" s="1041" t="s">
        <v>1962</v>
      </c>
      <c r="AI193" s="1267"/>
      <c r="AJ193" s="1267"/>
      <c r="AK193" s="1397"/>
      <c r="AL193" s="1397"/>
      <c r="AM193" s="1624"/>
      <c r="AN193" s="1624"/>
      <c r="AO193" s="1624"/>
      <c r="AP193" s="1624"/>
    </row>
    <row s="1624" customFormat="1" customHeight="1" ht="0">
      <c r="A194" s="643"/>
      <c r="B194" s="1412"/>
      <c r="C194" s="1412"/>
      <c r="D194" s="1412"/>
      <c r="E194" s="625">
        <v>15</v>
      </c>
      <c r="F194" s="50" cm="1" t="str">
        <f t="array" ref="F194:F194">OFFSET(E194,-1,1)</f>
        <v>1</v>
      </c>
      <c r="G194" s="1412"/>
      <c r="H194" s="461" t="s">
        <v>2211</v>
      </c>
      <c r="I194" s="1412"/>
      <c r="J194" s="1412"/>
      <c r="K194" s="1412"/>
      <c r="L194" s="1412"/>
      <c r="M194" s="1412"/>
      <c r="N194" s="1412"/>
      <c r="O194" s="1412"/>
      <c r="P194" s="1412"/>
      <c r="Q194" s="1412"/>
      <c r="R194" s="1412"/>
      <c r="S194" s="1412"/>
      <c r="T194" s="438" cm="1" t="str">
        <f t="array" ref="T194:T194">T193</f>
        <v>true</v>
      </c>
      <c r="U194" s="1412"/>
      <c r="V194" s="1412"/>
      <c r="W194" s="1412"/>
      <c r="X194" s="1541"/>
      <c r="Y194" s="1412"/>
      <c r="Z194" s="1542"/>
      <c r="AA194" s="1412"/>
      <c r="AB194" s="690" t="s">
        <v>1953</v>
      </c>
      <c r="AC194" s="522" t="s">
        <v>2212</v>
      </c>
      <c r="AD194" s="521" t="s">
        <v>789</v>
      </c>
      <c r="AE194" s="1310"/>
      <c r="AF194" s="1395"/>
      <c r="AG194" s="1395"/>
      <c r="AH194" s="1041" t="s">
        <v>1139</v>
      </c>
      <c r="AI194" s="1267"/>
      <c r="AJ194" s="1267"/>
      <c r="AK194" s="1397"/>
      <c r="AL194" s="1397"/>
      <c r="AM194" s="1624"/>
      <c r="AN194" s="1624"/>
      <c r="AO194" s="1624"/>
      <c r="AP194" s="1624"/>
    </row>
    <row s="1624" customFormat="1" customHeight="1" ht="0">
      <c r="A195" s="643"/>
      <c r="B195" s="1412"/>
      <c r="C195" s="1412"/>
      <c r="D195" s="1412"/>
      <c r="E195" s="625">
        <v>22.5</v>
      </c>
      <c r="F195" s="50" cm="1" t="str">
        <f t="array" ref="F195:F195">OFFSET(E195,-1,1)</f>
        <v>1</v>
      </c>
      <c r="G195" s="1412"/>
      <c r="H195" s="461" t="s">
        <v>2213</v>
      </c>
      <c r="I195" s="1412"/>
      <c r="J195" s="1412"/>
      <c r="K195" s="1412"/>
      <c r="L195" s="1412"/>
      <c r="M195" s="1412"/>
      <c r="N195" s="1412"/>
      <c r="O195" s="1412"/>
      <c r="P195" s="1412"/>
      <c r="Q195" s="1412"/>
      <c r="R195" s="1412"/>
      <c r="S195" s="1412"/>
      <c r="T195" s="438" cm="1" t="str">
        <f t="array" ref="T195:T195">T194</f>
        <v>true</v>
      </c>
      <c r="U195" s="1412"/>
      <c r="V195" s="1412"/>
      <c r="W195" s="1412"/>
      <c r="X195" s="1541"/>
      <c r="Y195" s="1412"/>
      <c r="Z195" s="1542"/>
      <c r="AA195" s="1412"/>
      <c r="AB195" s="690" t="s">
        <v>2214</v>
      </c>
      <c r="AC195" s="522" t="s">
        <v>2215</v>
      </c>
      <c r="AD195" s="521" t="s">
        <v>789</v>
      </c>
      <c r="AE195" s="1310"/>
      <c r="AF195" s="1395"/>
      <c r="AG195" s="1395"/>
      <c r="AH195" s="1041" t="s">
        <v>1969</v>
      </c>
      <c r="AI195" s="1267"/>
      <c r="AJ195" s="1267"/>
      <c r="AK195" s="1397"/>
      <c r="AL195" s="1397"/>
      <c r="AM195" s="1624"/>
      <c r="AN195" s="1624"/>
      <c r="AO195" s="1624"/>
      <c r="AP195" s="1624"/>
    </row>
    <row s="1624" customFormat="1" customHeight="1" ht="0">
      <c r="A196" s="643"/>
      <c r="B196" s="1412"/>
      <c r="C196" s="1412"/>
      <c r="D196" s="1412"/>
      <c r="E196" s="625">
        <v>78.75</v>
      </c>
      <c r="F196" s="50" cm="1" t="str">
        <f t="array" ref="F196:F196">OFFSET(E196,-1,1)</f>
        <v>1</v>
      </c>
      <c r="G196" s="1412"/>
      <c r="H196" s="461" t="s">
        <v>1961</v>
      </c>
      <c r="I196" s="1412"/>
      <c r="J196" s="1412"/>
      <c r="K196" s="1412"/>
      <c r="L196" s="1412"/>
      <c r="M196" s="1412"/>
      <c r="N196" s="1412"/>
      <c r="O196" s="1412"/>
      <c r="P196" s="1412"/>
      <c r="Q196" s="1412"/>
      <c r="R196" s="1412"/>
      <c r="S196" s="1412"/>
      <c r="T196" s="438" cm="1" t="str">
        <f t="array" ref="T196:T196">T195</f>
        <v>true</v>
      </c>
      <c r="U196" s="1412"/>
      <c r="V196" s="1412"/>
      <c r="W196" s="1412"/>
      <c r="X196" s="1541"/>
      <c r="Y196" s="1412"/>
      <c r="Z196" s="1542"/>
      <c r="AA196" s="1412"/>
      <c r="AB196" s="690" t="s">
        <v>1389</v>
      </c>
      <c r="AC196" s="1261" t="s">
        <v>1320</v>
      </c>
      <c r="AD196" s="521" t="s">
        <v>789</v>
      </c>
      <c r="AE196" s="1310"/>
      <c r="AF196" s="1395"/>
      <c r="AG196" s="1395"/>
      <c r="AH196" s="1041" t="s">
        <v>1947</v>
      </c>
      <c r="AI196" s="1267"/>
      <c r="AJ196" s="1267"/>
      <c r="AK196" s="1397"/>
      <c r="AL196" s="1397"/>
      <c r="AM196" s="1624"/>
      <c r="AN196" s="1624"/>
      <c r="AO196" s="1624"/>
      <c r="AP196" s="1624"/>
    </row>
    <row s="1353" customFormat="1" customHeight="1" ht="0">
      <c r="A197" s="643"/>
      <c r="B197" s="461"/>
      <c r="C197" s="461"/>
      <c r="D197" s="461"/>
      <c r="E197" s="625">
        <v>15</v>
      </c>
      <c r="F197" s="496" cm="1" t="str">
        <f t="array" ref="F197:F197">OFFSET(E197,-1,1)</f>
        <v>1</v>
      </c>
      <c r="G197" s="461"/>
      <c r="H197" s="461"/>
      <c r="I197" s="461"/>
      <c r="J197" s="461"/>
      <c r="K197" s="461"/>
      <c r="L197" s="461"/>
      <c r="M197" s="461"/>
      <c r="N197" s="461"/>
      <c r="O197" s="461"/>
      <c r="P197" s="461"/>
      <c r="Q197" s="461"/>
      <c r="R197" s="461"/>
      <c r="S197" s="461"/>
      <c r="T197" s="438" cm="1" t="str">
        <f t="array" ref="T197:T197">T196</f>
        <v>true</v>
      </c>
      <c r="U197" s="461"/>
      <c r="V197" s="461"/>
      <c r="W197" s="461"/>
      <c r="X197" s="1541"/>
      <c r="Y197" s="461"/>
      <c r="Z197" s="1542"/>
      <c r="AA197" s="461"/>
      <c r="AB197" s="1248" t="s">
        <v>1958</v>
      </c>
      <c r="AC197" s="1261" t="s">
        <v>942</v>
      </c>
      <c r="AD197" s="1250" t="s">
        <v>789</v>
      </c>
      <c r="AE197" s="531"/>
      <c r="AF197" s="1086"/>
      <c r="AG197" s="1086"/>
      <c r="AH197" s="1041" t="s">
        <v>944</v>
      </c>
      <c r="AI197" s="1035"/>
      <c r="AJ197" s="1035"/>
      <c r="AK197" s="942"/>
      <c r="AL197" s="942"/>
      <c r="AM197" s="1353"/>
      <c r="AN197" s="1353"/>
      <c r="AO197" s="1353"/>
      <c r="AP197" s="1353"/>
    </row>
    <row s="1353" customFormat="1" customHeight="1" ht="0">
      <c r="A198" s="643"/>
      <c r="B198" s="461"/>
      <c r="C198" s="461"/>
      <c r="D198" s="461"/>
      <c r="E198" s="625">
        <v>15</v>
      </c>
      <c r="F198" s="496" cm="1" t="str">
        <f t="array" ref="F198:F198">OFFSET(E198,-1,1)</f>
        <v>1</v>
      </c>
      <c r="G198" s="461"/>
      <c r="H198" s="461"/>
      <c r="I198" s="461"/>
      <c r="J198" s="461"/>
      <c r="K198" s="461"/>
      <c r="L198" s="461"/>
      <c r="M198" s="461"/>
      <c r="N198" s="461"/>
      <c r="O198" s="461"/>
      <c r="P198" s="461"/>
      <c r="Q198" s="461"/>
      <c r="R198" s="461"/>
      <c r="S198" s="461"/>
      <c r="T198" s="438" cm="1" t="str">
        <f t="array" ref="T198:T198">T197</f>
        <v>true</v>
      </c>
      <c r="U198" s="461"/>
      <c r="V198" s="461"/>
      <c r="W198" s="461"/>
      <c r="X198" s="1541"/>
      <c r="Y198" s="461"/>
      <c r="Z198" s="1542"/>
      <c r="AA198" s="461"/>
      <c r="AB198" s="1248" t="s">
        <v>1408</v>
      </c>
      <c r="AC198" s="1261" t="s">
        <v>1331</v>
      </c>
      <c r="AD198" s="1250" t="s">
        <v>789</v>
      </c>
      <c r="AE198" s="531"/>
      <c r="AF198" s="1086"/>
      <c r="AG198" s="1086"/>
      <c r="AH198" s="1041" t="s">
        <v>2216</v>
      </c>
      <c r="AI198" s="1035"/>
      <c r="AJ198" s="1035"/>
      <c r="AK198" s="942"/>
      <c r="AL198" s="942"/>
      <c r="AM198" s="1353"/>
      <c r="AN198" s="1353"/>
      <c r="AO198" s="1353"/>
      <c r="AP198" s="1353"/>
    </row>
    <row s="1624" customFormat="1" customHeight="1" ht="0">
      <c r="A199" s="643"/>
      <c r="B199" s="1412"/>
      <c r="C199" s="1412"/>
      <c r="D199" s="1412"/>
      <c r="E199" s="625">
        <v>15</v>
      </c>
      <c r="F199" s="50" cm="1" t="str">
        <f t="array" ref="F199:F199">OFFSET(E199,-1,1)</f>
        <v>1</v>
      </c>
      <c r="G199" s="1412"/>
      <c r="H199" s="461" t="s">
        <v>2217</v>
      </c>
      <c r="I199" s="1412"/>
      <c r="J199" s="1412"/>
      <c r="K199" s="1412"/>
      <c r="L199" s="1412"/>
      <c r="M199" s="1412"/>
      <c r="N199" s="1412"/>
      <c r="O199" s="1412"/>
      <c r="P199" s="1412"/>
      <c r="Q199" s="1412"/>
      <c r="R199" s="1412"/>
      <c r="S199" s="1412"/>
      <c r="T199" s="438" cm="1" t="str">
        <f t="array" ref="T199:T199">T196</f>
        <v>true</v>
      </c>
      <c r="U199" s="1412"/>
      <c r="V199" s="1412"/>
      <c r="W199" s="1412"/>
      <c r="X199" s="1541"/>
      <c r="Y199" s="1412"/>
      <c r="Z199" s="1542"/>
      <c r="AA199" s="1412"/>
      <c r="AB199" s="690" t="s">
        <v>1412</v>
      </c>
      <c r="AC199" s="520" t="s">
        <v>2218</v>
      </c>
      <c r="AD199" s="521" t="s">
        <v>789</v>
      </c>
      <c r="AE199" s="1310"/>
      <c r="AF199" s="1395"/>
      <c r="AG199" s="1395"/>
      <c r="AH199" s="978" t="s">
        <v>2219</v>
      </c>
      <c r="AI199" s="1267"/>
      <c r="AJ199" s="1267"/>
      <c r="AK199" s="1397"/>
      <c r="AL199" s="1397"/>
      <c r="AM199" s="1624"/>
      <c r="AN199" s="1624"/>
      <c r="AO199" s="1624"/>
      <c r="AP199" s="1624"/>
    </row>
    <row s="1353" customFormat="1" customHeight="1" ht="0">
      <c r="A200" s="643"/>
      <c r="B200" s="461"/>
      <c r="C200" s="461"/>
      <c r="D200" s="461"/>
      <c r="E200" s="625">
        <v>33</v>
      </c>
      <c r="F200" s="496" cm="1" t="str">
        <f t="array" ref="F200:F200">OFFSET(E200,-1,1)</f>
        <v>1</v>
      </c>
      <c r="G200" s="461"/>
      <c r="H200" s="461"/>
      <c r="I200" s="461"/>
      <c r="J200" s="461"/>
      <c r="K200" s="461"/>
      <c r="L200" s="461"/>
      <c r="M200" s="461"/>
      <c r="N200" s="461"/>
      <c r="O200" s="461"/>
      <c r="P200" s="461"/>
      <c r="Q200" s="461"/>
      <c r="R200" s="461"/>
      <c r="S200" s="461"/>
      <c r="T200" s="438" cm="1" t="str">
        <f t="array" ref="T200:T200">T199</f>
        <v>true</v>
      </c>
      <c r="U200" s="461"/>
      <c r="V200" s="461"/>
      <c r="W200" s="461"/>
      <c r="X200" s="1541"/>
      <c r="Y200" s="461"/>
      <c r="Z200" s="1542"/>
      <c r="AA200" s="461"/>
      <c r="AB200" s="1248" t="s">
        <v>1415</v>
      </c>
      <c r="AC200" s="1249" t="s">
        <v>1971</v>
      </c>
      <c r="AD200" s="1250" t="s">
        <v>789</v>
      </c>
      <c r="AE200" s="531"/>
      <c r="AF200" s="1086"/>
      <c r="AG200" s="1086"/>
      <c r="AH200" s="1035" t="s">
        <v>2220</v>
      </c>
      <c r="AI200" s="1035"/>
      <c r="AJ200" s="1035"/>
      <c r="AK200" s="942"/>
      <c r="AL200" s="942"/>
      <c r="AM200" s="1353"/>
      <c r="AN200" s="1353"/>
      <c r="AO200" s="1353"/>
      <c r="AP200" s="1353"/>
    </row>
    <row s="1624" customFormat="1" customHeight="1" ht="0">
      <c r="A201" s="643"/>
      <c r="B201" s="1412"/>
      <c r="C201" s="1412"/>
      <c r="D201" s="1412"/>
      <c r="E201" s="625">
        <v>15</v>
      </c>
      <c r="F201" s="50" cm="1" t="str">
        <f t="array" ref="F201:F201">OFFSET(E201,-1,1)</f>
        <v>1</v>
      </c>
      <c r="G201" s="1412"/>
      <c r="H201" s="461" t="s">
        <v>2221</v>
      </c>
      <c r="I201" s="1412"/>
      <c r="J201" s="1412"/>
      <c r="K201" s="1412"/>
      <c r="L201" s="1412"/>
      <c r="M201" s="1412"/>
      <c r="N201" s="1412"/>
      <c r="O201" s="1412"/>
      <c r="P201" s="1412"/>
      <c r="Q201" s="1412"/>
      <c r="R201" s="1412"/>
      <c r="S201" s="1412"/>
      <c r="T201" s="438" cm="1" t="str">
        <f t="array" ref="T201:T201">T199</f>
        <v>true</v>
      </c>
      <c r="U201" s="1412"/>
      <c r="V201" s="1412"/>
      <c r="W201" s="1412"/>
      <c r="X201" s="1541"/>
      <c r="Y201" s="1412"/>
      <c r="Z201" s="1542"/>
      <c r="AA201" s="1412"/>
      <c r="AB201" s="690" t="s">
        <v>2222</v>
      </c>
      <c r="AC201" s="520" t="s">
        <v>2223</v>
      </c>
      <c r="AD201" s="521" t="s">
        <v>789</v>
      </c>
      <c r="AE201" s="530">
        <f>SUM(AE202:AE203)</f>
        <v>0</v>
      </c>
      <c r="AF201" s="1395"/>
      <c r="AG201" s="1395"/>
      <c r="AH201" s="978" t="s">
        <v>2224</v>
      </c>
      <c r="AI201" s="1267"/>
      <c r="AJ201" s="1267"/>
      <c r="AK201" s="1397"/>
      <c r="AL201" s="1397"/>
      <c r="AM201" s="1624"/>
      <c r="AN201" s="1624"/>
      <c r="AO201" s="1624"/>
      <c r="AP201" s="1624"/>
    </row>
    <row s="1624" customFormat="1" customHeight="1" ht="14.25" hidden="1">
      <c r="A202" s="643"/>
      <c r="B202" s="1412"/>
      <c r="C202" s="1412"/>
      <c r="D202" s="1412"/>
      <c r="E202" s="625">
        <v>15</v>
      </c>
      <c r="F202" s="50" cm="1" t="str">
        <f t="array" ref="F202:F202">OFFSET(E202,-1,1)</f>
        <v>1</v>
      </c>
      <c r="G202" s="1412"/>
      <c r="H202" s="461" t="s">
        <v>2221</v>
      </c>
      <c r="I202" s="536" cm="1" t="str">
        <f t="array" ref="I202:I202">AC202</f>
        <v>0</v>
      </c>
      <c r="J202" s="1412"/>
      <c r="K202" s="1412"/>
      <c r="L202" s="1412"/>
      <c r="M202" s="1412"/>
      <c r="N202" s="1412"/>
      <c r="O202" s="1412"/>
      <c r="P202" s="1412"/>
      <c r="Q202" s="1412"/>
      <c r="R202" s="1412"/>
      <c r="S202" s="1412"/>
      <c r="T202" s="438">
        <f>AND(F202&gt;0,Y202&gt;0)</f>
        <v>0</v>
      </c>
      <c r="U202" s="1412"/>
      <c r="V202" s="1412"/>
      <c r="W202" s="528" t="s">
        <v>172</v>
      </c>
      <c r="X202" s="1541"/>
      <c r="Y202" s="461">
        <v>0</v>
      </c>
      <c r="Z202" s="1542"/>
      <c r="AA202" s="638" t="s">
        <v>173</v>
      </c>
      <c r="AB202" s="690" t="str">
        <f>"2.12."&amp;Y202</f>
        <v>2.12.0</v>
      </c>
      <c r="AC202" s="3969"/>
      <c r="AD202" s="521" t="s">
        <v>789</v>
      </c>
      <c r="AE202" s="3970"/>
      <c r="AF202" s="1395"/>
      <c r="AG202" s="1395"/>
      <c r="AH202" s="978" t="s">
        <v>2224</v>
      </c>
      <c r="AI202" s="978" t="s">
        <v>2225</v>
      </c>
      <c r="AJ202" s="983" cm="1" t="str">
        <f t="array" ref="AJ202:AJ202">AC202</f>
        <v>0</v>
      </c>
      <c r="AK202" s="1397"/>
      <c r="AL202" s="632" t="b">
        <v>1</v>
      </c>
      <c r="AM202" s="1624"/>
      <c r="AN202" s="1624"/>
      <c r="AO202" s="1624"/>
      <c r="AP202" s="1624"/>
    </row>
    <row s="1624" customFormat="1" customHeight="1" ht="14.25">
      <c r="A203" s="643"/>
      <c r="B203" s="1412"/>
      <c r="C203" s="1412"/>
      <c r="D203" s="1412"/>
      <c r="E203" s="625">
        <v>15</v>
      </c>
      <c r="F203" s="50" cm="1" t="str">
        <f t="array" ref="F203:F203">OFFSET(E203,-1,1)</f>
        <v>1</v>
      </c>
      <c r="G203" s="1412"/>
      <c r="H203" s="1412"/>
      <c r="I203" s="124" t="str">
        <f>"!== 'не определено' &amp;&amp; row.l2_13 !== null"</f>
        <v>!== 'не определено' &amp;&amp; row.l2_13 !== null</v>
      </c>
      <c r="J203" s="1412"/>
      <c r="K203" s="1412"/>
      <c r="L203" s="1412"/>
      <c r="M203" s="1412"/>
      <c r="N203" s="1412"/>
      <c r="O203" s="1412"/>
      <c r="P203" s="1412"/>
      <c r="Q203" s="1412"/>
      <c r="R203" s="1412"/>
      <c r="S203" s="1412"/>
      <c r="T203" s="438">
        <f>F203&gt;0</f>
        <v>1</v>
      </c>
      <c r="U203" s="1412"/>
      <c r="V203" s="1412"/>
      <c r="W203" s="805" t="s">
        <v>837</v>
      </c>
      <c r="X203" s="1541"/>
      <c r="Y203" s="1412"/>
      <c r="Z203" s="1542"/>
      <c r="AA203" s="1412"/>
      <c r="AB203" s="1257"/>
      <c r="AC203" s="1312" t="s">
        <v>176</v>
      </c>
      <c r="AD203" s="1259"/>
      <c r="AE203" s="1311"/>
      <c r="AF203" s="1395"/>
      <c r="AG203" s="1395"/>
      <c r="AH203" s="1267"/>
      <c r="AI203" s="1267"/>
      <c r="AJ203" s="1267"/>
      <c r="AK203" s="632" t="s">
        <v>2225</v>
      </c>
      <c r="AL203" s="1397"/>
      <c r="AM203" s="1624"/>
      <c r="AN203" s="1624"/>
      <c r="AO203" s="1624"/>
      <c r="AP203" s="1624"/>
    </row>
    <row s="1624" customFormat="1" customHeight="1" ht="23.83462905883789">
      <c r="A204" s="643"/>
      <c r="B204" s="1412"/>
      <c r="C204" s="1412"/>
      <c r="D204" s="1412"/>
      <c r="E204" s="625">
        <v>15</v>
      </c>
      <c r="F204" s="50" cm="1" t="str">
        <f t="array" ref="F204:F204">OFFSET(E204,-1,1)</f>
        <v>1</v>
      </c>
      <c r="G204" s="461" t="s">
        <v>50</v>
      </c>
      <c r="H204" s="461" t="s">
        <v>323</v>
      </c>
      <c r="I204" s="1412"/>
      <c r="J204" s="1412"/>
      <c r="K204" s="1412"/>
      <c r="L204" s="1412"/>
      <c r="M204" s="1412"/>
      <c r="N204" s="1412"/>
      <c r="O204" s="1412"/>
      <c r="P204" s="1412"/>
      <c r="Q204" s="1412"/>
      <c r="R204" s="1412"/>
      <c r="S204" s="1412"/>
      <c r="T204" s="438" cm="1" t="str">
        <f t="array" ref="T204:T204">T203</f>
        <v>true</v>
      </c>
      <c r="U204" s="1412"/>
      <c r="V204" s="1412"/>
      <c r="W204" s="1412"/>
      <c r="X204" s="1541"/>
      <c r="Y204" s="1412"/>
      <c r="Z204" s="1542"/>
      <c r="AA204" s="1412"/>
      <c r="AB204" s="689" t="s">
        <v>319</v>
      </c>
      <c r="AC204" s="518" t="s">
        <v>1974</v>
      </c>
      <c r="AD204" s="519" t="s">
        <v>789</v>
      </c>
      <c r="AE204" s="1313">
        <v>0</v>
      </c>
      <c r="AF204" s="1395"/>
      <c r="AG204" s="1395"/>
      <c r="AH204" s="978" t="s">
        <v>1580</v>
      </c>
      <c r="AI204" s="1267"/>
      <c r="AJ204" s="1267"/>
      <c r="AK204" s="1397"/>
      <c r="AL204" s="1397"/>
      <c r="AM204" s="1624"/>
      <c r="AN204" s="1624"/>
      <c r="AO204" s="1624"/>
      <c r="AP204" s="1624"/>
    </row>
    <row customHeight="1" ht="10.96875">
      <c r="E205" s="625">
        <v>11.25</v>
      </c>
      <c r="U205" s="461" t="s">
        <v>176</v>
      </c>
      <c r="V205" s="1262" t="s">
        <v>2226</v>
      </c>
      <c r="AB205" s="1263"/>
      <c r="AC205" s="1264"/>
      <c r="AD205" s="1265"/>
      <c r="AE205" s="1314"/>
      <c r="AF205" s="455"/>
    </row>
    <row s="1282" customFormat="1" customHeight="1" ht="14.625">
      <c r="A206" s="1315"/>
      <c r="E206" s="1316">
        <v>15</v>
      </c>
      <c r="F206" s="1317"/>
      <c r="G206" s="1317"/>
      <c r="AB206" s="1522" t="s">
        <v>392</v>
      </c>
      <c r="AC206" s="1522"/>
      <c r="AD206" s="1522"/>
      <c r="AE206" s="1543"/>
      <c r="AF206" s="1266"/>
      <c r="AG206" s="1266"/>
      <c r="AH206" s="1267"/>
      <c r="AI206" s="1267"/>
      <c r="AJ206" s="1267"/>
      <c r="AK206" s="1268"/>
      <c r="AL206" s="1268"/>
      <c r="AM206" s="51"/>
      <c r="AN206" s="51"/>
      <c r="AO206" s="51"/>
      <c r="AP206" s="51"/>
    </row>
    <row s="1282" customFormat="1" customHeight="1" ht="34.45962905883789">
      <c r="A207" s="1315"/>
      <c r="E207" s="813">
        <v>15</v>
      </c>
      <c r="F207" s="1317"/>
      <c r="G207" s="1317"/>
      <c r="AB207" s="1544" t="s">
        <v>2227</v>
      </c>
      <c r="AC207" s="1544"/>
      <c r="AD207" s="1544"/>
      <c r="AE207" s="1545"/>
      <c r="AF207" s="1266"/>
      <c r="AG207" s="1266"/>
      <c r="AH207" s="1267"/>
      <c r="AI207" s="1267"/>
      <c r="AJ207" s="1267"/>
      <c r="AK207" s="1268"/>
      <c r="AL207" s="1268"/>
      <c r="AM207" s="51"/>
      <c r="AN207" s="51"/>
      <c r="AO207" s="51"/>
      <c r="AP207" s="51"/>
    </row>
    <row s="1282" customFormat="1" customHeight="1" ht="14.625" hidden="1">
      <c r="A208" s="1315"/>
      <c r="B208" s="1282"/>
      <c r="C208" s="1282"/>
      <c r="D208" s="1282"/>
      <c r="E208" s="687">
        <v>15</v>
      </c>
      <c r="F208" s="1282"/>
      <c r="G208" s="1282"/>
      <c r="H208" s="1282"/>
      <c r="I208" s="1282"/>
      <c r="J208" s="1282"/>
      <c r="K208" s="1282"/>
      <c r="L208" s="1282"/>
      <c r="M208" s="1282"/>
      <c r="N208" s="1282"/>
      <c r="O208" s="1282"/>
      <c r="P208" s="1282"/>
      <c r="Q208" s="1282"/>
      <c r="R208" s="1282"/>
      <c r="S208" s="1282"/>
      <c r="T208" s="438">
        <f>ROW(W208)&gt;ROW(W$208)</f>
        <v>0</v>
      </c>
      <c r="U208" s="1282"/>
      <c r="V208" s="1282"/>
      <c r="W208" s="528" t="s">
        <v>172</v>
      </c>
      <c r="X208" s="1282"/>
      <c r="Y208" s="1282"/>
      <c r="Z208" s="1282"/>
      <c r="AA208" s="1269" t="s">
        <v>173</v>
      </c>
      <c r="AB208" s="2299"/>
      <c r="AC208" s="2298"/>
      <c r="AD208" s="2298"/>
      <c r="AE208" s="2300"/>
      <c r="AF208" s="1266"/>
      <c r="AG208" s="1266"/>
      <c r="AH208" s="1267"/>
      <c r="AI208" s="1267"/>
      <c r="AJ208" s="1267"/>
      <c r="AK208" s="1268"/>
      <c r="AL208" s="1268"/>
      <c r="AM208" s="51"/>
      <c r="AN208" s="51"/>
      <c r="AO208" s="51"/>
      <c r="AP208" s="51"/>
    </row>
    <row s="4005" customFormat="1" customHeight="1" ht="26.95962905883789">
      <c r="A209" s="1315"/>
      <c r="B209" s="1282"/>
      <c r="C209" s="1282"/>
      <c r="D209" s="1282"/>
      <c r="E209" s="687">
        <v>15</v>
      </c>
      <c r="F209" s="1282"/>
      <c r="G209" s="1282"/>
      <c r="H209" s="1282"/>
      <c r="I209" s="1282"/>
      <c r="J209" s="1282"/>
      <c r="K209" s="1282"/>
      <c r="L209" s="1282"/>
      <c r="M209" s="1282"/>
      <c r="N209" s="1282"/>
      <c r="O209" s="1282"/>
      <c r="P209" s="1282"/>
      <c r="Q209" s="1282"/>
      <c r="R209" s="1282"/>
      <c r="S209" s="1282"/>
      <c r="T209" s="438">
        <f>ROW(W209)&gt;ROW(W$208)</f>
        <v>1</v>
      </c>
      <c r="U209" s="1282"/>
      <c r="V209" s="1282"/>
      <c r="W209" s="528"/>
      <c r="X209" s="1282"/>
      <c r="Y209" s="1282" t="s">
        <v>228</v>
      </c>
      <c r="Z209" s="1282"/>
      <c r="AA209" s="1269" t="s">
        <v>173</v>
      </c>
      <c r="AB209" s="1547" t="s">
        <v>2228</v>
      </c>
      <c r="AC209" s="1548"/>
      <c r="AD209" s="1548"/>
      <c r="AE209" s="1549"/>
      <c r="AF209" s="1266"/>
      <c r="AG209" s="1266"/>
      <c r="AH209" s="1267"/>
      <c r="AI209" s="1267"/>
      <c r="AJ209" s="1267"/>
      <c r="AK209" s="1268"/>
      <c r="AL209" s="1268"/>
      <c r="AM209" s="51"/>
      <c r="AN209" s="51"/>
      <c r="AO209" s="51"/>
      <c r="AP209" s="51"/>
    </row>
    <row s="4006" customFormat="1" customHeight="1" ht="43.83462905883789">
      <c r="A210" s="1315"/>
      <c r="B210" s="1282"/>
      <c r="C210" s="1282"/>
      <c r="D210" s="1282"/>
      <c r="E210" s="687">
        <v>15</v>
      </c>
      <c r="F210" s="1282"/>
      <c r="G210" s="1282"/>
      <c r="H210" s="1282"/>
      <c r="I210" s="1282"/>
      <c r="J210" s="1282"/>
      <c r="K210" s="1282"/>
      <c r="L210" s="1282"/>
      <c r="M210" s="1282"/>
      <c r="N210" s="1282"/>
      <c r="O210" s="1282"/>
      <c r="P210" s="1282"/>
      <c r="Q210" s="1282"/>
      <c r="R210" s="1282"/>
      <c r="S210" s="1282"/>
      <c r="T210" s="438">
        <f>ROW(W210)&gt;ROW(W$208)</f>
        <v>1</v>
      </c>
      <c r="U210" s="1282"/>
      <c r="V210" s="1282"/>
      <c r="W210" s="528"/>
      <c r="X210" s="1282"/>
      <c r="Y210" s="1282" t="s">
        <v>228</v>
      </c>
      <c r="Z210" s="1282"/>
      <c r="AA210" s="1269" t="s">
        <v>173</v>
      </c>
      <c r="AB210" s="1547" t="s">
        <v>2229</v>
      </c>
      <c r="AC210" s="1548"/>
      <c r="AD210" s="1548"/>
      <c r="AE210" s="1549"/>
      <c r="AF210" s="1266"/>
      <c r="AG210" s="1266"/>
      <c r="AH210" s="1267"/>
      <c r="AI210" s="1267"/>
      <c r="AJ210" s="1267"/>
      <c r="AK210" s="1268"/>
      <c r="AL210" s="1268"/>
      <c r="AM210" s="51"/>
      <c r="AN210" s="51"/>
      <c r="AO210" s="51"/>
      <c r="AP210" s="51"/>
    </row>
    <row s="4007" customFormat="1" customHeight="1" ht="56.33462905883789">
      <c r="A211" s="1315"/>
      <c r="B211" s="1282"/>
      <c r="C211" s="1282"/>
      <c r="D211" s="1282"/>
      <c r="E211" s="687">
        <v>15</v>
      </c>
      <c r="F211" s="1282"/>
      <c r="G211" s="1282"/>
      <c r="H211" s="1282"/>
      <c r="I211" s="1282"/>
      <c r="J211" s="1282"/>
      <c r="K211" s="1282"/>
      <c r="L211" s="1282"/>
      <c r="M211" s="1282"/>
      <c r="N211" s="1282"/>
      <c r="O211" s="1282"/>
      <c r="P211" s="1282"/>
      <c r="Q211" s="1282"/>
      <c r="R211" s="1282"/>
      <c r="S211" s="1282"/>
      <c r="T211" s="438">
        <f>ROW(W211)&gt;ROW(W$208)</f>
        <v>1</v>
      </c>
      <c r="U211" s="1282"/>
      <c r="V211" s="1282"/>
      <c r="W211" s="528"/>
      <c r="X211" s="1282"/>
      <c r="Y211" s="1282" t="s">
        <v>228</v>
      </c>
      <c r="Z211" s="1282"/>
      <c r="AA211" s="1269" t="s">
        <v>173</v>
      </c>
      <c r="AB211" s="1547" t="s">
        <v>2230</v>
      </c>
      <c r="AC211" s="1548"/>
      <c r="AD211" s="1548"/>
      <c r="AE211" s="1549"/>
      <c r="AF211" s="1266"/>
      <c r="AG211" s="1266"/>
      <c r="AH211" s="1267"/>
      <c r="AI211" s="1267"/>
      <c r="AJ211" s="1267"/>
      <c r="AK211" s="1268"/>
      <c r="AL211" s="1268"/>
      <c r="AM211" s="51"/>
      <c r="AN211" s="51"/>
      <c r="AO211" s="51"/>
      <c r="AP211" s="51"/>
    </row>
    <row s="4008" customFormat="1" customHeight="1" ht="33.83462905883789">
      <c r="A212" s="1315"/>
      <c r="B212" s="1282"/>
      <c r="C212" s="1282"/>
      <c r="D212" s="1282"/>
      <c r="E212" s="687">
        <v>15</v>
      </c>
      <c r="F212" s="1282"/>
      <c r="G212" s="1282"/>
      <c r="H212" s="1282"/>
      <c r="I212" s="1282"/>
      <c r="J212" s="1282"/>
      <c r="K212" s="1282"/>
      <c r="L212" s="1282"/>
      <c r="M212" s="1282"/>
      <c r="N212" s="1282"/>
      <c r="O212" s="1282"/>
      <c r="P212" s="1282"/>
      <c r="Q212" s="1282"/>
      <c r="R212" s="1282"/>
      <c r="S212" s="1282"/>
      <c r="T212" s="438">
        <f>ROW(W212)&gt;ROW(W$208)</f>
        <v>1</v>
      </c>
      <c r="U212" s="1282"/>
      <c r="V212" s="1282"/>
      <c r="W212" s="528"/>
      <c r="X212" s="1282"/>
      <c r="Y212" s="1282" t="s">
        <v>228</v>
      </c>
      <c r="Z212" s="1282"/>
      <c r="AA212" s="1269" t="s">
        <v>173</v>
      </c>
      <c r="AB212" s="1547" t="s">
        <v>2231</v>
      </c>
      <c r="AC212" s="1548"/>
      <c r="AD212" s="1548"/>
      <c r="AE212" s="1549"/>
      <c r="AF212" s="1266"/>
      <c r="AG212" s="1266"/>
      <c r="AH212" s="1267"/>
      <c r="AI212" s="1267"/>
      <c r="AJ212" s="1267"/>
      <c r="AK212" s="1268"/>
      <c r="AL212" s="1268"/>
      <c r="AM212" s="51"/>
      <c r="AN212" s="51"/>
      <c r="AO212" s="51"/>
      <c r="AP212" s="51"/>
    </row>
    <row s="4009" customFormat="1" customHeight="1" ht="48.83462905883789">
      <c r="A213" s="1315"/>
      <c r="B213" s="1282"/>
      <c r="C213" s="1282"/>
      <c r="D213" s="1282"/>
      <c r="E213" s="687">
        <v>15</v>
      </c>
      <c r="F213" s="1282"/>
      <c r="G213" s="1282"/>
      <c r="H213" s="1282"/>
      <c r="I213" s="1282"/>
      <c r="J213" s="1282"/>
      <c r="K213" s="1282"/>
      <c r="L213" s="1282"/>
      <c r="M213" s="1282"/>
      <c r="N213" s="1282"/>
      <c r="O213" s="1282"/>
      <c r="P213" s="1282"/>
      <c r="Q213" s="1282"/>
      <c r="R213" s="1282"/>
      <c r="S213" s="1282"/>
      <c r="T213" s="438">
        <f>ROW(W213)&gt;ROW(W$208)</f>
        <v>1</v>
      </c>
      <c r="U213" s="1282"/>
      <c r="V213" s="1282"/>
      <c r="W213" s="528"/>
      <c r="X213" s="1282"/>
      <c r="Y213" s="1282" t="s">
        <v>228</v>
      </c>
      <c r="Z213" s="1282"/>
      <c r="AA213" s="1269" t="s">
        <v>173</v>
      </c>
      <c r="AB213" s="1547" t="s">
        <v>2232</v>
      </c>
      <c r="AC213" s="1548"/>
      <c r="AD213" s="1548"/>
      <c r="AE213" s="1549"/>
      <c r="AF213" s="1266"/>
      <c r="AG213" s="1266"/>
      <c r="AH213" s="1267"/>
      <c r="AI213" s="1267"/>
      <c r="AJ213" s="1267"/>
      <c r="AK213" s="1268"/>
      <c r="AL213" s="1268"/>
      <c r="AM213" s="51"/>
      <c r="AN213" s="51"/>
      <c r="AO213" s="51"/>
      <c r="AP213" s="51"/>
    </row>
    <row s="4010" customFormat="1" customHeight="1" ht="22.58462905883789">
      <c r="A214" s="1315"/>
      <c r="B214" s="1282"/>
      <c r="C214" s="1282"/>
      <c r="D214" s="1282"/>
      <c r="E214" s="687">
        <v>15</v>
      </c>
      <c r="F214" s="1282"/>
      <c r="G214" s="1282"/>
      <c r="H214" s="1282"/>
      <c r="I214" s="1282"/>
      <c r="J214" s="1282"/>
      <c r="K214" s="1282"/>
      <c r="L214" s="1282"/>
      <c r="M214" s="1282"/>
      <c r="N214" s="1282"/>
      <c r="O214" s="1282"/>
      <c r="P214" s="1282"/>
      <c r="Q214" s="1282"/>
      <c r="R214" s="1282"/>
      <c r="S214" s="1282"/>
      <c r="T214" s="438">
        <f>ROW(W214)&gt;ROW(W$208)</f>
        <v>1</v>
      </c>
      <c r="U214" s="1282"/>
      <c r="V214" s="1282"/>
      <c r="W214" s="528"/>
      <c r="X214" s="1282"/>
      <c r="Y214" s="1282" t="s">
        <v>228</v>
      </c>
      <c r="Z214" s="1282"/>
      <c r="AA214" s="1269" t="s">
        <v>173</v>
      </c>
      <c r="AB214" s="1547" t="s">
        <v>2233</v>
      </c>
      <c r="AC214" s="1548"/>
      <c r="AD214" s="1548"/>
      <c r="AE214" s="1549"/>
      <c r="AF214" s="1266"/>
      <c r="AG214" s="1266"/>
      <c r="AH214" s="1267"/>
      <c r="AI214" s="1267"/>
      <c r="AJ214" s="1267"/>
      <c r="AK214" s="1268"/>
      <c r="AL214" s="1268"/>
      <c r="AM214" s="51"/>
      <c r="AN214" s="51"/>
      <c r="AO214" s="51"/>
      <c r="AP214" s="51"/>
    </row>
    <row s="4011" customFormat="1" customHeight="1" ht="41.95962905883789">
      <c r="A215" s="1315"/>
      <c r="B215" s="1282"/>
      <c r="C215" s="1282"/>
      <c r="D215" s="1282"/>
      <c r="E215" s="687">
        <v>15</v>
      </c>
      <c r="F215" s="1282"/>
      <c r="G215" s="1282"/>
      <c r="H215" s="1282"/>
      <c r="I215" s="1282"/>
      <c r="J215" s="1282"/>
      <c r="K215" s="1282"/>
      <c r="L215" s="1282"/>
      <c r="M215" s="1282"/>
      <c r="N215" s="1282"/>
      <c r="O215" s="1282"/>
      <c r="P215" s="1282"/>
      <c r="Q215" s="1282"/>
      <c r="R215" s="1282"/>
      <c r="S215" s="1282"/>
      <c r="T215" s="438">
        <f>ROW(W215)&gt;ROW(W$208)</f>
        <v>1</v>
      </c>
      <c r="U215" s="1282"/>
      <c r="V215" s="1282"/>
      <c r="W215" s="528"/>
      <c r="X215" s="1282"/>
      <c r="Y215" s="1282" t="s">
        <v>228</v>
      </c>
      <c r="Z215" s="1282"/>
      <c r="AA215" s="1269" t="s">
        <v>173</v>
      </c>
      <c r="AB215" s="1547" t="s">
        <v>2234</v>
      </c>
      <c r="AC215" s="1548"/>
      <c r="AD215" s="1548"/>
      <c r="AE215" s="1549"/>
      <c r="AF215" s="1266"/>
      <c r="AG215" s="1266"/>
      <c r="AH215" s="1267"/>
      <c r="AI215" s="1267"/>
      <c r="AJ215" s="1267"/>
      <c r="AK215" s="1268"/>
      <c r="AL215" s="1268"/>
      <c r="AM215" s="51"/>
      <c r="AN215" s="51"/>
      <c r="AO215" s="51"/>
      <c r="AP215" s="51"/>
    </row>
    <row s="4012" customFormat="1" customHeight="1" ht="41.33462905883789">
      <c r="A216" s="1315"/>
      <c r="B216" s="1282"/>
      <c r="C216" s="1282"/>
      <c r="D216" s="1282"/>
      <c r="E216" s="687">
        <v>15</v>
      </c>
      <c r="F216" s="1282"/>
      <c r="G216" s="1282"/>
      <c r="H216" s="1282"/>
      <c r="I216" s="1282"/>
      <c r="J216" s="1282"/>
      <c r="K216" s="1282"/>
      <c r="L216" s="1282"/>
      <c r="M216" s="1282"/>
      <c r="N216" s="1282"/>
      <c r="O216" s="1282"/>
      <c r="P216" s="1282"/>
      <c r="Q216" s="1282"/>
      <c r="R216" s="1282"/>
      <c r="S216" s="1282"/>
      <c r="T216" s="438">
        <f>ROW(W216)&gt;ROW(W$208)</f>
        <v>1</v>
      </c>
      <c r="U216" s="1282"/>
      <c r="V216" s="1282"/>
      <c r="W216" s="528"/>
      <c r="X216" s="1282"/>
      <c r="Y216" s="1282" t="s">
        <v>228</v>
      </c>
      <c r="Z216" s="1282"/>
      <c r="AA216" s="1269" t="s">
        <v>173</v>
      </c>
      <c r="AB216" s="1547" t="s">
        <v>2235</v>
      </c>
      <c r="AC216" s="1548"/>
      <c r="AD216" s="1548"/>
      <c r="AE216" s="1549"/>
      <c r="AF216" s="1266"/>
      <c r="AG216" s="1266"/>
      <c r="AH216" s="1267"/>
      <c r="AI216" s="1267"/>
      <c r="AJ216" s="1267"/>
      <c r="AK216" s="1268"/>
      <c r="AL216" s="1268"/>
      <c r="AM216" s="51"/>
      <c r="AN216" s="51"/>
      <c r="AO216" s="51"/>
      <c r="AP216" s="51"/>
    </row>
    <row s="4013" customFormat="1" customHeight="1" ht="30.08462905883789">
      <c r="A217" s="1315"/>
      <c r="B217" s="1282"/>
      <c r="C217" s="1282"/>
      <c r="D217" s="1282"/>
      <c r="E217" s="687">
        <v>15</v>
      </c>
      <c r="F217" s="1282"/>
      <c r="G217" s="1282"/>
      <c r="H217" s="1282"/>
      <c r="I217" s="1282"/>
      <c r="J217" s="1282"/>
      <c r="K217" s="1282"/>
      <c r="L217" s="1282"/>
      <c r="M217" s="1282"/>
      <c r="N217" s="1282"/>
      <c r="O217" s="1282"/>
      <c r="P217" s="1282"/>
      <c r="Q217" s="1282"/>
      <c r="R217" s="1282"/>
      <c r="S217" s="1282"/>
      <c r="T217" s="438">
        <f>ROW(W217)&gt;ROW(W$208)</f>
        <v>1</v>
      </c>
      <c r="U217" s="1282"/>
      <c r="V217" s="1282"/>
      <c r="W217" s="528"/>
      <c r="X217" s="1282"/>
      <c r="Y217" s="1282" t="s">
        <v>228</v>
      </c>
      <c r="Z217" s="1282"/>
      <c r="AA217" s="1269" t="s">
        <v>173</v>
      </c>
      <c r="AB217" s="1547" t="s">
        <v>2236</v>
      </c>
      <c r="AC217" s="1548"/>
      <c r="AD217" s="1548"/>
      <c r="AE217" s="1549"/>
      <c r="AF217" s="1266"/>
      <c r="AG217" s="1266"/>
      <c r="AH217" s="1267"/>
      <c r="AI217" s="1267"/>
      <c r="AJ217" s="1267"/>
      <c r="AK217" s="1268"/>
      <c r="AL217" s="1268"/>
      <c r="AM217" s="51"/>
      <c r="AN217" s="51"/>
      <c r="AO217" s="51"/>
      <c r="AP217" s="51"/>
    </row>
    <row s="4014" customFormat="1" customHeight="1" ht="30.08462905883789">
      <c r="A218" s="1315"/>
      <c r="B218" s="1282"/>
      <c r="C218" s="1282"/>
      <c r="D218" s="1282"/>
      <c r="E218" s="687">
        <v>15</v>
      </c>
      <c r="F218" s="1282"/>
      <c r="G218" s="1282"/>
      <c r="H218" s="1282"/>
      <c r="I218" s="1282"/>
      <c r="J218" s="1282"/>
      <c r="K218" s="1282"/>
      <c r="L218" s="1282"/>
      <c r="M218" s="1282"/>
      <c r="N218" s="1282"/>
      <c r="O218" s="1282"/>
      <c r="P218" s="1282"/>
      <c r="Q218" s="1282"/>
      <c r="R218" s="1282"/>
      <c r="S218" s="1282"/>
      <c r="T218" s="438">
        <f>ROW(W218)&gt;ROW(W$208)</f>
        <v>1</v>
      </c>
      <c r="U218" s="1282"/>
      <c r="V218" s="1282"/>
      <c r="W218" s="528"/>
      <c r="X218" s="1282"/>
      <c r="Y218" s="1282" t="s">
        <v>228</v>
      </c>
      <c r="Z218" s="1282"/>
      <c r="AA218" s="1269" t="s">
        <v>173</v>
      </c>
      <c r="AB218" s="1547" t="s">
        <v>2237</v>
      </c>
      <c r="AC218" s="1548"/>
      <c r="AD218" s="1548"/>
      <c r="AE218" s="1549"/>
      <c r="AF218" s="1266"/>
      <c r="AG218" s="1266"/>
      <c r="AH218" s="1267"/>
      <c r="AI218" s="1267"/>
      <c r="AJ218" s="1267"/>
      <c r="AK218" s="1268"/>
      <c r="AL218" s="1268"/>
      <c r="AM218" s="51"/>
      <c r="AN218" s="51"/>
      <c r="AO218" s="51"/>
      <c r="AP218" s="51"/>
    </row>
    <row s="1282" customFormat="1" customHeight="1" ht="14.625">
      <c r="A219" s="1315"/>
      <c r="E219" s="687">
        <v>15</v>
      </c>
      <c r="W219" s="805" t="s">
        <v>396</v>
      </c>
      <c r="AB219" s="1318"/>
      <c r="AC219" s="1319" t="s">
        <v>397</v>
      </c>
      <c r="AD219" s="1320"/>
      <c r="AE219" s="1321"/>
      <c r="AF219" s="1266"/>
      <c r="AG219" s="1266"/>
      <c r="AH219" s="1267"/>
      <c r="AI219" s="1267"/>
      <c r="AJ219" s="1267"/>
      <c r="AK219" s="1268"/>
      <c r="AL219" s="1268"/>
      <c r="AM219" s="51"/>
      <c r="AN219" s="51"/>
      <c r="AO219" s="51"/>
      <c r="AP219" s="51"/>
    </row>
    <row customHeight="1" ht="10.96875">
      <c r="E220" s="625">
        <v>11.25</v>
      </c>
      <c r="AC220" s="511"/>
      <c r="AF220" s="387"/>
    </row>
    <row customHeight="1" ht="11.25" hidden="1">
      <c r="A221" s="387"/>
      <c r="B221" s="387"/>
      <c r="C221" s="387"/>
      <c r="D221" s="387"/>
      <c r="E221" s="632"/>
      <c r="F221" s="387"/>
      <c r="G221" s="387"/>
      <c r="H221" s="387"/>
      <c r="I221" s="387"/>
      <c r="J221" s="387"/>
      <c r="K221" s="387"/>
      <c r="L221" s="387"/>
      <c r="M221" s="387"/>
      <c r="N221" s="387"/>
      <c r="O221" s="387"/>
      <c r="P221" s="387"/>
      <c r="Q221" s="387"/>
      <c r="R221" s="387"/>
      <c r="S221" s="387"/>
      <c r="T221" s="387"/>
      <c r="U221" s="387"/>
      <c r="V221" s="387"/>
      <c r="W221" s="387"/>
      <c r="X221" s="387"/>
      <c r="Y221" s="387"/>
      <c r="Z221" s="387"/>
      <c r="AA221" s="387"/>
      <c r="AB221" s="387"/>
      <c r="AF221" s="387"/>
      <c r="AG221" s="387"/>
      <c r="AH221" s="978"/>
      <c r="AI221" s="978"/>
      <c r="AJ221" s="978"/>
      <c r="AK221" s="632"/>
      <c r="AL221" s="632"/>
    </row>
    <row customHeight="1" ht="11.25" hidden="1">
      <c r="A222" s="387"/>
      <c r="B222" s="387"/>
      <c r="C222" s="387"/>
      <c r="D222" s="387"/>
      <c r="E222" s="632"/>
      <c r="F222" s="387"/>
      <c r="G222" s="387"/>
      <c r="H222" s="387"/>
      <c r="I222" s="387"/>
      <c r="J222" s="387"/>
      <c r="K222" s="387"/>
      <c r="L222" s="387"/>
      <c r="M222" s="387"/>
      <c r="N222" s="387"/>
      <c r="O222" s="387"/>
      <c r="P222" s="387"/>
      <c r="Q222" s="387"/>
      <c r="R222" s="387"/>
      <c r="S222" s="387"/>
      <c r="T222" s="387"/>
      <c r="U222" s="387"/>
      <c r="V222" s="387"/>
      <c r="W222" s="387"/>
      <c r="X222" s="387"/>
      <c r="Y222" s="387"/>
      <c r="Z222" s="387"/>
      <c r="AA222" s="387"/>
      <c r="AB222" s="387"/>
      <c r="AF222" s="387"/>
      <c r="AG222" s="387"/>
      <c r="AH222" s="978"/>
      <c r="AI222" s="978"/>
      <c r="AJ222" s="978"/>
      <c r="AK222" s="632"/>
      <c r="AL222" s="632"/>
    </row>
    <row customHeight="1" ht="11.25" hidden="1">
      <c r="A223" s="387"/>
      <c r="B223" s="387"/>
      <c r="C223" s="387"/>
      <c r="D223" s="387"/>
      <c r="E223" s="632"/>
      <c r="F223" s="387"/>
      <c r="G223" s="387"/>
      <c r="H223" s="387"/>
      <c r="I223" s="387"/>
      <c r="J223" s="387"/>
      <c r="K223" s="387"/>
      <c r="L223" s="387"/>
      <c r="M223" s="387"/>
      <c r="N223" s="387"/>
      <c r="O223" s="387"/>
      <c r="P223" s="387"/>
      <c r="Q223" s="387"/>
      <c r="R223" s="387"/>
      <c r="S223" s="387"/>
      <c r="T223" s="387"/>
      <c r="U223" s="387"/>
      <c r="V223" s="387"/>
      <c r="W223" s="387"/>
      <c r="X223" s="387"/>
      <c r="Y223" s="387"/>
      <c r="Z223" s="387"/>
      <c r="AA223" s="387"/>
      <c r="AB223" s="387"/>
      <c r="AF223" s="387"/>
      <c r="AG223" s="387"/>
      <c r="AH223" s="978"/>
      <c r="AI223" s="978"/>
      <c r="AJ223" s="978"/>
      <c r="AK223" s="632"/>
      <c r="AL223" s="632"/>
    </row>
    <row customHeight="1" ht="11.25" hidden="1">
      <c r="A224" s="387"/>
      <c r="B224" s="387"/>
      <c r="C224" s="387"/>
      <c r="D224" s="387"/>
      <c r="E224" s="632"/>
      <c r="F224" s="387"/>
      <c r="G224" s="387"/>
      <c r="H224" s="387"/>
      <c r="I224" s="387"/>
      <c r="J224" s="387"/>
      <c r="K224" s="387"/>
      <c r="L224" s="387"/>
      <c r="M224" s="387"/>
      <c r="N224" s="387"/>
      <c r="O224" s="387"/>
      <c r="P224" s="387"/>
      <c r="Q224" s="387"/>
      <c r="R224" s="387"/>
      <c r="S224" s="387"/>
      <c r="T224" s="387"/>
      <c r="U224" s="387"/>
      <c r="V224" s="387"/>
      <c r="W224" s="387"/>
      <c r="X224" s="387"/>
      <c r="Y224" s="387"/>
      <c r="Z224" s="387"/>
      <c r="AA224" s="387"/>
      <c r="AB224" s="387"/>
      <c r="AF224" s="387"/>
      <c r="AG224" s="387"/>
      <c r="AH224" s="978"/>
      <c r="AI224" s="978"/>
      <c r="AJ224" s="978"/>
      <c r="AK224" s="632"/>
      <c r="AL224" s="632"/>
    </row>
    <row customHeight="1" ht="11.25" hidden="1">
      <c r="A225" s="387"/>
      <c r="B225" s="387"/>
      <c r="C225" s="387"/>
      <c r="D225" s="387"/>
      <c r="E225" s="632"/>
      <c r="F225" s="387"/>
      <c r="G225" s="387"/>
      <c r="H225" s="387"/>
      <c r="I225" s="387"/>
      <c r="J225" s="387"/>
      <c r="K225" s="387"/>
      <c r="L225" s="387"/>
      <c r="M225" s="387"/>
      <c r="N225" s="387"/>
      <c r="O225" s="387"/>
      <c r="P225" s="387"/>
      <c r="Q225" s="387"/>
      <c r="R225" s="387"/>
      <c r="S225" s="387"/>
      <c r="T225" s="387"/>
      <c r="U225" s="387"/>
      <c r="V225" s="387"/>
      <c r="W225" s="387"/>
      <c r="X225" s="387"/>
      <c r="Y225" s="387"/>
      <c r="Z225" s="387"/>
      <c r="AA225" s="387"/>
      <c r="AB225" s="387"/>
      <c r="AF225" s="387"/>
      <c r="AG225" s="387"/>
      <c r="AH225" s="978"/>
      <c r="AI225" s="978"/>
      <c r="AJ225" s="978"/>
      <c r="AK225" s="632"/>
      <c r="AL225" s="632"/>
    </row>
    <row customHeight="1" ht="11.25" hidden="1">
      <c r="A226" s="387"/>
      <c r="B226" s="387"/>
      <c r="C226" s="387"/>
      <c r="D226" s="387"/>
      <c r="E226" s="632"/>
      <c r="F226" s="387"/>
      <c r="G226" s="387"/>
      <c r="H226" s="387"/>
      <c r="I226" s="387"/>
      <c r="J226" s="387"/>
      <c r="K226" s="387"/>
      <c r="L226" s="387"/>
      <c r="M226" s="387"/>
      <c r="N226" s="387"/>
      <c r="O226" s="387"/>
      <c r="P226" s="387"/>
      <c r="Q226" s="387"/>
      <c r="R226" s="387"/>
      <c r="S226" s="387"/>
      <c r="T226" s="387"/>
      <c r="U226" s="387"/>
      <c r="V226" s="387"/>
      <c r="W226" s="387"/>
      <c r="X226" s="387"/>
      <c r="Y226" s="387"/>
      <c r="Z226" s="387"/>
      <c r="AA226" s="387"/>
      <c r="AB226" s="387"/>
      <c r="AF226" s="387"/>
      <c r="AG226" s="387"/>
      <c r="AH226" s="978"/>
      <c r="AI226" s="978"/>
      <c r="AJ226" s="978"/>
      <c r="AK226" s="632"/>
      <c r="AL226" s="632"/>
    </row>
    <row customHeight="1" ht="11.25" hidden="1">
      <c r="A227" s="387"/>
      <c r="B227" s="387"/>
      <c r="C227" s="387"/>
      <c r="D227" s="387"/>
      <c r="E227" s="632"/>
      <c r="F227" s="387"/>
      <c r="G227" s="387"/>
      <c r="H227" s="387"/>
      <c r="I227" s="387"/>
      <c r="J227" s="387"/>
      <c r="K227" s="387"/>
      <c r="L227" s="387"/>
      <c r="M227" s="387"/>
      <c r="N227" s="387"/>
      <c r="O227" s="387"/>
      <c r="P227" s="387"/>
      <c r="Q227" s="387"/>
      <c r="R227" s="387"/>
      <c r="S227" s="387"/>
      <c r="T227" s="387"/>
      <c r="U227" s="387"/>
      <c r="V227" s="387"/>
      <c r="W227" s="387"/>
      <c r="X227" s="387"/>
      <c r="Y227" s="387"/>
      <c r="Z227" s="387"/>
      <c r="AA227" s="387"/>
      <c r="AB227" s="387"/>
      <c r="AF227" s="387"/>
      <c r="AG227" s="387"/>
      <c r="AH227" s="978"/>
      <c r="AI227" s="978"/>
      <c r="AJ227" s="978"/>
      <c r="AK227" s="632"/>
      <c r="AL227" s="632"/>
    </row>
    <row customHeight="1" ht="11.25" hidden="1">
      <c r="A228" s="387"/>
      <c r="B228" s="387"/>
      <c r="C228" s="387"/>
      <c r="D228" s="387"/>
      <c r="E228" s="632"/>
      <c r="F228" s="387"/>
      <c r="G228" s="387"/>
      <c r="H228" s="387"/>
      <c r="I228" s="387"/>
      <c r="J228" s="387"/>
      <c r="K228" s="387"/>
      <c r="L228" s="387"/>
      <c r="M228" s="387"/>
      <c r="N228" s="387"/>
      <c r="O228" s="387"/>
      <c r="P228" s="387"/>
      <c r="Q228" s="387"/>
      <c r="R228" s="387"/>
      <c r="S228" s="387"/>
      <c r="T228" s="387"/>
      <c r="U228" s="387"/>
      <c r="V228" s="387"/>
      <c r="W228" s="387"/>
      <c r="X228" s="387"/>
      <c r="Y228" s="387"/>
      <c r="Z228" s="387"/>
      <c r="AA228" s="387"/>
      <c r="AB228" s="387"/>
      <c r="AF228" s="387"/>
      <c r="AG228" s="387"/>
      <c r="AH228" s="978"/>
      <c r="AI228" s="978"/>
      <c r="AJ228" s="978"/>
      <c r="AK228" s="632"/>
      <c r="AL228" s="632"/>
    </row>
    <row customHeight="1" ht="11.25" hidden="1">
      <c r="A229" s="387"/>
      <c r="B229" s="387"/>
      <c r="C229" s="387"/>
      <c r="D229" s="387"/>
      <c r="E229" s="632"/>
      <c r="F229" s="387"/>
      <c r="G229" s="387"/>
      <c r="H229" s="387"/>
      <c r="I229" s="387"/>
      <c r="J229" s="387"/>
      <c r="K229" s="387"/>
      <c r="L229" s="387"/>
      <c r="M229" s="387"/>
      <c r="N229" s="387"/>
      <c r="O229" s="387"/>
      <c r="P229" s="387"/>
      <c r="Q229" s="387"/>
      <c r="R229" s="387"/>
      <c r="S229" s="387"/>
      <c r="T229" s="387"/>
      <c r="U229" s="387"/>
      <c r="V229" s="387"/>
      <c r="W229" s="387"/>
      <c r="X229" s="387"/>
      <c r="Y229" s="387"/>
      <c r="Z229" s="387"/>
      <c r="AA229" s="387"/>
      <c r="AB229" s="387"/>
      <c r="AF229" s="387"/>
      <c r="AG229" s="387"/>
      <c r="AH229" s="978"/>
      <c r="AI229" s="978"/>
      <c r="AJ229" s="978"/>
      <c r="AK229" s="632"/>
      <c r="AL229" s="632"/>
    </row>
    <row customHeight="1" ht="11.25" hidden="1">
      <c r="A230" s="387"/>
      <c r="B230" s="387"/>
      <c r="C230" s="387"/>
      <c r="D230" s="387"/>
      <c r="E230" s="632"/>
      <c r="F230" s="387"/>
      <c r="G230" s="387"/>
      <c r="H230" s="387"/>
      <c r="I230" s="387"/>
      <c r="J230" s="387"/>
      <c r="K230" s="387"/>
      <c r="L230" s="387"/>
      <c r="M230" s="387"/>
      <c r="N230" s="387"/>
      <c r="O230" s="387"/>
      <c r="P230" s="387"/>
      <c r="Q230" s="387"/>
      <c r="R230" s="387"/>
      <c r="S230" s="387"/>
      <c r="T230" s="387"/>
      <c r="U230" s="387"/>
      <c r="V230" s="387"/>
      <c r="W230" s="387"/>
      <c r="X230" s="387"/>
      <c r="Y230" s="387"/>
      <c r="Z230" s="387"/>
      <c r="AA230" s="387"/>
      <c r="AB230" s="387"/>
      <c r="AF230" s="387"/>
      <c r="AG230" s="387"/>
      <c r="AH230" s="978"/>
      <c r="AI230" s="978"/>
      <c r="AJ230" s="978"/>
      <c r="AK230" s="632"/>
      <c r="AL230" s="632"/>
    </row>
    <row customHeight="1" ht="11.25" hidden="1">
      <c r="A231" s="387"/>
      <c r="B231" s="387"/>
      <c r="C231" s="387"/>
      <c r="D231" s="387"/>
      <c r="E231" s="632"/>
      <c r="F231" s="387"/>
      <c r="G231" s="387"/>
      <c r="H231" s="387"/>
      <c r="I231" s="387"/>
      <c r="J231" s="387"/>
      <c r="K231" s="387"/>
      <c r="L231" s="387"/>
      <c r="M231" s="387"/>
      <c r="N231" s="387"/>
      <c r="O231" s="387"/>
      <c r="P231" s="387"/>
      <c r="Q231" s="387"/>
      <c r="R231" s="387"/>
      <c r="S231" s="387"/>
      <c r="T231" s="387"/>
      <c r="U231" s="387"/>
      <c r="V231" s="387"/>
      <c r="W231" s="387"/>
      <c r="X231" s="387"/>
      <c r="Y231" s="387"/>
      <c r="Z231" s="387"/>
      <c r="AA231" s="387"/>
      <c r="AB231" s="387"/>
      <c r="AF231" s="387"/>
      <c r="AG231" s="387"/>
      <c r="AH231" s="978"/>
      <c r="AI231" s="978"/>
      <c r="AJ231" s="978"/>
      <c r="AK231" s="632"/>
      <c r="AL231" s="632"/>
    </row>
    <row customHeight="1" ht="11.25" hidden="1">
      <c r="A232" s="387"/>
      <c r="B232" s="387"/>
      <c r="C232" s="387"/>
      <c r="D232" s="387"/>
      <c r="E232" s="632"/>
      <c r="F232" s="387"/>
      <c r="G232" s="387"/>
      <c r="H232" s="387"/>
      <c r="I232" s="387"/>
      <c r="J232" s="387"/>
      <c r="K232" s="387"/>
      <c r="L232" s="387"/>
      <c r="M232" s="387"/>
      <c r="N232" s="387"/>
      <c r="O232" s="387"/>
      <c r="P232" s="387"/>
      <c r="Q232" s="387"/>
      <c r="R232" s="387"/>
      <c r="S232" s="387"/>
      <c r="T232" s="387"/>
      <c r="U232" s="387"/>
      <c r="V232" s="387"/>
      <c r="W232" s="387"/>
      <c r="X232" s="387"/>
      <c r="Y232" s="387"/>
      <c r="Z232" s="387"/>
      <c r="AA232" s="387"/>
      <c r="AB232" s="387"/>
      <c r="AF232" s="387"/>
      <c r="AG232" s="387"/>
      <c r="AH232" s="978"/>
      <c r="AI232" s="978"/>
      <c r="AJ232" s="978"/>
      <c r="AK232" s="632"/>
      <c r="AL232" s="632"/>
    </row>
    <row customHeight="1" ht="11.25" hidden="1">
      <c r="A233" s="387"/>
      <c r="B233" s="387"/>
      <c r="C233" s="387"/>
      <c r="D233" s="387"/>
      <c r="E233" s="632"/>
      <c r="F233" s="387"/>
      <c r="G233" s="387"/>
      <c r="H233" s="387"/>
      <c r="I233" s="387"/>
      <c r="J233" s="387"/>
      <c r="K233" s="387"/>
      <c r="L233" s="387"/>
      <c r="M233" s="387"/>
      <c r="N233" s="387"/>
      <c r="O233" s="387"/>
      <c r="P233" s="387"/>
      <c r="Q233" s="387"/>
      <c r="R233" s="387"/>
      <c r="S233" s="387"/>
      <c r="T233" s="387"/>
      <c r="U233" s="387"/>
      <c r="V233" s="387"/>
      <c r="W233" s="387"/>
      <c r="X233" s="387"/>
      <c r="Y233" s="387"/>
      <c r="Z233" s="387"/>
      <c r="AA233" s="387"/>
      <c r="AB233" s="387"/>
      <c r="AF233" s="387"/>
      <c r="AG233" s="387"/>
      <c r="AH233" s="978"/>
      <c r="AI233" s="978"/>
      <c r="AJ233" s="978"/>
      <c r="AK233" s="632"/>
      <c r="AL233" s="632"/>
    </row>
    <row customHeight="1" ht="11.25" hidden="1">
      <c r="A234" s="387"/>
      <c r="B234" s="387"/>
      <c r="C234" s="387"/>
      <c r="D234" s="387"/>
      <c r="E234" s="632"/>
      <c r="F234" s="387"/>
      <c r="G234" s="387"/>
      <c r="H234" s="387"/>
      <c r="I234" s="387"/>
      <c r="J234" s="387"/>
      <c r="K234" s="387"/>
      <c r="L234" s="387"/>
      <c r="M234" s="387"/>
      <c r="N234" s="387"/>
      <c r="O234" s="387"/>
      <c r="P234" s="387"/>
      <c r="Q234" s="387"/>
      <c r="R234" s="387"/>
      <c r="S234" s="387"/>
      <c r="T234" s="387"/>
      <c r="U234" s="387"/>
      <c r="V234" s="387"/>
      <c r="W234" s="387"/>
      <c r="X234" s="387"/>
      <c r="Y234" s="387"/>
      <c r="Z234" s="387"/>
      <c r="AA234" s="387"/>
      <c r="AB234" s="387"/>
      <c r="AF234" s="387"/>
      <c r="AG234" s="387"/>
      <c r="AH234" s="978"/>
      <c r="AI234" s="978"/>
      <c r="AJ234" s="978"/>
      <c r="AK234" s="632"/>
      <c r="AL234" s="632"/>
    </row>
    <row customHeight="1" ht="11.25" hidden="1">
      <c r="A235" s="387"/>
      <c r="B235" s="387"/>
      <c r="C235" s="387"/>
      <c r="D235" s="387"/>
      <c r="E235" s="632"/>
      <c r="F235" s="387"/>
      <c r="G235" s="387"/>
      <c r="H235" s="387"/>
      <c r="I235" s="387"/>
      <c r="J235" s="387"/>
      <c r="K235" s="387"/>
      <c r="L235" s="387"/>
      <c r="M235" s="387"/>
      <c r="N235" s="387"/>
      <c r="O235" s="387"/>
      <c r="P235" s="387"/>
      <c r="Q235" s="387"/>
      <c r="R235" s="387"/>
      <c r="S235" s="387"/>
      <c r="T235" s="387"/>
      <c r="U235" s="387"/>
      <c r="V235" s="387"/>
      <c r="W235" s="387"/>
      <c r="X235" s="387"/>
      <c r="Y235" s="387"/>
      <c r="Z235" s="387"/>
      <c r="AA235" s="387"/>
      <c r="AB235" s="387"/>
      <c r="AF235" s="387"/>
      <c r="AG235" s="387"/>
      <c r="AH235" s="978"/>
      <c r="AI235" s="978"/>
      <c r="AJ235" s="978"/>
      <c r="AK235" s="632"/>
      <c r="AL235" s="632"/>
    </row>
    <row customHeight="1" ht="11.25" hidden="1">
      <c r="A236" s="387"/>
      <c r="B236" s="387"/>
      <c r="C236" s="387"/>
      <c r="D236" s="387"/>
      <c r="E236" s="632"/>
      <c r="F236" s="387"/>
      <c r="G236" s="387"/>
      <c r="H236" s="387"/>
      <c r="I236" s="387"/>
      <c r="J236" s="387"/>
      <c r="K236" s="387"/>
      <c r="L236" s="387"/>
      <c r="M236" s="387"/>
      <c r="N236" s="387"/>
      <c r="O236" s="387"/>
      <c r="P236" s="387"/>
      <c r="Q236" s="387"/>
      <c r="R236" s="387"/>
      <c r="S236" s="387"/>
      <c r="T236" s="387"/>
      <c r="U236" s="387"/>
      <c r="V236" s="387"/>
      <c r="W236" s="387"/>
      <c r="X236" s="387"/>
      <c r="Y236" s="387"/>
      <c r="Z236" s="387"/>
      <c r="AA236" s="387"/>
      <c r="AB236" s="387"/>
      <c r="AF236" s="387"/>
      <c r="AG236" s="387"/>
      <c r="AH236" s="978"/>
      <c r="AI236" s="978"/>
      <c r="AJ236" s="978"/>
      <c r="AK236" s="632"/>
      <c r="AL236" s="632"/>
    </row>
    <row customHeight="1" ht="11.25" hidden="1">
      <c r="A237" s="387"/>
      <c r="B237" s="387"/>
      <c r="C237" s="387"/>
      <c r="D237" s="387"/>
      <c r="E237" s="632"/>
      <c r="F237" s="387"/>
      <c r="G237" s="387"/>
      <c r="H237" s="387"/>
      <c r="I237" s="387"/>
      <c r="J237" s="387"/>
      <c r="K237" s="387"/>
      <c r="L237" s="387"/>
      <c r="M237" s="387"/>
      <c r="N237" s="387"/>
      <c r="O237" s="387"/>
      <c r="P237" s="387"/>
      <c r="Q237" s="387"/>
      <c r="R237" s="387"/>
      <c r="S237" s="387"/>
      <c r="T237" s="387"/>
      <c r="U237" s="387"/>
      <c r="V237" s="387"/>
      <c r="W237" s="387"/>
      <c r="X237" s="387"/>
      <c r="Y237" s="387"/>
      <c r="Z237" s="387"/>
      <c r="AA237" s="387"/>
      <c r="AB237" s="387"/>
      <c r="AF237" s="387"/>
      <c r="AG237" s="387"/>
      <c r="AH237" s="978"/>
      <c r="AI237" s="978"/>
      <c r="AJ237" s="978"/>
      <c r="AK237" s="632"/>
      <c r="AL237" s="632"/>
    </row>
    <row customHeight="1" ht="11.25" hidden="1">
      <c r="A238" s="387"/>
      <c r="B238" s="387"/>
      <c r="C238" s="387"/>
      <c r="D238" s="387"/>
      <c r="E238" s="632"/>
      <c r="F238" s="387"/>
      <c r="G238" s="387"/>
      <c r="H238" s="387"/>
      <c r="I238" s="387"/>
      <c r="J238" s="387"/>
      <c r="K238" s="387"/>
      <c r="L238" s="387"/>
      <c r="M238" s="387"/>
      <c r="N238" s="387"/>
      <c r="O238" s="387"/>
      <c r="P238" s="387"/>
      <c r="Q238" s="387"/>
      <c r="R238" s="387"/>
      <c r="S238" s="387"/>
      <c r="T238" s="387"/>
      <c r="U238" s="387"/>
      <c r="V238" s="387"/>
      <c r="W238" s="387"/>
      <c r="X238" s="387"/>
      <c r="Y238" s="387"/>
      <c r="Z238" s="387"/>
      <c r="AA238" s="387"/>
      <c r="AB238" s="387"/>
      <c r="AF238" s="387"/>
      <c r="AG238" s="387"/>
      <c r="AH238" s="978"/>
      <c r="AI238" s="978"/>
      <c r="AJ238" s="978"/>
      <c r="AK238" s="632"/>
      <c r="AL238" s="632"/>
    </row>
    <row customHeight="1" ht="11.25" hidden="1">
      <c r="A239" s="387"/>
      <c r="B239" s="387"/>
      <c r="C239" s="387"/>
      <c r="D239" s="387"/>
      <c r="E239" s="632"/>
      <c r="F239" s="387"/>
      <c r="G239" s="387"/>
      <c r="H239" s="387"/>
      <c r="I239" s="387"/>
      <c r="J239" s="387"/>
      <c r="K239" s="387"/>
      <c r="L239" s="387"/>
      <c r="M239" s="387"/>
      <c r="N239" s="387"/>
      <c r="O239" s="387"/>
      <c r="P239" s="387"/>
      <c r="Q239" s="387"/>
      <c r="R239" s="387"/>
      <c r="S239" s="387"/>
      <c r="T239" s="387"/>
      <c r="U239" s="387"/>
      <c r="V239" s="387"/>
      <c r="W239" s="387"/>
      <c r="X239" s="387"/>
      <c r="Y239" s="387"/>
      <c r="Z239" s="387"/>
      <c r="AA239" s="387"/>
      <c r="AB239" s="387"/>
      <c r="AF239" s="387"/>
      <c r="AG239" s="387"/>
      <c r="AH239" s="978"/>
      <c r="AI239" s="978"/>
      <c r="AJ239" s="978"/>
      <c r="AK239" s="632"/>
      <c r="AL239" s="632"/>
    </row>
  </sheetData>
  <sheetProtection formatColumns="0" formatRows="0" insertRows="0" deleteColumns="0" deleteRows="0" sort="0" autoFilter="0" insertColumns="1"/>
  <mergeCells count="22">
    <mergeCell ref="AB22:AE22"/>
    <mergeCell ref="AB207:AE207"/>
    <mergeCell ref="AB208:AE208"/>
    <mergeCell ref="X27:X115"/>
    <mergeCell ref="Z27:Z115"/>
    <mergeCell ref="AB23:AE23"/>
    <mergeCell ref="AB24:AB25"/>
    <mergeCell ref="AC24:AC25"/>
    <mergeCell ref="AD24:AD25"/>
    <mergeCell ref="AB206:AE206"/>
    <mergeCell ref="X116:X204"/>
    <mergeCell ref="Z116:Z204"/>
    <mergeCell ref="AB209:AE209"/>
    <mergeCell ref="AB210:AE210"/>
    <mergeCell ref="AB211:AE211"/>
    <mergeCell ref="AB212:AE212"/>
    <mergeCell ref="AB213:AE213"/>
    <mergeCell ref="AB214:AE214"/>
    <mergeCell ref="AB215:AE215"/>
    <mergeCell ref="AB216:AE216"/>
    <mergeCell ref="AB217:AE217"/>
    <mergeCell ref="AB218:AE218"/>
  </mergeCell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CDF947-73DF-3ED8-0446-3C7507027258}" mc:Ignorable="x14ac xr xr2 xr3">
  <sheetPr>
    <tabColor rgb="FF92D050"/>
    <outlinePr summaryRight="0" summaryBelow="0"/>
    <pageSetUpPr fitToPage="1"/>
  </sheetPr>
  <dimension ref="A1:AI74"/>
  <sheetViews>
    <sheetView showGridLines="0" zoomScale="120" workbookViewId="0">
      <pane xSplit="30" ySplit="25" topLeftCell="AE55" activePane="bottomRight" state="frozen"/>
      <selection pane="bottomLeft" activeCell="A26" sqref="A26"/>
      <selection pane="topRight" activeCell="AE1" sqref="AE1"/>
      <selection pane="bottomRight" activeCell="AB73" sqref="AB73"/>
    </sheetView>
  </sheetViews>
  <sheetFormatPr defaultColWidth="8.7109375" customHeight="1" defaultRowHeight="11.25"/>
  <cols>
    <col min="1" max="4" style="1412" width="2.7109375" hidden="1" customWidth="1"/>
    <col min="5" max="5" style="1372" width="4.57421875" hidden="1" customWidth="1"/>
    <col min="6" max="6" style="1412" width="2.7109375" hidden="1" customWidth="1"/>
    <col min="7" max="7" style="1412" width="13.28125" hidden="1" customWidth="1"/>
    <col min="8" max="19" style="1412" width="2.7109375" hidden="1" customWidth="1"/>
    <col min="20" max="20" style="1412" width="8.57421875" hidden="1" customWidth="1"/>
    <col min="21" max="26" style="1412" width="2.7109375" hidden="1" customWidth="1"/>
    <col min="27" max="27" style="1412" width="3.00390625" customWidth="1"/>
    <col min="28" max="28" style="1412" width="11.00390625" customWidth="1"/>
    <col min="29" max="29" style="1412" width="57.00390625" customWidth="1"/>
    <col min="30" max="30" style="1542" width="14.57421875" customWidth="1"/>
    <col min="31" max="31" style="1542" width="16.15234375" customWidth="1"/>
    <col min="32" max="32" style="1542" width="21.43359375" customWidth="1"/>
    <col min="33" max="33" style="1412" width="3.00390625" customWidth="1"/>
    <col min="34" max="34" style="1412" width="8.7109375" hidden="1"/>
    <col min="35" max="35" style="1377" width="8.7109375" hidden="1"/>
  </cols>
  <sheetData>
    <row customHeight="1" ht="11.25" hidden="1">
      <c r="E1" s="461"/>
      <c r="F1" s="461" t="s">
        <v>309</v>
      </c>
      <c r="H1" s="461" t="s">
        <v>320</v>
      </c>
      <c r="T1" s="438" t="s">
        <v>92</v>
      </c>
      <c r="U1" s="438" t="s">
        <v>97</v>
      </c>
      <c r="V1" s="438" t="s">
        <v>93</v>
      </c>
      <c r="W1" s="438" t="s">
        <v>94</v>
      </c>
      <c r="X1" s="438" t="s">
        <v>95</v>
      </c>
      <c r="Y1" s="440" t="s">
        <v>311</v>
      </c>
      <c r="Z1" s="438" t="s">
        <v>99</v>
      </c>
      <c r="AA1" s="440" t="s">
        <v>96</v>
      </c>
      <c r="AC1" s="440" t="s">
        <v>98</v>
      </c>
      <c r="AI1" s="1002" t="s">
        <v>312</v>
      </c>
    </row>
    <row customHeight="1" ht="11.25" hidden="1">
      <c r="B2" s="417" t="s">
        <v>18</v>
      </c>
      <c r="E2" s="461"/>
    </row>
    <row customHeight="1" ht="11.25" hidden="1">
      <c r="E3" s="461"/>
    </row>
    <row customHeight="1" ht="11.25" hidden="1">
      <c r="E4" s="461"/>
    </row>
    <row s="1372" customFormat="1" customHeight="1" ht="11.25" hidden="1">
      <c r="A5" s="461"/>
      <c r="B5" s="461"/>
      <c r="C5" s="461"/>
      <c r="D5" s="461"/>
      <c r="E5" s="625" t="s">
        <v>19</v>
      </c>
      <c r="AA5" s="625">
        <v>3</v>
      </c>
      <c r="AB5" s="625">
        <v>11</v>
      </c>
      <c r="AC5" s="625">
        <v>57</v>
      </c>
      <c r="AD5" s="627">
        <v>14.57</v>
      </c>
      <c r="AE5" s="627">
        <v>12.57</v>
      </c>
      <c r="AF5" s="627">
        <v>12.57</v>
      </c>
      <c r="AG5" s="625">
        <v>3</v>
      </c>
      <c r="AI5" s="1002"/>
    </row>
    <row customHeight="1" ht="11.25" hidden="1">
      <c r="A6" s="461" t="s">
        <v>349</v>
      </c>
      <c r="AE6" s="532" cm="1" t="str">
        <f t="array" ref="AE6:AE6">god</f>
        <v>2026</v>
      </c>
      <c r="AF6" s="532" cm="1" t="str">
        <f t="array" ref="AF6:AF6">god</f>
        <v>2026</v>
      </c>
    </row>
    <row customHeight="1" ht="11.25" hidden="1">
      <c r="A7" s="461" t="s">
        <v>350</v>
      </c>
      <c r="AE7" s="532" cm="1" t="str">
        <f t="array" ref="AE7:AE7">AE25</f>
        <v>Предложение организации</v>
      </c>
      <c r="AF7" s="532" cm="1" t="str">
        <f t="array" ref="AF7:AF7">AF25</f>
        <v>Принято органом регулирования</v>
      </c>
    </row>
    <row customHeight="1" ht="11.25" hidden="1">
      <c r="AE8" s="532"/>
      <c r="AF8" s="532"/>
    </row>
    <row s="1377" customFormat="1" customHeight="1" ht="11.25" hidden="1">
      <c r="A9" s="1002" t="s">
        <v>355</v>
      </c>
      <c r="AD9" s="1003"/>
      <c r="AE9" s="1054" cm="1" t="str">
        <f t="array" ref="AE9:AE9">AE25</f>
        <v>Предложение организации</v>
      </c>
      <c r="AF9" s="1054" cm="1" t="str">
        <f t="array" ref="AF9:AF9">AF25</f>
        <v>Принято органом регулирования</v>
      </c>
    </row>
    <row customHeight="1" ht="11.25" hidden="1">
      <c r="AE10" s="532"/>
      <c r="AF10" s="532"/>
    </row>
    <row customHeight="1" ht="11.25" hidden="1">
      <c r="AE11" s="532"/>
      <c r="AF11" s="532"/>
    </row>
    <row customHeight="1" ht="11.25" hidden="1">
      <c r="AE12" s="532"/>
      <c r="AF12" s="532"/>
    </row>
    <row customHeight="1" ht="11.25" hidden="1">
      <c r="AE13" s="532"/>
      <c r="AF13" s="532"/>
    </row>
    <row customHeight="1" ht="11.25" hidden="1">
      <c r="AE14" s="532"/>
      <c r="AF14" s="532"/>
    </row>
    <row customHeight="1" ht="11.25" hidden="1">
      <c r="AE15" s="532"/>
      <c r="AF15" s="532"/>
    </row>
    <row customHeight="1" ht="11.25" hidden="1">
      <c r="AE16" s="532"/>
      <c r="AF16" s="532"/>
    </row>
    <row customHeight="1" ht="11.25" hidden="1">
      <c r="AE17" s="490"/>
      <c r="AF17" s="490"/>
    </row>
    <row customHeight="1" ht="11.25" hidden="1">
      <c r="AE18" s="495">
        <f>_xlfn.SUMIFS('Перечень объектов'!AH$24:AH$51,'Перечень объектов'!$F$24:$F$51,$F29,'Перечень объектов'!$L$24:$L$51,"ЭЭ")</f>
        <v>0</v>
      </c>
    </row>
    <row customHeight="1" ht="11.25" hidden="1"/>
    <row customHeight="1" ht="11.25" hidden="1"/>
    <row customHeight="1" ht="14.625">
      <c r="E21" s="625">
        <v>15</v>
      </c>
      <c r="AA21" s="461"/>
      <c r="AC21" s="496" cm="1" t="str">
        <f t="array" ref="AC21:AC21">tpl_title</f>
        <v>Кемеровская область / 2026 / ОАО «СКЭК» (ИНН:4205153492, КПП:420501001) / ДПР: 2026-2026</v>
      </c>
    </row>
    <row customHeight="1" ht="28.347349900465744">
      <c r="E22" s="625">
        <v>33.75</v>
      </c>
      <c r="AB22" s="1556" t="s">
        <v>90</v>
      </c>
      <c r="AC22" s="1557"/>
      <c r="AD22" s="1557"/>
      <c r="AE22" s="1557"/>
      <c r="AF22" s="1557"/>
    </row>
    <row customHeight="1" ht="10.96875">
      <c r="E23" s="625">
        <v>11.25</v>
      </c>
      <c r="AB23" s="1526"/>
      <c r="AC23" s="1526"/>
      <c r="AD23" s="1526"/>
      <c r="AE23" s="1526"/>
      <c r="AF23" s="1526"/>
    </row>
    <row customHeight="1" ht="14.625">
      <c r="E24" s="625">
        <v>15</v>
      </c>
      <c r="AB24" s="1522" t="s">
        <v>758</v>
      </c>
      <c r="AC24" s="1553" t="s">
        <v>197</v>
      </c>
      <c r="AD24" s="1522" t="s">
        <v>359</v>
      </c>
      <c r="AE24" s="1606" t="str">
        <f>god&amp;" год"</f>
        <v>2026 год</v>
      </c>
      <c r="AF24" s="1607"/>
    </row>
    <row customHeight="1" ht="48.75">
      <c r="E25" s="625">
        <v>50</v>
      </c>
      <c r="AB25" s="1522"/>
      <c r="AC25" s="1553"/>
      <c r="AD25" s="1522"/>
      <c r="AE25" s="1322" t="s">
        <v>352</v>
      </c>
      <c r="AF25" s="736" t="s">
        <v>351</v>
      </c>
    </row>
    <row customHeight="1" ht="11.25" hidden="1">
      <c r="E26" s="625">
        <v>0</v>
      </c>
      <c r="AB26" s="700"/>
      <c r="AC26" s="714"/>
      <c r="AD26" s="700"/>
      <c r="AE26" s="1323"/>
      <c r="AF26" s="1323"/>
    </row>
    <row customHeight="1" ht="14.625" hidden="1">
      <c r="A27" s="1412"/>
      <c r="B27" s="1412"/>
      <c r="C27" s="1412"/>
      <c r="D27" s="1412"/>
      <c r="E27" s="625">
        <v>15</v>
      </c>
      <c r="F27" s="461" cm="1" t="str">
        <f t="array" ref="F27:F27">X27</f>
        <v>0</v>
      </c>
      <c r="G27" s="1412"/>
      <c r="H27" s="1412"/>
      <c r="I27" s="1412"/>
      <c r="J27" s="1412"/>
      <c r="K27" s="1412"/>
      <c r="L27" s="1412"/>
      <c r="M27" s="1412"/>
      <c r="N27" s="1412"/>
      <c r="O27" s="1412"/>
      <c r="P27" s="1412"/>
      <c r="Q27" s="1412"/>
      <c r="R27" s="1412"/>
      <c r="S27" s="1412"/>
      <c r="T27" s="438">
        <f>X27&gt;0</f>
        <v>0</v>
      </c>
      <c r="U27" s="1412"/>
      <c r="V27" s="461" t="s">
        <v>267</v>
      </c>
      <c r="W27" s="1412"/>
      <c r="X27" s="1541">
        <v>0</v>
      </c>
      <c r="Y27" s="1412"/>
      <c r="Z27" s="1542"/>
      <c r="AA27" s="1412"/>
      <c r="AB27" s="188" cm="1" t="str">
        <f t="array" ref="AB27:AB27">INDEX('Общие сведения'!$AG$179:$AG$208,MATCH($X27,'Общие сведения'!$Z$179:$Z$208,0))</f>
        <v>Тариф 0 () - тариф на транспортировку сточных вод</v>
      </c>
      <c r="AC27" s="1270"/>
      <c r="AD27" s="1271"/>
      <c r="AE27" s="1271"/>
      <c r="AF27" s="1272"/>
      <c r="AG27" s="1412"/>
      <c r="AH27" s="1412"/>
      <c r="AI27" s="1377"/>
    </row>
    <row s="498" customFormat="1" customHeight="1" ht="21.9375" hidden="1">
      <c r="A28" s="498"/>
      <c r="B28" s="498"/>
      <c r="C28" s="498"/>
      <c r="D28" s="498"/>
      <c r="E28" s="650">
        <v>22.5</v>
      </c>
      <c r="F28" s="50" cm="1" t="str">
        <f t="array" ref="F28:F28">OFFSET(E28,-1,1)</f>
        <v>0</v>
      </c>
      <c r="G28" s="498"/>
      <c r="H28" s="461" t="s">
        <v>321</v>
      </c>
      <c r="I28" s="461"/>
      <c r="J28" s="461"/>
      <c r="K28" s="461"/>
      <c r="L28" s="498"/>
      <c r="M28" s="498"/>
      <c r="N28" s="498"/>
      <c r="O28" s="498"/>
      <c r="P28" s="498"/>
      <c r="Q28" s="498"/>
      <c r="R28" s="498"/>
      <c r="S28" s="498"/>
      <c r="T28" s="438" cm="1" t="str">
        <f t="array" ref="T28:T28">T27</f>
        <v>false</v>
      </c>
      <c r="U28" s="498"/>
      <c r="V28" s="498"/>
      <c r="W28" s="498"/>
      <c r="X28" s="1541"/>
      <c r="Y28" s="498"/>
      <c r="Z28" s="1542"/>
      <c r="AA28" s="498"/>
      <c r="AB28" s="488" t="s">
        <v>281</v>
      </c>
      <c r="AC28" s="504" t="s">
        <v>2238</v>
      </c>
      <c r="AD28" s="488" t="s">
        <v>789</v>
      </c>
      <c r="AE28" s="500">
        <f>(AE29+AE37)*AE35</f>
        <v>0</v>
      </c>
      <c r="AF28" s="500">
        <f>(AF29+AF37)*AF35</f>
        <v>0</v>
      </c>
      <c r="AG28" s="498"/>
      <c r="AH28" s="498"/>
      <c r="AI28" s="1012" t="s">
        <v>2239</v>
      </c>
    </row>
    <row customHeight="1" ht="21.9375" hidden="1">
      <c r="A29" s="1412"/>
      <c r="B29" s="1412"/>
      <c r="C29" s="1412"/>
      <c r="D29" s="1412"/>
      <c r="E29" s="625">
        <v>22.5</v>
      </c>
      <c r="F29" s="50" cm="1" t="str">
        <f t="array" ref="F29:F29">OFFSET(E29,-1,1)</f>
        <v>0</v>
      </c>
      <c r="G29" s="461" t="s">
        <v>2240</v>
      </c>
      <c r="H29" s="461" t="s">
        <v>322</v>
      </c>
      <c r="I29" s="1412"/>
      <c r="J29" s="1412"/>
      <c r="K29" s="461" t="str">
        <f>F29&amp;G29</f>
        <v>0УТР</v>
      </c>
      <c r="L29" s="1064" cm="1" t="str">
        <f t="array" ref="L29:L29">AE29</f>
        <v>0</v>
      </c>
      <c r="M29" s="1064" cm="1" t="str">
        <f t="array" ref="M29:M29">AF29</f>
        <v>0</v>
      </c>
      <c r="N29" s="1412"/>
      <c r="O29" s="1412"/>
      <c r="P29" s="1412"/>
      <c r="Q29" s="1412"/>
      <c r="R29" s="1412"/>
      <c r="S29" s="1412"/>
      <c r="T29" s="438" cm="1" t="str">
        <f t="array" ref="T29:T29">T28</f>
        <v>false</v>
      </c>
      <c r="U29" s="1412"/>
      <c r="V29" s="1412"/>
      <c r="W29" s="1412"/>
      <c r="X29" s="1541"/>
      <c r="Y29" s="1412"/>
      <c r="Z29" s="1542"/>
      <c r="AA29" s="1412"/>
      <c r="AB29" s="488" t="s">
        <v>504</v>
      </c>
      <c r="AC29" s="499" t="s">
        <v>981</v>
      </c>
      <c r="AD29" s="488" t="s">
        <v>973</v>
      </c>
      <c r="AE29" s="1063">
        <f>IF(AE34=0,0,(AE30-IF(_xlfn.SUMIFS('Перечень объектов'!AH$24:AH$51,'Перечень объектов'!$F$24:$F$51,$F29,'Перечень объектов'!$G$24:$G$51,"ЭЭ")&gt;0,0,AE31))/AE34)</f>
        <v>0</v>
      </c>
      <c r="AF29" s="1063">
        <f>IF(AF34=0,0,(AF30-IF(_xlfn.SUMIFS('Перечень объектов'!AI$24:AI$51,'Перечень объектов'!$F$24:$F$51,$F29,'Перечень объектов'!$G$24:$G$51,"ЭЭ")&gt;0,0,AF31))/AF34)</f>
        <v>0</v>
      </c>
      <c r="AG29" s="1412"/>
      <c r="AH29" s="1412"/>
      <c r="AI29" s="1002" t="s">
        <v>2241</v>
      </c>
    </row>
    <row customHeight="1" ht="32.90625" hidden="1">
      <c r="A30" s="1412"/>
      <c r="B30" s="1412"/>
      <c r="C30" s="1412"/>
      <c r="D30" s="1412"/>
      <c r="E30" s="625">
        <v>33.75</v>
      </c>
      <c r="F30" s="50" cm="1" t="str">
        <f t="array" ref="F30:F30">OFFSET(E30,-1,1)</f>
        <v>0</v>
      </c>
      <c r="G30" s="1412"/>
      <c r="H30" s="461" t="s">
        <v>452</v>
      </c>
      <c r="I30" s="1412"/>
      <c r="J30" s="1412"/>
      <c r="K30" s="1412"/>
      <c r="L30" s="1412"/>
      <c r="M30" s="1412"/>
      <c r="N30" s="1412"/>
      <c r="O30" s="1412"/>
      <c r="P30" s="1412"/>
      <c r="Q30" s="1412"/>
      <c r="R30" s="1412"/>
      <c r="S30" s="1412"/>
      <c r="T30" s="438" cm="1" t="str">
        <f t="array" ref="T30:T30">T29</f>
        <v>false</v>
      </c>
      <c r="U30" s="1412"/>
      <c r="V30" s="1412"/>
      <c r="W30" s="1412"/>
      <c r="X30" s="1541"/>
      <c r="Y30" s="1412"/>
      <c r="Z30" s="1542"/>
      <c r="AA30" s="1412"/>
      <c r="AB30" s="488" t="s">
        <v>509</v>
      </c>
      <c r="AC30" s="535" t="s">
        <v>2242</v>
      </c>
      <c r="AD30" s="488" t="s">
        <v>789</v>
      </c>
      <c r="AE30" s="4022"/>
      <c r="AF30" s="500">
        <f>_xlfn.SUMIFS(ГО!AE$25:AE$205,ГО!$F$25:$F$205,$F30,ГО!$G$25:$G$205,"Итог")*(1+AF32/100)*(1+AF33/100)</f>
        <v>0</v>
      </c>
      <c r="AG30" s="1412"/>
      <c r="AH30" s="1412"/>
      <c r="AI30" s="1002" t="s">
        <v>2243</v>
      </c>
    </row>
    <row s="498" customFormat="1" customHeight="1" ht="14.625" hidden="1">
      <c r="A31" s="498"/>
      <c r="B31" s="498"/>
      <c r="C31" s="498"/>
      <c r="D31" s="498"/>
      <c r="E31" s="650">
        <v>15</v>
      </c>
      <c r="F31" s="50" cm="1" t="str">
        <f t="array" ref="F31:F31">OFFSET(E31,-1,1)</f>
        <v>0</v>
      </c>
      <c r="G31" s="498"/>
      <c r="H31" s="461" t="s">
        <v>1434</v>
      </c>
      <c r="I31" s="461"/>
      <c r="J31" s="461"/>
      <c r="K31" s="461"/>
      <c r="L31" s="498"/>
      <c r="M31" s="498"/>
      <c r="N31" s="498"/>
      <c r="O31" s="498"/>
      <c r="P31" s="498"/>
      <c r="Q31" s="498"/>
      <c r="R31" s="498"/>
      <c r="S31" s="498"/>
      <c r="T31" s="438" cm="1" t="str">
        <f t="array" ref="T31:T31">T30</f>
        <v>false</v>
      </c>
      <c r="U31" s="498"/>
      <c r="V31" s="498"/>
      <c r="W31" s="498"/>
      <c r="X31" s="1541"/>
      <c r="Y31" s="498"/>
      <c r="Z31" s="1542"/>
      <c r="AA31" s="498"/>
      <c r="AB31" s="488" t="s">
        <v>460</v>
      </c>
      <c r="AC31" s="1273" t="s">
        <v>2244</v>
      </c>
      <c r="AD31" s="488" t="s">
        <v>789</v>
      </c>
      <c r="AE31" s="4022"/>
      <c r="AF31" s="500">
        <f>_xlfn.SUMIFS(ГО!AE$25:AE$205,ГО!$F$25:$F$205,$F31,ГО!$G$25:$G$205,"ЭЭ")*(1+AF32/100)*(1+AF33/100)</f>
        <v>0</v>
      </c>
      <c r="AG31" s="498"/>
      <c r="AH31" s="498"/>
      <c r="AI31" s="1012" t="s">
        <v>1580</v>
      </c>
    </row>
    <row s="498" customFormat="1" customHeight="1" ht="14.625" hidden="1">
      <c r="A32" s="498"/>
      <c r="B32" s="498"/>
      <c r="C32" s="498"/>
      <c r="D32" s="498"/>
      <c r="E32" s="650">
        <v>15</v>
      </c>
      <c r="F32" s="50" cm="1" t="str">
        <f t="array" ref="F32:F32">OFFSET(E32,-1,1)</f>
        <v>0</v>
      </c>
      <c r="G32" s="498"/>
      <c r="H32" s="461" t="s">
        <v>455</v>
      </c>
      <c r="I32" s="461"/>
      <c r="J32" s="461"/>
      <c r="K32" s="461"/>
      <c r="L32" s="498"/>
      <c r="M32" s="498"/>
      <c r="N32" s="498"/>
      <c r="O32" s="498"/>
      <c r="P32" s="498"/>
      <c r="Q32" s="498"/>
      <c r="R32" s="498"/>
      <c r="S32" s="498"/>
      <c r="T32" s="438" cm="1" t="str">
        <f t="array" ref="T32:T32">T31</f>
        <v>false</v>
      </c>
      <c r="U32" s="498"/>
      <c r="V32" s="498"/>
      <c r="W32" s="498"/>
      <c r="X32" s="1541"/>
      <c r="Y32" s="498"/>
      <c r="Z32" s="1542"/>
      <c r="AA32" s="498"/>
      <c r="AB32" s="488" t="s">
        <v>513</v>
      </c>
      <c r="AC32" s="535" t="str">
        <f>"индекс потребительских цен на "&amp;god-1&amp;" год"</f>
        <v>индекс потребительских цен на 2025 год</v>
      </c>
      <c r="AD32" s="488" t="s">
        <v>430</v>
      </c>
      <c r="AE32" s="4022"/>
      <c r="AF32" s="4022"/>
      <c r="AG32" s="498"/>
      <c r="AH32" s="498"/>
      <c r="AI32" s="1012" t="s">
        <v>2245</v>
      </c>
    </row>
    <row s="498" customFormat="1" customHeight="1" ht="14.625" hidden="1">
      <c r="A33" s="498"/>
      <c r="B33" s="498"/>
      <c r="C33" s="498"/>
      <c r="D33" s="498"/>
      <c r="E33" s="650">
        <v>15</v>
      </c>
      <c r="F33" s="50" cm="1" t="str">
        <f t="array" ref="F33:F33">OFFSET(E33,-1,1)</f>
        <v>0</v>
      </c>
      <c r="G33" s="498"/>
      <c r="H33" s="461" t="s">
        <v>864</v>
      </c>
      <c r="I33" s="461"/>
      <c r="J33" s="461"/>
      <c r="K33" s="461"/>
      <c r="L33" s="498"/>
      <c r="M33" s="498"/>
      <c r="N33" s="498"/>
      <c r="O33" s="498"/>
      <c r="P33" s="498"/>
      <c r="Q33" s="498"/>
      <c r="R33" s="498"/>
      <c r="S33" s="498"/>
      <c r="T33" s="438" cm="1" t="str">
        <f t="array" ref="T33:T33">T32</f>
        <v>false</v>
      </c>
      <c r="U33" s="498"/>
      <c r="V33" s="498"/>
      <c r="W33" s="498"/>
      <c r="X33" s="1541"/>
      <c r="Y33" s="498"/>
      <c r="Z33" s="1542"/>
      <c r="AA33" s="498"/>
      <c r="AB33" s="488" t="s">
        <v>517</v>
      </c>
      <c r="AC33" s="535" t="str">
        <f>"индекс потребительских цен на "&amp;god&amp;" год"</f>
        <v>индекс потребительских цен на 2026 год</v>
      </c>
      <c r="AD33" s="488" t="s">
        <v>430</v>
      </c>
      <c r="AE33" s="4022"/>
      <c r="AF33" s="4022"/>
      <c r="AG33" s="498"/>
      <c r="AH33" s="498"/>
      <c r="AI33" s="1012" t="s">
        <v>2246</v>
      </c>
    </row>
    <row s="498" customFormat="1" customHeight="1" ht="21.9375" hidden="1">
      <c r="A34" s="498"/>
      <c r="B34" s="498"/>
      <c r="C34" s="498"/>
      <c r="D34" s="498"/>
      <c r="E34" s="650">
        <v>22.5</v>
      </c>
      <c r="F34" s="50" cm="1" t="str">
        <f t="array" ref="F34:F34">OFFSET(E34,-1,1)</f>
        <v>0</v>
      </c>
      <c r="G34" s="498"/>
      <c r="H34" s="461" t="s">
        <v>866</v>
      </c>
      <c r="I34" s="461"/>
      <c r="J34" s="461"/>
      <c r="K34" s="461"/>
      <c r="L34" s="498"/>
      <c r="M34" s="498"/>
      <c r="N34" s="498"/>
      <c r="O34" s="498"/>
      <c r="P34" s="498"/>
      <c r="Q34" s="498"/>
      <c r="R34" s="498"/>
      <c r="S34" s="498"/>
      <c r="T34" s="438" cm="1" t="str">
        <f t="array" ref="T34:T34">T33</f>
        <v>false</v>
      </c>
      <c r="U34" s="498"/>
      <c r="V34" s="498"/>
      <c r="W34" s="498"/>
      <c r="X34" s="1541"/>
      <c r="Y34" s="498"/>
      <c r="Z34" s="1542"/>
      <c r="AA34" s="498"/>
      <c r="AB34" s="488" t="s">
        <v>867</v>
      </c>
      <c r="AC34" s="535" t="s">
        <v>2247</v>
      </c>
      <c r="AD34" s="488" t="s">
        <v>768</v>
      </c>
      <c r="AE34" s="4022"/>
      <c r="AF34" s="4022"/>
      <c r="AG34" s="498"/>
      <c r="AH34" s="498"/>
      <c r="AI34" s="1012" t="s">
        <v>2248</v>
      </c>
    </row>
    <row s="498" customFormat="1" customHeight="1" ht="14.625" hidden="1">
      <c r="A35" s="498"/>
      <c r="B35" s="498"/>
      <c r="C35" s="498"/>
      <c r="D35" s="498"/>
      <c r="E35" s="650">
        <v>15</v>
      </c>
      <c r="F35" s="50" cm="1" t="str">
        <f t="array" ref="F35:F35">OFFSET(E35,-1,1)</f>
        <v>0</v>
      </c>
      <c r="G35" s="498"/>
      <c r="H35" s="461" t="s">
        <v>323</v>
      </c>
      <c r="I35" s="461"/>
      <c r="J35" s="461"/>
      <c r="K35" s="461"/>
      <c r="L35" s="498"/>
      <c r="M35" s="498"/>
      <c r="N35" s="498"/>
      <c r="O35" s="498"/>
      <c r="P35" s="498"/>
      <c r="Q35" s="498"/>
      <c r="R35" s="498"/>
      <c r="S35" s="498"/>
      <c r="T35" s="438" cm="1" t="str">
        <f t="array" ref="T35:T35">T34</f>
        <v>false</v>
      </c>
      <c r="U35" s="498"/>
      <c r="V35" s="498"/>
      <c r="W35" s="498"/>
      <c r="X35" s="1541"/>
      <c r="Y35" s="498"/>
      <c r="Z35" s="1542"/>
      <c r="AA35" s="498"/>
      <c r="AB35" s="488" t="s">
        <v>319</v>
      </c>
      <c r="AC35" s="1274" t="s">
        <v>2249</v>
      </c>
      <c r="AD35" s="488" t="s">
        <v>768</v>
      </c>
      <c r="AE35" s="503">
        <f>_xlfn.SUMIFS('Условные метры'!AL$27:AL$36,'Условные метры'!$F$27:$F$36,$F35,'Условные метры'!$G$27:$G$36,"Итог")</f>
        <v>0</v>
      </c>
      <c r="AF35" s="503">
        <f>_xlfn.SUMIFS('Условные метры'!AN$27:AN$36,'Условные метры'!$F$27:$F$36,$F35,'Условные метры'!$G$27:$G$36,"Итог")</f>
        <v>0</v>
      </c>
      <c r="AG35" s="498"/>
      <c r="AH35" s="498"/>
      <c r="AI35" s="1012" t="s">
        <v>2250</v>
      </c>
    </row>
    <row s="498" customFormat="1" customHeight="1" ht="14.625" hidden="1">
      <c r="A36" s="498"/>
      <c r="B36" s="498"/>
      <c r="C36" s="498"/>
      <c r="D36" s="498"/>
      <c r="E36" s="650">
        <v>15</v>
      </c>
      <c r="F36" s="50" cm="1" t="str">
        <f t="array" ref="F36:F36">OFFSET(E36,-1,1)</f>
        <v>0</v>
      </c>
      <c r="G36" s="498"/>
      <c r="H36" s="461" t="s">
        <v>874</v>
      </c>
      <c r="I36" s="461"/>
      <c r="J36" s="461"/>
      <c r="K36" s="461"/>
      <c r="L36" s="498"/>
      <c r="M36" s="498"/>
      <c r="N36" s="498"/>
      <c r="O36" s="498"/>
      <c r="P36" s="498"/>
      <c r="Q36" s="498"/>
      <c r="R36" s="498"/>
      <c r="S36" s="498"/>
      <c r="T36" s="438" cm="1" t="str">
        <f t="array" ref="T36:T36">T35</f>
        <v>false</v>
      </c>
      <c r="U36" s="498"/>
      <c r="V36" s="498"/>
      <c r="W36" s="498"/>
      <c r="X36" s="1541"/>
      <c r="Y36" s="498"/>
      <c r="Z36" s="1542"/>
      <c r="AA36" s="498"/>
      <c r="AB36" s="488" t="s">
        <v>523</v>
      </c>
      <c r="AC36" s="535" t="s">
        <v>2251</v>
      </c>
      <c r="AD36" s="488" t="s">
        <v>377</v>
      </c>
      <c r="AE36" s="503">
        <f>_xlfn.SUMIFS('Условные метры'!AK$27:AK$36,'Условные метры'!$F$27:$F$36,$F36,'Условные метры'!$G$27:$G$36,"Итог")</f>
        <v>0</v>
      </c>
      <c r="AF36" s="503">
        <f>_xlfn.SUMIFS('Условные метры'!AM$27:AM$36,'Условные метры'!$F$27:$F$36,$F36,'Условные метры'!$G$27:$G$36,"Итог")</f>
        <v>0</v>
      </c>
      <c r="AG36" s="498"/>
      <c r="AH36" s="498"/>
      <c r="AI36" s="1012" t="s">
        <v>2252</v>
      </c>
    </row>
    <row s="498" customFormat="1" customHeight="1" ht="14.625" hidden="1">
      <c r="A37" s="498"/>
      <c r="B37" s="498"/>
      <c r="C37" s="498"/>
      <c r="D37" s="498"/>
      <c r="E37" s="650">
        <v>15</v>
      </c>
      <c r="F37" s="50" cm="1" t="str">
        <f t="array" ref="F37:F37">OFFSET(E37,-1,1)</f>
        <v>0</v>
      </c>
      <c r="G37" s="498"/>
      <c r="H37" s="461" t="s">
        <v>325</v>
      </c>
      <c r="I37" s="461"/>
      <c r="J37" s="461"/>
      <c r="K37" s="461"/>
      <c r="L37" s="498"/>
      <c r="M37" s="498"/>
      <c r="N37" s="498"/>
      <c r="O37" s="498"/>
      <c r="P37" s="498"/>
      <c r="Q37" s="498"/>
      <c r="R37" s="498"/>
      <c r="S37" s="498"/>
      <c r="T37" s="438" cm="1" t="str">
        <f t="array" ref="T37:T37">T36</f>
        <v>false</v>
      </c>
      <c r="U37" s="498"/>
      <c r="V37" s="498"/>
      <c r="W37" s="498"/>
      <c r="X37" s="1541"/>
      <c r="Y37" s="498"/>
      <c r="Z37" s="1542"/>
      <c r="AA37" s="498"/>
      <c r="AB37" s="488" t="s">
        <v>530</v>
      </c>
      <c r="AC37" s="534" t="s">
        <v>2253</v>
      </c>
      <c r="AD37" s="488" t="s">
        <v>973</v>
      </c>
      <c r="AE37" s="503">
        <f>_xlfn.SUMIFS('Амортизация (аналог)'!AE$25:AE$41,'Амортизация (аналог)'!$F$25:$F$41,$F37,'Амортизация (аналог)'!$AB$25:$AB$41,"2")</f>
        <v>0</v>
      </c>
      <c r="AF37" s="503">
        <f>_xlfn.SUMIFS('Амортизация (аналог)'!AF$25:AF$41,'Амортизация (аналог)'!$F$25:$F$41,$F37,'Амортизация (аналог)'!$AB$25:$AB$41,"2")</f>
        <v>0</v>
      </c>
      <c r="AG37" s="498"/>
      <c r="AH37" s="498"/>
      <c r="AI37" s="1012" t="s">
        <v>2254</v>
      </c>
    </row>
    <row s="498" customFormat="1" customHeight="1" ht="14.625" hidden="1">
      <c r="A38" s="498"/>
      <c r="B38" s="498"/>
      <c r="C38" s="498"/>
      <c r="D38" s="498"/>
      <c r="E38" s="650">
        <v>15</v>
      </c>
      <c r="F38" s="50" cm="1" t="str">
        <f t="array" ref="F38:F38">OFFSET(E38,-1,1)</f>
        <v>0</v>
      </c>
      <c r="G38" s="498"/>
      <c r="H38" s="461" t="s">
        <v>508</v>
      </c>
      <c r="I38" s="461"/>
      <c r="J38" s="461"/>
      <c r="K38" s="461"/>
      <c r="L38" s="498"/>
      <c r="M38" s="498"/>
      <c r="N38" s="498"/>
      <c r="O38" s="498"/>
      <c r="P38" s="498"/>
      <c r="Q38" s="498"/>
      <c r="R38" s="498"/>
      <c r="S38" s="498"/>
      <c r="T38" s="438" cm="1" t="str">
        <f t="array" ref="T38:T38">T37</f>
        <v>false</v>
      </c>
      <c r="U38" s="498"/>
      <c r="V38" s="498"/>
      <c r="W38" s="498"/>
      <c r="X38" s="1541"/>
      <c r="Y38" s="498"/>
      <c r="Z38" s="1542"/>
      <c r="AA38" s="498"/>
      <c r="AB38" s="488" t="s">
        <v>646</v>
      </c>
      <c r="AC38" s="1275" t="s">
        <v>2255</v>
      </c>
      <c r="AD38" s="488" t="s">
        <v>430</v>
      </c>
      <c r="AE38" s="500">
        <f>IF(AE29=0,0,AE37/AE29*100)</f>
        <v>0</v>
      </c>
      <c r="AF38" s="500">
        <f>IF(AF29=0,0,AF37/AF29*100)</f>
        <v>0</v>
      </c>
      <c r="AG38" s="498"/>
      <c r="AH38" s="498"/>
      <c r="AI38" s="1012" t="s">
        <v>2256</v>
      </c>
    </row>
    <row s="498" customFormat="1" customHeight="1" ht="21.9375" hidden="1">
      <c r="A39" s="498"/>
      <c r="B39" s="498"/>
      <c r="C39" s="498"/>
      <c r="D39" s="498"/>
      <c r="E39" s="650">
        <v>22.5</v>
      </c>
      <c r="F39" s="50" cm="1" t="str">
        <f t="array" ref="F39:F39">OFFSET(E39,-1,1)</f>
        <v>0</v>
      </c>
      <c r="G39" s="124" t="s">
        <v>1485</v>
      </c>
      <c r="H39" s="461" t="s">
        <v>324</v>
      </c>
      <c r="I39" s="461"/>
      <c r="J39" s="461"/>
      <c r="K39" s="461"/>
      <c r="L39" s="498"/>
      <c r="M39" s="498"/>
      <c r="N39" s="498"/>
      <c r="O39" s="498"/>
      <c r="P39" s="498"/>
      <c r="Q39" s="498"/>
      <c r="R39" s="498"/>
      <c r="S39" s="498"/>
      <c r="T39" s="438" cm="1" t="str">
        <f t="array" ref="T39:T39">T38</f>
        <v>false</v>
      </c>
      <c r="U39" s="498"/>
      <c r="V39" s="498"/>
      <c r="W39" s="498"/>
      <c r="X39" s="1541"/>
      <c r="Y39" s="498"/>
      <c r="Z39" s="1542"/>
      <c r="AA39" s="498"/>
      <c r="AB39" s="488" t="s">
        <v>485</v>
      </c>
      <c r="AC39" s="1276" t="s">
        <v>2257</v>
      </c>
      <c r="AD39" s="488" t="s">
        <v>2258</v>
      </c>
      <c r="AE39" s="503">
        <f>_xlfn.SUMIFS(Баланс!$AI$25:$AI$209,Баланс!$F$25:$F$209,$F39,Баланс!$G$25:$G$209,"ПО")</f>
        <v>0</v>
      </c>
      <c r="AF39" s="503">
        <f>_xlfn.SUMIFS(Баланс!$AS$25:$AS$209,Баланс!$F$25:$F$209,$F39,Баланс!$G$25:$G$209,"ПО")</f>
        <v>0</v>
      </c>
      <c r="AG39" s="498"/>
      <c r="AH39" s="498"/>
      <c r="AI39" s="1012" t="s">
        <v>997</v>
      </c>
    </row>
    <row s="498" customFormat="1" customHeight="1" ht="14.625" hidden="1">
      <c r="A40" s="498"/>
      <c r="B40" s="498"/>
      <c r="C40" s="498"/>
      <c r="D40" s="498"/>
      <c r="E40" s="650">
        <v>15</v>
      </c>
      <c r="F40" s="50" cm="1" t="str">
        <f t="array" ref="F40:F40">OFFSET(E40,-1,1)</f>
        <v>0</v>
      </c>
      <c r="G40" s="1277" t="s">
        <v>1512</v>
      </c>
      <c r="H40" s="461" t="s">
        <v>522</v>
      </c>
      <c r="I40" s="461"/>
      <c r="J40" s="461"/>
      <c r="K40" s="461"/>
      <c r="L40" s="498"/>
      <c r="M40" s="498"/>
      <c r="N40" s="498"/>
      <c r="O40" s="498"/>
      <c r="P40" s="498"/>
      <c r="Q40" s="498"/>
      <c r="R40" s="498"/>
      <c r="S40" s="498"/>
      <c r="T40" s="438" cm="1" t="str">
        <f t="array" ref="T40:T40">T39</f>
        <v>false</v>
      </c>
      <c r="U40" s="498"/>
      <c r="V40" s="498"/>
      <c r="W40" s="498"/>
      <c r="X40" s="1541"/>
      <c r="Y40" s="498"/>
      <c r="Z40" s="1542"/>
      <c r="AA40" s="498"/>
      <c r="AB40" s="488" t="s">
        <v>653</v>
      </c>
      <c r="AC40" s="1278" t="s">
        <v>2259</v>
      </c>
      <c r="AD40" s="488" t="s">
        <v>2258</v>
      </c>
      <c r="AE40" s="4031"/>
      <c r="AF40" s="4031"/>
      <c r="AG40" s="498"/>
      <c r="AH40" s="498"/>
      <c r="AI40" s="1012" t="s">
        <v>2260</v>
      </c>
    </row>
    <row s="498" customFormat="1" customHeight="1" ht="14.625" hidden="1">
      <c r="A41" s="498"/>
      <c r="B41" s="498"/>
      <c r="C41" s="498"/>
      <c r="D41" s="498"/>
      <c r="E41" s="650">
        <v>15</v>
      </c>
      <c r="F41" s="50" cm="1" t="str">
        <f t="array" ref="F41:F41">OFFSET(E41,-1,1)</f>
        <v>0</v>
      </c>
      <c r="G41" s="73" t="s">
        <v>1525</v>
      </c>
      <c r="H41" s="461" t="s">
        <v>526</v>
      </c>
      <c r="I41" s="461"/>
      <c r="J41" s="461"/>
      <c r="K41" s="461"/>
      <c r="L41" s="498"/>
      <c r="M41" s="498"/>
      <c r="N41" s="498"/>
      <c r="O41" s="498"/>
      <c r="P41" s="498"/>
      <c r="Q41" s="498"/>
      <c r="R41" s="498"/>
      <c r="S41" s="498"/>
      <c r="T41" s="438" cm="1" t="str">
        <f t="array" ref="T41:T41">T40</f>
        <v>false</v>
      </c>
      <c r="U41" s="498"/>
      <c r="V41" s="498"/>
      <c r="W41" s="498"/>
      <c r="X41" s="1541"/>
      <c r="Y41" s="498"/>
      <c r="Z41" s="1542"/>
      <c r="AA41" s="498"/>
      <c r="AB41" s="488" t="s">
        <v>656</v>
      </c>
      <c r="AC41" s="1109" t="s">
        <v>2261</v>
      </c>
      <c r="AD41" s="488" t="s">
        <v>2258</v>
      </c>
      <c r="AE41" s="503">
        <f>AE39-AE40</f>
        <v>0</v>
      </c>
      <c r="AF41" s="503">
        <f>AF39-AF40</f>
        <v>0</v>
      </c>
      <c r="AG41" s="498"/>
      <c r="AH41" s="498"/>
      <c r="AI41" s="1012" t="s">
        <v>2262</v>
      </c>
    </row>
    <row s="498" customFormat="1" customHeight="1" ht="14.625" hidden="1">
      <c r="A42" s="498"/>
      <c r="B42" s="498"/>
      <c r="C42" s="498"/>
      <c r="D42" s="498"/>
      <c r="E42" s="650">
        <v>15</v>
      </c>
      <c r="F42" s="50" cm="1" t="str">
        <f t="array" ref="F42:F42">OFFSET(E42,-1,1)</f>
        <v>0</v>
      </c>
      <c r="G42" s="498"/>
      <c r="H42" s="461" t="s">
        <v>484</v>
      </c>
      <c r="I42" s="461"/>
      <c r="J42" s="461"/>
      <c r="K42" s="461"/>
      <c r="L42" s="498"/>
      <c r="M42" s="498"/>
      <c r="N42" s="498"/>
      <c r="O42" s="498"/>
      <c r="P42" s="498"/>
      <c r="Q42" s="498"/>
      <c r="R42" s="498"/>
      <c r="S42" s="498"/>
      <c r="T42" s="438" cm="1" t="str">
        <f t="array" ref="T42:T42">T41</f>
        <v>false</v>
      </c>
      <c r="U42" s="498"/>
      <c r="V42" s="498"/>
      <c r="W42" s="498"/>
      <c r="X42" s="1541"/>
      <c r="Y42" s="498"/>
      <c r="Z42" s="1542"/>
      <c r="AA42" s="498"/>
      <c r="AB42" s="488" t="s">
        <v>489</v>
      </c>
      <c r="AC42" s="533" t="s">
        <v>2263</v>
      </c>
      <c r="AD42" s="488" t="s">
        <v>1476</v>
      </c>
      <c r="AE42" s="500">
        <f>IF(AE39=0,0,AE28/AE39)</f>
        <v>0</v>
      </c>
      <c r="AF42" s="500">
        <f>IF(AF39=0,0,AF28/AF39)</f>
        <v>0</v>
      </c>
      <c r="AG42" s="498"/>
      <c r="AH42" s="498"/>
      <c r="AI42" s="1012" t="s">
        <v>1044</v>
      </c>
    </row>
    <row s="498" customFormat="1" customHeight="1" ht="14.625" hidden="1">
      <c r="A43" s="498"/>
      <c r="B43" s="498"/>
      <c r="C43" s="498"/>
      <c r="D43" s="498"/>
      <c r="E43" s="650">
        <v>15</v>
      </c>
      <c r="F43" s="50" cm="1" t="str">
        <f t="array" ref="F43:F43">OFFSET(E43,-1,1)</f>
        <v>0</v>
      </c>
      <c r="G43" s="73" t="s">
        <v>1473</v>
      </c>
      <c r="H43" s="461" t="s">
        <v>669</v>
      </c>
      <c r="I43" s="461"/>
      <c r="J43" s="461"/>
      <c r="K43" s="461"/>
      <c r="L43" s="498"/>
      <c r="M43" s="498"/>
      <c r="N43" s="498"/>
      <c r="O43" s="498"/>
      <c r="P43" s="498"/>
      <c r="Q43" s="498"/>
      <c r="R43" s="498"/>
      <c r="S43" s="498"/>
      <c r="T43" s="438" cm="1" t="str">
        <f t="array" ref="T43:T43">T42</f>
        <v>false</v>
      </c>
      <c r="U43" s="498"/>
      <c r="V43" s="498"/>
      <c r="W43" s="498"/>
      <c r="X43" s="1541"/>
      <c r="Y43" s="498"/>
      <c r="Z43" s="1542"/>
      <c r="AA43" s="498"/>
      <c r="AB43" s="488" t="s">
        <v>2264</v>
      </c>
      <c r="AC43" s="1280" t="s">
        <v>2265</v>
      </c>
      <c r="AD43" s="488" t="s">
        <v>1476</v>
      </c>
      <c r="AE43" s="4022"/>
      <c r="AF43" s="4022"/>
      <c r="AG43" s="498"/>
      <c r="AH43" s="498"/>
      <c r="AI43" s="1012" t="s">
        <v>2266</v>
      </c>
    </row>
    <row s="498" customFormat="1" customHeight="1" ht="14.625" hidden="1">
      <c r="A44" s="498"/>
      <c r="B44" s="498"/>
      <c r="C44" s="498"/>
      <c r="D44" s="498"/>
      <c r="E44" s="650">
        <v>15</v>
      </c>
      <c r="F44" s="50" cm="1" t="str">
        <f t="array" ref="F44:F44">OFFSET(E44,-1,1)</f>
        <v>0</v>
      </c>
      <c r="G44" s="73" t="s">
        <v>1478</v>
      </c>
      <c r="H44" s="461" t="s">
        <v>672</v>
      </c>
      <c r="I44" s="461"/>
      <c r="J44" s="461"/>
      <c r="K44" s="461"/>
      <c r="L44" s="498"/>
      <c r="M44" s="498"/>
      <c r="N44" s="498"/>
      <c r="O44" s="498"/>
      <c r="P44" s="498"/>
      <c r="Q44" s="498"/>
      <c r="R44" s="498"/>
      <c r="S44" s="498"/>
      <c r="T44" s="438" cm="1" t="str">
        <f t="array" ref="T44:T44">T43</f>
        <v>false</v>
      </c>
      <c r="U44" s="498"/>
      <c r="V44" s="498"/>
      <c r="W44" s="498"/>
      <c r="X44" s="1541"/>
      <c r="Y44" s="498"/>
      <c r="Z44" s="1542"/>
      <c r="AA44" s="498"/>
      <c r="AB44" s="488" t="s">
        <v>2267</v>
      </c>
      <c r="AC44" s="1110" t="s">
        <v>2268</v>
      </c>
      <c r="AD44" s="488" t="s">
        <v>1476</v>
      </c>
      <c r="AE44" s="4022">
        <f>IF(AE41=0,0,(AE28-AE43*AE40)/AE41)</f>
        <v>0</v>
      </c>
      <c r="AF44" s="4022">
        <f>IF(AF41=0,0,(AF28-AF43*AF40)/AF41)</f>
        <v>0</v>
      </c>
      <c r="AG44" s="498"/>
      <c r="AH44" s="498"/>
      <c r="AI44" s="1012" t="s">
        <v>2269</v>
      </c>
    </row>
    <row customHeight="1" ht="14.625" hidden="1">
      <c r="A45" s="1412"/>
      <c r="B45" s="1412"/>
      <c r="C45" s="1412"/>
      <c r="D45" s="1412"/>
      <c r="E45" s="625">
        <v>15</v>
      </c>
      <c r="F45" s="50" cm="1" t="str">
        <f t="array" ref="F45:F45">OFFSET(E45,-1,1)</f>
        <v>0</v>
      </c>
      <c r="G45" s="1412"/>
      <c r="H45" s="461" t="s">
        <v>648</v>
      </c>
      <c r="I45" s="1412"/>
      <c r="J45" s="1412"/>
      <c r="K45" s="1412"/>
      <c r="L45" s="1412"/>
      <c r="M45" s="1412"/>
      <c r="N45" s="1412"/>
      <c r="O45" s="1412"/>
      <c r="P45" s="1412"/>
      <c r="Q45" s="1412"/>
      <c r="R45" s="1412"/>
      <c r="S45" s="1412"/>
      <c r="T45" s="438" cm="1" t="str">
        <f t="array" ref="T45:T45">T44</f>
        <v>false</v>
      </c>
      <c r="U45" s="1412"/>
      <c r="V45" s="1412"/>
      <c r="W45" s="1412"/>
      <c r="X45" s="1541"/>
      <c r="Y45" s="1412"/>
      <c r="Z45" s="1542"/>
      <c r="AA45" s="1412"/>
      <c r="AB45" s="488" t="s">
        <v>543</v>
      </c>
      <c r="AC45" s="527" t="s">
        <v>2270</v>
      </c>
      <c r="AD45" s="488" t="s">
        <v>430</v>
      </c>
      <c r="AE45" s="500">
        <f>IF(AE43=0,0,AE44/AE43*100)</f>
        <v>0</v>
      </c>
      <c r="AF45" s="500">
        <f>IF(AF43=0,0,AF44/AF43*100)</f>
        <v>0</v>
      </c>
      <c r="AG45" s="1412"/>
      <c r="AH45" s="1412"/>
      <c r="AI45" s="1002" t="s">
        <v>2271</v>
      </c>
    </row>
    <row s="1624" customFormat="1" customHeight="1" ht="20.70962905883789">
      <c r="A46" s="1412"/>
      <c r="B46" s="1412"/>
      <c r="C46" s="1412"/>
      <c r="D46" s="1412"/>
      <c r="E46" s="625">
        <v>15</v>
      </c>
      <c r="F46" s="461" cm="1" t="str">
        <f t="array" ref="F46:F46">X46</f>
        <v>1</v>
      </c>
      <c r="G46" s="1412"/>
      <c r="H46" s="1412"/>
      <c r="I46" s="1412"/>
      <c r="J46" s="1412"/>
      <c r="K46" s="1412"/>
      <c r="L46" s="1412"/>
      <c r="M46" s="1412"/>
      <c r="N46" s="1412"/>
      <c r="O46" s="1412"/>
      <c r="P46" s="1412"/>
      <c r="Q46" s="1412"/>
      <c r="R46" s="1412"/>
      <c r="S46" s="1412"/>
      <c r="T46" s="438">
        <f>X46&gt;0</f>
        <v>1</v>
      </c>
      <c r="U46" s="1412"/>
      <c r="V46" s="461" cm="1" t="str">
        <f t="array" ref="V46:V46">ГО!$AB$116</f>
        <v>Тариф 1 (Водоотведение) - тариф на транспортировку сточных вод</v>
      </c>
      <c r="W46" s="1412"/>
      <c r="X46" s="1541" t="s">
        <v>281</v>
      </c>
      <c r="Y46" s="1412"/>
      <c r="Z46" s="1542"/>
      <c r="AA46" s="1412"/>
      <c r="AB46" s="188" cm="1" t="str">
        <f t="array" ref="AB46:AB46">ГО!$AB$116</f>
        <v>Тариф 1 (Водоотведение) - тариф на транспортировку сточных вод</v>
      </c>
      <c r="AC46" s="1270"/>
      <c r="AD46" s="1271"/>
      <c r="AE46" s="1271"/>
      <c r="AF46" s="1272"/>
      <c r="AG46" s="1412"/>
      <c r="AH46" s="1412"/>
      <c r="AI46" s="1377"/>
    </row>
    <row s="498" customFormat="1" customHeight="1" ht="21.75">
      <c r="A47" s="498"/>
      <c r="B47" s="498"/>
      <c r="C47" s="498"/>
      <c r="D47" s="498"/>
      <c r="E47" s="650">
        <v>22.5</v>
      </c>
      <c r="F47" s="50" cm="1" t="str">
        <f t="array" ref="F47:F47">OFFSET(E47,-1,1)</f>
        <v>1</v>
      </c>
      <c r="G47" s="498"/>
      <c r="H47" s="461" t="s">
        <v>321</v>
      </c>
      <c r="I47" s="461"/>
      <c r="J47" s="461"/>
      <c r="K47" s="461"/>
      <c r="L47" s="498"/>
      <c r="M47" s="498"/>
      <c r="N47" s="498"/>
      <c r="O47" s="498"/>
      <c r="P47" s="498"/>
      <c r="Q47" s="498"/>
      <c r="R47" s="498"/>
      <c r="S47" s="498"/>
      <c r="T47" s="438" cm="1" t="str">
        <f t="array" ref="T47:T47">T46</f>
        <v>true</v>
      </c>
      <c r="U47" s="498"/>
      <c r="V47" s="498"/>
      <c r="W47" s="498"/>
      <c r="X47" s="1541"/>
      <c r="Y47" s="498"/>
      <c r="Z47" s="1542"/>
      <c r="AA47" s="498"/>
      <c r="AB47" s="488" t="s">
        <v>281</v>
      </c>
      <c r="AC47" s="504" t="s">
        <v>2238</v>
      </c>
      <c r="AD47" s="488" t="s">
        <v>789</v>
      </c>
      <c r="AE47" s="500">
        <f>(AE48+AE56)*AE54</f>
        <v>125.136137925107</v>
      </c>
      <c r="AF47" s="500">
        <f>(AF48+AF56)*AF54</f>
        <v>99.0138591226798</v>
      </c>
      <c r="AG47" s="498"/>
      <c r="AH47" s="498"/>
      <c r="AI47" s="1012" t="s">
        <v>2239</v>
      </c>
    </row>
    <row s="1624" customFormat="1" customHeight="1" ht="21.75">
      <c r="A48" s="1412"/>
      <c r="B48" s="1412"/>
      <c r="C48" s="1412"/>
      <c r="D48" s="1412"/>
      <c r="E48" s="625">
        <v>22.5</v>
      </c>
      <c r="F48" s="50" cm="1" t="str">
        <f t="array" ref="F48:F48">OFFSET(E48,-1,1)</f>
        <v>1</v>
      </c>
      <c r="G48" s="461" t="s">
        <v>2240</v>
      </c>
      <c r="H48" s="461" t="s">
        <v>322</v>
      </c>
      <c r="I48" s="1412"/>
      <c r="J48" s="1412"/>
      <c r="K48" s="461" t="str">
        <f>F48&amp;G48</f>
        <v>1УТР</v>
      </c>
      <c r="L48" s="1064" cm="1" t="str">
        <f t="array" ref="L48:L48">AE48</f>
        <v>175.45</v>
      </c>
      <c r="M48" s="1064" cm="1" t="str">
        <f t="array" ref="M48:M48">AF48</f>
        <v>221.750097510373</v>
      </c>
      <c r="N48" s="1412"/>
      <c r="O48" s="1412"/>
      <c r="P48" s="1412"/>
      <c r="Q48" s="1412"/>
      <c r="R48" s="1412"/>
      <c r="S48" s="1412"/>
      <c r="T48" s="438" cm="1" t="str">
        <f t="array" ref="T48:T48">T47</f>
        <v>true</v>
      </c>
      <c r="U48" s="1412"/>
      <c r="V48" s="1412"/>
      <c r="W48" s="1412"/>
      <c r="X48" s="1541"/>
      <c r="Y48" s="1412"/>
      <c r="Z48" s="1542"/>
      <c r="AA48" s="1412"/>
      <c r="AB48" s="488" t="s">
        <v>504</v>
      </c>
      <c r="AC48" s="499" t="s">
        <v>981</v>
      </c>
      <c r="AD48" s="488" t="s">
        <v>973</v>
      </c>
      <c r="AE48" s="1063" cm="1" t="str">
        <f t="array" ref="AE48:AE48">IF(AE53=0,0,(AE49-IF(_xlfn.SUMIFS('Перечень объектов'!AH$24:AH$51,'Перечень объектов'!$F$24:$F$51,$F48,'Перечень объектов'!$G$24:$G$51,"ЭЭ")&gt;0,0,AE50))/AE53)</f>
        <v>175.45</v>
      </c>
      <c r="AF48" s="1063" cm="1" t="str">
        <f t="array" ref="AF48:AF48">IF(AF53=0,0,(AF49-IF(_xlfn.SUMIFS('Перечень объектов'!AI$24:AI$51,'Перечень объектов'!$F$24:$F$51,$F48,'Перечень объектов'!$G$24:$G$51,"ЭЭ")&gt;0,0,AF50))/AF53)</f>
        <v>221.750097510373</v>
      </c>
      <c r="AG48" s="1412"/>
      <c r="AH48" s="1412"/>
      <c r="AI48" s="1002" t="s">
        <v>2241</v>
      </c>
    </row>
    <row s="1624" customFormat="1" customHeight="1" ht="32.25">
      <c r="A49" s="1412"/>
      <c r="B49" s="1412"/>
      <c r="C49" s="1412"/>
      <c r="D49" s="1412"/>
      <c r="E49" s="625">
        <v>33.75</v>
      </c>
      <c r="F49" s="50" cm="1" t="str">
        <f t="array" ref="F49:F49">OFFSET(E49,-1,1)</f>
        <v>1</v>
      </c>
      <c r="G49" s="1412"/>
      <c r="H49" s="461" t="s">
        <v>452</v>
      </c>
      <c r="I49" s="1412"/>
      <c r="J49" s="1412"/>
      <c r="K49" s="1412"/>
      <c r="L49" s="1412"/>
      <c r="M49" s="1412"/>
      <c r="N49" s="1412"/>
      <c r="O49" s="1412"/>
      <c r="P49" s="1412"/>
      <c r="Q49" s="1412"/>
      <c r="R49" s="1412"/>
      <c r="S49" s="1412"/>
      <c r="T49" s="438" cm="1" t="str">
        <f t="array" ref="T49:T49">T48</f>
        <v>true</v>
      </c>
      <c r="U49" s="1412"/>
      <c r="V49" s="1412"/>
      <c r="W49" s="1412"/>
      <c r="X49" s="1541"/>
      <c r="Y49" s="1412"/>
      <c r="Z49" s="1542"/>
      <c r="AA49" s="1412"/>
      <c r="AB49" s="488" t="s">
        <v>509</v>
      </c>
      <c r="AC49" s="535" t="s">
        <v>2242</v>
      </c>
      <c r="AD49" s="488" t="s">
        <v>789</v>
      </c>
      <c r="AE49" s="507">
        <v>526.35</v>
      </c>
      <c r="AF49" s="500">
        <f>_xlfn.SUMIFS(ГО!AE$25:AE$205,ГО!$F$25:$F$205,$F49,ГО!$G$25:$G$205,"Итог")*(1+AF51/100)*(1+AF52/100)</f>
        <v>726.8081196</v>
      </c>
      <c r="AG49" s="1412"/>
      <c r="AH49" s="1412"/>
      <c r="AI49" s="1002" t="s">
        <v>2243</v>
      </c>
    </row>
    <row s="498" customFormat="1" customHeight="1" ht="19.459629058837894">
      <c r="A50" s="498"/>
      <c r="B50" s="498"/>
      <c r="C50" s="498"/>
      <c r="D50" s="498"/>
      <c r="E50" s="650">
        <v>15</v>
      </c>
      <c r="F50" s="50" cm="1" t="str">
        <f t="array" ref="F50:F50">OFFSET(E50,-1,1)</f>
        <v>1</v>
      </c>
      <c r="G50" s="498"/>
      <c r="H50" s="461" t="s">
        <v>1434</v>
      </c>
      <c r="I50" s="461"/>
      <c r="J50" s="461"/>
      <c r="K50" s="461"/>
      <c r="L50" s="498"/>
      <c r="M50" s="498"/>
      <c r="N50" s="498"/>
      <c r="O50" s="498"/>
      <c r="P50" s="498"/>
      <c r="Q50" s="498"/>
      <c r="R50" s="498"/>
      <c r="S50" s="498"/>
      <c r="T50" s="438" cm="1" t="str">
        <f t="array" ref="T50:T50">T49</f>
        <v>true</v>
      </c>
      <c r="U50" s="498"/>
      <c r="V50" s="498"/>
      <c r="W50" s="498"/>
      <c r="X50" s="1541"/>
      <c r="Y50" s="498"/>
      <c r="Z50" s="1542"/>
      <c r="AA50" s="498"/>
      <c r="AB50" s="488" t="s">
        <v>460</v>
      </c>
      <c r="AC50" s="1273" t="s">
        <v>2244</v>
      </c>
      <c r="AD50" s="488" t="s">
        <v>789</v>
      </c>
      <c r="AE50" s="507"/>
      <c r="AF50" s="500">
        <f>_xlfn.SUMIFS(ГО!AE$25:AE$205,ГО!$F$25:$F$205,$F50,ГО!$G$25:$G$205,"ЭЭ")*(1+AF51/100)*(1+AF52/100)</f>
        <v>0</v>
      </c>
      <c r="AG50" s="498"/>
      <c r="AH50" s="498"/>
      <c r="AI50" s="1012" t="s">
        <v>1580</v>
      </c>
    </row>
    <row s="498" customFormat="1" customHeight="1" ht="19.459629058837894">
      <c r="A51" s="498"/>
      <c r="B51" s="498"/>
      <c r="C51" s="498"/>
      <c r="D51" s="498"/>
      <c r="E51" s="650">
        <v>15</v>
      </c>
      <c r="F51" s="50" cm="1" t="str">
        <f t="array" ref="F51:F51">OFFSET(E51,-1,1)</f>
        <v>1</v>
      </c>
      <c r="G51" s="498"/>
      <c r="H51" s="461" t="s">
        <v>455</v>
      </c>
      <c r="I51" s="461"/>
      <c r="J51" s="461"/>
      <c r="K51" s="461"/>
      <c r="L51" s="498"/>
      <c r="M51" s="498"/>
      <c r="N51" s="498"/>
      <c r="O51" s="498"/>
      <c r="P51" s="498"/>
      <c r="Q51" s="498"/>
      <c r="R51" s="498"/>
      <c r="S51" s="498"/>
      <c r="T51" s="438" cm="1" t="str">
        <f t="array" ref="T51:T51">T50</f>
        <v>true</v>
      </c>
      <c r="U51" s="498"/>
      <c r="V51" s="498"/>
      <c r="W51" s="498"/>
      <c r="X51" s="1541"/>
      <c r="Y51" s="498"/>
      <c r="Z51" s="1542"/>
      <c r="AA51" s="498"/>
      <c r="AB51" s="488" t="s">
        <v>513</v>
      </c>
      <c r="AC51" s="535" t="str">
        <f>"индекс потребительских цен на "&amp;god-1&amp;" год"</f>
        <v>индекс потребительских цен на 2025 год</v>
      </c>
      <c r="AD51" s="488" t="s">
        <v>430</v>
      </c>
      <c r="AE51" s="507">
        <v>1.1</v>
      </c>
      <c r="AF51" s="507">
        <v>9</v>
      </c>
      <c r="AG51" s="498"/>
      <c r="AH51" s="498"/>
      <c r="AI51" s="1012" t="s">
        <v>2245</v>
      </c>
    </row>
    <row s="498" customFormat="1" customHeight="1" ht="21.33462905883789">
      <c r="A52" s="498"/>
      <c r="B52" s="498"/>
      <c r="C52" s="498"/>
      <c r="D52" s="498"/>
      <c r="E52" s="650">
        <v>15</v>
      </c>
      <c r="F52" s="50" cm="1" t="str">
        <f t="array" ref="F52:F52">OFFSET(E52,-1,1)</f>
        <v>1</v>
      </c>
      <c r="G52" s="498"/>
      <c r="H52" s="461" t="s">
        <v>864</v>
      </c>
      <c r="I52" s="461"/>
      <c r="J52" s="461"/>
      <c r="K52" s="461"/>
      <c r="L52" s="498"/>
      <c r="M52" s="498"/>
      <c r="N52" s="498"/>
      <c r="O52" s="498"/>
      <c r="P52" s="498"/>
      <c r="Q52" s="498"/>
      <c r="R52" s="498"/>
      <c r="S52" s="498"/>
      <c r="T52" s="438" cm="1" t="str">
        <f t="array" ref="T52:T52">T51</f>
        <v>true</v>
      </c>
      <c r="U52" s="498"/>
      <c r="V52" s="498"/>
      <c r="W52" s="498"/>
      <c r="X52" s="1541"/>
      <c r="Y52" s="498"/>
      <c r="Z52" s="1542"/>
      <c r="AA52" s="498"/>
      <c r="AB52" s="488" t="s">
        <v>517</v>
      </c>
      <c r="AC52" s="535" t="str">
        <f>"индекс потребительских цен на "&amp;god&amp;" год"</f>
        <v>индекс потребительских цен на 2026 год</v>
      </c>
      <c r="AD52" s="488" t="s">
        <v>430</v>
      </c>
      <c r="AE52" s="507">
        <v>1.043</v>
      </c>
      <c r="AF52" s="507">
        <v>5.1</v>
      </c>
      <c r="AG52" s="498"/>
      <c r="AH52" s="498"/>
      <c r="AI52" s="1012" t="s">
        <v>2246</v>
      </c>
    </row>
    <row s="498" customFormat="1" customHeight="1" ht="21.75">
      <c r="A53" s="498"/>
      <c r="B53" s="498"/>
      <c r="C53" s="498"/>
      <c r="D53" s="498"/>
      <c r="E53" s="650">
        <v>22.5</v>
      </c>
      <c r="F53" s="50" cm="1" t="str">
        <f t="array" ref="F53:F53">OFFSET(E53,-1,1)</f>
        <v>1</v>
      </c>
      <c r="G53" s="498"/>
      <c r="H53" s="461" t="s">
        <v>866</v>
      </c>
      <c r="I53" s="461"/>
      <c r="J53" s="461"/>
      <c r="K53" s="461"/>
      <c r="L53" s="498"/>
      <c r="M53" s="498"/>
      <c r="N53" s="498"/>
      <c r="O53" s="498"/>
      <c r="P53" s="498"/>
      <c r="Q53" s="498"/>
      <c r="R53" s="498"/>
      <c r="S53" s="498"/>
      <c r="T53" s="438" cm="1" t="str">
        <f t="array" ref="T53:T53">T52</f>
        <v>true</v>
      </c>
      <c r="U53" s="498"/>
      <c r="V53" s="498"/>
      <c r="W53" s="498"/>
      <c r="X53" s="1541"/>
      <c r="Y53" s="498"/>
      <c r="Z53" s="1542"/>
      <c r="AA53" s="498"/>
      <c r="AB53" s="488" t="s">
        <v>867</v>
      </c>
      <c r="AC53" s="535" t="s">
        <v>2247</v>
      </c>
      <c r="AD53" s="488" t="s">
        <v>768</v>
      </c>
      <c r="AE53" s="507">
        <v>3</v>
      </c>
      <c r="AF53" s="507">
        <f>3.2776</f>
        <v>3.2776</v>
      </c>
      <c r="AG53" s="498"/>
      <c r="AH53" s="498"/>
      <c r="AI53" s="1012" t="s">
        <v>2248</v>
      </c>
    </row>
    <row s="498" customFormat="1" customHeight="1" ht="31.334629058837894">
      <c r="A54" s="498"/>
      <c r="B54" s="498"/>
      <c r="C54" s="498"/>
      <c r="D54" s="498"/>
      <c r="E54" s="650">
        <v>15</v>
      </c>
      <c r="F54" s="50" cm="1" t="str">
        <f t="array" ref="F54:F54">OFFSET(E54,-1,1)</f>
        <v>1</v>
      </c>
      <c r="G54" s="498"/>
      <c r="H54" s="461" t="s">
        <v>323</v>
      </c>
      <c r="I54" s="461"/>
      <c r="J54" s="461"/>
      <c r="K54" s="461"/>
      <c r="L54" s="498"/>
      <c r="M54" s="498"/>
      <c r="N54" s="498"/>
      <c r="O54" s="498"/>
      <c r="P54" s="498"/>
      <c r="Q54" s="498"/>
      <c r="R54" s="498"/>
      <c r="S54" s="498"/>
      <c r="T54" s="438" cm="1" t="str">
        <f t="array" ref="T54:T54">T53</f>
        <v>true</v>
      </c>
      <c r="U54" s="498"/>
      <c r="V54" s="498"/>
      <c r="W54" s="498"/>
      <c r="X54" s="1541"/>
      <c r="Y54" s="498"/>
      <c r="Z54" s="1542"/>
      <c r="AA54" s="498"/>
      <c r="AB54" s="488" t="s">
        <v>319</v>
      </c>
      <c r="AC54" s="1274" t="s">
        <v>2249</v>
      </c>
      <c r="AD54" s="488" t="s">
        <v>768</v>
      </c>
      <c r="AE54" s="503">
        <f>_xlfn.SUMIFS('Условные метры'!AL$27:AL$36,'Условные метры'!$F$27:$F$36,$F54,'Условные метры'!$G$27:$G$36,"Итог")</f>
        <v>0.713229626247401</v>
      </c>
      <c r="AF54" s="503">
        <f>_xlfn.SUMIFS('Условные метры'!AN$27:AN$36,'Условные метры'!$F$27:$F$36,$F54,'Условные метры'!$G$27:$G$36,"Итог")</f>
        <v>0.446511006012289</v>
      </c>
      <c r="AG54" s="498"/>
      <c r="AH54" s="498"/>
      <c r="AI54" s="1012" t="s">
        <v>2250</v>
      </c>
    </row>
    <row s="498" customFormat="1" customHeight="1" ht="27.584629058837894">
      <c r="A55" s="498"/>
      <c r="B55" s="498"/>
      <c r="C55" s="498"/>
      <c r="D55" s="498"/>
      <c r="E55" s="650">
        <v>15</v>
      </c>
      <c r="F55" s="50" cm="1" t="str">
        <f t="array" ref="F55:F55">OFFSET(E55,-1,1)</f>
        <v>1</v>
      </c>
      <c r="G55" s="498"/>
      <c r="H55" s="461" t="s">
        <v>874</v>
      </c>
      <c r="I55" s="461"/>
      <c r="J55" s="461"/>
      <c r="K55" s="461"/>
      <c r="L55" s="498"/>
      <c r="M55" s="498"/>
      <c r="N55" s="498"/>
      <c r="O55" s="498"/>
      <c r="P55" s="498"/>
      <c r="Q55" s="498"/>
      <c r="R55" s="498"/>
      <c r="S55" s="498"/>
      <c r="T55" s="438" cm="1" t="str">
        <f t="array" ref="T55:T55">T54</f>
        <v>true</v>
      </c>
      <c r="U55" s="498"/>
      <c r="V55" s="498"/>
      <c r="W55" s="498"/>
      <c r="X55" s="1541"/>
      <c r="Y55" s="498"/>
      <c r="Z55" s="1542"/>
      <c r="AA55" s="498"/>
      <c r="AB55" s="488" t="s">
        <v>523</v>
      </c>
      <c r="AC55" s="535" t="s">
        <v>2251</v>
      </c>
      <c r="AD55" s="488" t="s">
        <v>377</v>
      </c>
      <c r="AE55" s="503">
        <f>_xlfn.SUMIFS('Условные метры'!AK$27:AK$36,'Условные метры'!$F$27:$F$36,$F55,'Условные метры'!$G$27:$G$36,"Итог")</f>
        <v>1.053</v>
      </c>
      <c r="AF55" s="503">
        <f>_xlfn.SUMIFS('Условные метры'!AM$27:AM$36,'Условные метры'!$F$27:$F$36,$F55,'Условные метры'!$G$27:$G$36,"Итог")</f>
        <v>1.053</v>
      </c>
      <c r="AG55" s="498"/>
      <c r="AH55" s="498"/>
      <c r="AI55" s="1012" t="s">
        <v>2252</v>
      </c>
    </row>
    <row s="498" customFormat="1" customHeight="1" ht="25.08462905883789">
      <c r="A56" s="498"/>
      <c r="B56" s="498"/>
      <c r="C56" s="498"/>
      <c r="D56" s="498"/>
      <c r="E56" s="650">
        <v>15</v>
      </c>
      <c r="F56" s="50" cm="1" t="str">
        <f t="array" ref="F56:F56">OFFSET(E56,-1,1)</f>
        <v>1</v>
      </c>
      <c r="G56" s="498"/>
      <c r="H56" s="461" t="s">
        <v>325</v>
      </c>
      <c r="I56" s="461"/>
      <c r="J56" s="461"/>
      <c r="K56" s="461"/>
      <c r="L56" s="498"/>
      <c r="M56" s="498"/>
      <c r="N56" s="498"/>
      <c r="O56" s="498"/>
      <c r="P56" s="498"/>
      <c r="Q56" s="498"/>
      <c r="R56" s="498"/>
      <c r="S56" s="498"/>
      <c r="T56" s="438" cm="1" t="str">
        <f t="array" ref="T56:T56">T55</f>
        <v>true</v>
      </c>
      <c r="U56" s="498"/>
      <c r="V56" s="498"/>
      <c r="W56" s="498"/>
      <c r="X56" s="1541"/>
      <c r="Y56" s="498"/>
      <c r="Z56" s="1542"/>
      <c r="AA56" s="498"/>
      <c r="AB56" s="488" t="s">
        <v>530</v>
      </c>
      <c r="AC56" s="534" t="s">
        <v>2253</v>
      </c>
      <c r="AD56" s="488" t="s">
        <v>973</v>
      </c>
      <c r="AE56" s="503">
        <f>_xlfn.SUMIFS('Амортизация (аналог)'!AE$25:AE$41,'Амортизация (аналог)'!$F$25:$F$41,$F56,'Амортизация (аналог)'!$AB$25:$AB$41,"2")</f>
        <v>0</v>
      </c>
      <c r="AF56" s="503">
        <f>_xlfn.SUMIFS('Амортизация (аналог)'!AF$25:AF$41,'Амортизация (аналог)'!$F$25:$F$41,$F56,'Амортизация (аналог)'!$AB$25:$AB$41,"2")</f>
        <v>0</v>
      </c>
      <c r="AG56" s="498"/>
      <c r="AH56" s="498"/>
      <c r="AI56" s="1012" t="s">
        <v>2254</v>
      </c>
    </row>
    <row s="498" customFormat="1" customHeight="1" ht="24.45962905883789">
      <c r="A57" s="498"/>
      <c r="B57" s="498"/>
      <c r="C57" s="498"/>
      <c r="D57" s="498"/>
      <c r="E57" s="650">
        <v>15</v>
      </c>
      <c r="F57" s="50" cm="1" t="str">
        <f t="array" ref="F57:F57">OFFSET(E57,-1,1)</f>
        <v>1</v>
      </c>
      <c r="G57" s="498"/>
      <c r="H57" s="461" t="s">
        <v>508</v>
      </c>
      <c r="I57" s="461"/>
      <c r="J57" s="461"/>
      <c r="K57" s="461"/>
      <c r="L57" s="498"/>
      <c r="M57" s="498"/>
      <c r="N57" s="498"/>
      <c r="O57" s="498"/>
      <c r="P57" s="498"/>
      <c r="Q57" s="498"/>
      <c r="R57" s="498"/>
      <c r="S57" s="498"/>
      <c r="T57" s="438" cm="1" t="str">
        <f t="array" ref="T57:T57">T56</f>
        <v>true</v>
      </c>
      <c r="U57" s="498"/>
      <c r="V57" s="498"/>
      <c r="W57" s="498"/>
      <c r="X57" s="1541"/>
      <c r="Y57" s="498"/>
      <c r="Z57" s="1542"/>
      <c r="AA57" s="498"/>
      <c r="AB57" s="488" t="s">
        <v>646</v>
      </c>
      <c r="AC57" s="1275" t="s">
        <v>2255</v>
      </c>
      <c r="AD57" s="488" t="s">
        <v>430</v>
      </c>
      <c r="AE57" s="500">
        <f>IF(AE48=0,0,AE56/AE48*100)</f>
        <v>0</v>
      </c>
      <c r="AF57" s="500">
        <f>IF(AF48=0,0,AF56/AF48*100)</f>
        <v>0</v>
      </c>
      <c r="AG57" s="498"/>
      <c r="AH57" s="498"/>
      <c r="AI57" s="1012" t="s">
        <v>2256</v>
      </c>
    </row>
    <row s="498" customFormat="1" customHeight="1" ht="25.709629058837894">
      <c r="A58" s="498"/>
      <c r="B58" s="498"/>
      <c r="C58" s="498"/>
      <c r="D58" s="498"/>
      <c r="E58" s="650">
        <v>22.5</v>
      </c>
      <c r="F58" s="50" cm="1" t="str">
        <f t="array" ref="F58:F58">OFFSET(E58,-1,1)</f>
        <v>1</v>
      </c>
      <c r="G58" s="124" t="s">
        <v>1485</v>
      </c>
      <c r="H58" s="461" t="s">
        <v>324</v>
      </c>
      <c r="I58" s="461"/>
      <c r="J58" s="461"/>
      <c r="K58" s="461"/>
      <c r="L58" s="498"/>
      <c r="M58" s="498"/>
      <c r="N58" s="498"/>
      <c r="O58" s="498"/>
      <c r="P58" s="498"/>
      <c r="Q58" s="498"/>
      <c r="R58" s="498"/>
      <c r="S58" s="498"/>
      <c r="T58" s="438" cm="1" t="str">
        <f t="array" ref="T58:T58">T57</f>
        <v>true</v>
      </c>
      <c r="U58" s="498"/>
      <c r="V58" s="498"/>
      <c r="W58" s="498"/>
      <c r="X58" s="1541"/>
      <c r="Y58" s="498"/>
      <c r="Z58" s="1542"/>
      <c r="AA58" s="498"/>
      <c r="AB58" s="488" t="s">
        <v>485</v>
      </c>
      <c r="AC58" s="1276" t="s">
        <v>2257</v>
      </c>
      <c r="AD58" s="488" t="s">
        <v>2258</v>
      </c>
      <c r="AE58" s="503">
        <f>_xlfn.SUMIFS(Баланс!$AI$25:$AI$209,Баланс!$F$25:$F$209,$F58,Баланс!$G$25:$G$209,"ПО")</f>
        <v>36.311</v>
      </c>
      <c r="AF58" s="503">
        <f>_xlfn.SUMIFS(Баланс!$AS$25:$AS$209,Баланс!$F$25:$F$209,$F58,Баланс!$G$25:$G$209,"ПО")</f>
        <v>35.62504</v>
      </c>
      <c r="AG58" s="498"/>
      <c r="AH58" s="498"/>
      <c r="AI58" s="1012" t="s">
        <v>997</v>
      </c>
    </row>
    <row s="498" customFormat="1" customHeight="1" ht="25.08462905883789">
      <c r="A59" s="498"/>
      <c r="B59" s="498"/>
      <c r="C59" s="498"/>
      <c r="D59" s="498"/>
      <c r="E59" s="650">
        <v>15</v>
      </c>
      <c r="F59" s="50" cm="1" t="str">
        <f t="array" ref="F59:F59">OFFSET(E59,-1,1)</f>
        <v>1</v>
      </c>
      <c r="G59" s="1277" t="s">
        <v>1512</v>
      </c>
      <c r="H59" s="461" t="s">
        <v>522</v>
      </c>
      <c r="I59" s="461"/>
      <c r="J59" s="461"/>
      <c r="K59" s="461"/>
      <c r="L59" s="498"/>
      <c r="M59" s="498"/>
      <c r="N59" s="498"/>
      <c r="O59" s="498"/>
      <c r="P59" s="498"/>
      <c r="Q59" s="498"/>
      <c r="R59" s="498"/>
      <c r="S59" s="498"/>
      <c r="T59" s="438" cm="1" t="str">
        <f t="array" ref="T59:T59">T58</f>
        <v>true</v>
      </c>
      <c r="U59" s="498"/>
      <c r="V59" s="498"/>
      <c r="W59" s="498"/>
      <c r="X59" s="1541"/>
      <c r="Y59" s="498"/>
      <c r="Z59" s="1542"/>
      <c r="AA59" s="498"/>
      <c r="AB59" s="488" t="s">
        <v>653</v>
      </c>
      <c r="AC59" s="1278" t="s">
        <v>2259</v>
      </c>
      <c r="AD59" s="488" t="s">
        <v>2258</v>
      </c>
      <c r="AE59" s="1279">
        <v>18.156</v>
      </c>
      <c r="AF59" s="1279">
        <v>26.71878</v>
      </c>
      <c r="AG59" s="498"/>
      <c r="AH59" s="498"/>
      <c r="AI59" s="1012" t="s">
        <v>2260</v>
      </c>
    </row>
    <row s="498" customFormat="1" customHeight="1" ht="23.83462905883789">
      <c r="A60" s="498"/>
      <c r="B60" s="498"/>
      <c r="C60" s="498"/>
      <c r="D60" s="498"/>
      <c r="E60" s="650">
        <v>15</v>
      </c>
      <c r="F60" s="50" cm="1" t="str">
        <f t="array" ref="F60:F60">OFFSET(E60,-1,1)</f>
        <v>1</v>
      </c>
      <c r="G60" s="73" t="s">
        <v>1525</v>
      </c>
      <c r="H60" s="461" t="s">
        <v>526</v>
      </c>
      <c r="I60" s="461"/>
      <c r="J60" s="461"/>
      <c r="K60" s="461"/>
      <c r="L60" s="498"/>
      <c r="M60" s="498"/>
      <c r="N60" s="498"/>
      <c r="O60" s="498"/>
      <c r="P60" s="498"/>
      <c r="Q60" s="498"/>
      <c r="R60" s="498"/>
      <c r="S60" s="498"/>
      <c r="T60" s="438" cm="1" t="str">
        <f t="array" ref="T60:T60">T59</f>
        <v>true</v>
      </c>
      <c r="U60" s="498"/>
      <c r="V60" s="498"/>
      <c r="W60" s="498"/>
      <c r="X60" s="1541"/>
      <c r="Y60" s="498"/>
      <c r="Z60" s="1542"/>
      <c r="AA60" s="498"/>
      <c r="AB60" s="488" t="s">
        <v>656</v>
      </c>
      <c r="AC60" s="1109" t="s">
        <v>2261</v>
      </c>
      <c r="AD60" s="488" t="s">
        <v>2258</v>
      </c>
      <c r="AE60" s="503">
        <f>AE58-AE59</f>
        <v>18.155</v>
      </c>
      <c r="AF60" s="503">
        <f>AF58-AF59</f>
        <v>8.90626</v>
      </c>
      <c r="AG60" s="498"/>
      <c r="AH60" s="498"/>
      <c r="AI60" s="1012" t="s">
        <v>2262</v>
      </c>
    </row>
    <row s="498" customFormat="1" customHeight="1" ht="19.459629058837894">
      <c r="A61" s="498"/>
      <c r="B61" s="498"/>
      <c r="C61" s="498"/>
      <c r="D61" s="498"/>
      <c r="E61" s="650">
        <v>15</v>
      </c>
      <c r="F61" s="50" cm="1" t="str">
        <f t="array" ref="F61:F61">OFFSET(E61,-1,1)</f>
        <v>1</v>
      </c>
      <c r="G61" s="498"/>
      <c r="H61" s="461" t="s">
        <v>484</v>
      </c>
      <c r="I61" s="461"/>
      <c r="J61" s="461"/>
      <c r="K61" s="461"/>
      <c r="L61" s="498"/>
      <c r="M61" s="498"/>
      <c r="N61" s="498"/>
      <c r="O61" s="498"/>
      <c r="P61" s="498"/>
      <c r="Q61" s="498"/>
      <c r="R61" s="498"/>
      <c r="S61" s="498"/>
      <c r="T61" s="438" cm="1" t="str">
        <f t="array" ref="T61:T61">T60</f>
        <v>true</v>
      </c>
      <c r="U61" s="498"/>
      <c r="V61" s="498"/>
      <c r="W61" s="498"/>
      <c r="X61" s="1541"/>
      <c r="Y61" s="498"/>
      <c r="Z61" s="1542"/>
      <c r="AA61" s="498"/>
      <c r="AB61" s="488" t="s">
        <v>489</v>
      </c>
      <c r="AC61" s="533" t="s">
        <v>2263</v>
      </c>
      <c r="AD61" s="488" t="s">
        <v>1476</v>
      </c>
      <c r="AE61" s="500">
        <f>IF(AE58=0,0,AE47/AE58)</f>
        <v>3.44623221407031</v>
      </c>
      <c r="AF61" s="500">
        <f>IF(AF58=0,0,AF47/AF58)</f>
        <v>2.77933327577119</v>
      </c>
      <c r="AG61" s="498"/>
      <c r="AH61" s="498"/>
      <c r="AI61" s="1012" t="s">
        <v>1044</v>
      </c>
    </row>
    <row s="498" customFormat="1" customHeight="1" ht="28.20962905883789">
      <c r="A62" s="498"/>
      <c r="B62" s="498"/>
      <c r="C62" s="498"/>
      <c r="D62" s="498"/>
      <c r="E62" s="650">
        <v>15</v>
      </c>
      <c r="F62" s="50" cm="1" t="str">
        <f t="array" ref="F62:F62">OFFSET(E62,-1,1)</f>
        <v>1</v>
      </c>
      <c r="G62" s="73" t="s">
        <v>1473</v>
      </c>
      <c r="H62" s="461" t="s">
        <v>669</v>
      </c>
      <c r="I62" s="461"/>
      <c r="J62" s="461"/>
      <c r="K62" s="461"/>
      <c r="L62" s="498"/>
      <c r="M62" s="498"/>
      <c r="N62" s="498"/>
      <c r="O62" s="498"/>
      <c r="P62" s="498"/>
      <c r="Q62" s="498"/>
      <c r="R62" s="498"/>
      <c r="S62" s="498"/>
      <c r="T62" s="438" cm="1" t="str">
        <f t="array" ref="T62:T62">T61</f>
        <v>true</v>
      </c>
      <c r="U62" s="498"/>
      <c r="V62" s="498"/>
      <c r="W62" s="498"/>
      <c r="X62" s="1541"/>
      <c r="Y62" s="498"/>
      <c r="Z62" s="1542"/>
      <c r="AA62" s="498"/>
      <c r="AB62" s="488" t="s">
        <v>2264</v>
      </c>
      <c r="AC62" s="1280" t="s">
        <v>2265</v>
      </c>
      <c r="AD62" s="488" t="s">
        <v>1476</v>
      </c>
      <c r="AE62" s="507">
        <v>2.88</v>
      </c>
      <c r="AF62" s="507">
        <v>2.78</v>
      </c>
      <c r="AG62" s="498"/>
      <c r="AH62" s="498"/>
      <c r="AI62" s="1012" t="s">
        <v>2266</v>
      </c>
    </row>
    <row s="498" customFormat="1" customHeight="1" ht="24.45962905883789">
      <c r="A63" s="498"/>
      <c r="B63" s="498"/>
      <c r="C63" s="498"/>
      <c r="D63" s="498"/>
      <c r="E63" s="650">
        <v>15</v>
      </c>
      <c r="F63" s="50" cm="1" t="str">
        <f t="array" ref="F63:F63">OFFSET(E63,-1,1)</f>
        <v>1</v>
      </c>
      <c r="G63" s="73" t="s">
        <v>1478</v>
      </c>
      <c r="H63" s="461" t="s">
        <v>672</v>
      </c>
      <c r="I63" s="461"/>
      <c r="J63" s="461"/>
      <c r="K63" s="461"/>
      <c r="L63" s="498"/>
      <c r="M63" s="498"/>
      <c r="N63" s="498"/>
      <c r="O63" s="498"/>
      <c r="P63" s="498"/>
      <c r="Q63" s="498"/>
      <c r="R63" s="498"/>
      <c r="S63" s="498"/>
      <c r="T63" s="438" cm="1" t="str">
        <f t="array" ref="T63:T63">T62</f>
        <v>true</v>
      </c>
      <c r="U63" s="498"/>
      <c r="V63" s="498"/>
      <c r="W63" s="498"/>
      <c r="X63" s="1541"/>
      <c r="Y63" s="498"/>
      <c r="Z63" s="1542"/>
      <c r="AA63" s="498"/>
      <c r="AB63" s="488" t="s">
        <v>2267</v>
      </c>
      <c r="AC63" s="1110" t="s">
        <v>2268</v>
      </c>
      <c r="AD63" s="488" t="s">
        <v>1476</v>
      </c>
      <c r="AE63" s="507">
        <f>IF(AE60=0,0,(AE47-AE62*AE59)/AE60)</f>
        <v>4.01249561691584</v>
      </c>
      <c r="AF63" s="507">
        <f>IF(AF60=0,0,(AF47-AF62*AF59)/AF60)</f>
        <v>2.77733310308477</v>
      </c>
      <c r="AG63" s="498"/>
      <c r="AH63" s="498"/>
      <c r="AI63" s="1012" t="s">
        <v>2269</v>
      </c>
    </row>
    <row s="1624" customFormat="1" customHeight="1" ht="19.459629058837894">
      <c r="A64" s="1412"/>
      <c r="B64" s="1412"/>
      <c r="C64" s="1412"/>
      <c r="D64" s="1412"/>
      <c r="E64" s="625">
        <v>15</v>
      </c>
      <c r="F64" s="50" cm="1" t="str">
        <f t="array" ref="F64:F64">OFFSET(E64,-1,1)</f>
        <v>1</v>
      </c>
      <c r="G64" s="1412"/>
      <c r="H64" s="461" t="s">
        <v>648</v>
      </c>
      <c r="I64" s="1412"/>
      <c r="J64" s="1412"/>
      <c r="K64" s="1412"/>
      <c r="L64" s="1412"/>
      <c r="M64" s="1412"/>
      <c r="N64" s="1412"/>
      <c r="O64" s="1412"/>
      <c r="P64" s="1412"/>
      <c r="Q64" s="1412"/>
      <c r="R64" s="1412"/>
      <c r="S64" s="1412"/>
      <c r="T64" s="438" cm="1" t="str">
        <f t="array" ref="T64:T64">T63</f>
        <v>true</v>
      </c>
      <c r="U64" s="1412"/>
      <c r="V64" s="1412"/>
      <c r="W64" s="1412"/>
      <c r="X64" s="1541"/>
      <c r="Y64" s="1412"/>
      <c r="Z64" s="1542"/>
      <c r="AA64" s="1412"/>
      <c r="AB64" s="488" t="s">
        <v>543</v>
      </c>
      <c r="AC64" s="527" t="s">
        <v>2270</v>
      </c>
      <c r="AD64" s="488" t="s">
        <v>430</v>
      </c>
      <c r="AE64" s="500">
        <f>IF(AE62=0,0,AE63/AE62*100)</f>
        <v>139.322764476244</v>
      </c>
      <c r="AF64" s="500">
        <f>IF(AF62=0,0,AF63/AF62*100)</f>
        <v>99.9040684562867</v>
      </c>
      <c r="AG64" s="1412"/>
      <c r="AH64" s="1412"/>
      <c r="AI64" s="1002" t="s">
        <v>2271</v>
      </c>
    </row>
    <row customHeight="1" ht="10.96875">
      <c r="E65" s="625">
        <v>11.25</v>
      </c>
      <c r="U65" s="461" t="s">
        <v>176</v>
      </c>
      <c r="V65" s="693" t="s">
        <v>2272</v>
      </c>
      <c r="AB65" s="508"/>
      <c r="AC65" s="509"/>
      <c r="AD65" s="508"/>
      <c r="AE65" s="510"/>
    </row>
    <row customHeight="1" ht="44.606249999999996">
      <c r="E66" s="625">
        <v>45.75</v>
      </c>
      <c r="AB66" s="1605" t="s">
        <v>2273</v>
      </c>
      <c r="AC66" s="1605"/>
      <c r="AD66" s="1605"/>
      <c r="AE66" s="1605"/>
      <c r="AF66" s="1605"/>
    </row>
    <row customHeight="1" ht="10.96875">
      <c r="E67" s="625">
        <v>11.25</v>
      </c>
      <c r="AB67" s="508"/>
      <c r="AC67" s="509"/>
      <c r="AD67" s="508"/>
      <c r="AE67" s="510"/>
    </row>
    <row s="1282" customFormat="1" customHeight="1" ht="14.625">
      <c r="E68" s="692">
        <v>15</v>
      </c>
      <c r="AB68" s="1522" t="s">
        <v>392</v>
      </c>
      <c r="AC68" s="1522"/>
      <c r="AD68" s="1522"/>
      <c r="AE68" s="1543"/>
      <c r="AF68" s="1543"/>
      <c r="AI68" s="1054"/>
    </row>
    <row s="1282" customFormat="1" customHeight="1" ht="34.45962905883789">
      <c r="E69" s="692">
        <v>15</v>
      </c>
      <c r="AA69" s="1324"/>
      <c r="AB69" s="1544" t="s">
        <v>2274</v>
      </c>
      <c r="AC69" s="1544"/>
      <c r="AD69" s="1544"/>
      <c r="AE69" s="1545"/>
      <c r="AF69" s="1545"/>
      <c r="AI69" s="1054"/>
    </row>
    <row s="1282" customFormat="1" customHeight="1" ht="14.625" hidden="1">
      <c r="A70" s="1282"/>
      <c r="B70" s="1282"/>
      <c r="C70" s="1282"/>
      <c r="D70" s="1282"/>
      <c r="E70" s="692">
        <v>15</v>
      </c>
      <c r="F70" s="1282"/>
      <c r="G70" s="1282"/>
      <c r="H70" s="1282"/>
      <c r="I70" s="1282"/>
      <c r="J70" s="1282"/>
      <c r="K70" s="1282"/>
      <c r="L70" s="1282"/>
      <c r="M70" s="1282"/>
      <c r="N70" s="1282"/>
      <c r="O70" s="1282"/>
      <c r="P70" s="1282"/>
      <c r="Q70" s="1282"/>
      <c r="R70" s="1282"/>
      <c r="S70" s="1282"/>
      <c r="T70" s="438">
        <f>ROW(W70)&gt;ROW(W$70)</f>
        <v>0</v>
      </c>
      <c r="U70" s="1282"/>
      <c r="V70" s="1282"/>
      <c r="W70" s="528" t="s">
        <v>172</v>
      </c>
      <c r="X70" s="528"/>
      <c r="Y70" s="528"/>
      <c r="Z70" s="528"/>
      <c r="AA70" s="1281" t="s">
        <v>173</v>
      </c>
      <c r="AB70" s="2299"/>
      <c r="AC70" s="2298"/>
      <c r="AD70" s="2298"/>
      <c r="AE70" s="2298"/>
      <c r="AF70" s="2300"/>
      <c r="AG70" s="1282"/>
      <c r="AH70" s="1282"/>
      <c r="AI70" s="1054"/>
    </row>
    <row s="4040" customFormat="1" customHeight="1" ht="36.33462905883789">
      <c r="A71" s="1282"/>
      <c r="B71" s="1282"/>
      <c r="C71" s="1282"/>
      <c r="D71" s="1282"/>
      <c r="E71" s="692">
        <v>15</v>
      </c>
      <c r="F71" s="1282"/>
      <c r="G71" s="1282"/>
      <c r="H71" s="1282"/>
      <c r="I71" s="1282"/>
      <c r="J71" s="1282"/>
      <c r="K71" s="1282"/>
      <c r="L71" s="1282"/>
      <c r="M71" s="1282"/>
      <c r="N71" s="1282"/>
      <c r="O71" s="1282"/>
      <c r="P71" s="1282"/>
      <c r="Q71" s="1282"/>
      <c r="R71" s="1282"/>
      <c r="S71" s="1282"/>
      <c r="T71" s="438">
        <f>ROW(W71)&gt;ROW(W$70)</f>
        <v>1</v>
      </c>
      <c r="U71" s="1282"/>
      <c r="V71" s="1282"/>
      <c r="W71" s="528"/>
      <c r="X71" s="528"/>
      <c r="Y71" s="528" t="s">
        <v>228</v>
      </c>
      <c r="Z71" s="528"/>
      <c r="AA71" s="1281" t="s">
        <v>173</v>
      </c>
      <c r="AB71" s="1547" t="s">
        <v>2275</v>
      </c>
      <c r="AC71" s="1548"/>
      <c r="AD71" s="1548"/>
      <c r="AE71" s="1548"/>
      <c r="AF71" s="1549"/>
      <c r="AG71" s="1282"/>
      <c r="AH71" s="1282"/>
      <c r="AI71" s="1054"/>
    </row>
    <row s="4041" customFormat="1" customHeight="1" ht="45.08462905883789">
      <c r="A72" s="1282"/>
      <c r="B72" s="1282"/>
      <c r="C72" s="1282"/>
      <c r="D72" s="1282"/>
      <c r="E72" s="692">
        <v>15</v>
      </c>
      <c r="F72" s="1282"/>
      <c r="G72" s="1282"/>
      <c r="H72" s="1282"/>
      <c r="I72" s="1282"/>
      <c r="J72" s="1282"/>
      <c r="K72" s="1282"/>
      <c r="L72" s="1282"/>
      <c r="M72" s="1282"/>
      <c r="N72" s="1282"/>
      <c r="O72" s="1282"/>
      <c r="P72" s="1282"/>
      <c r="Q72" s="1282"/>
      <c r="R72" s="1282"/>
      <c r="S72" s="1282"/>
      <c r="T72" s="438">
        <f>ROW(W72)&gt;ROW(W$70)</f>
        <v>1</v>
      </c>
      <c r="U72" s="1282"/>
      <c r="V72" s="1282"/>
      <c r="W72" s="528"/>
      <c r="X72" s="528"/>
      <c r="Y72" s="528" t="s">
        <v>228</v>
      </c>
      <c r="Z72" s="528"/>
      <c r="AA72" s="1281" t="s">
        <v>173</v>
      </c>
      <c r="AB72" s="1547" t="s">
        <v>2276</v>
      </c>
      <c r="AC72" s="1548"/>
      <c r="AD72" s="1548"/>
      <c r="AE72" s="1548"/>
      <c r="AF72" s="1549"/>
      <c r="AG72" s="1282"/>
      <c r="AH72" s="1282"/>
      <c r="AI72" s="1054"/>
    </row>
    <row s="1282" customFormat="1" customHeight="1" ht="14.625">
      <c r="E73" s="692">
        <v>15</v>
      </c>
      <c r="W73" s="805" t="s">
        <v>396</v>
      </c>
      <c r="X73" s="528"/>
      <c r="Y73" s="528"/>
      <c r="Z73" s="528"/>
      <c r="AA73" s="528"/>
      <c r="AB73" s="1325"/>
      <c r="AC73" s="1326" t="s">
        <v>397</v>
      </c>
      <c r="AD73" s="1327"/>
      <c r="AE73" s="1328"/>
      <c r="AF73" s="1329"/>
      <c r="AI73" s="1054"/>
    </row>
    <row customHeight="1" ht="10.96875">
      <c r="E74" s="625">
        <v>11.25</v>
      </c>
      <c r="AC74" s="511"/>
      <c r="AG74" s="461"/>
    </row>
  </sheetData>
  <sheetProtection formatColumns="0" formatRows="0" insertRows="0" deleteColumns="0" deleteRows="0" sort="0" autoFilter="0" insertColumns="1"/>
  <mergeCells count="16">
    <mergeCell ref="AB22:AF22"/>
    <mergeCell ref="AB23:AF23"/>
    <mergeCell ref="AB24:AB25"/>
    <mergeCell ref="AC24:AC25"/>
    <mergeCell ref="AD24:AD25"/>
    <mergeCell ref="AE24:AF24"/>
    <mergeCell ref="X27:X45"/>
    <mergeCell ref="Z27:Z45"/>
    <mergeCell ref="AB70:AF70"/>
    <mergeCell ref="AB68:AF68"/>
    <mergeCell ref="AB69:AF69"/>
    <mergeCell ref="AB66:AF66"/>
    <mergeCell ref="X46:X64"/>
    <mergeCell ref="Z46:Z64"/>
    <mergeCell ref="AB71:AF71"/>
    <mergeCell ref="AB72:AF72"/>
  </mergeCells>
  <dataValidations count="3">
    <dataValidation type="decimal" allowBlank="1" showErrorMessage="1" errorTitle="Ошибка" error="Введите число от 0 до 100!" sqref="AE32:AF33 AE51 AF51 AE52 AF52">
      <formula1>0</formula1>
      <formula2>100</formula2>
    </dataValidation>
    <dataValidation type="decimal" allowBlank="1" showErrorMessage="1" errorTitle="Ошибка" error="Допускается ввод только действительных чисел!" sqref="AE43:AF44 AE62 AF62 AE63 AF63">
      <formula1>-9.99999999999999E+23</formula1>
      <formula2>9.99999999999999E+23</formula2>
    </dataValidation>
    <dataValidation type="decimal" allowBlank="1" showErrorMessage="1" errorTitle="Ошибка" error="Допускается ввод только неотрицательных чисел!" sqref="AE34:AF34 AE38:AF38 AE30:AF31 AE49 AF49 AE50 AF50 AE53 AF53 AE57 AF57">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A54E7A-C714-F057-3038-7967D24C85E6}" mc:Ignorable="x14ac xr xr2 xr3">
  <sheetPr>
    <tabColor rgb="FFD3DBDB"/>
    <pageSetUpPr fitToPage="1"/>
  </sheetPr>
  <dimension ref="A1:AC34"/>
  <sheetViews>
    <sheetView topLeftCell="AA21" showGridLines="0" workbookViewId="0">
      <selection activeCell="AA21" sqref="AA21"/>
    </sheetView>
  </sheetViews>
  <sheetFormatPr defaultColWidth="9.140625" customHeight="1" defaultRowHeight="11.25"/>
  <cols>
    <col min="1" max="1" style="1412" width="3.57421875" hidden="1" customWidth="1"/>
    <col min="2" max="2" style="1369" width="8.57421875" hidden="1" customWidth="1"/>
    <col min="3" max="4" style="1412" width="3.57421875" hidden="1" customWidth="1"/>
    <col min="5" max="5" style="1372" width="3.57421875" hidden="1" customWidth="1"/>
    <col min="6" max="21" style="1412" width="3.57421875" hidden="1" customWidth="1"/>
    <col min="22" max="22" style="1412" width="4.57421875" hidden="1" customWidth="1"/>
    <col min="23" max="23" style="1412" width="8.421875" hidden="1" customWidth="1"/>
    <col min="24" max="26" style="1412" width="3.57421875" hidden="1" customWidth="1"/>
    <col min="27" max="27" style="1412" width="3.00390625" customWidth="1"/>
    <col min="28" max="28" style="1412" width="94.140625" customWidth="1"/>
    <col min="29" max="29" style="1412" width="9.140625"/>
  </cols>
  <sheetData>
    <row customHeight="1" ht="11.25" hidden="1">
      <c r="E1" s="70"/>
      <c r="W1" s="438" t="s">
        <v>92</v>
      </c>
      <c r="X1" s="438"/>
      <c r="Y1" s="438" t="s">
        <v>93</v>
      </c>
      <c r="Z1" s="438" t="s">
        <v>95</v>
      </c>
      <c r="AA1" s="438" t="s">
        <v>99</v>
      </c>
      <c r="AB1" s="438" t="s">
        <v>97</v>
      </c>
    </row>
    <row s="1369" customFormat="1" customHeight="1" ht="11.25" hidden="1">
      <c r="B2" s="418" t="s">
        <v>18</v>
      </c>
    </row>
    <row customHeight="1" ht="11.25" hidden="1">
      <c r="E3" s="70"/>
    </row>
    <row customHeight="1" ht="11.25" hidden="1">
      <c r="E4" s="70"/>
    </row>
    <row s="1372" customFormat="1" customHeight="1" ht="11.25" hidden="1">
      <c r="A5" s="70"/>
      <c r="B5" s="400"/>
      <c r="C5" s="70"/>
      <c r="D5" s="70"/>
      <c r="E5" s="679" t="s">
        <v>19</v>
      </c>
      <c r="AA5" s="603">
        <v>3</v>
      </c>
      <c r="AB5" s="603">
        <v>94.14</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4.625">
      <c r="E21" s="603">
        <v>15</v>
      </c>
      <c r="AA21" s="397"/>
      <c r="AB21" s="71"/>
    </row>
    <row customHeight="1" ht="19.0125">
      <c r="E22" s="603">
        <v>19.5</v>
      </c>
      <c r="AA22" s="71"/>
      <c r="AB22" s="69" t="s">
        <v>360</v>
      </c>
    </row>
    <row customHeight="1" ht="10.96875">
      <c r="E23" s="603">
        <v>11.25</v>
      </c>
      <c r="AA23" s="71"/>
      <c r="AB23" s="71"/>
    </row>
    <row customHeight="1" ht="19.5">
      <c r="E24" s="603">
        <v>20</v>
      </c>
      <c r="AA24" s="71"/>
      <c r="AB24" s="72"/>
    </row>
    <row customHeight="1" ht="19.5">
      <c r="E25" s="603">
        <v>20</v>
      </c>
      <c r="AA25" s="71"/>
      <c r="AB25" s="72"/>
    </row>
    <row customHeight="1" ht="19.5">
      <c r="E26" s="603">
        <v>20</v>
      </c>
      <c r="AA26" s="71"/>
      <c r="AB26" s="72"/>
    </row>
    <row customHeight="1" ht="19.5">
      <c r="E27" s="603">
        <v>20</v>
      </c>
      <c r="AA27" s="71"/>
      <c r="AB27" s="72"/>
    </row>
    <row customHeight="1" ht="19.5">
      <c r="E28" s="603">
        <v>20</v>
      </c>
      <c r="AA28" s="71"/>
      <c r="AB28" s="72"/>
    </row>
    <row customHeight="1" ht="19.5">
      <c r="E29" s="603">
        <v>20</v>
      </c>
      <c r="AA29" s="71"/>
      <c r="AB29" s="72"/>
    </row>
    <row customHeight="1" ht="19.5">
      <c r="E30" s="603">
        <v>20</v>
      </c>
      <c r="AA30" s="71"/>
      <c r="AB30" s="72"/>
    </row>
    <row customHeight="1" ht="19.5">
      <c r="E31" s="603">
        <v>20</v>
      </c>
      <c r="AA31" s="71"/>
      <c r="AB31" s="72"/>
    </row>
    <row customHeight="1" ht="19.5" hidden="1">
      <c r="A32" s="1412"/>
      <c r="B32" s="1369"/>
      <c r="C32" s="1412"/>
      <c r="D32" s="1412"/>
      <c r="E32" s="603">
        <v>20</v>
      </c>
      <c r="F32" s="1412"/>
      <c r="G32" s="1412"/>
      <c r="H32" s="1412"/>
      <c r="I32" s="1412"/>
      <c r="J32" s="1412"/>
      <c r="K32" s="1412"/>
      <c r="L32" s="1412"/>
      <c r="M32" s="1412"/>
      <c r="N32" s="1412"/>
      <c r="O32" s="1412"/>
      <c r="P32" s="1412"/>
      <c r="Q32" s="1412"/>
      <c r="R32" s="1412"/>
      <c r="S32" s="1412"/>
      <c r="T32" s="1412"/>
      <c r="U32" s="1412"/>
      <c r="V32" s="1412"/>
      <c r="W32" s="528">
        <f>ROW(Z32)&gt;ROW(Z$32)</f>
        <v>0</v>
      </c>
      <c r="X32" s="1412"/>
      <c r="Y32" s="70" t="s">
        <v>267</v>
      </c>
      <c r="Z32" s="1412"/>
      <c r="AA32" s="638" t="s">
        <v>173</v>
      </c>
      <c r="AB32" s="4042"/>
      <c r="AC32" s="1412"/>
    </row>
    <row customHeight="1" ht="19.5">
      <c r="E33" s="603">
        <v>20</v>
      </c>
      <c r="Y33" s="805" t="s">
        <v>396</v>
      </c>
      <c r="AA33" s="71"/>
      <c r="AB33" s="720" t="s">
        <v>397</v>
      </c>
    </row>
    <row customHeight="1" ht="11.25">
      <c r="AA34" s="71"/>
      <c r="AB34" s="71"/>
      <c r="AC34" s="398"/>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9BD805-3F7D-E288-38E8-81F496EFA012}" mc:Ignorable="x14ac xr xr2 xr3">
  <sheetPr>
    <tabColor rgb="FFFFCC99"/>
  </sheetPr>
  <dimension ref="A1:C230"/>
  <sheetViews>
    <sheetView topLeftCell="A1" showGridLines="0" workbookViewId="0">
      <selection activeCell="A1" sqref="A1"/>
    </sheetView>
  </sheetViews>
  <sheetFormatPr customHeight="1" defaultRowHeight="11.25"/>
  <cols>
    <col min="1" max="2" style="1353" width="36.57421875" customWidth="1"/>
    <col min="3" max="3" style="1353" width="12.57421875" customWidth="1"/>
  </cols>
  <sheetData>
    <row customHeight="1" ht="11.25">
      <c r="A1" s="1353" t="s">
        <v>2277</v>
      </c>
      <c r="B1" s="1353" t="s">
        <v>2278</v>
      </c>
      <c r="C1" s="1353" t="s">
        <v>2279</v>
      </c>
    </row>
    <row customHeight="1" ht="11.25">
      <c r="A2" s="1353" t="s">
        <v>2280</v>
      </c>
      <c r="B2" s="1353" t="s">
        <v>2280</v>
      </c>
      <c r="C2" s="1353" t="s">
        <v>2281</v>
      </c>
    </row>
    <row customHeight="1" ht="11.25">
      <c r="A3" s="1353" t="s">
        <v>2282</v>
      </c>
      <c r="B3" s="1353" t="s">
        <v>2282</v>
      </c>
      <c r="C3" s="1353" t="s">
        <v>2283</v>
      </c>
    </row>
    <row customHeight="1" ht="11.25">
      <c r="A4" s="1353" t="s">
        <v>2284</v>
      </c>
      <c r="B4" s="1353" t="s">
        <v>2284</v>
      </c>
      <c r="C4" s="1353" t="s">
        <v>2285</v>
      </c>
    </row>
    <row customHeight="1" ht="11.25">
      <c r="A5" s="1353" t="s">
        <v>2286</v>
      </c>
      <c r="B5" s="1353" t="s">
        <v>2286</v>
      </c>
      <c r="C5" s="1353" t="s">
        <v>2287</v>
      </c>
    </row>
    <row customHeight="1" ht="11.25">
      <c r="A6" s="1353" t="s">
        <v>2288</v>
      </c>
      <c r="B6" s="1353" t="s">
        <v>2288</v>
      </c>
      <c r="C6" s="1353" t="s">
        <v>2289</v>
      </c>
    </row>
    <row customHeight="1" ht="11.25">
      <c r="A7" s="1353" t="s">
        <v>2290</v>
      </c>
      <c r="B7" s="1353" t="s">
        <v>2290</v>
      </c>
      <c r="C7" s="1353" t="s">
        <v>2291</v>
      </c>
    </row>
    <row customHeight="1" ht="11.25">
      <c r="A8" s="1353" t="s">
        <v>2290</v>
      </c>
      <c r="B8" s="1353" t="s">
        <v>2290</v>
      </c>
      <c r="C8" s="1353" t="s">
        <v>2292</v>
      </c>
    </row>
    <row customHeight="1" ht="11.25">
      <c r="A9" s="1353" t="s">
        <v>2293</v>
      </c>
      <c r="B9" s="1353" t="s">
        <v>2293</v>
      </c>
      <c r="C9" s="1353" t="s">
        <v>2294</v>
      </c>
    </row>
    <row customHeight="1" ht="11.25">
      <c r="A10" s="1353" t="s">
        <v>2295</v>
      </c>
      <c r="B10" s="1353" t="s">
        <v>2295</v>
      </c>
      <c r="C10" s="1353" t="s">
        <v>2296</v>
      </c>
    </row>
    <row customHeight="1" ht="11.25">
      <c r="A11" s="1353" t="s">
        <v>2297</v>
      </c>
      <c r="B11" s="1353" t="s">
        <v>2297</v>
      </c>
      <c r="C11" s="1353" t="s">
        <v>2298</v>
      </c>
    </row>
    <row customHeight="1" ht="11.25">
      <c r="A12" s="1353" t="s">
        <v>2299</v>
      </c>
      <c r="B12" s="1353" t="s">
        <v>2299</v>
      </c>
      <c r="C12" s="1353" t="s">
        <v>2300</v>
      </c>
    </row>
    <row customHeight="1" ht="11.25">
      <c r="A13" s="1353" t="s">
        <v>2301</v>
      </c>
      <c r="B13" s="1353" t="s">
        <v>2301</v>
      </c>
      <c r="C13" s="1353" t="s">
        <v>2302</v>
      </c>
    </row>
    <row customHeight="1" ht="11.25">
      <c r="A14" s="1353" t="s">
        <v>2303</v>
      </c>
      <c r="B14" s="1353" t="s">
        <v>2303</v>
      </c>
      <c r="C14" s="1353" t="s">
        <v>2304</v>
      </c>
    </row>
    <row customHeight="1" ht="11.25">
      <c r="A15" s="1353" t="s">
        <v>2305</v>
      </c>
      <c r="B15" s="1353" t="s">
        <v>2305</v>
      </c>
      <c r="C15" s="1353" t="s">
        <v>2306</v>
      </c>
    </row>
    <row customHeight="1" ht="11.25">
      <c r="A16" s="1353" t="s">
        <v>2307</v>
      </c>
      <c r="B16" s="1353" t="s">
        <v>2307</v>
      </c>
      <c r="C16" s="1353" t="s">
        <v>2308</v>
      </c>
    </row>
    <row customHeight="1" ht="11.25">
      <c r="A17" s="1353" t="s">
        <v>2309</v>
      </c>
      <c r="B17" s="1353" t="s">
        <v>2309</v>
      </c>
      <c r="C17" s="1353" t="s">
        <v>2310</v>
      </c>
    </row>
    <row customHeight="1" ht="11.25">
      <c r="A18" s="1353" t="s">
        <v>2311</v>
      </c>
      <c r="B18" s="1353" t="s">
        <v>2311</v>
      </c>
      <c r="C18" s="1353" t="s">
        <v>2312</v>
      </c>
    </row>
    <row customHeight="1" ht="11.25">
      <c r="A19" s="1353" t="s">
        <v>2313</v>
      </c>
      <c r="B19" s="1353" t="s">
        <v>2313</v>
      </c>
      <c r="C19" s="1353" t="s">
        <v>2314</v>
      </c>
    </row>
    <row customHeight="1" ht="11.25">
      <c r="A20" s="1353" t="s">
        <v>2315</v>
      </c>
      <c r="B20" s="1353" t="s">
        <v>2315</v>
      </c>
      <c r="C20" s="1353" t="s">
        <v>2316</v>
      </c>
    </row>
    <row customHeight="1" ht="11.25">
      <c r="A21" s="1353" t="s">
        <v>2317</v>
      </c>
      <c r="B21" s="1353" t="s">
        <v>2317</v>
      </c>
      <c r="C21" s="1353" t="s">
        <v>2318</v>
      </c>
    </row>
    <row customHeight="1" ht="11.25">
      <c r="A22" s="1353" t="s">
        <v>2319</v>
      </c>
      <c r="B22" s="1353" t="s">
        <v>2320</v>
      </c>
      <c r="C22" s="1353" t="s">
        <v>2321</v>
      </c>
    </row>
    <row customHeight="1" ht="11.25">
      <c r="A23" s="1353" t="s">
        <v>2319</v>
      </c>
      <c r="B23" s="1353" t="s">
        <v>2322</v>
      </c>
      <c r="C23" s="1353" t="s">
        <v>2323</v>
      </c>
    </row>
    <row customHeight="1" ht="11.25">
      <c r="A24" s="1353" t="s">
        <v>2319</v>
      </c>
      <c r="B24" s="1353" t="s">
        <v>2324</v>
      </c>
      <c r="C24" s="1353" t="s">
        <v>2325</v>
      </c>
    </row>
    <row customHeight="1" ht="11.25">
      <c r="A25" s="1353" t="s">
        <v>2319</v>
      </c>
      <c r="B25" s="1353" t="s">
        <v>2326</v>
      </c>
      <c r="C25" s="1353" t="s">
        <v>2327</v>
      </c>
    </row>
    <row customHeight="1" ht="11.25">
      <c r="A26" s="1353" t="s">
        <v>2319</v>
      </c>
      <c r="B26" s="1353" t="s">
        <v>2328</v>
      </c>
      <c r="C26" s="1353" t="s">
        <v>2329</v>
      </c>
    </row>
    <row customHeight="1" ht="11.25">
      <c r="A27" s="1353" t="s">
        <v>2319</v>
      </c>
      <c r="B27" s="1353" t="s">
        <v>2330</v>
      </c>
      <c r="C27" s="1353" t="s">
        <v>2331</v>
      </c>
    </row>
    <row customHeight="1" ht="11.25">
      <c r="A28" s="1353" t="s">
        <v>2319</v>
      </c>
      <c r="B28" s="1353" t="s">
        <v>2332</v>
      </c>
      <c r="C28" s="1353" t="s">
        <v>2333</v>
      </c>
    </row>
    <row customHeight="1" ht="11.25">
      <c r="A29" s="1353" t="s">
        <v>2319</v>
      </c>
      <c r="B29" s="1353" t="s">
        <v>2334</v>
      </c>
      <c r="C29" s="1353" t="s">
        <v>2335</v>
      </c>
    </row>
    <row customHeight="1" ht="11.25">
      <c r="A30" s="1353" t="s">
        <v>2336</v>
      </c>
      <c r="B30" s="1353" t="s">
        <v>2337</v>
      </c>
      <c r="C30" s="1353" t="s">
        <v>2338</v>
      </c>
    </row>
    <row customHeight="1" ht="11.25">
      <c r="A31" s="1353" t="s">
        <v>2336</v>
      </c>
      <c r="B31" s="1353" t="s">
        <v>2339</v>
      </c>
      <c r="C31" s="1353" t="s">
        <v>2340</v>
      </c>
    </row>
    <row customHeight="1" ht="11.25">
      <c r="A32" s="1353" t="s">
        <v>2336</v>
      </c>
      <c r="B32" s="1353" t="s">
        <v>2341</v>
      </c>
      <c r="C32" s="1353" t="s">
        <v>2342</v>
      </c>
    </row>
    <row customHeight="1" ht="11.25">
      <c r="A33" s="1353" t="s">
        <v>2336</v>
      </c>
      <c r="B33" s="1353" t="s">
        <v>2343</v>
      </c>
      <c r="C33" s="1353" t="s">
        <v>2344</v>
      </c>
    </row>
    <row customHeight="1" ht="11.25">
      <c r="A34" s="1353" t="s">
        <v>2336</v>
      </c>
      <c r="B34" s="1353" t="s">
        <v>2345</v>
      </c>
      <c r="C34" s="1353" t="s">
        <v>2346</v>
      </c>
    </row>
    <row customHeight="1" ht="11.25">
      <c r="A35" s="1353" t="s">
        <v>2336</v>
      </c>
      <c r="B35" s="1353" t="s">
        <v>2347</v>
      </c>
      <c r="C35" s="1353" t="s">
        <v>2348</v>
      </c>
    </row>
    <row customHeight="1" ht="11.25">
      <c r="A36" s="1353" t="s">
        <v>2336</v>
      </c>
      <c r="B36" s="1353" t="s">
        <v>2349</v>
      </c>
      <c r="C36" s="1353" t="s">
        <v>2350</v>
      </c>
    </row>
    <row customHeight="1" ht="11.25">
      <c r="A37" s="1353" t="s">
        <v>2336</v>
      </c>
      <c r="B37" s="1353" t="s">
        <v>2351</v>
      </c>
      <c r="C37" s="1353" t="s">
        <v>2352</v>
      </c>
    </row>
    <row customHeight="1" ht="11.25">
      <c r="A38" s="1353" t="s">
        <v>2336</v>
      </c>
      <c r="B38" s="1353" t="s">
        <v>2353</v>
      </c>
      <c r="C38" s="1353" t="s">
        <v>2354</v>
      </c>
    </row>
    <row customHeight="1" ht="11.25">
      <c r="A39" s="1353" t="s">
        <v>2355</v>
      </c>
      <c r="B39" s="1353" t="s">
        <v>2356</v>
      </c>
      <c r="C39" s="1353" t="s">
        <v>2357</v>
      </c>
    </row>
    <row customHeight="1" ht="11.25">
      <c r="A40" s="1353" t="s">
        <v>2355</v>
      </c>
      <c r="B40" s="1353" t="s">
        <v>2358</v>
      </c>
      <c r="C40" s="1353" t="s">
        <v>2359</v>
      </c>
    </row>
    <row customHeight="1" ht="11.25">
      <c r="A41" s="1353" t="s">
        <v>2355</v>
      </c>
      <c r="B41" s="1353" t="s">
        <v>2360</v>
      </c>
      <c r="C41" s="1353" t="s">
        <v>2361</v>
      </c>
    </row>
    <row customHeight="1" ht="11.25">
      <c r="A42" s="1353" t="s">
        <v>2355</v>
      </c>
      <c r="B42" s="1353" t="s">
        <v>2362</v>
      </c>
      <c r="C42" s="1353" t="s">
        <v>2363</v>
      </c>
    </row>
    <row customHeight="1" ht="11.25">
      <c r="A43" s="1353" t="s">
        <v>2355</v>
      </c>
      <c r="B43" s="1353" t="s">
        <v>2364</v>
      </c>
      <c r="C43" s="1353" t="s">
        <v>2365</v>
      </c>
    </row>
    <row customHeight="1" ht="11.25">
      <c r="A44" s="1353" t="s">
        <v>2355</v>
      </c>
      <c r="B44" s="1353" t="s">
        <v>2366</v>
      </c>
      <c r="C44" s="1353" t="s">
        <v>2367</v>
      </c>
    </row>
    <row customHeight="1" ht="11.25">
      <c r="A45" s="1353" t="s">
        <v>2355</v>
      </c>
      <c r="B45" s="1353" t="s">
        <v>2368</v>
      </c>
      <c r="C45" s="1353" t="s">
        <v>2369</v>
      </c>
    </row>
    <row customHeight="1" ht="11.25">
      <c r="A46" s="1353" t="s">
        <v>2370</v>
      </c>
      <c r="B46" s="1353" t="s">
        <v>2371</v>
      </c>
      <c r="C46" s="1353" t="s">
        <v>2372</v>
      </c>
    </row>
    <row customHeight="1" ht="11.25">
      <c r="A47" s="1353" t="s">
        <v>2370</v>
      </c>
      <c r="B47" s="1353" t="s">
        <v>2373</v>
      </c>
      <c r="C47" s="1353" t="s">
        <v>2374</v>
      </c>
    </row>
    <row customHeight="1" ht="11.25">
      <c r="A48" s="1353" t="s">
        <v>2370</v>
      </c>
      <c r="B48" s="1353" t="s">
        <v>2375</v>
      </c>
      <c r="C48" s="1353" t="s">
        <v>2376</v>
      </c>
    </row>
    <row customHeight="1" ht="11.25">
      <c r="A49" s="1353" t="s">
        <v>2370</v>
      </c>
      <c r="B49" s="1353" t="s">
        <v>2377</v>
      </c>
      <c r="C49" s="1353" t="s">
        <v>2378</v>
      </c>
    </row>
    <row customHeight="1" ht="11.25">
      <c r="A50" s="1353" t="s">
        <v>2370</v>
      </c>
      <c r="B50" s="1353" t="s">
        <v>2379</v>
      </c>
      <c r="C50" s="1353" t="s">
        <v>2380</v>
      </c>
    </row>
    <row customHeight="1" ht="11.25">
      <c r="A51" s="1353" t="s">
        <v>2370</v>
      </c>
      <c r="B51" s="1353" t="s">
        <v>2381</v>
      </c>
      <c r="C51" s="1353" t="s">
        <v>2382</v>
      </c>
    </row>
    <row customHeight="1" ht="11.25">
      <c r="A52" s="1353" t="s">
        <v>2370</v>
      </c>
      <c r="B52" s="1353" t="s">
        <v>2383</v>
      </c>
      <c r="C52" s="1353" t="s">
        <v>2384</v>
      </c>
    </row>
    <row customHeight="1" ht="11.25">
      <c r="A53" s="1353" t="s">
        <v>2370</v>
      </c>
      <c r="B53" s="1353" t="s">
        <v>2385</v>
      </c>
      <c r="C53" s="1353" t="s">
        <v>2386</v>
      </c>
    </row>
    <row customHeight="1" ht="11.25">
      <c r="A54" s="1353" t="s">
        <v>2370</v>
      </c>
      <c r="B54" s="1353" t="s">
        <v>2387</v>
      </c>
      <c r="C54" s="1353" t="s">
        <v>2388</v>
      </c>
    </row>
    <row customHeight="1" ht="11.25">
      <c r="A55" s="1353" t="s">
        <v>2389</v>
      </c>
      <c r="B55" s="1353" t="s">
        <v>2389</v>
      </c>
      <c r="C55" s="1353" t="s">
        <v>2390</v>
      </c>
    </row>
    <row customHeight="1" ht="11.25">
      <c r="A56" s="1353" t="s">
        <v>2389</v>
      </c>
      <c r="B56" s="1353" t="s">
        <v>2391</v>
      </c>
      <c r="C56" s="1353" t="s">
        <v>2392</v>
      </c>
    </row>
    <row customHeight="1" ht="11.25">
      <c r="A57" s="1353" t="s">
        <v>2389</v>
      </c>
      <c r="B57" s="1353" t="s">
        <v>2393</v>
      </c>
      <c r="C57" s="1353" t="s">
        <v>2394</v>
      </c>
    </row>
    <row customHeight="1" ht="11.25">
      <c r="A58" s="1353" t="s">
        <v>2389</v>
      </c>
      <c r="B58" s="1353" t="s">
        <v>2395</v>
      </c>
      <c r="C58" s="1353" t="s">
        <v>2396</v>
      </c>
    </row>
    <row customHeight="1" ht="11.25">
      <c r="A59" s="1353" t="s">
        <v>2389</v>
      </c>
      <c r="B59" s="1353" t="s">
        <v>2397</v>
      </c>
      <c r="C59" s="1353" t="s">
        <v>2398</v>
      </c>
    </row>
    <row customHeight="1" ht="11.25">
      <c r="A60" s="1353" t="s">
        <v>2389</v>
      </c>
      <c r="B60" s="1353" t="s">
        <v>2399</v>
      </c>
      <c r="C60" s="1353" t="s">
        <v>2400</v>
      </c>
    </row>
    <row customHeight="1" ht="11.25">
      <c r="A61" s="1353" t="s">
        <v>2389</v>
      </c>
      <c r="B61" s="1353" t="s">
        <v>2401</v>
      </c>
      <c r="C61" s="1353" t="s">
        <v>2402</v>
      </c>
    </row>
    <row customHeight="1" ht="11.25">
      <c r="A62" s="1353" t="s">
        <v>2389</v>
      </c>
      <c r="B62" s="1353" t="s">
        <v>2403</v>
      </c>
      <c r="C62" s="1353" t="s">
        <v>2404</v>
      </c>
    </row>
    <row customHeight="1" ht="11.25">
      <c r="A63" s="1353" t="s">
        <v>2389</v>
      </c>
      <c r="B63" s="1353" t="s">
        <v>2405</v>
      </c>
      <c r="C63" s="1353" t="s">
        <v>2406</v>
      </c>
    </row>
    <row customHeight="1" ht="11.25">
      <c r="A64" s="1353" t="s">
        <v>2389</v>
      </c>
      <c r="B64" s="1353" t="s">
        <v>2407</v>
      </c>
      <c r="C64" s="1353" t="s">
        <v>2408</v>
      </c>
    </row>
    <row customHeight="1" ht="11.25">
      <c r="A65" s="1353" t="s">
        <v>2389</v>
      </c>
      <c r="B65" s="1353" t="s">
        <v>2409</v>
      </c>
      <c r="C65" s="1353" t="s">
        <v>2410</v>
      </c>
    </row>
    <row customHeight="1" ht="11.25">
      <c r="A66" s="1353" t="s">
        <v>2389</v>
      </c>
      <c r="B66" s="1353" t="s">
        <v>2411</v>
      </c>
      <c r="C66" s="1353" t="s">
        <v>2412</v>
      </c>
    </row>
    <row customHeight="1" ht="11.25">
      <c r="A67" s="1353" t="s">
        <v>2413</v>
      </c>
      <c r="B67" s="1353" t="s">
        <v>2413</v>
      </c>
      <c r="C67" s="1353" t="s">
        <v>2414</v>
      </c>
    </row>
    <row customHeight="1" ht="11.25">
      <c r="A68" s="1353" t="s">
        <v>2413</v>
      </c>
      <c r="B68" s="1353" t="s">
        <v>2415</v>
      </c>
      <c r="C68" s="1353" t="s">
        <v>2416</v>
      </c>
    </row>
    <row customHeight="1" ht="11.25">
      <c r="A69" s="1353" t="s">
        <v>2413</v>
      </c>
      <c r="B69" s="1353" t="s">
        <v>2417</v>
      </c>
      <c r="C69" s="1353" t="s">
        <v>2418</v>
      </c>
    </row>
    <row customHeight="1" ht="11.25">
      <c r="A70" s="1353" t="s">
        <v>2413</v>
      </c>
      <c r="B70" s="1353" t="s">
        <v>2419</v>
      </c>
      <c r="C70" s="1353" t="s">
        <v>2420</v>
      </c>
    </row>
    <row customHeight="1" ht="11.25">
      <c r="A71" s="1353" t="s">
        <v>2413</v>
      </c>
      <c r="B71" s="1353" t="s">
        <v>2421</v>
      </c>
      <c r="C71" s="1353" t="s">
        <v>2422</v>
      </c>
    </row>
    <row customHeight="1" ht="11.25">
      <c r="A72" s="1353" t="s">
        <v>2413</v>
      </c>
      <c r="B72" s="1353" t="s">
        <v>2423</v>
      </c>
      <c r="C72" s="1353" t="s">
        <v>2424</v>
      </c>
    </row>
    <row customHeight="1" ht="11.25">
      <c r="A73" s="1353" t="s">
        <v>2413</v>
      </c>
      <c r="B73" s="1353" t="s">
        <v>2425</v>
      </c>
      <c r="C73" s="1353" t="s">
        <v>2426</v>
      </c>
    </row>
    <row customHeight="1" ht="11.25">
      <c r="A74" s="1353" t="s">
        <v>2413</v>
      </c>
      <c r="B74" s="1353" t="s">
        <v>2427</v>
      </c>
      <c r="C74" s="1353" t="s">
        <v>2428</v>
      </c>
    </row>
    <row customHeight="1" ht="11.25">
      <c r="A75" s="1353" t="s">
        <v>2413</v>
      </c>
      <c r="B75" s="1353" t="s">
        <v>2429</v>
      </c>
      <c r="C75" s="1353" t="s">
        <v>2430</v>
      </c>
    </row>
    <row customHeight="1" ht="11.25">
      <c r="A76" s="1353" t="s">
        <v>2431</v>
      </c>
      <c r="B76" s="1353" t="s">
        <v>2432</v>
      </c>
      <c r="C76" s="1353" t="s">
        <v>2433</v>
      </c>
    </row>
    <row customHeight="1" ht="11.25">
      <c r="A77" s="1353" t="s">
        <v>2431</v>
      </c>
      <c r="B77" s="1353" t="s">
        <v>2434</v>
      </c>
      <c r="C77" s="1353" t="s">
        <v>2435</v>
      </c>
    </row>
    <row customHeight="1" ht="11.25">
      <c r="A78" s="1353" t="s">
        <v>2431</v>
      </c>
      <c r="B78" s="1353" t="s">
        <v>2436</v>
      </c>
      <c r="C78" s="1353" t="s">
        <v>2437</v>
      </c>
    </row>
    <row customHeight="1" ht="11.25">
      <c r="A79" s="1353" t="s">
        <v>2431</v>
      </c>
      <c r="B79" s="1353" t="s">
        <v>2438</v>
      </c>
      <c r="C79" s="1353" t="s">
        <v>2439</v>
      </c>
    </row>
    <row customHeight="1" ht="11.25">
      <c r="A80" s="1353" t="s">
        <v>2431</v>
      </c>
      <c r="B80" s="1353" t="s">
        <v>2440</v>
      </c>
      <c r="C80" s="1353" t="s">
        <v>2441</v>
      </c>
    </row>
    <row customHeight="1" ht="11.25">
      <c r="A81" s="1353" t="s">
        <v>2431</v>
      </c>
      <c r="B81" s="1353" t="s">
        <v>2442</v>
      </c>
      <c r="C81" s="1353" t="s">
        <v>2443</v>
      </c>
    </row>
    <row customHeight="1" ht="11.25">
      <c r="A82" s="1353" t="s">
        <v>2431</v>
      </c>
      <c r="B82" s="1353" t="s">
        <v>2444</v>
      </c>
      <c r="C82" s="1353" t="s">
        <v>2445</v>
      </c>
    </row>
    <row customHeight="1" ht="11.25">
      <c r="A83" s="1353" t="s">
        <v>2431</v>
      </c>
      <c r="B83" s="1353" t="s">
        <v>2446</v>
      </c>
      <c r="C83" s="1353" t="s">
        <v>2447</v>
      </c>
    </row>
    <row customHeight="1" ht="11.25">
      <c r="A84" s="1353" t="s">
        <v>2431</v>
      </c>
      <c r="B84" s="1353" t="s">
        <v>2448</v>
      </c>
      <c r="C84" s="1353" t="s">
        <v>2449</v>
      </c>
    </row>
    <row customHeight="1" ht="11.25">
      <c r="A85" s="1353" t="s">
        <v>2431</v>
      </c>
      <c r="B85" s="1353" t="s">
        <v>2450</v>
      </c>
      <c r="C85" s="1353" t="s">
        <v>2451</v>
      </c>
    </row>
    <row customHeight="1" ht="11.25">
      <c r="A86" s="1353" t="s">
        <v>2431</v>
      </c>
      <c r="B86" s="1353" t="s">
        <v>2452</v>
      </c>
      <c r="C86" s="1353" t="s">
        <v>2453</v>
      </c>
    </row>
    <row customHeight="1" ht="11.25">
      <c r="A87" s="1353" t="s">
        <v>2431</v>
      </c>
      <c r="B87" s="1353" t="s">
        <v>2454</v>
      </c>
      <c r="C87" s="1353" t="s">
        <v>2455</v>
      </c>
    </row>
    <row customHeight="1" ht="11.25">
      <c r="A88" s="1353" t="s">
        <v>2431</v>
      </c>
      <c r="B88" s="1353" t="s">
        <v>2456</v>
      </c>
      <c r="C88" s="1353" t="s">
        <v>2457</v>
      </c>
    </row>
    <row customHeight="1" ht="11.25">
      <c r="A89" s="1353" t="s">
        <v>2458</v>
      </c>
      <c r="B89" s="1353" t="s">
        <v>2458</v>
      </c>
      <c r="C89" s="1353" t="s">
        <v>2459</v>
      </c>
    </row>
    <row customHeight="1" ht="11.25">
      <c r="A90" s="1353" t="s">
        <v>2458</v>
      </c>
      <c r="B90" s="1353" t="s">
        <v>2460</v>
      </c>
      <c r="C90" s="1353" t="s">
        <v>2461</v>
      </c>
    </row>
    <row customHeight="1" ht="11.25">
      <c r="A91" s="1353" t="s">
        <v>2458</v>
      </c>
      <c r="B91" s="1353" t="s">
        <v>2462</v>
      </c>
      <c r="C91" s="1353" t="s">
        <v>2463</v>
      </c>
    </row>
    <row customHeight="1" ht="11.25">
      <c r="A92" s="1353" t="s">
        <v>2458</v>
      </c>
      <c r="B92" s="1353" t="s">
        <v>2464</v>
      </c>
      <c r="C92" s="1353" t="s">
        <v>2465</v>
      </c>
    </row>
    <row customHeight="1" ht="11.25">
      <c r="A93" s="1353" t="s">
        <v>2458</v>
      </c>
      <c r="B93" s="1353" t="s">
        <v>2466</v>
      </c>
      <c r="C93" s="1353" t="s">
        <v>2467</v>
      </c>
    </row>
    <row customHeight="1" ht="11.25">
      <c r="A94" s="1353" t="s">
        <v>2458</v>
      </c>
      <c r="B94" s="1353" t="s">
        <v>2468</v>
      </c>
      <c r="C94" s="1353" t="s">
        <v>2469</v>
      </c>
    </row>
    <row customHeight="1" ht="11.25">
      <c r="A95" s="1353" t="s">
        <v>2458</v>
      </c>
      <c r="B95" s="1353" t="s">
        <v>2470</v>
      </c>
      <c r="C95" s="1353" t="s">
        <v>2471</v>
      </c>
    </row>
    <row customHeight="1" ht="11.25">
      <c r="A96" s="1353" t="s">
        <v>2458</v>
      </c>
      <c r="B96" s="1353" t="s">
        <v>2468</v>
      </c>
      <c r="C96" s="1353" t="s">
        <v>2472</v>
      </c>
    </row>
    <row customHeight="1" ht="11.25">
      <c r="A97" s="1353" t="s">
        <v>2458</v>
      </c>
      <c r="B97" s="1353" t="s">
        <v>2473</v>
      </c>
      <c r="C97" s="1353" t="s">
        <v>2474</v>
      </c>
    </row>
    <row customHeight="1" ht="11.25">
      <c r="A98" s="1353" t="s">
        <v>2458</v>
      </c>
      <c r="B98" s="1353" t="s">
        <v>2475</v>
      </c>
      <c r="C98" s="1353" t="s">
        <v>2476</v>
      </c>
    </row>
    <row customHeight="1" ht="11.25">
      <c r="A99" s="1353" t="s">
        <v>2458</v>
      </c>
      <c r="B99" s="1353" t="s">
        <v>2477</v>
      </c>
      <c r="C99" s="1353" t="s">
        <v>2478</v>
      </c>
    </row>
    <row customHeight="1" ht="11.25">
      <c r="A100" s="1353" t="s">
        <v>2458</v>
      </c>
      <c r="B100" s="1353" t="s">
        <v>2479</v>
      </c>
      <c r="C100" s="1353" t="s">
        <v>2480</v>
      </c>
    </row>
    <row customHeight="1" ht="11.25">
      <c r="A101" s="1353" t="s">
        <v>2458</v>
      </c>
      <c r="B101" s="1353" t="s">
        <v>2481</v>
      </c>
      <c r="C101" s="1353" t="s">
        <v>2482</v>
      </c>
    </row>
    <row customHeight="1" ht="11.25">
      <c r="A102" s="1353" t="s">
        <v>2458</v>
      </c>
      <c r="B102" s="1353" t="s">
        <v>2483</v>
      </c>
      <c r="C102" s="1353" t="s">
        <v>2484</v>
      </c>
    </row>
    <row customHeight="1" ht="11.25">
      <c r="A103" s="1353" t="s">
        <v>2458</v>
      </c>
      <c r="B103" s="1353" t="s">
        <v>2485</v>
      </c>
      <c r="C103" s="1353" t="s">
        <v>2486</v>
      </c>
    </row>
    <row customHeight="1" ht="11.25">
      <c r="A104" s="1353" t="s">
        <v>2458</v>
      </c>
      <c r="B104" s="1353" t="s">
        <v>2487</v>
      </c>
      <c r="C104" s="1353" t="s">
        <v>2488</v>
      </c>
    </row>
    <row customHeight="1" ht="11.25">
      <c r="A105" s="1353" t="s">
        <v>2458</v>
      </c>
      <c r="B105" s="1353" t="s">
        <v>2489</v>
      </c>
      <c r="C105" s="1353" t="s">
        <v>2490</v>
      </c>
    </row>
    <row customHeight="1" ht="11.25">
      <c r="A106" s="1353" t="s">
        <v>2458</v>
      </c>
      <c r="B106" s="1353" t="s">
        <v>2489</v>
      </c>
      <c r="C106" s="1353" t="s">
        <v>2491</v>
      </c>
    </row>
    <row customHeight="1" ht="11.25">
      <c r="A107" s="1353" t="s">
        <v>2458</v>
      </c>
      <c r="B107" s="1353" t="s">
        <v>2460</v>
      </c>
      <c r="C107" s="1353" t="s">
        <v>2492</v>
      </c>
    </row>
    <row customHeight="1" ht="11.25">
      <c r="A108" s="1353" t="s">
        <v>2493</v>
      </c>
      <c r="B108" s="1353" t="s">
        <v>2494</v>
      </c>
      <c r="C108" s="1353" t="s">
        <v>2495</v>
      </c>
    </row>
    <row customHeight="1" ht="11.25">
      <c r="A109" s="1353" t="s">
        <v>2493</v>
      </c>
      <c r="B109" s="1353" t="s">
        <v>2496</v>
      </c>
      <c r="C109" s="1353" t="s">
        <v>2497</v>
      </c>
    </row>
    <row customHeight="1" ht="11.25">
      <c r="A110" s="1353" t="s">
        <v>2493</v>
      </c>
      <c r="B110" s="1353" t="s">
        <v>2498</v>
      </c>
      <c r="C110" s="1353" t="s">
        <v>2499</v>
      </c>
    </row>
    <row customHeight="1" ht="11.25">
      <c r="A111" s="1353" t="s">
        <v>2493</v>
      </c>
      <c r="B111" s="1353" t="s">
        <v>2500</v>
      </c>
      <c r="C111" s="1353" t="s">
        <v>2501</v>
      </c>
    </row>
    <row customHeight="1" ht="11.25">
      <c r="A112" s="1353" t="s">
        <v>2493</v>
      </c>
      <c r="B112" s="1353" t="s">
        <v>2502</v>
      </c>
      <c r="C112" s="1353" t="s">
        <v>2503</v>
      </c>
    </row>
    <row customHeight="1" ht="11.25">
      <c r="A113" s="1353" t="s">
        <v>2493</v>
      </c>
      <c r="B113" s="1353" t="s">
        <v>2504</v>
      </c>
      <c r="C113" s="1353" t="s">
        <v>2505</v>
      </c>
    </row>
    <row customHeight="1" ht="11.25">
      <c r="A114" s="1353" t="s">
        <v>2493</v>
      </c>
      <c r="B114" s="1353" t="s">
        <v>2506</v>
      </c>
      <c r="C114" s="1353" t="s">
        <v>2507</v>
      </c>
    </row>
    <row customHeight="1" ht="11.25">
      <c r="A115" s="1353" t="s">
        <v>2493</v>
      </c>
      <c r="B115" s="1353" t="s">
        <v>2508</v>
      </c>
      <c r="C115" s="1353" t="s">
        <v>2509</v>
      </c>
    </row>
    <row customHeight="1" ht="11.25">
      <c r="A116" s="1353" t="s">
        <v>2493</v>
      </c>
      <c r="B116" s="1353" t="s">
        <v>2510</v>
      </c>
      <c r="C116" s="1353" t="s">
        <v>2511</v>
      </c>
    </row>
    <row customHeight="1" ht="11.25">
      <c r="A117" s="1353" t="s">
        <v>2493</v>
      </c>
      <c r="B117" s="1353" t="s">
        <v>2512</v>
      </c>
      <c r="C117" s="1353" t="s">
        <v>2513</v>
      </c>
    </row>
    <row customHeight="1" ht="11.25">
      <c r="A118" s="1353" t="s">
        <v>2514</v>
      </c>
      <c r="B118" s="1353" t="s">
        <v>2514</v>
      </c>
      <c r="C118" s="1353" t="s">
        <v>2515</v>
      </c>
    </row>
    <row customHeight="1" ht="11.25">
      <c r="A119" s="1353" t="s">
        <v>2514</v>
      </c>
      <c r="B119" s="1353" t="s">
        <v>2516</v>
      </c>
      <c r="C119" s="1353" t="s">
        <v>2517</v>
      </c>
    </row>
    <row customHeight="1" ht="11.25">
      <c r="A120" s="1353" t="s">
        <v>2514</v>
      </c>
      <c r="B120" s="1353" t="s">
        <v>2518</v>
      </c>
      <c r="C120" s="1353" t="s">
        <v>2519</v>
      </c>
    </row>
    <row customHeight="1" ht="11.25">
      <c r="A121" s="1353" t="s">
        <v>2514</v>
      </c>
      <c r="B121" s="1353" t="s">
        <v>2520</v>
      </c>
      <c r="C121" s="1353" t="s">
        <v>2521</v>
      </c>
    </row>
    <row customHeight="1" ht="11.25">
      <c r="A122" s="1353" t="s">
        <v>2514</v>
      </c>
      <c r="B122" s="1353" t="s">
        <v>2522</v>
      </c>
      <c r="C122" s="1353" t="s">
        <v>2523</v>
      </c>
    </row>
    <row customHeight="1" ht="11.25">
      <c r="A123" s="1353" t="s">
        <v>2514</v>
      </c>
      <c r="B123" s="1353" t="s">
        <v>2524</v>
      </c>
      <c r="C123" s="1353" t="s">
        <v>2525</v>
      </c>
    </row>
    <row customHeight="1" ht="11.25">
      <c r="A124" s="1353" t="s">
        <v>2514</v>
      </c>
      <c r="B124" s="1353" t="s">
        <v>2526</v>
      </c>
      <c r="C124" s="1353" t="s">
        <v>2527</v>
      </c>
    </row>
    <row customHeight="1" ht="11.25">
      <c r="A125" s="1353" t="s">
        <v>2514</v>
      </c>
      <c r="B125" s="1353" t="s">
        <v>2528</v>
      </c>
      <c r="C125" s="1353" t="s">
        <v>2529</v>
      </c>
    </row>
    <row customHeight="1" ht="11.25">
      <c r="A126" s="1353" t="s">
        <v>2514</v>
      </c>
      <c r="B126" s="1353" t="s">
        <v>2530</v>
      </c>
      <c r="C126" s="1353" t="s">
        <v>2531</v>
      </c>
    </row>
    <row customHeight="1" ht="11.25">
      <c r="A127" s="1353" t="s">
        <v>2514</v>
      </c>
      <c r="B127" s="1353" t="s">
        <v>2532</v>
      </c>
      <c r="C127" s="1353" t="s">
        <v>2533</v>
      </c>
    </row>
    <row customHeight="1" ht="11.25">
      <c r="A128" s="1353" t="s">
        <v>2514</v>
      </c>
      <c r="B128" s="1353" t="s">
        <v>2534</v>
      </c>
      <c r="C128" s="1353" t="s">
        <v>2535</v>
      </c>
    </row>
    <row customHeight="1" ht="11.25">
      <c r="A129" s="1353" t="s">
        <v>2514</v>
      </c>
      <c r="B129" s="1353" t="s">
        <v>2536</v>
      </c>
      <c r="C129" s="1353" t="s">
        <v>2537</v>
      </c>
    </row>
    <row customHeight="1" ht="11.25">
      <c r="A130" s="1353" t="s">
        <v>2538</v>
      </c>
      <c r="B130" s="1353" t="s">
        <v>2539</v>
      </c>
      <c r="C130" s="1353" t="s">
        <v>2540</v>
      </c>
    </row>
    <row customHeight="1" ht="11.25">
      <c r="A131" s="1353" t="s">
        <v>2538</v>
      </c>
      <c r="B131" s="1353" t="s">
        <v>2541</v>
      </c>
      <c r="C131" s="1353" t="s">
        <v>2542</v>
      </c>
    </row>
    <row customHeight="1" ht="11.25">
      <c r="A132" s="1353" t="s">
        <v>2538</v>
      </c>
      <c r="B132" s="1353" t="s">
        <v>2543</v>
      </c>
      <c r="C132" s="1353" t="s">
        <v>2544</v>
      </c>
    </row>
    <row customHeight="1" ht="11.25">
      <c r="A133" s="1353" t="s">
        <v>2538</v>
      </c>
      <c r="B133" s="1353" t="s">
        <v>2545</v>
      </c>
      <c r="C133" s="1353" t="s">
        <v>2546</v>
      </c>
    </row>
    <row customHeight="1" ht="11.25">
      <c r="A134" s="1353" t="s">
        <v>2538</v>
      </c>
      <c r="B134" s="1353" t="s">
        <v>2547</v>
      </c>
      <c r="C134" s="1353" t="s">
        <v>2548</v>
      </c>
    </row>
    <row customHeight="1" ht="11.25">
      <c r="A135" s="1353" t="s">
        <v>2538</v>
      </c>
      <c r="B135" s="1353" t="s">
        <v>2549</v>
      </c>
      <c r="C135" s="1353" t="s">
        <v>2550</v>
      </c>
    </row>
    <row customHeight="1" ht="11.25">
      <c r="A136" s="1353" t="s">
        <v>2538</v>
      </c>
      <c r="B136" s="1353" t="s">
        <v>2551</v>
      </c>
      <c r="C136" s="1353" t="s">
        <v>2552</v>
      </c>
    </row>
    <row customHeight="1" ht="11.25">
      <c r="A137" s="1353" t="s">
        <v>2538</v>
      </c>
      <c r="B137" s="1353" t="s">
        <v>2553</v>
      </c>
      <c r="C137" s="1353" t="s">
        <v>2554</v>
      </c>
    </row>
    <row customHeight="1" ht="11.25">
      <c r="A138" s="1353" t="s">
        <v>2538</v>
      </c>
      <c r="B138" s="1353" t="s">
        <v>2555</v>
      </c>
      <c r="C138" s="1353" t="s">
        <v>2556</v>
      </c>
    </row>
    <row customHeight="1" ht="11.25">
      <c r="A139" s="1353" t="s">
        <v>2538</v>
      </c>
      <c r="B139" s="1353" t="s">
        <v>2557</v>
      </c>
      <c r="C139" s="1353" t="s">
        <v>2558</v>
      </c>
    </row>
    <row customHeight="1" ht="11.25">
      <c r="A140" s="1353" t="s">
        <v>2559</v>
      </c>
      <c r="B140" s="1353" t="s">
        <v>2559</v>
      </c>
      <c r="C140" s="1353" t="s">
        <v>2560</v>
      </c>
    </row>
    <row customHeight="1" ht="11.25">
      <c r="A141" s="1353" t="s">
        <v>2559</v>
      </c>
      <c r="B141" s="1353" t="s">
        <v>2561</v>
      </c>
      <c r="C141" s="1353" t="s">
        <v>2562</v>
      </c>
    </row>
    <row customHeight="1" ht="11.25">
      <c r="A142" s="1353" t="s">
        <v>2559</v>
      </c>
      <c r="B142" s="1353" t="s">
        <v>2563</v>
      </c>
      <c r="C142" s="1353" t="s">
        <v>2564</v>
      </c>
    </row>
    <row customHeight="1" ht="11.25">
      <c r="A143" s="1353" t="s">
        <v>2559</v>
      </c>
      <c r="B143" s="1353" t="s">
        <v>2565</v>
      </c>
      <c r="C143" s="1353" t="s">
        <v>2566</v>
      </c>
    </row>
    <row customHeight="1" ht="11.25">
      <c r="A144" s="1353" t="s">
        <v>2559</v>
      </c>
      <c r="B144" s="1353" t="s">
        <v>2567</v>
      </c>
      <c r="C144" s="1353" t="s">
        <v>2568</v>
      </c>
    </row>
    <row customHeight="1" ht="11.25">
      <c r="A145" s="1353" t="s">
        <v>2559</v>
      </c>
      <c r="B145" s="1353" t="s">
        <v>2569</v>
      </c>
      <c r="C145" s="1353" t="s">
        <v>2570</v>
      </c>
    </row>
    <row customHeight="1" ht="11.25">
      <c r="A146" s="1353" t="s">
        <v>2559</v>
      </c>
      <c r="B146" s="1353" t="s">
        <v>2571</v>
      </c>
      <c r="C146" s="1353" t="s">
        <v>2572</v>
      </c>
    </row>
    <row customHeight="1" ht="11.25">
      <c r="A147" s="1353" t="s">
        <v>2559</v>
      </c>
      <c r="B147" s="1353" t="s">
        <v>2573</v>
      </c>
      <c r="C147" s="1353" t="s">
        <v>2574</v>
      </c>
    </row>
    <row customHeight="1" ht="11.25">
      <c r="A148" s="1353" t="s">
        <v>2559</v>
      </c>
      <c r="B148" s="1353" t="s">
        <v>2575</v>
      </c>
      <c r="C148" s="1353" t="s">
        <v>2576</v>
      </c>
    </row>
    <row customHeight="1" ht="11.25">
      <c r="A149" s="1353" t="s">
        <v>2559</v>
      </c>
      <c r="B149" s="1353" t="s">
        <v>2577</v>
      </c>
      <c r="C149" s="1353" t="s">
        <v>2578</v>
      </c>
    </row>
    <row customHeight="1" ht="11.25">
      <c r="A150" s="1353" t="s">
        <v>2559</v>
      </c>
      <c r="B150" s="1353" t="s">
        <v>2579</v>
      </c>
      <c r="C150" s="1353" t="s">
        <v>2580</v>
      </c>
    </row>
    <row customHeight="1" ht="11.25">
      <c r="A151" s="1353" t="s">
        <v>2559</v>
      </c>
      <c r="B151" s="1353" t="s">
        <v>2581</v>
      </c>
      <c r="C151" s="1353" t="s">
        <v>2582</v>
      </c>
    </row>
    <row customHeight="1" ht="11.25">
      <c r="A152" s="1353" t="s">
        <v>2559</v>
      </c>
      <c r="B152" s="1353" t="s">
        <v>2583</v>
      </c>
      <c r="C152" s="1353" t="s">
        <v>2584</v>
      </c>
    </row>
    <row customHeight="1" ht="11.25">
      <c r="A153" s="1353" t="s">
        <v>2559</v>
      </c>
      <c r="B153" s="1353" t="s">
        <v>2585</v>
      </c>
      <c r="C153" s="1353" t="s">
        <v>2586</v>
      </c>
    </row>
    <row customHeight="1" ht="11.25">
      <c r="A154" s="1353" t="s">
        <v>2587</v>
      </c>
      <c r="B154" s="1353" t="s">
        <v>2588</v>
      </c>
      <c r="C154" s="1353" t="s">
        <v>2589</v>
      </c>
    </row>
    <row customHeight="1" ht="11.25">
      <c r="A155" s="1353" t="s">
        <v>2587</v>
      </c>
      <c r="B155" s="1353" t="s">
        <v>2590</v>
      </c>
      <c r="C155" s="1353" t="s">
        <v>2591</v>
      </c>
    </row>
    <row customHeight="1" ht="11.25">
      <c r="A156" s="1353" t="s">
        <v>2587</v>
      </c>
      <c r="B156" s="1353" t="s">
        <v>2592</v>
      </c>
      <c r="C156" s="1353" t="s">
        <v>2593</v>
      </c>
    </row>
    <row customHeight="1" ht="11.25">
      <c r="A157" s="1353" t="s">
        <v>2587</v>
      </c>
      <c r="B157" s="1353" t="s">
        <v>2594</v>
      </c>
      <c r="C157" s="1353" t="s">
        <v>2595</v>
      </c>
    </row>
    <row customHeight="1" ht="11.25">
      <c r="A158" s="1353" t="s">
        <v>2587</v>
      </c>
      <c r="B158" s="1353" t="s">
        <v>2596</v>
      </c>
      <c r="C158" s="1353" t="s">
        <v>2597</v>
      </c>
    </row>
    <row customHeight="1" ht="11.25">
      <c r="A159" s="1353" t="s">
        <v>2587</v>
      </c>
      <c r="B159" s="1353" t="s">
        <v>2598</v>
      </c>
      <c r="C159" s="1353" t="s">
        <v>2599</v>
      </c>
    </row>
    <row customHeight="1" ht="11.25">
      <c r="A160" s="1353" t="s">
        <v>2587</v>
      </c>
      <c r="B160" s="1353" t="s">
        <v>2600</v>
      </c>
      <c r="C160" s="1353" t="s">
        <v>2601</v>
      </c>
    </row>
    <row customHeight="1" ht="11.25">
      <c r="A161" s="1353" t="s">
        <v>2587</v>
      </c>
      <c r="B161" s="1353" t="s">
        <v>2602</v>
      </c>
      <c r="C161" s="1353" t="s">
        <v>2603</v>
      </c>
    </row>
    <row customHeight="1" ht="11.25">
      <c r="A162" s="1353" t="s">
        <v>2587</v>
      </c>
      <c r="B162" s="1353" t="s">
        <v>2604</v>
      </c>
      <c r="C162" s="1353" t="s">
        <v>2605</v>
      </c>
    </row>
    <row customHeight="1" ht="11.25">
      <c r="A163" s="1353" t="s">
        <v>2587</v>
      </c>
      <c r="B163" s="1353" t="s">
        <v>2606</v>
      </c>
      <c r="C163" s="1353" t="s">
        <v>2607</v>
      </c>
    </row>
    <row customHeight="1" ht="11.25">
      <c r="A164" s="1353" t="s">
        <v>2587</v>
      </c>
      <c r="B164" s="1353" t="s">
        <v>2608</v>
      </c>
      <c r="C164" s="1353" t="s">
        <v>2609</v>
      </c>
    </row>
    <row customHeight="1" ht="11.25">
      <c r="A165" s="1353" t="s">
        <v>2587</v>
      </c>
      <c r="B165" s="1353" t="s">
        <v>2610</v>
      </c>
      <c r="C165" s="1353" t="s">
        <v>2611</v>
      </c>
    </row>
    <row customHeight="1" ht="11.25">
      <c r="A166" s="1353" t="s">
        <v>2612</v>
      </c>
      <c r="B166" s="1353" t="s">
        <v>2613</v>
      </c>
      <c r="C166" s="1353" t="s">
        <v>2614</v>
      </c>
    </row>
    <row customHeight="1" ht="11.25">
      <c r="A167" s="1353" t="s">
        <v>2612</v>
      </c>
      <c r="B167" s="1353" t="s">
        <v>2615</v>
      </c>
      <c r="C167" s="1353" t="s">
        <v>2616</v>
      </c>
    </row>
    <row customHeight="1" ht="11.25">
      <c r="A168" s="1353" t="s">
        <v>2612</v>
      </c>
      <c r="B168" s="1353" t="s">
        <v>2617</v>
      </c>
      <c r="C168" s="1353" t="s">
        <v>2618</v>
      </c>
    </row>
    <row customHeight="1" ht="11.25">
      <c r="A169" s="1353" t="s">
        <v>2612</v>
      </c>
      <c r="B169" s="1353" t="s">
        <v>2619</v>
      </c>
      <c r="C169" s="1353" t="s">
        <v>2620</v>
      </c>
    </row>
    <row customHeight="1" ht="11.25">
      <c r="A170" s="1353" t="s">
        <v>2612</v>
      </c>
      <c r="B170" s="1353" t="s">
        <v>2621</v>
      </c>
      <c r="C170" s="1353" t="s">
        <v>2622</v>
      </c>
    </row>
    <row customHeight="1" ht="11.25">
      <c r="A171" s="1353" t="s">
        <v>2612</v>
      </c>
      <c r="B171" s="1353" t="s">
        <v>2623</v>
      </c>
      <c r="C171" s="1353" t="s">
        <v>2624</v>
      </c>
    </row>
    <row customHeight="1" ht="11.25">
      <c r="A172" s="1353" t="s">
        <v>2612</v>
      </c>
      <c r="B172" s="1353" t="s">
        <v>2625</v>
      </c>
      <c r="C172" s="1353" t="s">
        <v>2626</v>
      </c>
    </row>
    <row customHeight="1" ht="11.25">
      <c r="A173" s="1353" t="s">
        <v>2612</v>
      </c>
      <c r="B173" s="1353" t="s">
        <v>2627</v>
      </c>
      <c r="C173" s="1353" t="s">
        <v>2628</v>
      </c>
    </row>
    <row customHeight="1" ht="11.25">
      <c r="A174" s="1353" t="s">
        <v>2612</v>
      </c>
      <c r="B174" s="1353" t="s">
        <v>2629</v>
      </c>
      <c r="C174" s="1353" t="s">
        <v>2630</v>
      </c>
    </row>
    <row customHeight="1" ht="11.25">
      <c r="A175" s="1353" t="s">
        <v>2612</v>
      </c>
      <c r="B175" s="1353" t="s">
        <v>2631</v>
      </c>
      <c r="C175" s="1353" t="s">
        <v>2632</v>
      </c>
    </row>
    <row customHeight="1" ht="11.25">
      <c r="A176" s="1353" t="s">
        <v>2612</v>
      </c>
      <c r="B176" s="1353" t="s">
        <v>2633</v>
      </c>
      <c r="C176" s="1353" t="s">
        <v>2634</v>
      </c>
    </row>
    <row customHeight="1" ht="11.25">
      <c r="A177" s="1353" t="s">
        <v>2612</v>
      </c>
      <c r="B177" s="1353" t="s">
        <v>2635</v>
      </c>
      <c r="C177" s="1353" t="s">
        <v>2636</v>
      </c>
    </row>
    <row customHeight="1" ht="11.25">
      <c r="A178" s="1353" t="s">
        <v>2637</v>
      </c>
      <c r="B178" s="1353" t="s">
        <v>2638</v>
      </c>
      <c r="C178" s="1353" t="s">
        <v>2639</v>
      </c>
    </row>
    <row customHeight="1" ht="11.25">
      <c r="A179" s="1353" t="s">
        <v>2637</v>
      </c>
      <c r="B179" s="1353" t="s">
        <v>2640</v>
      </c>
      <c r="C179" s="1353" t="s">
        <v>2641</v>
      </c>
    </row>
    <row customHeight="1" ht="11.25">
      <c r="A180" s="1353" t="s">
        <v>2637</v>
      </c>
      <c r="B180" s="1353" t="s">
        <v>2642</v>
      </c>
      <c r="C180" s="1353" t="s">
        <v>2643</v>
      </c>
    </row>
    <row customHeight="1" ht="11.25">
      <c r="A181" s="1353" t="s">
        <v>2637</v>
      </c>
      <c r="B181" s="1353" t="s">
        <v>2644</v>
      </c>
      <c r="C181" s="1353" t="s">
        <v>2645</v>
      </c>
    </row>
    <row customHeight="1" ht="11.25">
      <c r="A182" s="1353" t="s">
        <v>2637</v>
      </c>
      <c r="B182" s="1353" t="s">
        <v>2646</v>
      </c>
      <c r="C182" s="1353" t="s">
        <v>2647</v>
      </c>
    </row>
    <row customHeight="1" ht="11.25">
      <c r="A183" s="1353" t="s">
        <v>2637</v>
      </c>
      <c r="B183" s="1353" t="s">
        <v>2648</v>
      </c>
      <c r="C183" s="1353" t="s">
        <v>2649</v>
      </c>
    </row>
    <row customHeight="1" ht="11.25">
      <c r="A184" s="1353" t="s">
        <v>2637</v>
      </c>
      <c r="B184" s="1353" t="s">
        <v>2650</v>
      </c>
      <c r="C184" s="1353" t="s">
        <v>2651</v>
      </c>
    </row>
    <row customHeight="1" ht="11.25">
      <c r="A185" s="1353" t="s">
        <v>2652</v>
      </c>
      <c r="B185" s="1353" t="s">
        <v>2653</v>
      </c>
      <c r="C185" s="1353" t="s">
        <v>2654</v>
      </c>
    </row>
    <row customHeight="1" ht="11.25">
      <c r="A186" s="1353" t="s">
        <v>2652</v>
      </c>
      <c r="B186" s="1353" t="s">
        <v>2655</v>
      </c>
      <c r="C186" s="1353" t="s">
        <v>2656</v>
      </c>
    </row>
    <row customHeight="1" ht="11.25">
      <c r="A187" s="1353" t="s">
        <v>2652</v>
      </c>
      <c r="B187" s="1353" t="s">
        <v>2657</v>
      </c>
      <c r="C187" s="1353" t="s">
        <v>2658</v>
      </c>
    </row>
    <row customHeight="1" ht="11.25">
      <c r="A188" s="1353" t="s">
        <v>2652</v>
      </c>
      <c r="B188" s="1353" t="s">
        <v>2659</v>
      </c>
      <c r="C188" s="1353" t="s">
        <v>2660</v>
      </c>
    </row>
    <row customHeight="1" ht="11.25">
      <c r="A189" s="1353" t="s">
        <v>2652</v>
      </c>
      <c r="B189" s="1353" t="s">
        <v>2661</v>
      </c>
      <c r="C189" s="1353" t="s">
        <v>2662</v>
      </c>
    </row>
    <row customHeight="1" ht="11.25">
      <c r="A190" s="1353" t="s">
        <v>2652</v>
      </c>
      <c r="B190" s="1353" t="s">
        <v>2663</v>
      </c>
      <c r="C190" s="1353" t="s">
        <v>2664</v>
      </c>
    </row>
    <row customHeight="1" ht="11.25">
      <c r="A191" s="1353" t="s">
        <v>2652</v>
      </c>
      <c r="B191" s="1353" t="s">
        <v>2665</v>
      </c>
      <c r="C191" s="1353" t="s">
        <v>2666</v>
      </c>
    </row>
    <row customHeight="1" ht="11.25">
      <c r="A192" s="1353" t="s">
        <v>2652</v>
      </c>
      <c r="B192" s="1353" t="s">
        <v>2667</v>
      </c>
      <c r="C192" s="1353" t="s">
        <v>2668</v>
      </c>
    </row>
    <row customHeight="1" ht="11.25">
      <c r="A193" s="1353" t="s">
        <v>2652</v>
      </c>
      <c r="B193" s="1353" t="s">
        <v>2669</v>
      </c>
      <c r="C193" s="1353" t="s">
        <v>2670</v>
      </c>
    </row>
    <row customHeight="1" ht="11.25">
      <c r="A194" s="1353" t="s">
        <v>2671</v>
      </c>
      <c r="B194" s="1353" t="s">
        <v>2672</v>
      </c>
      <c r="C194" s="1353" t="s">
        <v>2673</v>
      </c>
    </row>
    <row customHeight="1" ht="11.25">
      <c r="A195" s="1353" t="s">
        <v>2671</v>
      </c>
      <c r="B195" s="1353" t="s">
        <v>2674</v>
      </c>
      <c r="C195" s="1353" t="s">
        <v>2675</v>
      </c>
    </row>
    <row customHeight="1" ht="11.25">
      <c r="A196" s="1353" t="s">
        <v>2671</v>
      </c>
      <c r="B196" s="1353" t="s">
        <v>2676</v>
      </c>
      <c r="C196" s="1353" t="s">
        <v>2677</v>
      </c>
    </row>
    <row customHeight="1" ht="11.25">
      <c r="A197" s="1353" t="s">
        <v>2671</v>
      </c>
      <c r="B197" s="1353" t="s">
        <v>2678</v>
      </c>
      <c r="C197" s="1353" t="s">
        <v>2679</v>
      </c>
    </row>
    <row customHeight="1" ht="11.25">
      <c r="A198" s="1353" t="s">
        <v>2671</v>
      </c>
      <c r="B198" s="1353" t="s">
        <v>2680</v>
      </c>
      <c r="C198" s="1353" t="s">
        <v>2681</v>
      </c>
    </row>
    <row customHeight="1" ht="11.25">
      <c r="A199" s="1353" t="s">
        <v>2671</v>
      </c>
      <c r="B199" s="1353" t="s">
        <v>2682</v>
      </c>
      <c r="C199" s="1353" t="s">
        <v>2683</v>
      </c>
    </row>
    <row customHeight="1" ht="11.25">
      <c r="A200" s="1353" t="s">
        <v>2671</v>
      </c>
      <c r="B200" s="1353" t="s">
        <v>2684</v>
      </c>
      <c r="C200" s="1353" t="s">
        <v>2685</v>
      </c>
    </row>
    <row customHeight="1" ht="11.25">
      <c r="A201" s="1353" t="s">
        <v>2671</v>
      </c>
      <c r="B201" s="1353" t="s">
        <v>2686</v>
      </c>
      <c r="C201" s="1353" t="s">
        <v>2687</v>
      </c>
    </row>
    <row customHeight="1" ht="11.25">
      <c r="A202" s="1353" t="s">
        <v>2671</v>
      </c>
      <c r="B202" s="1353" t="s">
        <v>2688</v>
      </c>
      <c r="C202" s="1353" t="s">
        <v>2689</v>
      </c>
    </row>
    <row customHeight="1" ht="11.25">
      <c r="A203" s="1353" t="s">
        <v>2671</v>
      </c>
      <c r="B203" s="1353" t="s">
        <v>2690</v>
      </c>
      <c r="C203" s="1353" t="s">
        <v>2691</v>
      </c>
    </row>
    <row customHeight="1" ht="11.25">
      <c r="A204" s="1353" t="s">
        <v>2692</v>
      </c>
      <c r="B204" s="1353" t="s">
        <v>2693</v>
      </c>
      <c r="C204" s="1353" t="s">
        <v>2694</v>
      </c>
    </row>
    <row customHeight="1" ht="11.25">
      <c r="A205" s="1353" t="s">
        <v>2692</v>
      </c>
      <c r="B205" s="1353" t="s">
        <v>2695</v>
      </c>
      <c r="C205" s="1353" t="s">
        <v>2696</v>
      </c>
    </row>
    <row customHeight="1" ht="11.25">
      <c r="A206" s="1353" t="s">
        <v>2692</v>
      </c>
      <c r="B206" s="1353" t="s">
        <v>2697</v>
      </c>
      <c r="C206" s="1353" t="s">
        <v>2698</v>
      </c>
    </row>
    <row customHeight="1" ht="11.25">
      <c r="A207" s="1353" t="s">
        <v>2692</v>
      </c>
      <c r="B207" s="1353" t="s">
        <v>2699</v>
      </c>
      <c r="C207" s="1353" t="s">
        <v>2700</v>
      </c>
    </row>
    <row customHeight="1" ht="11.25">
      <c r="A208" s="1353" t="s">
        <v>2692</v>
      </c>
      <c r="B208" s="1353" t="s">
        <v>2701</v>
      </c>
      <c r="C208" s="1353" t="s">
        <v>2702</v>
      </c>
    </row>
    <row customHeight="1" ht="11.25">
      <c r="A209" s="1353" t="s">
        <v>2692</v>
      </c>
      <c r="B209" s="1353" t="s">
        <v>2703</v>
      </c>
      <c r="C209" s="1353" t="s">
        <v>2704</v>
      </c>
    </row>
    <row customHeight="1" ht="11.25">
      <c r="A210" s="1353" t="s">
        <v>2692</v>
      </c>
      <c r="B210" s="1353" t="s">
        <v>2705</v>
      </c>
      <c r="C210" s="1353" t="s">
        <v>2706</v>
      </c>
    </row>
    <row customHeight="1" ht="11.25">
      <c r="A211" s="1353" t="s">
        <v>2692</v>
      </c>
      <c r="B211" s="1353" t="s">
        <v>2707</v>
      </c>
      <c r="C211" s="1353" t="s">
        <v>2708</v>
      </c>
    </row>
    <row customHeight="1" ht="11.25">
      <c r="A212" s="1353" t="s">
        <v>2692</v>
      </c>
      <c r="B212" s="1353" t="s">
        <v>2709</v>
      </c>
      <c r="C212" s="1353" t="s">
        <v>2710</v>
      </c>
    </row>
    <row customHeight="1" ht="11.25">
      <c r="A213" s="1353" t="s">
        <v>2692</v>
      </c>
      <c r="B213" s="1353" t="s">
        <v>2711</v>
      </c>
      <c r="C213" s="1353" t="s">
        <v>2712</v>
      </c>
    </row>
    <row customHeight="1" ht="11.25">
      <c r="A214" s="1353" t="s">
        <v>2692</v>
      </c>
      <c r="B214" s="1353" t="s">
        <v>2713</v>
      </c>
      <c r="C214" s="1353" t="s">
        <v>2714</v>
      </c>
    </row>
    <row customHeight="1" ht="11.25">
      <c r="A215" s="1353" t="s">
        <v>2715</v>
      </c>
      <c r="B215" s="1353" t="s">
        <v>2715</v>
      </c>
      <c r="C215" s="1353" t="s">
        <v>2716</v>
      </c>
    </row>
    <row customHeight="1" ht="11.25">
      <c r="A216" s="1353" t="s">
        <v>2717</v>
      </c>
      <c r="B216" s="1353" t="s">
        <v>2717</v>
      </c>
      <c r="C216" s="1353" t="s">
        <v>2718</v>
      </c>
    </row>
    <row customHeight="1" ht="11.25">
      <c r="A217" s="1353" t="s">
        <v>2719</v>
      </c>
      <c r="B217" s="1353" t="s">
        <v>2719</v>
      </c>
      <c r="C217" s="1353" t="s">
        <v>2720</v>
      </c>
    </row>
    <row customHeight="1" ht="11.25">
      <c r="A218" s="1353" t="s">
        <v>2721</v>
      </c>
      <c r="B218" s="1353" t="s">
        <v>2721</v>
      </c>
      <c r="C218" s="1353" t="s">
        <v>2722</v>
      </c>
    </row>
    <row customHeight="1" ht="11.25">
      <c r="A219" s="1353" t="s">
        <v>2723</v>
      </c>
      <c r="B219" s="1353" t="s">
        <v>2723</v>
      </c>
      <c r="C219" s="1353" t="s">
        <v>2724</v>
      </c>
    </row>
    <row customHeight="1" ht="11.25">
      <c r="A220" s="1353" t="s">
        <v>2725</v>
      </c>
      <c r="B220" s="1353" t="s">
        <v>2725</v>
      </c>
      <c r="C220" s="1353" t="s">
        <v>2726</v>
      </c>
    </row>
    <row customHeight="1" ht="11.25">
      <c r="A221" s="1353" t="s">
        <v>2727</v>
      </c>
      <c r="B221" s="1353" t="s">
        <v>2727</v>
      </c>
      <c r="C221" s="1353" t="s">
        <v>2728</v>
      </c>
    </row>
    <row customHeight="1" ht="11.25">
      <c r="A222" s="1353" t="s">
        <v>2729</v>
      </c>
      <c r="B222" s="1353" t="s">
        <v>2729</v>
      </c>
      <c r="C222" s="1353" t="s">
        <v>2730</v>
      </c>
    </row>
    <row customHeight="1" ht="11.25">
      <c r="A223" s="1353" t="s">
        <v>2731</v>
      </c>
      <c r="B223" s="1353" t="s">
        <v>2731</v>
      </c>
      <c r="C223" s="1353" t="s">
        <v>2732</v>
      </c>
    </row>
    <row customHeight="1" ht="11.25">
      <c r="A224" s="1353" t="s">
        <v>2733</v>
      </c>
      <c r="B224" s="1353" t="s">
        <v>2733</v>
      </c>
      <c r="C224" s="1353" t="s">
        <v>2734</v>
      </c>
    </row>
    <row customHeight="1" ht="11.25">
      <c r="A225" s="1353" t="s">
        <v>341</v>
      </c>
      <c r="B225" s="1353" t="s">
        <v>341</v>
      </c>
      <c r="C225" s="1353" t="s">
        <v>342</v>
      </c>
    </row>
    <row customHeight="1" ht="11.25">
      <c r="A226" s="1353" t="s">
        <v>2735</v>
      </c>
      <c r="B226" s="1353" t="s">
        <v>2735</v>
      </c>
      <c r="C226" s="1353" t="s">
        <v>2736</v>
      </c>
    </row>
    <row customHeight="1" ht="11.25">
      <c r="A227" s="1353" t="s">
        <v>2737</v>
      </c>
      <c r="B227" s="1353" t="s">
        <v>2737</v>
      </c>
      <c r="C227" s="1353" t="s">
        <v>2738</v>
      </c>
    </row>
    <row customHeight="1" ht="11.25">
      <c r="A228" s="1353" t="s">
        <v>2739</v>
      </c>
      <c r="B228" s="1353" t="s">
        <v>2739</v>
      </c>
      <c r="C228" s="1353" t="s">
        <v>2740</v>
      </c>
    </row>
    <row customHeight="1" ht="11.25">
      <c r="A229" s="1353" t="s">
        <v>2741</v>
      </c>
      <c r="B229" s="1353" t="s">
        <v>2741</v>
      </c>
      <c r="C229" s="1353" t="s">
        <v>2742</v>
      </c>
    </row>
    <row customHeight="1" ht="11.25">
      <c r="A230" s="1353" t="s">
        <v>2743</v>
      </c>
      <c r="B230" s="1353" t="s">
        <v>2743</v>
      </c>
      <c r="C230" s="1353" t="s">
        <v>2744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5BF886-C8EA-477D-3434-EFC5D662C388}" mc:Ignorable="x14ac xr xr2 xr3">
  <sheetPr>
    <tabColor rgb="FFFFCC99"/>
  </sheetPr>
  <dimension ref="A1:S110"/>
  <sheetViews>
    <sheetView topLeftCell="A1" showGridLines="0" workbookViewId="0">
      <selection activeCell="A1" sqref="A1"/>
    </sheetView>
  </sheetViews>
  <sheetFormatPr defaultColWidth="9.140625" customHeight="1" defaultRowHeight="11.25"/>
  <sheetData>
    <row customHeight="1" ht="11.25">
      <c r="A1" s="0" t="s">
        <v>2745</v>
      </c>
      <c r="B1" s="0" t="s">
        <v>2746</v>
      </c>
      <c r="C1" s="0" t="s">
        <v>2747</v>
      </c>
      <c r="D1" s="0" t="s">
        <v>2748</v>
      </c>
      <c r="E1" s="0" t="s">
        <v>2749</v>
      </c>
      <c r="F1" s="0" t="s">
        <v>2750</v>
      </c>
      <c r="G1" s="0" t="s">
        <v>2751</v>
      </c>
      <c r="H1" s="0" t="s">
        <v>2752</v>
      </c>
      <c r="I1" s="0" t="s">
        <v>2753</v>
      </c>
      <c r="J1" s="0" t="s">
        <v>2754</v>
      </c>
      <c r="K1" s="0" t="s">
        <v>2755</v>
      </c>
      <c r="L1" s="0" t="s">
        <v>2756</v>
      </c>
      <c r="M1" s="0" t="s">
        <v>2757</v>
      </c>
      <c r="N1" s="0" t="s">
        <v>2758</v>
      </c>
      <c r="O1" s="0" t="s">
        <v>2759</v>
      </c>
      <c r="P1" s="0" t="s">
        <v>2760</v>
      </c>
      <c r="Q1" s="0" t="s">
        <v>2761</v>
      </c>
      <c r="R1" s="0" t="s">
        <v>2762</v>
      </c>
      <c r="S1" s="0" t="s">
        <v>2763</v>
      </c>
    </row>
    <row customHeight="1" ht="11.25">
      <c r="A2" s="0">
        <v>2655</v>
      </c>
      <c r="B2" s="0" t="s">
        <v>101</v>
      </c>
      <c r="C2" s="0">
        <v>28976938</v>
      </c>
      <c r="D2" s="0" t="s">
        <v>2764</v>
      </c>
      <c r="E2" s="0" t="s">
        <v>2765</v>
      </c>
      <c r="F2" s="0" t="s">
        <v>2766</v>
      </c>
      <c r="G2" s="0" t="s">
        <v>2767</v>
      </c>
      <c r="H2" s="0" t="s">
        <v>2768</v>
      </c>
      <c r="I2" s="0" t="s">
        <v>2769</v>
      </c>
      <c r="J2" s="0" t="s">
        <v>2770</v>
      </c>
      <c r="K2" s="0" t="s">
        <v>2771</v>
      </c>
      <c r="L2" s="0" t="s">
        <v>2772</v>
      </c>
      <c r="M2" s="0" t="s">
        <v>2773</v>
      </c>
      <c r="N2" s="0" t="s">
        <v>2774</v>
      </c>
      <c r="O2" s="0" t="s">
        <v>2775</v>
      </c>
      <c r="P2" s="0" t="s">
        <v>2776</v>
      </c>
      <c r="Q2" s="0" t="s">
        <v>2777</v>
      </c>
      <c r="R2" s="0" t="b">
        <v>0</v>
      </c>
      <c r="S2" s="0" t="s">
        <v>2778</v>
      </c>
    </row>
    <row customHeight="1" ht="11.25">
      <c r="A3" s="0">
        <v>2655</v>
      </c>
      <c r="B3" s="0" t="s">
        <v>101</v>
      </c>
      <c r="C3" s="0">
        <v>27804990</v>
      </c>
      <c r="D3" s="0" t="s">
        <v>2779</v>
      </c>
      <c r="E3" s="0" t="s">
        <v>2780</v>
      </c>
      <c r="F3" s="0" t="s">
        <v>2781</v>
      </c>
      <c r="G3" s="0" t="s">
        <v>122</v>
      </c>
      <c r="H3" s="0" t="s">
        <v>2782</v>
      </c>
      <c r="I3" s="0" t="s">
        <v>2783</v>
      </c>
      <c r="J3" s="0" t="s">
        <v>2770</v>
      </c>
      <c r="K3" s="0" t="s">
        <v>2784</v>
      </c>
      <c r="L3" s="0" t="s">
        <v>2785</v>
      </c>
      <c r="M3" s="0" t="s">
        <v>2786</v>
      </c>
      <c r="N3" s="0" t="s">
        <v>2787</v>
      </c>
      <c r="O3" s="0" t="s">
        <v>2788</v>
      </c>
      <c r="P3" s="0" t="s">
        <v>2789</v>
      </c>
      <c r="Q3" s="0" t="s">
        <v>2790</v>
      </c>
      <c r="R3" s="0" t="b">
        <v>0</v>
      </c>
      <c r="S3" s="0" t="s">
        <v>2778</v>
      </c>
    </row>
    <row customHeight="1" ht="11.25">
      <c r="A4" s="0">
        <v>2655</v>
      </c>
      <c r="B4" s="0" t="s">
        <v>101</v>
      </c>
      <c r="C4" s="0">
        <v>27804826</v>
      </c>
      <c r="D4" s="0" t="s">
        <v>2791</v>
      </c>
      <c r="E4" s="0" t="s">
        <v>2792</v>
      </c>
      <c r="F4" s="0" t="s">
        <v>2793</v>
      </c>
      <c r="G4" s="0" t="s">
        <v>2794</v>
      </c>
      <c r="H4" s="0" t="s">
        <v>2795</v>
      </c>
      <c r="I4" s="0" t="s">
        <v>2796</v>
      </c>
      <c r="J4" s="0" t="s">
        <v>2770</v>
      </c>
      <c r="K4" s="0" t="s">
        <v>2797</v>
      </c>
      <c r="L4" s="0" t="s">
        <v>2785</v>
      </c>
      <c r="M4" s="0" t="s">
        <v>228</v>
      </c>
      <c r="N4" s="0" t="s">
        <v>2798</v>
      </c>
      <c r="O4" s="0" t="s">
        <v>2799</v>
      </c>
      <c r="P4" s="0" t="s">
        <v>2789</v>
      </c>
      <c r="Q4" s="0" t="s">
        <v>2800</v>
      </c>
      <c r="R4" s="0" t="b">
        <v>0</v>
      </c>
      <c r="S4" s="0" t="s">
        <v>2778</v>
      </c>
    </row>
    <row customHeight="1" ht="11.25">
      <c r="A5" s="0">
        <v>2655</v>
      </c>
      <c r="B5" s="0" t="s">
        <v>101</v>
      </c>
      <c r="C5" s="0">
        <v>26356963</v>
      </c>
      <c r="D5" s="0" t="s">
        <v>2801</v>
      </c>
      <c r="E5" s="0" t="s">
        <v>2802</v>
      </c>
      <c r="F5" s="0" t="s">
        <v>2803</v>
      </c>
      <c r="G5" s="0" t="s">
        <v>2804</v>
      </c>
      <c r="H5" s="0" t="s">
        <v>2805</v>
      </c>
      <c r="I5" s="0" t="s">
        <v>228</v>
      </c>
      <c r="J5" s="0" t="s">
        <v>2770</v>
      </c>
      <c r="K5" s="0" t="s">
        <v>2806</v>
      </c>
      <c r="L5" s="0" t="s">
        <v>2806</v>
      </c>
      <c r="M5" s="0" t="s">
        <v>2807</v>
      </c>
      <c r="N5" s="0" t="s">
        <v>2808</v>
      </c>
      <c r="O5" s="0" t="s">
        <v>2809</v>
      </c>
      <c r="P5" s="0" t="s">
        <v>2810</v>
      </c>
      <c r="Q5" s="0" t="s">
        <v>228</v>
      </c>
      <c r="R5" s="0" t="b">
        <v>0</v>
      </c>
      <c r="S5" s="0" t="s">
        <v>2778</v>
      </c>
    </row>
    <row customHeight="1" ht="11.25">
      <c r="A6" s="0">
        <v>2655</v>
      </c>
      <c r="B6" s="0" t="s">
        <v>101</v>
      </c>
      <c r="C6" s="0">
        <v>26322889</v>
      </c>
      <c r="D6" s="0" t="s">
        <v>2811</v>
      </c>
      <c r="E6" s="0" t="s">
        <v>2812</v>
      </c>
      <c r="F6" s="0" t="s">
        <v>2813</v>
      </c>
      <c r="G6" s="0" t="s">
        <v>2814</v>
      </c>
      <c r="H6" s="0" t="s">
        <v>2815</v>
      </c>
      <c r="I6" s="0" t="s">
        <v>2816</v>
      </c>
      <c r="J6" s="0" t="s">
        <v>2770</v>
      </c>
      <c r="K6" s="0" t="s">
        <v>2817</v>
      </c>
      <c r="L6" s="0" t="s">
        <v>2818</v>
      </c>
      <c r="M6" s="0" t="s">
        <v>2819</v>
      </c>
      <c r="N6" s="0" t="s">
        <v>2820</v>
      </c>
      <c r="O6" s="0" t="s">
        <v>2821</v>
      </c>
      <c r="P6" s="0" t="s">
        <v>2822</v>
      </c>
      <c r="Q6" s="0" t="s">
        <v>2823</v>
      </c>
      <c r="R6" s="0" t="b">
        <v>0</v>
      </c>
      <c r="S6" s="0" t="s">
        <v>2778</v>
      </c>
    </row>
    <row customHeight="1" ht="11.25">
      <c r="A7" s="0">
        <v>2655</v>
      </c>
      <c r="B7" s="0" t="s">
        <v>101</v>
      </c>
      <c r="C7" s="0">
        <v>26356905</v>
      </c>
      <c r="D7" s="0" t="s">
        <v>2824</v>
      </c>
      <c r="E7" s="0" t="s">
        <v>2825</v>
      </c>
      <c r="F7" s="0" t="s">
        <v>2826</v>
      </c>
      <c r="G7" s="0" t="s">
        <v>122</v>
      </c>
      <c r="H7" s="0" t="s">
        <v>2827</v>
      </c>
      <c r="I7" s="0" t="s">
        <v>2828</v>
      </c>
      <c r="J7" s="0" t="s">
        <v>2770</v>
      </c>
      <c r="K7" s="0" t="s">
        <v>2829</v>
      </c>
      <c r="L7" s="0" t="s">
        <v>2829</v>
      </c>
      <c r="M7" s="0" t="s">
        <v>2830</v>
      </c>
      <c r="N7" s="0" t="s">
        <v>2831</v>
      </c>
      <c r="O7" s="0" t="s">
        <v>2832</v>
      </c>
      <c r="P7" s="0" t="s">
        <v>2833</v>
      </c>
      <c r="Q7" s="0" t="s">
        <v>2834</v>
      </c>
      <c r="R7" s="0" t="b">
        <v>0</v>
      </c>
      <c r="S7" s="0" t="s">
        <v>2778</v>
      </c>
    </row>
    <row customHeight="1" ht="11.25">
      <c r="A8" s="0">
        <v>2655</v>
      </c>
      <c r="B8" s="0" t="s">
        <v>101</v>
      </c>
      <c r="C8" s="0">
        <v>26427149</v>
      </c>
      <c r="D8" s="0" t="s">
        <v>2835</v>
      </c>
      <c r="E8" s="0" t="s">
        <v>2836</v>
      </c>
      <c r="F8" s="0" t="s">
        <v>2766</v>
      </c>
      <c r="G8" s="0" t="s">
        <v>2837</v>
      </c>
      <c r="H8" s="0" t="s">
        <v>2768</v>
      </c>
      <c r="I8" s="0" t="s">
        <v>2769</v>
      </c>
      <c r="J8" s="0" t="s">
        <v>2770</v>
      </c>
      <c r="K8" s="0" t="s">
        <v>2838</v>
      </c>
      <c r="L8" s="0" t="s">
        <v>2839</v>
      </c>
      <c r="M8" s="0" t="s">
        <v>2840</v>
      </c>
      <c r="N8" s="0" t="s">
        <v>2841</v>
      </c>
      <c r="O8" s="0" t="s">
        <v>2842</v>
      </c>
      <c r="P8" s="0" t="s">
        <v>2843</v>
      </c>
      <c r="Q8" s="0" t="s">
        <v>2844</v>
      </c>
      <c r="R8" s="0" t="b">
        <v>0</v>
      </c>
      <c r="S8" s="0" t="s">
        <v>2778</v>
      </c>
    </row>
    <row customHeight="1" ht="11.25">
      <c r="A9" s="0">
        <v>2655</v>
      </c>
      <c r="B9" s="0" t="s">
        <v>101</v>
      </c>
      <c r="C9" s="0">
        <v>27295125</v>
      </c>
      <c r="D9" s="0" t="s">
        <v>2845</v>
      </c>
      <c r="E9" s="0" t="s">
        <v>2846</v>
      </c>
      <c r="F9" s="0" t="s">
        <v>2847</v>
      </c>
      <c r="G9" s="0" t="s">
        <v>2848</v>
      </c>
      <c r="H9" s="0" t="s">
        <v>2849</v>
      </c>
      <c r="I9" s="0" t="s">
        <v>2850</v>
      </c>
      <c r="J9" s="0" t="s">
        <v>127</v>
      </c>
      <c r="K9" s="0" t="s">
        <v>2851</v>
      </c>
      <c r="L9" s="0" t="s">
        <v>2851</v>
      </c>
      <c r="M9" s="0" t="s">
        <v>2852</v>
      </c>
      <c r="N9" s="0" t="s">
        <v>2853</v>
      </c>
      <c r="O9" s="0" t="s">
        <v>2854</v>
      </c>
      <c r="P9" s="0" t="s">
        <v>144</v>
      </c>
      <c r="Q9" s="0" t="s">
        <v>228</v>
      </c>
      <c r="R9" s="0" t="b">
        <v>0</v>
      </c>
      <c r="S9" s="0" t="s">
        <v>2778</v>
      </c>
    </row>
    <row customHeight="1" ht="11.25">
      <c r="A10" s="0">
        <v>2655</v>
      </c>
      <c r="B10" s="0" t="s">
        <v>101</v>
      </c>
      <c r="C10" s="0">
        <v>26824672</v>
      </c>
      <c r="D10" s="0" t="s">
        <v>2855</v>
      </c>
      <c r="E10" s="0" t="s">
        <v>2856</v>
      </c>
      <c r="F10" s="0" t="s">
        <v>2857</v>
      </c>
      <c r="G10" s="0" t="s">
        <v>2858</v>
      </c>
      <c r="H10" s="0" t="s">
        <v>2859</v>
      </c>
      <c r="I10" s="0" t="s">
        <v>228</v>
      </c>
      <c r="J10" s="0" t="s">
        <v>127</v>
      </c>
      <c r="K10" s="0" t="s">
        <v>2860</v>
      </c>
      <c r="L10" s="0" t="s">
        <v>2861</v>
      </c>
      <c r="M10" s="0" t="s">
        <v>2862</v>
      </c>
      <c r="N10" s="0" t="s">
        <v>2863</v>
      </c>
      <c r="O10" s="0" t="s">
        <v>228</v>
      </c>
      <c r="P10" s="0" t="s">
        <v>2864</v>
      </c>
      <c r="Q10" s="0" t="s">
        <v>228</v>
      </c>
      <c r="R10" s="0" t="b">
        <v>0</v>
      </c>
      <c r="S10" s="0" t="s">
        <v>2778</v>
      </c>
    </row>
    <row customHeight="1" ht="11.25">
      <c r="A11" s="0">
        <v>2655</v>
      </c>
      <c r="B11" s="0" t="s">
        <v>101</v>
      </c>
      <c r="C11" s="0">
        <v>31826293</v>
      </c>
      <c r="D11" s="0" t="s">
        <v>2865</v>
      </c>
      <c r="E11" s="0" t="s">
        <v>2866</v>
      </c>
      <c r="F11" s="0" t="s">
        <v>2867</v>
      </c>
      <c r="G11" s="0" t="s">
        <v>2868</v>
      </c>
      <c r="H11" s="0" t="s">
        <v>2869</v>
      </c>
      <c r="I11" s="0" t="s">
        <v>2870</v>
      </c>
      <c r="K11" s="0" t="s">
        <v>2871</v>
      </c>
      <c r="L11" s="0" t="s">
        <v>2872</v>
      </c>
      <c r="M11" s="0" t="s">
        <v>228</v>
      </c>
      <c r="N11" s="0" t="s">
        <v>2873</v>
      </c>
      <c r="O11" s="0" t="s">
        <v>2874</v>
      </c>
      <c r="P11" s="0" t="s">
        <v>2875</v>
      </c>
      <c r="Q11" s="0" t="s">
        <v>228</v>
      </c>
      <c r="R11" s="0" t="b">
        <v>0</v>
      </c>
      <c r="S11" s="0" t="s">
        <v>2778</v>
      </c>
    </row>
    <row customHeight="1" ht="11.25">
      <c r="A12" s="0">
        <v>2655</v>
      </c>
      <c r="B12" s="0" t="s">
        <v>101</v>
      </c>
      <c r="C12" s="0">
        <v>26322867</v>
      </c>
      <c r="D12" s="0" t="s">
        <v>2876</v>
      </c>
      <c r="E12" s="0" t="s">
        <v>2877</v>
      </c>
      <c r="F12" s="0" t="s">
        <v>2878</v>
      </c>
      <c r="G12" s="0" t="s">
        <v>2814</v>
      </c>
      <c r="H12" s="0" t="s">
        <v>2879</v>
      </c>
      <c r="I12" s="0" t="s">
        <v>2880</v>
      </c>
      <c r="J12" s="0" t="s">
        <v>2770</v>
      </c>
      <c r="K12" s="0" t="s">
        <v>2881</v>
      </c>
      <c r="L12" s="0" t="s">
        <v>2881</v>
      </c>
      <c r="M12" s="0" t="s">
        <v>2882</v>
      </c>
      <c r="N12" s="0" t="s">
        <v>2883</v>
      </c>
      <c r="O12" s="0" t="s">
        <v>2884</v>
      </c>
      <c r="P12" s="0" t="s">
        <v>144</v>
      </c>
      <c r="Q12" s="0" t="s">
        <v>2885</v>
      </c>
      <c r="R12" s="0" t="b">
        <v>0</v>
      </c>
      <c r="S12" s="0" t="s">
        <v>2778</v>
      </c>
    </row>
    <row customHeight="1" ht="11.25">
      <c r="A13" s="0">
        <v>2655</v>
      </c>
      <c r="B13" s="0" t="s">
        <v>101</v>
      </c>
      <c r="C13" s="0">
        <v>26824651</v>
      </c>
      <c r="D13" s="0" t="s">
        <v>2886</v>
      </c>
      <c r="E13" s="0" t="s">
        <v>2887</v>
      </c>
      <c r="F13" s="0" t="s">
        <v>2857</v>
      </c>
      <c r="G13" s="0" t="s">
        <v>2888</v>
      </c>
      <c r="H13" s="0" t="s">
        <v>2859</v>
      </c>
      <c r="I13" s="0" t="s">
        <v>228</v>
      </c>
      <c r="J13" s="0" t="s">
        <v>2770</v>
      </c>
      <c r="K13" s="0" t="s">
        <v>2889</v>
      </c>
      <c r="L13" s="0" t="s">
        <v>2890</v>
      </c>
      <c r="M13" s="0" t="s">
        <v>2891</v>
      </c>
      <c r="N13" s="0" t="s">
        <v>2892</v>
      </c>
      <c r="O13" s="0" t="s">
        <v>2893</v>
      </c>
      <c r="P13" s="0" t="s">
        <v>2894</v>
      </c>
      <c r="Q13" s="0" t="s">
        <v>228</v>
      </c>
      <c r="R13" s="0" t="b">
        <v>0</v>
      </c>
      <c r="S13" s="0" t="s">
        <v>2778</v>
      </c>
    </row>
    <row customHeight="1" ht="11.25">
      <c r="A14" s="0">
        <v>2655</v>
      </c>
      <c r="B14" s="0" t="s">
        <v>101</v>
      </c>
      <c r="C14" s="0">
        <v>26824396</v>
      </c>
      <c r="D14" s="0" t="s">
        <v>2895</v>
      </c>
      <c r="E14" s="0" t="s">
        <v>2896</v>
      </c>
      <c r="F14" s="0" t="s">
        <v>2857</v>
      </c>
      <c r="G14" s="0" t="s">
        <v>2897</v>
      </c>
      <c r="H14" s="0" t="s">
        <v>2859</v>
      </c>
      <c r="I14" s="0" t="s">
        <v>228</v>
      </c>
      <c r="J14" s="0" t="s">
        <v>127</v>
      </c>
      <c r="K14" s="0" t="s">
        <v>2898</v>
      </c>
      <c r="L14" s="0" t="s">
        <v>2898</v>
      </c>
      <c r="M14" s="0" t="s">
        <v>2899</v>
      </c>
      <c r="N14" s="0" t="s">
        <v>228</v>
      </c>
      <c r="O14" s="0" t="s">
        <v>2900</v>
      </c>
      <c r="P14" s="0" t="s">
        <v>2894</v>
      </c>
      <c r="Q14" s="0" t="s">
        <v>228</v>
      </c>
      <c r="R14" s="0" t="b">
        <v>0</v>
      </c>
      <c r="S14" s="0" t="s">
        <v>2778</v>
      </c>
    </row>
    <row customHeight="1" ht="11.25">
      <c r="A15" s="0">
        <v>2655</v>
      </c>
      <c r="B15" s="0" t="s">
        <v>101</v>
      </c>
      <c r="C15" s="0">
        <v>31232672</v>
      </c>
      <c r="D15" s="0" t="s">
        <v>2901</v>
      </c>
      <c r="E15" s="0" t="s">
        <v>2902</v>
      </c>
      <c r="F15" s="0" t="s">
        <v>2903</v>
      </c>
      <c r="G15" s="0" t="s">
        <v>2904</v>
      </c>
      <c r="H15" s="0" t="s">
        <v>2905</v>
      </c>
      <c r="I15" s="0" t="s">
        <v>2906</v>
      </c>
      <c r="J15" s="0" t="s">
        <v>2907</v>
      </c>
      <c r="K15" s="0" t="s">
        <v>2908</v>
      </c>
      <c r="L15" s="0" t="s">
        <v>2908</v>
      </c>
      <c r="M15" s="0" t="s">
        <v>2909</v>
      </c>
      <c r="N15" s="0" t="s">
        <v>2910</v>
      </c>
      <c r="O15" s="0" t="s">
        <v>2911</v>
      </c>
      <c r="P15" s="0" t="s">
        <v>2912</v>
      </c>
      <c r="Q15" s="0" t="s">
        <v>228</v>
      </c>
      <c r="R15" s="0" t="b">
        <v>0</v>
      </c>
      <c r="S15" s="0" t="s">
        <v>2778</v>
      </c>
    </row>
    <row customHeight="1" ht="11.25">
      <c r="A16" s="0">
        <v>2655</v>
      </c>
      <c r="B16" s="0" t="s">
        <v>101</v>
      </c>
      <c r="C16" s="0">
        <v>31387447</v>
      </c>
      <c r="D16" s="0" t="s">
        <v>2913</v>
      </c>
      <c r="E16" s="0" t="s">
        <v>2914</v>
      </c>
      <c r="F16" s="0" t="s">
        <v>2915</v>
      </c>
      <c r="G16" s="0" t="s">
        <v>2916</v>
      </c>
      <c r="H16" s="0" t="s">
        <v>2917</v>
      </c>
      <c r="I16" s="0" t="s">
        <v>2918</v>
      </c>
      <c r="J16" s="0" t="s">
        <v>2919</v>
      </c>
      <c r="K16" s="0" t="s">
        <v>2920</v>
      </c>
      <c r="L16" s="0" t="s">
        <v>2920</v>
      </c>
      <c r="M16" s="0" t="s">
        <v>2921</v>
      </c>
      <c r="N16" s="0" t="s">
        <v>2922</v>
      </c>
      <c r="O16" s="0" t="s">
        <v>2923</v>
      </c>
      <c r="P16" s="0" t="s">
        <v>2912</v>
      </c>
      <c r="Q16" s="0" t="s">
        <v>228</v>
      </c>
      <c r="R16" s="0" t="b">
        <v>0</v>
      </c>
      <c r="S16" s="0" t="s">
        <v>2778</v>
      </c>
    </row>
    <row customHeight="1" ht="11.25">
      <c r="A17" s="0">
        <v>2655</v>
      </c>
      <c r="B17" s="0" t="s">
        <v>101</v>
      </c>
      <c r="C17" s="0">
        <v>30808700</v>
      </c>
      <c r="D17" s="0" t="s">
        <v>2924</v>
      </c>
      <c r="E17" s="0" t="s">
        <v>2925</v>
      </c>
      <c r="F17" s="0" t="s">
        <v>2926</v>
      </c>
      <c r="G17" s="0" t="s">
        <v>2858</v>
      </c>
      <c r="H17" s="0" t="s">
        <v>2927</v>
      </c>
      <c r="I17" s="0" t="s">
        <v>2928</v>
      </c>
      <c r="J17" s="0" t="s">
        <v>2919</v>
      </c>
      <c r="K17" s="0" t="s">
        <v>2929</v>
      </c>
      <c r="L17" s="0" t="s">
        <v>2930</v>
      </c>
      <c r="M17" s="0" t="s">
        <v>2931</v>
      </c>
      <c r="N17" s="0" t="s">
        <v>2932</v>
      </c>
      <c r="O17" s="0" t="s">
        <v>2933</v>
      </c>
      <c r="P17" s="0" t="s">
        <v>2875</v>
      </c>
      <c r="Q17" s="0" t="s">
        <v>228</v>
      </c>
      <c r="R17" s="0" t="b">
        <v>1</v>
      </c>
      <c r="S17" s="0" t="s">
        <v>2778</v>
      </c>
    </row>
    <row customHeight="1" ht="11.25">
      <c r="A18" s="0">
        <v>2655</v>
      </c>
      <c r="B18" s="0" t="s">
        <v>101</v>
      </c>
      <c r="C18" s="0">
        <v>31319221</v>
      </c>
      <c r="D18" s="0" t="s">
        <v>2934</v>
      </c>
      <c r="E18" s="0" t="s">
        <v>2935</v>
      </c>
      <c r="F18" s="0" t="s">
        <v>2936</v>
      </c>
      <c r="G18" s="0" t="s">
        <v>2916</v>
      </c>
      <c r="H18" s="0" t="s">
        <v>2937</v>
      </c>
      <c r="I18" s="0" t="s">
        <v>2938</v>
      </c>
      <c r="J18" s="0" t="s">
        <v>2907</v>
      </c>
      <c r="K18" s="0" t="s">
        <v>2939</v>
      </c>
      <c r="L18" s="0" t="s">
        <v>2940</v>
      </c>
      <c r="M18" s="0" t="s">
        <v>2941</v>
      </c>
      <c r="N18" s="0" t="s">
        <v>2942</v>
      </c>
      <c r="O18" s="0" t="s">
        <v>2943</v>
      </c>
      <c r="P18" s="0" t="s">
        <v>2912</v>
      </c>
      <c r="Q18" s="0" t="s">
        <v>228</v>
      </c>
      <c r="R18" s="0" t="b">
        <v>0</v>
      </c>
      <c r="S18" s="0" t="s">
        <v>2778</v>
      </c>
    </row>
    <row customHeight="1" ht="11.25">
      <c r="A19" s="0">
        <v>2655</v>
      </c>
      <c r="B19" s="0" t="s">
        <v>101</v>
      </c>
      <c r="C19" s="0">
        <v>31419990</v>
      </c>
      <c r="D19" s="0" t="s">
        <v>2944</v>
      </c>
      <c r="E19" s="0" t="s">
        <v>2945</v>
      </c>
      <c r="F19" s="0" t="s">
        <v>2946</v>
      </c>
      <c r="G19" s="0" t="s">
        <v>2947</v>
      </c>
      <c r="H19" s="0" t="s">
        <v>2948</v>
      </c>
      <c r="I19" s="0" t="s">
        <v>2949</v>
      </c>
      <c r="J19" s="0" t="s">
        <v>2907</v>
      </c>
      <c r="K19" s="0" t="s">
        <v>2950</v>
      </c>
      <c r="L19" s="0" t="s">
        <v>2950</v>
      </c>
      <c r="M19" s="0" t="s">
        <v>2951</v>
      </c>
      <c r="N19" s="0" t="s">
        <v>2952</v>
      </c>
      <c r="O19" s="0" t="s">
        <v>2953</v>
      </c>
      <c r="P19" s="0" t="s">
        <v>2912</v>
      </c>
      <c r="Q19" s="0" t="s">
        <v>2954</v>
      </c>
      <c r="R19" s="0" t="b">
        <v>0</v>
      </c>
      <c r="S19" s="0" t="s">
        <v>2778</v>
      </c>
    </row>
    <row customHeight="1" ht="11.25">
      <c r="A20" s="0">
        <v>2655</v>
      </c>
      <c r="B20" s="0" t="s">
        <v>101</v>
      </c>
      <c r="C20" s="0">
        <v>31343443</v>
      </c>
      <c r="D20" s="0" t="s">
        <v>2955</v>
      </c>
      <c r="E20" s="0" t="s">
        <v>2956</v>
      </c>
      <c r="F20" s="0" t="s">
        <v>2957</v>
      </c>
      <c r="G20" s="0" t="s">
        <v>2858</v>
      </c>
      <c r="H20" s="0" t="s">
        <v>2958</v>
      </c>
      <c r="I20" s="0" t="s">
        <v>2959</v>
      </c>
      <c r="J20" s="0" t="s">
        <v>2907</v>
      </c>
      <c r="K20" s="0" t="s">
        <v>2960</v>
      </c>
      <c r="L20" s="0" t="s">
        <v>2960</v>
      </c>
      <c r="N20" s="0" t="s">
        <v>2961</v>
      </c>
      <c r="O20" s="0" t="s">
        <v>2962</v>
      </c>
      <c r="P20" s="0" t="s">
        <v>2875</v>
      </c>
      <c r="R20" s="0" t="b">
        <v>0</v>
      </c>
      <c r="S20" s="0" t="s">
        <v>2778</v>
      </c>
    </row>
    <row customHeight="1" ht="11.25">
      <c r="A21" s="0">
        <v>2655</v>
      </c>
      <c r="B21" s="0" t="s">
        <v>101</v>
      </c>
      <c r="C21" s="0">
        <v>31367841</v>
      </c>
      <c r="D21" s="0" t="s">
        <v>2963</v>
      </c>
      <c r="E21" s="0" t="s">
        <v>2964</v>
      </c>
      <c r="F21" s="0" t="s">
        <v>2965</v>
      </c>
      <c r="G21" s="0" t="s">
        <v>2966</v>
      </c>
      <c r="H21" s="0" t="s">
        <v>2967</v>
      </c>
      <c r="I21" s="0" t="s">
        <v>2968</v>
      </c>
      <c r="J21" s="0" t="s">
        <v>2919</v>
      </c>
      <c r="K21" s="0" t="s">
        <v>2969</v>
      </c>
      <c r="L21" s="0" t="s">
        <v>2969</v>
      </c>
      <c r="M21" s="0" t="s">
        <v>228</v>
      </c>
      <c r="N21" s="0" t="s">
        <v>2970</v>
      </c>
      <c r="O21" s="0" t="s">
        <v>2971</v>
      </c>
      <c r="P21" s="0" t="s">
        <v>2912</v>
      </c>
      <c r="Q21" s="0" t="s">
        <v>228</v>
      </c>
      <c r="R21" s="0" t="b">
        <v>0</v>
      </c>
      <c r="S21" s="0" t="s">
        <v>2778</v>
      </c>
    </row>
    <row customHeight="1" ht="11.25">
      <c r="A22" s="0">
        <v>2655</v>
      </c>
      <c r="B22" s="0" t="s">
        <v>101</v>
      </c>
      <c r="C22" s="0">
        <v>31087651</v>
      </c>
      <c r="D22" s="0" t="s">
        <v>2972</v>
      </c>
      <c r="E22" s="0" t="s">
        <v>2973</v>
      </c>
      <c r="F22" s="0" t="s">
        <v>2974</v>
      </c>
      <c r="G22" s="0" t="s">
        <v>2975</v>
      </c>
      <c r="H22" s="0" t="s">
        <v>2976</v>
      </c>
      <c r="I22" s="0" t="s">
        <v>2977</v>
      </c>
      <c r="J22" s="0" t="s">
        <v>2907</v>
      </c>
      <c r="K22" s="0" t="s">
        <v>2978</v>
      </c>
      <c r="L22" s="0" t="s">
        <v>2978</v>
      </c>
      <c r="M22" s="0" t="s">
        <v>2979</v>
      </c>
      <c r="N22" s="0" t="s">
        <v>2980</v>
      </c>
      <c r="O22" s="0" t="s">
        <v>2981</v>
      </c>
      <c r="R22" s="0" t="b">
        <v>0</v>
      </c>
      <c r="S22" s="0" t="s">
        <v>2778</v>
      </c>
    </row>
    <row customHeight="1" ht="11.25">
      <c r="A23" s="0">
        <v>2655</v>
      </c>
      <c r="B23" s="0" t="s">
        <v>101</v>
      </c>
      <c r="C23" s="0">
        <v>31367862</v>
      </c>
      <c r="D23" s="0" t="s">
        <v>2982</v>
      </c>
      <c r="E23" s="0" t="s">
        <v>2983</v>
      </c>
      <c r="F23" s="0" t="s">
        <v>2984</v>
      </c>
      <c r="G23" s="0" t="s">
        <v>2966</v>
      </c>
      <c r="H23" s="0" t="s">
        <v>2985</v>
      </c>
      <c r="I23" s="0" t="s">
        <v>2986</v>
      </c>
      <c r="J23" s="0" t="s">
        <v>2907</v>
      </c>
      <c r="K23" s="0" t="s">
        <v>2987</v>
      </c>
      <c r="L23" s="0" t="s">
        <v>2987</v>
      </c>
      <c r="M23" s="0" t="s">
        <v>228</v>
      </c>
      <c r="N23" s="0" t="s">
        <v>2988</v>
      </c>
      <c r="O23" s="0" t="s">
        <v>2989</v>
      </c>
      <c r="P23" s="0" t="s">
        <v>2912</v>
      </c>
      <c r="Q23" s="0" t="s">
        <v>228</v>
      </c>
      <c r="R23" s="0" t="b">
        <v>0</v>
      </c>
      <c r="S23" s="0" t="s">
        <v>2778</v>
      </c>
    </row>
    <row customHeight="1" ht="11.25">
      <c r="A24" s="0">
        <v>2655</v>
      </c>
      <c r="B24" s="0" t="s">
        <v>101</v>
      </c>
      <c r="C24" s="0">
        <v>26486390</v>
      </c>
      <c r="D24" s="0" t="s">
        <v>2990</v>
      </c>
      <c r="E24" s="0" t="s">
        <v>2991</v>
      </c>
      <c r="F24" s="0" t="s">
        <v>2992</v>
      </c>
      <c r="G24" s="0" t="s">
        <v>2993</v>
      </c>
      <c r="H24" s="0" t="s">
        <v>2994</v>
      </c>
      <c r="I24" s="0" t="s">
        <v>2995</v>
      </c>
      <c r="J24" s="0" t="s">
        <v>2919</v>
      </c>
      <c r="K24" s="0" t="s">
        <v>2996</v>
      </c>
      <c r="L24" s="0" t="s">
        <v>2996</v>
      </c>
      <c r="M24" s="0" t="s">
        <v>2997</v>
      </c>
      <c r="N24" s="0" t="s">
        <v>2998</v>
      </c>
      <c r="O24" s="0" t="s">
        <v>2999</v>
      </c>
      <c r="P24" s="0" t="s">
        <v>3000</v>
      </c>
      <c r="Q24" s="0" t="s">
        <v>228</v>
      </c>
      <c r="R24" s="0" t="b">
        <v>0</v>
      </c>
      <c r="S24" s="0" t="s">
        <v>2778</v>
      </c>
    </row>
    <row customHeight="1" ht="11.25">
      <c r="A25" s="0">
        <v>2655</v>
      </c>
      <c r="B25" s="0" t="s">
        <v>101</v>
      </c>
      <c r="C25" s="0">
        <v>27977465</v>
      </c>
      <c r="D25" s="0" t="s">
        <v>3001</v>
      </c>
      <c r="E25" s="0" t="s">
        <v>3002</v>
      </c>
      <c r="F25" s="0" t="s">
        <v>3003</v>
      </c>
      <c r="G25" s="0" t="s">
        <v>3004</v>
      </c>
      <c r="H25" s="0" t="s">
        <v>3005</v>
      </c>
      <c r="I25" s="0" t="s">
        <v>228</v>
      </c>
      <c r="K25" s="0" t="s">
        <v>3006</v>
      </c>
      <c r="L25" s="0" t="s">
        <v>3006</v>
      </c>
      <c r="M25" s="0" t="s">
        <v>3007</v>
      </c>
      <c r="N25" s="0" t="s">
        <v>3008</v>
      </c>
      <c r="O25" s="0" t="s">
        <v>3009</v>
      </c>
      <c r="P25" s="0" t="s">
        <v>2875</v>
      </c>
      <c r="Q25" s="0" t="s">
        <v>228</v>
      </c>
      <c r="R25" s="0" t="b">
        <v>0</v>
      </c>
      <c r="S25" s="0" t="s">
        <v>2778</v>
      </c>
    </row>
    <row customHeight="1" ht="11.25">
      <c r="A26" s="0">
        <v>2655</v>
      </c>
      <c r="B26" s="0" t="s">
        <v>101</v>
      </c>
      <c r="C26" s="0">
        <v>31003143</v>
      </c>
      <c r="D26" s="0" t="s">
        <v>3010</v>
      </c>
      <c r="E26" s="0" t="s">
        <v>3011</v>
      </c>
      <c r="F26" s="0" t="s">
        <v>3012</v>
      </c>
      <c r="G26" s="0" t="s">
        <v>3004</v>
      </c>
      <c r="H26" s="0" t="s">
        <v>3013</v>
      </c>
      <c r="I26" s="0" t="s">
        <v>3014</v>
      </c>
      <c r="J26" s="0" t="s">
        <v>2919</v>
      </c>
      <c r="K26" s="0" t="s">
        <v>3015</v>
      </c>
      <c r="L26" s="0" t="s">
        <v>3016</v>
      </c>
      <c r="M26" s="0" t="s">
        <v>3017</v>
      </c>
      <c r="N26" s="0" t="s">
        <v>3018</v>
      </c>
      <c r="O26" s="0" t="s">
        <v>3019</v>
      </c>
      <c r="P26" s="0" t="s">
        <v>2912</v>
      </c>
      <c r="Q26" s="0" t="s">
        <v>228</v>
      </c>
      <c r="R26" s="0" t="b">
        <v>1</v>
      </c>
      <c r="S26" s="0" t="s">
        <v>2778</v>
      </c>
    </row>
    <row customHeight="1" ht="11.25">
      <c r="A27" s="0">
        <v>2655</v>
      </c>
      <c r="B27" s="0" t="s">
        <v>101</v>
      </c>
      <c r="C27" s="0">
        <v>31308226</v>
      </c>
      <c r="D27" s="0" t="s">
        <v>3020</v>
      </c>
      <c r="E27" s="0" t="s">
        <v>3021</v>
      </c>
      <c r="F27" s="0" t="s">
        <v>3022</v>
      </c>
      <c r="G27" s="0" t="s">
        <v>3023</v>
      </c>
      <c r="H27" s="0" t="s">
        <v>3024</v>
      </c>
      <c r="I27" s="0" t="s">
        <v>3025</v>
      </c>
      <c r="J27" s="0" t="s">
        <v>2919</v>
      </c>
      <c r="K27" s="0" t="s">
        <v>3026</v>
      </c>
      <c r="L27" s="0" t="s">
        <v>3026</v>
      </c>
      <c r="M27" s="0" t="s">
        <v>3027</v>
      </c>
      <c r="N27" s="0" t="s">
        <v>3028</v>
      </c>
      <c r="O27" s="0" t="s">
        <v>3029</v>
      </c>
      <c r="P27" s="0" t="s">
        <v>2875</v>
      </c>
      <c r="Q27" s="0" t="s">
        <v>228</v>
      </c>
      <c r="R27" s="0" t="b">
        <v>1</v>
      </c>
      <c r="S27" s="0" t="s">
        <v>2778</v>
      </c>
    </row>
    <row customHeight="1" ht="11.25">
      <c r="A28" s="0">
        <v>2655</v>
      </c>
      <c r="B28" s="0" t="s">
        <v>101</v>
      </c>
      <c r="C28" s="0">
        <v>31284269</v>
      </c>
      <c r="D28" s="0" t="s">
        <v>3030</v>
      </c>
      <c r="E28" s="0" t="s">
        <v>3031</v>
      </c>
      <c r="F28" s="0" t="s">
        <v>3032</v>
      </c>
      <c r="G28" s="0" t="s">
        <v>2975</v>
      </c>
      <c r="H28" s="0" t="s">
        <v>3033</v>
      </c>
      <c r="I28" s="0" t="s">
        <v>3034</v>
      </c>
      <c r="J28" s="0" t="s">
        <v>2919</v>
      </c>
      <c r="K28" s="0" t="s">
        <v>3035</v>
      </c>
      <c r="L28" s="0" t="s">
        <v>3036</v>
      </c>
      <c r="M28" s="0" t="s">
        <v>3037</v>
      </c>
      <c r="N28" s="0" t="s">
        <v>3038</v>
      </c>
      <c r="O28" s="0" t="s">
        <v>3039</v>
      </c>
      <c r="P28" s="0" t="s">
        <v>228</v>
      </c>
      <c r="Q28" s="0" t="s">
        <v>228</v>
      </c>
      <c r="R28" s="0" t="b">
        <v>0</v>
      </c>
      <c r="S28" s="0" t="s">
        <v>2778</v>
      </c>
    </row>
    <row customHeight="1" ht="11.25">
      <c r="A29" s="0">
        <v>2655</v>
      </c>
      <c r="B29" s="0" t="s">
        <v>101</v>
      </c>
      <c r="C29" s="0">
        <v>31241680</v>
      </c>
      <c r="D29" s="0" t="s">
        <v>3040</v>
      </c>
      <c r="E29" s="0" t="s">
        <v>3041</v>
      </c>
      <c r="F29" s="0" t="s">
        <v>3042</v>
      </c>
      <c r="G29" s="0" t="s">
        <v>2947</v>
      </c>
      <c r="H29" s="0" t="s">
        <v>3043</v>
      </c>
      <c r="I29" s="0" t="s">
        <v>3044</v>
      </c>
      <c r="J29" s="0" t="s">
        <v>2919</v>
      </c>
      <c r="K29" s="0" t="s">
        <v>3045</v>
      </c>
      <c r="L29" s="0" t="s">
        <v>3045</v>
      </c>
      <c r="M29" s="0" t="s">
        <v>3046</v>
      </c>
      <c r="N29" s="0" t="s">
        <v>3047</v>
      </c>
      <c r="O29" s="0" t="s">
        <v>3048</v>
      </c>
      <c r="P29" s="0" t="s">
        <v>2875</v>
      </c>
      <c r="Q29" s="0" t="s">
        <v>3049</v>
      </c>
      <c r="R29" s="0" t="b">
        <v>0</v>
      </c>
      <c r="S29" s="0" t="s">
        <v>2778</v>
      </c>
    </row>
    <row customHeight="1" ht="11.25">
      <c r="A30" s="0">
        <v>2655</v>
      </c>
      <c r="B30" s="0" t="s">
        <v>101</v>
      </c>
      <c r="C30" s="0">
        <v>31579664</v>
      </c>
      <c r="D30" s="0" t="s">
        <v>3050</v>
      </c>
      <c r="E30" s="0" t="s">
        <v>3051</v>
      </c>
      <c r="F30" s="0" t="s">
        <v>3052</v>
      </c>
      <c r="G30" s="0" t="s">
        <v>2858</v>
      </c>
      <c r="H30" s="0" t="s">
        <v>3053</v>
      </c>
      <c r="I30" s="0" t="s">
        <v>3054</v>
      </c>
      <c r="K30" s="0" t="s">
        <v>3055</v>
      </c>
      <c r="L30" s="0" t="s">
        <v>3056</v>
      </c>
      <c r="M30" s="0" t="s">
        <v>3057</v>
      </c>
      <c r="N30" s="0" t="s">
        <v>228</v>
      </c>
      <c r="O30" s="0" t="s">
        <v>3058</v>
      </c>
      <c r="P30" s="0" t="s">
        <v>2912</v>
      </c>
      <c r="Q30" s="0" t="s">
        <v>3059</v>
      </c>
      <c r="R30" s="0" t="b">
        <v>1</v>
      </c>
      <c r="S30" s="0" t="s">
        <v>2778</v>
      </c>
    </row>
    <row customHeight="1" ht="11.25">
      <c r="A31" s="0">
        <v>2655</v>
      </c>
      <c r="B31" s="0" t="s">
        <v>101</v>
      </c>
      <c r="C31" s="0">
        <v>26322895</v>
      </c>
      <c r="D31" s="0" t="s">
        <v>111</v>
      </c>
      <c r="E31" s="0" t="s">
        <v>114</v>
      </c>
      <c r="F31" s="0" t="s">
        <v>120</v>
      </c>
      <c r="G31" s="0" t="s">
        <v>122</v>
      </c>
      <c r="H31" s="0" t="s">
        <v>118</v>
      </c>
      <c r="I31" s="0" t="s">
        <v>124</v>
      </c>
      <c r="J31" s="0" t="s">
        <v>127</v>
      </c>
      <c r="K31" s="0" t="s">
        <v>130</v>
      </c>
      <c r="L31" s="0" t="s">
        <v>130</v>
      </c>
      <c r="M31" s="0" t="s">
        <v>3060</v>
      </c>
      <c r="N31" s="0" t="s">
        <v>138</v>
      </c>
      <c r="O31" s="0" t="s">
        <v>141</v>
      </c>
      <c r="P31" s="0" t="s">
        <v>144</v>
      </c>
      <c r="Q31" s="0" t="s">
        <v>147</v>
      </c>
      <c r="R31" s="0" t="b">
        <v>0</v>
      </c>
      <c r="S31" s="0" t="s">
        <v>2778</v>
      </c>
    </row>
    <row customHeight="1" ht="11.25">
      <c r="A32" s="0">
        <v>2655</v>
      </c>
      <c r="B32" s="0" t="s">
        <v>101</v>
      </c>
      <c r="C32" s="0">
        <v>28119331</v>
      </c>
      <c r="D32" s="0" t="s">
        <v>3061</v>
      </c>
      <c r="E32" s="0" t="s">
        <v>3062</v>
      </c>
      <c r="F32" s="0" t="s">
        <v>3063</v>
      </c>
      <c r="G32" s="0" t="s">
        <v>122</v>
      </c>
      <c r="H32" s="0" t="s">
        <v>3064</v>
      </c>
      <c r="I32" s="0" t="s">
        <v>228</v>
      </c>
      <c r="J32" s="0" t="s">
        <v>3065</v>
      </c>
      <c r="K32" s="0" t="s">
        <v>3066</v>
      </c>
      <c r="L32" s="0" t="s">
        <v>3066</v>
      </c>
      <c r="M32" s="0" t="s">
        <v>3067</v>
      </c>
      <c r="N32" s="0" t="s">
        <v>228</v>
      </c>
      <c r="O32" s="0" t="s">
        <v>3068</v>
      </c>
      <c r="P32" s="0" t="s">
        <v>2875</v>
      </c>
      <c r="Q32" s="0" t="s">
        <v>228</v>
      </c>
      <c r="R32" s="0" t="b">
        <v>1</v>
      </c>
      <c r="S32" s="0" t="s">
        <v>2778</v>
      </c>
    </row>
    <row customHeight="1" ht="11.25">
      <c r="A33" s="0">
        <v>2655</v>
      </c>
      <c r="B33" s="0" t="s">
        <v>101</v>
      </c>
      <c r="C33" s="0">
        <v>31775146</v>
      </c>
      <c r="D33" s="0" t="s">
        <v>3069</v>
      </c>
      <c r="E33" s="0" t="s">
        <v>3070</v>
      </c>
      <c r="F33" s="0" t="s">
        <v>3071</v>
      </c>
      <c r="G33" s="0" t="s">
        <v>184</v>
      </c>
      <c r="H33" s="0" t="s">
        <v>3072</v>
      </c>
      <c r="I33" s="0" t="s">
        <v>3073</v>
      </c>
      <c r="K33" s="0" t="s">
        <v>3074</v>
      </c>
      <c r="L33" s="0" t="s">
        <v>3074</v>
      </c>
      <c r="M33" s="0" t="s">
        <v>3075</v>
      </c>
      <c r="N33" s="0" t="s">
        <v>3076</v>
      </c>
      <c r="O33" s="0" t="s">
        <v>3077</v>
      </c>
      <c r="P33" s="0" t="s">
        <v>2875</v>
      </c>
      <c r="Q33" s="0" t="s">
        <v>228</v>
      </c>
      <c r="R33" s="0" t="b">
        <v>1</v>
      </c>
      <c r="S33" s="0" t="s">
        <v>2778</v>
      </c>
    </row>
    <row customHeight="1" ht="11.25">
      <c r="A34" s="0">
        <v>2655</v>
      </c>
      <c r="B34" s="0" t="s">
        <v>101</v>
      </c>
      <c r="C34" s="0">
        <v>28869965</v>
      </c>
      <c r="D34" s="0" t="s">
        <v>3078</v>
      </c>
      <c r="E34" s="0" t="s">
        <v>3079</v>
      </c>
      <c r="F34" s="0" t="s">
        <v>3080</v>
      </c>
      <c r="G34" s="0" t="s">
        <v>2904</v>
      </c>
      <c r="H34" s="0" t="s">
        <v>3081</v>
      </c>
      <c r="I34" s="0" t="s">
        <v>228</v>
      </c>
      <c r="J34" s="0" t="s">
        <v>3065</v>
      </c>
      <c r="K34" s="0" t="s">
        <v>3082</v>
      </c>
      <c r="L34" s="0" t="s">
        <v>3082</v>
      </c>
      <c r="M34" s="0" t="s">
        <v>3083</v>
      </c>
      <c r="N34" s="0" t="s">
        <v>3084</v>
      </c>
      <c r="O34" s="0" t="s">
        <v>3085</v>
      </c>
      <c r="P34" s="0" t="s">
        <v>144</v>
      </c>
      <c r="Q34" s="0" t="s">
        <v>3086</v>
      </c>
      <c r="R34" s="0" t="b">
        <v>0</v>
      </c>
      <c r="S34" s="0" t="s">
        <v>2778</v>
      </c>
    </row>
    <row customHeight="1" ht="11.25">
      <c r="A35" s="0">
        <v>2655</v>
      </c>
      <c r="B35" s="0" t="s">
        <v>101</v>
      </c>
      <c r="C35" s="0">
        <v>31356597</v>
      </c>
      <c r="D35" s="0" t="s">
        <v>3087</v>
      </c>
      <c r="E35" s="0" t="s">
        <v>3088</v>
      </c>
      <c r="F35" s="0" t="s">
        <v>3089</v>
      </c>
      <c r="G35" s="0" t="s">
        <v>2975</v>
      </c>
      <c r="H35" s="0" t="s">
        <v>3090</v>
      </c>
      <c r="I35" s="0" t="s">
        <v>3091</v>
      </c>
      <c r="J35" s="0" t="s">
        <v>3065</v>
      </c>
      <c r="K35" s="0" t="s">
        <v>3092</v>
      </c>
      <c r="L35" s="0" t="s">
        <v>3092</v>
      </c>
      <c r="M35" s="0" t="s">
        <v>3093</v>
      </c>
      <c r="N35" s="0" t="s">
        <v>3094</v>
      </c>
      <c r="O35" s="0" t="s">
        <v>3095</v>
      </c>
      <c r="P35" s="0" t="s">
        <v>144</v>
      </c>
      <c r="Q35" s="0" t="s">
        <v>228</v>
      </c>
      <c r="R35" s="0" t="b">
        <v>0</v>
      </c>
      <c r="S35" s="0" t="s">
        <v>2778</v>
      </c>
    </row>
    <row customHeight="1" ht="11.25">
      <c r="A36" s="0">
        <v>2655</v>
      </c>
      <c r="B36" s="0" t="s">
        <v>101</v>
      </c>
      <c r="C36" s="0">
        <v>28136671</v>
      </c>
      <c r="D36" s="0" t="s">
        <v>3096</v>
      </c>
      <c r="E36" s="0" t="s">
        <v>3097</v>
      </c>
      <c r="F36" s="0" t="s">
        <v>3098</v>
      </c>
      <c r="G36" s="0" t="s">
        <v>3099</v>
      </c>
      <c r="H36" s="0" t="s">
        <v>3100</v>
      </c>
      <c r="I36" s="0" t="s">
        <v>3101</v>
      </c>
      <c r="J36" s="0" t="s">
        <v>3065</v>
      </c>
      <c r="K36" s="0" t="s">
        <v>3102</v>
      </c>
      <c r="L36" s="0" t="s">
        <v>3103</v>
      </c>
      <c r="M36" s="0" t="s">
        <v>3104</v>
      </c>
      <c r="N36" s="0" t="s">
        <v>3105</v>
      </c>
      <c r="O36" s="0" t="s">
        <v>3106</v>
      </c>
      <c r="P36" s="0" t="s">
        <v>2789</v>
      </c>
      <c r="Q36" s="0" t="s">
        <v>228</v>
      </c>
      <c r="R36" s="0" t="b">
        <v>1</v>
      </c>
      <c r="S36" s="0" t="s">
        <v>2778</v>
      </c>
    </row>
    <row customHeight="1" ht="11.25">
      <c r="A37" s="0">
        <v>2655</v>
      </c>
      <c r="B37" s="0" t="s">
        <v>101</v>
      </c>
      <c r="C37" s="0">
        <v>30854705</v>
      </c>
      <c r="D37" s="0" t="s">
        <v>3107</v>
      </c>
      <c r="E37" s="0" t="s">
        <v>3108</v>
      </c>
      <c r="F37" s="0" t="s">
        <v>3109</v>
      </c>
      <c r="G37" s="0" t="s">
        <v>2804</v>
      </c>
      <c r="H37" s="0" t="s">
        <v>3110</v>
      </c>
      <c r="I37" s="0" t="s">
        <v>3111</v>
      </c>
      <c r="J37" s="0" t="s">
        <v>3065</v>
      </c>
      <c r="K37" s="0" t="s">
        <v>3112</v>
      </c>
      <c r="L37" s="0" t="s">
        <v>3112</v>
      </c>
      <c r="M37" s="0" t="s">
        <v>3113</v>
      </c>
      <c r="N37" s="0" t="s">
        <v>3114</v>
      </c>
      <c r="O37" s="0" t="s">
        <v>3115</v>
      </c>
      <c r="P37" s="0" t="s">
        <v>144</v>
      </c>
      <c r="Q37" s="0" t="s">
        <v>151</v>
      </c>
      <c r="R37" s="0" t="b">
        <v>0</v>
      </c>
      <c r="S37" s="0" t="s">
        <v>2778</v>
      </c>
    </row>
    <row customHeight="1" ht="11.25">
      <c r="A38" s="0">
        <v>2655</v>
      </c>
      <c r="B38" s="0" t="s">
        <v>101</v>
      </c>
      <c r="C38" s="0">
        <v>31656254</v>
      </c>
      <c r="D38" s="0" t="s">
        <v>3116</v>
      </c>
      <c r="E38" s="0" t="s">
        <v>3117</v>
      </c>
      <c r="F38" s="0" t="s">
        <v>3118</v>
      </c>
      <c r="G38" s="0" t="s">
        <v>3119</v>
      </c>
      <c r="H38" s="0" t="s">
        <v>3120</v>
      </c>
      <c r="I38" s="0" t="s">
        <v>3121</v>
      </c>
      <c r="K38" s="0" t="s">
        <v>3122</v>
      </c>
      <c r="L38" s="0" t="s">
        <v>3123</v>
      </c>
      <c r="M38" s="0" t="s">
        <v>3124</v>
      </c>
      <c r="N38" s="0" t="s">
        <v>3125</v>
      </c>
      <c r="O38" s="0" t="s">
        <v>3126</v>
      </c>
      <c r="P38" s="0" t="s">
        <v>2912</v>
      </c>
      <c r="Q38" s="0" t="s">
        <v>3127</v>
      </c>
      <c r="R38" s="0" t="b">
        <v>0</v>
      </c>
      <c r="S38" s="0" t="s">
        <v>2778</v>
      </c>
    </row>
    <row customHeight="1" ht="11.25">
      <c r="A39" s="0">
        <v>2655</v>
      </c>
      <c r="B39" s="0" t="s">
        <v>101</v>
      </c>
      <c r="C39" s="0">
        <v>31424033</v>
      </c>
      <c r="D39" s="0" t="s">
        <v>3128</v>
      </c>
      <c r="E39" s="0" t="s">
        <v>3129</v>
      </c>
      <c r="F39" s="0" t="s">
        <v>3130</v>
      </c>
      <c r="G39" s="0" t="s">
        <v>3131</v>
      </c>
      <c r="H39" s="0" t="s">
        <v>3132</v>
      </c>
      <c r="I39" s="0" t="s">
        <v>228</v>
      </c>
      <c r="J39" s="0" t="s">
        <v>3065</v>
      </c>
      <c r="K39" s="0" t="s">
        <v>228</v>
      </c>
      <c r="L39" s="0" t="s">
        <v>228</v>
      </c>
      <c r="M39" s="0" t="s">
        <v>228</v>
      </c>
      <c r="N39" s="0" t="s">
        <v>228</v>
      </c>
      <c r="O39" s="0" t="s">
        <v>228</v>
      </c>
      <c r="P39" s="0" t="s">
        <v>228</v>
      </c>
      <c r="Q39" s="0" t="s">
        <v>228</v>
      </c>
      <c r="R39" s="0" t="b">
        <v>0</v>
      </c>
      <c r="S39" s="0" t="s">
        <v>2778</v>
      </c>
    </row>
    <row customHeight="1" ht="11.25">
      <c r="A40" s="0">
        <v>2655</v>
      </c>
      <c r="B40" s="0" t="s">
        <v>101</v>
      </c>
      <c r="C40" s="0">
        <v>26428026</v>
      </c>
      <c r="D40" s="0" t="s">
        <v>3133</v>
      </c>
      <c r="E40" s="0" t="s">
        <v>3134</v>
      </c>
      <c r="F40" s="0" t="s">
        <v>3135</v>
      </c>
      <c r="G40" s="0" t="s">
        <v>3136</v>
      </c>
      <c r="H40" s="0" t="s">
        <v>3137</v>
      </c>
      <c r="I40" s="0" t="s">
        <v>228</v>
      </c>
      <c r="K40" s="0" t="s">
        <v>3138</v>
      </c>
      <c r="L40" s="0" t="s">
        <v>3138</v>
      </c>
      <c r="M40" s="0" t="s">
        <v>3139</v>
      </c>
      <c r="N40" s="0" t="s">
        <v>3140</v>
      </c>
      <c r="O40" s="0" t="s">
        <v>3141</v>
      </c>
      <c r="P40" s="0" t="s">
        <v>2912</v>
      </c>
      <c r="Q40" s="0" t="s">
        <v>228</v>
      </c>
      <c r="R40" s="0" t="b">
        <v>1</v>
      </c>
      <c r="S40" s="0" t="s">
        <v>2778</v>
      </c>
    </row>
    <row customHeight="1" ht="11.25">
      <c r="A41" s="0">
        <v>2655</v>
      </c>
      <c r="B41" s="0" t="s">
        <v>101</v>
      </c>
      <c r="C41" s="0">
        <v>28151808</v>
      </c>
      <c r="D41" s="0" t="s">
        <v>3142</v>
      </c>
      <c r="E41" s="0" t="s">
        <v>3143</v>
      </c>
      <c r="F41" s="0" t="s">
        <v>3144</v>
      </c>
      <c r="G41" s="0" t="s">
        <v>2858</v>
      </c>
      <c r="H41" s="0" t="s">
        <v>3145</v>
      </c>
      <c r="I41" s="0" t="s">
        <v>3146</v>
      </c>
      <c r="J41" s="0" t="s">
        <v>3065</v>
      </c>
      <c r="K41" s="0" t="s">
        <v>3147</v>
      </c>
      <c r="L41" s="0" t="s">
        <v>3148</v>
      </c>
      <c r="M41" s="0" t="s">
        <v>3149</v>
      </c>
      <c r="N41" s="0" t="s">
        <v>3150</v>
      </c>
      <c r="O41" s="0" t="s">
        <v>3151</v>
      </c>
      <c r="P41" s="0" t="s">
        <v>144</v>
      </c>
      <c r="Q41" s="0" t="s">
        <v>228</v>
      </c>
      <c r="R41" s="0" t="b">
        <v>1</v>
      </c>
      <c r="S41" s="0" t="s">
        <v>2778</v>
      </c>
    </row>
    <row customHeight="1" ht="11.25">
      <c r="A42" s="0">
        <v>2655</v>
      </c>
      <c r="B42" s="0" t="s">
        <v>101</v>
      </c>
      <c r="C42" s="0">
        <v>31739633</v>
      </c>
      <c r="D42" s="0" t="s">
        <v>3152</v>
      </c>
      <c r="E42" s="0" t="s">
        <v>3153</v>
      </c>
      <c r="F42" s="0" t="s">
        <v>3154</v>
      </c>
      <c r="G42" s="0" t="s">
        <v>3155</v>
      </c>
      <c r="H42" s="0" t="s">
        <v>3156</v>
      </c>
      <c r="I42" s="0" t="s">
        <v>3157</v>
      </c>
      <c r="K42" s="0" t="s">
        <v>3158</v>
      </c>
      <c r="L42" s="0" t="s">
        <v>3158</v>
      </c>
      <c r="M42" s="0" t="s">
        <v>3159</v>
      </c>
      <c r="N42" s="0" t="s">
        <v>3160</v>
      </c>
      <c r="O42" s="0" t="s">
        <v>3161</v>
      </c>
      <c r="P42" s="0" t="s">
        <v>2875</v>
      </c>
      <c r="Q42" s="0" t="s">
        <v>228</v>
      </c>
      <c r="R42" s="0" t="b">
        <v>0</v>
      </c>
      <c r="S42" s="0" t="s">
        <v>2778</v>
      </c>
    </row>
    <row customHeight="1" ht="11.25">
      <c r="A43" s="0">
        <v>2655</v>
      </c>
      <c r="B43" s="0" t="s">
        <v>101</v>
      </c>
      <c r="C43" s="0">
        <v>31541617</v>
      </c>
      <c r="D43" s="0" t="s">
        <v>3162</v>
      </c>
      <c r="E43" s="0" t="s">
        <v>3163</v>
      </c>
      <c r="F43" s="0" t="s">
        <v>3164</v>
      </c>
      <c r="G43" s="0" t="s">
        <v>3165</v>
      </c>
      <c r="H43" s="0" t="s">
        <v>3166</v>
      </c>
      <c r="I43" s="0" t="s">
        <v>3167</v>
      </c>
      <c r="K43" s="0" t="s">
        <v>3168</v>
      </c>
      <c r="L43" s="0" t="s">
        <v>3168</v>
      </c>
      <c r="M43" s="0" t="s">
        <v>3169</v>
      </c>
      <c r="N43" s="0" t="s">
        <v>3170</v>
      </c>
      <c r="O43" s="0" t="s">
        <v>3171</v>
      </c>
      <c r="P43" s="0" t="s">
        <v>2875</v>
      </c>
      <c r="Q43" s="0" t="s">
        <v>228</v>
      </c>
      <c r="R43" s="0" t="b">
        <v>1</v>
      </c>
      <c r="S43" s="0" t="s">
        <v>2778</v>
      </c>
    </row>
    <row customHeight="1" ht="11.25">
      <c r="A44" s="0">
        <v>2655</v>
      </c>
      <c r="B44" s="0" t="s">
        <v>101</v>
      </c>
      <c r="C44" s="0">
        <v>26356987</v>
      </c>
      <c r="D44" s="0" t="s">
        <v>3172</v>
      </c>
      <c r="E44" s="0" t="s">
        <v>3173</v>
      </c>
      <c r="F44" s="0" t="s">
        <v>3174</v>
      </c>
      <c r="G44" s="0" t="s">
        <v>3175</v>
      </c>
      <c r="H44" s="0" t="s">
        <v>3176</v>
      </c>
      <c r="I44" s="0" t="s">
        <v>3177</v>
      </c>
      <c r="J44" s="0" t="s">
        <v>3065</v>
      </c>
      <c r="K44" s="0" t="s">
        <v>3178</v>
      </c>
      <c r="L44" s="0" t="s">
        <v>3178</v>
      </c>
      <c r="M44" s="0" t="s">
        <v>3179</v>
      </c>
      <c r="N44" s="0" t="s">
        <v>3180</v>
      </c>
      <c r="O44" s="0" t="s">
        <v>3181</v>
      </c>
      <c r="P44" s="0" t="s">
        <v>2875</v>
      </c>
      <c r="Q44" s="0" t="s">
        <v>3182</v>
      </c>
      <c r="R44" s="0" t="b">
        <v>0</v>
      </c>
      <c r="S44" s="0" t="s">
        <v>2778</v>
      </c>
    </row>
    <row customHeight="1" ht="11.25">
      <c r="A45" s="0">
        <v>2655</v>
      </c>
      <c r="B45" s="0" t="s">
        <v>101</v>
      </c>
      <c r="C45" s="0">
        <v>26356891</v>
      </c>
      <c r="D45" s="0" t="s">
        <v>3183</v>
      </c>
      <c r="E45" s="0" t="s">
        <v>3184</v>
      </c>
      <c r="F45" s="0" t="s">
        <v>3185</v>
      </c>
      <c r="G45" s="0" t="s">
        <v>3004</v>
      </c>
      <c r="H45" s="0" t="s">
        <v>3186</v>
      </c>
      <c r="I45" s="0" t="s">
        <v>3187</v>
      </c>
      <c r="J45" s="0" t="s">
        <v>3065</v>
      </c>
      <c r="K45" s="0" t="s">
        <v>3188</v>
      </c>
      <c r="L45" s="0" t="s">
        <v>3188</v>
      </c>
      <c r="M45" s="0" t="s">
        <v>3189</v>
      </c>
      <c r="N45" s="0" t="s">
        <v>3190</v>
      </c>
      <c r="O45" s="0" t="s">
        <v>3191</v>
      </c>
      <c r="P45" s="0" t="s">
        <v>2912</v>
      </c>
      <c r="Q45" s="0" t="s">
        <v>228</v>
      </c>
      <c r="R45" s="0" t="b">
        <v>0</v>
      </c>
      <c r="S45" s="0" t="s">
        <v>2778</v>
      </c>
    </row>
    <row customHeight="1" ht="11.25">
      <c r="A46" s="0">
        <v>2655</v>
      </c>
      <c r="B46" s="0" t="s">
        <v>101</v>
      </c>
      <c r="C46" s="0">
        <v>31241637</v>
      </c>
      <c r="D46" s="0" t="s">
        <v>3192</v>
      </c>
      <c r="E46" s="0" t="s">
        <v>3193</v>
      </c>
      <c r="F46" s="0" t="s">
        <v>3194</v>
      </c>
      <c r="G46" s="0" t="s">
        <v>3023</v>
      </c>
      <c r="H46" s="0" t="s">
        <v>3195</v>
      </c>
      <c r="I46" s="0" t="s">
        <v>3196</v>
      </c>
      <c r="J46" s="0" t="s">
        <v>3065</v>
      </c>
      <c r="K46" s="0" t="s">
        <v>3197</v>
      </c>
      <c r="L46" s="0" t="s">
        <v>3197</v>
      </c>
      <c r="M46" s="0" t="s">
        <v>3198</v>
      </c>
      <c r="N46" s="0" t="s">
        <v>228</v>
      </c>
      <c r="O46" s="0" t="s">
        <v>3199</v>
      </c>
      <c r="P46" s="0" t="s">
        <v>2875</v>
      </c>
      <c r="Q46" s="0" t="s">
        <v>228</v>
      </c>
      <c r="R46" s="0" t="b">
        <v>0</v>
      </c>
      <c r="S46" s="0" t="s">
        <v>2778</v>
      </c>
    </row>
    <row customHeight="1" ht="11.25">
      <c r="A47" s="0">
        <v>2655</v>
      </c>
      <c r="B47" s="0" t="s">
        <v>101</v>
      </c>
      <c r="C47" s="0">
        <v>26356937</v>
      </c>
      <c r="D47" s="0" t="s">
        <v>3200</v>
      </c>
      <c r="E47" s="0" t="s">
        <v>3201</v>
      </c>
      <c r="F47" s="0" t="s">
        <v>3202</v>
      </c>
      <c r="G47" s="0" t="s">
        <v>184</v>
      </c>
      <c r="H47" s="0" t="s">
        <v>3203</v>
      </c>
      <c r="I47" s="0" t="s">
        <v>3204</v>
      </c>
      <c r="J47" s="0" t="s">
        <v>3065</v>
      </c>
      <c r="K47" s="0" t="s">
        <v>3205</v>
      </c>
      <c r="L47" s="0" t="s">
        <v>3205</v>
      </c>
      <c r="M47" s="0" t="s">
        <v>3206</v>
      </c>
      <c r="N47" s="0" t="s">
        <v>3207</v>
      </c>
      <c r="O47" s="0" t="s">
        <v>3208</v>
      </c>
      <c r="P47" s="0" t="s">
        <v>2875</v>
      </c>
      <c r="Q47" s="0" t="s">
        <v>3209</v>
      </c>
      <c r="R47" s="0" t="b">
        <v>0</v>
      </c>
      <c r="S47" s="0" t="s">
        <v>2778</v>
      </c>
    </row>
    <row customHeight="1" ht="11.25">
      <c r="A48" s="0">
        <v>2655</v>
      </c>
      <c r="B48" s="0" t="s">
        <v>101</v>
      </c>
      <c r="C48" s="0">
        <v>31770754</v>
      </c>
      <c r="D48" s="0" t="s">
        <v>3210</v>
      </c>
      <c r="E48" s="0" t="s">
        <v>3211</v>
      </c>
      <c r="F48" s="0" t="s">
        <v>3212</v>
      </c>
      <c r="G48" s="0" t="s">
        <v>3155</v>
      </c>
      <c r="H48" s="0" t="s">
        <v>3213</v>
      </c>
      <c r="I48" s="0" t="s">
        <v>3214</v>
      </c>
      <c r="K48" s="0" t="s">
        <v>3215</v>
      </c>
      <c r="L48" s="0" t="s">
        <v>3216</v>
      </c>
      <c r="M48" s="0" t="s">
        <v>3217</v>
      </c>
      <c r="N48" s="0" t="s">
        <v>3218</v>
      </c>
      <c r="O48" s="0" t="s">
        <v>3219</v>
      </c>
      <c r="P48" s="0" t="s">
        <v>2912</v>
      </c>
      <c r="Q48" s="0" t="s">
        <v>228</v>
      </c>
      <c r="R48" s="0" t="b">
        <v>1</v>
      </c>
      <c r="S48" s="0" t="s">
        <v>2778</v>
      </c>
    </row>
    <row customHeight="1" ht="11.25">
      <c r="A49" s="0">
        <v>2655</v>
      </c>
      <c r="B49" s="0" t="s">
        <v>101</v>
      </c>
      <c r="C49" s="0">
        <v>31528492</v>
      </c>
      <c r="D49" s="0" t="s">
        <v>3220</v>
      </c>
      <c r="E49" s="0" t="s">
        <v>3221</v>
      </c>
      <c r="F49" s="0" t="s">
        <v>3222</v>
      </c>
      <c r="G49" s="0" t="s">
        <v>3023</v>
      </c>
      <c r="H49" s="0" t="s">
        <v>3223</v>
      </c>
      <c r="I49" s="0" t="s">
        <v>3224</v>
      </c>
      <c r="K49" s="0" t="s">
        <v>3225</v>
      </c>
      <c r="L49" s="0" t="s">
        <v>3225</v>
      </c>
      <c r="M49" s="0" t="s">
        <v>3226</v>
      </c>
      <c r="N49" s="0" t="s">
        <v>3227</v>
      </c>
      <c r="O49" s="0" t="s">
        <v>3228</v>
      </c>
      <c r="P49" s="0" t="s">
        <v>2789</v>
      </c>
      <c r="Q49" s="0" t="s">
        <v>228</v>
      </c>
      <c r="R49" s="0" t="b">
        <v>0</v>
      </c>
      <c r="S49" s="0" t="s">
        <v>2778</v>
      </c>
    </row>
    <row customHeight="1" ht="11.25">
      <c r="A50" s="0">
        <v>2655</v>
      </c>
      <c r="B50" s="0" t="s">
        <v>101</v>
      </c>
      <c r="C50" s="0">
        <v>28270293</v>
      </c>
      <c r="D50" s="0" t="s">
        <v>3229</v>
      </c>
      <c r="E50" s="0" t="s">
        <v>3230</v>
      </c>
      <c r="F50" s="0" t="s">
        <v>3231</v>
      </c>
      <c r="G50" s="0" t="s">
        <v>3004</v>
      </c>
      <c r="H50" s="0" t="s">
        <v>3232</v>
      </c>
      <c r="I50" s="0" t="s">
        <v>3233</v>
      </c>
      <c r="J50" s="0" t="s">
        <v>3065</v>
      </c>
      <c r="K50" s="0" t="s">
        <v>3234</v>
      </c>
      <c r="L50" s="0" t="s">
        <v>3234</v>
      </c>
      <c r="M50" s="0" t="s">
        <v>3235</v>
      </c>
      <c r="N50" s="0" t="s">
        <v>3236</v>
      </c>
      <c r="O50" s="0" t="s">
        <v>3237</v>
      </c>
      <c r="P50" s="0" t="s">
        <v>144</v>
      </c>
      <c r="Q50" s="0" t="s">
        <v>228</v>
      </c>
      <c r="R50" s="0" t="b">
        <v>0</v>
      </c>
      <c r="S50" s="0" t="s">
        <v>2778</v>
      </c>
    </row>
    <row customHeight="1" ht="11.25">
      <c r="A51" s="0">
        <v>2655</v>
      </c>
      <c r="B51" s="0" t="s">
        <v>101</v>
      </c>
      <c r="C51" s="0">
        <v>28873362</v>
      </c>
      <c r="D51" s="0" t="s">
        <v>3238</v>
      </c>
      <c r="E51" s="0" t="s">
        <v>3239</v>
      </c>
      <c r="F51" s="0" t="s">
        <v>3240</v>
      </c>
      <c r="G51" s="0" t="s">
        <v>122</v>
      </c>
      <c r="H51" s="0" t="s">
        <v>3241</v>
      </c>
      <c r="I51" s="0" t="s">
        <v>3242</v>
      </c>
      <c r="J51" s="0" t="s">
        <v>3065</v>
      </c>
      <c r="K51" s="0" t="s">
        <v>3243</v>
      </c>
      <c r="L51" s="0" t="s">
        <v>3243</v>
      </c>
      <c r="M51" s="0" t="s">
        <v>3244</v>
      </c>
      <c r="N51" s="0" t="s">
        <v>3245</v>
      </c>
      <c r="O51" s="0" t="s">
        <v>3246</v>
      </c>
      <c r="P51" s="0" t="s">
        <v>2912</v>
      </c>
      <c r="Q51" s="0" t="s">
        <v>3247</v>
      </c>
      <c r="R51" s="0" t="b">
        <v>0</v>
      </c>
      <c r="S51" s="0" t="s">
        <v>2778</v>
      </c>
    </row>
    <row customHeight="1" ht="11.25">
      <c r="A52" s="0">
        <v>2655</v>
      </c>
      <c r="B52" s="0" t="s">
        <v>101</v>
      </c>
      <c r="C52" s="0">
        <v>28976681</v>
      </c>
      <c r="D52" s="0" t="s">
        <v>3248</v>
      </c>
      <c r="E52" s="0" t="s">
        <v>3249</v>
      </c>
      <c r="F52" s="0" t="s">
        <v>3250</v>
      </c>
      <c r="G52" s="0" t="s">
        <v>3004</v>
      </c>
      <c r="H52" s="0" t="s">
        <v>3251</v>
      </c>
      <c r="I52" s="0" t="s">
        <v>3252</v>
      </c>
      <c r="J52" s="0" t="s">
        <v>3065</v>
      </c>
      <c r="K52" s="0" t="s">
        <v>3253</v>
      </c>
      <c r="L52" s="0" t="s">
        <v>3253</v>
      </c>
      <c r="M52" s="0" t="s">
        <v>3254</v>
      </c>
      <c r="N52" s="0" t="s">
        <v>228</v>
      </c>
      <c r="O52" s="0" t="s">
        <v>3255</v>
      </c>
      <c r="P52" s="0" t="s">
        <v>2912</v>
      </c>
      <c r="Q52" s="0" t="s">
        <v>228</v>
      </c>
      <c r="R52" s="0" t="b">
        <v>1</v>
      </c>
      <c r="S52" s="0" t="s">
        <v>2778</v>
      </c>
    </row>
    <row customHeight="1" ht="11.25">
      <c r="A53" s="0">
        <v>2655</v>
      </c>
      <c r="B53" s="0" t="s">
        <v>101</v>
      </c>
      <c r="C53" s="0">
        <v>30992391</v>
      </c>
      <c r="D53" s="0" t="s">
        <v>3256</v>
      </c>
      <c r="E53" s="0" t="s">
        <v>3257</v>
      </c>
      <c r="F53" s="0" t="s">
        <v>3258</v>
      </c>
      <c r="G53" s="0" t="s">
        <v>2904</v>
      </c>
      <c r="H53" s="0" t="s">
        <v>3259</v>
      </c>
      <c r="I53" s="0" t="s">
        <v>3260</v>
      </c>
      <c r="J53" s="0" t="s">
        <v>3065</v>
      </c>
      <c r="K53" s="0" t="s">
        <v>3261</v>
      </c>
      <c r="L53" s="0" t="s">
        <v>3262</v>
      </c>
      <c r="M53" s="0" t="s">
        <v>3263</v>
      </c>
      <c r="N53" s="0" t="s">
        <v>3264</v>
      </c>
      <c r="O53" s="0" t="s">
        <v>3265</v>
      </c>
      <c r="P53" s="0" t="s">
        <v>2912</v>
      </c>
      <c r="Q53" s="0" t="s">
        <v>3266</v>
      </c>
      <c r="R53" s="0" t="b">
        <v>0</v>
      </c>
      <c r="S53" s="0" t="s">
        <v>2778</v>
      </c>
    </row>
    <row customHeight="1" ht="11.25">
      <c r="A54" s="0">
        <v>2655</v>
      </c>
      <c r="B54" s="0" t="s">
        <v>101</v>
      </c>
      <c r="C54" s="0">
        <v>26853991</v>
      </c>
      <c r="D54" s="0" t="s">
        <v>3267</v>
      </c>
      <c r="E54" s="0" t="s">
        <v>3268</v>
      </c>
      <c r="F54" s="0" t="s">
        <v>3269</v>
      </c>
      <c r="G54" s="0" t="s">
        <v>3270</v>
      </c>
      <c r="H54" s="0" t="s">
        <v>3271</v>
      </c>
      <c r="I54" s="0" t="s">
        <v>3272</v>
      </c>
      <c r="J54" s="0" t="s">
        <v>2770</v>
      </c>
      <c r="K54" s="0" t="s">
        <v>228</v>
      </c>
      <c r="L54" s="0" t="s">
        <v>3273</v>
      </c>
      <c r="M54" s="0" t="s">
        <v>3274</v>
      </c>
      <c r="N54" s="0" t="s">
        <v>3275</v>
      </c>
      <c r="O54" s="0" t="s">
        <v>3276</v>
      </c>
      <c r="P54" s="0" t="s">
        <v>2822</v>
      </c>
      <c r="Q54" s="0" t="s">
        <v>228</v>
      </c>
      <c r="R54" s="0" t="b">
        <v>0</v>
      </c>
      <c r="S54" s="0" t="s">
        <v>2778</v>
      </c>
    </row>
    <row customHeight="1" ht="11.25">
      <c r="A55" s="0">
        <v>2655</v>
      </c>
      <c r="B55" s="0" t="s">
        <v>101</v>
      </c>
      <c r="C55" s="0">
        <v>30808511</v>
      </c>
      <c r="D55" s="0" t="s">
        <v>3277</v>
      </c>
      <c r="E55" s="0" t="s">
        <v>3277</v>
      </c>
      <c r="F55" s="0" t="s">
        <v>3278</v>
      </c>
      <c r="G55" s="0" t="s">
        <v>3279</v>
      </c>
      <c r="H55" s="0" t="s">
        <v>3280</v>
      </c>
      <c r="I55" s="0" t="s">
        <v>3281</v>
      </c>
      <c r="J55" s="0" t="s">
        <v>3282</v>
      </c>
      <c r="K55" s="0" t="s">
        <v>3283</v>
      </c>
      <c r="L55" s="0" t="s">
        <v>3284</v>
      </c>
      <c r="M55" s="0" t="s">
        <v>3285</v>
      </c>
      <c r="N55" s="0" t="s">
        <v>228</v>
      </c>
      <c r="O55" s="0" t="s">
        <v>3286</v>
      </c>
      <c r="P55" s="0" t="s">
        <v>2912</v>
      </c>
      <c r="Q55" s="0" t="s">
        <v>3287</v>
      </c>
      <c r="R55" s="0" t="b">
        <v>0</v>
      </c>
      <c r="S55" s="0" t="s">
        <v>2778</v>
      </c>
    </row>
    <row customHeight="1" ht="11.25">
      <c r="A56" s="0">
        <v>2655</v>
      </c>
      <c r="B56" s="0" t="s">
        <v>101</v>
      </c>
      <c r="C56" s="0">
        <v>26987067</v>
      </c>
      <c r="D56" s="0" t="s">
        <v>3288</v>
      </c>
      <c r="E56" s="0" t="s">
        <v>228</v>
      </c>
      <c r="F56" s="0" t="s">
        <v>3278</v>
      </c>
      <c r="G56" s="0" t="s">
        <v>3289</v>
      </c>
      <c r="H56" s="0" t="s">
        <v>3280</v>
      </c>
      <c r="I56" s="0" t="s">
        <v>228</v>
      </c>
      <c r="J56" s="0" t="s">
        <v>127</v>
      </c>
      <c r="K56" s="0" t="s">
        <v>3290</v>
      </c>
      <c r="L56" s="0" t="s">
        <v>3291</v>
      </c>
      <c r="M56" s="0" t="s">
        <v>228</v>
      </c>
      <c r="N56" s="0" t="s">
        <v>228</v>
      </c>
      <c r="O56" s="0" t="s">
        <v>228</v>
      </c>
      <c r="P56" s="0" t="s">
        <v>228</v>
      </c>
      <c r="Q56" s="0" t="s">
        <v>228</v>
      </c>
      <c r="R56" s="0" t="b">
        <v>0</v>
      </c>
      <c r="S56" s="0" t="s">
        <v>2778</v>
      </c>
    </row>
    <row customHeight="1" ht="11.25">
      <c r="A57" s="0">
        <v>2655</v>
      </c>
      <c r="B57" s="0" t="s">
        <v>101</v>
      </c>
      <c r="C57" s="0">
        <v>26520873</v>
      </c>
      <c r="D57" s="0" t="s">
        <v>3292</v>
      </c>
      <c r="E57" s="0" t="s">
        <v>3293</v>
      </c>
      <c r="F57" s="0" t="s">
        <v>3278</v>
      </c>
      <c r="G57" s="0" t="s">
        <v>3294</v>
      </c>
      <c r="H57" s="0" t="s">
        <v>3280</v>
      </c>
      <c r="I57" s="0" t="s">
        <v>3295</v>
      </c>
      <c r="J57" s="0" t="s">
        <v>3282</v>
      </c>
      <c r="K57" s="0" t="s">
        <v>3296</v>
      </c>
      <c r="L57" s="0" t="s">
        <v>3297</v>
      </c>
      <c r="M57" s="0" t="s">
        <v>3298</v>
      </c>
      <c r="N57" s="0" t="s">
        <v>3299</v>
      </c>
      <c r="O57" s="0" t="s">
        <v>3300</v>
      </c>
      <c r="P57" s="0" t="s">
        <v>2912</v>
      </c>
      <c r="Q57" s="0" t="s">
        <v>3301</v>
      </c>
      <c r="R57" s="0" t="b">
        <v>0</v>
      </c>
      <c r="S57" s="0" t="s">
        <v>2778</v>
      </c>
    </row>
    <row customHeight="1" ht="11.25">
      <c r="A58" s="0">
        <v>2655</v>
      </c>
      <c r="B58" s="0" t="s">
        <v>101</v>
      </c>
      <c r="C58" s="0">
        <v>30984255</v>
      </c>
      <c r="D58" s="0" t="s">
        <v>3302</v>
      </c>
      <c r="E58" s="0" t="s">
        <v>3303</v>
      </c>
      <c r="F58" s="0" t="s">
        <v>3304</v>
      </c>
      <c r="G58" s="0" t="s">
        <v>2858</v>
      </c>
      <c r="H58" s="0" t="s">
        <v>3305</v>
      </c>
      <c r="I58" s="0" t="s">
        <v>3306</v>
      </c>
      <c r="J58" s="0" t="s">
        <v>3307</v>
      </c>
      <c r="K58" s="0" t="s">
        <v>3308</v>
      </c>
      <c r="L58" s="0" t="s">
        <v>3308</v>
      </c>
      <c r="M58" s="0" t="s">
        <v>3309</v>
      </c>
      <c r="N58" s="0" t="s">
        <v>3310</v>
      </c>
      <c r="O58" s="0" t="s">
        <v>3311</v>
      </c>
      <c r="P58" s="0" t="s">
        <v>3312</v>
      </c>
      <c r="Q58" s="0" t="s">
        <v>228</v>
      </c>
      <c r="R58" s="0" t="b">
        <v>0</v>
      </c>
      <c r="S58" s="0" t="s">
        <v>2778</v>
      </c>
    </row>
    <row customHeight="1" ht="11.25">
      <c r="A59" s="0">
        <v>2655</v>
      </c>
      <c r="B59" s="0" t="s">
        <v>101</v>
      </c>
      <c r="C59" s="0">
        <v>28976938</v>
      </c>
      <c r="D59" s="0" t="s">
        <v>2764</v>
      </c>
      <c r="E59" s="0" t="s">
        <v>2765</v>
      </c>
      <c r="F59" s="0" t="s">
        <v>2766</v>
      </c>
      <c r="G59" s="0" t="s">
        <v>2767</v>
      </c>
      <c r="H59" s="0" t="s">
        <v>2768</v>
      </c>
      <c r="I59" s="0" t="s">
        <v>2769</v>
      </c>
      <c r="J59" s="0" t="s">
        <v>2770</v>
      </c>
      <c r="K59" s="0" t="s">
        <v>2771</v>
      </c>
      <c r="L59" s="0" t="s">
        <v>2772</v>
      </c>
      <c r="M59" s="0" t="s">
        <v>2773</v>
      </c>
      <c r="N59" s="0" t="s">
        <v>2774</v>
      </c>
      <c r="O59" s="0" t="s">
        <v>2775</v>
      </c>
      <c r="P59" s="0" t="s">
        <v>2776</v>
      </c>
      <c r="Q59" s="0" t="s">
        <v>2777</v>
      </c>
      <c r="R59" s="0" t="b">
        <v>0</v>
      </c>
      <c r="S59" s="0" t="s">
        <v>3313</v>
      </c>
    </row>
    <row customHeight="1" ht="11.25">
      <c r="A60" s="0">
        <v>2655</v>
      </c>
      <c r="B60" s="0" t="s">
        <v>101</v>
      </c>
      <c r="C60" s="0">
        <v>26356915</v>
      </c>
      <c r="D60" s="0" t="s">
        <v>3314</v>
      </c>
      <c r="E60" s="0" t="s">
        <v>3315</v>
      </c>
      <c r="F60" s="0" t="s">
        <v>3316</v>
      </c>
      <c r="G60" s="0" t="s">
        <v>2993</v>
      </c>
      <c r="H60" s="0" t="s">
        <v>3317</v>
      </c>
      <c r="I60" s="0" t="s">
        <v>3318</v>
      </c>
      <c r="J60" s="0" t="s">
        <v>2770</v>
      </c>
      <c r="K60" s="0" t="s">
        <v>3319</v>
      </c>
      <c r="L60" s="0" t="s">
        <v>3319</v>
      </c>
      <c r="M60" s="0" t="s">
        <v>3320</v>
      </c>
      <c r="N60" s="0" t="s">
        <v>3321</v>
      </c>
      <c r="O60" s="0" t="s">
        <v>3322</v>
      </c>
      <c r="P60" s="0" t="s">
        <v>144</v>
      </c>
      <c r="Q60" s="0" t="s">
        <v>151</v>
      </c>
      <c r="R60" s="0" t="b">
        <v>0</v>
      </c>
      <c r="S60" s="0" t="s">
        <v>3313</v>
      </c>
    </row>
    <row customHeight="1" ht="11.25">
      <c r="A61" s="0">
        <v>2655</v>
      </c>
      <c r="B61" s="0" t="s">
        <v>101</v>
      </c>
      <c r="C61" s="0">
        <v>27857950</v>
      </c>
      <c r="D61" s="0" t="s">
        <v>3323</v>
      </c>
      <c r="E61" s="0" t="s">
        <v>3324</v>
      </c>
      <c r="F61" s="0" t="s">
        <v>3325</v>
      </c>
      <c r="G61" s="0" t="s">
        <v>3175</v>
      </c>
      <c r="H61" s="0" t="s">
        <v>3326</v>
      </c>
      <c r="I61" s="0" t="s">
        <v>228</v>
      </c>
      <c r="J61" s="0" t="s">
        <v>2770</v>
      </c>
      <c r="K61" s="0" t="s">
        <v>3327</v>
      </c>
      <c r="L61" s="0" t="s">
        <v>3327</v>
      </c>
      <c r="M61" s="0" t="s">
        <v>3328</v>
      </c>
      <c r="N61" s="0" t="s">
        <v>3329</v>
      </c>
      <c r="O61" s="0" t="s">
        <v>3330</v>
      </c>
      <c r="P61" s="0" t="s">
        <v>2875</v>
      </c>
      <c r="Q61" s="0" t="s">
        <v>228</v>
      </c>
      <c r="R61" s="0" t="b">
        <v>1</v>
      </c>
      <c r="S61" s="0" t="s">
        <v>3313</v>
      </c>
    </row>
    <row customHeight="1" ht="11.25">
      <c r="A62" s="0">
        <v>2655</v>
      </c>
      <c r="B62" s="0" t="s">
        <v>101</v>
      </c>
      <c r="C62" s="0">
        <v>26356963</v>
      </c>
      <c r="D62" s="0" t="s">
        <v>2801</v>
      </c>
      <c r="E62" s="0" t="s">
        <v>2802</v>
      </c>
      <c r="F62" s="0" t="s">
        <v>2803</v>
      </c>
      <c r="G62" s="0" t="s">
        <v>2804</v>
      </c>
      <c r="H62" s="0" t="s">
        <v>2805</v>
      </c>
      <c r="I62" s="0" t="s">
        <v>228</v>
      </c>
      <c r="J62" s="0" t="s">
        <v>2770</v>
      </c>
      <c r="K62" s="0" t="s">
        <v>2806</v>
      </c>
      <c r="L62" s="0" t="s">
        <v>2806</v>
      </c>
      <c r="M62" s="0" t="s">
        <v>2807</v>
      </c>
      <c r="N62" s="0" t="s">
        <v>2808</v>
      </c>
      <c r="O62" s="0" t="s">
        <v>2809</v>
      </c>
      <c r="P62" s="0" t="s">
        <v>2810</v>
      </c>
      <c r="Q62" s="0" t="s">
        <v>228</v>
      </c>
      <c r="R62" s="0" t="b">
        <v>0</v>
      </c>
      <c r="S62" s="0" t="s">
        <v>3313</v>
      </c>
    </row>
    <row customHeight="1" ht="11.25">
      <c r="A63" s="0">
        <v>2655</v>
      </c>
      <c r="B63" s="0" t="s">
        <v>101</v>
      </c>
      <c r="C63" s="0">
        <v>26322889</v>
      </c>
      <c r="D63" s="0" t="s">
        <v>2811</v>
      </c>
      <c r="E63" s="0" t="s">
        <v>2812</v>
      </c>
      <c r="F63" s="0" t="s">
        <v>2813</v>
      </c>
      <c r="G63" s="0" t="s">
        <v>2814</v>
      </c>
      <c r="H63" s="0" t="s">
        <v>2815</v>
      </c>
      <c r="I63" s="0" t="s">
        <v>2816</v>
      </c>
      <c r="J63" s="0" t="s">
        <v>2770</v>
      </c>
      <c r="K63" s="0" t="s">
        <v>2817</v>
      </c>
      <c r="L63" s="0" t="s">
        <v>2818</v>
      </c>
      <c r="M63" s="0" t="s">
        <v>2819</v>
      </c>
      <c r="N63" s="0" t="s">
        <v>2820</v>
      </c>
      <c r="O63" s="0" t="s">
        <v>2821</v>
      </c>
      <c r="P63" s="0" t="s">
        <v>2822</v>
      </c>
      <c r="Q63" s="0" t="s">
        <v>2823</v>
      </c>
      <c r="R63" s="0" t="b">
        <v>0</v>
      </c>
      <c r="S63" s="0" t="s">
        <v>3313</v>
      </c>
    </row>
    <row customHeight="1" ht="11.25">
      <c r="A64" s="0">
        <v>2655</v>
      </c>
      <c r="B64" s="0" t="s">
        <v>101</v>
      </c>
      <c r="C64" s="0">
        <v>31833446</v>
      </c>
      <c r="D64" s="0" t="s">
        <v>3331</v>
      </c>
      <c r="E64" s="0" t="s">
        <v>3332</v>
      </c>
      <c r="F64" s="0" t="s">
        <v>3333</v>
      </c>
      <c r="G64" s="0" t="s">
        <v>122</v>
      </c>
      <c r="H64" s="0" t="s">
        <v>3334</v>
      </c>
      <c r="I64" s="0" t="s">
        <v>228</v>
      </c>
      <c r="K64" s="0" t="s">
        <v>228</v>
      </c>
      <c r="L64" s="0" t="s">
        <v>3335</v>
      </c>
      <c r="M64" s="0" t="s">
        <v>228</v>
      </c>
      <c r="N64" s="0" t="s">
        <v>228</v>
      </c>
      <c r="O64" s="0" t="s">
        <v>3336</v>
      </c>
      <c r="P64" s="0" t="s">
        <v>2789</v>
      </c>
      <c r="Q64" s="0" t="s">
        <v>228</v>
      </c>
      <c r="R64" s="0" t="b">
        <v>0</v>
      </c>
      <c r="S64" s="0" t="s">
        <v>3313</v>
      </c>
    </row>
    <row customHeight="1" ht="11.25">
      <c r="A65" s="0">
        <v>2655</v>
      </c>
      <c r="B65" s="0" t="s">
        <v>101</v>
      </c>
      <c r="C65" s="0">
        <v>27820148</v>
      </c>
      <c r="D65" s="0" t="s">
        <v>178</v>
      </c>
      <c r="E65" s="0" t="s">
        <v>3337</v>
      </c>
      <c r="F65" s="0" t="s">
        <v>181</v>
      </c>
      <c r="G65" s="0" t="s">
        <v>184</v>
      </c>
      <c r="H65" s="0" t="s">
        <v>3338</v>
      </c>
      <c r="I65" s="0" t="s">
        <v>3339</v>
      </c>
      <c r="J65" s="0" t="s">
        <v>2770</v>
      </c>
      <c r="K65" s="0" t="s">
        <v>3340</v>
      </c>
      <c r="L65" s="0" t="s">
        <v>3340</v>
      </c>
      <c r="M65" s="0" t="s">
        <v>3341</v>
      </c>
      <c r="N65" s="0" t="s">
        <v>3342</v>
      </c>
      <c r="O65" s="0" t="s">
        <v>3343</v>
      </c>
      <c r="P65" s="0" t="s">
        <v>3344</v>
      </c>
      <c r="Q65" s="0" t="s">
        <v>3345</v>
      </c>
      <c r="R65" s="0" t="b">
        <v>0</v>
      </c>
      <c r="S65" s="0" t="s">
        <v>3313</v>
      </c>
    </row>
    <row customHeight="1" ht="11.25">
      <c r="A66" s="0">
        <v>2655</v>
      </c>
      <c r="B66" s="0" t="s">
        <v>101</v>
      </c>
      <c r="C66" s="0">
        <v>26322867</v>
      </c>
      <c r="D66" s="0" t="s">
        <v>2876</v>
      </c>
      <c r="E66" s="0" t="s">
        <v>2877</v>
      </c>
      <c r="F66" s="0" t="s">
        <v>2878</v>
      </c>
      <c r="G66" s="0" t="s">
        <v>2814</v>
      </c>
      <c r="H66" s="0" t="s">
        <v>2879</v>
      </c>
      <c r="I66" s="0" t="s">
        <v>2880</v>
      </c>
      <c r="J66" s="0" t="s">
        <v>2770</v>
      </c>
      <c r="K66" s="0" t="s">
        <v>2881</v>
      </c>
      <c r="L66" s="0" t="s">
        <v>2881</v>
      </c>
      <c r="M66" s="0" t="s">
        <v>2882</v>
      </c>
      <c r="N66" s="0" t="s">
        <v>2883</v>
      </c>
      <c r="O66" s="0" t="s">
        <v>2884</v>
      </c>
      <c r="P66" s="0" t="s">
        <v>144</v>
      </c>
      <c r="Q66" s="0" t="s">
        <v>2885</v>
      </c>
      <c r="R66" s="0" t="b">
        <v>0</v>
      </c>
      <c r="S66" s="0" t="s">
        <v>3313</v>
      </c>
    </row>
    <row customHeight="1" ht="11.25">
      <c r="A67" s="0">
        <v>2655</v>
      </c>
      <c r="B67" s="0" t="s">
        <v>101</v>
      </c>
      <c r="C67" s="0">
        <v>26824396</v>
      </c>
      <c r="D67" s="0" t="s">
        <v>2895</v>
      </c>
      <c r="E67" s="0" t="s">
        <v>2896</v>
      </c>
      <c r="F67" s="0" t="s">
        <v>2857</v>
      </c>
      <c r="G67" s="0" t="s">
        <v>2897</v>
      </c>
      <c r="H67" s="0" t="s">
        <v>2859</v>
      </c>
      <c r="I67" s="0" t="s">
        <v>228</v>
      </c>
      <c r="J67" s="0" t="s">
        <v>127</v>
      </c>
      <c r="K67" s="0" t="s">
        <v>2898</v>
      </c>
      <c r="L67" s="0" t="s">
        <v>2898</v>
      </c>
      <c r="M67" s="0" t="s">
        <v>2899</v>
      </c>
      <c r="N67" s="0" t="s">
        <v>228</v>
      </c>
      <c r="O67" s="0" t="s">
        <v>2900</v>
      </c>
      <c r="P67" s="0" t="s">
        <v>2894</v>
      </c>
      <c r="Q67" s="0" t="s">
        <v>228</v>
      </c>
      <c r="R67" s="0" t="b">
        <v>0</v>
      </c>
      <c r="S67" s="0" t="s">
        <v>3313</v>
      </c>
    </row>
    <row customHeight="1" ht="11.25">
      <c r="A68" s="0">
        <v>2655</v>
      </c>
      <c r="B68" s="0" t="s">
        <v>101</v>
      </c>
      <c r="C68" s="0">
        <v>30365193</v>
      </c>
      <c r="D68" s="0" t="s">
        <v>3346</v>
      </c>
      <c r="E68" s="0" t="s">
        <v>3347</v>
      </c>
      <c r="F68" s="0" t="s">
        <v>3348</v>
      </c>
      <c r="G68" s="0" t="s">
        <v>122</v>
      </c>
      <c r="H68" s="0" t="s">
        <v>3349</v>
      </c>
      <c r="I68" s="0" t="s">
        <v>228</v>
      </c>
      <c r="J68" s="0" t="s">
        <v>3350</v>
      </c>
      <c r="K68" s="0" t="s">
        <v>3351</v>
      </c>
      <c r="L68" s="0" t="s">
        <v>3351</v>
      </c>
      <c r="M68" s="0" t="s">
        <v>228</v>
      </c>
      <c r="N68" s="0" t="s">
        <v>228</v>
      </c>
      <c r="O68" s="0" t="s">
        <v>3352</v>
      </c>
      <c r="P68" s="0" t="s">
        <v>3353</v>
      </c>
      <c r="Q68" s="0" t="s">
        <v>228</v>
      </c>
      <c r="R68" s="0" t="b">
        <v>0</v>
      </c>
      <c r="S68" s="0" t="s">
        <v>3313</v>
      </c>
    </row>
    <row customHeight="1" ht="11.25">
      <c r="A69" s="0">
        <v>2655</v>
      </c>
      <c r="B69" s="0" t="s">
        <v>101</v>
      </c>
      <c r="C69" s="0">
        <v>31232672</v>
      </c>
      <c r="D69" s="0" t="s">
        <v>2901</v>
      </c>
      <c r="E69" s="0" t="s">
        <v>2902</v>
      </c>
      <c r="F69" s="0" t="s">
        <v>2903</v>
      </c>
      <c r="G69" s="0" t="s">
        <v>2904</v>
      </c>
      <c r="H69" s="0" t="s">
        <v>2905</v>
      </c>
      <c r="I69" s="0" t="s">
        <v>2906</v>
      </c>
      <c r="J69" s="0" t="s">
        <v>2907</v>
      </c>
      <c r="K69" s="0" t="s">
        <v>2908</v>
      </c>
      <c r="L69" s="0" t="s">
        <v>2908</v>
      </c>
      <c r="M69" s="0" t="s">
        <v>2909</v>
      </c>
      <c r="N69" s="0" t="s">
        <v>2910</v>
      </c>
      <c r="O69" s="0" t="s">
        <v>2911</v>
      </c>
      <c r="P69" s="0" t="s">
        <v>2912</v>
      </c>
      <c r="Q69" s="0" t="s">
        <v>228</v>
      </c>
      <c r="R69" s="0" t="b">
        <v>0</v>
      </c>
      <c r="S69" s="0" t="s">
        <v>3313</v>
      </c>
    </row>
    <row customHeight="1" ht="11.25">
      <c r="A70" s="0">
        <v>2655</v>
      </c>
      <c r="B70" s="0" t="s">
        <v>101</v>
      </c>
      <c r="C70" s="0">
        <v>27978231</v>
      </c>
      <c r="D70" s="0" t="s">
        <v>3354</v>
      </c>
      <c r="E70" s="0" t="s">
        <v>3355</v>
      </c>
      <c r="F70" s="0" t="s">
        <v>3356</v>
      </c>
      <c r="G70" s="0" t="s">
        <v>2975</v>
      </c>
      <c r="H70" s="0" t="s">
        <v>3357</v>
      </c>
      <c r="I70" s="0" t="s">
        <v>3358</v>
      </c>
      <c r="J70" s="0" t="s">
        <v>2907</v>
      </c>
      <c r="K70" s="0" t="s">
        <v>3359</v>
      </c>
      <c r="L70" s="0" t="s">
        <v>3360</v>
      </c>
      <c r="M70" s="0" t="s">
        <v>3361</v>
      </c>
      <c r="N70" s="0" t="s">
        <v>228</v>
      </c>
      <c r="O70" s="0" t="s">
        <v>3362</v>
      </c>
      <c r="P70" s="0" t="s">
        <v>2912</v>
      </c>
      <c r="Q70" s="0" t="s">
        <v>228</v>
      </c>
      <c r="R70" s="0" t="b">
        <v>0</v>
      </c>
      <c r="S70" s="0" t="s">
        <v>3313</v>
      </c>
    </row>
    <row customHeight="1" ht="11.25">
      <c r="A71" s="0">
        <v>2655</v>
      </c>
      <c r="B71" s="0" t="s">
        <v>101</v>
      </c>
      <c r="C71" s="0">
        <v>30808700</v>
      </c>
      <c r="D71" s="0" t="s">
        <v>2924</v>
      </c>
      <c r="E71" s="0" t="s">
        <v>2925</v>
      </c>
      <c r="F71" s="0" t="s">
        <v>2926</v>
      </c>
      <c r="G71" s="0" t="s">
        <v>2858</v>
      </c>
      <c r="H71" s="0" t="s">
        <v>2927</v>
      </c>
      <c r="I71" s="0" t="s">
        <v>2928</v>
      </c>
      <c r="J71" s="0" t="s">
        <v>2919</v>
      </c>
      <c r="K71" s="0" t="s">
        <v>2929</v>
      </c>
      <c r="L71" s="0" t="s">
        <v>2930</v>
      </c>
      <c r="M71" s="0" t="s">
        <v>2931</v>
      </c>
      <c r="N71" s="0" t="s">
        <v>2932</v>
      </c>
      <c r="O71" s="0" t="s">
        <v>2933</v>
      </c>
      <c r="P71" s="0" t="s">
        <v>2875</v>
      </c>
      <c r="Q71" s="0" t="s">
        <v>228</v>
      </c>
      <c r="R71" s="0" t="b">
        <v>1</v>
      </c>
      <c r="S71" s="0" t="s">
        <v>3313</v>
      </c>
    </row>
    <row customHeight="1" ht="11.25">
      <c r="A72" s="0">
        <v>2655</v>
      </c>
      <c r="B72" s="0" t="s">
        <v>101</v>
      </c>
      <c r="C72" s="0">
        <v>31319221</v>
      </c>
      <c r="D72" s="0" t="s">
        <v>2934</v>
      </c>
      <c r="E72" s="0" t="s">
        <v>2935</v>
      </c>
      <c r="F72" s="0" t="s">
        <v>2936</v>
      </c>
      <c r="G72" s="0" t="s">
        <v>2916</v>
      </c>
      <c r="H72" s="0" t="s">
        <v>2937</v>
      </c>
      <c r="I72" s="0" t="s">
        <v>2938</v>
      </c>
      <c r="J72" s="0" t="s">
        <v>2907</v>
      </c>
      <c r="K72" s="0" t="s">
        <v>2939</v>
      </c>
      <c r="L72" s="0" t="s">
        <v>2940</v>
      </c>
      <c r="M72" s="0" t="s">
        <v>2941</v>
      </c>
      <c r="N72" s="0" t="s">
        <v>2942</v>
      </c>
      <c r="O72" s="0" t="s">
        <v>2943</v>
      </c>
      <c r="P72" s="0" t="s">
        <v>2912</v>
      </c>
      <c r="Q72" s="0" t="s">
        <v>228</v>
      </c>
      <c r="R72" s="0" t="b">
        <v>0</v>
      </c>
      <c r="S72" s="0" t="s">
        <v>3313</v>
      </c>
    </row>
    <row customHeight="1" ht="11.25">
      <c r="A73" s="0">
        <v>2655</v>
      </c>
      <c r="B73" s="0" t="s">
        <v>101</v>
      </c>
      <c r="C73" s="0">
        <v>31419990</v>
      </c>
      <c r="D73" s="0" t="s">
        <v>2944</v>
      </c>
      <c r="E73" s="0" t="s">
        <v>2945</v>
      </c>
      <c r="F73" s="0" t="s">
        <v>2946</v>
      </c>
      <c r="G73" s="0" t="s">
        <v>2947</v>
      </c>
      <c r="H73" s="0" t="s">
        <v>2948</v>
      </c>
      <c r="I73" s="0" t="s">
        <v>2949</v>
      </c>
      <c r="J73" s="0" t="s">
        <v>2907</v>
      </c>
      <c r="K73" s="0" t="s">
        <v>2950</v>
      </c>
      <c r="L73" s="0" t="s">
        <v>2950</v>
      </c>
      <c r="M73" s="0" t="s">
        <v>2951</v>
      </c>
      <c r="N73" s="0" t="s">
        <v>2952</v>
      </c>
      <c r="O73" s="0" t="s">
        <v>2953</v>
      </c>
      <c r="P73" s="0" t="s">
        <v>2912</v>
      </c>
      <c r="Q73" s="0" t="s">
        <v>2954</v>
      </c>
      <c r="R73" s="0" t="b">
        <v>0</v>
      </c>
      <c r="S73" s="0" t="s">
        <v>3313</v>
      </c>
    </row>
    <row customHeight="1" ht="11.25">
      <c r="A74" s="0">
        <v>2655</v>
      </c>
      <c r="B74" s="0" t="s">
        <v>101</v>
      </c>
      <c r="C74" s="0">
        <v>31343443</v>
      </c>
      <c r="D74" s="0" t="s">
        <v>2955</v>
      </c>
      <c r="E74" s="0" t="s">
        <v>2956</v>
      </c>
      <c r="F74" s="0" t="s">
        <v>2957</v>
      </c>
      <c r="G74" s="0" t="s">
        <v>2858</v>
      </c>
      <c r="H74" s="0" t="s">
        <v>2958</v>
      </c>
      <c r="I74" s="0" t="s">
        <v>2959</v>
      </c>
      <c r="J74" s="0" t="s">
        <v>2907</v>
      </c>
      <c r="K74" s="0" t="s">
        <v>2960</v>
      </c>
      <c r="L74" s="0" t="s">
        <v>2960</v>
      </c>
      <c r="N74" s="0" t="s">
        <v>2961</v>
      </c>
      <c r="O74" s="0" t="s">
        <v>2962</v>
      </c>
      <c r="P74" s="0" t="s">
        <v>2875</v>
      </c>
      <c r="R74" s="0" t="b">
        <v>0</v>
      </c>
      <c r="S74" s="0" t="s">
        <v>3313</v>
      </c>
    </row>
    <row customHeight="1" ht="11.25">
      <c r="A75" s="0">
        <v>2655</v>
      </c>
      <c r="B75" s="0" t="s">
        <v>101</v>
      </c>
      <c r="C75" s="0">
        <v>31367841</v>
      </c>
      <c r="D75" s="0" t="s">
        <v>2963</v>
      </c>
      <c r="E75" s="0" t="s">
        <v>2964</v>
      </c>
      <c r="F75" s="0" t="s">
        <v>2965</v>
      </c>
      <c r="G75" s="0" t="s">
        <v>2966</v>
      </c>
      <c r="H75" s="0" t="s">
        <v>2967</v>
      </c>
      <c r="I75" s="0" t="s">
        <v>2968</v>
      </c>
      <c r="J75" s="0" t="s">
        <v>2919</v>
      </c>
      <c r="K75" s="0" t="s">
        <v>2969</v>
      </c>
      <c r="L75" s="0" t="s">
        <v>2969</v>
      </c>
      <c r="M75" s="0" t="s">
        <v>228</v>
      </c>
      <c r="N75" s="0" t="s">
        <v>2970</v>
      </c>
      <c r="O75" s="0" t="s">
        <v>2971</v>
      </c>
      <c r="P75" s="0" t="s">
        <v>2912</v>
      </c>
      <c r="Q75" s="0" t="s">
        <v>228</v>
      </c>
      <c r="R75" s="0" t="b">
        <v>0</v>
      </c>
      <c r="S75" s="0" t="s">
        <v>3313</v>
      </c>
    </row>
    <row customHeight="1" ht="11.25">
      <c r="A76" s="0">
        <v>2655</v>
      </c>
      <c r="B76" s="0" t="s">
        <v>101</v>
      </c>
      <c r="C76" s="0">
        <v>31087651</v>
      </c>
      <c r="D76" s="0" t="s">
        <v>2972</v>
      </c>
      <c r="E76" s="0" t="s">
        <v>2973</v>
      </c>
      <c r="F76" s="0" t="s">
        <v>2974</v>
      </c>
      <c r="G76" s="0" t="s">
        <v>2975</v>
      </c>
      <c r="H76" s="0" t="s">
        <v>2976</v>
      </c>
      <c r="I76" s="0" t="s">
        <v>2977</v>
      </c>
      <c r="J76" s="0" t="s">
        <v>2907</v>
      </c>
      <c r="K76" s="0" t="s">
        <v>2978</v>
      </c>
      <c r="L76" s="0" t="s">
        <v>2978</v>
      </c>
      <c r="M76" s="0" t="s">
        <v>2979</v>
      </c>
      <c r="N76" s="0" t="s">
        <v>2980</v>
      </c>
      <c r="O76" s="0" t="s">
        <v>2981</v>
      </c>
      <c r="R76" s="0" t="b">
        <v>0</v>
      </c>
      <c r="S76" s="0" t="s">
        <v>3313</v>
      </c>
    </row>
    <row customHeight="1" ht="11.25">
      <c r="A77" s="0">
        <v>2655</v>
      </c>
      <c r="B77" s="0" t="s">
        <v>101</v>
      </c>
      <c r="C77" s="0">
        <v>31367862</v>
      </c>
      <c r="D77" s="0" t="s">
        <v>2982</v>
      </c>
      <c r="E77" s="0" t="s">
        <v>2983</v>
      </c>
      <c r="F77" s="0" t="s">
        <v>2984</v>
      </c>
      <c r="G77" s="0" t="s">
        <v>2966</v>
      </c>
      <c r="H77" s="0" t="s">
        <v>2985</v>
      </c>
      <c r="I77" s="0" t="s">
        <v>2986</v>
      </c>
      <c r="J77" s="0" t="s">
        <v>2907</v>
      </c>
      <c r="K77" s="0" t="s">
        <v>2987</v>
      </c>
      <c r="L77" s="0" t="s">
        <v>2987</v>
      </c>
      <c r="M77" s="0" t="s">
        <v>228</v>
      </c>
      <c r="N77" s="0" t="s">
        <v>2988</v>
      </c>
      <c r="O77" s="0" t="s">
        <v>2989</v>
      </c>
      <c r="P77" s="0" t="s">
        <v>2912</v>
      </c>
      <c r="Q77" s="0" t="s">
        <v>228</v>
      </c>
      <c r="R77" s="0" t="b">
        <v>0</v>
      </c>
      <c r="S77" s="0" t="s">
        <v>3313</v>
      </c>
    </row>
    <row customHeight="1" ht="11.25">
      <c r="A78" s="0">
        <v>2655</v>
      </c>
      <c r="B78" s="0" t="s">
        <v>101</v>
      </c>
      <c r="C78" s="0">
        <v>31329806</v>
      </c>
      <c r="D78" s="0" t="s">
        <v>3363</v>
      </c>
      <c r="E78" s="0" t="s">
        <v>3364</v>
      </c>
      <c r="F78" s="0" t="s">
        <v>3365</v>
      </c>
      <c r="G78" s="0" t="s">
        <v>2804</v>
      </c>
      <c r="H78" s="0" t="s">
        <v>3366</v>
      </c>
      <c r="I78" s="0" t="s">
        <v>3367</v>
      </c>
      <c r="J78" s="0" t="s">
        <v>2919</v>
      </c>
      <c r="K78" s="0" t="s">
        <v>3368</v>
      </c>
      <c r="L78" s="0" t="s">
        <v>3368</v>
      </c>
      <c r="M78" s="0" t="s">
        <v>3369</v>
      </c>
      <c r="N78" s="0" t="s">
        <v>3370</v>
      </c>
      <c r="O78" s="0" t="s">
        <v>3371</v>
      </c>
      <c r="P78" s="0" t="s">
        <v>2912</v>
      </c>
      <c r="Q78" s="0" t="s">
        <v>228</v>
      </c>
      <c r="R78" s="0" t="b">
        <v>0</v>
      </c>
      <c r="S78" s="0" t="s">
        <v>3313</v>
      </c>
    </row>
    <row customHeight="1" ht="11.25">
      <c r="A79" s="0">
        <v>2655</v>
      </c>
      <c r="B79" s="0" t="s">
        <v>101</v>
      </c>
      <c r="C79" s="0">
        <v>31003143</v>
      </c>
      <c r="D79" s="0" t="s">
        <v>3010</v>
      </c>
      <c r="E79" s="0" t="s">
        <v>3011</v>
      </c>
      <c r="F79" s="0" t="s">
        <v>3012</v>
      </c>
      <c r="G79" s="0" t="s">
        <v>3004</v>
      </c>
      <c r="H79" s="0" t="s">
        <v>3013</v>
      </c>
      <c r="I79" s="0" t="s">
        <v>3014</v>
      </c>
      <c r="J79" s="0" t="s">
        <v>2919</v>
      </c>
      <c r="K79" s="0" t="s">
        <v>3015</v>
      </c>
      <c r="L79" s="0" t="s">
        <v>3016</v>
      </c>
      <c r="M79" s="0" t="s">
        <v>3017</v>
      </c>
      <c r="N79" s="0" t="s">
        <v>3018</v>
      </c>
      <c r="O79" s="0" t="s">
        <v>3019</v>
      </c>
      <c r="P79" s="0" t="s">
        <v>2912</v>
      </c>
      <c r="Q79" s="0" t="s">
        <v>228</v>
      </c>
      <c r="R79" s="0" t="b">
        <v>1</v>
      </c>
      <c r="S79" s="0" t="s">
        <v>3313</v>
      </c>
    </row>
    <row customHeight="1" ht="11.25">
      <c r="A80" s="0">
        <v>2655</v>
      </c>
      <c r="B80" s="0" t="s">
        <v>101</v>
      </c>
      <c r="C80" s="0">
        <v>31308226</v>
      </c>
      <c r="D80" s="0" t="s">
        <v>3020</v>
      </c>
      <c r="E80" s="0" t="s">
        <v>3021</v>
      </c>
      <c r="F80" s="0" t="s">
        <v>3022</v>
      </c>
      <c r="G80" s="0" t="s">
        <v>3023</v>
      </c>
      <c r="H80" s="0" t="s">
        <v>3024</v>
      </c>
      <c r="I80" s="0" t="s">
        <v>3025</v>
      </c>
      <c r="J80" s="0" t="s">
        <v>2919</v>
      </c>
      <c r="K80" s="0" t="s">
        <v>3026</v>
      </c>
      <c r="L80" s="0" t="s">
        <v>3026</v>
      </c>
      <c r="M80" s="0" t="s">
        <v>3027</v>
      </c>
      <c r="N80" s="0" t="s">
        <v>3028</v>
      </c>
      <c r="O80" s="0" t="s">
        <v>3029</v>
      </c>
      <c r="P80" s="0" t="s">
        <v>2875</v>
      </c>
      <c r="Q80" s="0" t="s">
        <v>228</v>
      </c>
      <c r="R80" s="0" t="b">
        <v>1</v>
      </c>
      <c r="S80" s="0" t="s">
        <v>3313</v>
      </c>
    </row>
    <row customHeight="1" ht="11.25">
      <c r="A81" s="0">
        <v>2655</v>
      </c>
      <c r="B81" s="0" t="s">
        <v>101</v>
      </c>
      <c r="C81" s="0">
        <v>31284269</v>
      </c>
      <c r="D81" s="0" t="s">
        <v>3030</v>
      </c>
      <c r="E81" s="0" t="s">
        <v>3031</v>
      </c>
      <c r="F81" s="0" t="s">
        <v>3032</v>
      </c>
      <c r="G81" s="0" t="s">
        <v>2975</v>
      </c>
      <c r="H81" s="0" t="s">
        <v>3033</v>
      </c>
      <c r="I81" s="0" t="s">
        <v>3034</v>
      </c>
      <c r="J81" s="0" t="s">
        <v>2919</v>
      </c>
      <c r="K81" s="0" t="s">
        <v>3035</v>
      </c>
      <c r="L81" s="0" t="s">
        <v>3036</v>
      </c>
      <c r="M81" s="0" t="s">
        <v>3037</v>
      </c>
      <c r="N81" s="0" t="s">
        <v>3038</v>
      </c>
      <c r="O81" s="0" t="s">
        <v>3039</v>
      </c>
      <c r="P81" s="0" t="s">
        <v>228</v>
      </c>
      <c r="Q81" s="0" t="s">
        <v>228</v>
      </c>
      <c r="R81" s="0" t="b">
        <v>0</v>
      </c>
      <c r="S81" s="0" t="s">
        <v>3313</v>
      </c>
    </row>
    <row customHeight="1" ht="11.25">
      <c r="A82" s="0">
        <v>2655</v>
      </c>
      <c r="B82" s="0" t="s">
        <v>101</v>
      </c>
      <c r="C82" s="0">
        <v>31241680</v>
      </c>
      <c r="D82" s="0" t="s">
        <v>3040</v>
      </c>
      <c r="E82" s="0" t="s">
        <v>3041</v>
      </c>
      <c r="F82" s="0" t="s">
        <v>3042</v>
      </c>
      <c r="G82" s="0" t="s">
        <v>2947</v>
      </c>
      <c r="H82" s="0" t="s">
        <v>3043</v>
      </c>
      <c r="I82" s="0" t="s">
        <v>3044</v>
      </c>
      <c r="J82" s="0" t="s">
        <v>2919</v>
      </c>
      <c r="K82" s="0" t="s">
        <v>3045</v>
      </c>
      <c r="L82" s="0" t="s">
        <v>3045</v>
      </c>
      <c r="M82" s="0" t="s">
        <v>3046</v>
      </c>
      <c r="N82" s="0" t="s">
        <v>3047</v>
      </c>
      <c r="O82" s="0" t="s">
        <v>3048</v>
      </c>
      <c r="P82" s="0" t="s">
        <v>2875</v>
      </c>
      <c r="Q82" s="0" t="s">
        <v>3049</v>
      </c>
      <c r="R82" s="0" t="b">
        <v>0</v>
      </c>
      <c r="S82" s="0" t="s">
        <v>3313</v>
      </c>
    </row>
    <row customHeight="1" ht="11.25">
      <c r="A83" s="0">
        <v>2655</v>
      </c>
      <c r="B83" s="0" t="s">
        <v>101</v>
      </c>
      <c r="C83" s="0">
        <v>31579664</v>
      </c>
      <c r="D83" s="0" t="s">
        <v>3050</v>
      </c>
      <c r="E83" s="0" t="s">
        <v>3051</v>
      </c>
      <c r="F83" s="0" t="s">
        <v>3052</v>
      </c>
      <c r="G83" s="0" t="s">
        <v>2858</v>
      </c>
      <c r="H83" s="0" t="s">
        <v>3053</v>
      </c>
      <c r="I83" s="0" t="s">
        <v>3054</v>
      </c>
      <c r="K83" s="0" t="s">
        <v>3055</v>
      </c>
      <c r="L83" s="0" t="s">
        <v>3056</v>
      </c>
      <c r="M83" s="0" t="s">
        <v>3057</v>
      </c>
      <c r="N83" s="0" t="s">
        <v>228</v>
      </c>
      <c r="O83" s="0" t="s">
        <v>3058</v>
      </c>
      <c r="P83" s="0" t="s">
        <v>2912</v>
      </c>
      <c r="Q83" s="0" t="s">
        <v>3059</v>
      </c>
      <c r="R83" s="0" t="b">
        <v>1</v>
      </c>
      <c r="S83" s="0" t="s">
        <v>3313</v>
      </c>
    </row>
    <row customHeight="1" ht="11.25">
      <c r="A84" s="0">
        <v>2655</v>
      </c>
      <c r="B84" s="0" t="s">
        <v>101</v>
      </c>
      <c r="C84" s="0">
        <v>26322895</v>
      </c>
      <c r="D84" s="0" t="s">
        <v>111</v>
      </c>
      <c r="E84" s="0" t="s">
        <v>114</v>
      </c>
      <c r="F84" s="0" t="s">
        <v>120</v>
      </c>
      <c r="G84" s="0" t="s">
        <v>122</v>
      </c>
      <c r="H84" s="0" t="s">
        <v>118</v>
      </c>
      <c r="I84" s="0" t="s">
        <v>124</v>
      </c>
      <c r="J84" s="0" t="s">
        <v>127</v>
      </c>
      <c r="K84" s="0" t="s">
        <v>130</v>
      </c>
      <c r="L84" s="0" t="s">
        <v>130</v>
      </c>
      <c r="M84" s="0" t="s">
        <v>3060</v>
      </c>
      <c r="N84" s="0" t="s">
        <v>138</v>
      </c>
      <c r="O84" s="0" t="s">
        <v>141</v>
      </c>
      <c r="P84" s="0" t="s">
        <v>144</v>
      </c>
      <c r="Q84" s="0" t="s">
        <v>147</v>
      </c>
      <c r="R84" s="0" t="b">
        <v>0</v>
      </c>
      <c r="S84" s="0" t="s">
        <v>3313</v>
      </c>
    </row>
    <row customHeight="1" ht="11.25">
      <c r="A85" s="0">
        <v>2655</v>
      </c>
      <c r="B85" s="0" t="s">
        <v>101</v>
      </c>
      <c r="C85" s="0">
        <v>27784286</v>
      </c>
      <c r="D85" s="0" t="s">
        <v>3372</v>
      </c>
      <c r="E85" s="0" t="s">
        <v>3373</v>
      </c>
      <c r="F85" s="0" t="s">
        <v>3374</v>
      </c>
      <c r="G85" s="0" t="s">
        <v>3023</v>
      </c>
      <c r="H85" s="0" t="s">
        <v>3375</v>
      </c>
      <c r="I85" s="0" t="s">
        <v>3376</v>
      </c>
      <c r="K85" s="0" t="s">
        <v>3377</v>
      </c>
      <c r="L85" s="0" t="s">
        <v>3377</v>
      </c>
      <c r="M85" s="0" t="s">
        <v>3378</v>
      </c>
      <c r="N85" s="0" t="s">
        <v>3379</v>
      </c>
      <c r="O85" s="0" t="s">
        <v>3380</v>
      </c>
      <c r="P85" s="0" t="s">
        <v>144</v>
      </c>
      <c r="Q85" s="0" t="s">
        <v>3381</v>
      </c>
      <c r="R85" s="0" t="b">
        <v>0</v>
      </c>
      <c r="S85" s="0" t="s">
        <v>3313</v>
      </c>
    </row>
    <row customHeight="1" ht="11.25">
      <c r="A86" s="0">
        <v>2655</v>
      </c>
      <c r="B86" s="0" t="s">
        <v>101</v>
      </c>
      <c r="C86" s="0">
        <v>26428076</v>
      </c>
      <c r="D86" s="0" t="s">
        <v>3382</v>
      </c>
      <c r="E86" s="0" t="s">
        <v>3383</v>
      </c>
      <c r="F86" s="0" t="s">
        <v>3384</v>
      </c>
      <c r="G86" s="0" t="s">
        <v>3004</v>
      </c>
      <c r="H86" s="0" t="s">
        <v>3385</v>
      </c>
      <c r="I86" s="0" t="s">
        <v>228</v>
      </c>
      <c r="K86" s="0" t="s">
        <v>3386</v>
      </c>
      <c r="L86" s="0" t="s">
        <v>3386</v>
      </c>
      <c r="M86" s="0" t="s">
        <v>3387</v>
      </c>
      <c r="N86" s="0" t="s">
        <v>3388</v>
      </c>
      <c r="O86" s="0" t="s">
        <v>228</v>
      </c>
      <c r="P86" s="0" t="s">
        <v>228</v>
      </c>
      <c r="Q86" s="0" t="s">
        <v>228</v>
      </c>
      <c r="R86" s="0" t="b">
        <v>0</v>
      </c>
      <c r="S86" s="0" t="s">
        <v>3313</v>
      </c>
    </row>
    <row customHeight="1" ht="11.25">
      <c r="A87" s="0">
        <v>2655</v>
      </c>
      <c r="B87" s="0" t="s">
        <v>101</v>
      </c>
      <c r="C87" s="0">
        <v>28954370</v>
      </c>
      <c r="D87" s="0" t="s">
        <v>3389</v>
      </c>
      <c r="E87" s="0" t="s">
        <v>3390</v>
      </c>
      <c r="F87" s="0" t="s">
        <v>3391</v>
      </c>
      <c r="G87" s="0" t="s">
        <v>3004</v>
      </c>
      <c r="H87" s="0" t="s">
        <v>3392</v>
      </c>
      <c r="I87" s="0" t="s">
        <v>3393</v>
      </c>
      <c r="J87" s="0" t="s">
        <v>3065</v>
      </c>
      <c r="K87" s="0" t="s">
        <v>3394</v>
      </c>
      <c r="L87" s="0" t="s">
        <v>3394</v>
      </c>
      <c r="M87" s="0" t="s">
        <v>3395</v>
      </c>
      <c r="N87" s="0" t="s">
        <v>3396</v>
      </c>
      <c r="O87" s="0" t="s">
        <v>3397</v>
      </c>
      <c r="P87" s="0" t="s">
        <v>2912</v>
      </c>
      <c r="Q87" s="0" t="s">
        <v>228</v>
      </c>
      <c r="R87" s="0" t="b">
        <v>1</v>
      </c>
      <c r="S87" s="0" t="s">
        <v>3313</v>
      </c>
    </row>
    <row customHeight="1" ht="11.25">
      <c r="A88" s="0">
        <v>2655</v>
      </c>
      <c r="B88" s="0" t="s">
        <v>101</v>
      </c>
      <c r="C88" s="0">
        <v>31774016</v>
      </c>
      <c r="D88" s="0" t="s">
        <v>3398</v>
      </c>
      <c r="E88" s="0" t="s">
        <v>3399</v>
      </c>
      <c r="F88" s="0" t="s">
        <v>3400</v>
      </c>
      <c r="G88" s="0" t="s">
        <v>3023</v>
      </c>
      <c r="H88" s="0" t="s">
        <v>3401</v>
      </c>
      <c r="I88" s="0" t="s">
        <v>3402</v>
      </c>
      <c r="K88" s="0" t="s">
        <v>3403</v>
      </c>
      <c r="L88" s="0" t="s">
        <v>3404</v>
      </c>
      <c r="M88" s="0" t="s">
        <v>3405</v>
      </c>
      <c r="N88" s="0" t="s">
        <v>3406</v>
      </c>
      <c r="O88" s="0" t="s">
        <v>3407</v>
      </c>
      <c r="P88" s="0" t="s">
        <v>2789</v>
      </c>
      <c r="Q88" s="0" t="s">
        <v>228</v>
      </c>
      <c r="R88" s="0" t="b">
        <v>1</v>
      </c>
      <c r="S88" s="0" t="s">
        <v>3313</v>
      </c>
    </row>
    <row customHeight="1" ht="11.25">
      <c r="A89" s="0">
        <v>2655</v>
      </c>
      <c r="B89" s="0" t="s">
        <v>101</v>
      </c>
      <c r="C89" s="0">
        <v>28869965</v>
      </c>
      <c r="D89" s="0" t="s">
        <v>3078</v>
      </c>
      <c r="E89" s="0" t="s">
        <v>3079</v>
      </c>
      <c r="F89" s="0" t="s">
        <v>3080</v>
      </c>
      <c r="G89" s="0" t="s">
        <v>2904</v>
      </c>
      <c r="H89" s="0" t="s">
        <v>3081</v>
      </c>
      <c r="I89" s="0" t="s">
        <v>228</v>
      </c>
      <c r="J89" s="0" t="s">
        <v>3065</v>
      </c>
      <c r="K89" s="0" t="s">
        <v>3082</v>
      </c>
      <c r="L89" s="0" t="s">
        <v>3082</v>
      </c>
      <c r="M89" s="0" t="s">
        <v>3083</v>
      </c>
      <c r="N89" s="0" t="s">
        <v>3084</v>
      </c>
      <c r="O89" s="0" t="s">
        <v>3085</v>
      </c>
      <c r="P89" s="0" t="s">
        <v>144</v>
      </c>
      <c r="Q89" s="0" t="s">
        <v>3086</v>
      </c>
      <c r="R89" s="0" t="b">
        <v>0</v>
      </c>
      <c r="S89" s="0" t="s">
        <v>3313</v>
      </c>
    </row>
    <row customHeight="1" ht="11.25">
      <c r="A90" s="0">
        <v>2655</v>
      </c>
      <c r="B90" s="0" t="s">
        <v>101</v>
      </c>
      <c r="C90" s="0">
        <v>28113313</v>
      </c>
      <c r="D90" s="0" t="s">
        <v>3408</v>
      </c>
      <c r="E90" s="0" t="s">
        <v>3409</v>
      </c>
      <c r="F90" s="0" t="s">
        <v>3410</v>
      </c>
      <c r="G90" s="0" t="s">
        <v>3099</v>
      </c>
      <c r="H90" s="0" t="s">
        <v>3411</v>
      </c>
      <c r="I90" s="0" t="s">
        <v>228</v>
      </c>
      <c r="J90" s="0" t="s">
        <v>3065</v>
      </c>
      <c r="K90" s="0" t="s">
        <v>3412</v>
      </c>
      <c r="L90" s="0" t="s">
        <v>3413</v>
      </c>
      <c r="M90" s="0" t="s">
        <v>228</v>
      </c>
      <c r="N90" s="0" t="s">
        <v>228</v>
      </c>
      <c r="O90" s="0" t="s">
        <v>3106</v>
      </c>
      <c r="P90" s="0" t="s">
        <v>2789</v>
      </c>
      <c r="Q90" s="0" t="s">
        <v>228</v>
      </c>
      <c r="R90" s="0" t="b">
        <v>1</v>
      </c>
      <c r="S90" s="0" t="s">
        <v>3313</v>
      </c>
    </row>
    <row customHeight="1" ht="11.25">
      <c r="A91" s="0">
        <v>2655</v>
      </c>
      <c r="B91" s="0" t="s">
        <v>101</v>
      </c>
      <c r="C91" s="0">
        <v>26428030</v>
      </c>
      <c r="D91" s="0" t="s">
        <v>3414</v>
      </c>
      <c r="E91" s="0" t="s">
        <v>3415</v>
      </c>
      <c r="F91" s="0" t="s">
        <v>3416</v>
      </c>
      <c r="G91" s="0" t="s">
        <v>3004</v>
      </c>
      <c r="H91" s="0" t="s">
        <v>3417</v>
      </c>
      <c r="I91" s="0" t="s">
        <v>228</v>
      </c>
      <c r="K91" s="0" t="s">
        <v>3418</v>
      </c>
      <c r="L91" s="0" t="s">
        <v>3418</v>
      </c>
      <c r="M91" s="0" t="s">
        <v>3419</v>
      </c>
      <c r="N91" s="0" t="s">
        <v>3420</v>
      </c>
      <c r="O91" s="0" t="s">
        <v>228</v>
      </c>
      <c r="P91" s="0" t="s">
        <v>228</v>
      </c>
      <c r="Q91" s="0" t="s">
        <v>228</v>
      </c>
      <c r="R91" s="0" t="b">
        <v>0</v>
      </c>
      <c r="S91" s="0" t="s">
        <v>3313</v>
      </c>
    </row>
    <row customHeight="1" ht="11.25">
      <c r="A92" s="0">
        <v>2655</v>
      </c>
      <c r="B92" s="0" t="s">
        <v>101</v>
      </c>
      <c r="C92" s="0">
        <v>31356597</v>
      </c>
      <c r="D92" s="0" t="s">
        <v>3087</v>
      </c>
      <c r="E92" s="0" t="s">
        <v>3088</v>
      </c>
      <c r="F92" s="0" t="s">
        <v>3089</v>
      </c>
      <c r="G92" s="0" t="s">
        <v>2975</v>
      </c>
      <c r="H92" s="0" t="s">
        <v>3090</v>
      </c>
      <c r="I92" s="0" t="s">
        <v>3091</v>
      </c>
      <c r="J92" s="0" t="s">
        <v>3065</v>
      </c>
      <c r="K92" s="0" t="s">
        <v>3092</v>
      </c>
      <c r="L92" s="0" t="s">
        <v>3092</v>
      </c>
      <c r="M92" s="0" t="s">
        <v>3093</v>
      </c>
      <c r="N92" s="0" t="s">
        <v>3094</v>
      </c>
      <c r="O92" s="0" t="s">
        <v>3095</v>
      </c>
      <c r="P92" s="0" t="s">
        <v>144</v>
      </c>
      <c r="Q92" s="0" t="s">
        <v>228</v>
      </c>
      <c r="R92" s="0" t="b">
        <v>0</v>
      </c>
      <c r="S92" s="0" t="s">
        <v>3313</v>
      </c>
    </row>
    <row customHeight="1" ht="11.25">
      <c r="A93" s="0">
        <v>2655</v>
      </c>
      <c r="B93" s="0" t="s">
        <v>101</v>
      </c>
      <c r="C93" s="0">
        <v>28136671</v>
      </c>
      <c r="D93" s="0" t="s">
        <v>3096</v>
      </c>
      <c r="E93" s="0" t="s">
        <v>3097</v>
      </c>
      <c r="F93" s="0" t="s">
        <v>3098</v>
      </c>
      <c r="G93" s="0" t="s">
        <v>3099</v>
      </c>
      <c r="H93" s="0" t="s">
        <v>3100</v>
      </c>
      <c r="I93" s="0" t="s">
        <v>3101</v>
      </c>
      <c r="J93" s="0" t="s">
        <v>3065</v>
      </c>
      <c r="K93" s="0" t="s">
        <v>3102</v>
      </c>
      <c r="L93" s="0" t="s">
        <v>3103</v>
      </c>
      <c r="M93" s="0" t="s">
        <v>3104</v>
      </c>
      <c r="N93" s="0" t="s">
        <v>3105</v>
      </c>
      <c r="O93" s="0" t="s">
        <v>3106</v>
      </c>
      <c r="P93" s="0" t="s">
        <v>2789</v>
      </c>
      <c r="Q93" s="0" t="s">
        <v>228</v>
      </c>
      <c r="R93" s="0" t="b">
        <v>1</v>
      </c>
      <c r="S93" s="0" t="s">
        <v>3313</v>
      </c>
    </row>
    <row customHeight="1" ht="11.25">
      <c r="A94" s="0">
        <v>2655</v>
      </c>
      <c r="B94" s="0" t="s">
        <v>101</v>
      </c>
      <c r="C94" s="0">
        <v>27838991</v>
      </c>
      <c r="D94" s="0" t="s">
        <v>3421</v>
      </c>
      <c r="E94" s="0" t="s">
        <v>3422</v>
      </c>
      <c r="F94" s="0" t="s">
        <v>3423</v>
      </c>
      <c r="G94" s="0" t="s">
        <v>2804</v>
      </c>
      <c r="H94" s="0" t="s">
        <v>3424</v>
      </c>
      <c r="I94" s="0" t="s">
        <v>3425</v>
      </c>
      <c r="J94" s="0" t="s">
        <v>3065</v>
      </c>
      <c r="K94" s="0" t="s">
        <v>3426</v>
      </c>
      <c r="L94" s="0" t="s">
        <v>3427</v>
      </c>
      <c r="M94" s="0" t="s">
        <v>3428</v>
      </c>
      <c r="N94" s="0" t="s">
        <v>3429</v>
      </c>
      <c r="O94" s="0" t="s">
        <v>3430</v>
      </c>
      <c r="P94" s="0" t="s">
        <v>144</v>
      </c>
      <c r="Q94" s="0" t="s">
        <v>228</v>
      </c>
      <c r="R94" s="0" t="b">
        <v>0</v>
      </c>
      <c r="S94" s="0" t="s">
        <v>3313</v>
      </c>
    </row>
    <row customHeight="1" ht="11.25">
      <c r="A95" s="0">
        <v>2655</v>
      </c>
      <c r="B95" s="0" t="s">
        <v>101</v>
      </c>
      <c r="C95" s="0">
        <v>26428026</v>
      </c>
      <c r="D95" s="0" t="s">
        <v>3133</v>
      </c>
      <c r="E95" s="0" t="s">
        <v>3134</v>
      </c>
      <c r="F95" s="0" t="s">
        <v>3135</v>
      </c>
      <c r="G95" s="0" t="s">
        <v>3136</v>
      </c>
      <c r="H95" s="0" t="s">
        <v>3137</v>
      </c>
      <c r="I95" s="0" t="s">
        <v>228</v>
      </c>
      <c r="K95" s="0" t="s">
        <v>3138</v>
      </c>
      <c r="L95" s="0" t="s">
        <v>3138</v>
      </c>
      <c r="M95" s="0" t="s">
        <v>3139</v>
      </c>
      <c r="N95" s="0" t="s">
        <v>3140</v>
      </c>
      <c r="O95" s="0" t="s">
        <v>3141</v>
      </c>
      <c r="P95" s="0" t="s">
        <v>2912</v>
      </c>
      <c r="Q95" s="0" t="s">
        <v>228</v>
      </c>
      <c r="R95" s="0" t="b">
        <v>1</v>
      </c>
      <c r="S95" s="0" t="s">
        <v>3313</v>
      </c>
    </row>
    <row customHeight="1" ht="11.25">
      <c r="A96" s="0">
        <v>2655</v>
      </c>
      <c r="B96" s="0" t="s">
        <v>101</v>
      </c>
      <c r="C96" s="0">
        <v>31739633</v>
      </c>
      <c r="D96" s="0" t="s">
        <v>3152</v>
      </c>
      <c r="E96" s="0" t="s">
        <v>3153</v>
      </c>
      <c r="F96" s="0" t="s">
        <v>3154</v>
      </c>
      <c r="G96" s="0" t="s">
        <v>3155</v>
      </c>
      <c r="H96" s="0" t="s">
        <v>3156</v>
      </c>
      <c r="I96" s="0" t="s">
        <v>3157</v>
      </c>
      <c r="K96" s="0" t="s">
        <v>3158</v>
      </c>
      <c r="L96" s="0" t="s">
        <v>3158</v>
      </c>
      <c r="M96" s="0" t="s">
        <v>3159</v>
      </c>
      <c r="N96" s="0" t="s">
        <v>3160</v>
      </c>
      <c r="O96" s="0" t="s">
        <v>3161</v>
      </c>
      <c r="P96" s="0" t="s">
        <v>2875</v>
      </c>
      <c r="Q96" s="0" t="s">
        <v>228</v>
      </c>
      <c r="R96" s="0" t="b">
        <v>0</v>
      </c>
      <c r="S96" s="0" t="s">
        <v>3313</v>
      </c>
    </row>
    <row customHeight="1" ht="11.25">
      <c r="A97" s="0">
        <v>2655</v>
      </c>
      <c r="B97" s="0" t="s">
        <v>101</v>
      </c>
      <c r="C97" s="0">
        <v>31541617</v>
      </c>
      <c r="D97" s="0" t="s">
        <v>3162</v>
      </c>
      <c r="E97" s="0" t="s">
        <v>3163</v>
      </c>
      <c r="F97" s="0" t="s">
        <v>3164</v>
      </c>
      <c r="G97" s="0" t="s">
        <v>3165</v>
      </c>
      <c r="H97" s="0" t="s">
        <v>3166</v>
      </c>
      <c r="I97" s="0" t="s">
        <v>3167</v>
      </c>
      <c r="K97" s="0" t="s">
        <v>3168</v>
      </c>
      <c r="L97" s="0" t="s">
        <v>3168</v>
      </c>
      <c r="M97" s="0" t="s">
        <v>3169</v>
      </c>
      <c r="N97" s="0" t="s">
        <v>3170</v>
      </c>
      <c r="O97" s="0" t="s">
        <v>3171</v>
      </c>
      <c r="P97" s="0" t="s">
        <v>2875</v>
      </c>
      <c r="Q97" s="0" t="s">
        <v>228</v>
      </c>
      <c r="R97" s="0" t="b">
        <v>1</v>
      </c>
      <c r="S97" s="0" t="s">
        <v>3313</v>
      </c>
    </row>
    <row customHeight="1" ht="11.25">
      <c r="A98" s="0">
        <v>2655</v>
      </c>
      <c r="B98" s="0" t="s">
        <v>101</v>
      </c>
      <c r="C98" s="0">
        <v>31834877</v>
      </c>
      <c r="D98" s="0" t="s">
        <v>3431</v>
      </c>
      <c r="E98" s="0" t="s">
        <v>3431</v>
      </c>
      <c r="F98" s="0" t="s">
        <v>3432</v>
      </c>
      <c r="G98" s="0" t="s">
        <v>2794</v>
      </c>
      <c r="H98" s="0" t="s">
        <v>3433</v>
      </c>
      <c r="I98" s="0" t="s">
        <v>3434</v>
      </c>
      <c r="K98" s="0" t="s">
        <v>3435</v>
      </c>
      <c r="L98" s="0" t="s">
        <v>3436</v>
      </c>
      <c r="M98" s="0" t="s">
        <v>228</v>
      </c>
      <c r="N98" s="0" t="s">
        <v>3437</v>
      </c>
      <c r="O98" s="0" t="s">
        <v>3438</v>
      </c>
      <c r="P98" s="0" t="s">
        <v>2789</v>
      </c>
      <c r="Q98" s="0" t="s">
        <v>3439</v>
      </c>
      <c r="R98" s="0" t="b">
        <v>0</v>
      </c>
      <c r="S98" s="0" t="s">
        <v>3313</v>
      </c>
    </row>
    <row customHeight="1" ht="11.25">
      <c r="A99" s="0">
        <v>2655</v>
      </c>
      <c r="B99" s="0" t="s">
        <v>101</v>
      </c>
      <c r="C99" s="0">
        <v>26356891</v>
      </c>
      <c r="D99" s="0" t="s">
        <v>3183</v>
      </c>
      <c r="E99" s="0" t="s">
        <v>3184</v>
      </c>
      <c r="F99" s="0" t="s">
        <v>3185</v>
      </c>
      <c r="G99" s="0" t="s">
        <v>3004</v>
      </c>
      <c r="H99" s="0" t="s">
        <v>3186</v>
      </c>
      <c r="I99" s="0" t="s">
        <v>3187</v>
      </c>
      <c r="J99" s="0" t="s">
        <v>3065</v>
      </c>
      <c r="K99" s="0" t="s">
        <v>3188</v>
      </c>
      <c r="L99" s="0" t="s">
        <v>3188</v>
      </c>
      <c r="M99" s="0" t="s">
        <v>3189</v>
      </c>
      <c r="N99" s="0" t="s">
        <v>3190</v>
      </c>
      <c r="O99" s="0" t="s">
        <v>3191</v>
      </c>
      <c r="P99" s="0" t="s">
        <v>2912</v>
      </c>
      <c r="Q99" s="0" t="s">
        <v>228</v>
      </c>
      <c r="R99" s="0" t="b">
        <v>0</v>
      </c>
      <c r="S99" s="0" t="s">
        <v>3313</v>
      </c>
    </row>
    <row customHeight="1" ht="11.25">
      <c r="A100" s="0">
        <v>2655</v>
      </c>
      <c r="B100" s="0" t="s">
        <v>101</v>
      </c>
      <c r="C100" s="0">
        <v>31241637</v>
      </c>
      <c r="D100" s="0" t="s">
        <v>3192</v>
      </c>
      <c r="E100" s="0" t="s">
        <v>3193</v>
      </c>
      <c r="F100" s="0" t="s">
        <v>3194</v>
      </c>
      <c r="G100" s="0" t="s">
        <v>3023</v>
      </c>
      <c r="H100" s="0" t="s">
        <v>3195</v>
      </c>
      <c r="I100" s="0" t="s">
        <v>3196</v>
      </c>
      <c r="J100" s="0" t="s">
        <v>3065</v>
      </c>
      <c r="K100" s="0" t="s">
        <v>3197</v>
      </c>
      <c r="L100" s="0" t="s">
        <v>3197</v>
      </c>
      <c r="M100" s="0" t="s">
        <v>3198</v>
      </c>
      <c r="N100" s="0" t="s">
        <v>228</v>
      </c>
      <c r="O100" s="0" t="s">
        <v>3199</v>
      </c>
      <c r="P100" s="0" t="s">
        <v>2875</v>
      </c>
      <c r="Q100" s="0" t="s">
        <v>228</v>
      </c>
      <c r="R100" s="0" t="b">
        <v>0</v>
      </c>
      <c r="S100" s="0" t="s">
        <v>3313</v>
      </c>
    </row>
    <row customHeight="1" ht="11.25">
      <c r="A101" s="0">
        <v>2655</v>
      </c>
      <c r="B101" s="0" t="s">
        <v>101</v>
      </c>
      <c r="C101" s="0">
        <v>28819708</v>
      </c>
      <c r="D101" s="0" t="s">
        <v>3440</v>
      </c>
      <c r="E101" s="0" t="s">
        <v>3441</v>
      </c>
      <c r="F101" s="0" t="s">
        <v>3442</v>
      </c>
      <c r="G101" s="0" t="s">
        <v>2916</v>
      </c>
      <c r="H101" s="0" t="s">
        <v>3443</v>
      </c>
      <c r="I101" s="0" t="s">
        <v>3444</v>
      </c>
      <c r="J101" s="0" t="s">
        <v>3065</v>
      </c>
      <c r="K101" s="0" t="s">
        <v>3445</v>
      </c>
      <c r="L101" s="0" t="s">
        <v>3445</v>
      </c>
      <c r="M101" s="0" t="s">
        <v>228</v>
      </c>
      <c r="N101" s="0" t="s">
        <v>3446</v>
      </c>
      <c r="O101" s="0" t="s">
        <v>3447</v>
      </c>
      <c r="P101" s="0" t="s">
        <v>2912</v>
      </c>
      <c r="Q101" s="0" t="s">
        <v>228</v>
      </c>
      <c r="R101" s="0" t="b">
        <v>0</v>
      </c>
      <c r="S101" s="0" t="s">
        <v>3313</v>
      </c>
    </row>
    <row customHeight="1" ht="11.25">
      <c r="A102" s="0">
        <v>2655</v>
      </c>
      <c r="B102" s="0" t="s">
        <v>101</v>
      </c>
      <c r="C102" s="0">
        <v>26356937</v>
      </c>
      <c r="D102" s="0" t="s">
        <v>3200</v>
      </c>
      <c r="E102" s="0" t="s">
        <v>3201</v>
      </c>
      <c r="F102" s="0" t="s">
        <v>3202</v>
      </c>
      <c r="G102" s="0" t="s">
        <v>184</v>
      </c>
      <c r="H102" s="0" t="s">
        <v>3203</v>
      </c>
      <c r="I102" s="0" t="s">
        <v>3204</v>
      </c>
      <c r="J102" s="0" t="s">
        <v>3065</v>
      </c>
      <c r="K102" s="0" t="s">
        <v>3205</v>
      </c>
      <c r="L102" s="0" t="s">
        <v>3205</v>
      </c>
      <c r="M102" s="0" t="s">
        <v>3206</v>
      </c>
      <c r="N102" s="0" t="s">
        <v>3207</v>
      </c>
      <c r="O102" s="0" t="s">
        <v>3208</v>
      </c>
      <c r="P102" s="0" t="s">
        <v>2875</v>
      </c>
      <c r="Q102" s="0" t="s">
        <v>3209</v>
      </c>
      <c r="R102" s="0" t="b">
        <v>0</v>
      </c>
      <c r="S102" s="0" t="s">
        <v>3313</v>
      </c>
    </row>
    <row customHeight="1" ht="11.25">
      <c r="A103" s="0">
        <v>2655</v>
      </c>
      <c r="B103" s="0" t="s">
        <v>101</v>
      </c>
      <c r="C103" s="0">
        <v>31770754</v>
      </c>
      <c r="D103" s="0" t="s">
        <v>3210</v>
      </c>
      <c r="E103" s="0" t="s">
        <v>3211</v>
      </c>
      <c r="F103" s="0" t="s">
        <v>3212</v>
      </c>
      <c r="G103" s="0" t="s">
        <v>3155</v>
      </c>
      <c r="H103" s="0" t="s">
        <v>3213</v>
      </c>
      <c r="I103" s="0" t="s">
        <v>3214</v>
      </c>
      <c r="K103" s="0" t="s">
        <v>3215</v>
      </c>
      <c r="L103" s="0" t="s">
        <v>3216</v>
      </c>
      <c r="M103" s="0" t="s">
        <v>3217</v>
      </c>
      <c r="N103" s="0" t="s">
        <v>3218</v>
      </c>
      <c r="O103" s="0" t="s">
        <v>3219</v>
      </c>
      <c r="P103" s="0" t="s">
        <v>2912</v>
      </c>
      <c r="Q103" s="0" t="s">
        <v>228</v>
      </c>
      <c r="R103" s="0" t="b">
        <v>1</v>
      </c>
      <c r="S103" s="0" t="s">
        <v>3313</v>
      </c>
    </row>
    <row customHeight="1" ht="11.25">
      <c r="A104" s="0">
        <v>2655</v>
      </c>
      <c r="B104" s="0" t="s">
        <v>101</v>
      </c>
      <c r="C104" s="0">
        <v>31528492</v>
      </c>
      <c r="D104" s="0" t="s">
        <v>3220</v>
      </c>
      <c r="E104" s="0" t="s">
        <v>3221</v>
      </c>
      <c r="F104" s="0" t="s">
        <v>3222</v>
      </c>
      <c r="G104" s="0" t="s">
        <v>3023</v>
      </c>
      <c r="H104" s="0" t="s">
        <v>3223</v>
      </c>
      <c r="I104" s="0" t="s">
        <v>3224</v>
      </c>
      <c r="K104" s="0" t="s">
        <v>3225</v>
      </c>
      <c r="L104" s="0" t="s">
        <v>3225</v>
      </c>
      <c r="M104" s="0" t="s">
        <v>3226</v>
      </c>
      <c r="N104" s="0" t="s">
        <v>3227</v>
      </c>
      <c r="O104" s="0" t="s">
        <v>3228</v>
      </c>
      <c r="P104" s="0" t="s">
        <v>2789</v>
      </c>
      <c r="Q104" s="0" t="s">
        <v>228</v>
      </c>
      <c r="R104" s="0" t="b">
        <v>0</v>
      </c>
      <c r="S104" s="0" t="s">
        <v>3313</v>
      </c>
    </row>
    <row customHeight="1" ht="11.25">
      <c r="A105" s="0">
        <v>2655</v>
      </c>
      <c r="B105" s="0" t="s">
        <v>101</v>
      </c>
      <c r="C105" s="0">
        <v>28270293</v>
      </c>
      <c r="D105" s="0" t="s">
        <v>3229</v>
      </c>
      <c r="E105" s="0" t="s">
        <v>3230</v>
      </c>
      <c r="F105" s="0" t="s">
        <v>3231</v>
      </c>
      <c r="G105" s="0" t="s">
        <v>3004</v>
      </c>
      <c r="H105" s="0" t="s">
        <v>3232</v>
      </c>
      <c r="I105" s="0" t="s">
        <v>3233</v>
      </c>
      <c r="J105" s="0" t="s">
        <v>3065</v>
      </c>
      <c r="K105" s="0" t="s">
        <v>3234</v>
      </c>
      <c r="L105" s="0" t="s">
        <v>3234</v>
      </c>
      <c r="M105" s="0" t="s">
        <v>3235</v>
      </c>
      <c r="N105" s="0" t="s">
        <v>3236</v>
      </c>
      <c r="O105" s="0" t="s">
        <v>3237</v>
      </c>
      <c r="P105" s="0" t="s">
        <v>144</v>
      </c>
      <c r="Q105" s="0" t="s">
        <v>228</v>
      </c>
      <c r="R105" s="0" t="b">
        <v>0</v>
      </c>
      <c r="S105" s="0" t="s">
        <v>3313</v>
      </c>
    </row>
    <row customHeight="1" ht="11.25">
      <c r="A106" s="0">
        <v>2655</v>
      </c>
      <c r="B106" s="0" t="s">
        <v>101</v>
      </c>
      <c r="C106" s="0">
        <v>28873362</v>
      </c>
      <c r="D106" s="0" t="s">
        <v>3238</v>
      </c>
      <c r="E106" s="0" t="s">
        <v>3239</v>
      </c>
      <c r="F106" s="0" t="s">
        <v>3240</v>
      </c>
      <c r="G106" s="0" t="s">
        <v>122</v>
      </c>
      <c r="H106" s="0" t="s">
        <v>3241</v>
      </c>
      <c r="I106" s="0" t="s">
        <v>3242</v>
      </c>
      <c r="J106" s="0" t="s">
        <v>3065</v>
      </c>
      <c r="K106" s="0" t="s">
        <v>3243</v>
      </c>
      <c r="L106" s="0" t="s">
        <v>3243</v>
      </c>
      <c r="M106" s="0" t="s">
        <v>3244</v>
      </c>
      <c r="N106" s="0" t="s">
        <v>3245</v>
      </c>
      <c r="O106" s="0" t="s">
        <v>3246</v>
      </c>
      <c r="P106" s="0" t="s">
        <v>2912</v>
      </c>
      <c r="Q106" s="0" t="s">
        <v>3247</v>
      </c>
      <c r="R106" s="0" t="b">
        <v>0</v>
      </c>
      <c r="S106" s="0" t="s">
        <v>3313</v>
      </c>
    </row>
    <row customHeight="1" ht="11.25">
      <c r="A107" s="0">
        <v>2655</v>
      </c>
      <c r="B107" s="0" t="s">
        <v>101</v>
      </c>
      <c r="C107" s="0">
        <v>28976681</v>
      </c>
      <c r="D107" s="0" t="s">
        <v>3248</v>
      </c>
      <c r="E107" s="0" t="s">
        <v>3249</v>
      </c>
      <c r="F107" s="0" t="s">
        <v>3250</v>
      </c>
      <c r="G107" s="0" t="s">
        <v>3004</v>
      </c>
      <c r="H107" s="0" t="s">
        <v>3251</v>
      </c>
      <c r="I107" s="0" t="s">
        <v>3252</v>
      </c>
      <c r="J107" s="0" t="s">
        <v>3065</v>
      </c>
      <c r="K107" s="0" t="s">
        <v>3253</v>
      </c>
      <c r="L107" s="0" t="s">
        <v>3253</v>
      </c>
      <c r="M107" s="0" t="s">
        <v>3254</v>
      </c>
      <c r="N107" s="0" t="s">
        <v>228</v>
      </c>
      <c r="O107" s="0" t="s">
        <v>3255</v>
      </c>
      <c r="P107" s="0" t="s">
        <v>2912</v>
      </c>
      <c r="Q107" s="0" t="s">
        <v>228</v>
      </c>
      <c r="R107" s="0" t="b">
        <v>1</v>
      </c>
      <c r="S107" s="0" t="s">
        <v>3313</v>
      </c>
    </row>
    <row customHeight="1" ht="11.25">
      <c r="A108" s="0">
        <v>2655</v>
      </c>
      <c r="B108" s="0" t="s">
        <v>101</v>
      </c>
      <c r="C108" s="0">
        <v>26853991</v>
      </c>
      <c r="D108" s="0" t="s">
        <v>3267</v>
      </c>
      <c r="E108" s="0" t="s">
        <v>3268</v>
      </c>
      <c r="F108" s="0" t="s">
        <v>3269</v>
      </c>
      <c r="G108" s="0" t="s">
        <v>3270</v>
      </c>
      <c r="H108" s="0" t="s">
        <v>3271</v>
      </c>
      <c r="I108" s="0" t="s">
        <v>3272</v>
      </c>
      <c r="J108" s="0" t="s">
        <v>2770</v>
      </c>
      <c r="K108" s="0" t="s">
        <v>228</v>
      </c>
      <c r="L108" s="0" t="s">
        <v>3273</v>
      </c>
      <c r="M108" s="0" t="s">
        <v>3274</v>
      </c>
      <c r="N108" s="0" t="s">
        <v>3275</v>
      </c>
      <c r="O108" s="0" t="s">
        <v>3276</v>
      </c>
      <c r="P108" s="0" t="s">
        <v>2822</v>
      </c>
      <c r="Q108" s="0" t="s">
        <v>228</v>
      </c>
      <c r="R108" s="0" t="b">
        <v>0</v>
      </c>
      <c r="S108" s="0" t="s">
        <v>3313</v>
      </c>
    </row>
    <row customHeight="1" ht="11.25">
      <c r="A109" s="0">
        <v>2655</v>
      </c>
      <c r="B109" s="0" t="s">
        <v>101</v>
      </c>
      <c r="C109" s="0">
        <v>30808511</v>
      </c>
      <c r="D109" s="0" t="s">
        <v>3277</v>
      </c>
      <c r="E109" s="0" t="s">
        <v>3277</v>
      </c>
      <c r="F109" s="0" t="s">
        <v>3278</v>
      </c>
      <c r="G109" s="0" t="s">
        <v>3279</v>
      </c>
      <c r="H109" s="0" t="s">
        <v>3280</v>
      </c>
      <c r="I109" s="0" t="s">
        <v>3281</v>
      </c>
      <c r="J109" s="0" t="s">
        <v>3282</v>
      </c>
      <c r="K109" s="0" t="s">
        <v>3283</v>
      </c>
      <c r="L109" s="0" t="s">
        <v>3284</v>
      </c>
      <c r="M109" s="0" t="s">
        <v>3285</v>
      </c>
      <c r="N109" s="0" t="s">
        <v>228</v>
      </c>
      <c r="O109" s="0" t="s">
        <v>3286</v>
      </c>
      <c r="P109" s="0" t="s">
        <v>2912</v>
      </c>
      <c r="Q109" s="0" t="s">
        <v>3287</v>
      </c>
      <c r="R109" s="0" t="b">
        <v>0</v>
      </c>
      <c r="S109" s="0" t="s">
        <v>3313</v>
      </c>
    </row>
    <row customHeight="1" ht="11.25">
      <c r="A110" s="0">
        <v>2655</v>
      </c>
      <c r="B110" s="0" t="s">
        <v>101</v>
      </c>
      <c r="C110" s="0">
        <v>26520873</v>
      </c>
      <c r="D110" s="0" t="s">
        <v>3292</v>
      </c>
      <c r="E110" s="0" t="s">
        <v>3293</v>
      </c>
      <c r="F110" s="0" t="s">
        <v>3278</v>
      </c>
      <c r="G110" s="0" t="s">
        <v>3294</v>
      </c>
      <c r="H110" s="0" t="s">
        <v>3280</v>
      </c>
      <c r="I110" s="0" t="s">
        <v>3295</v>
      </c>
      <c r="J110" s="0" t="s">
        <v>3282</v>
      </c>
      <c r="K110" s="0" t="s">
        <v>3296</v>
      </c>
      <c r="L110" s="0" t="s">
        <v>3297</v>
      </c>
      <c r="M110" s="0" t="s">
        <v>3298</v>
      </c>
      <c r="N110" s="0" t="s">
        <v>3299</v>
      </c>
      <c r="O110" s="0" t="s">
        <v>3300</v>
      </c>
      <c r="P110" s="0" t="s">
        <v>2912</v>
      </c>
      <c r="Q110" s="0" t="s">
        <v>3301</v>
      </c>
      <c r="R110" s="0" t="b">
        <v>0</v>
      </c>
      <c r="S110" s="0" t="s">
        <v>3313</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6EA6C6-E0A8-D73D-E998-CDBC8D452C85}" mc:Ignorable="x14ac xr xr2 xr3">
  <sheetPr>
    <tabColor rgb="FFFFCC99"/>
  </sheetPr>
  <dimension ref="A1:DE868"/>
  <sheetViews>
    <sheetView topLeftCell="A1" showGridLines="0" workbookViewId="0">
      <selection activeCell="A1" sqref="A1"/>
    </sheetView>
  </sheetViews>
  <sheetFormatPr customHeight="1" defaultRowHeight="11.25"/>
  <cols>
    <col min="1" max="1" style="1353" width="23.140625" customWidth="1"/>
  </cols>
  <sheetData>
    <row customHeight="1" ht="11.25">
      <c r="A1" s="1353" t="s">
        <v>3448</v>
      </c>
      <c r="B1" s="0" t="s">
        <v>3449</v>
      </c>
      <c r="C1" s="0" t="s">
        <v>3450</v>
      </c>
      <c r="D1" s="0" t="s">
        <v>3451</v>
      </c>
      <c r="E1" s="0" t="s">
        <v>3452</v>
      </c>
      <c r="F1" s="0" t="s">
        <v>3453</v>
      </c>
      <c r="G1" s="0" t="s">
        <v>3454</v>
      </c>
      <c r="H1" s="0" t="s">
        <v>3455</v>
      </c>
      <c r="I1" s="0" t="s">
        <v>3456</v>
      </c>
      <c r="J1" s="0" t="s">
        <v>3457</v>
      </c>
      <c r="K1" s="0" t="s">
        <v>3458</v>
      </c>
      <c r="L1" s="0" t="s">
        <v>3459</v>
      </c>
      <c r="M1" s="0" t="s">
        <v>3460</v>
      </c>
      <c r="N1" s="0" t="s">
        <v>3461</v>
      </c>
      <c r="O1" s="0" t="s">
        <v>3462</v>
      </c>
      <c r="P1" s="0" t="s">
        <v>3463</v>
      </c>
      <c r="Q1" s="0" t="s">
        <v>3464</v>
      </c>
      <c r="R1" s="0" t="s">
        <v>3465</v>
      </c>
      <c r="S1" s="0" t="s">
        <v>3466</v>
      </c>
      <c r="T1" s="0" t="s">
        <v>3467</v>
      </c>
      <c r="U1" s="0" t="s">
        <v>3468</v>
      </c>
      <c r="V1" s="0" t="s">
        <v>3469</v>
      </c>
      <c r="W1" s="0" t="s">
        <v>3470</v>
      </c>
      <c r="X1" s="0" t="s">
        <v>346</v>
      </c>
      <c r="Y1" s="0" t="s">
        <v>3471</v>
      </c>
      <c r="Z1" s="0" t="s">
        <v>3472</v>
      </c>
      <c r="AA1" s="0" t="s">
        <v>3473</v>
      </c>
      <c r="AB1" s="0" t="s">
        <v>3474</v>
      </c>
      <c r="AC1" s="0" t="s">
        <v>3475</v>
      </c>
      <c r="AD1" s="0" t="s">
        <v>3476</v>
      </c>
      <c r="AE1" s="0" t="s">
        <v>3477</v>
      </c>
      <c r="AF1" s="0" t="s">
        <v>3478</v>
      </c>
      <c r="AG1" s="0" t="s">
        <v>3479</v>
      </c>
      <c r="AH1" s="0" t="s">
        <v>3480</v>
      </c>
      <c r="AI1" s="0" t="s">
        <v>3481</v>
      </c>
      <c r="AJ1" s="0" t="s">
        <v>3482</v>
      </c>
      <c r="AK1" s="0" t="s">
        <v>3483</v>
      </c>
      <c r="AL1" s="0" t="s">
        <v>3484</v>
      </c>
      <c r="AM1" s="0" t="s">
        <v>3485</v>
      </c>
      <c r="AN1" s="0" t="s">
        <v>3486</v>
      </c>
      <c r="AO1" s="0" t="s">
        <v>3487</v>
      </c>
      <c r="AP1" s="0" t="s">
        <v>3488</v>
      </c>
      <c r="AQ1" s="0" t="s">
        <v>3489</v>
      </c>
      <c r="AR1" s="0" t="s">
        <v>3490</v>
      </c>
      <c r="AS1" s="0" t="s">
        <v>3491</v>
      </c>
      <c r="AT1" s="0" t="s">
        <v>3492</v>
      </c>
      <c r="AU1" s="0" t="s">
        <v>3493</v>
      </c>
      <c r="AV1" s="0" t="s">
        <v>3494</v>
      </c>
      <c r="AW1" s="0" t="s">
        <v>3495</v>
      </c>
      <c r="AX1" s="0" t="s">
        <v>3496</v>
      </c>
      <c r="AY1" s="0" t="s">
        <v>3497</v>
      </c>
      <c r="AZ1" s="0" t="s">
        <v>3498</v>
      </c>
      <c r="BA1" s="0" t="s">
        <v>3499</v>
      </c>
      <c r="BB1" s="0" t="s">
        <v>3500</v>
      </c>
      <c r="BC1" s="0" t="s">
        <v>3501</v>
      </c>
      <c r="BD1" s="0" t="s">
        <v>3502</v>
      </c>
      <c r="BE1" s="0" t="s">
        <v>3503</v>
      </c>
      <c r="BF1" s="0" t="s">
        <v>3504</v>
      </c>
      <c r="BG1" s="0" t="s">
        <v>3505</v>
      </c>
      <c r="BH1" s="0" t="s">
        <v>3506</v>
      </c>
      <c r="BI1" s="0" t="s">
        <v>3507</v>
      </c>
      <c r="BJ1" s="0" t="s">
        <v>3508</v>
      </c>
      <c r="BK1" s="0" t="s">
        <v>3509</v>
      </c>
      <c r="BL1" s="0" t="s">
        <v>3510</v>
      </c>
      <c r="BM1" s="0" t="s">
        <v>3511</v>
      </c>
      <c r="BN1" s="0" t="s">
        <v>3512</v>
      </c>
      <c r="BO1" s="0" t="s">
        <v>3513</v>
      </c>
      <c r="BP1" s="0" t="s">
        <v>3514</v>
      </c>
      <c r="BQ1" s="0" t="s">
        <v>3515</v>
      </c>
      <c r="BR1" s="0" t="s">
        <v>3516</v>
      </c>
      <c r="BS1" s="0" t="s">
        <v>3517</v>
      </c>
      <c r="BT1" s="0" t="s">
        <v>3518</v>
      </c>
      <c r="BU1" s="0" t="s">
        <v>3519</v>
      </c>
      <c r="BV1" s="0" t="s">
        <v>3520</v>
      </c>
      <c r="BW1" s="0" t="s">
        <v>3521</v>
      </c>
      <c r="BX1" s="0" t="s">
        <v>3522</v>
      </c>
      <c r="BY1" s="0" t="s">
        <v>3523</v>
      </c>
      <c r="BZ1" s="0" t="s">
        <v>3524</v>
      </c>
      <c r="CA1" s="0" t="s">
        <v>3525</v>
      </c>
      <c r="CB1" s="0" t="s">
        <v>3526</v>
      </c>
      <c r="CC1" s="0" t="s">
        <v>3527</v>
      </c>
      <c r="CD1" s="0" t="s">
        <v>3528</v>
      </c>
      <c r="CE1" s="0" t="s">
        <v>3529</v>
      </c>
      <c r="CF1" s="0" t="s">
        <v>3530</v>
      </c>
      <c r="CG1" s="0" t="s">
        <v>3531</v>
      </c>
      <c r="CH1" s="0" t="s">
        <v>3532</v>
      </c>
      <c r="CI1" s="0" t="s">
        <v>3533</v>
      </c>
      <c r="CJ1" s="0" t="s">
        <v>3534</v>
      </c>
      <c r="CK1" s="0" t="s">
        <v>3535</v>
      </c>
      <c r="CL1" s="0" t="s">
        <v>3536</v>
      </c>
      <c r="CM1" s="0" t="s">
        <v>3537</v>
      </c>
      <c r="CN1" s="0" t="s">
        <v>3538</v>
      </c>
      <c r="CO1" s="0" t="s">
        <v>3539</v>
      </c>
      <c r="CP1" s="0" t="s">
        <v>3540</v>
      </c>
      <c r="CQ1" s="0" t="s">
        <v>3541</v>
      </c>
      <c r="CR1" s="0" t="s">
        <v>3542</v>
      </c>
      <c r="CS1" s="0" t="s">
        <v>3543</v>
      </c>
      <c r="CT1" s="0" t="s">
        <v>3544</v>
      </c>
      <c r="CU1" s="0" t="s">
        <v>3545</v>
      </c>
      <c r="CV1" s="0" t="s">
        <v>3546</v>
      </c>
      <c r="CW1" s="0" t="s">
        <v>3547</v>
      </c>
      <c r="CX1" s="0" t="s">
        <v>3548</v>
      </c>
      <c r="CY1" s="0" t="s">
        <v>3549</v>
      </c>
      <c r="CZ1" s="0" t="s">
        <v>3550</v>
      </c>
      <c r="DA1" s="0" t="s">
        <v>3551</v>
      </c>
      <c r="DB1" s="0" t="s">
        <v>3552</v>
      </c>
      <c r="DC1" s="0" t="s">
        <v>3553</v>
      </c>
      <c r="DD1" s="0" t="s">
        <v>1468</v>
      </c>
      <c r="DE1" s="0" t="s">
        <v>3554</v>
      </c>
    </row>
    <row customHeight="1" ht="11.25">
      <c r="A2" s="1353" t="s">
        <v>228</v>
      </c>
      <c r="B2" s="0" t="s">
        <v>228</v>
      </c>
      <c r="C2" s="0" t="s">
        <v>228</v>
      </c>
      <c r="D2" s="0" t="s">
        <v>228</v>
      </c>
      <c r="E2" s="0" t="s">
        <v>228</v>
      </c>
      <c r="F2" s="0" t="s">
        <v>228</v>
      </c>
      <c r="G2" s="0" t="s">
        <v>228</v>
      </c>
      <c r="H2" s="0" t="s">
        <v>228</v>
      </c>
      <c r="I2" s="0" t="s">
        <v>3555</v>
      </c>
      <c r="J2" s="0" t="s">
        <v>228</v>
      </c>
      <c r="K2" s="0" t="s">
        <v>228</v>
      </c>
      <c r="L2" s="0" t="s">
        <v>228</v>
      </c>
      <c r="M2" s="0" t="s">
        <v>228</v>
      </c>
      <c r="N2" s="0" t="s">
        <v>228</v>
      </c>
      <c r="O2" s="0" t="s">
        <v>228</v>
      </c>
      <c r="P2" s="0" t="s">
        <v>228</v>
      </c>
      <c r="Q2" s="0" t="s">
        <v>228</v>
      </c>
      <c r="R2" s="0" t="s">
        <v>3556</v>
      </c>
      <c r="S2" s="0" t="s">
        <v>228</v>
      </c>
      <c r="T2" s="0" t="s">
        <v>228</v>
      </c>
      <c r="U2" s="0" t="s">
        <v>101</v>
      </c>
      <c r="V2" s="0" t="s">
        <v>228</v>
      </c>
      <c r="W2" s="0" t="s">
        <v>228</v>
      </c>
      <c r="X2" s="0" t="s">
        <v>3557</v>
      </c>
      <c r="Y2" s="0" t="s">
        <v>228</v>
      </c>
      <c r="Z2" s="0" t="s">
        <v>160</v>
      </c>
      <c r="AA2" s="0" t="s">
        <v>151</v>
      </c>
      <c r="AB2" s="0" t="s">
        <v>151</v>
      </c>
      <c r="AC2" s="0" t="s">
        <v>2290</v>
      </c>
      <c r="AD2" s="0" t="s">
        <v>2290</v>
      </c>
      <c r="AE2" s="0" t="s">
        <v>2292</v>
      </c>
      <c r="AF2" s="0" t="s">
        <v>3558</v>
      </c>
      <c r="AG2" s="0" t="s">
        <v>3559</v>
      </c>
      <c r="AH2" s="0" t="s">
        <v>3560</v>
      </c>
      <c r="AI2" s="0" t="s">
        <v>3561</v>
      </c>
      <c r="AJ2" s="0" t="s">
        <v>3562</v>
      </c>
      <c r="AK2" s="0" t="s">
        <v>3563</v>
      </c>
      <c r="AL2" s="0" t="s">
        <v>3564</v>
      </c>
      <c r="AM2" s="0" t="s">
        <v>3565</v>
      </c>
      <c r="AN2" s="0" t="s">
        <v>3566</v>
      </c>
      <c r="AO2" s="0" t="s">
        <v>3567</v>
      </c>
      <c r="AP2" s="0" t="s">
        <v>228</v>
      </c>
      <c r="AQ2" s="0" t="s">
        <v>228</v>
      </c>
      <c r="AR2" s="0" t="s">
        <v>228</v>
      </c>
      <c r="AS2" s="0" t="s">
        <v>228</v>
      </c>
      <c r="AT2" s="0" t="s">
        <v>228</v>
      </c>
      <c r="AU2" s="0" t="s">
        <v>228</v>
      </c>
      <c r="AV2" s="0" t="s">
        <v>228</v>
      </c>
      <c r="AW2" s="0" t="s">
        <v>228</v>
      </c>
      <c r="AX2" s="0" t="s">
        <v>228</v>
      </c>
      <c r="AY2" s="0" t="s">
        <v>228</v>
      </c>
      <c r="AZ2" s="0" t="s">
        <v>228</v>
      </c>
      <c r="BA2" s="0" t="s">
        <v>228</v>
      </c>
      <c r="BB2" s="0" t="s">
        <v>228</v>
      </c>
      <c r="BC2" s="0" t="s">
        <v>228</v>
      </c>
      <c r="BD2" s="0" t="s">
        <v>228</v>
      </c>
      <c r="BE2" s="0" t="s">
        <v>228</v>
      </c>
      <c r="BF2" s="0" t="s">
        <v>228</v>
      </c>
      <c r="BG2" s="0" t="s">
        <v>228</v>
      </c>
      <c r="BH2" s="0" t="s">
        <v>228</v>
      </c>
      <c r="BI2" s="0" t="s">
        <v>228</v>
      </c>
      <c r="BJ2" s="0" t="s">
        <v>228</v>
      </c>
      <c r="BK2" s="0" t="s">
        <v>228</v>
      </c>
      <c r="BL2" s="0" t="s">
        <v>228</v>
      </c>
      <c r="BM2" s="0" t="s">
        <v>228</v>
      </c>
      <c r="BN2" s="0" t="s">
        <v>228</v>
      </c>
      <c r="BO2" s="0" t="s">
        <v>228</v>
      </c>
      <c r="BP2" s="0" t="s">
        <v>228</v>
      </c>
      <c r="BQ2" s="0" t="s">
        <v>228</v>
      </c>
      <c r="BR2" s="0" t="s">
        <v>228</v>
      </c>
      <c r="BS2" s="0" t="s">
        <v>228</v>
      </c>
      <c r="BT2" s="0" t="s">
        <v>228</v>
      </c>
      <c r="BU2" s="0" t="s">
        <v>228</v>
      </c>
      <c r="BV2" s="0" t="s">
        <v>228</v>
      </c>
      <c r="BW2" s="0" t="s">
        <v>228</v>
      </c>
      <c r="BX2" s="0" t="s">
        <v>228</v>
      </c>
      <c r="BY2" s="0" t="s">
        <v>228</v>
      </c>
      <c r="BZ2" s="0" t="s">
        <v>228</v>
      </c>
      <c r="CA2" s="0" t="s">
        <v>228</v>
      </c>
      <c r="CB2" s="0" t="s">
        <v>228</v>
      </c>
      <c r="CC2" s="0" t="s">
        <v>228</v>
      </c>
      <c r="CD2" s="0" t="s">
        <v>228</v>
      </c>
      <c r="CE2" s="0" t="s">
        <v>228</v>
      </c>
      <c r="CF2" s="0" t="s">
        <v>228</v>
      </c>
      <c r="CG2" s="0" t="s">
        <v>228</v>
      </c>
      <c r="CH2" s="0" t="s">
        <v>228</v>
      </c>
      <c r="CI2" s="0" t="s">
        <v>228</v>
      </c>
      <c r="CJ2" s="0" t="s">
        <v>228</v>
      </c>
      <c r="CK2" s="0" t="s">
        <v>228</v>
      </c>
      <c r="CL2" s="0" t="s">
        <v>228</v>
      </c>
      <c r="CM2" s="0" t="s">
        <v>228</v>
      </c>
      <c r="CN2" s="0" t="s">
        <v>228</v>
      </c>
      <c r="CO2" s="0" t="s">
        <v>228</v>
      </c>
      <c r="CP2" s="0" t="s">
        <v>228</v>
      </c>
      <c r="CQ2" s="0" t="s">
        <v>228</v>
      </c>
      <c r="CR2" s="0" t="s">
        <v>228</v>
      </c>
      <c r="CS2" s="0" t="s">
        <v>228</v>
      </c>
      <c r="CT2" s="0" t="s">
        <v>3568</v>
      </c>
      <c r="CU2" s="0" t="s">
        <v>3569</v>
      </c>
      <c r="CV2" s="0" t="s">
        <v>418</v>
      </c>
      <c r="CW2" s="0" t="s">
        <v>3570</v>
      </c>
      <c r="CX2" s="0" t="s">
        <v>419</v>
      </c>
      <c r="CY2" s="0" t="s">
        <v>418</v>
      </c>
      <c r="CZ2" s="0" t="s">
        <v>3571</v>
      </c>
      <c r="DA2" s="0" t="s">
        <v>420</v>
      </c>
      <c r="DB2" s="0" t="s">
        <v>3570</v>
      </c>
      <c r="DC2" s="0" t="s">
        <v>362</v>
      </c>
      <c r="DD2" s="0" t="s">
        <v>3572</v>
      </c>
      <c r="DE2" s="0" t="s">
        <v>3573</v>
      </c>
    </row>
    <row customHeight="1" ht="11.25">
      <c r="A3" s="1353" t="s">
        <v>228</v>
      </c>
      <c r="B3" s="0" t="s">
        <v>228</v>
      </c>
      <c r="C3" s="0" t="s">
        <v>228</v>
      </c>
      <c r="D3" s="0" t="s">
        <v>228</v>
      </c>
      <c r="E3" s="0" t="s">
        <v>228</v>
      </c>
      <c r="F3" s="0" t="s">
        <v>228</v>
      </c>
      <c r="G3" s="0" t="s">
        <v>228</v>
      </c>
      <c r="H3" s="0" t="s">
        <v>228</v>
      </c>
      <c r="I3" s="0" t="s">
        <v>3555</v>
      </c>
      <c r="J3" s="0" t="s">
        <v>228</v>
      </c>
      <c r="K3" s="0" t="s">
        <v>228</v>
      </c>
      <c r="L3" s="0" t="s">
        <v>228</v>
      </c>
      <c r="M3" s="0" t="s">
        <v>228</v>
      </c>
      <c r="N3" s="0" t="s">
        <v>228</v>
      </c>
      <c r="O3" s="0" t="s">
        <v>228</v>
      </c>
      <c r="P3" s="0" t="s">
        <v>228</v>
      </c>
      <c r="Q3" s="0" t="s">
        <v>228</v>
      </c>
      <c r="R3" s="0" t="s">
        <v>3574</v>
      </c>
      <c r="S3" s="0" t="s">
        <v>228</v>
      </c>
      <c r="T3" s="0" t="s">
        <v>228</v>
      </c>
      <c r="U3" s="0" t="s">
        <v>101</v>
      </c>
      <c r="V3" s="0" t="s">
        <v>228</v>
      </c>
      <c r="W3" s="0" t="s">
        <v>228</v>
      </c>
      <c r="X3" s="0" t="s">
        <v>3557</v>
      </c>
      <c r="Y3" s="0" t="s">
        <v>228</v>
      </c>
      <c r="Z3" s="0" t="s">
        <v>160</v>
      </c>
      <c r="AA3" s="0" t="s">
        <v>151</v>
      </c>
      <c r="AB3" s="0" t="s">
        <v>151</v>
      </c>
      <c r="AC3" s="0" t="s">
        <v>2311</v>
      </c>
      <c r="AD3" s="0" t="s">
        <v>2311</v>
      </c>
      <c r="AE3" s="0" t="s">
        <v>2312</v>
      </c>
      <c r="AF3" s="0" t="s">
        <v>3575</v>
      </c>
      <c r="AG3" s="0" t="s">
        <v>3576</v>
      </c>
      <c r="AH3" s="0" t="s">
        <v>3577</v>
      </c>
      <c r="AI3" s="0" t="s">
        <v>3578</v>
      </c>
      <c r="AJ3" s="0" t="s">
        <v>3579</v>
      </c>
      <c r="AK3" s="0" t="s">
        <v>3580</v>
      </c>
      <c r="AL3" s="0" t="s">
        <v>3581</v>
      </c>
      <c r="AM3" s="0" t="s">
        <v>3565</v>
      </c>
      <c r="AN3" s="0" t="s">
        <v>3582</v>
      </c>
      <c r="AO3" s="0" t="s">
        <v>3583</v>
      </c>
      <c r="AP3" s="0" t="s">
        <v>228</v>
      </c>
      <c r="AQ3" s="0" t="s">
        <v>228</v>
      </c>
      <c r="AR3" s="0" t="s">
        <v>228</v>
      </c>
      <c r="AS3" s="0" t="s">
        <v>228</v>
      </c>
      <c r="AT3" s="0" t="s">
        <v>228</v>
      </c>
      <c r="AU3" s="0" t="s">
        <v>228</v>
      </c>
      <c r="AV3" s="0" t="s">
        <v>228</v>
      </c>
      <c r="AW3" s="0" t="s">
        <v>228</v>
      </c>
      <c r="AX3" s="0" t="s">
        <v>228</v>
      </c>
      <c r="AY3" s="0" t="s">
        <v>228</v>
      </c>
      <c r="AZ3" s="0" t="s">
        <v>228</v>
      </c>
      <c r="BA3" s="0" t="s">
        <v>228</v>
      </c>
      <c r="BB3" s="0" t="s">
        <v>228</v>
      </c>
      <c r="BC3" s="0" t="s">
        <v>228</v>
      </c>
      <c r="BD3" s="0" t="s">
        <v>228</v>
      </c>
      <c r="BE3" s="0" t="s">
        <v>228</v>
      </c>
      <c r="BF3" s="0" t="s">
        <v>228</v>
      </c>
      <c r="BG3" s="0" t="s">
        <v>228</v>
      </c>
      <c r="BH3" s="0" t="s">
        <v>228</v>
      </c>
      <c r="BI3" s="0" t="s">
        <v>228</v>
      </c>
      <c r="BJ3" s="0" t="s">
        <v>228</v>
      </c>
      <c r="BK3" s="0" t="s">
        <v>228</v>
      </c>
      <c r="BL3" s="0" t="s">
        <v>228</v>
      </c>
      <c r="BM3" s="0" t="s">
        <v>228</v>
      </c>
      <c r="BN3" s="0" t="s">
        <v>228</v>
      </c>
      <c r="BO3" s="0" t="s">
        <v>228</v>
      </c>
      <c r="BP3" s="0" t="s">
        <v>228</v>
      </c>
      <c r="BQ3" s="0" t="s">
        <v>228</v>
      </c>
      <c r="BR3" s="0" t="s">
        <v>228</v>
      </c>
      <c r="BS3" s="0" t="s">
        <v>228</v>
      </c>
      <c r="BT3" s="0" t="s">
        <v>228</v>
      </c>
      <c r="BU3" s="0" t="s">
        <v>228</v>
      </c>
      <c r="BV3" s="0" t="s">
        <v>228</v>
      </c>
      <c r="BW3" s="0" t="s">
        <v>228</v>
      </c>
      <c r="BX3" s="0" t="s">
        <v>228</v>
      </c>
      <c r="BY3" s="0" t="s">
        <v>228</v>
      </c>
      <c r="BZ3" s="0" t="s">
        <v>228</v>
      </c>
      <c r="CA3" s="0" t="s">
        <v>228</v>
      </c>
      <c r="CB3" s="0" t="s">
        <v>228</v>
      </c>
      <c r="CC3" s="0" t="s">
        <v>228</v>
      </c>
      <c r="CD3" s="0" t="s">
        <v>228</v>
      </c>
      <c r="CE3" s="0" t="s">
        <v>228</v>
      </c>
      <c r="CF3" s="0" t="s">
        <v>228</v>
      </c>
      <c r="CG3" s="0" t="s">
        <v>228</v>
      </c>
      <c r="CH3" s="0" t="s">
        <v>228</v>
      </c>
      <c r="CI3" s="0" t="s">
        <v>228</v>
      </c>
      <c r="CJ3" s="0" t="s">
        <v>228</v>
      </c>
      <c r="CK3" s="0" t="s">
        <v>228</v>
      </c>
      <c r="CL3" s="0" t="s">
        <v>228</v>
      </c>
      <c r="CM3" s="0" t="s">
        <v>228</v>
      </c>
      <c r="CN3" s="0" t="s">
        <v>228</v>
      </c>
      <c r="CO3" s="0" t="s">
        <v>228</v>
      </c>
      <c r="CP3" s="0" t="s">
        <v>228</v>
      </c>
      <c r="CQ3" s="0" t="s">
        <v>228</v>
      </c>
      <c r="CR3" s="0" t="s">
        <v>228</v>
      </c>
      <c r="CS3" s="0" t="s">
        <v>228</v>
      </c>
      <c r="CT3" s="0" t="s">
        <v>3568</v>
      </c>
      <c r="CU3" s="0" t="s">
        <v>3569</v>
      </c>
      <c r="CV3" s="0" t="s">
        <v>418</v>
      </c>
      <c r="CW3" s="0" t="s">
        <v>3584</v>
      </c>
      <c r="CX3" s="0" t="s">
        <v>419</v>
      </c>
      <c r="CY3" s="0" t="s">
        <v>418</v>
      </c>
      <c r="CZ3" s="0" t="s">
        <v>3585</v>
      </c>
      <c r="DA3" s="0" t="s">
        <v>3586</v>
      </c>
      <c r="DB3" s="0" t="s">
        <v>3584</v>
      </c>
      <c r="DC3" s="0" t="s">
        <v>362</v>
      </c>
      <c r="DD3" s="0" t="s">
        <v>3572</v>
      </c>
      <c r="DE3" s="0" t="s">
        <v>3587</v>
      </c>
    </row>
    <row customHeight="1" ht="11.25">
      <c r="A4" s="1353" t="s">
        <v>228</v>
      </c>
      <c r="B4" s="0" t="s">
        <v>228</v>
      </c>
      <c r="C4" s="0" t="s">
        <v>228</v>
      </c>
      <c r="D4" s="0" t="s">
        <v>228</v>
      </c>
      <c r="E4" s="0" t="s">
        <v>228</v>
      </c>
      <c r="F4" s="0" t="s">
        <v>228</v>
      </c>
      <c r="G4" s="0" t="s">
        <v>228</v>
      </c>
      <c r="H4" s="0" t="s">
        <v>228</v>
      </c>
      <c r="I4" s="0" t="s">
        <v>3555</v>
      </c>
      <c r="J4" s="0" t="s">
        <v>228</v>
      </c>
      <c r="K4" s="0" t="s">
        <v>228</v>
      </c>
      <c r="L4" s="0" t="s">
        <v>228</v>
      </c>
      <c r="M4" s="0" t="s">
        <v>228</v>
      </c>
      <c r="N4" s="0" t="s">
        <v>228</v>
      </c>
      <c r="O4" s="0" t="s">
        <v>228</v>
      </c>
      <c r="P4" s="0" t="s">
        <v>228</v>
      </c>
      <c r="Q4" s="0" t="s">
        <v>228</v>
      </c>
      <c r="R4" s="0" t="s">
        <v>3588</v>
      </c>
      <c r="S4" s="0" t="s">
        <v>228</v>
      </c>
      <c r="T4" s="0" t="s">
        <v>228</v>
      </c>
      <c r="U4" s="0" t="s">
        <v>101</v>
      </c>
      <c r="V4" s="0" t="s">
        <v>228</v>
      </c>
      <c r="W4" s="0" t="s">
        <v>228</v>
      </c>
      <c r="X4" s="0" t="s">
        <v>3557</v>
      </c>
      <c r="Y4" s="0" t="s">
        <v>228</v>
      </c>
      <c r="Z4" s="0" t="s">
        <v>160</v>
      </c>
      <c r="AA4" s="0" t="s">
        <v>151</v>
      </c>
      <c r="AB4" s="0" t="s">
        <v>151</v>
      </c>
      <c r="AC4" s="0" t="s">
        <v>2311</v>
      </c>
      <c r="AD4" s="0" t="s">
        <v>2311</v>
      </c>
      <c r="AE4" s="0" t="s">
        <v>2312</v>
      </c>
      <c r="AF4" s="0" t="s">
        <v>3575</v>
      </c>
      <c r="AG4" s="0" t="s">
        <v>3576</v>
      </c>
      <c r="AH4" s="0" t="s">
        <v>3589</v>
      </c>
      <c r="AI4" s="0" t="s">
        <v>3590</v>
      </c>
      <c r="AJ4" s="0" t="s">
        <v>3579</v>
      </c>
      <c r="AK4" s="0" t="s">
        <v>3580</v>
      </c>
      <c r="AL4" s="0" t="s">
        <v>3581</v>
      </c>
      <c r="AM4" s="0" t="s">
        <v>3565</v>
      </c>
      <c r="AN4" s="0" t="s">
        <v>3582</v>
      </c>
      <c r="AO4" s="0" t="s">
        <v>3591</v>
      </c>
      <c r="AP4" s="0" t="s">
        <v>228</v>
      </c>
      <c r="AQ4" s="0" t="s">
        <v>228</v>
      </c>
      <c r="AR4" s="0" t="s">
        <v>228</v>
      </c>
      <c r="AS4" s="0" t="s">
        <v>228</v>
      </c>
      <c r="AT4" s="0" t="s">
        <v>228</v>
      </c>
      <c r="AU4" s="0" t="s">
        <v>228</v>
      </c>
      <c r="AV4" s="0" t="s">
        <v>228</v>
      </c>
      <c r="AW4" s="0" t="s">
        <v>228</v>
      </c>
      <c r="AX4" s="0" t="s">
        <v>228</v>
      </c>
      <c r="AY4" s="0" t="s">
        <v>228</v>
      </c>
      <c r="AZ4" s="0" t="s">
        <v>228</v>
      </c>
      <c r="BA4" s="0" t="s">
        <v>228</v>
      </c>
      <c r="BB4" s="0" t="s">
        <v>228</v>
      </c>
      <c r="BC4" s="0" t="s">
        <v>228</v>
      </c>
      <c r="BD4" s="0" t="s">
        <v>228</v>
      </c>
      <c r="BE4" s="0" t="s">
        <v>228</v>
      </c>
      <c r="BF4" s="0" t="s">
        <v>228</v>
      </c>
      <c r="BG4" s="0" t="s">
        <v>228</v>
      </c>
      <c r="BH4" s="0" t="s">
        <v>228</v>
      </c>
      <c r="BI4" s="0" t="s">
        <v>228</v>
      </c>
      <c r="BJ4" s="0" t="s">
        <v>228</v>
      </c>
      <c r="BK4" s="0" t="s">
        <v>228</v>
      </c>
      <c r="BL4" s="0" t="s">
        <v>228</v>
      </c>
      <c r="BM4" s="0" t="s">
        <v>228</v>
      </c>
      <c r="BN4" s="0" t="s">
        <v>228</v>
      </c>
      <c r="BO4" s="0" t="s">
        <v>228</v>
      </c>
      <c r="BP4" s="0" t="s">
        <v>228</v>
      </c>
      <c r="BQ4" s="0" t="s">
        <v>228</v>
      </c>
      <c r="BR4" s="0" t="s">
        <v>228</v>
      </c>
      <c r="BS4" s="0" t="s">
        <v>228</v>
      </c>
      <c r="BT4" s="0" t="s">
        <v>228</v>
      </c>
      <c r="BU4" s="0" t="s">
        <v>228</v>
      </c>
      <c r="BV4" s="0" t="s">
        <v>228</v>
      </c>
      <c r="BW4" s="0" t="s">
        <v>228</v>
      </c>
      <c r="BX4" s="0" t="s">
        <v>228</v>
      </c>
      <c r="BY4" s="0" t="s">
        <v>228</v>
      </c>
      <c r="BZ4" s="0" t="s">
        <v>228</v>
      </c>
      <c r="CA4" s="0" t="s">
        <v>228</v>
      </c>
      <c r="CB4" s="0" t="s">
        <v>228</v>
      </c>
      <c r="CC4" s="0" t="s">
        <v>228</v>
      </c>
      <c r="CD4" s="0" t="s">
        <v>228</v>
      </c>
      <c r="CE4" s="0" t="s">
        <v>228</v>
      </c>
      <c r="CF4" s="0" t="s">
        <v>228</v>
      </c>
      <c r="CG4" s="0" t="s">
        <v>228</v>
      </c>
      <c r="CH4" s="0" t="s">
        <v>228</v>
      </c>
      <c r="CI4" s="0" t="s">
        <v>228</v>
      </c>
      <c r="CJ4" s="0" t="s">
        <v>228</v>
      </c>
      <c r="CK4" s="0" t="s">
        <v>228</v>
      </c>
      <c r="CL4" s="0" t="s">
        <v>228</v>
      </c>
      <c r="CM4" s="0" t="s">
        <v>228</v>
      </c>
      <c r="CN4" s="0" t="s">
        <v>228</v>
      </c>
      <c r="CO4" s="0" t="s">
        <v>228</v>
      </c>
      <c r="CP4" s="0" t="s">
        <v>228</v>
      </c>
      <c r="CQ4" s="0" t="s">
        <v>228</v>
      </c>
      <c r="CR4" s="0" t="s">
        <v>228</v>
      </c>
      <c r="CS4" s="0" t="s">
        <v>228</v>
      </c>
      <c r="CT4" s="0" t="s">
        <v>3568</v>
      </c>
      <c r="CU4" s="0" t="s">
        <v>3569</v>
      </c>
      <c r="CV4" s="0" t="s">
        <v>418</v>
      </c>
      <c r="CW4" s="0" t="s">
        <v>3584</v>
      </c>
      <c r="CX4" s="0" t="s">
        <v>419</v>
      </c>
      <c r="CY4" s="0" t="s">
        <v>418</v>
      </c>
      <c r="CZ4" s="0" t="s">
        <v>3585</v>
      </c>
      <c r="DA4" s="0" t="s">
        <v>3586</v>
      </c>
      <c r="DB4" s="0" t="s">
        <v>3584</v>
      </c>
      <c r="DC4" s="0" t="s">
        <v>362</v>
      </c>
      <c r="DD4" s="0" t="s">
        <v>3572</v>
      </c>
      <c r="DE4" s="0" t="s">
        <v>3592</v>
      </c>
    </row>
    <row customHeight="1" ht="11.25">
      <c r="A5" s="1353" t="s">
        <v>228</v>
      </c>
      <c r="B5" s="0" t="s">
        <v>228</v>
      </c>
      <c r="C5" s="0" t="s">
        <v>228</v>
      </c>
      <c r="D5" s="0" t="s">
        <v>228</v>
      </c>
      <c r="E5" s="0" t="s">
        <v>228</v>
      </c>
      <c r="F5" s="0" t="s">
        <v>228</v>
      </c>
      <c r="G5" s="0" t="s">
        <v>228</v>
      </c>
      <c r="H5" s="0" t="s">
        <v>228</v>
      </c>
      <c r="I5" s="0" t="s">
        <v>3555</v>
      </c>
      <c r="J5" s="0" t="s">
        <v>228</v>
      </c>
      <c r="K5" s="0" t="s">
        <v>228</v>
      </c>
      <c r="L5" s="0" t="s">
        <v>228</v>
      </c>
      <c r="M5" s="0" t="s">
        <v>228</v>
      </c>
      <c r="N5" s="0" t="s">
        <v>228</v>
      </c>
      <c r="O5" s="0" t="s">
        <v>228</v>
      </c>
      <c r="P5" s="0" t="s">
        <v>228</v>
      </c>
      <c r="Q5" s="0" t="s">
        <v>228</v>
      </c>
      <c r="R5" s="0" t="s">
        <v>3593</v>
      </c>
      <c r="S5" s="0" t="s">
        <v>228</v>
      </c>
      <c r="T5" s="0" t="s">
        <v>228</v>
      </c>
      <c r="U5" s="0" t="s">
        <v>101</v>
      </c>
      <c r="V5" s="0" t="s">
        <v>228</v>
      </c>
      <c r="W5" s="0" t="s">
        <v>228</v>
      </c>
      <c r="X5" s="0" t="s">
        <v>3557</v>
      </c>
      <c r="Y5" s="0" t="s">
        <v>228</v>
      </c>
      <c r="Z5" s="0" t="s">
        <v>160</v>
      </c>
      <c r="AA5" s="0" t="s">
        <v>151</v>
      </c>
      <c r="AB5" s="0" t="s">
        <v>151</v>
      </c>
      <c r="AC5" s="0" t="s">
        <v>2715</v>
      </c>
      <c r="AD5" s="0" t="s">
        <v>2715</v>
      </c>
      <c r="AE5" s="0" t="s">
        <v>2716</v>
      </c>
      <c r="AF5" s="0" t="s">
        <v>3594</v>
      </c>
      <c r="AG5" s="0" t="s">
        <v>3595</v>
      </c>
      <c r="AH5" s="0" t="s">
        <v>3596</v>
      </c>
      <c r="AI5" s="0" t="s">
        <v>1692</v>
      </c>
      <c r="AJ5" s="0" t="s">
        <v>3597</v>
      </c>
      <c r="AK5" s="0" t="s">
        <v>3598</v>
      </c>
      <c r="AL5" s="0" t="s">
        <v>3599</v>
      </c>
      <c r="AM5" s="0" t="s">
        <v>3565</v>
      </c>
      <c r="AN5" s="0" t="s">
        <v>3600</v>
      </c>
      <c r="AO5" s="0" t="s">
        <v>3601</v>
      </c>
      <c r="AP5" s="0" t="s">
        <v>228</v>
      </c>
      <c r="AQ5" s="0" t="s">
        <v>228</v>
      </c>
      <c r="AR5" s="0" t="s">
        <v>228</v>
      </c>
      <c r="AS5" s="0" t="s">
        <v>228</v>
      </c>
      <c r="AT5" s="0" t="s">
        <v>228</v>
      </c>
      <c r="AU5" s="0" t="s">
        <v>228</v>
      </c>
      <c r="AV5" s="0" t="s">
        <v>228</v>
      </c>
      <c r="AW5" s="0" t="s">
        <v>228</v>
      </c>
      <c r="AX5" s="0" t="s">
        <v>228</v>
      </c>
      <c r="AY5" s="0" t="s">
        <v>228</v>
      </c>
      <c r="AZ5" s="0" t="s">
        <v>228</v>
      </c>
      <c r="BA5" s="0" t="s">
        <v>228</v>
      </c>
      <c r="BB5" s="0" t="s">
        <v>228</v>
      </c>
      <c r="BC5" s="0" t="s">
        <v>228</v>
      </c>
      <c r="BD5" s="0" t="s">
        <v>228</v>
      </c>
      <c r="BE5" s="0" t="s">
        <v>228</v>
      </c>
      <c r="BF5" s="0" t="s">
        <v>228</v>
      </c>
      <c r="BG5" s="0" t="s">
        <v>228</v>
      </c>
      <c r="BH5" s="0" t="s">
        <v>228</v>
      </c>
      <c r="BI5" s="0" t="s">
        <v>228</v>
      </c>
      <c r="BJ5" s="0" t="s">
        <v>228</v>
      </c>
      <c r="BK5" s="0" t="s">
        <v>228</v>
      </c>
      <c r="BL5" s="0" t="s">
        <v>228</v>
      </c>
      <c r="BM5" s="0" t="s">
        <v>228</v>
      </c>
      <c r="BN5" s="0" t="s">
        <v>228</v>
      </c>
      <c r="BO5" s="0" t="s">
        <v>228</v>
      </c>
      <c r="BP5" s="0" t="s">
        <v>228</v>
      </c>
      <c r="BQ5" s="0" t="s">
        <v>228</v>
      </c>
      <c r="BR5" s="0" t="s">
        <v>228</v>
      </c>
      <c r="BS5" s="0" t="s">
        <v>228</v>
      </c>
      <c r="BT5" s="0" t="s">
        <v>228</v>
      </c>
      <c r="BU5" s="0" t="s">
        <v>228</v>
      </c>
      <c r="BV5" s="0" t="s">
        <v>228</v>
      </c>
      <c r="BW5" s="0" t="s">
        <v>228</v>
      </c>
      <c r="BX5" s="0" t="s">
        <v>228</v>
      </c>
      <c r="BY5" s="0" t="s">
        <v>228</v>
      </c>
      <c r="BZ5" s="0" t="s">
        <v>228</v>
      </c>
      <c r="CA5" s="0" t="s">
        <v>228</v>
      </c>
      <c r="CB5" s="0" t="s">
        <v>228</v>
      </c>
      <c r="CC5" s="0" t="s">
        <v>228</v>
      </c>
      <c r="CD5" s="0" t="s">
        <v>228</v>
      </c>
      <c r="CE5" s="0" t="s">
        <v>228</v>
      </c>
      <c r="CF5" s="0" t="s">
        <v>228</v>
      </c>
      <c r="CG5" s="0" t="s">
        <v>228</v>
      </c>
      <c r="CH5" s="0" t="s">
        <v>228</v>
      </c>
      <c r="CI5" s="0" t="s">
        <v>228</v>
      </c>
      <c r="CJ5" s="0" t="s">
        <v>228</v>
      </c>
      <c r="CK5" s="0" t="s">
        <v>228</v>
      </c>
      <c r="CL5" s="0" t="s">
        <v>228</v>
      </c>
      <c r="CM5" s="0" t="s">
        <v>228</v>
      </c>
      <c r="CN5" s="0" t="s">
        <v>228</v>
      </c>
      <c r="CO5" s="0" t="s">
        <v>228</v>
      </c>
      <c r="CP5" s="0" t="s">
        <v>228</v>
      </c>
      <c r="CQ5" s="0" t="s">
        <v>228</v>
      </c>
      <c r="CR5" s="0" t="s">
        <v>228</v>
      </c>
      <c r="CS5" s="0" t="s">
        <v>228</v>
      </c>
      <c r="CT5" s="0" t="s">
        <v>3568</v>
      </c>
      <c r="CU5" s="0" t="s">
        <v>3569</v>
      </c>
      <c r="CV5" s="0" t="s">
        <v>418</v>
      </c>
      <c r="CW5" s="0" t="s">
        <v>3602</v>
      </c>
      <c r="CX5" s="0" t="s">
        <v>3603</v>
      </c>
      <c r="CY5" s="0" t="s">
        <v>418</v>
      </c>
      <c r="CZ5" s="0" t="s">
        <v>504</v>
      </c>
      <c r="DA5" s="0" t="s">
        <v>3604</v>
      </c>
      <c r="DB5" s="0" t="s">
        <v>3602</v>
      </c>
      <c r="DC5" s="0" t="s">
        <v>362</v>
      </c>
      <c r="DD5" s="0" t="s">
        <v>3572</v>
      </c>
      <c r="DE5" s="0" t="s">
        <v>3605</v>
      </c>
    </row>
    <row customHeight="1" ht="11.25">
      <c r="A6" s="1353" t="s">
        <v>228</v>
      </c>
      <c r="B6" s="0" t="s">
        <v>228</v>
      </c>
      <c r="C6" s="0" t="s">
        <v>228</v>
      </c>
      <c r="D6" s="0" t="s">
        <v>228</v>
      </c>
      <c r="E6" s="0" t="s">
        <v>228</v>
      </c>
      <c r="F6" s="0" t="s">
        <v>228</v>
      </c>
      <c r="G6" s="0" t="s">
        <v>228</v>
      </c>
      <c r="H6" s="0" t="s">
        <v>228</v>
      </c>
      <c r="I6" s="0" t="s">
        <v>3555</v>
      </c>
      <c r="J6" s="0" t="s">
        <v>228</v>
      </c>
      <c r="K6" s="0" t="s">
        <v>228</v>
      </c>
      <c r="L6" s="0" t="s">
        <v>228</v>
      </c>
      <c r="M6" s="0" t="s">
        <v>228</v>
      </c>
      <c r="N6" s="0" t="s">
        <v>228</v>
      </c>
      <c r="O6" s="0" t="s">
        <v>228</v>
      </c>
      <c r="P6" s="0" t="s">
        <v>228</v>
      </c>
      <c r="Q6" s="0" t="s">
        <v>228</v>
      </c>
      <c r="R6" s="0" t="s">
        <v>3606</v>
      </c>
      <c r="S6" s="0" t="s">
        <v>228</v>
      </c>
      <c r="T6" s="0" t="s">
        <v>228</v>
      </c>
      <c r="U6" s="0" t="s">
        <v>101</v>
      </c>
      <c r="V6" s="0" t="s">
        <v>228</v>
      </c>
      <c r="W6" s="0" t="s">
        <v>228</v>
      </c>
      <c r="X6" s="0" t="s">
        <v>3557</v>
      </c>
      <c r="Y6" s="0" t="s">
        <v>228</v>
      </c>
      <c r="Z6" s="0" t="s">
        <v>160</v>
      </c>
      <c r="AA6" s="0" t="s">
        <v>151</v>
      </c>
      <c r="AB6" s="0" t="s">
        <v>151</v>
      </c>
      <c r="AC6" s="0" t="s">
        <v>2715</v>
      </c>
      <c r="AD6" s="0" t="s">
        <v>2715</v>
      </c>
      <c r="AE6" s="0" t="s">
        <v>2716</v>
      </c>
      <c r="AF6" s="0" t="s">
        <v>3594</v>
      </c>
      <c r="AG6" s="0" t="s">
        <v>3595</v>
      </c>
      <c r="AH6" s="0" t="s">
        <v>3607</v>
      </c>
      <c r="AI6" s="0" t="s">
        <v>3608</v>
      </c>
      <c r="AJ6" s="0" t="s">
        <v>3609</v>
      </c>
      <c r="AK6" s="0" t="s">
        <v>3610</v>
      </c>
      <c r="AL6" s="0" t="s">
        <v>3564</v>
      </c>
      <c r="AM6" s="0" t="s">
        <v>3565</v>
      </c>
      <c r="AN6" s="0" t="s">
        <v>3611</v>
      </c>
      <c r="AO6" s="0" t="s">
        <v>3612</v>
      </c>
      <c r="AP6" s="0" t="s">
        <v>228</v>
      </c>
      <c r="AQ6" s="0" t="s">
        <v>228</v>
      </c>
      <c r="AR6" s="0" t="s">
        <v>228</v>
      </c>
      <c r="AS6" s="0" t="s">
        <v>228</v>
      </c>
      <c r="AT6" s="0" t="s">
        <v>228</v>
      </c>
      <c r="AU6" s="0" t="s">
        <v>228</v>
      </c>
      <c r="AV6" s="0" t="s">
        <v>228</v>
      </c>
      <c r="AW6" s="0" t="s">
        <v>228</v>
      </c>
      <c r="AX6" s="0" t="s">
        <v>228</v>
      </c>
      <c r="AY6" s="0" t="s">
        <v>228</v>
      </c>
      <c r="AZ6" s="0" t="s">
        <v>228</v>
      </c>
      <c r="BA6" s="0" t="s">
        <v>228</v>
      </c>
      <c r="BB6" s="0" t="s">
        <v>228</v>
      </c>
      <c r="BC6" s="0" t="s">
        <v>228</v>
      </c>
      <c r="BD6" s="0" t="s">
        <v>228</v>
      </c>
      <c r="BE6" s="0" t="s">
        <v>228</v>
      </c>
      <c r="BF6" s="0" t="s">
        <v>228</v>
      </c>
      <c r="BG6" s="0" t="s">
        <v>228</v>
      </c>
      <c r="BH6" s="0" t="s">
        <v>228</v>
      </c>
      <c r="BI6" s="0" t="s">
        <v>228</v>
      </c>
      <c r="BJ6" s="0" t="s">
        <v>228</v>
      </c>
      <c r="BK6" s="0" t="s">
        <v>228</v>
      </c>
      <c r="BL6" s="0" t="s">
        <v>228</v>
      </c>
      <c r="BM6" s="0" t="s">
        <v>228</v>
      </c>
      <c r="BN6" s="0" t="s">
        <v>228</v>
      </c>
      <c r="BO6" s="0" t="s">
        <v>228</v>
      </c>
      <c r="BP6" s="0" t="s">
        <v>228</v>
      </c>
      <c r="BQ6" s="0" t="s">
        <v>228</v>
      </c>
      <c r="BR6" s="0" t="s">
        <v>228</v>
      </c>
      <c r="BS6" s="0" t="s">
        <v>228</v>
      </c>
      <c r="BT6" s="0" t="s">
        <v>228</v>
      </c>
      <c r="BU6" s="0" t="s">
        <v>228</v>
      </c>
      <c r="BV6" s="0" t="s">
        <v>228</v>
      </c>
      <c r="BW6" s="0" t="s">
        <v>228</v>
      </c>
      <c r="BX6" s="0" t="s">
        <v>228</v>
      </c>
      <c r="BY6" s="0" t="s">
        <v>228</v>
      </c>
      <c r="BZ6" s="0" t="s">
        <v>228</v>
      </c>
      <c r="CA6" s="0" t="s">
        <v>228</v>
      </c>
      <c r="CB6" s="0" t="s">
        <v>228</v>
      </c>
      <c r="CC6" s="0" t="s">
        <v>228</v>
      </c>
      <c r="CD6" s="0" t="s">
        <v>228</v>
      </c>
      <c r="CE6" s="0" t="s">
        <v>228</v>
      </c>
      <c r="CF6" s="0" t="s">
        <v>228</v>
      </c>
      <c r="CG6" s="0" t="s">
        <v>228</v>
      </c>
      <c r="CH6" s="0" t="s">
        <v>228</v>
      </c>
      <c r="CI6" s="0" t="s">
        <v>228</v>
      </c>
      <c r="CJ6" s="0" t="s">
        <v>228</v>
      </c>
      <c r="CK6" s="0" t="s">
        <v>228</v>
      </c>
      <c r="CL6" s="0" t="s">
        <v>228</v>
      </c>
      <c r="CM6" s="0" t="s">
        <v>228</v>
      </c>
      <c r="CN6" s="0" t="s">
        <v>228</v>
      </c>
      <c r="CO6" s="0" t="s">
        <v>228</v>
      </c>
      <c r="CP6" s="0" t="s">
        <v>228</v>
      </c>
      <c r="CQ6" s="0" t="s">
        <v>228</v>
      </c>
      <c r="CR6" s="0" t="s">
        <v>228</v>
      </c>
      <c r="CS6" s="0" t="s">
        <v>228</v>
      </c>
      <c r="CT6" s="0" t="s">
        <v>3568</v>
      </c>
      <c r="CU6" s="0" t="s">
        <v>3569</v>
      </c>
      <c r="CV6" s="0" t="s">
        <v>418</v>
      </c>
      <c r="CW6" s="0" t="s">
        <v>3602</v>
      </c>
      <c r="CX6" s="0" t="s">
        <v>3603</v>
      </c>
      <c r="CY6" s="0" t="s">
        <v>418</v>
      </c>
      <c r="CZ6" s="0" t="s">
        <v>504</v>
      </c>
      <c r="DA6" s="0" t="s">
        <v>3604</v>
      </c>
      <c r="DB6" s="0" t="s">
        <v>3602</v>
      </c>
      <c r="DC6" s="0" t="s">
        <v>362</v>
      </c>
      <c r="DD6" s="0" t="s">
        <v>3572</v>
      </c>
      <c r="DE6" s="0" t="s">
        <v>3613</v>
      </c>
    </row>
    <row customHeight="1" ht="11.25">
      <c r="A7" s="1353" t="s">
        <v>228</v>
      </c>
      <c r="B7" s="0" t="s">
        <v>228</v>
      </c>
      <c r="C7" s="0" t="s">
        <v>228</v>
      </c>
      <c r="D7" s="0" t="s">
        <v>228</v>
      </c>
      <c r="E7" s="0" t="s">
        <v>228</v>
      </c>
      <c r="F7" s="0" t="s">
        <v>228</v>
      </c>
      <c r="G7" s="0" t="s">
        <v>228</v>
      </c>
      <c r="H7" s="0" t="s">
        <v>228</v>
      </c>
      <c r="I7" s="0" t="s">
        <v>3555</v>
      </c>
      <c r="J7" s="0" t="s">
        <v>228</v>
      </c>
      <c r="K7" s="0" t="s">
        <v>228</v>
      </c>
      <c r="L7" s="0" t="s">
        <v>228</v>
      </c>
      <c r="M7" s="0" t="s">
        <v>228</v>
      </c>
      <c r="N7" s="0" t="s">
        <v>228</v>
      </c>
      <c r="O7" s="0" t="s">
        <v>228</v>
      </c>
      <c r="P7" s="0" t="s">
        <v>228</v>
      </c>
      <c r="Q7" s="0" t="s">
        <v>228</v>
      </c>
      <c r="R7" s="0" t="s">
        <v>3614</v>
      </c>
      <c r="S7" s="0" t="s">
        <v>228</v>
      </c>
      <c r="T7" s="0" t="s">
        <v>228</v>
      </c>
      <c r="U7" s="0" t="s">
        <v>101</v>
      </c>
      <c r="V7" s="0" t="s">
        <v>228</v>
      </c>
      <c r="W7" s="0" t="s">
        <v>228</v>
      </c>
      <c r="X7" s="0" t="s">
        <v>3557</v>
      </c>
      <c r="Y7" s="0" t="s">
        <v>228</v>
      </c>
      <c r="Z7" s="0" t="s">
        <v>160</v>
      </c>
      <c r="AA7" s="0" t="s">
        <v>151</v>
      </c>
      <c r="AB7" s="0" t="s">
        <v>151</v>
      </c>
      <c r="AC7" s="0" t="s">
        <v>2317</v>
      </c>
      <c r="AD7" s="0" t="s">
        <v>2317</v>
      </c>
      <c r="AE7" s="0" t="s">
        <v>2318</v>
      </c>
      <c r="AF7" s="0" t="s">
        <v>3615</v>
      </c>
      <c r="AG7" s="0" t="s">
        <v>3616</v>
      </c>
      <c r="AH7" s="0" t="s">
        <v>3617</v>
      </c>
      <c r="AI7" s="0" t="s">
        <v>3618</v>
      </c>
      <c r="AJ7" s="0" t="s">
        <v>3579</v>
      </c>
      <c r="AK7" s="0" t="s">
        <v>3619</v>
      </c>
      <c r="AL7" s="0" t="s">
        <v>3581</v>
      </c>
      <c r="AM7" s="0" t="s">
        <v>3565</v>
      </c>
      <c r="AN7" s="0" t="s">
        <v>3620</v>
      </c>
      <c r="AO7" s="0" t="s">
        <v>3621</v>
      </c>
      <c r="AP7" s="0" t="s">
        <v>228</v>
      </c>
      <c r="AQ7" s="0" t="s">
        <v>228</v>
      </c>
      <c r="AR7" s="0" t="s">
        <v>228</v>
      </c>
      <c r="AS7" s="0" t="s">
        <v>228</v>
      </c>
      <c r="AT7" s="0" t="s">
        <v>228</v>
      </c>
      <c r="AU7" s="0" t="s">
        <v>228</v>
      </c>
      <c r="AV7" s="0" t="s">
        <v>228</v>
      </c>
      <c r="AW7" s="0" t="s">
        <v>228</v>
      </c>
      <c r="AX7" s="0" t="s">
        <v>228</v>
      </c>
      <c r="AY7" s="0" t="s">
        <v>228</v>
      </c>
      <c r="AZ7" s="0" t="s">
        <v>228</v>
      </c>
      <c r="BA7" s="0" t="s">
        <v>228</v>
      </c>
      <c r="BB7" s="0" t="s">
        <v>228</v>
      </c>
      <c r="BC7" s="0" t="s">
        <v>228</v>
      </c>
      <c r="BD7" s="0" t="s">
        <v>228</v>
      </c>
      <c r="BE7" s="0" t="s">
        <v>228</v>
      </c>
      <c r="BF7" s="0" t="s">
        <v>228</v>
      </c>
      <c r="BG7" s="0" t="s">
        <v>228</v>
      </c>
      <c r="BH7" s="0" t="s">
        <v>228</v>
      </c>
      <c r="BI7" s="0" t="s">
        <v>228</v>
      </c>
      <c r="BJ7" s="0" t="s">
        <v>228</v>
      </c>
      <c r="BK7" s="0" t="s">
        <v>228</v>
      </c>
      <c r="BL7" s="0" t="s">
        <v>228</v>
      </c>
      <c r="BM7" s="0" t="s">
        <v>228</v>
      </c>
      <c r="BN7" s="0" t="s">
        <v>228</v>
      </c>
      <c r="BO7" s="0" t="s">
        <v>228</v>
      </c>
      <c r="BP7" s="0" t="s">
        <v>228</v>
      </c>
      <c r="BQ7" s="0" t="s">
        <v>228</v>
      </c>
      <c r="BR7" s="0" t="s">
        <v>228</v>
      </c>
      <c r="BS7" s="0" t="s">
        <v>228</v>
      </c>
      <c r="BT7" s="0" t="s">
        <v>228</v>
      </c>
      <c r="BU7" s="0" t="s">
        <v>228</v>
      </c>
      <c r="BV7" s="0" t="s">
        <v>228</v>
      </c>
      <c r="BW7" s="0" t="s">
        <v>228</v>
      </c>
      <c r="BX7" s="0" t="s">
        <v>228</v>
      </c>
      <c r="BY7" s="0" t="s">
        <v>228</v>
      </c>
      <c r="BZ7" s="0" t="s">
        <v>228</v>
      </c>
      <c r="CA7" s="0" t="s">
        <v>228</v>
      </c>
      <c r="CB7" s="0" t="s">
        <v>228</v>
      </c>
      <c r="CC7" s="0" t="s">
        <v>228</v>
      </c>
      <c r="CD7" s="0" t="s">
        <v>228</v>
      </c>
      <c r="CE7" s="0" t="s">
        <v>228</v>
      </c>
      <c r="CF7" s="0" t="s">
        <v>228</v>
      </c>
      <c r="CG7" s="0" t="s">
        <v>228</v>
      </c>
      <c r="CH7" s="0" t="s">
        <v>228</v>
      </c>
      <c r="CI7" s="0" t="s">
        <v>228</v>
      </c>
      <c r="CJ7" s="0" t="s">
        <v>228</v>
      </c>
      <c r="CK7" s="0" t="s">
        <v>228</v>
      </c>
      <c r="CL7" s="0" t="s">
        <v>228</v>
      </c>
      <c r="CM7" s="0" t="s">
        <v>228</v>
      </c>
      <c r="CN7" s="0" t="s">
        <v>228</v>
      </c>
      <c r="CO7" s="0" t="s">
        <v>228</v>
      </c>
      <c r="CP7" s="0" t="s">
        <v>228</v>
      </c>
      <c r="CQ7" s="0" t="s">
        <v>228</v>
      </c>
      <c r="CR7" s="0" t="s">
        <v>228</v>
      </c>
      <c r="CS7" s="0" t="s">
        <v>228</v>
      </c>
      <c r="CT7" s="0" t="s">
        <v>3568</v>
      </c>
      <c r="CU7" s="0" t="s">
        <v>3569</v>
      </c>
      <c r="CV7" s="0" t="s">
        <v>418</v>
      </c>
      <c r="CW7" s="0" t="s">
        <v>3622</v>
      </c>
      <c r="CX7" s="0" t="s">
        <v>419</v>
      </c>
      <c r="CY7" s="0" t="s">
        <v>418</v>
      </c>
      <c r="CZ7" s="0" t="s">
        <v>3623</v>
      </c>
      <c r="DA7" s="0" t="s">
        <v>3624</v>
      </c>
      <c r="DB7" s="0" t="s">
        <v>3622</v>
      </c>
      <c r="DC7" s="0" t="s">
        <v>362</v>
      </c>
      <c r="DD7" s="0" t="s">
        <v>3572</v>
      </c>
      <c r="DE7" s="0" t="s">
        <v>3625</v>
      </c>
    </row>
    <row customHeight="1" ht="11.25">
      <c r="A8" s="1353" t="s">
        <v>228</v>
      </c>
      <c r="B8" s="0" t="s">
        <v>228</v>
      </c>
      <c r="C8" s="0" t="s">
        <v>228</v>
      </c>
      <c r="D8" s="0" t="s">
        <v>228</v>
      </c>
      <c r="E8" s="0" t="s">
        <v>228</v>
      </c>
      <c r="F8" s="0" t="s">
        <v>228</v>
      </c>
      <c r="G8" s="0" t="s">
        <v>228</v>
      </c>
      <c r="H8" s="0" t="s">
        <v>228</v>
      </c>
      <c r="I8" s="0" t="s">
        <v>3555</v>
      </c>
      <c r="J8" s="0" t="s">
        <v>228</v>
      </c>
      <c r="K8" s="0" t="s">
        <v>228</v>
      </c>
      <c r="L8" s="0" t="s">
        <v>228</v>
      </c>
      <c r="M8" s="0" t="s">
        <v>228</v>
      </c>
      <c r="N8" s="0" t="s">
        <v>228</v>
      </c>
      <c r="O8" s="0" t="s">
        <v>228</v>
      </c>
      <c r="P8" s="0" t="s">
        <v>228</v>
      </c>
      <c r="Q8" s="0" t="s">
        <v>228</v>
      </c>
      <c r="R8" s="0" t="s">
        <v>3574</v>
      </c>
      <c r="S8" s="0" t="s">
        <v>228</v>
      </c>
      <c r="T8" s="0" t="s">
        <v>228</v>
      </c>
      <c r="U8" s="0" t="s">
        <v>101</v>
      </c>
      <c r="V8" s="0" t="s">
        <v>228</v>
      </c>
      <c r="W8" s="0" t="s">
        <v>228</v>
      </c>
      <c r="X8" s="0" t="s">
        <v>3557</v>
      </c>
      <c r="Y8" s="0" t="s">
        <v>228</v>
      </c>
      <c r="Z8" s="0" t="s">
        <v>160</v>
      </c>
      <c r="AA8" s="0" t="s">
        <v>151</v>
      </c>
      <c r="AB8" s="0" t="s">
        <v>151</v>
      </c>
      <c r="AC8" s="0" t="s">
        <v>2317</v>
      </c>
      <c r="AD8" s="0" t="s">
        <v>2317</v>
      </c>
      <c r="AE8" s="0" t="s">
        <v>2318</v>
      </c>
      <c r="AF8" s="0" t="s">
        <v>3615</v>
      </c>
      <c r="AG8" s="0" t="s">
        <v>3616</v>
      </c>
      <c r="AH8" s="0" t="s">
        <v>3617</v>
      </c>
      <c r="AI8" s="0" t="s">
        <v>3626</v>
      </c>
      <c r="AJ8" s="0" t="s">
        <v>3627</v>
      </c>
      <c r="AK8" s="0" t="s">
        <v>3619</v>
      </c>
      <c r="AL8" s="0" t="s">
        <v>3581</v>
      </c>
      <c r="AM8" s="0" t="s">
        <v>3565</v>
      </c>
      <c r="AN8" s="0" t="s">
        <v>3628</v>
      </c>
      <c r="AO8" s="0" t="s">
        <v>3629</v>
      </c>
      <c r="AP8" s="0" t="s">
        <v>228</v>
      </c>
      <c r="AQ8" s="0" t="s">
        <v>228</v>
      </c>
      <c r="AR8" s="0" t="s">
        <v>228</v>
      </c>
      <c r="AS8" s="0" t="s">
        <v>228</v>
      </c>
      <c r="AT8" s="0" t="s">
        <v>228</v>
      </c>
      <c r="AU8" s="0" t="s">
        <v>228</v>
      </c>
      <c r="AV8" s="0" t="s">
        <v>228</v>
      </c>
      <c r="AW8" s="0" t="s">
        <v>228</v>
      </c>
      <c r="AX8" s="0" t="s">
        <v>228</v>
      </c>
      <c r="AY8" s="0" t="s">
        <v>228</v>
      </c>
      <c r="AZ8" s="0" t="s">
        <v>228</v>
      </c>
      <c r="BA8" s="0" t="s">
        <v>228</v>
      </c>
      <c r="BB8" s="0" t="s">
        <v>228</v>
      </c>
      <c r="BC8" s="0" t="s">
        <v>228</v>
      </c>
      <c r="BD8" s="0" t="s">
        <v>228</v>
      </c>
      <c r="BE8" s="0" t="s">
        <v>228</v>
      </c>
      <c r="BF8" s="0" t="s">
        <v>228</v>
      </c>
      <c r="BG8" s="0" t="s">
        <v>228</v>
      </c>
      <c r="BH8" s="0" t="s">
        <v>228</v>
      </c>
      <c r="BI8" s="0" t="s">
        <v>228</v>
      </c>
      <c r="BJ8" s="0" t="s">
        <v>228</v>
      </c>
      <c r="BK8" s="0" t="s">
        <v>228</v>
      </c>
      <c r="BL8" s="0" t="s">
        <v>228</v>
      </c>
      <c r="BM8" s="0" t="s">
        <v>228</v>
      </c>
      <c r="BN8" s="0" t="s">
        <v>228</v>
      </c>
      <c r="BO8" s="0" t="s">
        <v>228</v>
      </c>
      <c r="BP8" s="0" t="s">
        <v>228</v>
      </c>
      <c r="BQ8" s="0" t="s">
        <v>228</v>
      </c>
      <c r="BR8" s="0" t="s">
        <v>228</v>
      </c>
      <c r="BS8" s="0" t="s">
        <v>228</v>
      </c>
      <c r="BT8" s="0" t="s">
        <v>228</v>
      </c>
      <c r="BU8" s="0" t="s">
        <v>228</v>
      </c>
      <c r="BV8" s="0" t="s">
        <v>228</v>
      </c>
      <c r="BW8" s="0" t="s">
        <v>228</v>
      </c>
      <c r="BX8" s="0" t="s">
        <v>228</v>
      </c>
      <c r="BY8" s="0" t="s">
        <v>228</v>
      </c>
      <c r="BZ8" s="0" t="s">
        <v>228</v>
      </c>
      <c r="CA8" s="0" t="s">
        <v>228</v>
      </c>
      <c r="CB8" s="0" t="s">
        <v>228</v>
      </c>
      <c r="CC8" s="0" t="s">
        <v>228</v>
      </c>
      <c r="CD8" s="0" t="s">
        <v>228</v>
      </c>
      <c r="CE8" s="0" t="s">
        <v>228</v>
      </c>
      <c r="CF8" s="0" t="s">
        <v>228</v>
      </c>
      <c r="CG8" s="0" t="s">
        <v>228</v>
      </c>
      <c r="CH8" s="0" t="s">
        <v>228</v>
      </c>
      <c r="CI8" s="0" t="s">
        <v>228</v>
      </c>
      <c r="CJ8" s="0" t="s">
        <v>228</v>
      </c>
      <c r="CK8" s="0" t="s">
        <v>228</v>
      </c>
      <c r="CL8" s="0" t="s">
        <v>228</v>
      </c>
      <c r="CM8" s="0" t="s">
        <v>228</v>
      </c>
      <c r="CN8" s="0" t="s">
        <v>228</v>
      </c>
      <c r="CO8" s="0" t="s">
        <v>228</v>
      </c>
      <c r="CP8" s="0" t="s">
        <v>228</v>
      </c>
      <c r="CQ8" s="0" t="s">
        <v>228</v>
      </c>
      <c r="CR8" s="0" t="s">
        <v>228</v>
      </c>
      <c r="CS8" s="0" t="s">
        <v>228</v>
      </c>
      <c r="CT8" s="0" t="s">
        <v>3568</v>
      </c>
      <c r="CU8" s="0" t="s">
        <v>3569</v>
      </c>
      <c r="CV8" s="0" t="s">
        <v>418</v>
      </c>
      <c r="CW8" s="0" t="s">
        <v>3622</v>
      </c>
      <c r="CX8" s="0" t="s">
        <v>419</v>
      </c>
      <c r="CY8" s="0" t="s">
        <v>418</v>
      </c>
      <c r="CZ8" s="0" t="s">
        <v>3623</v>
      </c>
      <c r="DA8" s="0" t="s">
        <v>3624</v>
      </c>
      <c r="DB8" s="0" t="s">
        <v>3622</v>
      </c>
      <c r="DC8" s="0" t="s">
        <v>362</v>
      </c>
      <c r="DD8" s="0" t="s">
        <v>3572</v>
      </c>
      <c r="DE8" s="0" t="s">
        <v>3630</v>
      </c>
    </row>
    <row customHeight="1" ht="11.25">
      <c r="A9" s="1353" t="s">
        <v>228</v>
      </c>
      <c r="B9" s="0" t="s">
        <v>228</v>
      </c>
      <c r="C9" s="0" t="s">
        <v>228</v>
      </c>
      <c r="D9" s="0" t="s">
        <v>228</v>
      </c>
      <c r="E9" s="0" t="s">
        <v>228</v>
      </c>
      <c r="F9" s="0" t="s">
        <v>228</v>
      </c>
      <c r="G9" s="0" t="s">
        <v>228</v>
      </c>
      <c r="H9" s="0" t="s">
        <v>228</v>
      </c>
      <c r="I9" s="0" t="s">
        <v>3555</v>
      </c>
      <c r="J9" s="0" t="s">
        <v>228</v>
      </c>
      <c r="K9" s="0" t="s">
        <v>228</v>
      </c>
      <c r="L9" s="0" t="s">
        <v>228</v>
      </c>
      <c r="M9" s="0" t="s">
        <v>228</v>
      </c>
      <c r="N9" s="0" t="s">
        <v>228</v>
      </c>
      <c r="O9" s="0" t="s">
        <v>228</v>
      </c>
      <c r="P9" s="0" t="s">
        <v>228</v>
      </c>
      <c r="Q9" s="0" t="s">
        <v>228</v>
      </c>
      <c r="R9" s="0" t="s">
        <v>3631</v>
      </c>
      <c r="S9" s="0" t="s">
        <v>228</v>
      </c>
      <c r="T9" s="0" t="s">
        <v>228</v>
      </c>
      <c r="U9" s="0" t="s">
        <v>101</v>
      </c>
      <c r="V9" s="0" t="s">
        <v>228</v>
      </c>
      <c r="W9" s="0" t="s">
        <v>228</v>
      </c>
      <c r="X9" s="0" t="s">
        <v>3557</v>
      </c>
      <c r="Y9" s="0" t="s">
        <v>228</v>
      </c>
      <c r="Z9" s="0" t="s">
        <v>160</v>
      </c>
      <c r="AA9" s="0" t="s">
        <v>151</v>
      </c>
      <c r="AB9" s="0" t="s">
        <v>151</v>
      </c>
      <c r="AC9" s="0" t="s">
        <v>2317</v>
      </c>
      <c r="AD9" s="0" t="s">
        <v>2317</v>
      </c>
      <c r="AE9" s="0" t="s">
        <v>2318</v>
      </c>
      <c r="AF9" s="0" t="s">
        <v>3615</v>
      </c>
      <c r="AG9" s="0" t="s">
        <v>3616</v>
      </c>
      <c r="AH9" s="0" t="s">
        <v>3617</v>
      </c>
      <c r="AI9" s="0" t="s">
        <v>1765</v>
      </c>
      <c r="AJ9" s="0" t="s">
        <v>3579</v>
      </c>
      <c r="AK9" s="0" t="s">
        <v>3619</v>
      </c>
      <c r="AL9" s="0" t="s">
        <v>3581</v>
      </c>
      <c r="AM9" s="0" t="s">
        <v>3565</v>
      </c>
      <c r="AN9" s="0" t="s">
        <v>3628</v>
      </c>
      <c r="AO9" s="0" t="s">
        <v>3629</v>
      </c>
      <c r="AP9" s="0" t="s">
        <v>228</v>
      </c>
      <c r="AQ9" s="0" t="s">
        <v>228</v>
      </c>
      <c r="AR9" s="0" t="s">
        <v>228</v>
      </c>
      <c r="AS9" s="0" t="s">
        <v>228</v>
      </c>
      <c r="AT9" s="0" t="s">
        <v>228</v>
      </c>
      <c r="AU9" s="0" t="s">
        <v>228</v>
      </c>
      <c r="AV9" s="0" t="s">
        <v>228</v>
      </c>
      <c r="AW9" s="0" t="s">
        <v>228</v>
      </c>
      <c r="AX9" s="0" t="s">
        <v>228</v>
      </c>
      <c r="AY9" s="0" t="s">
        <v>228</v>
      </c>
      <c r="AZ9" s="0" t="s">
        <v>228</v>
      </c>
      <c r="BA9" s="0" t="s">
        <v>228</v>
      </c>
      <c r="BB9" s="0" t="s">
        <v>228</v>
      </c>
      <c r="BC9" s="0" t="s">
        <v>228</v>
      </c>
      <c r="BD9" s="0" t="s">
        <v>228</v>
      </c>
      <c r="BE9" s="0" t="s">
        <v>228</v>
      </c>
      <c r="BF9" s="0" t="s">
        <v>228</v>
      </c>
      <c r="BG9" s="0" t="s">
        <v>228</v>
      </c>
      <c r="BH9" s="0" t="s">
        <v>228</v>
      </c>
      <c r="BI9" s="0" t="s">
        <v>228</v>
      </c>
      <c r="BJ9" s="0" t="s">
        <v>228</v>
      </c>
      <c r="BK9" s="0" t="s">
        <v>228</v>
      </c>
      <c r="BL9" s="0" t="s">
        <v>228</v>
      </c>
      <c r="BM9" s="0" t="s">
        <v>228</v>
      </c>
      <c r="BN9" s="0" t="s">
        <v>228</v>
      </c>
      <c r="BO9" s="0" t="s">
        <v>228</v>
      </c>
      <c r="BP9" s="0" t="s">
        <v>228</v>
      </c>
      <c r="BQ9" s="0" t="s">
        <v>228</v>
      </c>
      <c r="BR9" s="0" t="s">
        <v>228</v>
      </c>
      <c r="BS9" s="0" t="s">
        <v>228</v>
      </c>
      <c r="BT9" s="0" t="s">
        <v>228</v>
      </c>
      <c r="BU9" s="0" t="s">
        <v>228</v>
      </c>
      <c r="BV9" s="0" t="s">
        <v>228</v>
      </c>
      <c r="BW9" s="0" t="s">
        <v>228</v>
      </c>
      <c r="BX9" s="0" t="s">
        <v>228</v>
      </c>
      <c r="BY9" s="0" t="s">
        <v>228</v>
      </c>
      <c r="BZ9" s="0" t="s">
        <v>228</v>
      </c>
      <c r="CA9" s="0" t="s">
        <v>228</v>
      </c>
      <c r="CB9" s="0" t="s">
        <v>228</v>
      </c>
      <c r="CC9" s="0" t="s">
        <v>228</v>
      </c>
      <c r="CD9" s="0" t="s">
        <v>228</v>
      </c>
      <c r="CE9" s="0" t="s">
        <v>228</v>
      </c>
      <c r="CF9" s="0" t="s">
        <v>228</v>
      </c>
      <c r="CG9" s="0" t="s">
        <v>228</v>
      </c>
      <c r="CH9" s="0" t="s">
        <v>228</v>
      </c>
      <c r="CI9" s="0" t="s">
        <v>228</v>
      </c>
      <c r="CJ9" s="0" t="s">
        <v>228</v>
      </c>
      <c r="CK9" s="0" t="s">
        <v>228</v>
      </c>
      <c r="CL9" s="0" t="s">
        <v>228</v>
      </c>
      <c r="CM9" s="0" t="s">
        <v>228</v>
      </c>
      <c r="CN9" s="0" t="s">
        <v>228</v>
      </c>
      <c r="CO9" s="0" t="s">
        <v>228</v>
      </c>
      <c r="CP9" s="0" t="s">
        <v>228</v>
      </c>
      <c r="CQ9" s="0" t="s">
        <v>228</v>
      </c>
      <c r="CR9" s="0" t="s">
        <v>228</v>
      </c>
      <c r="CS9" s="0" t="s">
        <v>228</v>
      </c>
      <c r="CT9" s="0" t="s">
        <v>3568</v>
      </c>
      <c r="CU9" s="0" t="s">
        <v>3569</v>
      </c>
      <c r="CV9" s="0" t="s">
        <v>418</v>
      </c>
      <c r="CW9" s="0" t="s">
        <v>3622</v>
      </c>
      <c r="CX9" s="0" t="s">
        <v>419</v>
      </c>
      <c r="CY9" s="0" t="s">
        <v>418</v>
      </c>
      <c r="CZ9" s="0" t="s">
        <v>3623</v>
      </c>
      <c r="DA9" s="0" t="s">
        <v>3624</v>
      </c>
      <c r="DB9" s="0" t="s">
        <v>3622</v>
      </c>
      <c r="DC9" s="0" t="s">
        <v>362</v>
      </c>
      <c r="DD9" s="0" t="s">
        <v>3572</v>
      </c>
      <c r="DE9" s="0" t="s">
        <v>3632</v>
      </c>
    </row>
    <row customHeight="1" ht="11.25">
      <c r="A10" s="1353" t="s">
        <v>228</v>
      </c>
      <c r="B10" s="0" t="s">
        <v>228</v>
      </c>
      <c r="C10" s="0" t="s">
        <v>228</v>
      </c>
      <c r="D10" s="0" t="s">
        <v>228</v>
      </c>
      <c r="E10" s="0" t="s">
        <v>228</v>
      </c>
      <c r="F10" s="0" t="s">
        <v>228</v>
      </c>
      <c r="G10" s="0" t="s">
        <v>228</v>
      </c>
      <c r="H10" s="0" t="s">
        <v>228</v>
      </c>
      <c r="I10" s="0" t="s">
        <v>3555</v>
      </c>
      <c r="J10" s="0" t="s">
        <v>228</v>
      </c>
      <c r="K10" s="0" t="s">
        <v>228</v>
      </c>
      <c r="L10" s="0" t="s">
        <v>228</v>
      </c>
      <c r="M10" s="0" t="s">
        <v>228</v>
      </c>
      <c r="N10" s="0" t="s">
        <v>228</v>
      </c>
      <c r="O10" s="0" t="s">
        <v>228</v>
      </c>
      <c r="P10" s="0" t="s">
        <v>228</v>
      </c>
      <c r="Q10" s="0" t="s">
        <v>228</v>
      </c>
      <c r="R10" s="0" t="s">
        <v>3633</v>
      </c>
      <c r="S10" s="0" t="s">
        <v>228</v>
      </c>
      <c r="T10" s="0" t="s">
        <v>228</v>
      </c>
      <c r="U10" s="0" t="s">
        <v>101</v>
      </c>
      <c r="V10" s="0" t="s">
        <v>228</v>
      </c>
      <c r="W10" s="0" t="s">
        <v>228</v>
      </c>
      <c r="X10" s="0" t="s">
        <v>3557</v>
      </c>
      <c r="Y10" s="0" t="s">
        <v>228</v>
      </c>
      <c r="Z10" s="0" t="s">
        <v>160</v>
      </c>
      <c r="AA10" s="0" t="s">
        <v>151</v>
      </c>
      <c r="AB10" s="0" t="s">
        <v>151</v>
      </c>
      <c r="AC10" s="0" t="s">
        <v>2715</v>
      </c>
      <c r="AD10" s="0" t="s">
        <v>2715</v>
      </c>
      <c r="AE10" s="0" t="s">
        <v>2716</v>
      </c>
      <c r="AF10" s="0" t="s">
        <v>3594</v>
      </c>
      <c r="AG10" s="0" t="s">
        <v>3595</v>
      </c>
      <c r="AH10" s="0" t="s">
        <v>3634</v>
      </c>
      <c r="AI10" s="0" t="s">
        <v>3635</v>
      </c>
      <c r="AJ10" s="0" t="s">
        <v>3636</v>
      </c>
      <c r="AK10" s="0" t="s">
        <v>3637</v>
      </c>
      <c r="AL10" s="0" t="s">
        <v>3599</v>
      </c>
      <c r="AM10" s="0" t="s">
        <v>3565</v>
      </c>
      <c r="AN10" s="0" t="s">
        <v>3638</v>
      </c>
      <c r="AO10" s="0" t="s">
        <v>3639</v>
      </c>
      <c r="AP10" s="0" t="s">
        <v>228</v>
      </c>
      <c r="AQ10" s="0" t="s">
        <v>228</v>
      </c>
      <c r="AR10" s="0" t="s">
        <v>228</v>
      </c>
      <c r="AS10" s="0" t="s">
        <v>228</v>
      </c>
      <c r="AT10" s="0" t="s">
        <v>228</v>
      </c>
      <c r="AU10" s="0" t="s">
        <v>228</v>
      </c>
      <c r="AV10" s="0" t="s">
        <v>228</v>
      </c>
      <c r="AW10" s="0" t="s">
        <v>228</v>
      </c>
      <c r="AX10" s="0" t="s">
        <v>228</v>
      </c>
      <c r="AY10" s="0" t="s">
        <v>228</v>
      </c>
      <c r="AZ10" s="0" t="s">
        <v>228</v>
      </c>
      <c r="BA10" s="0" t="s">
        <v>228</v>
      </c>
      <c r="BB10" s="0" t="s">
        <v>228</v>
      </c>
      <c r="BC10" s="0" t="s">
        <v>228</v>
      </c>
      <c r="BD10" s="0" t="s">
        <v>228</v>
      </c>
      <c r="BE10" s="0" t="s">
        <v>228</v>
      </c>
      <c r="BF10" s="0" t="s">
        <v>228</v>
      </c>
      <c r="BG10" s="0" t="s">
        <v>228</v>
      </c>
      <c r="BH10" s="0" t="s">
        <v>228</v>
      </c>
      <c r="BI10" s="0" t="s">
        <v>228</v>
      </c>
      <c r="BJ10" s="0" t="s">
        <v>228</v>
      </c>
      <c r="BK10" s="0" t="s">
        <v>228</v>
      </c>
      <c r="BL10" s="0" t="s">
        <v>228</v>
      </c>
      <c r="BM10" s="0" t="s">
        <v>228</v>
      </c>
      <c r="BN10" s="0" t="s">
        <v>228</v>
      </c>
      <c r="BO10" s="0" t="s">
        <v>228</v>
      </c>
      <c r="BP10" s="0" t="s">
        <v>228</v>
      </c>
      <c r="BQ10" s="0" t="s">
        <v>228</v>
      </c>
      <c r="BR10" s="0" t="s">
        <v>228</v>
      </c>
      <c r="BS10" s="0" t="s">
        <v>228</v>
      </c>
      <c r="BT10" s="0" t="s">
        <v>228</v>
      </c>
      <c r="BU10" s="0" t="s">
        <v>228</v>
      </c>
      <c r="BV10" s="0" t="s">
        <v>228</v>
      </c>
      <c r="BW10" s="0" t="s">
        <v>228</v>
      </c>
      <c r="BX10" s="0" t="s">
        <v>228</v>
      </c>
      <c r="BY10" s="0" t="s">
        <v>228</v>
      </c>
      <c r="BZ10" s="0" t="s">
        <v>228</v>
      </c>
      <c r="CA10" s="0" t="s">
        <v>228</v>
      </c>
      <c r="CB10" s="0" t="s">
        <v>228</v>
      </c>
      <c r="CC10" s="0" t="s">
        <v>228</v>
      </c>
      <c r="CD10" s="0" t="s">
        <v>228</v>
      </c>
      <c r="CE10" s="0" t="s">
        <v>228</v>
      </c>
      <c r="CF10" s="0" t="s">
        <v>228</v>
      </c>
      <c r="CG10" s="0" t="s">
        <v>228</v>
      </c>
      <c r="CH10" s="0" t="s">
        <v>228</v>
      </c>
      <c r="CI10" s="0" t="s">
        <v>228</v>
      </c>
      <c r="CJ10" s="0" t="s">
        <v>228</v>
      </c>
      <c r="CK10" s="0" t="s">
        <v>228</v>
      </c>
      <c r="CL10" s="0" t="s">
        <v>228</v>
      </c>
      <c r="CM10" s="0" t="s">
        <v>228</v>
      </c>
      <c r="CN10" s="0" t="s">
        <v>228</v>
      </c>
      <c r="CO10" s="0" t="s">
        <v>228</v>
      </c>
      <c r="CP10" s="0" t="s">
        <v>228</v>
      </c>
      <c r="CQ10" s="0" t="s">
        <v>228</v>
      </c>
      <c r="CR10" s="0" t="s">
        <v>228</v>
      </c>
      <c r="CS10" s="0" t="s">
        <v>228</v>
      </c>
      <c r="CT10" s="0" t="s">
        <v>3568</v>
      </c>
      <c r="CU10" s="0" t="s">
        <v>3569</v>
      </c>
      <c r="CV10" s="0" t="s">
        <v>418</v>
      </c>
      <c r="CW10" s="0" t="s">
        <v>3602</v>
      </c>
      <c r="CX10" s="0" t="s">
        <v>3603</v>
      </c>
      <c r="CY10" s="0" t="s">
        <v>418</v>
      </c>
      <c r="CZ10" s="0" t="s">
        <v>504</v>
      </c>
      <c r="DA10" s="0" t="s">
        <v>3604</v>
      </c>
      <c r="DB10" s="0" t="s">
        <v>3602</v>
      </c>
      <c r="DC10" s="0" t="s">
        <v>362</v>
      </c>
      <c r="DD10" s="0" t="s">
        <v>3572</v>
      </c>
      <c r="DE10" s="0" t="s">
        <v>3640</v>
      </c>
    </row>
    <row customHeight="1" ht="11.25">
      <c r="A11" s="1353" t="s">
        <v>228</v>
      </c>
      <c r="B11" s="0" t="s">
        <v>228</v>
      </c>
      <c r="C11" s="0" t="s">
        <v>228</v>
      </c>
      <c r="D11" s="0" t="s">
        <v>228</v>
      </c>
      <c r="E11" s="0" t="s">
        <v>228</v>
      </c>
      <c r="F11" s="0" t="s">
        <v>228</v>
      </c>
      <c r="G11" s="0" t="s">
        <v>228</v>
      </c>
      <c r="H11" s="0" t="s">
        <v>228</v>
      </c>
      <c r="I11" s="0" t="s">
        <v>3555</v>
      </c>
      <c r="J11" s="0" t="s">
        <v>228</v>
      </c>
      <c r="K11" s="0" t="s">
        <v>228</v>
      </c>
      <c r="L11" s="0" t="s">
        <v>228</v>
      </c>
      <c r="M11" s="0" t="s">
        <v>228</v>
      </c>
      <c r="N11" s="0" t="s">
        <v>228</v>
      </c>
      <c r="O11" s="0" t="s">
        <v>228</v>
      </c>
      <c r="P11" s="0" t="s">
        <v>228</v>
      </c>
      <c r="Q11" s="0" t="s">
        <v>228</v>
      </c>
      <c r="R11" s="0" t="s">
        <v>3641</v>
      </c>
      <c r="S11" s="0" t="s">
        <v>228</v>
      </c>
      <c r="T11" s="0" t="s">
        <v>228</v>
      </c>
      <c r="U11" s="0" t="s">
        <v>101</v>
      </c>
      <c r="V11" s="0" t="s">
        <v>228</v>
      </c>
      <c r="W11" s="0" t="s">
        <v>228</v>
      </c>
      <c r="X11" s="0" t="s">
        <v>3557</v>
      </c>
      <c r="Y11" s="0" t="s">
        <v>228</v>
      </c>
      <c r="Z11" s="0" t="s">
        <v>160</v>
      </c>
      <c r="AA11" s="0" t="s">
        <v>151</v>
      </c>
      <c r="AB11" s="0" t="s">
        <v>151</v>
      </c>
      <c r="AC11" s="0" t="s">
        <v>2715</v>
      </c>
      <c r="AD11" s="0" t="s">
        <v>2715</v>
      </c>
      <c r="AE11" s="0" t="s">
        <v>2716</v>
      </c>
      <c r="AF11" s="0" t="s">
        <v>3594</v>
      </c>
      <c r="AG11" s="0" t="s">
        <v>3595</v>
      </c>
      <c r="AH11" s="0" t="s">
        <v>3642</v>
      </c>
      <c r="AI11" s="0" t="s">
        <v>3643</v>
      </c>
      <c r="AJ11" s="0" t="s">
        <v>3644</v>
      </c>
      <c r="AK11" s="0" t="s">
        <v>3645</v>
      </c>
      <c r="AL11" s="0" t="s">
        <v>3646</v>
      </c>
      <c r="AM11" s="0" t="s">
        <v>3565</v>
      </c>
      <c r="AN11" s="0" t="s">
        <v>3600</v>
      </c>
      <c r="AO11" s="0" t="s">
        <v>3601</v>
      </c>
      <c r="AP11" s="0" t="s">
        <v>228</v>
      </c>
      <c r="AQ11" s="0" t="s">
        <v>228</v>
      </c>
      <c r="AR11" s="0" t="s">
        <v>228</v>
      </c>
      <c r="AS11" s="0" t="s">
        <v>228</v>
      </c>
      <c r="AT11" s="0" t="s">
        <v>228</v>
      </c>
      <c r="AU11" s="0" t="s">
        <v>228</v>
      </c>
      <c r="AV11" s="0" t="s">
        <v>228</v>
      </c>
      <c r="AW11" s="0" t="s">
        <v>228</v>
      </c>
      <c r="AX11" s="0" t="s">
        <v>228</v>
      </c>
      <c r="AY11" s="0" t="s">
        <v>228</v>
      </c>
      <c r="AZ11" s="0" t="s">
        <v>228</v>
      </c>
      <c r="BA11" s="0" t="s">
        <v>228</v>
      </c>
      <c r="BB11" s="0" t="s">
        <v>228</v>
      </c>
      <c r="BC11" s="0" t="s">
        <v>228</v>
      </c>
      <c r="BD11" s="0" t="s">
        <v>228</v>
      </c>
      <c r="BE11" s="0" t="s">
        <v>228</v>
      </c>
      <c r="BF11" s="0" t="s">
        <v>228</v>
      </c>
      <c r="BG11" s="0" t="s">
        <v>228</v>
      </c>
      <c r="BH11" s="0" t="s">
        <v>228</v>
      </c>
      <c r="BI11" s="0" t="s">
        <v>228</v>
      </c>
      <c r="BJ11" s="0" t="s">
        <v>228</v>
      </c>
      <c r="BK11" s="0" t="s">
        <v>228</v>
      </c>
      <c r="BL11" s="0" t="s">
        <v>228</v>
      </c>
      <c r="BM11" s="0" t="s">
        <v>228</v>
      </c>
      <c r="BN11" s="0" t="s">
        <v>228</v>
      </c>
      <c r="BO11" s="0" t="s">
        <v>228</v>
      </c>
      <c r="BP11" s="0" t="s">
        <v>228</v>
      </c>
      <c r="BQ11" s="0" t="s">
        <v>228</v>
      </c>
      <c r="BR11" s="0" t="s">
        <v>228</v>
      </c>
      <c r="BS11" s="0" t="s">
        <v>228</v>
      </c>
      <c r="BT11" s="0" t="s">
        <v>228</v>
      </c>
      <c r="BU11" s="0" t="s">
        <v>228</v>
      </c>
      <c r="BV11" s="0" t="s">
        <v>228</v>
      </c>
      <c r="BW11" s="0" t="s">
        <v>228</v>
      </c>
      <c r="BX11" s="0" t="s">
        <v>228</v>
      </c>
      <c r="BY11" s="0" t="s">
        <v>228</v>
      </c>
      <c r="BZ11" s="0" t="s">
        <v>228</v>
      </c>
      <c r="CA11" s="0" t="s">
        <v>228</v>
      </c>
      <c r="CB11" s="0" t="s">
        <v>228</v>
      </c>
      <c r="CC11" s="0" t="s">
        <v>228</v>
      </c>
      <c r="CD11" s="0" t="s">
        <v>228</v>
      </c>
      <c r="CE11" s="0" t="s">
        <v>228</v>
      </c>
      <c r="CF11" s="0" t="s">
        <v>228</v>
      </c>
      <c r="CG11" s="0" t="s">
        <v>228</v>
      </c>
      <c r="CH11" s="0" t="s">
        <v>228</v>
      </c>
      <c r="CI11" s="0" t="s">
        <v>228</v>
      </c>
      <c r="CJ11" s="0" t="s">
        <v>228</v>
      </c>
      <c r="CK11" s="0" t="s">
        <v>228</v>
      </c>
      <c r="CL11" s="0" t="s">
        <v>228</v>
      </c>
      <c r="CM11" s="0" t="s">
        <v>228</v>
      </c>
      <c r="CN11" s="0" t="s">
        <v>228</v>
      </c>
      <c r="CO11" s="0" t="s">
        <v>228</v>
      </c>
      <c r="CP11" s="0" t="s">
        <v>228</v>
      </c>
      <c r="CQ11" s="0" t="s">
        <v>228</v>
      </c>
      <c r="CR11" s="0" t="s">
        <v>228</v>
      </c>
      <c r="CS11" s="0" t="s">
        <v>228</v>
      </c>
      <c r="CT11" s="0" t="s">
        <v>3568</v>
      </c>
      <c r="CU11" s="0" t="s">
        <v>3569</v>
      </c>
      <c r="CV11" s="0" t="s">
        <v>418</v>
      </c>
      <c r="CW11" s="0" t="s">
        <v>3602</v>
      </c>
      <c r="CX11" s="0" t="s">
        <v>3603</v>
      </c>
      <c r="CY11" s="0" t="s">
        <v>418</v>
      </c>
      <c r="CZ11" s="0" t="s">
        <v>504</v>
      </c>
      <c r="DA11" s="0" t="s">
        <v>3604</v>
      </c>
      <c r="DB11" s="0" t="s">
        <v>3602</v>
      </c>
      <c r="DC11" s="0" t="s">
        <v>362</v>
      </c>
      <c r="DD11" s="0" t="s">
        <v>3572</v>
      </c>
      <c r="DE11" s="0" t="s">
        <v>3647</v>
      </c>
    </row>
    <row customHeight="1" ht="11.25">
      <c r="A12" s="1353" t="s">
        <v>228</v>
      </c>
      <c r="B12" s="0" t="s">
        <v>228</v>
      </c>
      <c r="C12" s="0" t="s">
        <v>228</v>
      </c>
      <c r="D12" s="0" t="s">
        <v>228</v>
      </c>
      <c r="E12" s="0" t="s">
        <v>228</v>
      </c>
      <c r="F12" s="0" t="s">
        <v>228</v>
      </c>
      <c r="G12" s="0" t="s">
        <v>228</v>
      </c>
      <c r="H12" s="0" t="s">
        <v>228</v>
      </c>
      <c r="I12" s="0" t="s">
        <v>3555</v>
      </c>
      <c r="J12" s="0" t="s">
        <v>228</v>
      </c>
      <c r="K12" s="0" t="s">
        <v>228</v>
      </c>
      <c r="L12" s="0" t="s">
        <v>228</v>
      </c>
      <c r="M12" s="0" t="s">
        <v>228</v>
      </c>
      <c r="N12" s="0" t="s">
        <v>228</v>
      </c>
      <c r="O12" s="0" t="s">
        <v>228</v>
      </c>
      <c r="P12" s="0" t="s">
        <v>228</v>
      </c>
      <c r="Q12" s="0" t="s">
        <v>228</v>
      </c>
      <c r="R12" s="0" t="s">
        <v>3648</v>
      </c>
      <c r="S12" s="0" t="s">
        <v>228</v>
      </c>
      <c r="T12" s="0" t="s">
        <v>228</v>
      </c>
      <c r="U12" s="0" t="s">
        <v>101</v>
      </c>
      <c r="V12" s="0" t="s">
        <v>228</v>
      </c>
      <c r="W12" s="0" t="s">
        <v>228</v>
      </c>
      <c r="X12" s="0" t="s">
        <v>3557</v>
      </c>
      <c r="Y12" s="0" t="s">
        <v>228</v>
      </c>
      <c r="Z12" s="0" t="s">
        <v>160</v>
      </c>
      <c r="AA12" s="0" t="s">
        <v>151</v>
      </c>
      <c r="AB12" s="0" t="s">
        <v>151</v>
      </c>
      <c r="AC12" s="0" t="s">
        <v>2315</v>
      </c>
      <c r="AD12" s="0" t="s">
        <v>2315</v>
      </c>
      <c r="AE12" s="0" t="s">
        <v>2316</v>
      </c>
      <c r="AF12" s="0" t="s">
        <v>3649</v>
      </c>
      <c r="AG12" s="0" t="s">
        <v>3650</v>
      </c>
      <c r="AH12" s="0" t="s">
        <v>3651</v>
      </c>
      <c r="AI12" s="0" t="s">
        <v>3651</v>
      </c>
      <c r="AJ12" s="0" t="s">
        <v>3652</v>
      </c>
      <c r="AK12" s="0" t="s">
        <v>3653</v>
      </c>
      <c r="AL12" s="0" t="s">
        <v>3581</v>
      </c>
      <c r="AM12" s="0" t="s">
        <v>3565</v>
      </c>
      <c r="AN12" s="0" t="s">
        <v>3654</v>
      </c>
      <c r="AO12" s="0" t="s">
        <v>3655</v>
      </c>
      <c r="AP12" s="0" t="s">
        <v>228</v>
      </c>
      <c r="AQ12" s="0" t="s">
        <v>228</v>
      </c>
      <c r="AR12" s="0" t="s">
        <v>228</v>
      </c>
      <c r="AS12" s="0" t="s">
        <v>228</v>
      </c>
      <c r="AT12" s="0" t="s">
        <v>228</v>
      </c>
      <c r="AU12" s="0" t="s">
        <v>228</v>
      </c>
      <c r="AV12" s="0" t="s">
        <v>228</v>
      </c>
      <c r="AW12" s="0" t="s">
        <v>228</v>
      </c>
      <c r="AX12" s="0" t="s">
        <v>228</v>
      </c>
      <c r="AY12" s="0" t="s">
        <v>228</v>
      </c>
      <c r="AZ12" s="0" t="s">
        <v>228</v>
      </c>
      <c r="BA12" s="0" t="s">
        <v>228</v>
      </c>
      <c r="BB12" s="0" t="s">
        <v>228</v>
      </c>
      <c r="BC12" s="0" t="s">
        <v>228</v>
      </c>
      <c r="BD12" s="0" t="s">
        <v>228</v>
      </c>
      <c r="BE12" s="0" t="s">
        <v>228</v>
      </c>
      <c r="BF12" s="0" t="s">
        <v>228</v>
      </c>
      <c r="BG12" s="0" t="s">
        <v>228</v>
      </c>
      <c r="BH12" s="0" t="s">
        <v>228</v>
      </c>
      <c r="BI12" s="0" t="s">
        <v>228</v>
      </c>
      <c r="BJ12" s="0" t="s">
        <v>228</v>
      </c>
      <c r="BK12" s="0" t="s">
        <v>228</v>
      </c>
      <c r="BL12" s="0" t="s">
        <v>228</v>
      </c>
      <c r="BM12" s="0" t="s">
        <v>228</v>
      </c>
      <c r="BN12" s="0" t="s">
        <v>228</v>
      </c>
      <c r="BO12" s="0" t="s">
        <v>228</v>
      </c>
      <c r="BP12" s="0" t="s">
        <v>228</v>
      </c>
      <c r="BQ12" s="0" t="s">
        <v>228</v>
      </c>
      <c r="BR12" s="0" t="s">
        <v>228</v>
      </c>
      <c r="BS12" s="0" t="s">
        <v>228</v>
      </c>
      <c r="BT12" s="0" t="s">
        <v>228</v>
      </c>
      <c r="BU12" s="0" t="s">
        <v>228</v>
      </c>
      <c r="BV12" s="0" t="s">
        <v>228</v>
      </c>
      <c r="BW12" s="0" t="s">
        <v>228</v>
      </c>
      <c r="BX12" s="0" t="s">
        <v>228</v>
      </c>
      <c r="BY12" s="0" t="s">
        <v>228</v>
      </c>
      <c r="BZ12" s="0" t="s">
        <v>228</v>
      </c>
      <c r="CA12" s="0" t="s">
        <v>228</v>
      </c>
      <c r="CB12" s="0" t="s">
        <v>228</v>
      </c>
      <c r="CC12" s="0" t="s">
        <v>228</v>
      </c>
      <c r="CD12" s="0" t="s">
        <v>228</v>
      </c>
      <c r="CE12" s="0" t="s">
        <v>228</v>
      </c>
      <c r="CF12" s="0" t="s">
        <v>228</v>
      </c>
      <c r="CG12" s="0" t="s">
        <v>228</v>
      </c>
      <c r="CH12" s="0" t="s">
        <v>228</v>
      </c>
      <c r="CI12" s="0" t="s">
        <v>228</v>
      </c>
      <c r="CJ12" s="0" t="s">
        <v>228</v>
      </c>
      <c r="CK12" s="0" t="s">
        <v>228</v>
      </c>
      <c r="CL12" s="0" t="s">
        <v>228</v>
      </c>
      <c r="CM12" s="0" t="s">
        <v>228</v>
      </c>
      <c r="CN12" s="0" t="s">
        <v>228</v>
      </c>
      <c r="CO12" s="0" t="s">
        <v>228</v>
      </c>
      <c r="CP12" s="0" t="s">
        <v>228</v>
      </c>
      <c r="CQ12" s="0" t="s">
        <v>228</v>
      </c>
      <c r="CR12" s="0" t="s">
        <v>228</v>
      </c>
      <c r="CS12" s="0" t="s">
        <v>228</v>
      </c>
      <c r="CT12" s="0" t="s">
        <v>3568</v>
      </c>
      <c r="CU12" s="0" t="s">
        <v>3569</v>
      </c>
      <c r="CV12" s="0" t="s">
        <v>418</v>
      </c>
      <c r="CW12" s="0" t="s">
        <v>3656</v>
      </c>
      <c r="CX12" s="0" t="s">
        <v>419</v>
      </c>
      <c r="CY12" s="0" t="s">
        <v>418</v>
      </c>
      <c r="CZ12" s="0" t="s">
        <v>3657</v>
      </c>
      <c r="DA12" s="0" t="s">
        <v>3658</v>
      </c>
      <c r="DB12" s="0" t="s">
        <v>3656</v>
      </c>
      <c r="DC12" s="0" t="s">
        <v>362</v>
      </c>
      <c r="DD12" s="0" t="s">
        <v>3572</v>
      </c>
      <c r="DE12" s="0" t="s">
        <v>3659</v>
      </c>
    </row>
    <row customHeight="1" ht="11.25">
      <c r="A13" s="1353" t="s">
        <v>228</v>
      </c>
      <c r="B13" s="0" t="s">
        <v>228</v>
      </c>
      <c r="C13" s="0" t="s">
        <v>228</v>
      </c>
      <c r="D13" s="0" t="s">
        <v>228</v>
      </c>
      <c r="E13" s="0" t="s">
        <v>228</v>
      </c>
      <c r="F13" s="0" t="s">
        <v>228</v>
      </c>
      <c r="G13" s="0" t="s">
        <v>228</v>
      </c>
      <c r="H13" s="0" t="s">
        <v>228</v>
      </c>
      <c r="I13" s="0" t="s">
        <v>3555</v>
      </c>
      <c r="J13" s="0" t="s">
        <v>228</v>
      </c>
      <c r="K13" s="0" t="s">
        <v>228</v>
      </c>
      <c r="L13" s="0" t="s">
        <v>228</v>
      </c>
      <c r="M13" s="0" t="s">
        <v>228</v>
      </c>
      <c r="N13" s="0" t="s">
        <v>228</v>
      </c>
      <c r="O13" s="0" t="s">
        <v>228</v>
      </c>
      <c r="P13" s="0" t="s">
        <v>228</v>
      </c>
      <c r="Q13" s="0" t="s">
        <v>228</v>
      </c>
      <c r="R13" s="0" t="s">
        <v>3660</v>
      </c>
      <c r="S13" s="0" t="s">
        <v>228</v>
      </c>
      <c r="T13" s="0" t="s">
        <v>228</v>
      </c>
      <c r="U13" s="0" t="s">
        <v>101</v>
      </c>
      <c r="V13" s="0" t="s">
        <v>228</v>
      </c>
      <c r="W13" s="0" t="s">
        <v>228</v>
      </c>
      <c r="X13" s="0" t="s">
        <v>3661</v>
      </c>
      <c r="Y13" s="0" t="s">
        <v>228</v>
      </c>
      <c r="Z13" s="0" t="s">
        <v>151</v>
      </c>
      <c r="AA13" s="0" t="s">
        <v>151</v>
      </c>
      <c r="AB13" s="0" t="s">
        <v>160</v>
      </c>
      <c r="AC13" s="0" t="s">
        <v>2715</v>
      </c>
      <c r="AD13" s="0" t="s">
        <v>2715</v>
      </c>
      <c r="AE13" s="0" t="s">
        <v>2716</v>
      </c>
      <c r="AF13" s="0" t="s">
        <v>3594</v>
      </c>
      <c r="AG13" s="0" t="s">
        <v>3595</v>
      </c>
      <c r="AH13" s="0" t="s">
        <v>3662</v>
      </c>
      <c r="AI13" s="0" t="s">
        <v>3608</v>
      </c>
      <c r="AJ13" s="0" t="s">
        <v>228</v>
      </c>
      <c r="AK13" s="0" t="s">
        <v>228</v>
      </c>
      <c r="AL13" s="0" t="s">
        <v>228</v>
      </c>
      <c r="AM13" s="0" t="s">
        <v>228</v>
      </c>
      <c r="AN13" s="0" t="s">
        <v>228</v>
      </c>
      <c r="AO13" s="0" t="s">
        <v>228</v>
      </c>
      <c r="AP13" s="0" t="s">
        <v>228</v>
      </c>
      <c r="AQ13" s="0" t="s">
        <v>228</v>
      </c>
      <c r="AR13" s="0" t="s">
        <v>228</v>
      </c>
      <c r="AS13" s="0" t="s">
        <v>228</v>
      </c>
      <c r="AT13" s="0" t="s">
        <v>228</v>
      </c>
      <c r="AU13" s="0" t="s">
        <v>228</v>
      </c>
      <c r="AV13" s="0" t="s">
        <v>228</v>
      </c>
      <c r="AW13" s="0" t="s">
        <v>228</v>
      </c>
      <c r="AX13" s="0" t="s">
        <v>228</v>
      </c>
      <c r="AY13" s="0" t="s">
        <v>228</v>
      </c>
      <c r="AZ13" s="0" t="s">
        <v>228</v>
      </c>
      <c r="BA13" s="0" t="s">
        <v>228</v>
      </c>
      <c r="BB13" s="0" t="s">
        <v>228</v>
      </c>
      <c r="BC13" s="0" t="s">
        <v>228</v>
      </c>
      <c r="BD13" s="0" t="s">
        <v>228</v>
      </c>
      <c r="BE13" s="0" t="s">
        <v>3663</v>
      </c>
      <c r="BF13" s="0" t="s">
        <v>3664</v>
      </c>
      <c r="BG13" s="0" t="s">
        <v>111</v>
      </c>
      <c r="BH13" s="0" t="s">
        <v>3665</v>
      </c>
      <c r="BI13" s="0" t="s">
        <v>122</v>
      </c>
      <c r="BJ13" s="0" t="s">
        <v>228</v>
      </c>
      <c r="BK13" s="0" t="s">
        <v>3666</v>
      </c>
      <c r="BL13" s="0" t="s">
        <v>2715</v>
      </c>
      <c r="BM13" s="0" t="s">
        <v>2715</v>
      </c>
      <c r="BN13" s="0" t="s">
        <v>3667</v>
      </c>
      <c r="BO13" s="0" t="s">
        <v>3594</v>
      </c>
      <c r="BP13" s="0" t="s">
        <v>3668</v>
      </c>
      <c r="BQ13" s="0" t="s">
        <v>3669</v>
      </c>
      <c r="BR13" s="0" t="s">
        <v>3608</v>
      </c>
      <c r="BS13" s="0" t="s">
        <v>228</v>
      </c>
      <c r="BT13" s="0" t="s">
        <v>3670</v>
      </c>
      <c r="BU13" s="0" t="s">
        <v>3671</v>
      </c>
      <c r="BV13" s="0" t="s">
        <v>3672</v>
      </c>
      <c r="BW13" s="0" t="s">
        <v>3673</v>
      </c>
      <c r="BX13" s="0" t="s">
        <v>3674</v>
      </c>
      <c r="BY13" s="0" t="s">
        <v>3674</v>
      </c>
      <c r="BZ13" s="0" t="s">
        <v>3674</v>
      </c>
      <c r="CA13" s="0" t="s">
        <v>3674</v>
      </c>
      <c r="CB13" s="0" t="s">
        <v>3674</v>
      </c>
      <c r="CC13" s="0" t="s">
        <v>3674</v>
      </c>
      <c r="CD13" s="0" t="s">
        <v>3674</v>
      </c>
      <c r="CE13" s="0" t="s">
        <v>3674</v>
      </c>
      <c r="CF13" s="0" t="s">
        <v>3674</v>
      </c>
      <c r="CG13" s="0" t="s">
        <v>3674</v>
      </c>
      <c r="CH13" s="0" t="s">
        <v>3674</v>
      </c>
      <c r="CI13" s="0" t="s">
        <v>3674</v>
      </c>
      <c r="CJ13" s="0" t="s">
        <v>3674</v>
      </c>
      <c r="CK13" s="0" t="s">
        <v>3674</v>
      </c>
      <c r="CL13" s="0" t="s">
        <v>3674</v>
      </c>
      <c r="CM13" s="0" t="s">
        <v>3671</v>
      </c>
      <c r="CN13" s="0" t="s">
        <v>3672</v>
      </c>
      <c r="CO13" s="0" t="s">
        <v>3673</v>
      </c>
      <c r="CP13" s="0" t="s">
        <v>3674</v>
      </c>
      <c r="CQ13" s="0" t="s">
        <v>3674</v>
      </c>
      <c r="CR13" s="0" t="s">
        <v>3674</v>
      </c>
      <c r="CS13" s="0" t="s">
        <v>3675</v>
      </c>
      <c r="CT13" s="0" t="s">
        <v>3568</v>
      </c>
      <c r="CU13" s="0" t="s">
        <v>3569</v>
      </c>
      <c r="CV13" s="0" t="s">
        <v>418</v>
      </c>
      <c r="CW13" s="0" t="s">
        <v>3676</v>
      </c>
      <c r="CX13" s="0" t="s">
        <v>3603</v>
      </c>
      <c r="CY13" s="0" t="s">
        <v>418</v>
      </c>
      <c r="CZ13" s="0" t="s">
        <v>504</v>
      </c>
      <c r="DA13" s="0" t="s">
        <v>3604</v>
      </c>
      <c r="DB13" s="0" t="s">
        <v>3676</v>
      </c>
      <c r="DC13" s="0" t="s">
        <v>362</v>
      </c>
      <c r="DD13" s="0" t="s">
        <v>3572</v>
      </c>
      <c r="DE13" s="0" t="s">
        <v>3677</v>
      </c>
    </row>
    <row customHeight="1" ht="11.25">
      <c r="A14" s="1353" t="s">
        <v>228</v>
      </c>
      <c r="B14" s="0" t="s">
        <v>228</v>
      </c>
      <c r="C14" s="0" t="s">
        <v>228</v>
      </c>
      <c r="D14" s="0" t="s">
        <v>228</v>
      </c>
      <c r="E14" s="0" t="s">
        <v>228</v>
      </c>
      <c r="F14" s="0" t="s">
        <v>228</v>
      </c>
      <c r="G14" s="0" t="s">
        <v>228</v>
      </c>
      <c r="H14" s="0" t="s">
        <v>228</v>
      </c>
      <c r="I14" s="0" t="s">
        <v>3555</v>
      </c>
      <c r="J14" s="0" t="s">
        <v>228</v>
      </c>
      <c r="K14" s="0" t="s">
        <v>228</v>
      </c>
      <c r="L14" s="0" t="s">
        <v>228</v>
      </c>
      <c r="M14" s="0" t="s">
        <v>228</v>
      </c>
      <c r="N14" s="0" t="s">
        <v>228</v>
      </c>
      <c r="O14" s="0" t="s">
        <v>228</v>
      </c>
      <c r="P14" s="0" t="s">
        <v>228</v>
      </c>
      <c r="Q14" s="0" t="s">
        <v>228</v>
      </c>
      <c r="R14" s="0" t="s">
        <v>3678</v>
      </c>
      <c r="S14" s="0" t="s">
        <v>228</v>
      </c>
      <c r="T14" s="0" t="s">
        <v>228</v>
      </c>
      <c r="U14" s="0" t="s">
        <v>101</v>
      </c>
      <c r="V14" s="0" t="s">
        <v>228</v>
      </c>
      <c r="W14" s="0" t="s">
        <v>228</v>
      </c>
      <c r="X14" s="0" t="s">
        <v>3557</v>
      </c>
      <c r="Y14" s="0" t="s">
        <v>228</v>
      </c>
      <c r="Z14" s="0" t="s">
        <v>160</v>
      </c>
      <c r="AA14" s="0" t="s">
        <v>151</v>
      </c>
      <c r="AB14" s="0" t="s">
        <v>151</v>
      </c>
      <c r="AC14" s="0" t="s">
        <v>2715</v>
      </c>
      <c r="AD14" s="0" t="s">
        <v>2715</v>
      </c>
      <c r="AE14" s="0" t="s">
        <v>2716</v>
      </c>
      <c r="AF14" s="0" t="s">
        <v>3594</v>
      </c>
      <c r="AG14" s="0" t="s">
        <v>3595</v>
      </c>
      <c r="AH14" s="0" t="s">
        <v>3669</v>
      </c>
      <c r="AI14" s="0" t="s">
        <v>3608</v>
      </c>
      <c r="AJ14" s="0" t="s">
        <v>3679</v>
      </c>
      <c r="AK14" s="0" t="s">
        <v>3680</v>
      </c>
      <c r="AL14" s="0" t="s">
        <v>3681</v>
      </c>
      <c r="AM14" s="0" t="s">
        <v>3565</v>
      </c>
      <c r="AN14" s="0" t="s">
        <v>3654</v>
      </c>
      <c r="AO14" s="0" t="s">
        <v>3682</v>
      </c>
      <c r="AP14" s="0" t="s">
        <v>228</v>
      </c>
      <c r="AQ14" s="0" t="s">
        <v>228</v>
      </c>
      <c r="AR14" s="0" t="s">
        <v>228</v>
      </c>
      <c r="AS14" s="0" t="s">
        <v>228</v>
      </c>
      <c r="AT14" s="0" t="s">
        <v>228</v>
      </c>
      <c r="AU14" s="0" t="s">
        <v>228</v>
      </c>
      <c r="AV14" s="0" t="s">
        <v>228</v>
      </c>
      <c r="AW14" s="0" t="s">
        <v>228</v>
      </c>
      <c r="AX14" s="0" t="s">
        <v>228</v>
      </c>
      <c r="AY14" s="0" t="s">
        <v>228</v>
      </c>
      <c r="AZ14" s="0" t="s">
        <v>228</v>
      </c>
      <c r="BA14" s="0" t="s">
        <v>228</v>
      </c>
      <c r="BB14" s="0" t="s">
        <v>228</v>
      </c>
      <c r="BC14" s="0" t="s">
        <v>228</v>
      </c>
      <c r="BD14" s="0" t="s">
        <v>228</v>
      </c>
      <c r="BE14" s="0" t="s">
        <v>228</v>
      </c>
      <c r="BF14" s="0" t="s">
        <v>228</v>
      </c>
      <c r="BG14" s="0" t="s">
        <v>228</v>
      </c>
      <c r="BH14" s="0" t="s">
        <v>228</v>
      </c>
      <c r="BI14" s="0" t="s">
        <v>228</v>
      </c>
      <c r="BJ14" s="0" t="s">
        <v>228</v>
      </c>
      <c r="BK14" s="0" t="s">
        <v>228</v>
      </c>
      <c r="BL14" s="0" t="s">
        <v>228</v>
      </c>
      <c r="BM14" s="0" t="s">
        <v>228</v>
      </c>
      <c r="BN14" s="0" t="s">
        <v>228</v>
      </c>
      <c r="BO14" s="0" t="s">
        <v>228</v>
      </c>
      <c r="BP14" s="0" t="s">
        <v>228</v>
      </c>
      <c r="BQ14" s="0" t="s">
        <v>228</v>
      </c>
      <c r="BR14" s="0" t="s">
        <v>228</v>
      </c>
      <c r="BS14" s="0" t="s">
        <v>228</v>
      </c>
      <c r="BT14" s="0" t="s">
        <v>228</v>
      </c>
      <c r="BU14" s="0" t="s">
        <v>228</v>
      </c>
      <c r="BV14" s="0" t="s">
        <v>228</v>
      </c>
      <c r="BW14" s="0" t="s">
        <v>228</v>
      </c>
      <c r="BX14" s="0" t="s">
        <v>228</v>
      </c>
      <c r="BY14" s="0" t="s">
        <v>228</v>
      </c>
      <c r="BZ14" s="0" t="s">
        <v>228</v>
      </c>
      <c r="CA14" s="0" t="s">
        <v>228</v>
      </c>
      <c r="CB14" s="0" t="s">
        <v>228</v>
      </c>
      <c r="CC14" s="0" t="s">
        <v>228</v>
      </c>
      <c r="CD14" s="0" t="s">
        <v>228</v>
      </c>
      <c r="CE14" s="0" t="s">
        <v>228</v>
      </c>
      <c r="CF14" s="0" t="s">
        <v>228</v>
      </c>
      <c r="CG14" s="0" t="s">
        <v>228</v>
      </c>
      <c r="CH14" s="0" t="s">
        <v>228</v>
      </c>
      <c r="CI14" s="0" t="s">
        <v>228</v>
      </c>
      <c r="CJ14" s="0" t="s">
        <v>228</v>
      </c>
      <c r="CK14" s="0" t="s">
        <v>228</v>
      </c>
      <c r="CL14" s="0" t="s">
        <v>228</v>
      </c>
      <c r="CM14" s="0" t="s">
        <v>228</v>
      </c>
      <c r="CN14" s="0" t="s">
        <v>228</v>
      </c>
      <c r="CO14" s="0" t="s">
        <v>228</v>
      </c>
      <c r="CP14" s="0" t="s">
        <v>228</v>
      </c>
      <c r="CQ14" s="0" t="s">
        <v>228</v>
      </c>
      <c r="CR14" s="0" t="s">
        <v>228</v>
      </c>
      <c r="CS14" s="0" t="s">
        <v>228</v>
      </c>
      <c r="CT14" s="0" t="s">
        <v>3568</v>
      </c>
      <c r="CU14" s="0" t="s">
        <v>3569</v>
      </c>
      <c r="CV14" s="0" t="s">
        <v>418</v>
      </c>
      <c r="CW14" s="0" t="s">
        <v>3602</v>
      </c>
      <c r="CX14" s="0" t="s">
        <v>3603</v>
      </c>
      <c r="CY14" s="0" t="s">
        <v>418</v>
      </c>
      <c r="CZ14" s="0" t="s">
        <v>504</v>
      </c>
      <c r="DA14" s="0" t="s">
        <v>3604</v>
      </c>
      <c r="DB14" s="0" t="s">
        <v>3602</v>
      </c>
      <c r="DC14" s="0" t="s">
        <v>362</v>
      </c>
      <c r="DD14" s="0" t="s">
        <v>3572</v>
      </c>
      <c r="DE14" s="0" t="s">
        <v>3683</v>
      </c>
    </row>
    <row customHeight="1" ht="11.25">
      <c r="A15" s="1353" t="s">
        <v>228</v>
      </c>
      <c r="B15" s="0" t="s">
        <v>228</v>
      </c>
      <c r="C15" s="0" t="s">
        <v>228</v>
      </c>
      <c r="D15" s="0" t="s">
        <v>228</v>
      </c>
      <c r="E15" s="0" t="s">
        <v>228</v>
      </c>
      <c r="F15" s="0" t="s">
        <v>228</v>
      </c>
      <c r="G15" s="0" t="s">
        <v>228</v>
      </c>
      <c r="H15" s="0" t="s">
        <v>228</v>
      </c>
      <c r="I15" s="0" t="s">
        <v>3555</v>
      </c>
      <c r="J15" s="0" t="s">
        <v>228</v>
      </c>
      <c r="K15" s="0" t="s">
        <v>228</v>
      </c>
      <c r="L15" s="0" t="s">
        <v>228</v>
      </c>
      <c r="M15" s="0" t="s">
        <v>228</v>
      </c>
      <c r="N15" s="0" t="s">
        <v>228</v>
      </c>
      <c r="O15" s="0" t="s">
        <v>228</v>
      </c>
      <c r="P15" s="0" t="s">
        <v>228</v>
      </c>
      <c r="Q15" s="0" t="s">
        <v>228</v>
      </c>
      <c r="R15" s="0" t="s">
        <v>3684</v>
      </c>
      <c r="S15" s="0" t="s">
        <v>228</v>
      </c>
      <c r="T15" s="0" t="s">
        <v>228</v>
      </c>
      <c r="U15" s="0" t="s">
        <v>101</v>
      </c>
      <c r="V15" s="0" t="s">
        <v>228</v>
      </c>
      <c r="W15" s="0" t="s">
        <v>228</v>
      </c>
      <c r="X15" s="0" t="s">
        <v>3557</v>
      </c>
      <c r="Y15" s="0" t="s">
        <v>228</v>
      </c>
      <c r="Z15" s="0" t="s">
        <v>160</v>
      </c>
      <c r="AA15" s="0" t="s">
        <v>151</v>
      </c>
      <c r="AB15" s="0" t="s">
        <v>151</v>
      </c>
      <c r="AC15" s="0" t="s">
        <v>2311</v>
      </c>
      <c r="AD15" s="0" t="s">
        <v>2311</v>
      </c>
      <c r="AE15" s="0" t="s">
        <v>2312</v>
      </c>
      <c r="AF15" s="0" t="s">
        <v>3685</v>
      </c>
      <c r="AG15" s="0" t="s">
        <v>3686</v>
      </c>
      <c r="AH15" s="0" t="s">
        <v>3687</v>
      </c>
      <c r="AI15" s="0" t="s">
        <v>3688</v>
      </c>
      <c r="AJ15" s="0" t="s">
        <v>3579</v>
      </c>
      <c r="AK15" s="0" t="s">
        <v>3580</v>
      </c>
      <c r="AL15" s="0" t="s">
        <v>3681</v>
      </c>
      <c r="AM15" s="0" t="s">
        <v>3565</v>
      </c>
      <c r="AN15" s="0" t="s">
        <v>3582</v>
      </c>
      <c r="AO15" s="0" t="s">
        <v>3689</v>
      </c>
      <c r="AP15" s="0" t="s">
        <v>228</v>
      </c>
      <c r="AQ15" s="0" t="s">
        <v>228</v>
      </c>
      <c r="AR15" s="0" t="s">
        <v>228</v>
      </c>
      <c r="AS15" s="0" t="s">
        <v>228</v>
      </c>
      <c r="AT15" s="0" t="s">
        <v>228</v>
      </c>
      <c r="AU15" s="0" t="s">
        <v>228</v>
      </c>
      <c r="AV15" s="0" t="s">
        <v>228</v>
      </c>
      <c r="AW15" s="0" t="s">
        <v>228</v>
      </c>
      <c r="AX15" s="0" t="s">
        <v>228</v>
      </c>
      <c r="AY15" s="0" t="s">
        <v>228</v>
      </c>
      <c r="AZ15" s="0" t="s">
        <v>228</v>
      </c>
      <c r="BA15" s="0" t="s">
        <v>228</v>
      </c>
      <c r="BB15" s="0" t="s">
        <v>228</v>
      </c>
      <c r="BC15" s="0" t="s">
        <v>228</v>
      </c>
      <c r="BD15" s="0" t="s">
        <v>228</v>
      </c>
      <c r="BE15" s="0" t="s">
        <v>228</v>
      </c>
      <c r="BF15" s="0" t="s">
        <v>228</v>
      </c>
      <c r="BG15" s="0" t="s">
        <v>228</v>
      </c>
      <c r="BH15" s="0" t="s">
        <v>228</v>
      </c>
      <c r="BI15" s="0" t="s">
        <v>228</v>
      </c>
      <c r="BJ15" s="0" t="s">
        <v>228</v>
      </c>
      <c r="BK15" s="0" t="s">
        <v>228</v>
      </c>
      <c r="BL15" s="0" t="s">
        <v>228</v>
      </c>
      <c r="BM15" s="0" t="s">
        <v>228</v>
      </c>
      <c r="BN15" s="0" t="s">
        <v>228</v>
      </c>
      <c r="BO15" s="0" t="s">
        <v>228</v>
      </c>
      <c r="BP15" s="0" t="s">
        <v>228</v>
      </c>
      <c r="BQ15" s="0" t="s">
        <v>228</v>
      </c>
      <c r="BR15" s="0" t="s">
        <v>228</v>
      </c>
      <c r="BS15" s="0" t="s">
        <v>228</v>
      </c>
      <c r="BT15" s="0" t="s">
        <v>228</v>
      </c>
      <c r="BU15" s="0" t="s">
        <v>228</v>
      </c>
      <c r="BV15" s="0" t="s">
        <v>228</v>
      </c>
      <c r="BW15" s="0" t="s">
        <v>228</v>
      </c>
      <c r="BX15" s="0" t="s">
        <v>228</v>
      </c>
      <c r="BY15" s="0" t="s">
        <v>228</v>
      </c>
      <c r="BZ15" s="0" t="s">
        <v>228</v>
      </c>
      <c r="CA15" s="0" t="s">
        <v>228</v>
      </c>
      <c r="CB15" s="0" t="s">
        <v>228</v>
      </c>
      <c r="CC15" s="0" t="s">
        <v>228</v>
      </c>
      <c r="CD15" s="0" t="s">
        <v>228</v>
      </c>
      <c r="CE15" s="0" t="s">
        <v>228</v>
      </c>
      <c r="CF15" s="0" t="s">
        <v>228</v>
      </c>
      <c r="CG15" s="0" t="s">
        <v>228</v>
      </c>
      <c r="CH15" s="0" t="s">
        <v>228</v>
      </c>
      <c r="CI15" s="0" t="s">
        <v>228</v>
      </c>
      <c r="CJ15" s="0" t="s">
        <v>228</v>
      </c>
      <c r="CK15" s="0" t="s">
        <v>228</v>
      </c>
      <c r="CL15" s="0" t="s">
        <v>228</v>
      </c>
      <c r="CM15" s="0" t="s">
        <v>228</v>
      </c>
      <c r="CN15" s="0" t="s">
        <v>228</v>
      </c>
      <c r="CO15" s="0" t="s">
        <v>228</v>
      </c>
      <c r="CP15" s="0" t="s">
        <v>228</v>
      </c>
      <c r="CQ15" s="0" t="s">
        <v>228</v>
      </c>
      <c r="CR15" s="0" t="s">
        <v>228</v>
      </c>
      <c r="CS15" s="0" t="s">
        <v>228</v>
      </c>
      <c r="CT15" s="0" t="s">
        <v>3568</v>
      </c>
      <c r="CU15" s="0" t="s">
        <v>3569</v>
      </c>
      <c r="CV15" s="0" t="s">
        <v>418</v>
      </c>
      <c r="CW15" s="0" t="s">
        <v>3584</v>
      </c>
      <c r="CX15" s="0" t="s">
        <v>419</v>
      </c>
      <c r="CY15" s="0" t="s">
        <v>418</v>
      </c>
      <c r="CZ15" s="0" t="s">
        <v>3585</v>
      </c>
      <c r="DA15" s="0" t="s">
        <v>3586</v>
      </c>
      <c r="DB15" s="0" t="s">
        <v>3584</v>
      </c>
      <c r="DC15" s="0" t="s">
        <v>362</v>
      </c>
      <c r="DD15" s="0" t="s">
        <v>3572</v>
      </c>
      <c r="DE15" s="0" t="s">
        <v>3690</v>
      </c>
    </row>
    <row customHeight="1" ht="11.25">
      <c r="A16" s="1353" t="s">
        <v>228</v>
      </c>
      <c r="B16" s="0" t="s">
        <v>228</v>
      </c>
      <c r="C16" s="0" t="s">
        <v>228</v>
      </c>
      <c r="D16" s="0" t="s">
        <v>228</v>
      </c>
      <c r="E16" s="0" t="s">
        <v>228</v>
      </c>
      <c r="F16" s="0" t="s">
        <v>228</v>
      </c>
      <c r="G16" s="0" t="s">
        <v>228</v>
      </c>
      <c r="H16" s="0" t="s">
        <v>228</v>
      </c>
      <c r="I16" s="0" t="s">
        <v>3555</v>
      </c>
      <c r="J16" s="0" t="s">
        <v>228</v>
      </c>
      <c r="K16" s="0" t="s">
        <v>228</v>
      </c>
      <c r="L16" s="0" t="s">
        <v>228</v>
      </c>
      <c r="M16" s="0" t="s">
        <v>228</v>
      </c>
      <c r="N16" s="0" t="s">
        <v>228</v>
      </c>
      <c r="O16" s="0" t="s">
        <v>228</v>
      </c>
      <c r="P16" s="0" t="s">
        <v>228</v>
      </c>
      <c r="Q16" s="0" t="s">
        <v>228</v>
      </c>
      <c r="R16" s="0" t="s">
        <v>3684</v>
      </c>
      <c r="S16" s="0" t="s">
        <v>228</v>
      </c>
      <c r="T16" s="0" t="s">
        <v>228</v>
      </c>
      <c r="U16" s="0" t="s">
        <v>101</v>
      </c>
      <c r="V16" s="0" t="s">
        <v>228</v>
      </c>
      <c r="W16" s="0" t="s">
        <v>228</v>
      </c>
      <c r="X16" s="0" t="s">
        <v>3557</v>
      </c>
      <c r="Y16" s="0" t="s">
        <v>228</v>
      </c>
      <c r="Z16" s="0" t="s">
        <v>160</v>
      </c>
      <c r="AA16" s="0" t="s">
        <v>151</v>
      </c>
      <c r="AB16" s="0" t="s">
        <v>151</v>
      </c>
      <c r="AC16" s="0" t="s">
        <v>2311</v>
      </c>
      <c r="AD16" s="0" t="s">
        <v>2311</v>
      </c>
      <c r="AE16" s="0" t="s">
        <v>2312</v>
      </c>
      <c r="AF16" s="0" t="s">
        <v>3691</v>
      </c>
      <c r="AG16" s="0" t="s">
        <v>3692</v>
      </c>
      <c r="AH16" s="0" t="s">
        <v>3693</v>
      </c>
      <c r="AI16" s="0" t="s">
        <v>3694</v>
      </c>
      <c r="AJ16" s="0" t="s">
        <v>3579</v>
      </c>
      <c r="AK16" s="0" t="s">
        <v>3627</v>
      </c>
      <c r="AL16" s="0" t="s">
        <v>3681</v>
      </c>
      <c r="AM16" s="0" t="s">
        <v>3565</v>
      </c>
      <c r="AN16" s="0" t="s">
        <v>3582</v>
      </c>
      <c r="AO16" s="0" t="s">
        <v>3695</v>
      </c>
      <c r="AP16" s="0" t="s">
        <v>228</v>
      </c>
      <c r="AQ16" s="0" t="s">
        <v>228</v>
      </c>
      <c r="AR16" s="0" t="s">
        <v>228</v>
      </c>
      <c r="AS16" s="0" t="s">
        <v>228</v>
      </c>
      <c r="AT16" s="0" t="s">
        <v>228</v>
      </c>
      <c r="AU16" s="0" t="s">
        <v>228</v>
      </c>
      <c r="AV16" s="0" t="s">
        <v>228</v>
      </c>
      <c r="AW16" s="0" t="s">
        <v>228</v>
      </c>
      <c r="AX16" s="0" t="s">
        <v>228</v>
      </c>
      <c r="AY16" s="0" t="s">
        <v>228</v>
      </c>
      <c r="AZ16" s="0" t="s">
        <v>228</v>
      </c>
      <c r="BA16" s="0" t="s">
        <v>228</v>
      </c>
      <c r="BB16" s="0" t="s">
        <v>228</v>
      </c>
      <c r="BC16" s="0" t="s">
        <v>228</v>
      </c>
      <c r="BD16" s="0" t="s">
        <v>228</v>
      </c>
      <c r="BE16" s="0" t="s">
        <v>228</v>
      </c>
      <c r="BF16" s="0" t="s">
        <v>228</v>
      </c>
      <c r="BG16" s="0" t="s">
        <v>228</v>
      </c>
      <c r="BH16" s="0" t="s">
        <v>228</v>
      </c>
      <c r="BI16" s="0" t="s">
        <v>228</v>
      </c>
      <c r="BJ16" s="0" t="s">
        <v>228</v>
      </c>
      <c r="BK16" s="0" t="s">
        <v>228</v>
      </c>
      <c r="BL16" s="0" t="s">
        <v>228</v>
      </c>
      <c r="BM16" s="0" t="s">
        <v>228</v>
      </c>
      <c r="BN16" s="0" t="s">
        <v>228</v>
      </c>
      <c r="BO16" s="0" t="s">
        <v>228</v>
      </c>
      <c r="BP16" s="0" t="s">
        <v>228</v>
      </c>
      <c r="BQ16" s="0" t="s">
        <v>228</v>
      </c>
      <c r="BR16" s="0" t="s">
        <v>228</v>
      </c>
      <c r="BS16" s="0" t="s">
        <v>228</v>
      </c>
      <c r="BT16" s="0" t="s">
        <v>228</v>
      </c>
      <c r="BU16" s="0" t="s">
        <v>228</v>
      </c>
      <c r="BV16" s="0" t="s">
        <v>228</v>
      </c>
      <c r="BW16" s="0" t="s">
        <v>228</v>
      </c>
      <c r="BX16" s="0" t="s">
        <v>228</v>
      </c>
      <c r="BY16" s="0" t="s">
        <v>228</v>
      </c>
      <c r="BZ16" s="0" t="s">
        <v>228</v>
      </c>
      <c r="CA16" s="0" t="s">
        <v>228</v>
      </c>
      <c r="CB16" s="0" t="s">
        <v>228</v>
      </c>
      <c r="CC16" s="0" t="s">
        <v>228</v>
      </c>
      <c r="CD16" s="0" t="s">
        <v>228</v>
      </c>
      <c r="CE16" s="0" t="s">
        <v>228</v>
      </c>
      <c r="CF16" s="0" t="s">
        <v>228</v>
      </c>
      <c r="CG16" s="0" t="s">
        <v>228</v>
      </c>
      <c r="CH16" s="0" t="s">
        <v>228</v>
      </c>
      <c r="CI16" s="0" t="s">
        <v>228</v>
      </c>
      <c r="CJ16" s="0" t="s">
        <v>228</v>
      </c>
      <c r="CK16" s="0" t="s">
        <v>228</v>
      </c>
      <c r="CL16" s="0" t="s">
        <v>228</v>
      </c>
      <c r="CM16" s="0" t="s">
        <v>228</v>
      </c>
      <c r="CN16" s="0" t="s">
        <v>228</v>
      </c>
      <c r="CO16" s="0" t="s">
        <v>228</v>
      </c>
      <c r="CP16" s="0" t="s">
        <v>228</v>
      </c>
      <c r="CQ16" s="0" t="s">
        <v>228</v>
      </c>
      <c r="CR16" s="0" t="s">
        <v>228</v>
      </c>
      <c r="CS16" s="0" t="s">
        <v>228</v>
      </c>
      <c r="CT16" s="0" t="s">
        <v>3568</v>
      </c>
      <c r="CU16" s="0" t="s">
        <v>3569</v>
      </c>
      <c r="CV16" s="0" t="s">
        <v>418</v>
      </c>
      <c r="CW16" s="0" t="s">
        <v>3584</v>
      </c>
      <c r="CX16" s="0" t="s">
        <v>419</v>
      </c>
      <c r="CY16" s="0" t="s">
        <v>418</v>
      </c>
      <c r="CZ16" s="0" t="s">
        <v>3585</v>
      </c>
      <c r="DA16" s="0" t="s">
        <v>3586</v>
      </c>
      <c r="DB16" s="0" t="s">
        <v>3584</v>
      </c>
      <c r="DC16" s="0" t="s">
        <v>362</v>
      </c>
      <c r="DD16" s="0" t="s">
        <v>3572</v>
      </c>
      <c r="DE16" s="0" t="s">
        <v>3696</v>
      </c>
    </row>
    <row customHeight="1" ht="11.25">
      <c r="A17" s="1353" t="s">
        <v>228</v>
      </c>
      <c r="B17" s="0" t="s">
        <v>228</v>
      </c>
      <c r="C17" s="0" t="s">
        <v>228</v>
      </c>
      <c r="D17" s="0" t="s">
        <v>228</v>
      </c>
      <c r="E17" s="0" t="s">
        <v>228</v>
      </c>
      <c r="F17" s="0" t="s">
        <v>228</v>
      </c>
      <c r="G17" s="0" t="s">
        <v>228</v>
      </c>
      <c r="H17" s="0" t="s">
        <v>228</v>
      </c>
      <c r="I17" s="0" t="s">
        <v>3555</v>
      </c>
      <c r="J17" s="0" t="s">
        <v>228</v>
      </c>
      <c r="K17" s="0" t="s">
        <v>228</v>
      </c>
      <c r="L17" s="0" t="s">
        <v>228</v>
      </c>
      <c r="M17" s="0" t="s">
        <v>228</v>
      </c>
      <c r="N17" s="0" t="s">
        <v>228</v>
      </c>
      <c r="O17" s="0" t="s">
        <v>228</v>
      </c>
      <c r="P17" s="0" t="s">
        <v>228</v>
      </c>
      <c r="Q17" s="0" t="s">
        <v>228</v>
      </c>
      <c r="R17" s="0" t="s">
        <v>3684</v>
      </c>
      <c r="S17" s="0" t="s">
        <v>228</v>
      </c>
      <c r="T17" s="0" t="s">
        <v>228</v>
      </c>
      <c r="U17" s="0" t="s">
        <v>101</v>
      </c>
      <c r="V17" s="0" t="s">
        <v>228</v>
      </c>
      <c r="W17" s="0" t="s">
        <v>228</v>
      </c>
      <c r="X17" s="0" t="s">
        <v>3557</v>
      </c>
      <c r="Y17" s="0" t="s">
        <v>228</v>
      </c>
      <c r="Z17" s="0" t="s">
        <v>160</v>
      </c>
      <c r="AA17" s="0" t="s">
        <v>151</v>
      </c>
      <c r="AB17" s="0" t="s">
        <v>151</v>
      </c>
      <c r="AC17" s="0" t="s">
        <v>2311</v>
      </c>
      <c r="AD17" s="0" t="s">
        <v>2311</v>
      </c>
      <c r="AE17" s="0" t="s">
        <v>2312</v>
      </c>
      <c r="AF17" s="0" t="s">
        <v>3697</v>
      </c>
      <c r="AG17" s="0" t="s">
        <v>3698</v>
      </c>
      <c r="AH17" s="0" t="s">
        <v>3699</v>
      </c>
      <c r="AI17" s="0" t="s">
        <v>3700</v>
      </c>
      <c r="AJ17" s="0" t="s">
        <v>3579</v>
      </c>
      <c r="AK17" s="0" t="s">
        <v>3580</v>
      </c>
      <c r="AL17" s="0" t="s">
        <v>3581</v>
      </c>
      <c r="AM17" s="0" t="s">
        <v>3565</v>
      </c>
      <c r="AN17" s="0" t="s">
        <v>3582</v>
      </c>
      <c r="AO17" s="0" t="s">
        <v>3701</v>
      </c>
      <c r="AP17" s="0" t="s">
        <v>228</v>
      </c>
      <c r="AQ17" s="0" t="s">
        <v>228</v>
      </c>
      <c r="AR17" s="0" t="s">
        <v>228</v>
      </c>
      <c r="AS17" s="0" t="s">
        <v>228</v>
      </c>
      <c r="AT17" s="0" t="s">
        <v>228</v>
      </c>
      <c r="AU17" s="0" t="s">
        <v>228</v>
      </c>
      <c r="AV17" s="0" t="s">
        <v>228</v>
      </c>
      <c r="AW17" s="0" t="s">
        <v>228</v>
      </c>
      <c r="AX17" s="0" t="s">
        <v>228</v>
      </c>
      <c r="AY17" s="0" t="s">
        <v>228</v>
      </c>
      <c r="AZ17" s="0" t="s">
        <v>228</v>
      </c>
      <c r="BA17" s="0" t="s">
        <v>228</v>
      </c>
      <c r="BB17" s="0" t="s">
        <v>228</v>
      </c>
      <c r="BC17" s="0" t="s">
        <v>228</v>
      </c>
      <c r="BD17" s="0" t="s">
        <v>228</v>
      </c>
      <c r="BE17" s="0" t="s">
        <v>228</v>
      </c>
      <c r="BF17" s="0" t="s">
        <v>228</v>
      </c>
      <c r="BG17" s="0" t="s">
        <v>228</v>
      </c>
      <c r="BH17" s="0" t="s">
        <v>228</v>
      </c>
      <c r="BI17" s="0" t="s">
        <v>228</v>
      </c>
      <c r="BJ17" s="0" t="s">
        <v>228</v>
      </c>
      <c r="BK17" s="0" t="s">
        <v>228</v>
      </c>
      <c r="BL17" s="0" t="s">
        <v>228</v>
      </c>
      <c r="BM17" s="0" t="s">
        <v>228</v>
      </c>
      <c r="BN17" s="0" t="s">
        <v>228</v>
      </c>
      <c r="BO17" s="0" t="s">
        <v>228</v>
      </c>
      <c r="BP17" s="0" t="s">
        <v>228</v>
      </c>
      <c r="BQ17" s="0" t="s">
        <v>228</v>
      </c>
      <c r="BR17" s="0" t="s">
        <v>228</v>
      </c>
      <c r="BS17" s="0" t="s">
        <v>228</v>
      </c>
      <c r="BT17" s="0" t="s">
        <v>228</v>
      </c>
      <c r="BU17" s="0" t="s">
        <v>228</v>
      </c>
      <c r="BV17" s="0" t="s">
        <v>228</v>
      </c>
      <c r="BW17" s="0" t="s">
        <v>228</v>
      </c>
      <c r="BX17" s="0" t="s">
        <v>228</v>
      </c>
      <c r="BY17" s="0" t="s">
        <v>228</v>
      </c>
      <c r="BZ17" s="0" t="s">
        <v>228</v>
      </c>
      <c r="CA17" s="0" t="s">
        <v>228</v>
      </c>
      <c r="CB17" s="0" t="s">
        <v>228</v>
      </c>
      <c r="CC17" s="0" t="s">
        <v>228</v>
      </c>
      <c r="CD17" s="0" t="s">
        <v>228</v>
      </c>
      <c r="CE17" s="0" t="s">
        <v>228</v>
      </c>
      <c r="CF17" s="0" t="s">
        <v>228</v>
      </c>
      <c r="CG17" s="0" t="s">
        <v>228</v>
      </c>
      <c r="CH17" s="0" t="s">
        <v>228</v>
      </c>
      <c r="CI17" s="0" t="s">
        <v>228</v>
      </c>
      <c r="CJ17" s="0" t="s">
        <v>228</v>
      </c>
      <c r="CK17" s="0" t="s">
        <v>228</v>
      </c>
      <c r="CL17" s="0" t="s">
        <v>228</v>
      </c>
      <c r="CM17" s="0" t="s">
        <v>228</v>
      </c>
      <c r="CN17" s="0" t="s">
        <v>228</v>
      </c>
      <c r="CO17" s="0" t="s">
        <v>228</v>
      </c>
      <c r="CP17" s="0" t="s">
        <v>228</v>
      </c>
      <c r="CQ17" s="0" t="s">
        <v>228</v>
      </c>
      <c r="CR17" s="0" t="s">
        <v>228</v>
      </c>
      <c r="CS17" s="0" t="s">
        <v>228</v>
      </c>
      <c r="CT17" s="0" t="s">
        <v>3568</v>
      </c>
      <c r="CU17" s="0" t="s">
        <v>3569</v>
      </c>
      <c r="CV17" s="0" t="s">
        <v>418</v>
      </c>
      <c r="CW17" s="0" t="s">
        <v>3584</v>
      </c>
      <c r="CX17" s="0" t="s">
        <v>419</v>
      </c>
      <c r="CY17" s="0" t="s">
        <v>418</v>
      </c>
      <c r="CZ17" s="0" t="s">
        <v>3585</v>
      </c>
      <c r="DA17" s="0" t="s">
        <v>3586</v>
      </c>
      <c r="DB17" s="0" t="s">
        <v>3584</v>
      </c>
      <c r="DC17" s="0" t="s">
        <v>362</v>
      </c>
      <c r="DD17" s="0" t="s">
        <v>3572</v>
      </c>
      <c r="DE17" s="0" t="s">
        <v>3702</v>
      </c>
    </row>
    <row customHeight="1" ht="11.25">
      <c r="A18" s="1353" t="s">
        <v>228</v>
      </c>
      <c r="B18" s="0" t="s">
        <v>228</v>
      </c>
      <c r="C18" s="0" t="s">
        <v>228</v>
      </c>
      <c r="D18" s="0" t="s">
        <v>228</v>
      </c>
      <c r="E18" s="0" t="s">
        <v>228</v>
      </c>
      <c r="F18" s="0" t="s">
        <v>228</v>
      </c>
      <c r="G18" s="0" t="s">
        <v>228</v>
      </c>
      <c r="H18" s="0" t="s">
        <v>228</v>
      </c>
      <c r="I18" s="0" t="s">
        <v>3555</v>
      </c>
      <c r="J18" s="0" t="s">
        <v>228</v>
      </c>
      <c r="K18" s="0" t="s">
        <v>228</v>
      </c>
      <c r="L18" s="0" t="s">
        <v>228</v>
      </c>
      <c r="M18" s="0" t="s">
        <v>228</v>
      </c>
      <c r="N18" s="0" t="s">
        <v>228</v>
      </c>
      <c r="O18" s="0" t="s">
        <v>228</v>
      </c>
      <c r="P18" s="0" t="s">
        <v>228</v>
      </c>
      <c r="Q18" s="0" t="s">
        <v>228</v>
      </c>
      <c r="R18" s="0" t="s">
        <v>3703</v>
      </c>
      <c r="S18" s="0" t="s">
        <v>228</v>
      </c>
      <c r="T18" s="0" t="s">
        <v>228</v>
      </c>
      <c r="U18" s="0" t="s">
        <v>101</v>
      </c>
      <c r="V18" s="0" t="s">
        <v>228</v>
      </c>
      <c r="W18" s="0" t="s">
        <v>228</v>
      </c>
      <c r="X18" s="0" t="s">
        <v>3557</v>
      </c>
      <c r="Y18" s="0" t="s">
        <v>228</v>
      </c>
      <c r="Z18" s="0" t="s">
        <v>160</v>
      </c>
      <c r="AA18" s="0" t="s">
        <v>151</v>
      </c>
      <c r="AB18" s="0" t="s">
        <v>151</v>
      </c>
      <c r="AC18" s="0" t="s">
        <v>2715</v>
      </c>
      <c r="AD18" s="0" t="s">
        <v>2715</v>
      </c>
      <c r="AE18" s="0" t="s">
        <v>2716</v>
      </c>
      <c r="AF18" s="0" t="s">
        <v>3594</v>
      </c>
      <c r="AG18" s="0" t="s">
        <v>3595</v>
      </c>
      <c r="AH18" s="0" t="s">
        <v>3704</v>
      </c>
      <c r="AI18" s="0" t="s">
        <v>3608</v>
      </c>
      <c r="AJ18" s="0" t="s">
        <v>3679</v>
      </c>
      <c r="AK18" s="0" t="s">
        <v>3705</v>
      </c>
      <c r="AL18" s="0" t="s">
        <v>3599</v>
      </c>
      <c r="AM18" s="0" t="s">
        <v>3565</v>
      </c>
      <c r="AN18" s="0" t="s">
        <v>3706</v>
      </c>
      <c r="AO18" s="0" t="s">
        <v>3682</v>
      </c>
      <c r="AP18" s="0" t="s">
        <v>228</v>
      </c>
      <c r="AQ18" s="0" t="s">
        <v>228</v>
      </c>
      <c r="AR18" s="0" t="s">
        <v>228</v>
      </c>
      <c r="AS18" s="0" t="s">
        <v>228</v>
      </c>
      <c r="AT18" s="0" t="s">
        <v>228</v>
      </c>
      <c r="AU18" s="0" t="s">
        <v>228</v>
      </c>
      <c r="AV18" s="0" t="s">
        <v>228</v>
      </c>
      <c r="AW18" s="0" t="s">
        <v>228</v>
      </c>
      <c r="AX18" s="0" t="s">
        <v>228</v>
      </c>
      <c r="AY18" s="0" t="s">
        <v>228</v>
      </c>
      <c r="AZ18" s="0" t="s">
        <v>228</v>
      </c>
      <c r="BA18" s="0" t="s">
        <v>228</v>
      </c>
      <c r="BB18" s="0" t="s">
        <v>228</v>
      </c>
      <c r="BC18" s="0" t="s">
        <v>228</v>
      </c>
      <c r="BD18" s="0" t="s">
        <v>228</v>
      </c>
      <c r="BE18" s="0" t="s">
        <v>228</v>
      </c>
      <c r="BF18" s="0" t="s">
        <v>228</v>
      </c>
      <c r="BG18" s="0" t="s">
        <v>228</v>
      </c>
      <c r="BH18" s="0" t="s">
        <v>228</v>
      </c>
      <c r="BI18" s="0" t="s">
        <v>228</v>
      </c>
      <c r="BJ18" s="0" t="s">
        <v>228</v>
      </c>
      <c r="BK18" s="0" t="s">
        <v>228</v>
      </c>
      <c r="BL18" s="0" t="s">
        <v>228</v>
      </c>
      <c r="BM18" s="0" t="s">
        <v>228</v>
      </c>
      <c r="BN18" s="0" t="s">
        <v>228</v>
      </c>
      <c r="BO18" s="0" t="s">
        <v>228</v>
      </c>
      <c r="BP18" s="0" t="s">
        <v>228</v>
      </c>
      <c r="BQ18" s="0" t="s">
        <v>228</v>
      </c>
      <c r="BR18" s="0" t="s">
        <v>228</v>
      </c>
      <c r="BS18" s="0" t="s">
        <v>228</v>
      </c>
      <c r="BT18" s="0" t="s">
        <v>228</v>
      </c>
      <c r="BU18" s="0" t="s">
        <v>228</v>
      </c>
      <c r="BV18" s="0" t="s">
        <v>228</v>
      </c>
      <c r="BW18" s="0" t="s">
        <v>228</v>
      </c>
      <c r="BX18" s="0" t="s">
        <v>228</v>
      </c>
      <c r="BY18" s="0" t="s">
        <v>228</v>
      </c>
      <c r="BZ18" s="0" t="s">
        <v>228</v>
      </c>
      <c r="CA18" s="0" t="s">
        <v>228</v>
      </c>
      <c r="CB18" s="0" t="s">
        <v>228</v>
      </c>
      <c r="CC18" s="0" t="s">
        <v>228</v>
      </c>
      <c r="CD18" s="0" t="s">
        <v>228</v>
      </c>
      <c r="CE18" s="0" t="s">
        <v>228</v>
      </c>
      <c r="CF18" s="0" t="s">
        <v>228</v>
      </c>
      <c r="CG18" s="0" t="s">
        <v>228</v>
      </c>
      <c r="CH18" s="0" t="s">
        <v>228</v>
      </c>
      <c r="CI18" s="0" t="s">
        <v>228</v>
      </c>
      <c r="CJ18" s="0" t="s">
        <v>228</v>
      </c>
      <c r="CK18" s="0" t="s">
        <v>228</v>
      </c>
      <c r="CL18" s="0" t="s">
        <v>228</v>
      </c>
      <c r="CM18" s="0" t="s">
        <v>228</v>
      </c>
      <c r="CN18" s="0" t="s">
        <v>228</v>
      </c>
      <c r="CO18" s="0" t="s">
        <v>228</v>
      </c>
      <c r="CP18" s="0" t="s">
        <v>228</v>
      </c>
      <c r="CQ18" s="0" t="s">
        <v>228</v>
      </c>
      <c r="CR18" s="0" t="s">
        <v>228</v>
      </c>
      <c r="CS18" s="0" t="s">
        <v>228</v>
      </c>
      <c r="CT18" s="0" t="s">
        <v>3568</v>
      </c>
      <c r="CU18" s="0" t="s">
        <v>3569</v>
      </c>
      <c r="CV18" s="0" t="s">
        <v>418</v>
      </c>
      <c r="CW18" s="0" t="s">
        <v>3602</v>
      </c>
      <c r="CX18" s="0" t="s">
        <v>3603</v>
      </c>
      <c r="CY18" s="0" t="s">
        <v>418</v>
      </c>
      <c r="CZ18" s="0" t="s">
        <v>504</v>
      </c>
      <c r="DA18" s="0" t="s">
        <v>3604</v>
      </c>
      <c r="DB18" s="0" t="s">
        <v>3602</v>
      </c>
      <c r="DC18" s="0" t="s">
        <v>362</v>
      </c>
      <c r="DD18" s="0" t="s">
        <v>3572</v>
      </c>
      <c r="DE18" s="0" t="s">
        <v>3707</v>
      </c>
    </row>
    <row customHeight="1" ht="11.25">
      <c r="A19" s="1353" t="s">
        <v>228</v>
      </c>
      <c r="B19" s="0" t="s">
        <v>228</v>
      </c>
      <c r="C19" s="0" t="s">
        <v>228</v>
      </c>
      <c r="D19" s="0" t="s">
        <v>228</v>
      </c>
      <c r="E19" s="0" t="s">
        <v>228</v>
      </c>
      <c r="F19" s="0" t="s">
        <v>228</v>
      </c>
      <c r="G19" s="0" t="s">
        <v>228</v>
      </c>
      <c r="H19" s="0" t="s">
        <v>228</v>
      </c>
      <c r="I19" s="0" t="s">
        <v>3555</v>
      </c>
      <c r="J19" s="0" t="s">
        <v>228</v>
      </c>
      <c r="K19" s="0" t="s">
        <v>228</v>
      </c>
      <c r="L19" s="0" t="s">
        <v>228</v>
      </c>
      <c r="M19" s="0" t="s">
        <v>228</v>
      </c>
      <c r="N19" s="0" t="s">
        <v>228</v>
      </c>
      <c r="O19" s="0" t="s">
        <v>228</v>
      </c>
      <c r="P19" s="0" t="s">
        <v>228</v>
      </c>
      <c r="Q19" s="0" t="s">
        <v>228</v>
      </c>
      <c r="R19" s="0" t="s">
        <v>3684</v>
      </c>
      <c r="S19" s="0" t="s">
        <v>228</v>
      </c>
      <c r="T19" s="0" t="s">
        <v>228</v>
      </c>
      <c r="U19" s="0" t="s">
        <v>101</v>
      </c>
      <c r="V19" s="0" t="s">
        <v>228</v>
      </c>
      <c r="W19" s="0" t="s">
        <v>228</v>
      </c>
      <c r="X19" s="0" t="s">
        <v>3557</v>
      </c>
      <c r="Y19" s="0" t="s">
        <v>228</v>
      </c>
      <c r="Z19" s="0" t="s">
        <v>160</v>
      </c>
      <c r="AA19" s="0" t="s">
        <v>151</v>
      </c>
      <c r="AB19" s="0" t="s">
        <v>151</v>
      </c>
      <c r="AC19" s="0" t="s">
        <v>2311</v>
      </c>
      <c r="AD19" s="0" t="s">
        <v>2311</v>
      </c>
      <c r="AE19" s="0" t="s">
        <v>2312</v>
      </c>
      <c r="AF19" s="0" t="s">
        <v>3708</v>
      </c>
      <c r="AG19" s="0" t="s">
        <v>3709</v>
      </c>
      <c r="AH19" s="0" t="s">
        <v>3710</v>
      </c>
      <c r="AI19" s="0" t="s">
        <v>3711</v>
      </c>
      <c r="AJ19" s="0" t="s">
        <v>3579</v>
      </c>
      <c r="AK19" s="0" t="s">
        <v>3580</v>
      </c>
      <c r="AL19" s="0" t="s">
        <v>3681</v>
      </c>
      <c r="AM19" s="0" t="s">
        <v>3565</v>
      </c>
      <c r="AN19" s="0" t="s">
        <v>3582</v>
      </c>
      <c r="AO19" s="0" t="s">
        <v>3712</v>
      </c>
      <c r="AP19" s="0" t="s">
        <v>228</v>
      </c>
      <c r="AQ19" s="0" t="s">
        <v>228</v>
      </c>
      <c r="AR19" s="0" t="s">
        <v>228</v>
      </c>
      <c r="AS19" s="0" t="s">
        <v>228</v>
      </c>
      <c r="AT19" s="0" t="s">
        <v>228</v>
      </c>
      <c r="AU19" s="0" t="s">
        <v>228</v>
      </c>
      <c r="AV19" s="0" t="s">
        <v>228</v>
      </c>
      <c r="AW19" s="0" t="s">
        <v>228</v>
      </c>
      <c r="AX19" s="0" t="s">
        <v>228</v>
      </c>
      <c r="AY19" s="0" t="s">
        <v>228</v>
      </c>
      <c r="AZ19" s="0" t="s">
        <v>228</v>
      </c>
      <c r="BA19" s="0" t="s">
        <v>228</v>
      </c>
      <c r="BB19" s="0" t="s">
        <v>228</v>
      </c>
      <c r="BC19" s="0" t="s">
        <v>228</v>
      </c>
      <c r="BD19" s="0" t="s">
        <v>228</v>
      </c>
      <c r="BE19" s="0" t="s">
        <v>228</v>
      </c>
      <c r="BF19" s="0" t="s">
        <v>228</v>
      </c>
      <c r="BG19" s="0" t="s">
        <v>228</v>
      </c>
      <c r="BH19" s="0" t="s">
        <v>228</v>
      </c>
      <c r="BI19" s="0" t="s">
        <v>228</v>
      </c>
      <c r="BJ19" s="0" t="s">
        <v>228</v>
      </c>
      <c r="BK19" s="0" t="s">
        <v>228</v>
      </c>
      <c r="BL19" s="0" t="s">
        <v>228</v>
      </c>
      <c r="BM19" s="0" t="s">
        <v>228</v>
      </c>
      <c r="BN19" s="0" t="s">
        <v>228</v>
      </c>
      <c r="BO19" s="0" t="s">
        <v>228</v>
      </c>
      <c r="BP19" s="0" t="s">
        <v>228</v>
      </c>
      <c r="BQ19" s="0" t="s">
        <v>228</v>
      </c>
      <c r="BR19" s="0" t="s">
        <v>228</v>
      </c>
      <c r="BS19" s="0" t="s">
        <v>228</v>
      </c>
      <c r="BT19" s="0" t="s">
        <v>228</v>
      </c>
      <c r="BU19" s="0" t="s">
        <v>228</v>
      </c>
      <c r="BV19" s="0" t="s">
        <v>228</v>
      </c>
      <c r="BW19" s="0" t="s">
        <v>228</v>
      </c>
      <c r="BX19" s="0" t="s">
        <v>228</v>
      </c>
      <c r="BY19" s="0" t="s">
        <v>228</v>
      </c>
      <c r="BZ19" s="0" t="s">
        <v>228</v>
      </c>
      <c r="CA19" s="0" t="s">
        <v>228</v>
      </c>
      <c r="CB19" s="0" t="s">
        <v>228</v>
      </c>
      <c r="CC19" s="0" t="s">
        <v>228</v>
      </c>
      <c r="CD19" s="0" t="s">
        <v>228</v>
      </c>
      <c r="CE19" s="0" t="s">
        <v>228</v>
      </c>
      <c r="CF19" s="0" t="s">
        <v>228</v>
      </c>
      <c r="CG19" s="0" t="s">
        <v>228</v>
      </c>
      <c r="CH19" s="0" t="s">
        <v>228</v>
      </c>
      <c r="CI19" s="0" t="s">
        <v>228</v>
      </c>
      <c r="CJ19" s="0" t="s">
        <v>228</v>
      </c>
      <c r="CK19" s="0" t="s">
        <v>228</v>
      </c>
      <c r="CL19" s="0" t="s">
        <v>228</v>
      </c>
      <c r="CM19" s="0" t="s">
        <v>228</v>
      </c>
      <c r="CN19" s="0" t="s">
        <v>228</v>
      </c>
      <c r="CO19" s="0" t="s">
        <v>228</v>
      </c>
      <c r="CP19" s="0" t="s">
        <v>228</v>
      </c>
      <c r="CQ19" s="0" t="s">
        <v>228</v>
      </c>
      <c r="CR19" s="0" t="s">
        <v>228</v>
      </c>
      <c r="CS19" s="0" t="s">
        <v>228</v>
      </c>
      <c r="CT19" s="0" t="s">
        <v>3568</v>
      </c>
      <c r="CU19" s="0" t="s">
        <v>3569</v>
      </c>
      <c r="CV19" s="0" t="s">
        <v>418</v>
      </c>
      <c r="CW19" s="0" t="s">
        <v>3584</v>
      </c>
      <c r="CX19" s="0" t="s">
        <v>419</v>
      </c>
      <c r="CY19" s="0" t="s">
        <v>418</v>
      </c>
      <c r="CZ19" s="0" t="s">
        <v>3585</v>
      </c>
      <c r="DA19" s="0" t="s">
        <v>3586</v>
      </c>
      <c r="DB19" s="0" t="s">
        <v>3584</v>
      </c>
      <c r="DC19" s="0" t="s">
        <v>362</v>
      </c>
      <c r="DD19" s="0" t="s">
        <v>3572</v>
      </c>
      <c r="DE19" s="0" t="s">
        <v>3713</v>
      </c>
    </row>
    <row customHeight="1" ht="11.25">
      <c r="A20" s="1353" t="s">
        <v>228</v>
      </c>
      <c r="B20" s="0" t="s">
        <v>228</v>
      </c>
      <c r="C20" s="0" t="s">
        <v>228</v>
      </c>
      <c r="D20" s="0" t="s">
        <v>228</v>
      </c>
      <c r="E20" s="0" t="s">
        <v>228</v>
      </c>
      <c r="F20" s="0" t="s">
        <v>228</v>
      </c>
      <c r="G20" s="0" t="s">
        <v>228</v>
      </c>
      <c r="H20" s="0" t="s">
        <v>228</v>
      </c>
      <c r="I20" s="0" t="s">
        <v>3555</v>
      </c>
      <c r="J20" s="0" t="s">
        <v>228</v>
      </c>
      <c r="K20" s="0" t="s">
        <v>228</v>
      </c>
      <c r="L20" s="0" t="s">
        <v>228</v>
      </c>
      <c r="M20" s="0" t="s">
        <v>228</v>
      </c>
      <c r="N20" s="0" t="s">
        <v>228</v>
      </c>
      <c r="O20" s="0" t="s">
        <v>228</v>
      </c>
      <c r="P20" s="0" t="s">
        <v>228</v>
      </c>
      <c r="Q20" s="0" t="s">
        <v>228</v>
      </c>
      <c r="R20" s="0" t="s">
        <v>3714</v>
      </c>
      <c r="S20" s="0" t="s">
        <v>228</v>
      </c>
      <c r="T20" s="0" t="s">
        <v>228</v>
      </c>
      <c r="U20" s="0" t="s">
        <v>101</v>
      </c>
      <c r="V20" s="0" t="s">
        <v>228</v>
      </c>
      <c r="W20" s="0" t="s">
        <v>228</v>
      </c>
      <c r="X20" s="0" t="s">
        <v>3557</v>
      </c>
      <c r="Y20" s="0" t="s">
        <v>228</v>
      </c>
      <c r="Z20" s="0" t="s">
        <v>160</v>
      </c>
      <c r="AA20" s="0" t="s">
        <v>151</v>
      </c>
      <c r="AB20" s="0" t="s">
        <v>151</v>
      </c>
      <c r="AC20" s="0" t="s">
        <v>2311</v>
      </c>
      <c r="AD20" s="0" t="s">
        <v>2311</v>
      </c>
      <c r="AE20" s="0" t="s">
        <v>2312</v>
      </c>
      <c r="AF20" s="0" t="s">
        <v>3708</v>
      </c>
      <c r="AG20" s="0" t="s">
        <v>3709</v>
      </c>
      <c r="AH20" s="0" t="s">
        <v>3715</v>
      </c>
      <c r="AI20" s="0" t="s">
        <v>3716</v>
      </c>
      <c r="AJ20" s="0" t="s">
        <v>3579</v>
      </c>
      <c r="AK20" s="0" t="s">
        <v>3580</v>
      </c>
      <c r="AL20" s="0" t="s">
        <v>3681</v>
      </c>
      <c r="AM20" s="0" t="s">
        <v>3565</v>
      </c>
      <c r="AN20" s="0" t="s">
        <v>3582</v>
      </c>
      <c r="AO20" s="0" t="s">
        <v>3712</v>
      </c>
      <c r="AP20" s="0" t="s">
        <v>228</v>
      </c>
      <c r="AQ20" s="0" t="s">
        <v>228</v>
      </c>
      <c r="AR20" s="0" t="s">
        <v>228</v>
      </c>
      <c r="AS20" s="0" t="s">
        <v>228</v>
      </c>
      <c r="AT20" s="0" t="s">
        <v>228</v>
      </c>
      <c r="AU20" s="0" t="s">
        <v>228</v>
      </c>
      <c r="AV20" s="0" t="s">
        <v>228</v>
      </c>
      <c r="AW20" s="0" t="s">
        <v>228</v>
      </c>
      <c r="AX20" s="0" t="s">
        <v>228</v>
      </c>
      <c r="AY20" s="0" t="s">
        <v>228</v>
      </c>
      <c r="AZ20" s="0" t="s">
        <v>228</v>
      </c>
      <c r="BA20" s="0" t="s">
        <v>228</v>
      </c>
      <c r="BB20" s="0" t="s">
        <v>228</v>
      </c>
      <c r="BC20" s="0" t="s">
        <v>228</v>
      </c>
      <c r="BD20" s="0" t="s">
        <v>228</v>
      </c>
      <c r="BE20" s="0" t="s">
        <v>228</v>
      </c>
      <c r="BF20" s="0" t="s">
        <v>228</v>
      </c>
      <c r="BG20" s="0" t="s">
        <v>228</v>
      </c>
      <c r="BH20" s="0" t="s">
        <v>228</v>
      </c>
      <c r="BI20" s="0" t="s">
        <v>228</v>
      </c>
      <c r="BJ20" s="0" t="s">
        <v>228</v>
      </c>
      <c r="BK20" s="0" t="s">
        <v>228</v>
      </c>
      <c r="BL20" s="0" t="s">
        <v>228</v>
      </c>
      <c r="BM20" s="0" t="s">
        <v>228</v>
      </c>
      <c r="BN20" s="0" t="s">
        <v>228</v>
      </c>
      <c r="BO20" s="0" t="s">
        <v>228</v>
      </c>
      <c r="BP20" s="0" t="s">
        <v>228</v>
      </c>
      <c r="BQ20" s="0" t="s">
        <v>228</v>
      </c>
      <c r="BR20" s="0" t="s">
        <v>228</v>
      </c>
      <c r="BS20" s="0" t="s">
        <v>228</v>
      </c>
      <c r="BT20" s="0" t="s">
        <v>228</v>
      </c>
      <c r="BU20" s="0" t="s">
        <v>228</v>
      </c>
      <c r="BV20" s="0" t="s">
        <v>228</v>
      </c>
      <c r="BW20" s="0" t="s">
        <v>228</v>
      </c>
      <c r="BX20" s="0" t="s">
        <v>228</v>
      </c>
      <c r="BY20" s="0" t="s">
        <v>228</v>
      </c>
      <c r="BZ20" s="0" t="s">
        <v>228</v>
      </c>
      <c r="CA20" s="0" t="s">
        <v>228</v>
      </c>
      <c r="CB20" s="0" t="s">
        <v>228</v>
      </c>
      <c r="CC20" s="0" t="s">
        <v>228</v>
      </c>
      <c r="CD20" s="0" t="s">
        <v>228</v>
      </c>
      <c r="CE20" s="0" t="s">
        <v>228</v>
      </c>
      <c r="CF20" s="0" t="s">
        <v>228</v>
      </c>
      <c r="CG20" s="0" t="s">
        <v>228</v>
      </c>
      <c r="CH20" s="0" t="s">
        <v>228</v>
      </c>
      <c r="CI20" s="0" t="s">
        <v>228</v>
      </c>
      <c r="CJ20" s="0" t="s">
        <v>228</v>
      </c>
      <c r="CK20" s="0" t="s">
        <v>228</v>
      </c>
      <c r="CL20" s="0" t="s">
        <v>228</v>
      </c>
      <c r="CM20" s="0" t="s">
        <v>228</v>
      </c>
      <c r="CN20" s="0" t="s">
        <v>228</v>
      </c>
      <c r="CO20" s="0" t="s">
        <v>228</v>
      </c>
      <c r="CP20" s="0" t="s">
        <v>228</v>
      </c>
      <c r="CQ20" s="0" t="s">
        <v>228</v>
      </c>
      <c r="CR20" s="0" t="s">
        <v>228</v>
      </c>
      <c r="CS20" s="0" t="s">
        <v>228</v>
      </c>
      <c r="CT20" s="0" t="s">
        <v>3568</v>
      </c>
      <c r="CU20" s="0" t="s">
        <v>3569</v>
      </c>
      <c r="CV20" s="0" t="s">
        <v>418</v>
      </c>
      <c r="CW20" s="0" t="s">
        <v>3584</v>
      </c>
      <c r="CX20" s="0" t="s">
        <v>419</v>
      </c>
      <c r="CY20" s="0" t="s">
        <v>418</v>
      </c>
      <c r="CZ20" s="0" t="s">
        <v>3585</v>
      </c>
      <c r="DA20" s="0" t="s">
        <v>3586</v>
      </c>
      <c r="DB20" s="0" t="s">
        <v>3584</v>
      </c>
      <c r="DC20" s="0" t="s">
        <v>362</v>
      </c>
      <c r="DD20" s="0" t="s">
        <v>3572</v>
      </c>
      <c r="DE20" s="0" t="s">
        <v>3717</v>
      </c>
    </row>
    <row customHeight="1" ht="11.25">
      <c r="A21" s="1353" t="s">
        <v>228</v>
      </c>
      <c r="B21" s="0" t="s">
        <v>228</v>
      </c>
      <c r="C21" s="0" t="s">
        <v>228</v>
      </c>
      <c r="D21" s="0" t="s">
        <v>228</v>
      </c>
      <c r="E21" s="0" t="s">
        <v>228</v>
      </c>
      <c r="F21" s="0" t="s">
        <v>228</v>
      </c>
      <c r="G21" s="0" t="s">
        <v>228</v>
      </c>
      <c r="H21" s="0" t="s">
        <v>228</v>
      </c>
      <c r="I21" s="0" t="s">
        <v>3555</v>
      </c>
      <c r="J21" s="0" t="s">
        <v>228</v>
      </c>
      <c r="K21" s="0" t="s">
        <v>228</v>
      </c>
      <c r="L21" s="0" t="s">
        <v>228</v>
      </c>
      <c r="M21" s="0" t="s">
        <v>228</v>
      </c>
      <c r="N21" s="0" t="s">
        <v>228</v>
      </c>
      <c r="O21" s="0" t="s">
        <v>228</v>
      </c>
      <c r="P21" s="0" t="s">
        <v>228</v>
      </c>
      <c r="Q21" s="0" t="s">
        <v>228</v>
      </c>
      <c r="R21" s="0" t="s">
        <v>3718</v>
      </c>
      <c r="S21" s="0" t="s">
        <v>228</v>
      </c>
      <c r="T21" s="0" t="s">
        <v>228</v>
      </c>
      <c r="U21" s="0" t="s">
        <v>101</v>
      </c>
      <c r="V21" s="0" t="s">
        <v>228</v>
      </c>
      <c r="W21" s="0" t="s">
        <v>228</v>
      </c>
      <c r="X21" s="0" t="s">
        <v>3661</v>
      </c>
      <c r="Y21" s="0" t="s">
        <v>228</v>
      </c>
      <c r="Z21" s="0" t="s">
        <v>151</v>
      </c>
      <c r="AA21" s="0" t="s">
        <v>151</v>
      </c>
      <c r="AB21" s="0" t="s">
        <v>160</v>
      </c>
      <c r="AC21" s="0" t="s">
        <v>2311</v>
      </c>
      <c r="AD21" s="0" t="s">
        <v>2311</v>
      </c>
      <c r="AE21" s="0" t="s">
        <v>2312</v>
      </c>
      <c r="AF21" s="0" t="s">
        <v>3719</v>
      </c>
      <c r="AG21" s="0" t="s">
        <v>3720</v>
      </c>
      <c r="AH21" s="0" t="s">
        <v>3719</v>
      </c>
      <c r="AI21" s="0" t="s">
        <v>3721</v>
      </c>
      <c r="AJ21" s="0" t="s">
        <v>228</v>
      </c>
      <c r="AK21" s="0" t="s">
        <v>228</v>
      </c>
      <c r="AL21" s="0" t="s">
        <v>228</v>
      </c>
      <c r="AM21" s="0" t="s">
        <v>228</v>
      </c>
      <c r="AN21" s="0" t="s">
        <v>228</v>
      </c>
      <c r="AO21" s="0" t="s">
        <v>228</v>
      </c>
      <c r="AP21" s="0" t="s">
        <v>228</v>
      </c>
      <c r="AQ21" s="0" t="s">
        <v>228</v>
      </c>
      <c r="AR21" s="0" t="s">
        <v>228</v>
      </c>
      <c r="AS21" s="0" t="s">
        <v>228</v>
      </c>
      <c r="AT21" s="0" t="s">
        <v>228</v>
      </c>
      <c r="AU21" s="0" t="s">
        <v>228</v>
      </c>
      <c r="AV21" s="0" t="s">
        <v>228</v>
      </c>
      <c r="AW21" s="0" t="s">
        <v>228</v>
      </c>
      <c r="AX21" s="0" t="s">
        <v>228</v>
      </c>
      <c r="AY21" s="0" t="s">
        <v>228</v>
      </c>
      <c r="AZ21" s="0" t="s">
        <v>228</v>
      </c>
      <c r="BA21" s="0" t="s">
        <v>228</v>
      </c>
      <c r="BB21" s="0" t="s">
        <v>228</v>
      </c>
      <c r="BC21" s="0" t="s">
        <v>228</v>
      </c>
      <c r="BD21" s="0" t="s">
        <v>228</v>
      </c>
      <c r="BE21" s="0" t="s">
        <v>3722</v>
      </c>
      <c r="BF21" s="0" t="s">
        <v>3722</v>
      </c>
      <c r="BG21" s="0" t="s">
        <v>111</v>
      </c>
      <c r="BH21" s="0" t="s">
        <v>3665</v>
      </c>
      <c r="BI21" s="0" t="s">
        <v>122</v>
      </c>
      <c r="BJ21" s="0" t="s">
        <v>228</v>
      </c>
      <c r="BK21" s="0" t="s">
        <v>3684</v>
      </c>
      <c r="BL21" s="0" t="s">
        <v>2311</v>
      </c>
      <c r="BM21" s="0" t="s">
        <v>2311</v>
      </c>
      <c r="BN21" s="0" t="s">
        <v>3723</v>
      </c>
      <c r="BO21" s="0" t="s">
        <v>3719</v>
      </c>
      <c r="BP21" s="0" t="s">
        <v>3724</v>
      </c>
      <c r="BQ21" s="0" t="s">
        <v>3725</v>
      </c>
      <c r="BR21" s="0" t="s">
        <v>3726</v>
      </c>
      <c r="BS21" s="0" t="s">
        <v>228</v>
      </c>
      <c r="BT21" s="0" t="s">
        <v>3727</v>
      </c>
      <c r="BU21" s="0" t="s">
        <v>3728</v>
      </c>
      <c r="BV21" s="0" t="s">
        <v>3728</v>
      </c>
      <c r="BW21" s="0" t="s">
        <v>3674</v>
      </c>
      <c r="BX21" s="0" t="s">
        <v>3674</v>
      </c>
      <c r="BY21" s="0" t="s">
        <v>3674</v>
      </c>
      <c r="BZ21" s="0" t="s">
        <v>3674</v>
      </c>
      <c r="CA21" s="0" t="s">
        <v>3674</v>
      </c>
      <c r="CB21" s="0" t="s">
        <v>228</v>
      </c>
      <c r="CC21" s="0" t="s">
        <v>228</v>
      </c>
      <c r="CD21" s="0" t="s">
        <v>228</v>
      </c>
      <c r="CE21" s="0" t="s">
        <v>228</v>
      </c>
      <c r="CF21" s="0" t="s">
        <v>228</v>
      </c>
      <c r="CG21" s="0" t="s">
        <v>3674</v>
      </c>
      <c r="CH21" s="0" t="s">
        <v>228</v>
      </c>
      <c r="CI21" s="0" t="s">
        <v>228</v>
      </c>
      <c r="CJ21" s="0" t="s">
        <v>228</v>
      </c>
      <c r="CK21" s="0" t="s">
        <v>228</v>
      </c>
      <c r="CL21" s="0" t="s">
        <v>228</v>
      </c>
      <c r="CM21" s="0" t="s">
        <v>3728</v>
      </c>
      <c r="CN21" s="0" t="s">
        <v>3728</v>
      </c>
      <c r="CO21" s="0" t="s">
        <v>228</v>
      </c>
      <c r="CP21" s="0" t="s">
        <v>228</v>
      </c>
      <c r="CQ21" s="0" t="s">
        <v>228</v>
      </c>
      <c r="CR21" s="0" t="s">
        <v>228</v>
      </c>
      <c r="CS21" s="0" t="s">
        <v>3582</v>
      </c>
      <c r="CT21" s="0" t="s">
        <v>3568</v>
      </c>
      <c r="CU21" s="0" t="s">
        <v>3569</v>
      </c>
      <c r="CV21" s="0" t="s">
        <v>418</v>
      </c>
      <c r="CW21" s="0" t="s">
        <v>3584</v>
      </c>
      <c r="CX21" s="0" t="s">
        <v>419</v>
      </c>
      <c r="CY21" s="0" t="s">
        <v>418</v>
      </c>
      <c r="CZ21" s="0" t="s">
        <v>3585</v>
      </c>
      <c r="DA21" s="0" t="s">
        <v>3586</v>
      </c>
      <c r="DB21" s="0" t="s">
        <v>3584</v>
      </c>
      <c r="DC21" s="0" t="s">
        <v>362</v>
      </c>
      <c r="DD21" s="0" t="s">
        <v>3572</v>
      </c>
      <c r="DE21" s="0" t="s">
        <v>3729</v>
      </c>
    </row>
    <row customHeight="1" ht="11.25">
      <c r="A22" s="1353" t="s">
        <v>228</v>
      </c>
      <c r="B22" s="0" t="s">
        <v>228</v>
      </c>
      <c r="C22" s="0" t="s">
        <v>228</v>
      </c>
      <c r="D22" s="0" t="s">
        <v>228</v>
      </c>
      <c r="E22" s="0" t="s">
        <v>228</v>
      </c>
      <c r="F22" s="0" t="s">
        <v>228</v>
      </c>
      <c r="G22" s="0" t="s">
        <v>228</v>
      </c>
      <c r="H22" s="0" t="s">
        <v>228</v>
      </c>
      <c r="I22" s="0" t="s">
        <v>3555</v>
      </c>
      <c r="J22" s="0" t="s">
        <v>228</v>
      </c>
      <c r="K22" s="0" t="s">
        <v>228</v>
      </c>
      <c r="L22" s="0" t="s">
        <v>228</v>
      </c>
      <c r="M22" s="0" t="s">
        <v>228</v>
      </c>
      <c r="N22" s="0" t="s">
        <v>228</v>
      </c>
      <c r="O22" s="0" t="s">
        <v>228</v>
      </c>
      <c r="P22" s="0" t="s">
        <v>228</v>
      </c>
      <c r="Q22" s="0" t="s">
        <v>228</v>
      </c>
      <c r="R22" s="0" t="s">
        <v>3730</v>
      </c>
      <c r="S22" s="0" t="s">
        <v>228</v>
      </c>
      <c r="T22" s="0" t="s">
        <v>228</v>
      </c>
      <c r="U22" s="0" t="s">
        <v>101</v>
      </c>
      <c r="V22" s="0" t="s">
        <v>228</v>
      </c>
      <c r="W22" s="0" t="s">
        <v>228</v>
      </c>
      <c r="X22" s="0" t="s">
        <v>3557</v>
      </c>
      <c r="Y22" s="0" t="s">
        <v>228</v>
      </c>
      <c r="Z22" s="0" t="s">
        <v>160</v>
      </c>
      <c r="AA22" s="0" t="s">
        <v>151</v>
      </c>
      <c r="AB22" s="0" t="s">
        <v>151</v>
      </c>
      <c r="AC22" s="0" t="s">
        <v>2715</v>
      </c>
      <c r="AD22" s="0" t="s">
        <v>2715</v>
      </c>
      <c r="AE22" s="0" t="s">
        <v>2716</v>
      </c>
      <c r="AF22" s="0" t="s">
        <v>3594</v>
      </c>
      <c r="AG22" s="0" t="s">
        <v>3595</v>
      </c>
      <c r="AH22" s="0" t="s">
        <v>3731</v>
      </c>
      <c r="AI22" s="0" t="s">
        <v>3732</v>
      </c>
      <c r="AJ22" s="0" t="s">
        <v>3636</v>
      </c>
      <c r="AK22" s="0" t="s">
        <v>3733</v>
      </c>
      <c r="AL22" s="0" t="s">
        <v>3599</v>
      </c>
      <c r="AM22" s="0" t="s">
        <v>3565</v>
      </c>
      <c r="AN22" s="0" t="s">
        <v>3734</v>
      </c>
      <c r="AO22" s="0" t="s">
        <v>3735</v>
      </c>
      <c r="AP22" s="0" t="s">
        <v>228</v>
      </c>
      <c r="AQ22" s="0" t="s">
        <v>228</v>
      </c>
      <c r="AR22" s="0" t="s">
        <v>228</v>
      </c>
      <c r="AS22" s="0" t="s">
        <v>228</v>
      </c>
      <c r="AT22" s="0" t="s">
        <v>228</v>
      </c>
      <c r="AU22" s="0" t="s">
        <v>228</v>
      </c>
      <c r="AV22" s="0" t="s">
        <v>228</v>
      </c>
      <c r="AW22" s="0" t="s">
        <v>228</v>
      </c>
      <c r="AX22" s="0" t="s">
        <v>228</v>
      </c>
      <c r="AY22" s="0" t="s">
        <v>228</v>
      </c>
      <c r="AZ22" s="0" t="s">
        <v>228</v>
      </c>
      <c r="BA22" s="0" t="s">
        <v>228</v>
      </c>
      <c r="BB22" s="0" t="s">
        <v>228</v>
      </c>
      <c r="BC22" s="0" t="s">
        <v>228</v>
      </c>
      <c r="BD22" s="0" t="s">
        <v>228</v>
      </c>
      <c r="BE22" s="0" t="s">
        <v>228</v>
      </c>
      <c r="BF22" s="0" t="s">
        <v>228</v>
      </c>
      <c r="BG22" s="0" t="s">
        <v>228</v>
      </c>
      <c r="BH22" s="0" t="s">
        <v>228</v>
      </c>
      <c r="BI22" s="0" t="s">
        <v>228</v>
      </c>
      <c r="BJ22" s="0" t="s">
        <v>228</v>
      </c>
      <c r="BK22" s="0" t="s">
        <v>228</v>
      </c>
      <c r="BL22" s="0" t="s">
        <v>228</v>
      </c>
      <c r="BM22" s="0" t="s">
        <v>228</v>
      </c>
      <c r="BN22" s="0" t="s">
        <v>228</v>
      </c>
      <c r="BO22" s="0" t="s">
        <v>228</v>
      </c>
      <c r="BP22" s="0" t="s">
        <v>228</v>
      </c>
      <c r="BQ22" s="0" t="s">
        <v>228</v>
      </c>
      <c r="BR22" s="0" t="s">
        <v>228</v>
      </c>
      <c r="BS22" s="0" t="s">
        <v>228</v>
      </c>
      <c r="BT22" s="0" t="s">
        <v>228</v>
      </c>
      <c r="BU22" s="0" t="s">
        <v>228</v>
      </c>
      <c r="BV22" s="0" t="s">
        <v>228</v>
      </c>
      <c r="BW22" s="0" t="s">
        <v>228</v>
      </c>
      <c r="BX22" s="0" t="s">
        <v>228</v>
      </c>
      <c r="BY22" s="0" t="s">
        <v>228</v>
      </c>
      <c r="BZ22" s="0" t="s">
        <v>228</v>
      </c>
      <c r="CA22" s="0" t="s">
        <v>228</v>
      </c>
      <c r="CB22" s="0" t="s">
        <v>228</v>
      </c>
      <c r="CC22" s="0" t="s">
        <v>228</v>
      </c>
      <c r="CD22" s="0" t="s">
        <v>228</v>
      </c>
      <c r="CE22" s="0" t="s">
        <v>228</v>
      </c>
      <c r="CF22" s="0" t="s">
        <v>228</v>
      </c>
      <c r="CG22" s="0" t="s">
        <v>228</v>
      </c>
      <c r="CH22" s="0" t="s">
        <v>228</v>
      </c>
      <c r="CI22" s="0" t="s">
        <v>228</v>
      </c>
      <c r="CJ22" s="0" t="s">
        <v>228</v>
      </c>
      <c r="CK22" s="0" t="s">
        <v>228</v>
      </c>
      <c r="CL22" s="0" t="s">
        <v>228</v>
      </c>
      <c r="CM22" s="0" t="s">
        <v>228</v>
      </c>
      <c r="CN22" s="0" t="s">
        <v>228</v>
      </c>
      <c r="CO22" s="0" t="s">
        <v>228</v>
      </c>
      <c r="CP22" s="0" t="s">
        <v>228</v>
      </c>
      <c r="CQ22" s="0" t="s">
        <v>228</v>
      </c>
      <c r="CR22" s="0" t="s">
        <v>228</v>
      </c>
      <c r="CS22" s="0" t="s">
        <v>228</v>
      </c>
      <c r="CT22" s="0" t="s">
        <v>3568</v>
      </c>
      <c r="CU22" s="0" t="s">
        <v>3569</v>
      </c>
      <c r="CV22" s="0" t="s">
        <v>418</v>
      </c>
      <c r="CW22" s="0" t="s">
        <v>3602</v>
      </c>
      <c r="CX22" s="0" t="s">
        <v>3603</v>
      </c>
      <c r="CY22" s="0" t="s">
        <v>418</v>
      </c>
      <c r="CZ22" s="0" t="s">
        <v>504</v>
      </c>
      <c r="DA22" s="0" t="s">
        <v>3604</v>
      </c>
      <c r="DB22" s="0" t="s">
        <v>3602</v>
      </c>
      <c r="DC22" s="0" t="s">
        <v>362</v>
      </c>
      <c r="DD22" s="0" t="s">
        <v>3572</v>
      </c>
      <c r="DE22" s="0" t="s">
        <v>3736</v>
      </c>
    </row>
    <row customHeight="1" ht="11.25">
      <c r="A23" s="1353" t="s">
        <v>228</v>
      </c>
      <c r="B23" s="0" t="s">
        <v>228</v>
      </c>
      <c r="C23" s="0" t="s">
        <v>228</v>
      </c>
      <c r="D23" s="0" t="s">
        <v>228</v>
      </c>
      <c r="E23" s="0" t="s">
        <v>228</v>
      </c>
      <c r="F23" s="0" t="s">
        <v>228</v>
      </c>
      <c r="G23" s="0" t="s">
        <v>228</v>
      </c>
      <c r="H23" s="0" t="s">
        <v>228</v>
      </c>
      <c r="I23" s="0" t="s">
        <v>3555</v>
      </c>
      <c r="J23" s="0" t="s">
        <v>228</v>
      </c>
      <c r="K23" s="0" t="s">
        <v>228</v>
      </c>
      <c r="L23" s="0" t="s">
        <v>228</v>
      </c>
      <c r="M23" s="0" t="s">
        <v>228</v>
      </c>
      <c r="N23" s="0" t="s">
        <v>228</v>
      </c>
      <c r="O23" s="0" t="s">
        <v>228</v>
      </c>
      <c r="P23" s="0" t="s">
        <v>228</v>
      </c>
      <c r="Q23" s="0" t="s">
        <v>228</v>
      </c>
      <c r="R23" s="0" t="s">
        <v>3737</v>
      </c>
      <c r="S23" s="0" t="s">
        <v>228</v>
      </c>
      <c r="T23" s="0" t="s">
        <v>228</v>
      </c>
      <c r="U23" s="0" t="s">
        <v>101</v>
      </c>
      <c r="V23" s="0" t="s">
        <v>228</v>
      </c>
      <c r="W23" s="0" t="s">
        <v>228</v>
      </c>
      <c r="X23" s="0" t="s">
        <v>3661</v>
      </c>
      <c r="Y23" s="0" t="s">
        <v>228</v>
      </c>
      <c r="Z23" s="0" t="s">
        <v>151</v>
      </c>
      <c r="AA23" s="0" t="s">
        <v>151</v>
      </c>
      <c r="AB23" s="0" t="s">
        <v>160</v>
      </c>
      <c r="AC23" s="0" t="s">
        <v>2317</v>
      </c>
      <c r="AD23" s="0" t="s">
        <v>2317</v>
      </c>
      <c r="AE23" s="0" t="s">
        <v>2318</v>
      </c>
      <c r="AF23" s="0" t="s">
        <v>3738</v>
      </c>
      <c r="AG23" s="0" t="s">
        <v>3739</v>
      </c>
      <c r="AH23" s="0" t="s">
        <v>3651</v>
      </c>
      <c r="AI23" s="0" t="s">
        <v>3651</v>
      </c>
      <c r="AJ23" s="0" t="s">
        <v>228</v>
      </c>
      <c r="AK23" s="0" t="s">
        <v>228</v>
      </c>
      <c r="AL23" s="0" t="s">
        <v>228</v>
      </c>
      <c r="AM23" s="0" t="s">
        <v>228</v>
      </c>
      <c r="AN23" s="0" t="s">
        <v>228</v>
      </c>
      <c r="AO23" s="0" t="s">
        <v>228</v>
      </c>
      <c r="AP23" s="0" t="s">
        <v>228</v>
      </c>
      <c r="AQ23" s="0" t="s">
        <v>228</v>
      </c>
      <c r="AR23" s="0" t="s">
        <v>228</v>
      </c>
      <c r="AS23" s="0" t="s">
        <v>228</v>
      </c>
      <c r="AT23" s="0" t="s">
        <v>228</v>
      </c>
      <c r="AU23" s="0" t="s">
        <v>228</v>
      </c>
      <c r="AV23" s="0" t="s">
        <v>228</v>
      </c>
      <c r="AW23" s="0" t="s">
        <v>228</v>
      </c>
      <c r="AX23" s="0" t="s">
        <v>228</v>
      </c>
      <c r="AY23" s="0" t="s">
        <v>228</v>
      </c>
      <c r="AZ23" s="0" t="s">
        <v>228</v>
      </c>
      <c r="BA23" s="0" t="s">
        <v>228</v>
      </c>
      <c r="BB23" s="0" t="s">
        <v>228</v>
      </c>
      <c r="BC23" s="0" t="s">
        <v>228</v>
      </c>
      <c r="BD23" s="0" t="s">
        <v>228</v>
      </c>
      <c r="BE23" s="0" t="s">
        <v>3652</v>
      </c>
      <c r="BF23" s="0" t="s">
        <v>3619</v>
      </c>
      <c r="BG23" s="0" t="s">
        <v>111</v>
      </c>
      <c r="BH23" s="0" t="s">
        <v>3665</v>
      </c>
      <c r="BI23" s="0" t="s">
        <v>122</v>
      </c>
      <c r="BJ23" s="0" t="s">
        <v>228</v>
      </c>
      <c r="BK23" s="0" t="s">
        <v>3684</v>
      </c>
      <c r="BL23" s="0" t="s">
        <v>2317</v>
      </c>
      <c r="BM23" s="0" t="s">
        <v>2317</v>
      </c>
      <c r="BN23" s="0" t="s">
        <v>3740</v>
      </c>
      <c r="BO23" s="0" t="s">
        <v>3738</v>
      </c>
      <c r="BP23" s="0" t="s">
        <v>3741</v>
      </c>
      <c r="BQ23" s="0" t="s">
        <v>3651</v>
      </c>
      <c r="BR23" s="0" t="s">
        <v>3651</v>
      </c>
      <c r="BS23" s="0" t="s">
        <v>228</v>
      </c>
      <c r="BT23" s="0" t="s">
        <v>3727</v>
      </c>
      <c r="BU23" s="0" t="s">
        <v>3742</v>
      </c>
      <c r="BV23" s="0" t="s">
        <v>3742</v>
      </c>
      <c r="BW23" s="0" t="s">
        <v>3674</v>
      </c>
      <c r="BX23" s="0" t="s">
        <v>3674</v>
      </c>
      <c r="BY23" s="0" t="s">
        <v>3674</v>
      </c>
      <c r="BZ23" s="0" t="s">
        <v>3674</v>
      </c>
      <c r="CA23" s="0" t="s">
        <v>3674</v>
      </c>
      <c r="CB23" s="0" t="s">
        <v>228</v>
      </c>
      <c r="CC23" s="0" t="s">
        <v>228</v>
      </c>
      <c r="CD23" s="0" t="s">
        <v>228</v>
      </c>
      <c r="CE23" s="0" t="s">
        <v>228</v>
      </c>
      <c r="CF23" s="0" t="s">
        <v>228</v>
      </c>
      <c r="CG23" s="0" t="s">
        <v>3674</v>
      </c>
      <c r="CH23" s="0" t="s">
        <v>228</v>
      </c>
      <c r="CI23" s="0" t="s">
        <v>228</v>
      </c>
      <c r="CJ23" s="0" t="s">
        <v>228</v>
      </c>
      <c r="CK23" s="0" t="s">
        <v>228</v>
      </c>
      <c r="CL23" s="0" t="s">
        <v>228</v>
      </c>
      <c r="CM23" s="0" t="s">
        <v>3742</v>
      </c>
      <c r="CN23" s="0" t="s">
        <v>3742</v>
      </c>
      <c r="CO23" s="0" t="s">
        <v>228</v>
      </c>
      <c r="CP23" s="0" t="s">
        <v>228</v>
      </c>
      <c r="CQ23" s="0" t="s">
        <v>228</v>
      </c>
      <c r="CR23" s="0" t="s">
        <v>228</v>
      </c>
      <c r="CS23" s="0" t="s">
        <v>3743</v>
      </c>
      <c r="CT23" s="0" t="s">
        <v>3568</v>
      </c>
      <c r="CU23" s="0" t="s">
        <v>3569</v>
      </c>
      <c r="CV23" s="0" t="s">
        <v>418</v>
      </c>
      <c r="CW23" s="0" t="s">
        <v>3622</v>
      </c>
      <c r="CX23" s="0" t="s">
        <v>419</v>
      </c>
      <c r="CY23" s="0" t="s">
        <v>418</v>
      </c>
      <c r="CZ23" s="0" t="s">
        <v>3623</v>
      </c>
      <c r="DA23" s="0" t="s">
        <v>3624</v>
      </c>
      <c r="DB23" s="0" t="s">
        <v>3622</v>
      </c>
      <c r="DC23" s="0" t="s">
        <v>362</v>
      </c>
      <c r="DD23" s="0" t="s">
        <v>3572</v>
      </c>
      <c r="DE23" s="0" t="s">
        <v>3744</v>
      </c>
    </row>
    <row customHeight="1" ht="11.25">
      <c r="A24" s="1353" t="s">
        <v>228</v>
      </c>
      <c r="B24" s="0" t="s">
        <v>228</v>
      </c>
      <c r="C24" s="0" t="s">
        <v>228</v>
      </c>
      <c r="D24" s="0" t="s">
        <v>228</v>
      </c>
      <c r="E24" s="0" t="s">
        <v>228</v>
      </c>
      <c r="F24" s="0" t="s">
        <v>228</v>
      </c>
      <c r="G24" s="0" t="s">
        <v>228</v>
      </c>
      <c r="H24" s="0" t="s">
        <v>228</v>
      </c>
      <c r="I24" s="0" t="s">
        <v>3555</v>
      </c>
      <c r="J24" s="0" t="s">
        <v>228</v>
      </c>
      <c r="K24" s="0" t="s">
        <v>228</v>
      </c>
      <c r="L24" s="0" t="s">
        <v>228</v>
      </c>
      <c r="M24" s="0" t="s">
        <v>228</v>
      </c>
      <c r="N24" s="0" t="s">
        <v>228</v>
      </c>
      <c r="O24" s="0" t="s">
        <v>228</v>
      </c>
      <c r="P24" s="0" t="s">
        <v>228</v>
      </c>
      <c r="Q24" s="0" t="s">
        <v>228</v>
      </c>
      <c r="R24" s="0" t="s">
        <v>3648</v>
      </c>
      <c r="S24" s="0" t="s">
        <v>228</v>
      </c>
      <c r="T24" s="0" t="s">
        <v>228</v>
      </c>
      <c r="U24" s="0" t="s">
        <v>101</v>
      </c>
      <c r="V24" s="0" t="s">
        <v>228</v>
      </c>
      <c r="W24" s="0" t="s">
        <v>228</v>
      </c>
      <c r="X24" s="0" t="s">
        <v>3557</v>
      </c>
      <c r="Y24" s="0" t="s">
        <v>228</v>
      </c>
      <c r="Z24" s="0" t="s">
        <v>160</v>
      </c>
      <c r="AA24" s="0" t="s">
        <v>151</v>
      </c>
      <c r="AB24" s="0" t="s">
        <v>151</v>
      </c>
      <c r="AC24" s="0" t="s">
        <v>2317</v>
      </c>
      <c r="AD24" s="0" t="s">
        <v>2317</v>
      </c>
      <c r="AE24" s="0" t="s">
        <v>2318</v>
      </c>
      <c r="AF24" s="0" t="s">
        <v>3745</v>
      </c>
      <c r="AG24" s="0" t="s">
        <v>3746</v>
      </c>
      <c r="AH24" s="0" t="s">
        <v>3747</v>
      </c>
      <c r="AI24" s="0" t="s">
        <v>3748</v>
      </c>
      <c r="AJ24" s="0" t="s">
        <v>3652</v>
      </c>
      <c r="AK24" s="0" t="s">
        <v>3749</v>
      </c>
      <c r="AL24" s="0" t="s">
        <v>3581</v>
      </c>
      <c r="AM24" s="0" t="s">
        <v>3565</v>
      </c>
      <c r="AN24" s="0" t="s">
        <v>3628</v>
      </c>
      <c r="AO24" s="0" t="s">
        <v>3701</v>
      </c>
      <c r="AP24" s="0" t="s">
        <v>228</v>
      </c>
      <c r="AQ24" s="0" t="s">
        <v>228</v>
      </c>
      <c r="AR24" s="0" t="s">
        <v>228</v>
      </c>
      <c r="AS24" s="0" t="s">
        <v>228</v>
      </c>
      <c r="AT24" s="0" t="s">
        <v>228</v>
      </c>
      <c r="AU24" s="0" t="s">
        <v>228</v>
      </c>
      <c r="AV24" s="0" t="s">
        <v>228</v>
      </c>
      <c r="AW24" s="0" t="s">
        <v>228</v>
      </c>
      <c r="AX24" s="0" t="s">
        <v>228</v>
      </c>
      <c r="AY24" s="0" t="s">
        <v>228</v>
      </c>
      <c r="AZ24" s="0" t="s">
        <v>228</v>
      </c>
      <c r="BA24" s="0" t="s">
        <v>228</v>
      </c>
      <c r="BB24" s="0" t="s">
        <v>228</v>
      </c>
      <c r="BC24" s="0" t="s">
        <v>228</v>
      </c>
      <c r="BD24" s="0" t="s">
        <v>228</v>
      </c>
      <c r="BE24" s="0" t="s">
        <v>228</v>
      </c>
      <c r="BF24" s="0" t="s">
        <v>228</v>
      </c>
      <c r="BG24" s="0" t="s">
        <v>228</v>
      </c>
      <c r="BH24" s="0" t="s">
        <v>228</v>
      </c>
      <c r="BI24" s="0" t="s">
        <v>228</v>
      </c>
      <c r="BJ24" s="0" t="s">
        <v>228</v>
      </c>
      <c r="BK24" s="0" t="s">
        <v>228</v>
      </c>
      <c r="BL24" s="0" t="s">
        <v>228</v>
      </c>
      <c r="BM24" s="0" t="s">
        <v>228</v>
      </c>
      <c r="BN24" s="0" t="s">
        <v>228</v>
      </c>
      <c r="BO24" s="0" t="s">
        <v>228</v>
      </c>
      <c r="BP24" s="0" t="s">
        <v>228</v>
      </c>
      <c r="BQ24" s="0" t="s">
        <v>228</v>
      </c>
      <c r="BR24" s="0" t="s">
        <v>228</v>
      </c>
      <c r="BS24" s="0" t="s">
        <v>228</v>
      </c>
      <c r="BT24" s="0" t="s">
        <v>228</v>
      </c>
      <c r="BU24" s="0" t="s">
        <v>228</v>
      </c>
      <c r="BV24" s="0" t="s">
        <v>228</v>
      </c>
      <c r="BW24" s="0" t="s">
        <v>228</v>
      </c>
      <c r="BX24" s="0" t="s">
        <v>228</v>
      </c>
      <c r="BY24" s="0" t="s">
        <v>228</v>
      </c>
      <c r="BZ24" s="0" t="s">
        <v>228</v>
      </c>
      <c r="CA24" s="0" t="s">
        <v>228</v>
      </c>
      <c r="CB24" s="0" t="s">
        <v>228</v>
      </c>
      <c r="CC24" s="0" t="s">
        <v>228</v>
      </c>
      <c r="CD24" s="0" t="s">
        <v>228</v>
      </c>
      <c r="CE24" s="0" t="s">
        <v>228</v>
      </c>
      <c r="CF24" s="0" t="s">
        <v>228</v>
      </c>
      <c r="CG24" s="0" t="s">
        <v>228</v>
      </c>
      <c r="CH24" s="0" t="s">
        <v>228</v>
      </c>
      <c r="CI24" s="0" t="s">
        <v>228</v>
      </c>
      <c r="CJ24" s="0" t="s">
        <v>228</v>
      </c>
      <c r="CK24" s="0" t="s">
        <v>228</v>
      </c>
      <c r="CL24" s="0" t="s">
        <v>228</v>
      </c>
      <c r="CM24" s="0" t="s">
        <v>228</v>
      </c>
      <c r="CN24" s="0" t="s">
        <v>228</v>
      </c>
      <c r="CO24" s="0" t="s">
        <v>228</v>
      </c>
      <c r="CP24" s="0" t="s">
        <v>228</v>
      </c>
      <c r="CQ24" s="0" t="s">
        <v>228</v>
      </c>
      <c r="CR24" s="0" t="s">
        <v>228</v>
      </c>
      <c r="CS24" s="0" t="s">
        <v>228</v>
      </c>
      <c r="CT24" s="0" t="s">
        <v>3568</v>
      </c>
      <c r="CU24" s="0" t="s">
        <v>3569</v>
      </c>
      <c r="CV24" s="0" t="s">
        <v>418</v>
      </c>
      <c r="CW24" s="0" t="s">
        <v>3622</v>
      </c>
      <c r="CX24" s="0" t="s">
        <v>419</v>
      </c>
      <c r="CY24" s="0" t="s">
        <v>418</v>
      </c>
      <c r="CZ24" s="0" t="s">
        <v>3623</v>
      </c>
      <c r="DA24" s="0" t="s">
        <v>3624</v>
      </c>
      <c r="DB24" s="0" t="s">
        <v>3622</v>
      </c>
      <c r="DC24" s="0" t="s">
        <v>362</v>
      </c>
      <c r="DD24" s="0" t="s">
        <v>3572</v>
      </c>
      <c r="DE24" s="0" t="s">
        <v>3750</v>
      </c>
    </row>
    <row customHeight="1" ht="11.25">
      <c r="A25" s="1353" t="s">
        <v>228</v>
      </c>
      <c r="B25" s="0" t="s">
        <v>228</v>
      </c>
      <c r="C25" s="0" t="s">
        <v>228</v>
      </c>
      <c r="D25" s="0" t="s">
        <v>228</v>
      </c>
      <c r="E25" s="0" t="s">
        <v>228</v>
      </c>
      <c r="F25" s="0" t="s">
        <v>228</v>
      </c>
      <c r="G25" s="0" t="s">
        <v>228</v>
      </c>
      <c r="H25" s="0" t="s">
        <v>228</v>
      </c>
      <c r="I25" s="0" t="s">
        <v>3555</v>
      </c>
      <c r="J25" s="0" t="s">
        <v>228</v>
      </c>
      <c r="K25" s="0" t="s">
        <v>228</v>
      </c>
      <c r="L25" s="0" t="s">
        <v>228</v>
      </c>
      <c r="M25" s="0" t="s">
        <v>228</v>
      </c>
      <c r="N25" s="0" t="s">
        <v>228</v>
      </c>
      <c r="O25" s="0" t="s">
        <v>228</v>
      </c>
      <c r="P25" s="0" t="s">
        <v>228</v>
      </c>
      <c r="Q25" s="0" t="s">
        <v>228</v>
      </c>
      <c r="R25" s="0" t="s">
        <v>3751</v>
      </c>
      <c r="S25" s="0" t="s">
        <v>228</v>
      </c>
      <c r="T25" s="0" t="s">
        <v>228</v>
      </c>
      <c r="U25" s="0" t="s">
        <v>101</v>
      </c>
      <c r="V25" s="0" t="s">
        <v>228</v>
      </c>
      <c r="W25" s="0" t="s">
        <v>228</v>
      </c>
      <c r="X25" s="0" t="s">
        <v>3661</v>
      </c>
      <c r="Y25" s="0" t="s">
        <v>228</v>
      </c>
      <c r="Z25" s="0" t="s">
        <v>151</v>
      </c>
      <c r="AA25" s="0" t="s">
        <v>151</v>
      </c>
      <c r="AB25" s="0" t="s">
        <v>160</v>
      </c>
      <c r="AC25" s="0" t="s">
        <v>2317</v>
      </c>
      <c r="AD25" s="0" t="s">
        <v>2317</v>
      </c>
      <c r="AE25" s="0" t="s">
        <v>2318</v>
      </c>
      <c r="AF25" s="0" t="s">
        <v>3745</v>
      </c>
      <c r="AG25" s="0" t="s">
        <v>3746</v>
      </c>
      <c r="AH25" s="0" t="s">
        <v>3651</v>
      </c>
      <c r="AI25" s="0" t="s">
        <v>3651</v>
      </c>
      <c r="AJ25" s="0" t="s">
        <v>228</v>
      </c>
      <c r="AK25" s="0" t="s">
        <v>228</v>
      </c>
      <c r="AL25" s="0" t="s">
        <v>228</v>
      </c>
      <c r="AM25" s="0" t="s">
        <v>228</v>
      </c>
      <c r="AN25" s="0" t="s">
        <v>228</v>
      </c>
      <c r="AO25" s="0" t="s">
        <v>228</v>
      </c>
      <c r="AP25" s="0" t="s">
        <v>228</v>
      </c>
      <c r="AQ25" s="0" t="s">
        <v>228</v>
      </c>
      <c r="AR25" s="0" t="s">
        <v>228</v>
      </c>
      <c r="AS25" s="0" t="s">
        <v>228</v>
      </c>
      <c r="AT25" s="0" t="s">
        <v>228</v>
      </c>
      <c r="AU25" s="0" t="s">
        <v>228</v>
      </c>
      <c r="AV25" s="0" t="s">
        <v>228</v>
      </c>
      <c r="AW25" s="0" t="s">
        <v>228</v>
      </c>
      <c r="AX25" s="0" t="s">
        <v>228</v>
      </c>
      <c r="AY25" s="0" t="s">
        <v>228</v>
      </c>
      <c r="AZ25" s="0" t="s">
        <v>228</v>
      </c>
      <c r="BA25" s="0" t="s">
        <v>228</v>
      </c>
      <c r="BB25" s="0" t="s">
        <v>228</v>
      </c>
      <c r="BC25" s="0" t="s">
        <v>228</v>
      </c>
      <c r="BD25" s="0" t="s">
        <v>228</v>
      </c>
      <c r="BE25" s="0" t="s">
        <v>3627</v>
      </c>
      <c r="BF25" s="0" t="s">
        <v>3619</v>
      </c>
      <c r="BG25" s="0" t="s">
        <v>111</v>
      </c>
      <c r="BH25" s="0" t="s">
        <v>3665</v>
      </c>
      <c r="BI25" s="0" t="s">
        <v>122</v>
      </c>
      <c r="BJ25" s="0" t="s">
        <v>228</v>
      </c>
      <c r="BK25" s="0" t="s">
        <v>3684</v>
      </c>
      <c r="BL25" s="0" t="s">
        <v>2317</v>
      </c>
      <c r="BM25" s="0" t="s">
        <v>2317</v>
      </c>
      <c r="BN25" s="0" t="s">
        <v>3740</v>
      </c>
      <c r="BO25" s="0" t="s">
        <v>3745</v>
      </c>
      <c r="BP25" s="0" t="s">
        <v>3752</v>
      </c>
      <c r="BQ25" s="0" t="s">
        <v>3651</v>
      </c>
      <c r="BR25" s="0" t="s">
        <v>3651</v>
      </c>
      <c r="BS25" s="0" t="s">
        <v>228</v>
      </c>
      <c r="BT25" s="0" t="s">
        <v>3727</v>
      </c>
      <c r="BU25" s="0" t="s">
        <v>3753</v>
      </c>
      <c r="BV25" s="0" t="s">
        <v>3753</v>
      </c>
      <c r="BW25" s="0" t="s">
        <v>3674</v>
      </c>
      <c r="BX25" s="0" t="s">
        <v>3674</v>
      </c>
      <c r="BY25" s="0" t="s">
        <v>3674</v>
      </c>
      <c r="BZ25" s="0" t="s">
        <v>3674</v>
      </c>
      <c r="CA25" s="0" t="s">
        <v>3674</v>
      </c>
      <c r="CB25" s="0" t="s">
        <v>228</v>
      </c>
      <c r="CC25" s="0" t="s">
        <v>228</v>
      </c>
      <c r="CD25" s="0" t="s">
        <v>228</v>
      </c>
      <c r="CE25" s="0" t="s">
        <v>228</v>
      </c>
      <c r="CF25" s="0" t="s">
        <v>228</v>
      </c>
      <c r="CG25" s="0" t="s">
        <v>3674</v>
      </c>
      <c r="CH25" s="0" t="s">
        <v>228</v>
      </c>
      <c r="CI25" s="0" t="s">
        <v>228</v>
      </c>
      <c r="CJ25" s="0" t="s">
        <v>228</v>
      </c>
      <c r="CK25" s="0" t="s">
        <v>228</v>
      </c>
      <c r="CL25" s="0" t="s">
        <v>228</v>
      </c>
      <c r="CM25" s="0" t="s">
        <v>3753</v>
      </c>
      <c r="CN25" s="0" t="s">
        <v>3753</v>
      </c>
      <c r="CO25" s="0" t="s">
        <v>228</v>
      </c>
      <c r="CP25" s="0" t="s">
        <v>228</v>
      </c>
      <c r="CQ25" s="0" t="s">
        <v>228</v>
      </c>
      <c r="CR25" s="0" t="s">
        <v>228</v>
      </c>
      <c r="CS25" s="0" t="s">
        <v>3743</v>
      </c>
      <c r="CT25" s="0" t="s">
        <v>3568</v>
      </c>
      <c r="CU25" s="0" t="s">
        <v>3569</v>
      </c>
      <c r="CV25" s="0" t="s">
        <v>418</v>
      </c>
      <c r="CW25" s="0" t="s">
        <v>3622</v>
      </c>
      <c r="CX25" s="0" t="s">
        <v>419</v>
      </c>
      <c r="CY25" s="0" t="s">
        <v>418</v>
      </c>
      <c r="CZ25" s="0" t="s">
        <v>3623</v>
      </c>
      <c r="DA25" s="0" t="s">
        <v>3624</v>
      </c>
      <c r="DB25" s="0" t="s">
        <v>3622</v>
      </c>
      <c r="DC25" s="0" t="s">
        <v>362</v>
      </c>
      <c r="DD25" s="0" t="s">
        <v>3572</v>
      </c>
      <c r="DE25" s="0" t="s">
        <v>3754</v>
      </c>
    </row>
    <row customHeight="1" ht="11.25">
      <c r="A26" s="1353" t="s">
        <v>228</v>
      </c>
      <c r="B26" s="0" t="s">
        <v>228</v>
      </c>
      <c r="C26" s="0" t="s">
        <v>228</v>
      </c>
      <c r="D26" s="0" t="s">
        <v>228</v>
      </c>
      <c r="E26" s="0" t="s">
        <v>228</v>
      </c>
      <c r="F26" s="0" t="s">
        <v>228</v>
      </c>
      <c r="G26" s="0" t="s">
        <v>228</v>
      </c>
      <c r="H26" s="0" t="s">
        <v>228</v>
      </c>
      <c r="I26" s="0" t="s">
        <v>3555</v>
      </c>
      <c r="J26" s="0" t="s">
        <v>228</v>
      </c>
      <c r="K26" s="0" t="s">
        <v>228</v>
      </c>
      <c r="L26" s="0" t="s">
        <v>228</v>
      </c>
      <c r="M26" s="0" t="s">
        <v>228</v>
      </c>
      <c r="N26" s="0" t="s">
        <v>228</v>
      </c>
      <c r="O26" s="0" t="s">
        <v>228</v>
      </c>
      <c r="P26" s="0" t="s">
        <v>228</v>
      </c>
      <c r="Q26" s="0" t="s">
        <v>228</v>
      </c>
      <c r="R26" s="0" t="s">
        <v>3648</v>
      </c>
      <c r="S26" s="0" t="s">
        <v>228</v>
      </c>
      <c r="T26" s="0" t="s">
        <v>228</v>
      </c>
      <c r="U26" s="0" t="s">
        <v>101</v>
      </c>
      <c r="V26" s="0" t="s">
        <v>228</v>
      </c>
      <c r="W26" s="0" t="s">
        <v>228</v>
      </c>
      <c r="X26" s="0" t="s">
        <v>3557</v>
      </c>
      <c r="Y26" s="0" t="s">
        <v>228</v>
      </c>
      <c r="Z26" s="0" t="s">
        <v>160</v>
      </c>
      <c r="AA26" s="0" t="s">
        <v>151</v>
      </c>
      <c r="AB26" s="0" t="s">
        <v>151</v>
      </c>
      <c r="AC26" s="0" t="s">
        <v>2317</v>
      </c>
      <c r="AD26" s="0" t="s">
        <v>2317</v>
      </c>
      <c r="AE26" s="0" t="s">
        <v>2318</v>
      </c>
      <c r="AF26" s="0" t="s">
        <v>3755</v>
      </c>
      <c r="AG26" s="0" t="s">
        <v>3756</v>
      </c>
      <c r="AH26" s="0" t="s">
        <v>3747</v>
      </c>
      <c r="AI26" s="0" t="s">
        <v>3688</v>
      </c>
      <c r="AJ26" s="0" t="s">
        <v>3579</v>
      </c>
      <c r="AK26" s="0" t="s">
        <v>3749</v>
      </c>
      <c r="AL26" s="0" t="s">
        <v>3581</v>
      </c>
      <c r="AM26" s="0" t="s">
        <v>3565</v>
      </c>
      <c r="AN26" s="0" t="s">
        <v>3620</v>
      </c>
      <c r="AO26" s="0" t="s">
        <v>3757</v>
      </c>
      <c r="AP26" s="0" t="s">
        <v>228</v>
      </c>
      <c r="AQ26" s="0" t="s">
        <v>228</v>
      </c>
      <c r="AR26" s="0" t="s">
        <v>228</v>
      </c>
      <c r="AS26" s="0" t="s">
        <v>228</v>
      </c>
      <c r="AT26" s="0" t="s">
        <v>228</v>
      </c>
      <c r="AU26" s="0" t="s">
        <v>228</v>
      </c>
      <c r="AV26" s="0" t="s">
        <v>228</v>
      </c>
      <c r="AW26" s="0" t="s">
        <v>228</v>
      </c>
      <c r="AX26" s="0" t="s">
        <v>228</v>
      </c>
      <c r="AY26" s="0" t="s">
        <v>228</v>
      </c>
      <c r="AZ26" s="0" t="s">
        <v>228</v>
      </c>
      <c r="BA26" s="0" t="s">
        <v>228</v>
      </c>
      <c r="BB26" s="0" t="s">
        <v>228</v>
      </c>
      <c r="BC26" s="0" t="s">
        <v>228</v>
      </c>
      <c r="BD26" s="0" t="s">
        <v>228</v>
      </c>
      <c r="BE26" s="0" t="s">
        <v>228</v>
      </c>
      <c r="BF26" s="0" t="s">
        <v>228</v>
      </c>
      <c r="BG26" s="0" t="s">
        <v>228</v>
      </c>
      <c r="BH26" s="0" t="s">
        <v>228</v>
      </c>
      <c r="BI26" s="0" t="s">
        <v>228</v>
      </c>
      <c r="BJ26" s="0" t="s">
        <v>228</v>
      </c>
      <c r="BK26" s="0" t="s">
        <v>228</v>
      </c>
      <c r="BL26" s="0" t="s">
        <v>228</v>
      </c>
      <c r="BM26" s="0" t="s">
        <v>228</v>
      </c>
      <c r="BN26" s="0" t="s">
        <v>228</v>
      </c>
      <c r="BO26" s="0" t="s">
        <v>228</v>
      </c>
      <c r="BP26" s="0" t="s">
        <v>228</v>
      </c>
      <c r="BQ26" s="0" t="s">
        <v>228</v>
      </c>
      <c r="BR26" s="0" t="s">
        <v>228</v>
      </c>
      <c r="BS26" s="0" t="s">
        <v>228</v>
      </c>
      <c r="BT26" s="0" t="s">
        <v>228</v>
      </c>
      <c r="BU26" s="0" t="s">
        <v>228</v>
      </c>
      <c r="BV26" s="0" t="s">
        <v>228</v>
      </c>
      <c r="BW26" s="0" t="s">
        <v>228</v>
      </c>
      <c r="BX26" s="0" t="s">
        <v>228</v>
      </c>
      <c r="BY26" s="0" t="s">
        <v>228</v>
      </c>
      <c r="BZ26" s="0" t="s">
        <v>228</v>
      </c>
      <c r="CA26" s="0" t="s">
        <v>228</v>
      </c>
      <c r="CB26" s="0" t="s">
        <v>228</v>
      </c>
      <c r="CC26" s="0" t="s">
        <v>228</v>
      </c>
      <c r="CD26" s="0" t="s">
        <v>228</v>
      </c>
      <c r="CE26" s="0" t="s">
        <v>228</v>
      </c>
      <c r="CF26" s="0" t="s">
        <v>228</v>
      </c>
      <c r="CG26" s="0" t="s">
        <v>228</v>
      </c>
      <c r="CH26" s="0" t="s">
        <v>228</v>
      </c>
      <c r="CI26" s="0" t="s">
        <v>228</v>
      </c>
      <c r="CJ26" s="0" t="s">
        <v>228</v>
      </c>
      <c r="CK26" s="0" t="s">
        <v>228</v>
      </c>
      <c r="CL26" s="0" t="s">
        <v>228</v>
      </c>
      <c r="CM26" s="0" t="s">
        <v>228</v>
      </c>
      <c r="CN26" s="0" t="s">
        <v>228</v>
      </c>
      <c r="CO26" s="0" t="s">
        <v>228</v>
      </c>
      <c r="CP26" s="0" t="s">
        <v>228</v>
      </c>
      <c r="CQ26" s="0" t="s">
        <v>228</v>
      </c>
      <c r="CR26" s="0" t="s">
        <v>228</v>
      </c>
      <c r="CS26" s="0" t="s">
        <v>228</v>
      </c>
      <c r="CT26" s="0" t="s">
        <v>3568</v>
      </c>
      <c r="CU26" s="0" t="s">
        <v>3569</v>
      </c>
      <c r="CV26" s="0" t="s">
        <v>418</v>
      </c>
      <c r="CW26" s="0" t="s">
        <v>3622</v>
      </c>
      <c r="CX26" s="0" t="s">
        <v>419</v>
      </c>
      <c r="CY26" s="0" t="s">
        <v>418</v>
      </c>
      <c r="CZ26" s="0" t="s">
        <v>3623</v>
      </c>
      <c r="DA26" s="0" t="s">
        <v>3624</v>
      </c>
      <c r="DB26" s="0" t="s">
        <v>3622</v>
      </c>
      <c r="DC26" s="0" t="s">
        <v>362</v>
      </c>
      <c r="DD26" s="0" t="s">
        <v>3572</v>
      </c>
      <c r="DE26" s="0" t="s">
        <v>3758</v>
      </c>
    </row>
    <row customHeight="1" ht="11.25">
      <c r="A27" s="1353" t="s">
        <v>228</v>
      </c>
      <c r="B27" s="0" t="s">
        <v>228</v>
      </c>
      <c r="C27" s="0" t="s">
        <v>228</v>
      </c>
      <c r="D27" s="0" t="s">
        <v>228</v>
      </c>
      <c r="E27" s="0" t="s">
        <v>228</v>
      </c>
      <c r="F27" s="0" t="s">
        <v>228</v>
      </c>
      <c r="G27" s="0" t="s">
        <v>228</v>
      </c>
      <c r="H27" s="0" t="s">
        <v>228</v>
      </c>
      <c r="I27" s="0" t="s">
        <v>3555</v>
      </c>
      <c r="J27" s="0" t="s">
        <v>228</v>
      </c>
      <c r="K27" s="0" t="s">
        <v>228</v>
      </c>
      <c r="L27" s="0" t="s">
        <v>228</v>
      </c>
      <c r="M27" s="0" t="s">
        <v>228</v>
      </c>
      <c r="N27" s="0" t="s">
        <v>228</v>
      </c>
      <c r="O27" s="0" t="s">
        <v>228</v>
      </c>
      <c r="P27" s="0" t="s">
        <v>228</v>
      </c>
      <c r="Q27" s="0" t="s">
        <v>228</v>
      </c>
      <c r="R27" s="0" t="s">
        <v>3648</v>
      </c>
      <c r="S27" s="0" t="s">
        <v>228</v>
      </c>
      <c r="T27" s="0" t="s">
        <v>228</v>
      </c>
      <c r="U27" s="0" t="s">
        <v>101</v>
      </c>
      <c r="V27" s="0" t="s">
        <v>228</v>
      </c>
      <c r="W27" s="0" t="s">
        <v>228</v>
      </c>
      <c r="X27" s="0" t="s">
        <v>3557</v>
      </c>
      <c r="Y27" s="0" t="s">
        <v>228</v>
      </c>
      <c r="Z27" s="0" t="s">
        <v>160</v>
      </c>
      <c r="AA27" s="0" t="s">
        <v>151</v>
      </c>
      <c r="AB27" s="0" t="s">
        <v>151</v>
      </c>
      <c r="AC27" s="0" t="s">
        <v>2317</v>
      </c>
      <c r="AD27" s="0" t="s">
        <v>2317</v>
      </c>
      <c r="AE27" s="0" t="s">
        <v>2318</v>
      </c>
      <c r="AF27" s="0" t="s">
        <v>3759</v>
      </c>
      <c r="AG27" s="0" t="s">
        <v>3760</v>
      </c>
      <c r="AH27" s="0" t="s">
        <v>3761</v>
      </c>
      <c r="AI27" s="0" t="s">
        <v>1688</v>
      </c>
      <c r="AJ27" s="0" t="s">
        <v>3627</v>
      </c>
      <c r="AK27" s="0" t="s">
        <v>3619</v>
      </c>
      <c r="AL27" s="0" t="s">
        <v>3581</v>
      </c>
      <c r="AM27" s="0" t="s">
        <v>3565</v>
      </c>
      <c r="AN27" s="0" t="s">
        <v>3628</v>
      </c>
      <c r="AO27" s="0" t="s">
        <v>3701</v>
      </c>
      <c r="AP27" s="0" t="s">
        <v>228</v>
      </c>
      <c r="AQ27" s="0" t="s">
        <v>228</v>
      </c>
      <c r="AR27" s="0" t="s">
        <v>228</v>
      </c>
      <c r="AS27" s="0" t="s">
        <v>228</v>
      </c>
      <c r="AT27" s="0" t="s">
        <v>228</v>
      </c>
      <c r="AU27" s="0" t="s">
        <v>228</v>
      </c>
      <c r="AV27" s="0" t="s">
        <v>228</v>
      </c>
      <c r="AW27" s="0" t="s">
        <v>228</v>
      </c>
      <c r="AX27" s="0" t="s">
        <v>228</v>
      </c>
      <c r="AY27" s="0" t="s">
        <v>228</v>
      </c>
      <c r="AZ27" s="0" t="s">
        <v>228</v>
      </c>
      <c r="BA27" s="0" t="s">
        <v>228</v>
      </c>
      <c r="BB27" s="0" t="s">
        <v>228</v>
      </c>
      <c r="BC27" s="0" t="s">
        <v>228</v>
      </c>
      <c r="BD27" s="0" t="s">
        <v>228</v>
      </c>
      <c r="BE27" s="0" t="s">
        <v>228</v>
      </c>
      <c r="BF27" s="0" t="s">
        <v>228</v>
      </c>
      <c r="BG27" s="0" t="s">
        <v>228</v>
      </c>
      <c r="BH27" s="0" t="s">
        <v>228</v>
      </c>
      <c r="BI27" s="0" t="s">
        <v>228</v>
      </c>
      <c r="BJ27" s="0" t="s">
        <v>228</v>
      </c>
      <c r="BK27" s="0" t="s">
        <v>228</v>
      </c>
      <c r="BL27" s="0" t="s">
        <v>228</v>
      </c>
      <c r="BM27" s="0" t="s">
        <v>228</v>
      </c>
      <c r="BN27" s="0" t="s">
        <v>228</v>
      </c>
      <c r="BO27" s="0" t="s">
        <v>228</v>
      </c>
      <c r="BP27" s="0" t="s">
        <v>228</v>
      </c>
      <c r="BQ27" s="0" t="s">
        <v>228</v>
      </c>
      <c r="BR27" s="0" t="s">
        <v>228</v>
      </c>
      <c r="BS27" s="0" t="s">
        <v>228</v>
      </c>
      <c r="BT27" s="0" t="s">
        <v>228</v>
      </c>
      <c r="BU27" s="0" t="s">
        <v>228</v>
      </c>
      <c r="BV27" s="0" t="s">
        <v>228</v>
      </c>
      <c r="BW27" s="0" t="s">
        <v>228</v>
      </c>
      <c r="BX27" s="0" t="s">
        <v>228</v>
      </c>
      <c r="BY27" s="0" t="s">
        <v>228</v>
      </c>
      <c r="BZ27" s="0" t="s">
        <v>228</v>
      </c>
      <c r="CA27" s="0" t="s">
        <v>228</v>
      </c>
      <c r="CB27" s="0" t="s">
        <v>228</v>
      </c>
      <c r="CC27" s="0" t="s">
        <v>228</v>
      </c>
      <c r="CD27" s="0" t="s">
        <v>228</v>
      </c>
      <c r="CE27" s="0" t="s">
        <v>228</v>
      </c>
      <c r="CF27" s="0" t="s">
        <v>228</v>
      </c>
      <c r="CG27" s="0" t="s">
        <v>228</v>
      </c>
      <c r="CH27" s="0" t="s">
        <v>228</v>
      </c>
      <c r="CI27" s="0" t="s">
        <v>228</v>
      </c>
      <c r="CJ27" s="0" t="s">
        <v>228</v>
      </c>
      <c r="CK27" s="0" t="s">
        <v>228</v>
      </c>
      <c r="CL27" s="0" t="s">
        <v>228</v>
      </c>
      <c r="CM27" s="0" t="s">
        <v>228</v>
      </c>
      <c r="CN27" s="0" t="s">
        <v>228</v>
      </c>
      <c r="CO27" s="0" t="s">
        <v>228</v>
      </c>
      <c r="CP27" s="0" t="s">
        <v>228</v>
      </c>
      <c r="CQ27" s="0" t="s">
        <v>228</v>
      </c>
      <c r="CR27" s="0" t="s">
        <v>228</v>
      </c>
      <c r="CS27" s="0" t="s">
        <v>228</v>
      </c>
      <c r="CT27" s="0" t="s">
        <v>3568</v>
      </c>
      <c r="CU27" s="0" t="s">
        <v>3569</v>
      </c>
      <c r="CV27" s="0" t="s">
        <v>418</v>
      </c>
      <c r="CW27" s="0" t="s">
        <v>3622</v>
      </c>
      <c r="CX27" s="0" t="s">
        <v>419</v>
      </c>
      <c r="CY27" s="0" t="s">
        <v>418</v>
      </c>
      <c r="CZ27" s="0" t="s">
        <v>3623</v>
      </c>
      <c r="DA27" s="0" t="s">
        <v>3624</v>
      </c>
      <c r="DB27" s="0" t="s">
        <v>3622</v>
      </c>
      <c r="DC27" s="0" t="s">
        <v>362</v>
      </c>
      <c r="DD27" s="0" t="s">
        <v>3572</v>
      </c>
      <c r="DE27" s="0" t="s">
        <v>3762</v>
      </c>
    </row>
    <row customHeight="1" ht="11.25">
      <c r="A28" s="1353" t="s">
        <v>228</v>
      </c>
      <c r="B28" s="0" t="s">
        <v>228</v>
      </c>
      <c r="C28" s="0" t="s">
        <v>228</v>
      </c>
      <c r="D28" s="0" t="s">
        <v>228</v>
      </c>
      <c r="E28" s="0" t="s">
        <v>228</v>
      </c>
      <c r="F28" s="0" t="s">
        <v>228</v>
      </c>
      <c r="G28" s="0" t="s">
        <v>228</v>
      </c>
      <c r="H28" s="0" t="s">
        <v>228</v>
      </c>
      <c r="I28" s="0" t="s">
        <v>3555</v>
      </c>
      <c r="J28" s="0" t="s">
        <v>228</v>
      </c>
      <c r="K28" s="0" t="s">
        <v>228</v>
      </c>
      <c r="L28" s="0" t="s">
        <v>228</v>
      </c>
      <c r="M28" s="0" t="s">
        <v>228</v>
      </c>
      <c r="N28" s="0" t="s">
        <v>228</v>
      </c>
      <c r="O28" s="0" t="s">
        <v>228</v>
      </c>
      <c r="P28" s="0" t="s">
        <v>228</v>
      </c>
      <c r="Q28" s="0" t="s">
        <v>228</v>
      </c>
      <c r="R28" s="0" t="s">
        <v>3648</v>
      </c>
      <c r="S28" s="0" t="s">
        <v>228</v>
      </c>
      <c r="T28" s="0" t="s">
        <v>228</v>
      </c>
      <c r="U28" s="0" t="s">
        <v>101</v>
      </c>
      <c r="V28" s="0" t="s">
        <v>228</v>
      </c>
      <c r="W28" s="0" t="s">
        <v>228</v>
      </c>
      <c r="X28" s="0" t="s">
        <v>3557</v>
      </c>
      <c r="Y28" s="0" t="s">
        <v>228</v>
      </c>
      <c r="Z28" s="0" t="s">
        <v>160</v>
      </c>
      <c r="AA28" s="0" t="s">
        <v>151</v>
      </c>
      <c r="AB28" s="0" t="s">
        <v>151</v>
      </c>
      <c r="AC28" s="0" t="s">
        <v>2317</v>
      </c>
      <c r="AD28" s="0" t="s">
        <v>2317</v>
      </c>
      <c r="AE28" s="0" t="s">
        <v>2318</v>
      </c>
      <c r="AF28" s="0" t="s">
        <v>3763</v>
      </c>
      <c r="AG28" s="0" t="s">
        <v>3764</v>
      </c>
      <c r="AH28" s="0" t="s">
        <v>3765</v>
      </c>
      <c r="AI28" s="0" t="s">
        <v>3688</v>
      </c>
      <c r="AJ28" s="0" t="s">
        <v>3627</v>
      </c>
      <c r="AK28" s="0" t="s">
        <v>3619</v>
      </c>
      <c r="AL28" s="0" t="s">
        <v>3581</v>
      </c>
      <c r="AM28" s="0" t="s">
        <v>3565</v>
      </c>
      <c r="AN28" s="0" t="s">
        <v>3620</v>
      </c>
      <c r="AO28" s="0" t="s">
        <v>3757</v>
      </c>
      <c r="AP28" s="0" t="s">
        <v>228</v>
      </c>
      <c r="AQ28" s="0" t="s">
        <v>228</v>
      </c>
      <c r="AR28" s="0" t="s">
        <v>228</v>
      </c>
      <c r="AS28" s="0" t="s">
        <v>228</v>
      </c>
      <c r="AT28" s="0" t="s">
        <v>228</v>
      </c>
      <c r="AU28" s="0" t="s">
        <v>228</v>
      </c>
      <c r="AV28" s="0" t="s">
        <v>228</v>
      </c>
      <c r="AW28" s="0" t="s">
        <v>228</v>
      </c>
      <c r="AX28" s="0" t="s">
        <v>228</v>
      </c>
      <c r="AY28" s="0" t="s">
        <v>228</v>
      </c>
      <c r="AZ28" s="0" t="s">
        <v>228</v>
      </c>
      <c r="BA28" s="0" t="s">
        <v>228</v>
      </c>
      <c r="BB28" s="0" t="s">
        <v>228</v>
      </c>
      <c r="BC28" s="0" t="s">
        <v>228</v>
      </c>
      <c r="BD28" s="0" t="s">
        <v>228</v>
      </c>
      <c r="BE28" s="0" t="s">
        <v>228</v>
      </c>
      <c r="BF28" s="0" t="s">
        <v>228</v>
      </c>
      <c r="BG28" s="0" t="s">
        <v>228</v>
      </c>
      <c r="BH28" s="0" t="s">
        <v>228</v>
      </c>
      <c r="BI28" s="0" t="s">
        <v>228</v>
      </c>
      <c r="BJ28" s="0" t="s">
        <v>228</v>
      </c>
      <c r="BK28" s="0" t="s">
        <v>228</v>
      </c>
      <c r="BL28" s="0" t="s">
        <v>228</v>
      </c>
      <c r="BM28" s="0" t="s">
        <v>228</v>
      </c>
      <c r="BN28" s="0" t="s">
        <v>228</v>
      </c>
      <c r="BO28" s="0" t="s">
        <v>228</v>
      </c>
      <c r="BP28" s="0" t="s">
        <v>228</v>
      </c>
      <c r="BQ28" s="0" t="s">
        <v>228</v>
      </c>
      <c r="BR28" s="0" t="s">
        <v>228</v>
      </c>
      <c r="BS28" s="0" t="s">
        <v>228</v>
      </c>
      <c r="BT28" s="0" t="s">
        <v>228</v>
      </c>
      <c r="BU28" s="0" t="s">
        <v>228</v>
      </c>
      <c r="BV28" s="0" t="s">
        <v>228</v>
      </c>
      <c r="BW28" s="0" t="s">
        <v>228</v>
      </c>
      <c r="BX28" s="0" t="s">
        <v>228</v>
      </c>
      <c r="BY28" s="0" t="s">
        <v>228</v>
      </c>
      <c r="BZ28" s="0" t="s">
        <v>228</v>
      </c>
      <c r="CA28" s="0" t="s">
        <v>228</v>
      </c>
      <c r="CB28" s="0" t="s">
        <v>228</v>
      </c>
      <c r="CC28" s="0" t="s">
        <v>228</v>
      </c>
      <c r="CD28" s="0" t="s">
        <v>228</v>
      </c>
      <c r="CE28" s="0" t="s">
        <v>228</v>
      </c>
      <c r="CF28" s="0" t="s">
        <v>228</v>
      </c>
      <c r="CG28" s="0" t="s">
        <v>228</v>
      </c>
      <c r="CH28" s="0" t="s">
        <v>228</v>
      </c>
      <c r="CI28" s="0" t="s">
        <v>228</v>
      </c>
      <c r="CJ28" s="0" t="s">
        <v>228</v>
      </c>
      <c r="CK28" s="0" t="s">
        <v>228</v>
      </c>
      <c r="CL28" s="0" t="s">
        <v>228</v>
      </c>
      <c r="CM28" s="0" t="s">
        <v>228</v>
      </c>
      <c r="CN28" s="0" t="s">
        <v>228</v>
      </c>
      <c r="CO28" s="0" t="s">
        <v>228</v>
      </c>
      <c r="CP28" s="0" t="s">
        <v>228</v>
      </c>
      <c r="CQ28" s="0" t="s">
        <v>228</v>
      </c>
      <c r="CR28" s="0" t="s">
        <v>228</v>
      </c>
      <c r="CS28" s="0" t="s">
        <v>228</v>
      </c>
      <c r="CT28" s="0" t="s">
        <v>3568</v>
      </c>
      <c r="CU28" s="0" t="s">
        <v>3569</v>
      </c>
      <c r="CV28" s="0" t="s">
        <v>418</v>
      </c>
      <c r="CW28" s="0" t="s">
        <v>3622</v>
      </c>
      <c r="CX28" s="0" t="s">
        <v>419</v>
      </c>
      <c r="CY28" s="0" t="s">
        <v>418</v>
      </c>
      <c r="CZ28" s="0" t="s">
        <v>3623</v>
      </c>
      <c r="DA28" s="0" t="s">
        <v>3624</v>
      </c>
      <c r="DB28" s="0" t="s">
        <v>3622</v>
      </c>
      <c r="DC28" s="0" t="s">
        <v>362</v>
      </c>
      <c r="DD28" s="0" t="s">
        <v>3572</v>
      </c>
      <c r="DE28" s="0" t="s">
        <v>3766</v>
      </c>
    </row>
    <row customHeight="1" ht="11.25">
      <c r="A29" s="1353" t="s">
        <v>228</v>
      </c>
      <c r="B29" s="0" t="s">
        <v>228</v>
      </c>
      <c r="C29" s="0" t="s">
        <v>228</v>
      </c>
      <c r="D29" s="0" t="s">
        <v>228</v>
      </c>
      <c r="E29" s="0" t="s">
        <v>228</v>
      </c>
      <c r="F29" s="0" t="s">
        <v>228</v>
      </c>
      <c r="G29" s="0" t="s">
        <v>228</v>
      </c>
      <c r="H29" s="0" t="s">
        <v>228</v>
      </c>
      <c r="I29" s="0" t="s">
        <v>3555</v>
      </c>
      <c r="J29" s="0" t="s">
        <v>228</v>
      </c>
      <c r="K29" s="0" t="s">
        <v>228</v>
      </c>
      <c r="L29" s="0" t="s">
        <v>228</v>
      </c>
      <c r="M29" s="0" t="s">
        <v>228</v>
      </c>
      <c r="N29" s="0" t="s">
        <v>228</v>
      </c>
      <c r="O29" s="0" t="s">
        <v>228</v>
      </c>
      <c r="P29" s="0" t="s">
        <v>228</v>
      </c>
      <c r="Q29" s="0" t="s">
        <v>228</v>
      </c>
      <c r="R29" s="0" t="s">
        <v>3767</v>
      </c>
      <c r="S29" s="0" t="s">
        <v>228</v>
      </c>
      <c r="T29" s="0" t="s">
        <v>228</v>
      </c>
      <c r="U29" s="0" t="s">
        <v>101</v>
      </c>
      <c r="V29" s="0" t="s">
        <v>228</v>
      </c>
      <c r="W29" s="0" t="s">
        <v>228</v>
      </c>
      <c r="X29" s="0" t="s">
        <v>3557</v>
      </c>
      <c r="Y29" s="0" t="s">
        <v>228</v>
      </c>
      <c r="Z29" s="0" t="s">
        <v>160</v>
      </c>
      <c r="AA29" s="0" t="s">
        <v>151</v>
      </c>
      <c r="AB29" s="0" t="s">
        <v>151</v>
      </c>
      <c r="AC29" s="0" t="s">
        <v>2317</v>
      </c>
      <c r="AD29" s="0" t="s">
        <v>2317</v>
      </c>
      <c r="AE29" s="0" t="s">
        <v>2318</v>
      </c>
      <c r="AF29" s="0" t="s">
        <v>3768</v>
      </c>
      <c r="AG29" s="0" t="s">
        <v>3769</v>
      </c>
      <c r="AH29" s="0" t="s">
        <v>3770</v>
      </c>
      <c r="AI29" s="0" t="s">
        <v>3771</v>
      </c>
      <c r="AJ29" s="0" t="s">
        <v>3579</v>
      </c>
      <c r="AK29" s="0" t="s">
        <v>3619</v>
      </c>
      <c r="AL29" s="0" t="s">
        <v>3581</v>
      </c>
      <c r="AM29" s="0" t="s">
        <v>3565</v>
      </c>
      <c r="AN29" s="0" t="s">
        <v>3620</v>
      </c>
      <c r="AO29" s="0" t="s">
        <v>3772</v>
      </c>
      <c r="AP29" s="0" t="s">
        <v>228</v>
      </c>
      <c r="AQ29" s="0" t="s">
        <v>228</v>
      </c>
      <c r="AR29" s="0" t="s">
        <v>228</v>
      </c>
      <c r="AS29" s="0" t="s">
        <v>228</v>
      </c>
      <c r="AT29" s="0" t="s">
        <v>228</v>
      </c>
      <c r="AU29" s="0" t="s">
        <v>228</v>
      </c>
      <c r="AV29" s="0" t="s">
        <v>228</v>
      </c>
      <c r="AW29" s="0" t="s">
        <v>228</v>
      </c>
      <c r="AX29" s="0" t="s">
        <v>228</v>
      </c>
      <c r="AY29" s="0" t="s">
        <v>228</v>
      </c>
      <c r="AZ29" s="0" t="s">
        <v>228</v>
      </c>
      <c r="BA29" s="0" t="s">
        <v>228</v>
      </c>
      <c r="BB29" s="0" t="s">
        <v>228</v>
      </c>
      <c r="BC29" s="0" t="s">
        <v>228</v>
      </c>
      <c r="BD29" s="0" t="s">
        <v>228</v>
      </c>
      <c r="BE29" s="0" t="s">
        <v>228</v>
      </c>
      <c r="BF29" s="0" t="s">
        <v>228</v>
      </c>
      <c r="BG29" s="0" t="s">
        <v>228</v>
      </c>
      <c r="BH29" s="0" t="s">
        <v>228</v>
      </c>
      <c r="BI29" s="0" t="s">
        <v>228</v>
      </c>
      <c r="BJ29" s="0" t="s">
        <v>228</v>
      </c>
      <c r="BK29" s="0" t="s">
        <v>228</v>
      </c>
      <c r="BL29" s="0" t="s">
        <v>228</v>
      </c>
      <c r="BM29" s="0" t="s">
        <v>228</v>
      </c>
      <c r="BN29" s="0" t="s">
        <v>228</v>
      </c>
      <c r="BO29" s="0" t="s">
        <v>228</v>
      </c>
      <c r="BP29" s="0" t="s">
        <v>228</v>
      </c>
      <c r="BQ29" s="0" t="s">
        <v>228</v>
      </c>
      <c r="BR29" s="0" t="s">
        <v>228</v>
      </c>
      <c r="BS29" s="0" t="s">
        <v>228</v>
      </c>
      <c r="BT29" s="0" t="s">
        <v>228</v>
      </c>
      <c r="BU29" s="0" t="s">
        <v>228</v>
      </c>
      <c r="BV29" s="0" t="s">
        <v>228</v>
      </c>
      <c r="BW29" s="0" t="s">
        <v>228</v>
      </c>
      <c r="BX29" s="0" t="s">
        <v>228</v>
      </c>
      <c r="BY29" s="0" t="s">
        <v>228</v>
      </c>
      <c r="BZ29" s="0" t="s">
        <v>228</v>
      </c>
      <c r="CA29" s="0" t="s">
        <v>228</v>
      </c>
      <c r="CB29" s="0" t="s">
        <v>228</v>
      </c>
      <c r="CC29" s="0" t="s">
        <v>228</v>
      </c>
      <c r="CD29" s="0" t="s">
        <v>228</v>
      </c>
      <c r="CE29" s="0" t="s">
        <v>228</v>
      </c>
      <c r="CF29" s="0" t="s">
        <v>228</v>
      </c>
      <c r="CG29" s="0" t="s">
        <v>228</v>
      </c>
      <c r="CH29" s="0" t="s">
        <v>228</v>
      </c>
      <c r="CI29" s="0" t="s">
        <v>228</v>
      </c>
      <c r="CJ29" s="0" t="s">
        <v>228</v>
      </c>
      <c r="CK29" s="0" t="s">
        <v>228</v>
      </c>
      <c r="CL29" s="0" t="s">
        <v>228</v>
      </c>
      <c r="CM29" s="0" t="s">
        <v>228</v>
      </c>
      <c r="CN29" s="0" t="s">
        <v>228</v>
      </c>
      <c r="CO29" s="0" t="s">
        <v>228</v>
      </c>
      <c r="CP29" s="0" t="s">
        <v>228</v>
      </c>
      <c r="CQ29" s="0" t="s">
        <v>228</v>
      </c>
      <c r="CR29" s="0" t="s">
        <v>228</v>
      </c>
      <c r="CS29" s="0" t="s">
        <v>228</v>
      </c>
      <c r="CT29" s="0" t="s">
        <v>3568</v>
      </c>
      <c r="CU29" s="0" t="s">
        <v>3569</v>
      </c>
      <c r="CV29" s="0" t="s">
        <v>418</v>
      </c>
      <c r="CW29" s="0" t="s">
        <v>3622</v>
      </c>
      <c r="CX29" s="0" t="s">
        <v>419</v>
      </c>
      <c r="CY29" s="0" t="s">
        <v>418</v>
      </c>
      <c r="CZ29" s="0" t="s">
        <v>3623</v>
      </c>
      <c r="DA29" s="0" t="s">
        <v>3624</v>
      </c>
      <c r="DB29" s="0" t="s">
        <v>3622</v>
      </c>
      <c r="DC29" s="0" t="s">
        <v>362</v>
      </c>
      <c r="DD29" s="0" t="s">
        <v>3572</v>
      </c>
      <c r="DE29" s="0" t="s">
        <v>3773</v>
      </c>
    </row>
    <row customHeight="1" ht="11.25">
      <c r="A30" s="1353" t="s">
        <v>228</v>
      </c>
      <c r="B30" s="0" t="s">
        <v>228</v>
      </c>
      <c r="C30" s="0" t="s">
        <v>228</v>
      </c>
      <c r="D30" s="0" t="s">
        <v>228</v>
      </c>
      <c r="E30" s="0" t="s">
        <v>228</v>
      </c>
      <c r="F30" s="0" t="s">
        <v>228</v>
      </c>
      <c r="G30" s="0" t="s">
        <v>228</v>
      </c>
      <c r="H30" s="0" t="s">
        <v>228</v>
      </c>
      <c r="I30" s="0" t="s">
        <v>3555</v>
      </c>
      <c r="J30" s="0" t="s">
        <v>228</v>
      </c>
      <c r="K30" s="0" t="s">
        <v>228</v>
      </c>
      <c r="L30" s="0" t="s">
        <v>228</v>
      </c>
      <c r="M30" s="0" t="s">
        <v>228</v>
      </c>
      <c r="N30" s="0" t="s">
        <v>228</v>
      </c>
      <c r="O30" s="0" t="s">
        <v>228</v>
      </c>
      <c r="P30" s="0" t="s">
        <v>228</v>
      </c>
      <c r="Q30" s="0" t="s">
        <v>228</v>
      </c>
      <c r="R30" s="0" t="s">
        <v>3684</v>
      </c>
      <c r="S30" s="0" t="s">
        <v>228</v>
      </c>
      <c r="T30" s="0" t="s">
        <v>228</v>
      </c>
      <c r="U30" s="0" t="s">
        <v>101</v>
      </c>
      <c r="V30" s="0" t="s">
        <v>228</v>
      </c>
      <c r="W30" s="0" t="s">
        <v>228</v>
      </c>
      <c r="X30" s="0" t="s">
        <v>3557</v>
      </c>
      <c r="Y30" s="0" t="s">
        <v>228</v>
      </c>
      <c r="Z30" s="0" t="s">
        <v>160</v>
      </c>
      <c r="AA30" s="0" t="s">
        <v>151</v>
      </c>
      <c r="AB30" s="0" t="s">
        <v>151</v>
      </c>
      <c r="AC30" s="0" t="s">
        <v>2311</v>
      </c>
      <c r="AD30" s="0" t="s">
        <v>2311</v>
      </c>
      <c r="AE30" s="0" t="s">
        <v>2312</v>
      </c>
      <c r="AF30" s="0" t="s">
        <v>3697</v>
      </c>
      <c r="AG30" s="0" t="s">
        <v>3698</v>
      </c>
      <c r="AH30" s="0" t="s">
        <v>3699</v>
      </c>
      <c r="AI30" s="0" t="s">
        <v>3716</v>
      </c>
      <c r="AJ30" s="0" t="s">
        <v>3579</v>
      </c>
      <c r="AK30" s="0" t="s">
        <v>3580</v>
      </c>
      <c r="AL30" s="0" t="s">
        <v>3581</v>
      </c>
      <c r="AM30" s="0" t="s">
        <v>3565</v>
      </c>
      <c r="AN30" s="0" t="s">
        <v>3582</v>
      </c>
      <c r="AO30" s="0" t="s">
        <v>3772</v>
      </c>
      <c r="AP30" s="0" t="s">
        <v>228</v>
      </c>
      <c r="AQ30" s="0" t="s">
        <v>228</v>
      </c>
      <c r="AR30" s="0" t="s">
        <v>228</v>
      </c>
      <c r="AS30" s="0" t="s">
        <v>228</v>
      </c>
      <c r="AT30" s="0" t="s">
        <v>228</v>
      </c>
      <c r="AU30" s="0" t="s">
        <v>228</v>
      </c>
      <c r="AV30" s="0" t="s">
        <v>228</v>
      </c>
      <c r="AW30" s="0" t="s">
        <v>228</v>
      </c>
      <c r="AX30" s="0" t="s">
        <v>228</v>
      </c>
      <c r="AY30" s="0" t="s">
        <v>228</v>
      </c>
      <c r="AZ30" s="0" t="s">
        <v>228</v>
      </c>
      <c r="BA30" s="0" t="s">
        <v>228</v>
      </c>
      <c r="BB30" s="0" t="s">
        <v>228</v>
      </c>
      <c r="BC30" s="0" t="s">
        <v>228</v>
      </c>
      <c r="BD30" s="0" t="s">
        <v>228</v>
      </c>
      <c r="BE30" s="0" t="s">
        <v>228</v>
      </c>
      <c r="BF30" s="0" t="s">
        <v>228</v>
      </c>
      <c r="BG30" s="0" t="s">
        <v>228</v>
      </c>
      <c r="BH30" s="0" t="s">
        <v>228</v>
      </c>
      <c r="BI30" s="0" t="s">
        <v>228</v>
      </c>
      <c r="BJ30" s="0" t="s">
        <v>228</v>
      </c>
      <c r="BK30" s="0" t="s">
        <v>228</v>
      </c>
      <c r="BL30" s="0" t="s">
        <v>228</v>
      </c>
      <c r="BM30" s="0" t="s">
        <v>228</v>
      </c>
      <c r="BN30" s="0" t="s">
        <v>228</v>
      </c>
      <c r="BO30" s="0" t="s">
        <v>228</v>
      </c>
      <c r="BP30" s="0" t="s">
        <v>228</v>
      </c>
      <c r="BQ30" s="0" t="s">
        <v>228</v>
      </c>
      <c r="BR30" s="0" t="s">
        <v>228</v>
      </c>
      <c r="BS30" s="0" t="s">
        <v>228</v>
      </c>
      <c r="BT30" s="0" t="s">
        <v>228</v>
      </c>
      <c r="BU30" s="0" t="s">
        <v>228</v>
      </c>
      <c r="BV30" s="0" t="s">
        <v>228</v>
      </c>
      <c r="BW30" s="0" t="s">
        <v>228</v>
      </c>
      <c r="BX30" s="0" t="s">
        <v>228</v>
      </c>
      <c r="BY30" s="0" t="s">
        <v>228</v>
      </c>
      <c r="BZ30" s="0" t="s">
        <v>228</v>
      </c>
      <c r="CA30" s="0" t="s">
        <v>228</v>
      </c>
      <c r="CB30" s="0" t="s">
        <v>228</v>
      </c>
      <c r="CC30" s="0" t="s">
        <v>228</v>
      </c>
      <c r="CD30" s="0" t="s">
        <v>228</v>
      </c>
      <c r="CE30" s="0" t="s">
        <v>228</v>
      </c>
      <c r="CF30" s="0" t="s">
        <v>228</v>
      </c>
      <c r="CG30" s="0" t="s">
        <v>228</v>
      </c>
      <c r="CH30" s="0" t="s">
        <v>228</v>
      </c>
      <c r="CI30" s="0" t="s">
        <v>228</v>
      </c>
      <c r="CJ30" s="0" t="s">
        <v>228</v>
      </c>
      <c r="CK30" s="0" t="s">
        <v>228</v>
      </c>
      <c r="CL30" s="0" t="s">
        <v>228</v>
      </c>
      <c r="CM30" s="0" t="s">
        <v>228</v>
      </c>
      <c r="CN30" s="0" t="s">
        <v>228</v>
      </c>
      <c r="CO30" s="0" t="s">
        <v>228</v>
      </c>
      <c r="CP30" s="0" t="s">
        <v>228</v>
      </c>
      <c r="CQ30" s="0" t="s">
        <v>228</v>
      </c>
      <c r="CR30" s="0" t="s">
        <v>228</v>
      </c>
      <c r="CS30" s="0" t="s">
        <v>228</v>
      </c>
      <c r="CT30" s="0" t="s">
        <v>3568</v>
      </c>
      <c r="CU30" s="0" t="s">
        <v>3569</v>
      </c>
      <c r="CV30" s="0" t="s">
        <v>418</v>
      </c>
      <c r="CW30" s="0" t="s">
        <v>3584</v>
      </c>
      <c r="CX30" s="0" t="s">
        <v>419</v>
      </c>
      <c r="CY30" s="0" t="s">
        <v>418</v>
      </c>
      <c r="CZ30" s="0" t="s">
        <v>3585</v>
      </c>
      <c r="DA30" s="0" t="s">
        <v>3586</v>
      </c>
      <c r="DB30" s="0" t="s">
        <v>3584</v>
      </c>
      <c r="DC30" s="0" t="s">
        <v>362</v>
      </c>
      <c r="DD30" s="0" t="s">
        <v>3572</v>
      </c>
      <c r="DE30" s="0" t="s">
        <v>3774</v>
      </c>
    </row>
    <row customHeight="1" ht="11.25">
      <c r="A31" s="1353" t="s">
        <v>228</v>
      </c>
      <c r="B31" s="0" t="s">
        <v>228</v>
      </c>
      <c r="C31" s="0" t="s">
        <v>228</v>
      </c>
      <c r="D31" s="0" t="s">
        <v>228</v>
      </c>
      <c r="E31" s="0" t="s">
        <v>228</v>
      </c>
      <c r="F31" s="0" t="s">
        <v>228</v>
      </c>
      <c r="G31" s="0" t="s">
        <v>228</v>
      </c>
      <c r="H31" s="0" t="s">
        <v>228</v>
      </c>
      <c r="I31" s="0" t="s">
        <v>3555</v>
      </c>
      <c r="J31" s="0" t="s">
        <v>228</v>
      </c>
      <c r="K31" s="0" t="s">
        <v>228</v>
      </c>
      <c r="L31" s="0" t="s">
        <v>228</v>
      </c>
      <c r="M31" s="0" t="s">
        <v>228</v>
      </c>
      <c r="N31" s="0" t="s">
        <v>228</v>
      </c>
      <c r="O31" s="0" t="s">
        <v>228</v>
      </c>
      <c r="P31" s="0" t="s">
        <v>228</v>
      </c>
      <c r="Q31" s="0" t="s">
        <v>228</v>
      </c>
      <c r="R31" s="0" t="s">
        <v>3775</v>
      </c>
      <c r="S31" s="0" t="s">
        <v>228</v>
      </c>
      <c r="T31" s="0" t="s">
        <v>228</v>
      </c>
      <c r="U31" s="0" t="s">
        <v>101</v>
      </c>
      <c r="V31" s="0" t="s">
        <v>228</v>
      </c>
      <c r="W31" s="0" t="s">
        <v>228</v>
      </c>
      <c r="X31" s="0" t="s">
        <v>3557</v>
      </c>
      <c r="Y31" s="0" t="s">
        <v>228</v>
      </c>
      <c r="Z31" s="0" t="s">
        <v>160</v>
      </c>
      <c r="AA31" s="0" t="s">
        <v>151</v>
      </c>
      <c r="AB31" s="0" t="s">
        <v>151</v>
      </c>
      <c r="AC31" s="0" t="s">
        <v>2715</v>
      </c>
      <c r="AD31" s="0" t="s">
        <v>2715</v>
      </c>
      <c r="AE31" s="0" t="s">
        <v>2716</v>
      </c>
      <c r="AF31" s="0" t="s">
        <v>3594</v>
      </c>
      <c r="AG31" s="0" t="s">
        <v>3595</v>
      </c>
      <c r="AH31" s="0" t="s">
        <v>3596</v>
      </c>
      <c r="AI31" s="0" t="s">
        <v>3776</v>
      </c>
      <c r="AJ31" s="0" t="s">
        <v>3777</v>
      </c>
      <c r="AK31" s="0" t="s">
        <v>3778</v>
      </c>
      <c r="AL31" s="0" t="s">
        <v>3599</v>
      </c>
      <c r="AM31" s="0" t="s">
        <v>3565</v>
      </c>
      <c r="AN31" s="0" t="s">
        <v>3779</v>
      </c>
      <c r="AO31" s="0" t="s">
        <v>3780</v>
      </c>
      <c r="AP31" s="0" t="s">
        <v>228</v>
      </c>
      <c r="AQ31" s="0" t="s">
        <v>228</v>
      </c>
      <c r="AR31" s="0" t="s">
        <v>228</v>
      </c>
      <c r="AS31" s="0" t="s">
        <v>228</v>
      </c>
      <c r="AT31" s="0" t="s">
        <v>228</v>
      </c>
      <c r="AU31" s="0" t="s">
        <v>228</v>
      </c>
      <c r="AV31" s="0" t="s">
        <v>228</v>
      </c>
      <c r="AW31" s="0" t="s">
        <v>228</v>
      </c>
      <c r="AX31" s="0" t="s">
        <v>228</v>
      </c>
      <c r="AY31" s="0" t="s">
        <v>228</v>
      </c>
      <c r="AZ31" s="0" t="s">
        <v>228</v>
      </c>
      <c r="BA31" s="0" t="s">
        <v>228</v>
      </c>
      <c r="BB31" s="0" t="s">
        <v>228</v>
      </c>
      <c r="BC31" s="0" t="s">
        <v>228</v>
      </c>
      <c r="BD31" s="0" t="s">
        <v>228</v>
      </c>
      <c r="BE31" s="0" t="s">
        <v>228</v>
      </c>
      <c r="BF31" s="0" t="s">
        <v>228</v>
      </c>
      <c r="BG31" s="0" t="s">
        <v>228</v>
      </c>
      <c r="BH31" s="0" t="s">
        <v>228</v>
      </c>
      <c r="BI31" s="0" t="s">
        <v>228</v>
      </c>
      <c r="BJ31" s="0" t="s">
        <v>228</v>
      </c>
      <c r="BK31" s="0" t="s">
        <v>228</v>
      </c>
      <c r="BL31" s="0" t="s">
        <v>228</v>
      </c>
      <c r="BM31" s="0" t="s">
        <v>228</v>
      </c>
      <c r="BN31" s="0" t="s">
        <v>228</v>
      </c>
      <c r="BO31" s="0" t="s">
        <v>228</v>
      </c>
      <c r="BP31" s="0" t="s">
        <v>228</v>
      </c>
      <c r="BQ31" s="0" t="s">
        <v>228</v>
      </c>
      <c r="BR31" s="0" t="s">
        <v>228</v>
      </c>
      <c r="BS31" s="0" t="s">
        <v>228</v>
      </c>
      <c r="BT31" s="0" t="s">
        <v>228</v>
      </c>
      <c r="BU31" s="0" t="s">
        <v>228</v>
      </c>
      <c r="BV31" s="0" t="s">
        <v>228</v>
      </c>
      <c r="BW31" s="0" t="s">
        <v>228</v>
      </c>
      <c r="BX31" s="0" t="s">
        <v>228</v>
      </c>
      <c r="BY31" s="0" t="s">
        <v>228</v>
      </c>
      <c r="BZ31" s="0" t="s">
        <v>228</v>
      </c>
      <c r="CA31" s="0" t="s">
        <v>228</v>
      </c>
      <c r="CB31" s="0" t="s">
        <v>228</v>
      </c>
      <c r="CC31" s="0" t="s">
        <v>228</v>
      </c>
      <c r="CD31" s="0" t="s">
        <v>228</v>
      </c>
      <c r="CE31" s="0" t="s">
        <v>228</v>
      </c>
      <c r="CF31" s="0" t="s">
        <v>228</v>
      </c>
      <c r="CG31" s="0" t="s">
        <v>228</v>
      </c>
      <c r="CH31" s="0" t="s">
        <v>228</v>
      </c>
      <c r="CI31" s="0" t="s">
        <v>228</v>
      </c>
      <c r="CJ31" s="0" t="s">
        <v>228</v>
      </c>
      <c r="CK31" s="0" t="s">
        <v>228</v>
      </c>
      <c r="CL31" s="0" t="s">
        <v>228</v>
      </c>
      <c r="CM31" s="0" t="s">
        <v>228</v>
      </c>
      <c r="CN31" s="0" t="s">
        <v>228</v>
      </c>
      <c r="CO31" s="0" t="s">
        <v>228</v>
      </c>
      <c r="CP31" s="0" t="s">
        <v>228</v>
      </c>
      <c r="CQ31" s="0" t="s">
        <v>228</v>
      </c>
      <c r="CR31" s="0" t="s">
        <v>228</v>
      </c>
      <c r="CS31" s="0" t="s">
        <v>228</v>
      </c>
      <c r="CT31" s="0" t="s">
        <v>3568</v>
      </c>
      <c r="CU31" s="0" t="s">
        <v>3569</v>
      </c>
      <c r="CV31" s="0" t="s">
        <v>418</v>
      </c>
      <c r="CW31" s="0" t="s">
        <v>3602</v>
      </c>
      <c r="CX31" s="0" t="s">
        <v>3603</v>
      </c>
      <c r="CY31" s="0" t="s">
        <v>418</v>
      </c>
      <c r="CZ31" s="0" t="s">
        <v>504</v>
      </c>
      <c r="DA31" s="0" t="s">
        <v>3604</v>
      </c>
      <c r="DB31" s="0" t="s">
        <v>3602</v>
      </c>
      <c r="DC31" s="0" t="s">
        <v>362</v>
      </c>
      <c r="DD31" s="0" t="s">
        <v>3572</v>
      </c>
      <c r="DE31" s="0" t="s">
        <v>3781</v>
      </c>
    </row>
    <row customHeight="1" ht="11.25">
      <c r="A32" s="1353" t="s">
        <v>228</v>
      </c>
      <c r="B32" s="0" t="s">
        <v>228</v>
      </c>
      <c r="C32" s="0" t="s">
        <v>228</v>
      </c>
      <c r="D32" s="0" t="s">
        <v>228</v>
      </c>
      <c r="E32" s="0" t="s">
        <v>228</v>
      </c>
      <c r="F32" s="0" t="s">
        <v>228</v>
      </c>
      <c r="G32" s="0" t="s">
        <v>228</v>
      </c>
      <c r="H32" s="0" t="s">
        <v>228</v>
      </c>
      <c r="I32" s="0" t="s">
        <v>3555</v>
      </c>
      <c r="J32" s="0" t="s">
        <v>228</v>
      </c>
      <c r="K32" s="0" t="s">
        <v>228</v>
      </c>
      <c r="L32" s="0" t="s">
        <v>228</v>
      </c>
      <c r="M32" s="0" t="s">
        <v>228</v>
      </c>
      <c r="N32" s="0" t="s">
        <v>228</v>
      </c>
      <c r="O32" s="0" t="s">
        <v>228</v>
      </c>
      <c r="P32" s="0" t="s">
        <v>228</v>
      </c>
      <c r="Q32" s="0" t="s">
        <v>228</v>
      </c>
      <c r="R32" s="0" t="s">
        <v>3782</v>
      </c>
      <c r="S32" s="0" t="s">
        <v>228</v>
      </c>
      <c r="T32" s="0" t="s">
        <v>228</v>
      </c>
      <c r="U32" s="0" t="s">
        <v>101</v>
      </c>
      <c r="V32" s="0" t="s">
        <v>228</v>
      </c>
      <c r="W32" s="0" t="s">
        <v>228</v>
      </c>
      <c r="X32" s="0" t="s">
        <v>3661</v>
      </c>
      <c r="Y32" s="0" t="s">
        <v>228</v>
      </c>
      <c r="Z32" s="0" t="s">
        <v>151</v>
      </c>
      <c r="AA32" s="0" t="s">
        <v>151</v>
      </c>
      <c r="AB32" s="0" t="s">
        <v>160</v>
      </c>
      <c r="AC32" s="0" t="s">
        <v>2311</v>
      </c>
      <c r="AD32" s="0" t="s">
        <v>2311</v>
      </c>
      <c r="AE32" s="0" t="s">
        <v>2312</v>
      </c>
      <c r="AF32" s="0" t="s">
        <v>3783</v>
      </c>
      <c r="AG32" s="0" t="s">
        <v>3784</v>
      </c>
      <c r="AH32" s="0" t="s">
        <v>3577</v>
      </c>
      <c r="AI32" s="0" t="s">
        <v>3721</v>
      </c>
      <c r="AJ32" s="0" t="s">
        <v>228</v>
      </c>
      <c r="AK32" s="0" t="s">
        <v>228</v>
      </c>
      <c r="AL32" s="0" t="s">
        <v>228</v>
      </c>
      <c r="AM32" s="0" t="s">
        <v>228</v>
      </c>
      <c r="AN32" s="0" t="s">
        <v>228</v>
      </c>
      <c r="AO32" s="0" t="s">
        <v>228</v>
      </c>
      <c r="AP32" s="0" t="s">
        <v>228</v>
      </c>
      <c r="AQ32" s="0" t="s">
        <v>228</v>
      </c>
      <c r="AR32" s="0" t="s">
        <v>228</v>
      </c>
      <c r="AS32" s="0" t="s">
        <v>228</v>
      </c>
      <c r="AT32" s="0" t="s">
        <v>228</v>
      </c>
      <c r="AU32" s="0" t="s">
        <v>228</v>
      </c>
      <c r="AV32" s="0" t="s">
        <v>228</v>
      </c>
      <c r="AW32" s="0" t="s">
        <v>228</v>
      </c>
      <c r="AX32" s="0" t="s">
        <v>228</v>
      </c>
      <c r="AY32" s="0" t="s">
        <v>228</v>
      </c>
      <c r="AZ32" s="0" t="s">
        <v>228</v>
      </c>
      <c r="BA32" s="0" t="s">
        <v>228</v>
      </c>
      <c r="BB32" s="0" t="s">
        <v>228</v>
      </c>
      <c r="BC32" s="0" t="s">
        <v>228</v>
      </c>
      <c r="BD32" s="0" t="s">
        <v>228</v>
      </c>
      <c r="BE32" s="0" t="s">
        <v>3722</v>
      </c>
      <c r="BF32" s="0" t="s">
        <v>3722</v>
      </c>
      <c r="BG32" s="0" t="s">
        <v>111</v>
      </c>
      <c r="BH32" s="0" t="s">
        <v>3665</v>
      </c>
      <c r="BI32" s="0" t="s">
        <v>122</v>
      </c>
      <c r="BJ32" s="0" t="s">
        <v>228</v>
      </c>
      <c r="BK32" s="0" t="s">
        <v>3684</v>
      </c>
      <c r="BL32" s="0" t="s">
        <v>2311</v>
      </c>
      <c r="BM32" s="0" t="s">
        <v>2311</v>
      </c>
      <c r="BN32" s="0" t="s">
        <v>3723</v>
      </c>
      <c r="BO32" s="0" t="s">
        <v>3783</v>
      </c>
      <c r="BP32" s="0" t="s">
        <v>3785</v>
      </c>
      <c r="BQ32" s="0" t="s">
        <v>3786</v>
      </c>
      <c r="BR32" s="0" t="s">
        <v>3787</v>
      </c>
      <c r="BS32" s="0" t="s">
        <v>228</v>
      </c>
      <c r="BT32" s="0" t="s">
        <v>3727</v>
      </c>
      <c r="BU32" s="0" t="s">
        <v>3788</v>
      </c>
      <c r="BV32" s="0" t="s">
        <v>3788</v>
      </c>
      <c r="BW32" s="0" t="s">
        <v>3674</v>
      </c>
      <c r="BX32" s="0" t="s">
        <v>3674</v>
      </c>
      <c r="BY32" s="0" t="s">
        <v>3674</v>
      </c>
      <c r="BZ32" s="0" t="s">
        <v>3674</v>
      </c>
      <c r="CA32" s="0" t="s">
        <v>3674</v>
      </c>
      <c r="CB32" s="0" t="s">
        <v>228</v>
      </c>
      <c r="CC32" s="0" t="s">
        <v>228</v>
      </c>
      <c r="CD32" s="0" t="s">
        <v>228</v>
      </c>
      <c r="CE32" s="0" t="s">
        <v>228</v>
      </c>
      <c r="CF32" s="0" t="s">
        <v>228</v>
      </c>
      <c r="CG32" s="0" t="s">
        <v>3674</v>
      </c>
      <c r="CH32" s="0" t="s">
        <v>228</v>
      </c>
      <c r="CI32" s="0" t="s">
        <v>228</v>
      </c>
      <c r="CJ32" s="0" t="s">
        <v>228</v>
      </c>
      <c r="CK32" s="0" t="s">
        <v>228</v>
      </c>
      <c r="CL32" s="0" t="s">
        <v>228</v>
      </c>
      <c r="CM32" s="0" t="s">
        <v>3788</v>
      </c>
      <c r="CN32" s="0" t="s">
        <v>3788</v>
      </c>
      <c r="CO32" s="0" t="s">
        <v>228</v>
      </c>
      <c r="CP32" s="0" t="s">
        <v>228</v>
      </c>
      <c r="CQ32" s="0" t="s">
        <v>228</v>
      </c>
      <c r="CR32" s="0" t="s">
        <v>228</v>
      </c>
      <c r="CS32" s="0" t="s">
        <v>3582</v>
      </c>
      <c r="CT32" s="0" t="s">
        <v>3568</v>
      </c>
      <c r="CU32" s="0" t="s">
        <v>3569</v>
      </c>
      <c r="CV32" s="0" t="s">
        <v>418</v>
      </c>
      <c r="CW32" s="0" t="s">
        <v>3584</v>
      </c>
      <c r="CX32" s="0" t="s">
        <v>419</v>
      </c>
      <c r="CY32" s="0" t="s">
        <v>418</v>
      </c>
      <c r="CZ32" s="0" t="s">
        <v>3585</v>
      </c>
      <c r="DA32" s="0" t="s">
        <v>3586</v>
      </c>
      <c r="DB32" s="0" t="s">
        <v>3584</v>
      </c>
      <c r="DC32" s="0" t="s">
        <v>362</v>
      </c>
      <c r="DD32" s="0" t="s">
        <v>3572</v>
      </c>
      <c r="DE32" s="0" t="s">
        <v>3789</v>
      </c>
    </row>
    <row customHeight="1" ht="11.25">
      <c r="A33" s="1353" t="s">
        <v>228</v>
      </c>
      <c r="B33" s="0" t="s">
        <v>228</v>
      </c>
      <c r="C33" s="0" t="s">
        <v>228</v>
      </c>
      <c r="D33" s="0" t="s">
        <v>228</v>
      </c>
      <c r="E33" s="0" t="s">
        <v>228</v>
      </c>
      <c r="F33" s="0" t="s">
        <v>228</v>
      </c>
      <c r="G33" s="0" t="s">
        <v>228</v>
      </c>
      <c r="H33" s="0" t="s">
        <v>228</v>
      </c>
      <c r="I33" s="0" t="s">
        <v>3555</v>
      </c>
      <c r="J33" s="0" t="s">
        <v>228</v>
      </c>
      <c r="K33" s="0" t="s">
        <v>228</v>
      </c>
      <c r="L33" s="0" t="s">
        <v>228</v>
      </c>
      <c r="M33" s="0" t="s">
        <v>228</v>
      </c>
      <c r="N33" s="0" t="s">
        <v>228</v>
      </c>
      <c r="O33" s="0" t="s">
        <v>228</v>
      </c>
      <c r="P33" s="0" t="s">
        <v>228</v>
      </c>
      <c r="Q33" s="0" t="s">
        <v>228</v>
      </c>
      <c r="R33" s="0" t="s">
        <v>3790</v>
      </c>
      <c r="S33" s="0" t="s">
        <v>228</v>
      </c>
      <c r="T33" s="0" t="s">
        <v>228</v>
      </c>
      <c r="U33" s="0" t="s">
        <v>101</v>
      </c>
      <c r="V33" s="0" t="s">
        <v>228</v>
      </c>
      <c r="W33" s="0" t="s">
        <v>228</v>
      </c>
      <c r="X33" s="0" t="s">
        <v>3557</v>
      </c>
      <c r="Y33" s="0" t="s">
        <v>228</v>
      </c>
      <c r="Z33" s="0" t="s">
        <v>160</v>
      </c>
      <c r="AA33" s="0" t="s">
        <v>151</v>
      </c>
      <c r="AB33" s="0" t="s">
        <v>151</v>
      </c>
      <c r="AC33" s="0" t="s">
        <v>2715</v>
      </c>
      <c r="AD33" s="0" t="s">
        <v>2715</v>
      </c>
      <c r="AE33" s="0" t="s">
        <v>2716</v>
      </c>
      <c r="AF33" s="0" t="s">
        <v>3594</v>
      </c>
      <c r="AG33" s="0" t="s">
        <v>3595</v>
      </c>
      <c r="AH33" s="0" t="s">
        <v>3791</v>
      </c>
      <c r="AI33" s="0" t="s">
        <v>3792</v>
      </c>
      <c r="AJ33" s="0" t="s">
        <v>3793</v>
      </c>
      <c r="AK33" s="0" t="s">
        <v>3794</v>
      </c>
      <c r="AL33" s="0" t="s">
        <v>3599</v>
      </c>
      <c r="AM33" s="0" t="s">
        <v>3565</v>
      </c>
      <c r="AN33" s="0" t="s">
        <v>3795</v>
      </c>
      <c r="AO33" s="0" t="s">
        <v>3796</v>
      </c>
      <c r="AP33" s="0" t="s">
        <v>228</v>
      </c>
      <c r="AQ33" s="0" t="s">
        <v>228</v>
      </c>
      <c r="AR33" s="0" t="s">
        <v>228</v>
      </c>
      <c r="AS33" s="0" t="s">
        <v>228</v>
      </c>
      <c r="AT33" s="0" t="s">
        <v>228</v>
      </c>
      <c r="AU33" s="0" t="s">
        <v>228</v>
      </c>
      <c r="AV33" s="0" t="s">
        <v>228</v>
      </c>
      <c r="AW33" s="0" t="s">
        <v>228</v>
      </c>
      <c r="AX33" s="0" t="s">
        <v>228</v>
      </c>
      <c r="AY33" s="0" t="s">
        <v>228</v>
      </c>
      <c r="AZ33" s="0" t="s">
        <v>228</v>
      </c>
      <c r="BA33" s="0" t="s">
        <v>228</v>
      </c>
      <c r="BB33" s="0" t="s">
        <v>228</v>
      </c>
      <c r="BC33" s="0" t="s">
        <v>228</v>
      </c>
      <c r="BD33" s="0" t="s">
        <v>228</v>
      </c>
      <c r="BE33" s="0" t="s">
        <v>228</v>
      </c>
      <c r="BF33" s="0" t="s">
        <v>228</v>
      </c>
      <c r="BG33" s="0" t="s">
        <v>228</v>
      </c>
      <c r="BH33" s="0" t="s">
        <v>228</v>
      </c>
      <c r="BI33" s="0" t="s">
        <v>228</v>
      </c>
      <c r="BJ33" s="0" t="s">
        <v>228</v>
      </c>
      <c r="BK33" s="0" t="s">
        <v>228</v>
      </c>
      <c r="BL33" s="0" t="s">
        <v>228</v>
      </c>
      <c r="BM33" s="0" t="s">
        <v>228</v>
      </c>
      <c r="BN33" s="0" t="s">
        <v>228</v>
      </c>
      <c r="BO33" s="0" t="s">
        <v>228</v>
      </c>
      <c r="BP33" s="0" t="s">
        <v>228</v>
      </c>
      <c r="BQ33" s="0" t="s">
        <v>228</v>
      </c>
      <c r="BR33" s="0" t="s">
        <v>228</v>
      </c>
      <c r="BS33" s="0" t="s">
        <v>228</v>
      </c>
      <c r="BT33" s="0" t="s">
        <v>228</v>
      </c>
      <c r="BU33" s="0" t="s">
        <v>228</v>
      </c>
      <c r="BV33" s="0" t="s">
        <v>228</v>
      </c>
      <c r="BW33" s="0" t="s">
        <v>228</v>
      </c>
      <c r="BX33" s="0" t="s">
        <v>228</v>
      </c>
      <c r="BY33" s="0" t="s">
        <v>228</v>
      </c>
      <c r="BZ33" s="0" t="s">
        <v>228</v>
      </c>
      <c r="CA33" s="0" t="s">
        <v>228</v>
      </c>
      <c r="CB33" s="0" t="s">
        <v>228</v>
      </c>
      <c r="CC33" s="0" t="s">
        <v>228</v>
      </c>
      <c r="CD33" s="0" t="s">
        <v>228</v>
      </c>
      <c r="CE33" s="0" t="s">
        <v>228</v>
      </c>
      <c r="CF33" s="0" t="s">
        <v>228</v>
      </c>
      <c r="CG33" s="0" t="s">
        <v>228</v>
      </c>
      <c r="CH33" s="0" t="s">
        <v>228</v>
      </c>
      <c r="CI33" s="0" t="s">
        <v>228</v>
      </c>
      <c r="CJ33" s="0" t="s">
        <v>228</v>
      </c>
      <c r="CK33" s="0" t="s">
        <v>228</v>
      </c>
      <c r="CL33" s="0" t="s">
        <v>228</v>
      </c>
      <c r="CM33" s="0" t="s">
        <v>228</v>
      </c>
      <c r="CN33" s="0" t="s">
        <v>228</v>
      </c>
      <c r="CO33" s="0" t="s">
        <v>228</v>
      </c>
      <c r="CP33" s="0" t="s">
        <v>228</v>
      </c>
      <c r="CQ33" s="0" t="s">
        <v>228</v>
      </c>
      <c r="CR33" s="0" t="s">
        <v>228</v>
      </c>
      <c r="CS33" s="0" t="s">
        <v>228</v>
      </c>
      <c r="CT33" s="0" t="s">
        <v>3568</v>
      </c>
      <c r="CU33" s="0" t="s">
        <v>3569</v>
      </c>
      <c r="CV33" s="0" t="s">
        <v>418</v>
      </c>
      <c r="CW33" s="0" t="s">
        <v>3602</v>
      </c>
      <c r="CX33" s="0" t="s">
        <v>3603</v>
      </c>
      <c r="CY33" s="0" t="s">
        <v>418</v>
      </c>
      <c r="CZ33" s="0" t="s">
        <v>504</v>
      </c>
      <c r="DA33" s="0" t="s">
        <v>3604</v>
      </c>
      <c r="DB33" s="0" t="s">
        <v>3602</v>
      </c>
      <c r="DC33" s="0" t="s">
        <v>362</v>
      </c>
      <c r="DD33" s="0" t="s">
        <v>3572</v>
      </c>
      <c r="DE33" s="0" t="s">
        <v>3797</v>
      </c>
    </row>
    <row customHeight="1" ht="11.25">
      <c r="A34" s="1353" t="s">
        <v>228</v>
      </c>
      <c r="B34" s="0" t="s">
        <v>228</v>
      </c>
      <c r="C34" s="0" t="s">
        <v>228</v>
      </c>
      <c r="D34" s="0" t="s">
        <v>228</v>
      </c>
      <c r="E34" s="0" t="s">
        <v>228</v>
      </c>
      <c r="F34" s="0" t="s">
        <v>228</v>
      </c>
      <c r="G34" s="0" t="s">
        <v>228</v>
      </c>
      <c r="H34" s="0" t="s">
        <v>228</v>
      </c>
      <c r="I34" s="0" t="s">
        <v>3555</v>
      </c>
      <c r="J34" s="0" t="s">
        <v>228</v>
      </c>
      <c r="K34" s="0" t="s">
        <v>228</v>
      </c>
      <c r="L34" s="0" t="s">
        <v>228</v>
      </c>
      <c r="M34" s="0" t="s">
        <v>228</v>
      </c>
      <c r="N34" s="0" t="s">
        <v>228</v>
      </c>
      <c r="O34" s="0" t="s">
        <v>228</v>
      </c>
      <c r="P34" s="0" t="s">
        <v>228</v>
      </c>
      <c r="Q34" s="0" t="s">
        <v>228</v>
      </c>
      <c r="R34" s="0" t="s">
        <v>3798</v>
      </c>
      <c r="S34" s="0" t="s">
        <v>228</v>
      </c>
      <c r="T34" s="0" t="s">
        <v>228</v>
      </c>
      <c r="U34" s="0" t="s">
        <v>101</v>
      </c>
      <c r="V34" s="0" t="s">
        <v>228</v>
      </c>
      <c r="W34" s="0" t="s">
        <v>228</v>
      </c>
      <c r="X34" s="0" t="s">
        <v>3661</v>
      </c>
      <c r="Y34" s="0" t="s">
        <v>228</v>
      </c>
      <c r="Z34" s="0" t="s">
        <v>151</v>
      </c>
      <c r="AA34" s="0" t="s">
        <v>151</v>
      </c>
      <c r="AB34" s="0" t="s">
        <v>160</v>
      </c>
      <c r="AC34" s="0" t="s">
        <v>2317</v>
      </c>
      <c r="AD34" s="0" t="s">
        <v>2317</v>
      </c>
      <c r="AE34" s="0" t="s">
        <v>2318</v>
      </c>
      <c r="AF34" s="0" t="s">
        <v>3799</v>
      </c>
      <c r="AG34" s="0" t="s">
        <v>3800</v>
      </c>
      <c r="AH34" s="0" t="s">
        <v>3651</v>
      </c>
      <c r="AI34" s="0" t="s">
        <v>3651</v>
      </c>
      <c r="AJ34" s="0" t="s">
        <v>228</v>
      </c>
      <c r="AK34" s="0" t="s">
        <v>228</v>
      </c>
      <c r="AL34" s="0" t="s">
        <v>228</v>
      </c>
      <c r="AM34" s="0" t="s">
        <v>228</v>
      </c>
      <c r="AN34" s="0" t="s">
        <v>228</v>
      </c>
      <c r="AO34" s="0" t="s">
        <v>228</v>
      </c>
      <c r="AP34" s="0" t="s">
        <v>228</v>
      </c>
      <c r="AQ34" s="0" t="s">
        <v>228</v>
      </c>
      <c r="AR34" s="0" t="s">
        <v>228</v>
      </c>
      <c r="AS34" s="0" t="s">
        <v>228</v>
      </c>
      <c r="AT34" s="0" t="s">
        <v>228</v>
      </c>
      <c r="AU34" s="0" t="s">
        <v>228</v>
      </c>
      <c r="AV34" s="0" t="s">
        <v>228</v>
      </c>
      <c r="AW34" s="0" t="s">
        <v>228</v>
      </c>
      <c r="AX34" s="0" t="s">
        <v>228</v>
      </c>
      <c r="AY34" s="0" t="s">
        <v>228</v>
      </c>
      <c r="AZ34" s="0" t="s">
        <v>228</v>
      </c>
      <c r="BA34" s="0" t="s">
        <v>228</v>
      </c>
      <c r="BB34" s="0" t="s">
        <v>228</v>
      </c>
      <c r="BC34" s="0" t="s">
        <v>228</v>
      </c>
      <c r="BD34" s="0" t="s">
        <v>228</v>
      </c>
      <c r="BE34" s="0" t="s">
        <v>3579</v>
      </c>
      <c r="BF34" s="0" t="s">
        <v>3619</v>
      </c>
      <c r="BG34" s="0" t="s">
        <v>111</v>
      </c>
      <c r="BH34" s="0" t="s">
        <v>3665</v>
      </c>
      <c r="BI34" s="0" t="s">
        <v>122</v>
      </c>
      <c r="BJ34" s="0" t="s">
        <v>228</v>
      </c>
      <c r="BK34" s="0" t="s">
        <v>3684</v>
      </c>
      <c r="BL34" s="0" t="s">
        <v>2317</v>
      </c>
      <c r="BM34" s="0" t="s">
        <v>2317</v>
      </c>
      <c r="BN34" s="0" t="s">
        <v>3740</v>
      </c>
      <c r="BO34" s="0" t="s">
        <v>3799</v>
      </c>
      <c r="BP34" s="0" t="s">
        <v>3801</v>
      </c>
      <c r="BQ34" s="0" t="s">
        <v>3651</v>
      </c>
      <c r="BR34" s="0" t="s">
        <v>3651</v>
      </c>
      <c r="BS34" s="0" t="s">
        <v>228</v>
      </c>
      <c r="BT34" s="0" t="s">
        <v>3727</v>
      </c>
      <c r="BU34" s="0" t="s">
        <v>3802</v>
      </c>
      <c r="BV34" s="0" t="s">
        <v>3802</v>
      </c>
      <c r="BW34" s="0" t="s">
        <v>3674</v>
      </c>
      <c r="BX34" s="0" t="s">
        <v>3674</v>
      </c>
      <c r="BY34" s="0" t="s">
        <v>3674</v>
      </c>
      <c r="BZ34" s="0" t="s">
        <v>3674</v>
      </c>
      <c r="CA34" s="0" t="s">
        <v>3674</v>
      </c>
      <c r="CB34" s="0" t="s">
        <v>228</v>
      </c>
      <c r="CC34" s="0" t="s">
        <v>228</v>
      </c>
      <c r="CD34" s="0" t="s">
        <v>228</v>
      </c>
      <c r="CE34" s="0" t="s">
        <v>228</v>
      </c>
      <c r="CF34" s="0" t="s">
        <v>228</v>
      </c>
      <c r="CG34" s="0" t="s">
        <v>3674</v>
      </c>
      <c r="CH34" s="0" t="s">
        <v>228</v>
      </c>
      <c r="CI34" s="0" t="s">
        <v>228</v>
      </c>
      <c r="CJ34" s="0" t="s">
        <v>228</v>
      </c>
      <c r="CK34" s="0" t="s">
        <v>228</v>
      </c>
      <c r="CL34" s="0" t="s">
        <v>228</v>
      </c>
      <c r="CM34" s="0" t="s">
        <v>3802</v>
      </c>
      <c r="CN34" s="0" t="s">
        <v>3802</v>
      </c>
      <c r="CO34" s="0" t="s">
        <v>228</v>
      </c>
      <c r="CP34" s="0" t="s">
        <v>228</v>
      </c>
      <c r="CQ34" s="0" t="s">
        <v>228</v>
      </c>
      <c r="CR34" s="0" t="s">
        <v>228</v>
      </c>
      <c r="CS34" s="0" t="s">
        <v>3743</v>
      </c>
      <c r="CT34" s="0" t="s">
        <v>3568</v>
      </c>
      <c r="CU34" s="0" t="s">
        <v>3569</v>
      </c>
      <c r="CV34" s="0" t="s">
        <v>418</v>
      </c>
      <c r="CW34" s="0" t="s">
        <v>3622</v>
      </c>
      <c r="CX34" s="0" t="s">
        <v>419</v>
      </c>
      <c r="CY34" s="0" t="s">
        <v>418</v>
      </c>
      <c r="CZ34" s="0" t="s">
        <v>3623</v>
      </c>
      <c r="DA34" s="0" t="s">
        <v>3624</v>
      </c>
      <c r="DB34" s="0" t="s">
        <v>3622</v>
      </c>
      <c r="DC34" s="0" t="s">
        <v>362</v>
      </c>
      <c r="DD34" s="0" t="s">
        <v>3572</v>
      </c>
      <c r="DE34" s="0" t="s">
        <v>3803</v>
      </c>
    </row>
    <row customHeight="1" ht="11.25">
      <c r="A35" s="1353" t="s">
        <v>228</v>
      </c>
      <c r="B35" s="0" t="s">
        <v>228</v>
      </c>
      <c r="C35" s="0" t="s">
        <v>228</v>
      </c>
      <c r="D35" s="0" t="s">
        <v>228</v>
      </c>
      <c r="E35" s="0" t="s">
        <v>228</v>
      </c>
      <c r="F35" s="0" t="s">
        <v>228</v>
      </c>
      <c r="G35" s="0" t="s">
        <v>228</v>
      </c>
      <c r="H35" s="0" t="s">
        <v>228</v>
      </c>
      <c r="I35" s="0" t="s">
        <v>3555</v>
      </c>
      <c r="J35" s="0" t="s">
        <v>228</v>
      </c>
      <c r="K35" s="0" t="s">
        <v>228</v>
      </c>
      <c r="L35" s="0" t="s">
        <v>228</v>
      </c>
      <c r="M35" s="0" t="s">
        <v>228</v>
      </c>
      <c r="N35" s="0" t="s">
        <v>228</v>
      </c>
      <c r="O35" s="0" t="s">
        <v>228</v>
      </c>
      <c r="P35" s="0" t="s">
        <v>228</v>
      </c>
      <c r="Q35" s="0" t="s">
        <v>228</v>
      </c>
      <c r="R35" s="0" t="s">
        <v>3648</v>
      </c>
      <c r="S35" s="0" t="s">
        <v>228</v>
      </c>
      <c r="T35" s="0" t="s">
        <v>228</v>
      </c>
      <c r="U35" s="0" t="s">
        <v>101</v>
      </c>
      <c r="V35" s="0" t="s">
        <v>228</v>
      </c>
      <c r="W35" s="0" t="s">
        <v>228</v>
      </c>
      <c r="X35" s="0" t="s">
        <v>3557</v>
      </c>
      <c r="Y35" s="0" t="s">
        <v>228</v>
      </c>
      <c r="Z35" s="0" t="s">
        <v>160</v>
      </c>
      <c r="AA35" s="0" t="s">
        <v>151</v>
      </c>
      <c r="AB35" s="0" t="s">
        <v>151</v>
      </c>
      <c r="AC35" s="0" t="s">
        <v>2317</v>
      </c>
      <c r="AD35" s="0" t="s">
        <v>2317</v>
      </c>
      <c r="AE35" s="0" t="s">
        <v>2318</v>
      </c>
      <c r="AF35" s="0" t="s">
        <v>3804</v>
      </c>
      <c r="AG35" s="0" t="s">
        <v>3805</v>
      </c>
      <c r="AH35" s="0" t="s">
        <v>3806</v>
      </c>
      <c r="AI35" s="0" t="s">
        <v>3807</v>
      </c>
      <c r="AJ35" s="0" t="s">
        <v>3652</v>
      </c>
      <c r="AK35" s="0" t="s">
        <v>3808</v>
      </c>
      <c r="AL35" s="0" t="s">
        <v>3581</v>
      </c>
      <c r="AM35" s="0" t="s">
        <v>3565</v>
      </c>
      <c r="AN35" s="0" t="s">
        <v>3563</v>
      </c>
      <c r="AO35" s="0" t="s">
        <v>3591</v>
      </c>
      <c r="AP35" s="0" t="s">
        <v>228</v>
      </c>
      <c r="AQ35" s="0" t="s">
        <v>228</v>
      </c>
      <c r="AR35" s="0" t="s">
        <v>228</v>
      </c>
      <c r="AS35" s="0" t="s">
        <v>228</v>
      </c>
      <c r="AT35" s="0" t="s">
        <v>228</v>
      </c>
      <c r="AU35" s="0" t="s">
        <v>228</v>
      </c>
      <c r="AV35" s="0" t="s">
        <v>228</v>
      </c>
      <c r="AW35" s="0" t="s">
        <v>228</v>
      </c>
      <c r="AX35" s="0" t="s">
        <v>228</v>
      </c>
      <c r="AY35" s="0" t="s">
        <v>228</v>
      </c>
      <c r="AZ35" s="0" t="s">
        <v>228</v>
      </c>
      <c r="BA35" s="0" t="s">
        <v>228</v>
      </c>
      <c r="BB35" s="0" t="s">
        <v>228</v>
      </c>
      <c r="BC35" s="0" t="s">
        <v>228</v>
      </c>
      <c r="BD35" s="0" t="s">
        <v>228</v>
      </c>
      <c r="BE35" s="0" t="s">
        <v>228</v>
      </c>
      <c r="BF35" s="0" t="s">
        <v>228</v>
      </c>
      <c r="BG35" s="0" t="s">
        <v>228</v>
      </c>
      <c r="BH35" s="0" t="s">
        <v>228</v>
      </c>
      <c r="BI35" s="0" t="s">
        <v>228</v>
      </c>
      <c r="BJ35" s="0" t="s">
        <v>228</v>
      </c>
      <c r="BK35" s="0" t="s">
        <v>228</v>
      </c>
      <c r="BL35" s="0" t="s">
        <v>228</v>
      </c>
      <c r="BM35" s="0" t="s">
        <v>228</v>
      </c>
      <c r="BN35" s="0" t="s">
        <v>228</v>
      </c>
      <c r="BO35" s="0" t="s">
        <v>228</v>
      </c>
      <c r="BP35" s="0" t="s">
        <v>228</v>
      </c>
      <c r="BQ35" s="0" t="s">
        <v>228</v>
      </c>
      <c r="BR35" s="0" t="s">
        <v>228</v>
      </c>
      <c r="BS35" s="0" t="s">
        <v>228</v>
      </c>
      <c r="BT35" s="0" t="s">
        <v>228</v>
      </c>
      <c r="BU35" s="0" t="s">
        <v>228</v>
      </c>
      <c r="BV35" s="0" t="s">
        <v>228</v>
      </c>
      <c r="BW35" s="0" t="s">
        <v>228</v>
      </c>
      <c r="BX35" s="0" t="s">
        <v>228</v>
      </c>
      <c r="BY35" s="0" t="s">
        <v>228</v>
      </c>
      <c r="BZ35" s="0" t="s">
        <v>228</v>
      </c>
      <c r="CA35" s="0" t="s">
        <v>228</v>
      </c>
      <c r="CB35" s="0" t="s">
        <v>228</v>
      </c>
      <c r="CC35" s="0" t="s">
        <v>228</v>
      </c>
      <c r="CD35" s="0" t="s">
        <v>228</v>
      </c>
      <c r="CE35" s="0" t="s">
        <v>228</v>
      </c>
      <c r="CF35" s="0" t="s">
        <v>228</v>
      </c>
      <c r="CG35" s="0" t="s">
        <v>228</v>
      </c>
      <c r="CH35" s="0" t="s">
        <v>228</v>
      </c>
      <c r="CI35" s="0" t="s">
        <v>228</v>
      </c>
      <c r="CJ35" s="0" t="s">
        <v>228</v>
      </c>
      <c r="CK35" s="0" t="s">
        <v>228</v>
      </c>
      <c r="CL35" s="0" t="s">
        <v>228</v>
      </c>
      <c r="CM35" s="0" t="s">
        <v>228</v>
      </c>
      <c r="CN35" s="0" t="s">
        <v>228</v>
      </c>
      <c r="CO35" s="0" t="s">
        <v>228</v>
      </c>
      <c r="CP35" s="0" t="s">
        <v>228</v>
      </c>
      <c r="CQ35" s="0" t="s">
        <v>228</v>
      </c>
      <c r="CR35" s="0" t="s">
        <v>228</v>
      </c>
      <c r="CS35" s="0" t="s">
        <v>228</v>
      </c>
      <c r="CT35" s="0" t="s">
        <v>3568</v>
      </c>
      <c r="CU35" s="0" t="s">
        <v>3569</v>
      </c>
      <c r="CV35" s="0" t="s">
        <v>418</v>
      </c>
      <c r="CW35" s="0" t="s">
        <v>3622</v>
      </c>
      <c r="CX35" s="0" t="s">
        <v>419</v>
      </c>
      <c r="CY35" s="0" t="s">
        <v>418</v>
      </c>
      <c r="CZ35" s="0" t="s">
        <v>3623</v>
      </c>
      <c r="DA35" s="0" t="s">
        <v>3624</v>
      </c>
      <c r="DB35" s="0" t="s">
        <v>3622</v>
      </c>
      <c r="DC35" s="0" t="s">
        <v>362</v>
      </c>
      <c r="DD35" s="0" t="s">
        <v>3572</v>
      </c>
      <c r="DE35" s="0" t="s">
        <v>3809</v>
      </c>
    </row>
    <row customHeight="1" ht="11.25">
      <c r="A36" s="1353" t="s">
        <v>228</v>
      </c>
      <c r="B36" s="0" t="s">
        <v>228</v>
      </c>
      <c r="C36" s="0" t="s">
        <v>228</v>
      </c>
      <c r="D36" s="0" t="s">
        <v>228</v>
      </c>
      <c r="E36" s="0" t="s">
        <v>228</v>
      </c>
      <c r="F36" s="0" t="s">
        <v>228</v>
      </c>
      <c r="G36" s="0" t="s">
        <v>228</v>
      </c>
      <c r="H36" s="0" t="s">
        <v>228</v>
      </c>
      <c r="I36" s="0" t="s">
        <v>3555</v>
      </c>
      <c r="J36" s="0" t="s">
        <v>228</v>
      </c>
      <c r="K36" s="0" t="s">
        <v>228</v>
      </c>
      <c r="L36" s="0" t="s">
        <v>228</v>
      </c>
      <c r="M36" s="0" t="s">
        <v>228</v>
      </c>
      <c r="N36" s="0" t="s">
        <v>228</v>
      </c>
      <c r="O36" s="0" t="s">
        <v>228</v>
      </c>
      <c r="P36" s="0" t="s">
        <v>228</v>
      </c>
      <c r="Q36" s="0" t="s">
        <v>228</v>
      </c>
      <c r="R36" s="0" t="s">
        <v>3648</v>
      </c>
      <c r="S36" s="0" t="s">
        <v>228</v>
      </c>
      <c r="T36" s="0" t="s">
        <v>228</v>
      </c>
      <c r="U36" s="0" t="s">
        <v>101</v>
      </c>
      <c r="V36" s="0" t="s">
        <v>228</v>
      </c>
      <c r="W36" s="0" t="s">
        <v>228</v>
      </c>
      <c r="X36" s="0" t="s">
        <v>3557</v>
      </c>
      <c r="Y36" s="0" t="s">
        <v>228</v>
      </c>
      <c r="Z36" s="0" t="s">
        <v>160</v>
      </c>
      <c r="AA36" s="0" t="s">
        <v>151</v>
      </c>
      <c r="AB36" s="0" t="s">
        <v>151</v>
      </c>
      <c r="AC36" s="0" t="s">
        <v>2317</v>
      </c>
      <c r="AD36" s="0" t="s">
        <v>2317</v>
      </c>
      <c r="AE36" s="0" t="s">
        <v>2318</v>
      </c>
      <c r="AF36" s="0" t="s">
        <v>3804</v>
      </c>
      <c r="AG36" s="0" t="s">
        <v>3805</v>
      </c>
      <c r="AH36" s="0" t="s">
        <v>3810</v>
      </c>
      <c r="AI36" s="0" t="s">
        <v>3811</v>
      </c>
      <c r="AJ36" s="0" t="s">
        <v>3627</v>
      </c>
      <c r="AK36" s="0" t="s">
        <v>3619</v>
      </c>
      <c r="AL36" s="0" t="s">
        <v>3581</v>
      </c>
      <c r="AM36" s="0" t="s">
        <v>3565</v>
      </c>
      <c r="AN36" s="0" t="s">
        <v>3563</v>
      </c>
      <c r="AO36" s="0" t="s">
        <v>3812</v>
      </c>
      <c r="AP36" s="0" t="s">
        <v>228</v>
      </c>
      <c r="AQ36" s="0" t="s">
        <v>228</v>
      </c>
      <c r="AR36" s="0" t="s">
        <v>228</v>
      </c>
      <c r="AS36" s="0" t="s">
        <v>228</v>
      </c>
      <c r="AT36" s="0" t="s">
        <v>228</v>
      </c>
      <c r="AU36" s="0" t="s">
        <v>228</v>
      </c>
      <c r="AV36" s="0" t="s">
        <v>228</v>
      </c>
      <c r="AW36" s="0" t="s">
        <v>228</v>
      </c>
      <c r="AX36" s="0" t="s">
        <v>228</v>
      </c>
      <c r="AY36" s="0" t="s">
        <v>228</v>
      </c>
      <c r="AZ36" s="0" t="s">
        <v>228</v>
      </c>
      <c r="BA36" s="0" t="s">
        <v>228</v>
      </c>
      <c r="BB36" s="0" t="s">
        <v>228</v>
      </c>
      <c r="BC36" s="0" t="s">
        <v>228</v>
      </c>
      <c r="BD36" s="0" t="s">
        <v>228</v>
      </c>
      <c r="BE36" s="0" t="s">
        <v>228</v>
      </c>
      <c r="BF36" s="0" t="s">
        <v>228</v>
      </c>
      <c r="BG36" s="0" t="s">
        <v>228</v>
      </c>
      <c r="BH36" s="0" t="s">
        <v>228</v>
      </c>
      <c r="BI36" s="0" t="s">
        <v>228</v>
      </c>
      <c r="BJ36" s="0" t="s">
        <v>228</v>
      </c>
      <c r="BK36" s="0" t="s">
        <v>228</v>
      </c>
      <c r="BL36" s="0" t="s">
        <v>228</v>
      </c>
      <c r="BM36" s="0" t="s">
        <v>228</v>
      </c>
      <c r="BN36" s="0" t="s">
        <v>228</v>
      </c>
      <c r="BO36" s="0" t="s">
        <v>228</v>
      </c>
      <c r="BP36" s="0" t="s">
        <v>228</v>
      </c>
      <c r="BQ36" s="0" t="s">
        <v>228</v>
      </c>
      <c r="BR36" s="0" t="s">
        <v>228</v>
      </c>
      <c r="BS36" s="0" t="s">
        <v>228</v>
      </c>
      <c r="BT36" s="0" t="s">
        <v>228</v>
      </c>
      <c r="BU36" s="0" t="s">
        <v>228</v>
      </c>
      <c r="BV36" s="0" t="s">
        <v>228</v>
      </c>
      <c r="BW36" s="0" t="s">
        <v>228</v>
      </c>
      <c r="BX36" s="0" t="s">
        <v>228</v>
      </c>
      <c r="BY36" s="0" t="s">
        <v>228</v>
      </c>
      <c r="BZ36" s="0" t="s">
        <v>228</v>
      </c>
      <c r="CA36" s="0" t="s">
        <v>228</v>
      </c>
      <c r="CB36" s="0" t="s">
        <v>228</v>
      </c>
      <c r="CC36" s="0" t="s">
        <v>228</v>
      </c>
      <c r="CD36" s="0" t="s">
        <v>228</v>
      </c>
      <c r="CE36" s="0" t="s">
        <v>228</v>
      </c>
      <c r="CF36" s="0" t="s">
        <v>228</v>
      </c>
      <c r="CG36" s="0" t="s">
        <v>228</v>
      </c>
      <c r="CH36" s="0" t="s">
        <v>228</v>
      </c>
      <c r="CI36" s="0" t="s">
        <v>228</v>
      </c>
      <c r="CJ36" s="0" t="s">
        <v>228</v>
      </c>
      <c r="CK36" s="0" t="s">
        <v>228</v>
      </c>
      <c r="CL36" s="0" t="s">
        <v>228</v>
      </c>
      <c r="CM36" s="0" t="s">
        <v>228</v>
      </c>
      <c r="CN36" s="0" t="s">
        <v>228</v>
      </c>
      <c r="CO36" s="0" t="s">
        <v>228</v>
      </c>
      <c r="CP36" s="0" t="s">
        <v>228</v>
      </c>
      <c r="CQ36" s="0" t="s">
        <v>228</v>
      </c>
      <c r="CR36" s="0" t="s">
        <v>228</v>
      </c>
      <c r="CS36" s="0" t="s">
        <v>228</v>
      </c>
      <c r="CT36" s="0" t="s">
        <v>3568</v>
      </c>
      <c r="CU36" s="0" t="s">
        <v>3569</v>
      </c>
      <c r="CV36" s="0" t="s">
        <v>418</v>
      </c>
      <c r="CW36" s="0" t="s">
        <v>3622</v>
      </c>
      <c r="CX36" s="0" t="s">
        <v>419</v>
      </c>
      <c r="CY36" s="0" t="s">
        <v>418</v>
      </c>
      <c r="CZ36" s="0" t="s">
        <v>3623</v>
      </c>
      <c r="DA36" s="0" t="s">
        <v>3624</v>
      </c>
      <c r="DB36" s="0" t="s">
        <v>3622</v>
      </c>
      <c r="DC36" s="0" t="s">
        <v>362</v>
      </c>
      <c r="DD36" s="0" t="s">
        <v>3572</v>
      </c>
      <c r="DE36" s="0" t="s">
        <v>3813</v>
      </c>
    </row>
    <row customHeight="1" ht="11.25">
      <c r="A37" s="1353" t="s">
        <v>228</v>
      </c>
      <c r="B37" s="0" t="s">
        <v>228</v>
      </c>
      <c r="C37" s="0" t="s">
        <v>228</v>
      </c>
      <c r="D37" s="0" t="s">
        <v>228</v>
      </c>
      <c r="E37" s="0" t="s">
        <v>228</v>
      </c>
      <c r="F37" s="0" t="s">
        <v>228</v>
      </c>
      <c r="G37" s="0" t="s">
        <v>228</v>
      </c>
      <c r="H37" s="0" t="s">
        <v>228</v>
      </c>
      <c r="I37" s="0" t="s">
        <v>3555</v>
      </c>
      <c r="J37" s="0" t="s">
        <v>228</v>
      </c>
      <c r="K37" s="0" t="s">
        <v>228</v>
      </c>
      <c r="L37" s="0" t="s">
        <v>228</v>
      </c>
      <c r="M37" s="0" t="s">
        <v>228</v>
      </c>
      <c r="N37" s="0" t="s">
        <v>228</v>
      </c>
      <c r="O37" s="0" t="s">
        <v>228</v>
      </c>
      <c r="P37" s="0" t="s">
        <v>228</v>
      </c>
      <c r="Q37" s="0" t="s">
        <v>228</v>
      </c>
      <c r="R37" s="0" t="s">
        <v>3814</v>
      </c>
      <c r="S37" s="0" t="s">
        <v>228</v>
      </c>
      <c r="T37" s="0" t="s">
        <v>228</v>
      </c>
      <c r="U37" s="0" t="s">
        <v>101</v>
      </c>
      <c r="V37" s="0" t="s">
        <v>228</v>
      </c>
      <c r="W37" s="0" t="s">
        <v>228</v>
      </c>
      <c r="X37" s="0" t="s">
        <v>3557</v>
      </c>
      <c r="Y37" s="0" t="s">
        <v>228</v>
      </c>
      <c r="Z37" s="0" t="s">
        <v>160</v>
      </c>
      <c r="AA37" s="0" t="s">
        <v>151</v>
      </c>
      <c r="AB37" s="0" t="s">
        <v>151</v>
      </c>
      <c r="AC37" s="0" t="s">
        <v>2715</v>
      </c>
      <c r="AD37" s="0" t="s">
        <v>2715</v>
      </c>
      <c r="AE37" s="0" t="s">
        <v>2716</v>
      </c>
      <c r="AF37" s="0" t="s">
        <v>3594</v>
      </c>
      <c r="AG37" s="0" t="s">
        <v>3595</v>
      </c>
      <c r="AH37" s="0" t="s">
        <v>3815</v>
      </c>
      <c r="AI37" s="0" t="s">
        <v>3608</v>
      </c>
      <c r="AJ37" s="0" t="s">
        <v>3793</v>
      </c>
      <c r="AK37" s="0" t="s">
        <v>3816</v>
      </c>
      <c r="AL37" s="0" t="s">
        <v>3564</v>
      </c>
      <c r="AM37" s="0" t="s">
        <v>3565</v>
      </c>
      <c r="AN37" s="0" t="s">
        <v>3817</v>
      </c>
      <c r="AO37" s="0" t="s">
        <v>3818</v>
      </c>
      <c r="AP37" s="0" t="s">
        <v>228</v>
      </c>
      <c r="AQ37" s="0" t="s">
        <v>228</v>
      </c>
      <c r="AR37" s="0" t="s">
        <v>228</v>
      </c>
      <c r="AS37" s="0" t="s">
        <v>228</v>
      </c>
      <c r="AT37" s="0" t="s">
        <v>228</v>
      </c>
      <c r="AU37" s="0" t="s">
        <v>228</v>
      </c>
      <c r="AV37" s="0" t="s">
        <v>228</v>
      </c>
      <c r="AW37" s="0" t="s">
        <v>228</v>
      </c>
      <c r="AX37" s="0" t="s">
        <v>228</v>
      </c>
      <c r="AY37" s="0" t="s">
        <v>228</v>
      </c>
      <c r="AZ37" s="0" t="s">
        <v>228</v>
      </c>
      <c r="BA37" s="0" t="s">
        <v>228</v>
      </c>
      <c r="BB37" s="0" t="s">
        <v>228</v>
      </c>
      <c r="BC37" s="0" t="s">
        <v>228</v>
      </c>
      <c r="BD37" s="0" t="s">
        <v>228</v>
      </c>
      <c r="BE37" s="0" t="s">
        <v>228</v>
      </c>
      <c r="BF37" s="0" t="s">
        <v>228</v>
      </c>
      <c r="BG37" s="0" t="s">
        <v>228</v>
      </c>
      <c r="BH37" s="0" t="s">
        <v>228</v>
      </c>
      <c r="BI37" s="0" t="s">
        <v>228</v>
      </c>
      <c r="BJ37" s="0" t="s">
        <v>228</v>
      </c>
      <c r="BK37" s="0" t="s">
        <v>228</v>
      </c>
      <c r="BL37" s="0" t="s">
        <v>228</v>
      </c>
      <c r="BM37" s="0" t="s">
        <v>228</v>
      </c>
      <c r="BN37" s="0" t="s">
        <v>228</v>
      </c>
      <c r="BO37" s="0" t="s">
        <v>228</v>
      </c>
      <c r="BP37" s="0" t="s">
        <v>228</v>
      </c>
      <c r="BQ37" s="0" t="s">
        <v>228</v>
      </c>
      <c r="BR37" s="0" t="s">
        <v>228</v>
      </c>
      <c r="BS37" s="0" t="s">
        <v>228</v>
      </c>
      <c r="BT37" s="0" t="s">
        <v>228</v>
      </c>
      <c r="BU37" s="0" t="s">
        <v>228</v>
      </c>
      <c r="BV37" s="0" t="s">
        <v>228</v>
      </c>
      <c r="BW37" s="0" t="s">
        <v>228</v>
      </c>
      <c r="BX37" s="0" t="s">
        <v>228</v>
      </c>
      <c r="BY37" s="0" t="s">
        <v>228</v>
      </c>
      <c r="BZ37" s="0" t="s">
        <v>228</v>
      </c>
      <c r="CA37" s="0" t="s">
        <v>228</v>
      </c>
      <c r="CB37" s="0" t="s">
        <v>228</v>
      </c>
      <c r="CC37" s="0" t="s">
        <v>228</v>
      </c>
      <c r="CD37" s="0" t="s">
        <v>228</v>
      </c>
      <c r="CE37" s="0" t="s">
        <v>228</v>
      </c>
      <c r="CF37" s="0" t="s">
        <v>228</v>
      </c>
      <c r="CG37" s="0" t="s">
        <v>228</v>
      </c>
      <c r="CH37" s="0" t="s">
        <v>228</v>
      </c>
      <c r="CI37" s="0" t="s">
        <v>228</v>
      </c>
      <c r="CJ37" s="0" t="s">
        <v>228</v>
      </c>
      <c r="CK37" s="0" t="s">
        <v>228</v>
      </c>
      <c r="CL37" s="0" t="s">
        <v>228</v>
      </c>
      <c r="CM37" s="0" t="s">
        <v>228</v>
      </c>
      <c r="CN37" s="0" t="s">
        <v>228</v>
      </c>
      <c r="CO37" s="0" t="s">
        <v>228</v>
      </c>
      <c r="CP37" s="0" t="s">
        <v>228</v>
      </c>
      <c r="CQ37" s="0" t="s">
        <v>228</v>
      </c>
      <c r="CR37" s="0" t="s">
        <v>228</v>
      </c>
      <c r="CS37" s="0" t="s">
        <v>228</v>
      </c>
      <c r="CT37" s="0" t="s">
        <v>3568</v>
      </c>
      <c r="CU37" s="0" t="s">
        <v>3569</v>
      </c>
      <c r="CV37" s="0" t="s">
        <v>418</v>
      </c>
      <c r="CW37" s="0" t="s">
        <v>3602</v>
      </c>
      <c r="CX37" s="0" t="s">
        <v>3603</v>
      </c>
      <c r="CY37" s="0" t="s">
        <v>418</v>
      </c>
      <c r="CZ37" s="0" t="s">
        <v>504</v>
      </c>
      <c r="DA37" s="0" t="s">
        <v>3604</v>
      </c>
      <c r="DB37" s="0" t="s">
        <v>3602</v>
      </c>
      <c r="DC37" s="0" t="s">
        <v>362</v>
      </c>
      <c r="DD37" s="0" t="s">
        <v>3572</v>
      </c>
      <c r="DE37" s="0" t="s">
        <v>3819</v>
      </c>
    </row>
    <row customHeight="1" ht="11.25">
      <c r="A38" s="1353" t="s">
        <v>228</v>
      </c>
      <c r="B38" s="0" t="s">
        <v>228</v>
      </c>
      <c r="C38" s="0" t="s">
        <v>228</v>
      </c>
      <c r="D38" s="0" t="s">
        <v>228</v>
      </c>
      <c r="E38" s="0" t="s">
        <v>228</v>
      </c>
      <c r="F38" s="0" t="s">
        <v>228</v>
      </c>
      <c r="G38" s="0" t="s">
        <v>228</v>
      </c>
      <c r="H38" s="0" t="s">
        <v>228</v>
      </c>
      <c r="I38" s="0" t="s">
        <v>3555</v>
      </c>
      <c r="J38" s="0" t="s">
        <v>228</v>
      </c>
      <c r="K38" s="0" t="s">
        <v>228</v>
      </c>
      <c r="L38" s="0" t="s">
        <v>228</v>
      </c>
      <c r="M38" s="0" t="s">
        <v>228</v>
      </c>
      <c r="N38" s="0" t="s">
        <v>228</v>
      </c>
      <c r="O38" s="0" t="s">
        <v>228</v>
      </c>
      <c r="P38" s="0" t="s">
        <v>228</v>
      </c>
      <c r="Q38" s="0" t="s">
        <v>228</v>
      </c>
      <c r="R38" s="0" t="s">
        <v>3648</v>
      </c>
      <c r="S38" s="0" t="s">
        <v>228</v>
      </c>
      <c r="T38" s="0" t="s">
        <v>228</v>
      </c>
      <c r="U38" s="0" t="s">
        <v>101</v>
      </c>
      <c r="V38" s="0" t="s">
        <v>228</v>
      </c>
      <c r="W38" s="0" t="s">
        <v>228</v>
      </c>
      <c r="X38" s="0" t="s">
        <v>3557</v>
      </c>
      <c r="Y38" s="0" t="s">
        <v>228</v>
      </c>
      <c r="Z38" s="0" t="s">
        <v>160</v>
      </c>
      <c r="AA38" s="0" t="s">
        <v>151</v>
      </c>
      <c r="AB38" s="0" t="s">
        <v>151</v>
      </c>
      <c r="AC38" s="0" t="s">
        <v>2315</v>
      </c>
      <c r="AD38" s="0" t="s">
        <v>2315</v>
      </c>
      <c r="AE38" s="0" t="s">
        <v>2316</v>
      </c>
      <c r="AF38" s="0" t="s">
        <v>3820</v>
      </c>
      <c r="AG38" s="0" t="s">
        <v>3821</v>
      </c>
      <c r="AH38" s="0" t="s">
        <v>3651</v>
      </c>
      <c r="AI38" s="0" t="s">
        <v>3651</v>
      </c>
      <c r="AJ38" s="0" t="s">
        <v>3652</v>
      </c>
      <c r="AK38" s="0" t="s">
        <v>3822</v>
      </c>
      <c r="AL38" s="0" t="s">
        <v>3581</v>
      </c>
      <c r="AM38" s="0" t="s">
        <v>3565</v>
      </c>
      <c r="AN38" s="0" t="s">
        <v>3654</v>
      </c>
      <c r="AO38" s="0" t="s">
        <v>3823</v>
      </c>
      <c r="AP38" s="0" t="s">
        <v>228</v>
      </c>
      <c r="AQ38" s="0" t="s">
        <v>228</v>
      </c>
      <c r="AR38" s="0" t="s">
        <v>228</v>
      </c>
      <c r="AS38" s="0" t="s">
        <v>228</v>
      </c>
      <c r="AT38" s="0" t="s">
        <v>228</v>
      </c>
      <c r="AU38" s="0" t="s">
        <v>228</v>
      </c>
      <c r="AV38" s="0" t="s">
        <v>228</v>
      </c>
      <c r="AW38" s="0" t="s">
        <v>228</v>
      </c>
      <c r="AX38" s="0" t="s">
        <v>228</v>
      </c>
      <c r="AY38" s="0" t="s">
        <v>228</v>
      </c>
      <c r="AZ38" s="0" t="s">
        <v>228</v>
      </c>
      <c r="BA38" s="0" t="s">
        <v>228</v>
      </c>
      <c r="BB38" s="0" t="s">
        <v>228</v>
      </c>
      <c r="BC38" s="0" t="s">
        <v>228</v>
      </c>
      <c r="BD38" s="0" t="s">
        <v>228</v>
      </c>
      <c r="BE38" s="0" t="s">
        <v>228</v>
      </c>
      <c r="BF38" s="0" t="s">
        <v>228</v>
      </c>
      <c r="BG38" s="0" t="s">
        <v>228</v>
      </c>
      <c r="BH38" s="0" t="s">
        <v>228</v>
      </c>
      <c r="BI38" s="0" t="s">
        <v>228</v>
      </c>
      <c r="BJ38" s="0" t="s">
        <v>228</v>
      </c>
      <c r="BK38" s="0" t="s">
        <v>228</v>
      </c>
      <c r="BL38" s="0" t="s">
        <v>228</v>
      </c>
      <c r="BM38" s="0" t="s">
        <v>228</v>
      </c>
      <c r="BN38" s="0" t="s">
        <v>228</v>
      </c>
      <c r="BO38" s="0" t="s">
        <v>228</v>
      </c>
      <c r="BP38" s="0" t="s">
        <v>228</v>
      </c>
      <c r="BQ38" s="0" t="s">
        <v>228</v>
      </c>
      <c r="BR38" s="0" t="s">
        <v>228</v>
      </c>
      <c r="BS38" s="0" t="s">
        <v>228</v>
      </c>
      <c r="BT38" s="0" t="s">
        <v>228</v>
      </c>
      <c r="BU38" s="0" t="s">
        <v>228</v>
      </c>
      <c r="BV38" s="0" t="s">
        <v>228</v>
      </c>
      <c r="BW38" s="0" t="s">
        <v>228</v>
      </c>
      <c r="BX38" s="0" t="s">
        <v>228</v>
      </c>
      <c r="BY38" s="0" t="s">
        <v>228</v>
      </c>
      <c r="BZ38" s="0" t="s">
        <v>228</v>
      </c>
      <c r="CA38" s="0" t="s">
        <v>228</v>
      </c>
      <c r="CB38" s="0" t="s">
        <v>228</v>
      </c>
      <c r="CC38" s="0" t="s">
        <v>228</v>
      </c>
      <c r="CD38" s="0" t="s">
        <v>228</v>
      </c>
      <c r="CE38" s="0" t="s">
        <v>228</v>
      </c>
      <c r="CF38" s="0" t="s">
        <v>228</v>
      </c>
      <c r="CG38" s="0" t="s">
        <v>228</v>
      </c>
      <c r="CH38" s="0" t="s">
        <v>228</v>
      </c>
      <c r="CI38" s="0" t="s">
        <v>228</v>
      </c>
      <c r="CJ38" s="0" t="s">
        <v>228</v>
      </c>
      <c r="CK38" s="0" t="s">
        <v>228</v>
      </c>
      <c r="CL38" s="0" t="s">
        <v>228</v>
      </c>
      <c r="CM38" s="0" t="s">
        <v>228</v>
      </c>
      <c r="CN38" s="0" t="s">
        <v>228</v>
      </c>
      <c r="CO38" s="0" t="s">
        <v>228</v>
      </c>
      <c r="CP38" s="0" t="s">
        <v>228</v>
      </c>
      <c r="CQ38" s="0" t="s">
        <v>228</v>
      </c>
      <c r="CR38" s="0" t="s">
        <v>228</v>
      </c>
      <c r="CS38" s="0" t="s">
        <v>228</v>
      </c>
      <c r="CT38" s="0" t="s">
        <v>3568</v>
      </c>
      <c r="CU38" s="0" t="s">
        <v>3569</v>
      </c>
      <c r="CV38" s="0" t="s">
        <v>418</v>
      </c>
      <c r="CW38" s="0" t="s">
        <v>3656</v>
      </c>
      <c r="CX38" s="0" t="s">
        <v>419</v>
      </c>
      <c r="CY38" s="0" t="s">
        <v>418</v>
      </c>
      <c r="CZ38" s="0" t="s">
        <v>3657</v>
      </c>
      <c r="DA38" s="0" t="s">
        <v>3658</v>
      </c>
      <c r="DB38" s="0" t="s">
        <v>3656</v>
      </c>
      <c r="DC38" s="0" t="s">
        <v>362</v>
      </c>
      <c r="DD38" s="0" t="s">
        <v>3572</v>
      </c>
      <c r="DE38" s="0" t="s">
        <v>3824</v>
      </c>
    </row>
    <row customHeight="1" ht="11.25">
      <c r="A39" s="1353" t="s">
        <v>228</v>
      </c>
      <c r="B39" s="0" t="s">
        <v>228</v>
      </c>
      <c r="C39" s="0" t="s">
        <v>228</v>
      </c>
      <c r="D39" s="0" t="s">
        <v>228</v>
      </c>
      <c r="E39" s="0" t="s">
        <v>228</v>
      </c>
      <c r="F39" s="0" t="s">
        <v>228</v>
      </c>
      <c r="G39" s="0" t="s">
        <v>228</v>
      </c>
      <c r="H39" s="0" t="s">
        <v>228</v>
      </c>
      <c r="I39" s="0" t="s">
        <v>3555</v>
      </c>
      <c r="J39" s="0" t="s">
        <v>228</v>
      </c>
      <c r="K39" s="0" t="s">
        <v>228</v>
      </c>
      <c r="L39" s="0" t="s">
        <v>228</v>
      </c>
      <c r="M39" s="0" t="s">
        <v>228</v>
      </c>
      <c r="N39" s="0" t="s">
        <v>228</v>
      </c>
      <c r="O39" s="0" t="s">
        <v>228</v>
      </c>
      <c r="P39" s="0" t="s">
        <v>228</v>
      </c>
      <c r="Q39" s="0" t="s">
        <v>228</v>
      </c>
      <c r="R39" s="0" t="s">
        <v>3825</v>
      </c>
      <c r="S39" s="0" t="s">
        <v>228</v>
      </c>
      <c r="T39" s="0" t="s">
        <v>228</v>
      </c>
      <c r="U39" s="0" t="s">
        <v>101</v>
      </c>
      <c r="V39" s="0" t="s">
        <v>228</v>
      </c>
      <c r="W39" s="0" t="s">
        <v>228</v>
      </c>
      <c r="X39" s="0" t="s">
        <v>3557</v>
      </c>
      <c r="Y39" s="0" t="s">
        <v>228</v>
      </c>
      <c r="Z39" s="0" t="s">
        <v>160</v>
      </c>
      <c r="AA39" s="0" t="s">
        <v>151</v>
      </c>
      <c r="AB39" s="0" t="s">
        <v>151</v>
      </c>
      <c r="AC39" s="0" t="s">
        <v>2317</v>
      </c>
      <c r="AD39" s="0" t="s">
        <v>2317</v>
      </c>
      <c r="AE39" s="0" t="s">
        <v>2318</v>
      </c>
      <c r="AF39" s="0" t="s">
        <v>3826</v>
      </c>
      <c r="AG39" s="0" t="s">
        <v>3827</v>
      </c>
      <c r="AH39" s="0" t="s">
        <v>3828</v>
      </c>
      <c r="AI39" s="0" t="s">
        <v>3807</v>
      </c>
      <c r="AJ39" s="0" t="s">
        <v>3579</v>
      </c>
      <c r="AK39" s="0" t="s">
        <v>3627</v>
      </c>
      <c r="AL39" s="0" t="s">
        <v>3581</v>
      </c>
      <c r="AM39" s="0" t="s">
        <v>3565</v>
      </c>
      <c r="AN39" s="0" t="s">
        <v>3628</v>
      </c>
      <c r="AO39" s="0" t="s">
        <v>3829</v>
      </c>
      <c r="AP39" s="0" t="s">
        <v>228</v>
      </c>
      <c r="AQ39" s="0" t="s">
        <v>228</v>
      </c>
      <c r="AR39" s="0" t="s">
        <v>228</v>
      </c>
      <c r="AS39" s="0" t="s">
        <v>228</v>
      </c>
      <c r="AT39" s="0" t="s">
        <v>228</v>
      </c>
      <c r="AU39" s="0" t="s">
        <v>228</v>
      </c>
      <c r="AV39" s="0" t="s">
        <v>228</v>
      </c>
      <c r="AW39" s="0" t="s">
        <v>228</v>
      </c>
      <c r="AX39" s="0" t="s">
        <v>228</v>
      </c>
      <c r="AY39" s="0" t="s">
        <v>228</v>
      </c>
      <c r="AZ39" s="0" t="s">
        <v>228</v>
      </c>
      <c r="BA39" s="0" t="s">
        <v>228</v>
      </c>
      <c r="BB39" s="0" t="s">
        <v>228</v>
      </c>
      <c r="BC39" s="0" t="s">
        <v>228</v>
      </c>
      <c r="BD39" s="0" t="s">
        <v>228</v>
      </c>
      <c r="BE39" s="0" t="s">
        <v>228</v>
      </c>
      <c r="BF39" s="0" t="s">
        <v>228</v>
      </c>
      <c r="BG39" s="0" t="s">
        <v>228</v>
      </c>
      <c r="BH39" s="0" t="s">
        <v>228</v>
      </c>
      <c r="BI39" s="0" t="s">
        <v>228</v>
      </c>
      <c r="BJ39" s="0" t="s">
        <v>228</v>
      </c>
      <c r="BK39" s="0" t="s">
        <v>228</v>
      </c>
      <c r="BL39" s="0" t="s">
        <v>228</v>
      </c>
      <c r="BM39" s="0" t="s">
        <v>228</v>
      </c>
      <c r="BN39" s="0" t="s">
        <v>228</v>
      </c>
      <c r="BO39" s="0" t="s">
        <v>228</v>
      </c>
      <c r="BP39" s="0" t="s">
        <v>228</v>
      </c>
      <c r="BQ39" s="0" t="s">
        <v>228</v>
      </c>
      <c r="BR39" s="0" t="s">
        <v>228</v>
      </c>
      <c r="BS39" s="0" t="s">
        <v>228</v>
      </c>
      <c r="BT39" s="0" t="s">
        <v>228</v>
      </c>
      <c r="BU39" s="0" t="s">
        <v>228</v>
      </c>
      <c r="BV39" s="0" t="s">
        <v>228</v>
      </c>
      <c r="BW39" s="0" t="s">
        <v>228</v>
      </c>
      <c r="BX39" s="0" t="s">
        <v>228</v>
      </c>
      <c r="BY39" s="0" t="s">
        <v>228</v>
      </c>
      <c r="BZ39" s="0" t="s">
        <v>228</v>
      </c>
      <c r="CA39" s="0" t="s">
        <v>228</v>
      </c>
      <c r="CB39" s="0" t="s">
        <v>228</v>
      </c>
      <c r="CC39" s="0" t="s">
        <v>228</v>
      </c>
      <c r="CD39" s="0" t="s">
        <v>228</v>
      </c>
      <c r="CE39" s="0" t="s">
        <v>228</v>
      </c>
      <c r="CF39" s="0" t="s">
        <v>228</v>
      </c>
      <c r="CG39" s="0" t="s">
        <v>228</v>
      </c>
      <c r="CH39" s="0" t="s">
        <v>228</v>
      </c>
      <c r="CI39" s="0" t="s">
        <v>228</v>
      </c>
      <c r="CJ39" s="0" t="s">
        <v>228</v>
      </c>
      <c r="CK39" s="0" t="s">
        <v>228</v>
      </c>
      <c r="CL39" s="0" t="s">
        <v>228</v>
      </c>
      <c r="CM39" s="0" t="s">
        <v>228</v>
      </c>
      <c r="CN39" s="0" t="s">
        <v>228</v>
      </c>
      <c r="CO39" s="0" t="s">
        <v>228</v>
      </c>
      <c r="CP39" s="0" t="s">
        <v>228</v>
      </c>
      <c r="CQ39" s="0" t="s">
        <v>228</v>
      </c>
      <c r="CR39" s="0" t="s">
        <v>228</v>
      </c>
      <c r="CS39" s="0" t="s">
        <v>228</v>
      </c>
      <c r="CT39" s="0" t="s">
        <v>3568</v>
      </c>
      <c r="CU39" s="0" t="s">
        <v>3569</v>
      </c>
      <c r="CV39" s="0" t="s">
        <v>418</v>
      </c>
      <c r="CW39" s="0" t="s">
        <v>3622</v>
      </c>
      <c r="CX39" s="0" t="s">
        <v>419</v>
      </c>
      <c r="CY39" s="0" t="s">
        <v>418</v>
      </c>
      <c r="CZ39" s="0" t="s">
        <v>3623</v>
      </c>
      <c r="DA39" s="0" t="s">
        <v>3624</v>
      </c>
      <c r="DB39" s="0" t="s">
        <v>3622</v>
      </c>
      <c r="DC39" s="0" t="s">
        <v>362</v>
      </c>
      <c r="DD39" s="0" t="s">
        <v>3572</v>
      </c>
      <c r="DE39" s="0" t="s">
        <v>3830</v>
      </c>
    </row>
    <row customHeight="1" ht="11.25">
      <c r="A40" s="1353" t="s">
        <v>228</v>
      </c>
      <c r="B40" s="0" t="s">
        <v>228</v>
      </c>
      <c r="C40" s="0" t="s">
        <v>228</v>
      </c>
      <c r="D40" s="0" t="s">
        <v>228</v>
      </c>
      <c r="E40" s="0" t="s">
        <v>228</v>
      </c>
      <c r="F40" s="0" t="s">
        <v>228</v>
      </c>
      <c r="G40" s="0" t="s">
        <v>228</v>
      </c>
      <c r="H40" s="0" t="s">
        <v>228</v>
      </c>
      <c r="I40" s="0" t="s">
        <v>3555</v>
      </c>
      <c r="J40" s="0" t="s">
        <v>228</v>
      </c>
      <c r="K40" s="0" t="s">
        <v>228</v>
      </c>
      <c r="L40" s="0" t="s">
        <v>228</v>
      </c>
      <c r="M40" s="0" t="s">
        <v>228</v>
      </c>
      <c r="N40" s="0" t="s">
        <v>228</v>
      </c>
      <c r="O40" s="0" t="s">
        <v>228</v>
      </c>
      <c r="P40" s="0" t="s">
        <v>228</v>
      </c>
      <c r="Q40" s="0" t="s">
        <v>228</v>
      </c>
      <c r="R40" s="0" t="s">
        <v>3831</v>
      </c>
      <c r="S40" s="0" t="s">
        <v>228</v>
      </c>
      <c r="T40" s="0" t="s">
        <v>228</v>
      </c>
      <c r="U40" s="0" t="s">
        <v>101</v>
      </c>
      <c r="V40" s="0" t="s">
        <v>228</v>
      </c>
      <c r="W40" s="0" t="s">
        <v>228</v>
      </c>
      <c r="X40" s="0" t="s">
        <v>3557</v>
      </c>
      <c r="Y40" s="0" t="s">
        <v>228</v>
      </c>
      <c r="Z40" s="0" t="s">
        <v>160</v>
      </c>
      <c r="AA40" s="0" t="s">
        <v>151</v>
      </c>
      <c r="AB40" s="0" t="s">
        <v>151</v>
      </c>
      <c r="AC40" s="0" t="s">
        <v>2317</v>
      </c>
      <c r="AD40" s="0" t="s">
        <v>2317</v>
      </c>
      <c r="AE40" s="0" t="s">
        <v>2318</v>
      </c>
      <c r="AF40" s="0" t="s">
        <v>3826</v>
      </c>
      <c r="AG40" s="0" t="s">
        <v>3827</v>
      </c>
      <c r="AH40" s="0" t="s">
        <v>3832</v>
      </c>
      <c r="AI40" s="0" t="s">
        <v>3626</v>
      </c>
      <c r="AJ40" s="0" t="s">
        <v>3579</v>
      </c>
      <c r="AK40" s="0" t="s">
        <v>3833</v>
      </c>
      <c r="AL40" s="0" t="s">
        <v>3581</v>
      </c>
      <c r="AM40" s="0" t="s">
        <v>3565</v>
      </c>
      <c r="AN40" s="0" t="s">
        <v>3628</v>
      </c>
      <c r="AO40" s="0" t="s">
        <v>3834</v>
      </c>
      <c r="AP40" s="0" t="s">
        <v>228</v>
      </c>
      <c r="AQ40" s="0" t="s">
        <v>228</v>
      </c>
      <c r="AR40" s="0" t="s">
        <v>228</v>
      </c>
      <c r="AS40" s="0" t="s">
        <v>228</v>
      </c>
      <c r="AT40" s="0" t="s">
        <v>228</v>
      </c>
      <c r="AU40" s="0" t="s">
        <v>228</v>
      </c>
      <c r="AV40" s="0" t="s">
        <v>228</v>
      </c>
      <c r="AW40" s="0" t="s">
        <v>228</v>
      </c>
      <c r="AX40" s="0" t="s">
        <v>228</v>
      </c>
      <c r="AY40" s="0" t="s">
        <v>228</v>
      </c>
      <c r="AZ40" s="0" t="s">
        <v>228</v>
      </c>
      <c r="BA40" s="0" t="s">
        <v>228</v>
      </c>
      <c r="BB40" s="0" t="s">
        <v>228</v>
      </c>
      <c r="BC40" s="0" t="s">
        <v>228</v>
      </c>
      <c r="BD40" s="0" t="s">
        <v>228</v>
      </c>
      <c r="BE40" s="0" t="s">
        <v>228</v>
      </c>
      <c r="BF40" s="0" t="s">
        <v>228</v>
      </c>
      <c r="BG40" s="0" t="s">
        <v>228</v>
      </c>
      <c r="BH40" s="0" t="s">
        <v>228</v>
      </c>
      <c r="BI40" s="0" t="s">
        <v>228</v>
      </c>
      <c r="BJ40" s="0" t="s">
        <v>228</v>
      </c>
      <c r="BK40" s="0" t="s">
        <v>228</v>
      </c>
      <c r="BL40" s="0" t="s">
        <v>228</v>
      </c>
      <c r="BM40" s="0" t="s">
        <v>228</v>
      </c>
      <c r="BN40" s="0" t="s">
        <v>228</v>
      </c>
      <c r="BO40" s="0" t="s">
        <v>228</v>
      </c>
      <c r="BP40" s="0" t="s">
        <v>228</v>
      </c>
      <c r="BQ40" s="0" t="s">
        <v>228</v>
      </c>
      <c r="BR40" s="0" t="s">
        <v>228</v>
      </c>
      <c r="BS40" s="0" t="s">
        <v>228</v>
      </c>
      <c r="BT40" s="0" t="s">
        <v>228</v>
      </c>
      <c r="BU40" s="0" t="s">
        <v>228</v>
      </c>
      <c r="BV40" s="0" t="s">
        <v>228</v>
      </c>
      <c r="BW40" s="0" t="s">
        <v>228</v>
      </c>
      <c r="BX40" s="0" t="s">
        <v>228</v>
      </c>
      <c r="BY40" s="0" t="s">
        <v>228</v>
      </c>
      <c r="BZ40" s="0" t="s">
        <v>228</v>
      </c>
      <c r="CA40" s="0" t="s">
        <v>228</v>
      </c>
      <c r="CB40" s="0" t="s">
        <v>228</v>
      </c>
      <c r="CC40" s="0" t="s">
        <v>228</v>
      </c>
      <c r="CD40" s="0" t="s">
        <v>228</v>
      </c>
      <c r="CE40" s="0" t="s">
        <v>228</v>
      </c>
      <c r="CF40" s="0" t="s">
        <v>228</v>
      </c>
      <c r="CG40" s="0" t="s">
        <v>228</v>
      </c>
      <c r="CH40" s="0" t="s">
        <v>228</v>
      </c>
      <c r="CI40" s="0" t="s">
        <v>228</v>
      </c>
      <c r="CJ40" s="0" t="s">
        <v>228</v>
      </c>
      <c r="CK40" s="0" t="s">
        <v>228</v>
      </c>
      <c r="CL40" s="0" t="s">
        <v>228</v>
      </c>
      <c r="CM40" s="0" t="s">
        <v>228</v>
      </c>
      <c r="CN40" s="0" t="s">
        <v>228</v>
      </c>
      <c r="CO40" s="0" t="s">
        <v>228</v>
      </c>
      <c r="CP40" s="0" t="s">
        <v>228</v>
      </c>
      <c r="CQ40" s="0" t="s">
        <v>228</v>
      </c>
      <c r="CR40" s="0" t="s">
        <v>228</v>
      </c>
      <c r="CS40" s="0" t="s">
        <v>228</v>
      </c>
      <c r="CT40" s="0" t="s">
        <v>3568</v>
      </c>
      <c r="CU40" s="0" t="s">
        <v>3569</v>
      </c>
      <c r="CV40" s="0" t="s">
        <v>418</v>
      </c>
      <c r="CW40" s="0" t="s">
        <v>3622</v>
      </c>
      <c r="CX40" s="0" t="s">
        <v>419</v>
      </c>
      <c r="CY40" s="0" t="s">
        <v>418</v>
      </c>
      <c r="CZ40" s="0" t="s">
        <v>3623</v>
      </c>
      <c r="DA40" s="0" t="s">
        <v>3624</v>
      </c>
      <c r="DB40" s="0" t="s">
        <v>3622</v>
      </c>
      <c r="DC40" s="0" t="s">
        <v>362</v>
      </c>
      <c r="DD40" s="0" t="s">
        <v>3572</v>
      </c>
      <c r="DE40" s="0" t="s">
        <v>3835</v>
      </c>
    </row>
    <row customHeight="1" ht="11.25">
      <c r="A41" s="1353" t="s">
        <v>228</v>
      </c>
      <c r="B41" s="0" t="s">
        <v>228</v>
      </c>
      <c r="C41" s="0" t="s">
        <v>228</v>
      </c>
      <c r="D41" s="0" t="s">
        <v>228</v>
      </c>
      <c r="E41" s="0" t="s">
        <v>228</v>
      </c>
      <c r="F41" s="0" t="s">
        <v>228</v>
      </c>
      <c r="G41" s="0" t="s">
        <v>228</v>
      </c>
      <c r="H41" s="0" t="s">
        <v>228</v>
      </c>
      <c r="I41" s="0" t="s">
        <v>3555</v>
      </c>
      <c r="J41" s="0" t="s">
        <v>228</v>
      </c>
      <c r="K41" s="0" t="s">
        <v>228</v>
      </c>
      <c r="L41" s="0" t="s">
        <v>228</v>
      </c>
      <c r="M41" s="0" t="s">
        <v>228</v>
      </c>
      <c r="N41" s="0" t="s">
        <v>228</v>
      </c>
      <c r="O41" s="0" t="s">
        <v>228</v>
      </c>
      <c r="P41" s="0" t="s">
        <v>228</v>
      </c>
      <c r="Q41" s="0" t="s">
        <v>228</v>
      </c>
      <c r="R41" s="0" t="s">
        <v>3836</v>
      </c>
      <c r="S41" s="0" t="s">
        <v>228</v>
      </c>
      <c r="T41" s="0" t="s">
        <v>228</v>
      </c>
      <c r="U41" s="0" t="s">
        <v>101</v>
      </c>
      <c r="V41" s="0" t="s">
        <v>228</v>
      </c>
      <c r="W41" s="0" t="s">
        <v>228</v>
      </c>
      <c r="X41" s="0" t="s">
        <v>3557</v>
      </c>
      <c r="Y41" s="0" t="s">
        <v>228</v>
      </c>
      <c r="Z41" s="0" t="s">
        <v>160</v>
      </c>
      <c r="AA41" s="0" t="s">
        <v>151</v>
      </c>
      <c r="AB41" s="0" t="s">
        <v>151</v>
      </c>
      <c r="AC41" s="0" t="s">
        <v>2715</v>
      </c>
      <c r="AD41" s="0" t="s">
        <v>2715</v>
      </c>
      <c r="AE41" s="0" t="s">
        <v>2716</v>
      </c>
      <c r="AF41" s="0" t="s">
        <v>3594</v>
      </c>
      <c r="AG41" s="0" t="s">
        <v>3595</v>
      </c>
      <c r="AH41" s="0" t="s">
        <v>3837</v>
      </c>
      <c r="AI41" s="0" t="s">
        <v>3608</v>
      </c>
      <c r="AJ41" s="0" t="s">
        <v>3838</v>
      </c>
      <c r="AK41" s="0" t="s">
        <v>3839</v>
      </c>
      <c r="AL41" s="0" t="s">
        <v>3599</v>
      </c>
      <c r="AM41" s="0" t="s">
        <v>3565</v>
      </c>
      <c r="AN41" s="0" t="s">
        <v>3840</v>
      </c>
      <c r="AO41" s="0" t="s">
        <v>3841</v>
      </c>
      <c r="AP41" s="0" t="s">
        <v>228</v>
      </c>
      <c r="AQ41" s="0" t="s">
        <v>228</v>
      </c>
      <c r="AR41" s="0" t="s">
        <v>228</v>
      </c>
      <c r="AS41" s="0" t="s">
        <v>228</v>
      </c>
      <c r="AT41" s="0" t="s">
        <v>228</v>
      </c>
      <c r="AU41" s="0" t="s">
        <v>228</v>
      </c>
      <c r="AV41" s="0" t="s">
        <v>228</v>
      </c>
      <c r="AW41" s="0" t="s">
        <v>228</v>
      </c>
      <c r="AX41" s="0" t="s">
        <v>228</v>
      </c>
      <c r="AY41" s="0" t="s">
        <v>228</v>
      </c>
      <c r="AZ41" s="0" t="s">
        <v>228</v>
      </c>
      <c r="BA41" s="0" t="s">
        <v>228</v>
      </c>
      <c r="BB41" s="0" t="s">
        <v>228</v>
      </c>
      <c r="BC41" s="0" t="s">
        <v>228</v>
      </c>
      <c r="BD41" s="0" t="s">
        <v>228</v>
      </c>
      <c r="BE41" s="0" t="s">
        <v>228</v>
      </c>
      <c r="BF41" s="0" t="s">
        <v>228</v>
      </c>
      <c r="BG41" s="0" t="s">
        <v>228</v>
      </c>
      <c r="BH41" s="0" t="s">
        <v>228</v>
      </c>
      <c r="BI41" s="0" t="s">
        <v>228</v>
      </c>
      <c r="BJ41" s="0" t="s">
        <v>228</v>
      </c>
      <c r="BK41" s="0" t="s">
        <v>228</v>
      </c>
      <c r="BL41" s="0" t="s">
        <v>228</v>
      </c>
      <c r="BM41" s="0" t="s">
        <v>228</v>
      </c>
      <c r="BN41" s="0" t="s">
        <v>228</v>
      </c>
      <c r="BO41" s="0" t="s">
        <v>228</v>
      </c>
      <c r="BP41" s="0" t="s">
        <v>228</v>
      </c>
      <c r="BQ41" s="0" t="s">
        <v>228</v>
      </c>
      <c r="BR41" s="0" t="s">
        <v>228</v>
      </c>
      <c r="BS41" s="0" t="s">
        <v>228</v>
      </c>
      <c r="BT41" s="0" t="s">
        <v>228</v>
      </c>
      <c r="BU41" s="0" t="s">
        <v>228</v>
      </c>
      <c r="BV41" s="0" t="s">
        <v>228</v>
      </c>
      <c r="BW41" s="0" t="s">
        <v>228</v>
      </c>
      <c r="BX41" s="0" t="s">
        <v>228</v>
      </c>
      <c r="BY41" s="0" t="s">
        <v>228</v>
      </c>
      <c r="BZ41" s="0" t="s">
        <v>228</v>
      </c>
      <c r="CA41" s="0" t="s">
        <v>228</v>
      </c>
      <c r="CB41" s="0" t="s">
        <v>228</v>
      </c>
      <c r="CC41" s="0" t="s">
        <v>228</v>
      </c>
      <c r="CD41" s="0" t="s">
        <v>228</v>
      </c>
      <c r="CE41" s="0" t="s">
        <v>228</v>
      </c>
      <c r="CF41" s="0" t="s">
        <v>228</v>
      </c>
      <c r="CG41" s="0" t="s">
        <v>228</v>
      </c>
      <c r="CH41" s="0" t="s">
        <v>228</v>
      </c>
      <c r="CI41" s="0" t="s">
        <v>228</v>
      </c>
      <c r="CJ41" s="0" t="s">
        <v>228</v>
      </c>
      <c r="CK41" s="0" t="s">
        <v>228</v>
      </c>
      <c r="CL41" s="0" t="s">
        <v>228</v>
      </c>
      <c r="CM41" s="0" t="s">
        <v>228</v>
      </c>
      <c r="CN41" s="0" t="s">
        <v>228</v>
      </c>
      <c r="CO41" s="0" t="s">
        <v>228</v>
      </c>
      <c r="CP41" s="0" t="s">
        <v>228</v>
      </c>
      <c r="CQ41" s="0" t="s">
        <v>228</v>
      </c>
      <c r="CR41" s="0" t="s">
        <v>228</v>
      </c>
      <c r="CS41" s="0" t="s">
        <v>228</v>
      </c>
      <c r="CT41" s="0" t="s">
        <v>3568</v>
      </c>
      <c r="CU41" s="0" t="s">
        <v>3569</v>
      </c>
      <c r="CV41" s="0" t="s">
        <v>418</v>
      </c>
      <c r="CW41" s="0" t="s">
        <v>3602</v>
      </c>
      <c r="CX41" s="0" t="s">
        <v>3603</v>
      </c>
      <c r="CY41" s="0" t="s">
        <v>418</v>
      </c>
      <c r="CZ41" s="0" t="s">
        <v>504</v>
      </c>
      <c r="DA41" s="0" t="s">
        <v>3604</v>
      </c>
      <c r="DB41" s="0" t="s">
        <v>3602</v>
      </c>
      <c r="DC41" s="0" t="s">
        <v>362</v>
      </c>
      <c r="DD41" s="0" t="s">
        <v>3572</v>
      </c>
      <c r="DE41" s="0" t="s">
        <v>3842</v>
      </c>
    </row>
    <row customHeight="1" ht="11.25">
      <c r="A42" s="1353" t="s">
        <v>228</v>
      </c>
      <c r="B42" s="0" t="s">
        <v>228</v>
      </c>
      <c r="C42" s="0" t="s">
        <v>228</v>
      </c>
      <c r="D42" s="0" t="s">
        <v>228</v>
      </c>
      <c r="E42" s="0" t="s">
        <v>228</v>
      </c>
      <c r="F42" s="0" t="s">
        <v>228</v>
      </c>
      <c r="G42" s="0" t="s">
        <v>228</v>
      </c>
      <c r="H42" s="0" t="s">
        <v>228</v>
      </c>
      <c r="I42" s="0" t="s">
        <v>3555</v>
      </c>
      <c r="J42" s="0" t="s">
        <v>228</v>
      </c>
      <c r="K42" s="0" t="s">
        <v>228</v>
      </c>
      <c r="L42" s="0" t="s">
        <v>228</v>
      </c>
      <c r="M42" s="0" t="s">
        <v>228</v>
      </c>
      <c r="N42" s="0" t="s">
        <v>228</v>
      </c>
      <c r="O42" s="0" t="s">
        <v>228</v>
      </c>
      <c r="P42" s="0" t="s">
        <v>228</v>
      </c>
      <c r="Q42" s="0" t="s">
        <v>228</v>
      </c>
      <c r="R42" s="0" t="s">
        <v>3843</v>
      </c>
      <c r="S42" s="0" t="s">
        <v>228</v>
      </c>
      <c r="T42" s="0" t="s">
        <v>228</v>
      </c>
      <c r="U42" s="0" t="s">
        <v>101</v>
      </c>
      <c r="V42" s="0" t="s">
        <v>228</v>
      </c>
      <c r="W42" s="0" t="s">
        <v>228</v>
      </c>
      <c r="X42" s="0" t="s">
        <v>3557</v>
      </c>
      <c r="Y42" s="0" t="s">
        <v>228</v>
      </c>
      <c r="Z42" s="0" t="s">
        <v>160</v>
      </c>
      <c r="AA42" s="0" t="s">
        <v>151</v>
      </c>
      <c r="AB42" s="0" t="s">
        <v>151</v>
      </c>
      <c r="AC42" s="0" t="s">
        <v>2317</v>
      </c>
      <c r="AD42" s="0" t="s">
        <v>2317</v>
      </c>
      <c r="AE42" s="0" t="s">
        <v>2318</v>
      </c>
      <c r="AF42" s="0" t="s">
        <v>3826</v>
      </c>
      <c r="AG42" s="0" t="s">
        <v>3827</v>
      </c>
      <c r="AH42" s="0" t="s">
        <v>3844</v>
      </c>
      <c r="AI42" s="0" t="s">
        <v>3651</v>
      </c>
      <c r="AJ42" s="0" t="s">
        <v>3654</v>
      </c>
      <c r="AK42" s="0" t="s">
        <v>3620</v>
      </c>
      <c r="AL42" s="0" t="s">
        <v>3581</v>
      </c>
      <c r="AM42" s="0" t="s">
        <v>3565</v>
      </c>
      <c r="AN42" s="0" t="s">
        <v>3628</v>
      </c>
      <c r="AO42" s="0" t="s">
        <v>3845</v>
      </c>
      <c r="AP42" s="0" t="s">
        <v>228</v>
      </c>
      <c r="AQ42" s="0" t="s">
        <v>228</v>
      </c>
      <c r="AR42" s="0" t="s">
        <v>228</v>
      </c>
      <c r="AS42" s="0" t="s">
        <v>228</v>
      </c>
      <c r="AT42" s="0" t="s">
        <v>228</v>
      </c>
      <c r="AU42" s="0" t="s">
        <v>228</v>
      </c>
      <c r="AV42" s="0" t="s">
        <v>228</v>
      </c>
      <c r="AW42" s="0" t="s">
        <v>228</v>
      </c>
      <c r="AX42" s="0" t="s">
        <v>228</v>
      </c>
      <c r="AY42" s="0" t="s">
        <v>228</v>
      </c>
      <c r="AZ42" s="0" t="s">
        <v>228</v>
      </c>
      <c r="BA42" s="0" t="s">
        <v>228</v>
      </c>
      <c r="BB42" s="0" t="s">
        <v>228</v>
      </c>
      <c r="BC42" s="0" t="s">
        <v>228</v>
      </c>
      <c r="BD42" s="0" t="s">
        <v>228</v>
      </c>
      <c r="BE42" s="0" t="s">
        <v>228</v>
      </c>
      <c r="BF42" s="0" t="s">
        <v>228</v>
      </c>
      <c r="BG42" s="0" t="s">
        <v>228</v>
      </c>
      <c r="BH42" s="0" t="s">
        <v>228</v>
      </c>
      <c r="BI42" s="0" t="s">
        <v>228</v>
      </c>
      <c r="BJ42" s="0" t="s">
        <v>228</v>
      </c>
      <c r="BK42" s="0" t="s">
        <v>228</v>
      </c>
      <c r="BL42" s="0" t="s">
        <v>228</v>
      </c>
      <c r="BM42" s="0" t="s">
        <v>228</v>
      </c>
      <c r="BN42" s="0" t="s">
        <v>228</v>
      </c>
      <c r="BO42" s="0" t="s">
        <v>228</v>
      </c>
      <c r="BP42" s="0" t="s">
        <v>228</v>
      </c>
      <c r="BQ42" s="0" t="s">
        <v>228</v>
      </c>
      <c r="BR42" s="0" t="s">
        <v>228</v>
      </c>
      <c r="BS42" s="0" t="s">
        <v>228</v>
      </c>
      <c r="BT42" s="0" t="s">
        <v>228</v>
      </c>
      <c r="BU42" s="0" t="s">
        <v>228</v>
      </c>
      <c r="BV42" s="0" t="s">
        <v>228</v>
      </c>
      <c r="BW42" s="0" t="s">
        <v>228</v>
      </c>
      <c r="BX42" s="0" t="s">
        <v>228</v>
      </c>
      <c r="BY42" s="0" t="s">
        <v>228</v>
      </c>
      <c r="BZ42" s="0" t="s">
        <v>228</v>
      </c>
      <c r="CA42" s="0" t="s">
        <v>228</v>
      </c>
      <c r="CB42" s="0" t="s">
        <v>228</v>
      </c>
      <c r="CC42" s="0" t="s">
        <v>228</v>
      </c>
      <c r="CD42" s="0" t="s">
        <v>228</v>
      </c>
      <c r="CE42" s="0" t="s">
        <v>228</v>
      </c>
      <c r="CF42" s="0" t="s">
        <v>228</v>
      </c>
      <c r="CG42" s="0" t="s">
        <v>228</v>
      </c>
      <c r="CH42" s="0" t="s">
        <v>228</v>
      </c>
      <c r="CI42" s="0" t="s">
        <v>228</v>
      </c>
      <c r="CJ42" s="0" t="s">
        <v>228</v>
      </c>
      <c r="CK42" s="0" t="s">
        <v>228</v>
      </c>
      <c r="CL42" s="0" t="s">
        <v>228</v>
      </c>
      <c r="CM42" s="0" t="s">
        <v>228</v>
      </c>
      <c r="CN42" s="0" t="s">
        <v>228</v>
      </c>
      <c r="CO42" s="0" t="s">
        <v>228</v>
      </c>
      <c r="CP42" s="0" t="s">
        <v>228</v>
      </c>
      <c r="CQ42" s="0" t="s">
        <v>228</v>
      </c>
      <c r="CR42" s="0" t="s">
        <v>228</v>
      </c>
      <c r="CS42" s="0" t="s">
        <v>228</v>
      </c>
      <c r="CT42" s="0" t="s">
        <v>3568</v>
      </c>
      <c r="CU42" s="0" t="s">
        <v>3569</v>
      </c>
      <c r="CV42" s="0" t="s">
        <v>418</v>
      </c>
      <c r="CW42" s="0" t="s">
        <v>3622</v>
      </c>
      <c r="CX42" s="0" t="s">
        <v>419</v>
      </c>
      <c r="CY42" s="0" t="s">
        <v>418</v>
      </c>
      <c r="CZ42" s="0" t="s">
        <v>3623</v>
      </c>
      <c r="DA42" s="0" t="s">
        <v>3624</v>
      </c>
      <c r="DB42" s="0" t="s">
        <v>3622</v>
      </c>
      <c r="DC42" s="0" t="s">
        <v>362</v>
      </c>
      <c r="DD42" s="0" t="s">
        <v>3572</v>
      </c>
      <c r="DE42" s="0" t="s">
        <v>3846</v>
      </c>
    </row>
    <row customHeight="1" ht="11.25">
      <c r="A43" s="1353" t="s">
        <v>228</v>
      </c>
      <c r="B43" s="0" t="s">
        <v>228</v>
      </c>
      <c r="C43" s="0" t="s">
        <v>228</v>
      </c>
      <c r="D43" s="0" t="s">
        <v>228</v>
      </c>
      <c r="E43" s="0" t="s">
        <v>228</v>
      </c>
      <c r="F43" s="0" t="s">
        <v>228</v>
      </c>
      <c r="G43" s="0" t="s">
        <v>228</v>
      </c>
      <c r="H43" s="0" t="s">
        <v>228</v>
      </c>
      <c r="I43" s="0" t="s">
        <v>3555</v>
      </c>
      <c r="J43" s="0" t="s">
        <v>228</v>
      </c>
      <c r="K43" s="0" t="s">
        <v>228</v>
      </c>
      <c r="L43" s="0" t="s">
        <v>228</v>
      </c>
      <c r="M43" s="0" t="s">
        <v>228</v>
      </c>
      <c r="N43" s="0" t="s">
        <v>228</v>
      </c>
      <c r="O43" s="0" t="s">
        <v>228</v>
      </c>
      <c r="P43" s="0" t="s">
        <v>228</v>
      </c>
      <c r="Q43" s="0" t="s">
        <v>228</v>
      </c>
      <c r="R43" s="0" t="s">
        <v>3847</v>
      </c>
      <c r="S43" s="0" t="s">
        <v>228</v>
      </c>
      <c r="T43" s="0" t="s">
        <v>228</v>
      </c>
      <c r="U43" s="0" t="s">
        <v>101</v>
      </c>
      <c r="V43" s="0" t="s">
        <v>228</v>
      </c>
      <c r="W43" s="0" t="s">
        <v>228</v>
      </c>
      <c r="X43" s="0" t="s">
        <v>3557</v>
      </c>
      <c r="Y43" s="0" t="s">
        <v>228</v>
      </c>
      <c r="Z43" s="0" t="s">
        <v>160</v>
      </c>
      <c r="AA43" s="0" t="s">
        <v>151</v>
      </c>
      <c r="AB43" s="0" t="s">
        <v>151</v>
      </c>
      <c r="AC43" s="0" t="s">
        <v>2317</v>
      </c>
      <c r="AD43" s="0" t="s">
        <v>2317</v>
      </c>
      <c r="AE43" s="0" t="s">
        <v>2318</v>
      </c>
      <c r="AF43" s="0" t="s">
        <v>3826</v>
      </c>
      <c r="AG43" s="0" t="s">
        <v>3827</v>
      </c>
      <c r="AH43" s="0" t="s">
        <v>3844</v>
      </c>
      <c r="AI43" s="0" t="s">
        <v>3651</v>
      </c>
      <c r="AJ43" s="0" t="s">
        <v>3654</v>
      </c>
      <c r="AK43" s="0" t="s">
        <v>3620</v>
      </c>
      <c r="AL43" s="0" t="s">
        <v>3581</v>
      </c>
      <c r="AM43" s="0" t="s">
        <v>3565</v>
      </c>
      <c r="AN43" s="0" t="s">
        <v>3620</v>
      </c>
      <c r="AO43" s="0" t="s">
        <v>3845</v>
      </c>
      <c r="AP43" s="0" t="s">
        <v>228</v>
      </c>
      <c r="AQ43" s="0" t="s">
        <v>228</v>
      </c>
      <c r="AR43" s="0" t="s">
        <v>228</v>
      </c>
      <c r="AS43" s="0" t="s">
        <v>228</v>
      </c>
      <c r="AT43" s="0" t="s">
        <v>228</v>
      </c>
      <c r="AU43" s="0" t="s">
        <v>228</v>
      </c>
      <c r="AV43" s="0" t="s">
        <v>228</v>
      </c>
      <c r="AW43" s="0" t="s">
        <v>228</v>
      </c>
      <c r="AX43" s="0" t="s">
        <v>228</v>
      </c>
      <c r="AY43" s="0" t="s">
        <v>228</v>
      </c>
      <c r="AZ43" s="0" t="s">
        <v>228</v>
      </c>
      <c r="BA43" s="0" t="s">
        <v>228</v>
      </c>
      <c r="BB43" s="0" t="s">
        <v>228</v>
      </c>
      <c r="BC43" s="0" t="s">
        <v>228</v>
      </c>
      <c r="BD43" s="0" t="s">
        <v>228</v>
      </c>
      <c r="BE43" s="0" t="s">
        <v>228</v>
      </c>
      <c r="BF43" s="0" t="s">
        <v>228</v>
      </c>
      <c r="BG43" s="0" t="s">
        <v>228</v>
      </c>
      <c r="BH43" s="0" t="s">
        <v>228</v>
      </c>
      <c r="BI43" s="0" t="s">
        <v>228</v>
      </c>
      <c r="BJ43" s="0" t="s">
        <v>228</v>
      </c>
      <c r="BK43" s="0" t="s">
        <v>228</v>
      </c>
      <c r="BL43" s="0" t="s">
        <v>228</v>
      </c>
      <c r="BM43" s="0" t="s">
        <v>228</v>
      </c>
      <c r="BN43" s="0" t="s">
        <v>228</v>
      </c>
      <c r="BO43" s="0" t="s">
        <v>228</v>
      </c>
      <c r="BP43" s="0" t="s">
        <v>228</v>
      </c>
      <c r="BQ43" s="0" t="s">
        <v>228</v>
      </c>
      <c r="BR43" s="0" t="s">
        <v>228</v>
      </c>
      <c r="BS43" s="0" t="s">
        <v>228</v>
      </c>
      <c r="BT43" s="0" t="s">
        <v>228</v>
      </c>
      <c r="BU43" s="0" t="s">
        <v>228</v>
      </c>
      <c r="BV43" s="0" t="s">
        <v>228</v>
      </c>
      <c r="BW43" s="0" t="s">
        <v>228</v>
      </c>
      <c r="BX43" s="0" t="s">
        <v>228</v>
      </c>
      <c r="BY43" s="0" t="s">
        <v>228</v>
      </c>
      <c r="BZ43" s="0" t="s">
        <v>228</v>
      </c>
      <c r="CA43" s="0" t="s">
        <v>228</v>
      </c>
      <c r="CB43" s="0" t="s">
        <v>228</v>
      </c>
      <c r="CC43" s="0" t="s">
        <v>228</v>
      </c>
      <c r="CD43" s="0" t="s">
        <v>228</v>
      </c>
      <c r="CE43" s="0" t="s">
        <v>228</v>
      </c>
      <c r="CF43" s="0" t="s">
        <v>228</v>
      </c>
      <c r="CG43" s="0" t="s">
        <v>228</v>
      </c>
      <c r="CH43" s="0" t="s">
        <v>228</v>
      </c>
      <c r="CI43" s="0" t="s">
        <v>228</v>
      </c>
      <c r="CJ43" s="0" t="s">
        <v>228</v>
      </c>
      <c r="CK43" s="0" t="s">
        <v>228</v>
      </c>
      <c r="CL43" s="0" t="s">
        <v>228</v>
      </c>
      <c r="CM43" s="0" t="s">
        <v>228</v>
      </c>
      <c r="CN43" s="0" t="s">
        <v>228</v>
      </c>
      <c r="CO43" s="0" t="s">
        <v>228</v>
      </c>
      <c r="CP43" s="0" t="s">
        <v>228</v>
      </c>
      <c r="CQ43" s="0" t="s">
        <v>228</v>
      </c>
      <c r="CR43" s="0" t="s">
        <v>228</v>
      </c>
      <c r="CS43" s="0" t="s">
        <v>228</v>
      </c>
      <c r="CT43" s="0" t="s">
        <v>3568</v>
      </c>
      <c r="CU43" s="0" t="s">
        <v>3569</v>
      </c>
      <c r="CV43" s="0" t="s">
        <v>418</v>
      </c>
      <c r="CW43" s="0" t="s">
        <v>3622</v>
      </c>
      <c r="CX43" s="0" t="s">
        <v>419</v>
      </c>
      <c r="CY43" s="0" t="s">
        <v>418</v>
      </c>
      <c r="CZ43" s="0" t="s">
        <v>3623</v>
      </c>
      <c r="DA43" s="0" t="s">
        <v>3624</v>
      </c>
      <c r="DB43" s="0" t="s">
        <v>3622</v>
      </c>
      <c r="DC43" s="0" t="s">
        <v>362</v>
      </c>
      <c r="DD43" s="0" t="s">
        <v>3572</v>
      </c>
      <c r="DE43" s="0" t="s">
        <v>3846</v>
      </c>
    </row>
    <row customHeight="1" ht="11.25">
      <c r="A44" s="1353" t="s">
        <v>228</v>
      </c>
      <c r="B44" s="0" t="s">
        <v>228</v>
      </c>
      <c r="C44" s="0" t="s">
        <v>228</v>
      </c>
      <c r="D44" s="0" t="s">
        <v>228</v>
      </c>
      <c r="E44" s="0" t="s">
        <v>228</v>
      </c>
      <c r="F44" s="0" t="s">
        <v>228</v>
      </c>
      <c r="G44" s="0" t="s">
        <v>228</v>
      </c>
      <c r="H44" s="0" t="s">
        <v>228</v>
      </c>
      <c r="I44" s="0" t="s">
        <v>3555</v>
      </c>
      <c r="J44" s="0" t="s">
        <v>228</v>
      </c>
      <c r="K44" s="0" t="s">
        <v>228</v>
      </c>
      <c r="L44" s="0" t="s">
        <v>228</v>
      </c>
      <c r="M44" s="0" t="s">
        <v>228</v>
      </c>
      <c r="N44" s="0" t="s">
        <v>228</v>
      </c>
      <c r="O44" s="0" t="s">
        <v>228</v>
      </c>
      <c r="P44" s="0" t="s">
        <v>228</v>
      </c>
      <c r="Q44" s="0" t="s">
        <v>228</v>
      </c>
      <c r="R44" s="0" t="s">
        <v>3848</v>
      </c>
      <c r="S44" s="0" t="s">
        <v>228</v>
      </c>
      <c r="T44" s="0" t="s">
        <v>228</v>
      </c>
      <c r="U44" s="0" t="s">
        <v>101</v>
      </c>
      <c r="V44" s="0" t="s">
        <v>228</v>
      </c>
      <c r="W44" s="0" t="s">
        <v>228</v>
      </c>
      <c r="X44" s="0" t="s">
        <v>3557</v>
      </c>
      <c r="Y44" s="0" t="s">
        <v>228</v>
      </c>
      <c r="Z44" s="0" t="s">
        <v>160</v>
      </c>
      <c r="AA44" s="0" t="s">
        <v>151</v>
      </c>
      <c r="AB44" s="0" t="s">
        <v>151</v>
      </c>
      <c r="AC44" s="0" t="s">
        <v>2317</v>
      </c>
      <c r="AD44" s="0" t="s">
        <v>2317</v>
      </c>
      <c r="AE44" s="0" t="s">
        <v>2318</v>
      </c>
      <c r="AF44" s="0" t="s">
        <v>3849</v>
      </c>
      <c r="AG44" s="0" t="s">
        <v>3850</v>
      </c>
      <c r="AH44" s="0" t="s">
        <v>3851</v>
      </c>
      <c r="AI44" s="0" t="s">
        <v>3852</v>
      </c>
      <c r="AJ44" s="0" t="s">
        <v>3579</v>
      </c>
      <c r="AK44" s="0" t="s">
        <v>3853</v>
      </c>
      <c r="AL44" s="0" t="s">
        <v>3581</v>
      </c>
      <c r="AM44" s="0" t="s">
        <v>3565</v>
      </c>
      <c r="AN44" s="0" t="s">
        <v>3620</v>
      </c>
      <c r="AO44" s="0" t="s">
        <v>3854</v>
      </c>
      <c r="AP44" s="0" t="s">
        <v>228</v>
      </c>
      <c r="AQ44" s="0" t="s">
        <v>228</v>
      </c>
      <c r="AR44" s="0" t="s">
        <v>228</v>
      </c>
      <c r="AS44" s="0" t="s">
        <v>228</v>
      </c>
      <c r="AT44" s="0" t="s">
        <v>228</v>
      </c>
      <c r="AU44" s="0" t="s">
        <v>228</v>
      </c>
      <c r="AV44" s="0" t="s">
        <v>228</v>
      </c>
      <c r="AW44" s="0" t="s">
        <v>228</v>
      </c>
      <c r="AX44" s="0" t="s">
        <v>228</v>
      </c>
      <c r="AY44" s="0" t="s">
        <v>228</v>
      </c>
      <c r="AZ44" s="0" t="s">
        <v>228</v>
      </c>
      <c r="BA44" s="0" t="s">
        <v>228</v>
      </c>
      <c r="BB44" s="0" t="s">
        <v>228</v>
      </c>
      <c r="BC44" s="0" t="s">
        <v>228</v>
      </c>
      <c r="BD44" s="0" t="s">
        <v>228</v>
      </c>
      <c r="BE44" s="0" t="s">
        <v>228</v>
      </c>
      <c r="BF44" s="0" t="s">
        <v>228</v>
      </c>
      <c r="BG44" s="0" t="s">
        <v>228</v>
      </c>
      <c r="BH44" s="0" t="s">
        <v>228</v>
      </c>
      <c r="BI44" s="0" t="s">
        <v>228</v>
      </c>
      <c r="BJ44" s="0" t="s">
        <v>228</v>
      </c>
      <c r="BK44" s="0" t="s">
        <v>228</v>
      </c>
      <c r="BL44" s="0" t="s">
        <v>228</v>
      </c>
      <c r="BM44" s="0" t="s">
        <v>228</v>
      </c>
      <c r="BN44" s="0" t="s">
        <v>228</v>
      </c>
      <c r="BO44" s="0" t="s">
        <v>228</v>
      </c>
      <c r="BP44" s="0" t="s">
        <v>228</v>
      </c>
      <c r="BQ44" s="0" t="s">
        <v>228</v>
      </c>
      <c r="BR44" s="0" t="s">
        <v>228</v>
      </c>
      <c r="BS44" s="0" t="s">
        <v>228</v>
      </c>
      <c r="BT44" s="0" t="s">
        <v>228</v>
      </c>
      <c r="BU44" s="0" t="s">
        <v>228</v>
      </c>
      <c r="BV44" s="0" t="s">
        <v>228</v>
      </c>
      <c r="BW44" s="0" t="s">
        <v>228</v>
      </c>
      <c r="BX44" s="0" t="s">
        <v>228</v>
      </c>
      <c r="BY44" s="0" t="s">
        <v>228</v>
      </c>
      <c r="BZ44" s="0" t="s">
        <v>228</v>
      </c>
      <c r="CA44" s="0" t="s">
        <v>228</v>
      </c>
      <c r="CB44" s="0" t="s">
        <v>228</v>
      </c>
      <c r="CC44" s="0" t="s">
        <v>228</v>
      </c>
      <c r="CD44" s="0" t="s">
        <v>228</v>
      </c>
      <c r="CE44" s="0" t="s">
        <v>228</v>
      </c>
      <c r="CF44" s="0" t="s">
        <v>228</v>
      </c>
      <c r="CG44" s="0" t="s">
        <v>228</v>
      </c>
      <c r="CH44" s="0" t="s">
        <v>228</v>
      </c>
      <c r="CI44" s="0" t="s">
        <v>228</v>
      </c>
      <c r="CJ44" s="0" t="s">
        <v>228</v>
      </c>
      <c r="CK44" s="0" t="s">
        <v>228</v>
      </c>
      <c r="CL44" s="0" t="s">
        <v>228</v>
      </c>
      <c r="CM44" s="0" t="s">
        <v>228</v>
      </c>
      <c r="CN44" s="0" t="s">
        <v>228</v>
      </c>
      <c r="CO44" s="0" t="s">
        <v>228</v>
      </c>
      <c r="CP44" s="0" t="s">
        <v>228</v>
      </c>
      <c r="CQ44" s="0" t="s">
        <v>228</v>
      </c>
      <c r="CR44" s="0" t="s">
        <v>228</v>
      </c>
      <c r="CS44" s="0" t="s">
        <v>228</v>
      </c>
      <c r="CT44" s="0" t="s">
        <v>3568</v>
      </c>
      <c r="CU44" s="0" t="s">
        <v>3569</v>
      </c>
      <c r="CV44" s="0" t="s">
        <v>418</v>
      </c>
      <c r="CW44" s="0" t="s">
        <v>3622</v>
      </c>
      <c r="CX44" s="0" t="s">
        <v>419</v>
      </c>
      <c r="CY44" s="0" t="s">
        <v>418</v>
      </c>
      <c r="CZ44" s="0" t="s">
        <v>3623</v>
      </c>
      <c r="DA44" s="0" t="s">
        <v>3624</v>
      </c>
      <c r="DB44" s="0" t="s">
        <v>3622</v>
      </c>
      <c r="DC44" s="0" t="s">
        <v>362</v>
      </c>
      <c r="DD44" s="0" t="s">
        <v>3572</v>
      </c>
      <c r="DE44" s="0" t="s">
        <v>3855</v>
      </c>
    </row>
    <row customHeight="1" ht="11.25">
      <c r="A45" s="1353" t="s">
        <v>228</v>
      </c>
      <c r="B45" s="0" t="s">
        <v>228</v>
      </c>
      <c r="C45" s="0" t="s">
        <v>228</v>
      </c>
      <c r="D45" s="0" t="s">
        <v>228</v>
      </c>
      <c r="E45" s="0" t="s">
        <v>228</v>
      </c>
      <c r="F45" s="0" t="s">
        <v>228</v>
      </c>
      <c r="G45" s="0" t="s">
        <v>228</v>
      </c>
      <c r="H45" s="0" t="s">
        <v>228</v>
      </c>
      <c r="I45" s="0" t="s">
        <v>3555</v>
      </c>
      <c r="J45" s="0" t="s">
        <v>228</v>
      </c>
      <c r="K45" s="0" t="s">
        <v>228</v>
      </c>
      <c r="L45" s="0" t="s">
        <v>228</v>
      </c>
      <c r="M45" s="0" t="s">
        <v>228</v>
      </c>
      <c r="N45" s="0" t="s">
        <v>228</v>
      </c>
      <c r="O45" s="0" t="s">
        <v>228</v>
      </c>
      <c r="P45" s="0" t="s">
        <v>228</v>
      </c>
      <c r="Q45" s="0" t="s">
        <v>228</v>
      </c>
      <c r="R45" s="0" t="s">
        <v>3856</v>
      </c>
      <c r="S45" s="0" t="s">
        <v>228</v>
      </c>
      <c r="T45" s="0" t="s">
        <v>228</v>
      </c>
      <c r="U45" s="0" t="s">
        <v>101</v>
      </c>
      <c r="V45" s="0" t="s">
        <v>228</v>
      </c>
      <c r="W45" s="0" t="s">
        <v>228</v>
      </c>
      <c r="X45" s="0" t="s">
        <v>3557</v>
      </c>
      <c r="Y45" s="0" t="s">
        <v>228</v>
      </c>
      <c r="Z45" s="0" t="s">
        <v>160</v>
      </c>
      <c r="AA45" s="0" t="s">
        <v>151</v>
      </c>
      <c r="AB45" s="0" t="s">
        <v>151</v>
      </c>
      <c r="AC45" s="0" t="s">
        <v>2715</v>
      </c>
      <c r="AD45" s="0" t="s">
        <v>2715</v>
      </c>
      <c r="AE45" s="0" t="s">
        <v>2716</v>
      </c>
      <c r="AF45" s="0" t="s">
        <v>3594</v>
      </c>
      <c r="AG45" s="0" t="s">
        <v>3595</v>
      </c>
      <c r="AH45" s="0" t="s">
        <v>3857</v>
      </c>
      <c r="AI45" s="0" t="s">
        <v>3608</v>
      </c>
      <c r="AJ45" s="0" t="s">
        <v>3858</v>
      </c>
      <c r="AK45" s="0" t="s">
        <v>3859</v>
      </c>
      <c r="AL45" s="0" t="s">
        <v>3599</v>
      </c>
      <c r="AM45" s="0" t="s">
        <v>3565</v>
      </c>
      <c r="AN45" s="0" t="s">
        <v>3600</v>
      </c>
      <c r="AO45" s="0" t="s">
        <v>3601</v>
      </c>
      <c r="AP45" s="0" t="s">
        <v>228</v>
      </c>
      <c r="AQ45" s="0" t="s">
        <v>228</v>
      </c>
      <c r="AR45" s="0" t="s">
        <v>228</v>
      </c>
      <c r="AS45" s="0" t="s">
        <v>228</v>
      </c>
      <c r="AT45" s="0" t="s">
        <v>228</v>
      </c>
      <c r="AU45" s="0" t="s">
        <v>228</v>
      </c>
      <c r="AV45" s="0" t="s">
        <v>228</v>
      </c>
      <c r="AW45" s="0" t="s">
        <v>228</v>
      </c>
      <c r="AX45" s="0" t="s">
        <v>228</v>
      </c>
      <c r="AY45" s="0" t="s">
        <v>228</v>
      </c>
      <c r="AZ45" s="0" t="s">
        <v>228</v>
      </c>
      <c r="BA45" s="0" t="s">
        <v>228</v>
      </c>
      <c r="BB45" s="0" t="s">
        <v>228</v>
      </c>
      <c r="BC45" s="0" t="s">
        <v>228</v>
      </c>
      <c r="BD45" s="0" t="s">
        <v>228</v>
      </c>
      <c r="BE45" s="0" t="s">
        <v>228</v>
      </c>
      <c r="BF45" s="0" t="s">
        <v>228</v>
      </c>
      <c r="BG45" s="0" t="s">
        <v>228</v>
      </c>
      <c r="BH45" s="0" t="s">
        <v>228</v>
      </c>
      <c r="BI45" s="0" t="s">
        <v>228</v>
      </c>
      <c r="BJ45" s="0" t="s">
        <v>228</v>
      </c>
      <c r="BK45" s="0" t="s">
        <v>228</v>
      </c>
      <c r="BL45" s="0" t="s">
        <v>228</v>
      </c>
      <c r="BM45" s="0" t="s">
        <v>228</v>
      </c>
      <c r="BN45" s="0" t="s">
        <v>228</v>
      </c>
      <c r="BO45" s="0" t="s">
        <v>228</v>
      </c>
      <c r="BP45" s="0" t="s">
        <v>228</v>
      </c>
      <c r="BQ45" s="0" t="s">
        <v>228</v>
      </c>
      <c r="BR45" s="0" t="s">
        <v>228</v>
      </c>
      <c r="BS45" s="0" t="s">
        <v>228</v>
      </c>
      <c r="BT45" s="0" t="s">
        <v>228</v>
      </c>
      <c r="BU45" s="0" t="s">
        <v>228</v>
      </c>
      <c r="BV45" s="0" t="s">
        <v>228</v>
      </c>
      <c r="BW45" s="0" t="s">
        <v>228</v>
      </c>
      <c r="BX45" s="0" t="s">
        <v>228</v>
      </c>
      <c r="BY45" s="0" t="s">
        <v>228</v>
      </c>
      <c r="BZ45" s="0" t="s">
        <v>228</v>
      </c>
      <c r="CA45" s="0" t="s">
        <v>228</v>
      </c>
      <c r="CB45" s="0" t="s">
        <v>228</v>
      </c>
      <c r="CC45" s="0" t="s">
        <v>228</v>
      </c>
      <c r="CD45" s="0" t="s">
        <v>228</v>
      </c>
      <c r="CE45" s="0" t="s">
        <v>228</v>
      </c>
      <c r="CF45" s="0" t="s">
        <v>228</v>
      </c>
      <c r="CG45" s="0" t="s">
        <v>228</v>
      </c>
      <c r="CH45" s="0" t="s">
        <v>228</v>
      </c>
      <c r="CI45" s="0" t="s">
        <v>228</v>
      </c>
      <c r="CJ45" s="0" t="s">
        <v>228</v>
      </c>
      <c r="CK45" s="0" t="s">
        <v>228</v>
      </c>
      <c r="CL45" s="0" t="s">
        <v>228</v>
      </c>
      <c r="CM45" s="0" t="s">
        <v>228</v>
      </c>
      <c r="CN45" s="0" t="s">
        <v>228</v>
      </c>
      <c r="CO45" s="0" t="s">
        <v>228</v>
      </c>
      <c r="CP45" s="0" t="s">
        <v>228</v>
      </c>
      <c r="CQ45" s="0" t="s">
        <v>228</v>
      </c>
      <c r="CR45" s="0" t="s">
        <v>228</v>
      </c>
      <c r="CS45" s="0" t="s">
        <v>228</v>
      </c>
      <c r="CT45" s="0" t="s">
        <v>3568</v>
      </c>
      <c r="CU45" s="0" t="s">
        <v>3569</v>
      </c>
      <c r="CV45" s="0" t="s">
        <v>418</v>
      </c>
      <c r="CW45" s="0" t="s">
        <v>3602</v>
      </c>
      <c r="CX45" s="0" t="s">
        <v>3603</v>
      </c>
      <c r="CY45" s="0" t="s">
        <v>418</v>
      </c>
      <c r="CZ45" s="0" t="s">
        <v>504</v>
      </c>
      <c r="DA45" s="0" t="s">
        <v>3604</v>
      </c>
      <c r="DB45" s="0" t="s">
        <v>3602</v>
      </c>
      <c r="DC45" s="0" t="s">
        <v>362</v>
      </c>
      <c r="DD45" s="0" t="s">
        <v>3572</v>
      </c>
      <c r="DE45" s="0" t="s">
        <v>3860</v>
      </c>
    </row>
    <row customHeight="1" ht="11.25">
      <c r="A46" s="1353" t="s">
        <v>228</v>
      </c>
      <c r="B46" s="0" t="s">
        <v>228</v>
      </c>
      <c r="C46" s="0" t="s">
        <v>228</v>
      </c>
      <c r="D46" s="0" t="s">
        <v>228</v>
      </c>
      <c r="E46" s="0" t="s">
        <v>228</v>
      </c>
      <c r="F46" s="0" t="s">
        <v>228</v>
      </c>
      <c r="G46" s="0" t="s">
        <v>228</v>
      </c>
      <c r="H46" s="0" t="s">
        <v>228</v>
      </c>
      <c r="I46" s="0" t="s">
        <v>3555</v>
      </c>
      <c r="J46" s="0" t="s">
        <v>228</v>
      </c>
      <c r="K46" s="0" t="s">
        <v>228</v>
      </c>
      <c r="L46" s="0" t="s">
        <v>228</v>
      </c>
      <c r="M46" s="0" t="s">
        <v>228</v>
      </c>
      <c r="N46" s="0" t="s">
        <v>228</v>
      </c>
      <c r="O46" s="0" t="s">
        <v>228</v>
      </c>
      <c r="P46" s="0" t="s">
        <v>228</v>
      </c>
      <c r="Q46" s="0" t="s">
        <v>228</v>
      </c>
      <c r="R46" s="0" t="s">
        <v>3861</v>
      </c>
      <c r="S46" s="0" t="s">
        <v>228</v>
      </c>
      <c r="T46" s="0" t="s">
        <v>228</v>
      </c>
      <c r="U46" s="0" t="s">
        <v>101</v>
      </c>
      <c r="V46" s="0" t="s">
        <v>228</v>
      </c>
      <c r="W46" s="0" t="s">
        <v>228</v>
      </c>
      <c r="X46" s="0" t="s">
        <v>3557</v>
      </c>
      <c r="Y46" s="0" t="s">
        <v>228</v>
      </c>
      <c r="Z46" s="0" t="s">
        <v>160</v>
      </c>
      <c r="AA46" s="0" t="s">
        <v>151</v>
      </c>
      <c r="AB46" s="0" t="s">
        <v>151</v>
      </c>
      <c r="AC46" s="0" t="s">
        <v>2317</v>
      </c>
      <c r="AD46" s="0" t="s">
        <v>2317</v>
      </c>
      <c r="AE46" s="0" t="s">
        <v>2318</v>
      </c>
      <c r="AF46" s="0" t="s">
        <v>3849</v>
      </c>
      <c r="AG46" s="0" t="s">
        <v>3850</v>
      </c>
      <c r="AH46" s="0" t="s">
        <v>3851</v>
      </c>
      <c r="AI46" s="0" t="s">
        <v>3862</v>
      </c>
      <c r="AJ46" s="0" t="s">
        <v>3579</v>
      </c>
      <c r="AK46" s="0" t="s">
        <v>3853</v>
      </c>
      <c r="AL46" s="0" t="s">
        <v>3581</v>
      </c>
      <c r="AM46" s="0" t="s">
        <v>3565</v>
      </c>
      <c r="AN46" s="0" t="s">
        <v>3628</v>
      </c>
      <c r="AO46" s="0" t="s">
        <v>3863</v>
      </c>
      <c r="AP46" s="0" t="s">
        <v>228</v>
      </c>
      <c r="AQ46" s="0" t="s">
        <v>228</v>
      </c>
      <c r="AR46" s="0" t="s">
        <v>228</v>
      </c>
      <c r="AS46" s="0" t="s">
        <v>228</v>
      </c>
      <c r="AT46" s="0" t="s">
        <v>228</v>
      </c>
      <c r="AU46" s="0" t="s">
        <v>228</v>
      </c>
      <c r="AV46" s="0" t="s">
        <v>228</v>
      </c>
      <c r="AW46" s="0" t="s">
        <v>228</v>
      </c>
      <c r="AX46" s="0" t="s">
        <v>228</v>
      </c>
      <c r="AY46" s="0" t="s">
        <v>228</v>
      </c>
      <c r="AZ46" s="0" t="s">
        <v>228</v>
      </c>
      <c r="BA46" s="0" t="s">
        <v>228</v>
      </c>
      <c r="BB46" s="0" t="s">
        <v>228</v>
      </c>
      <c r="BC46" s="0" t="s">
        <v>228</v>
      </c>
      <c r="BD46" s="0" t="s">
        <v>228</v>
      </c>
      <c r="BE46" s="0" t="s">
        <v>228</v>
      </c>
      <c r="BF46" s="0" t="s">
        <v>228</v>
      </c>
      <c r="BG46" s="0" t="s">
        <v>228</v>
      </c>
      <c r="BH46" s="0" t="s">
        <v>228</v>
      </c>
      <c r="BI46" s="0" t="s">
        <v>228</v>
      </c>
      <c r="BJ46" s="0" t="s">
        <v>228</v>
      </c>
      <c r="BK46" s="0" t="s">
        <v>228</v>
      </c>
      <c r="BL46" s="0" t="s">
        <v>228</v>
      </c>
      <c r="BM46" s="0" t="s">
        <v>228</v>
      </c>
      <c r="BN46" s="0" t="s">
        <v>228</v>
      </c>
      <c r="BO46" s="0" t="s">
        <v>228</v>
      </c>
      <c r="BP46" s="0" t="s">
        <v>228</v>
      </c>
      <c r="BQ46" s="0" t="s">
        <v>228</v>
      </c>
      <c r="BR46" s="0" t="s">
        <v>228</v>
      </c>
      <c r="BS46" s="0" t="s">
        <v>228</v>
      </c>
      <c r="BT46" s="0" t="s">
        <v>228</v>
      </c>
      <c r="BU46" s="0" t="s">
        <v>228</v>
      </c>
      <c r="BV46" s="0" t="s">
        <v>228</v>
      </c>
      <c r="BW46" s="0" t="s">
        <v>228</v>
      </c>
      <c r="BX46" s="0" t="s">
        <v>228</v>
      </c>
      <c r="BY46" s="0" t="s">
        <v>228</v>
      </c>
      <c r="BZ46" s="0" t="s">
        <v>228</v>
      </c>
      <c r="CA46" s="0" t="s">
        <v>228</v>
      </c>
      <c r="CB46" s="0" t="s">
        <v>228</v>
      </c>
      <c r="CC46" s="0" t="s">
        <v>228</v>
      </c>
      <c r="CD46" s="0" t="s">
        <v>228</v>
      </c>
      <c r="CE46" s="0" t="s">
        <v>228</v>
      </c>
      <c r="CF46" s="0" t="s">
        <v>228</v>
      </c>
      <c r="CG46" s="0" t="s">
        <v>228</v>
      </c>
      <c r="CH46" s="0" t="s">
        <v>228</v>
      </c>
      <c r="CI46" s="0" t="s">
        <v>228</v>
      </c>
      <c r="CJ46" s="0" t="s">
        <v>228</v>
      </c>
      <c r="CK46" s="0" t="s">
        <v>228</v>
      </c>
      <c r="CL46" s="0" t="s">
        <v>228</v>
      </c>
      <c r="CM46" s="0" t="s">
        <v>228</v>
      </c>
      <c r="CN46" s="0" t="s">
        <v>228</v>
      </c>
      <c r="CO46" s="0" t="s">
        <v>228</v>
      </c>
      <c r="CP46" s="0" t="s">
        <v>228</v>
      </c>
      <c r="CQ46" s="0" t="s">
        <v>228</v>
      </c>
      <c r="CR46" s="0" t="s">
        <v>228</v>
      </c>
      <c r="CS46" s="0" t="s">
        <v>228</v>
      </c>
      <c r="CT46" s="0" t="s">
        <v>3568</v>
      </c>
      <c r="CU46" s="0" t="s">
        <v>3864</v>
      </c>
      <c r="CV46" s="0" t="s">
        <v>418</v>
      </c>
      <c r="CW46" s="0" t="s">
        <v>3622</v>
      </c>
      <c r="CX46" s="0" t="s">
        <v>419</v>
      </c>
      <c r="CY46" s="0" t="s">
        <v>418</v>
      </c>
      <c r="CZ46" s="0" t="s">
        <v>3623</v>
      </c>
      <c r="DA46" s="0" t="s">
        <v>3624</v>
      </c>
      <c r="DB46" s="0" t="s">
        <v>3622</v>
      </c>
      <c r="DC46" s="0" t="s">
        <v>362</v>
      </c>
      <c r="DD46" s="0" t="s">
        <v>3572</v>
      </c>
      <c r="DE46" s="0" t="s">
        <v>3865</v>
      </c>
    </row>
    <row customHeight="1" ht="11.25">
      <c r="A47" s="1353" t="s">
        <v>228</v>
      </c>
      <c r="B47" s="0" t="s">
        <v>228</v>
      </c>
      <c r="C47" s="0" t="s">
        <v>228</v>
      </c>
      <c r="D47" s="0" t="s">
        <v>228</v>
      </c>
      <c r="E47" s="0" t="s">
        <v>228</v>
      </c>
      <c r="F47" s="0" t="s">
        <v>228</v>
      </c>
      <c r="G47" s="0" t="s">
        <v>228</v>
      </c>
      <c r="H47" s="0" t="s">
        <v>228</v>
      </c>
      <c r="I47" s="0" t="s">
        <v>3555</v>
      </c>
      <c r="J47" s="0" t="s">
        <v>228</v>
      </c>
      <c r="K47" s="0" t="s">
        <v>228</v>
      </c>
      <c r="L47" s="0" t="s">
        <v>228</v>
      </c>
      <c r="M47" s="0" t="s">
        <v>228</v>
      </c>
      <c r="N47" s="0" t="s">
        <v>228</v>
      </c>
      <c r="O47" s="0" t="s">
        <v>228</v>
      </c>
      <c r="P47" s="0" t="s">
        <v>228</v>
      </c>
      <c r="Q47" s="0" t="s">
        <v>228</v>
      </c>
      <c r="R47" s="0" t="s">
        <v>3866</v>
      </c>
      <c r="S47" s="0" t="s">
        <v>228</v>
      </c>
      <c r="T47" s="0" t="s">
        <v>228</v>
      </c>
      <c r="U47" s="0" t="s">
        <v>101</v>
      </c>
      <c r="V47" s="0" t="s">
        <v>228</v>
      </c>
      <c r="W47" s="0" t="s">
        <v>228</v>
      </c>
      <c r="X47" s="0" t="s">
        <v>3557</v>
      </c>
      <c r="Y47" s="0" t="s">
        <v>228</v>
      </c>
      <c r="Z47" s="0" t="s">
        <v>160</v>
      </c>
      <c r="AA47" s="0" t="s">
        <v>151</v>
      </c>
      <c r="AB47" s="0" t="s">
        <v>151</v>
      </c>
      <c r="AC47" s="0" t="s">
        <v>2317</v>
      </c>
      <c r="AD47" s="0" t="s">
        <v>2317</v>
      </c>
      <c r="AE47" s="0" t="s">
        <v>2318</v>
      </c>
      <c r="AF47" s="0" t="s">
        <v>3768</v>
      </c>
      <c r="AG47" s="0" t="s">
        <v>3769</v>
      </c>
      <c r="AH47" s="0" t="s">
        <v>3867</v>
      </c>
      <c r="AI47" s="0" t="s">
        <v>3771</v>
      </c>
      <c r="AJ47" s="0" t="s">
        <v>3579</v>
      </c>
      <c r="AK47" s="0" t="s">
        <v>3808</v>
      </c>
      <c r="AL47" s="0" t="s">
        <v>3581</v>
      </c>
      <c r="AM47" s="0" t="s">
        <v>3565</v>
      </c>
      <c r="AN47" s="0" t="s">
        <v>3628</v>
      </c>
      <c r="AO47" s="0" t="s">
        <v>3868</v>
      </c>
      <c r="AP47" s="0" t="s">
        <v>228</v>
      </c>
      <c r="AQ47" s="0" t="s">
        <v>228</v>
      </c>
      <c r="AR47" s="0" t="s">
        <v>228</v>
      </c>
      <c r="AS47" s="0" t="s">
        <v>228</v>
      </c>
      <c r="AT47" s="0" t="s">
        <v>228</v>
      </c>
      <c r="AU47" s="0" t="s">
        <v>228</v>
      </c>
      <c r="AV47" s="0" t="s">
        <v>228</v>
      </c>
      <c r="AW47" s="0" t="s">
        <v>228</v>
      </c>
      <c r="AX47" s="0" t="s">
        <v>228</v>
      </c>
      <c r="AY47" s="0" t="s">
        <v>228</v>
      </c>
      <c r="AZ47" s="0" t="s">
        <v>228</v>
      </c>
      <c r="BA47" s="0" t="s">
        <v>228</v>
      </c>
      <c r="BB47" s="0" t="s">
        <v>228</v>
      </c>
      <c r="BC47" s="0" t="s">
        <v>228</v>
      </c>
      <c r="BD47" s="0" t="s">
        <v>228</v>
      </c>
      <c r="BE47" s="0" t="s">
        <v>228</v>
      </c>
      <c r="BF47" s="0" t="s">
        <v>228</v>
      </c>
      <c r="BG47" s="0" t="s">
        <v>228</v>
      </c>
      <c r="BH47" s="0" t="s">
        <v>228</v>
      </c>
      <c r="BI47" s="0" t="s">
        <v>228</v>
      </c>
      <c r="BJ47" s="0" t="s">
        <v>228</v>
      </c>
      <c r="BK47" s="0" t="s">
        <v>228</v>
      </c>
      <c r="BL47" s="0" t="s">
        <v>228</v>
      </c>
      <c r="BM47" s="0" t="s">
        <v>228</v>
      </c>
      <c r="BN47" s="0" t="s">
        <v>228</v>
      </c>
      <c r="BO47" s="0" t="s">
        <v>228</v>
      </c>
      <c r="BP47" s="0" t="s">
        <v>228</v>
      </c>
      <c r="BQ47" s="0" t="s">
        <v>228</v>
      </c>
      <c r="BR47" s="0" t="s">
        <v>228</v>
      </c>
      <c r="BS47" s="0" t="s">
        <v>228</v>
      </c>
      <c r="BT47" s="0" t="s">
        <v>228</v>
      </c>
      <c r="BU47" s="0" t="s">
        <v>228</v>
      </c>
      <c r="BV47" s="0" t="s">
        <v>228</v>
      </c>
      <c r="BW47" s="0" t="s">
        <v>228</v>
      </c>
      <c r="BX47" s="0" t="s">
        <v>228</v>
      </c>
      <c r="BY47" s="0" t="s">
        <v>228</v>
      </c>
      <c r="BZ47" s="0" t="s">
        <v>228</v>
      </c>
      <c r="CA47" s="0" t="s">
        <v>228</v>
      </c>
      <c r="CB47" s="0" t="s">
        <v>228</v>
      </c>
      <c r="CC47" s="0" t="s">
        <v>228</v>
      </c>
      <c r="CD47" s="0" t="s">
        <v>228</v>
      </c>
      <c r="CE47" s="0" t="s">
        <v>228</v>
      </c>
      <c r="CF47" s="0" t="s">
        <v>228</v>
      </c>
      <c r="CG47" s="0" t="s">
        <v>228</v>
      </c>
      <c r="CH47" s="0" t="s">
        <v>228</v>
      </c>
      <c r="CI47" s="0" t="s">
        <v>228</v>
      </c>
      <c r="CJ47" s="0" t="s">
        <v>228</v>
      </c>
      <c r="CK47" s="0" t="s">
        <v>228</v>
      </c>
      <c r="CL47" s="0" t="s">
        <v>228</v>
      </c>
      <c r="CM47" s="0" t="s">
        <v>228</v>
      </c>
      <c r="CN47" s="0" t="s">
        <v>228</v>
      </c>
      <c r="CO47" s="0" t="s">
        <v>228</v>
      </c>
      <c r="CP47" s="0" t="s">
        <v>228</v>
      </c>
      <c r="CQ47" s="0" t="s">
        <v>228</v>
      </c>
      <c r="CR47" s="0" t="s">
        <v>228</v>
      </c>
      <c r="CS47" s="0" t="s">
        <v>228</v>
      </c>
      <c r="CT47" s="0" t="s">
        <v>3568</v>
      </c>
      <c r="CU47" s="0" t="s">
        <v>3569</v>
      </c>
      <c r="CV47" s="0" t="s">
        <v>418</v>
      </c>
      <c r="CW47" s="0" t="s">
        <v>3622</v>
      </c>
      <c r="CX47" s="0" t="s">
        <v>419</v>
      </c>
      <c r="CY47" s="0" t="s">
        <v>418</v>
      </c>
      <c r="CZ47" s="0" t="s">
        <v>3623</v>
      </c>
      <c r="DA47" s="0" t="s">
        <v>3624</v>
      </c>
      <c r="DB47" s="0" t="s">
        <v>3622</v>
      </c>
      <c r="DC47" s="0" t="s">
        <v>362</v>
      </c>
      <c r="DD47" s="0" t="s">
        <v>3572</v>
      </c>
      <c r="DE47" s="0" t="s">
        <v>3869</v>
      </c>
    </row>
    <row customHeight="1" ht="11.25">
      <c r="A48" s="1353" t="s">
        <v>228</v>
      </c>
      <c r="B48" s="0" t="s">
        <v>228</v>
      </c>
      <c r="C48" s="0" t="s">
        <v>228</v>
      </c>
      <c r="D48" s="0" t="s">
        <v>228</v>
      </c>
      <c r="E48" s="0" t="s">
        <v>228</v>
      </c>
      <c r="F48" s="0" t="s">
        <v>228</v>
      </c>
      <c r="G48" s="0" t="s">
        <v>228</v>
      </c>
      <c r="H48" s="0" t="s">
        <v>228</v>
      </c>
      <c r="I48" s="0" t="s">
        <v>3555</v>
      </c>
      <c r="J48" s="0" t="s">
        <v>228</v>
      </c>
      <c r="K48" s="0" t="s">
        <v>228</v>
      </c>
      <c r="L48" s="0" t="s">
        <v>228</v>
      </c>
      <c r="M48" s="0" t="s">
        <v>228</v>
      </c>
      <c r="N48" s="0" t="s">
        <v>228</v>
      </c>
      <c r="O48" s="0" t="s">
        <v>228</v>
      </c>
      <c r="P48" s="0" t="s">
        <v>228</v>
      </c>
      <c r="Q48" s="0" t="s">
        <v>228</v>
      </c>
      <c r="R48" s="0" t="s">
        <v>3870</v>
      </c>
      <c r="S48" s="0" t="s">
        <v>228</v>
      </c>
      <c r="T48" s="0" t="s">
        <v>228</v>
      </c>
      <c r="U48" s="0" t="s">
        <v>101</v>
      </c>
      <c r="V48" s="0" t="s">
        <v>228</v>
      </c>
      <c r="W48" s="0" t="s">
        <v>228</v>
      </c>
      <c r="X48" s="0" t="s">
        <v>3661</v>
      </c>
      <c r="Y48" s="0" t="s">
        <v>228</v>
      </c>
      <c r="Z48" s="0" t="s">
        <v>151</v>
      </c>
      <c r="AA48" s="0" t="s">
        <v>151</v>
      </c>
      <c r="AB48" s="0" t="s">
        <v>160</v>
      </c>
      <c r="AC48" s="0" t="s">
        <v>2315</v>
      </c>
      <c r="AD48" s="0" t="s">
        <v>2315</v>
      </c>
      <c r="AE48" s="0" t="s">
        <v>2316</v>
      </c>
      <c r="AF48" s="0" t="s">
        <v>3871</v>
      </c>
      <c r="AG48" s="0" t="s">
        <v>3872</v>
      </c>
      <c r="AH48" s="0" t="s">
        <v>3651</v>
      </c>
      <c r="AI48" s="0" t="s">
        <v>3651</v>
      </c>
      <c r="AJ48" s="0" t="s">
        <v>228</v>
      </c>
      <c r="AK48" s="0" t="s">
        <v>228</v>
      </c>
      <c r="AL48" s="0" t="s">
        <v>228</v>
      </c>
      <c r="AM48" s="0" t="s">
        <v>228</v>
      </c>
      <c r="AN48" s="0" t="s">
        <v>228</v>
      </c>
      <c r="AO48" s="0" t="s">
        <v>228</v>
      </c>
      <c r="AP48" s="0" t="s">
        <v>228</v>
      </c>
      <c r="AQ48" s="0" t="s">
        <v>228</v>
      </c>
      <c r="AR48" s="0" t="s">
        <v>228</v>
      </c>
      <c r="AS48" s="0" t="s">
        <v>228</v>
      </c>
      <c r="AT48" s="0" t="s">
        <v>228</v>
      </c>
      <c r="AU48" s="0" t="s">
        <v>228</v>
      </c>
      <c r="AV48" s="0" t="s">
        <v>228</v>
      </c>
      <c r="AW48" s="0" t="s">
        <v>228</v>
      </c>
      <c r="AX48" s="0" t="s">
        <v>228</v>
      </c>
      <c r="AY48" s="0" t="s">
        <v>228</v>
      </c>
      <c r="AZ48" s="0" t="s">
        <v>228</v>
      </c>
      <c r="BA48" s="0" t="s">
        <v>228</v>
      </c>
      <c r="BB48" s="0" t="s">
        <v>228</v>
      </c>
      <c r="BC48" s="0" t="s">
        <v>228</v>
      </c>
      <c r="BD48" s="0" t="s">
        <v>228</v>
      </c>
      <c r="BE48" s="0" t="s">
        <v>3873</v>
      </c>
      <c r="BF48" s="0" t="s">
        <v>3874</v>
      </c>
      <c r="BG48" s="0" t="s">
        <v>111</v>
      </c>
      <c r="BH48" s="0" t="s">
        <v>3665</v>
      </c>
      <c r="BI48" s="0" t="s">
        <v>122</v>
      </c>
      <c r="BJ48" s="0" t="s">
        <v>228</v>
      </c>
      <c r="BK48" s="0" t="s">
        <v>3684</v>
      </c>
      <c r="BL48" s="0" t="s">
        <v>2315</v>
      </c>
      <c r="BM48" s="0" t="s">
        <v>2315</v>
      </c>
      <c r="BN48" s="0" t="s">
        <v>3875</v>
      </c>
      <c r="BO48" s="0" t="s">
        <v>3871</v>
      </c>
      <c r="BP48" s="0" t="s">
        <v>3876</v>
      </c>
      <c r="BQ48" s="0" t="s">
        <v>3651</v>
      </c>
      <c r="BR48" s="0" t="s">
        <v>3651</v>
      </c>
      <c r="BS48" s="0" t="s">
        <v>228</v>
      </c>
      <c r="BT48" s="0" t="s">
        <v>3727</v>
      </c>
      <c r="BU48" s="0" t="s">
        <v>3877</v>
      </c>
      <c r="BV48" s="0" t="s">
        <v>3877</v>
      </c>
      <c r="BW48" s="0" t="s">
        <v>3674</v>
      </c>
      <c r="BX48" s="0" t="s">
        <v>3674</v>
      </c>
      <c r="BY48" s="0" t="s">
        <v>3674</v>
      </c>
      <c r="BZ48" s="0" t="s">
        <v>3674</v>
      </c>
      <c r="CA48" s="0" t="s">
        <v>3674</v>
      </c>
      <c r="CB48" s="0" t="s">
        <v>228</v>
      </c>
      <c r="CC48" s="0" t="s">
        <v>228</v>
      </c>
      <c r="CD48" s="0" t="s">
        <v>228</v>
      </c>
      <c r="CE48" s="0" t="s">
        <v>228</v>
      </c>
      <c r="CF48" s="0" t="s">
        <v>228</v>
      </c>
      <c r="CG48" s="0" t="s">
        <v>3674</v>
      </c>
      <c r="CH48" s="0" t="s">
        <v>228</v>
      </c>
      <c r="CI48" s="0" t="s">
        <v>228</v>
      </c>
      <c r="CJ48" s="0" t="s">
        <v>228</v>
      </c>
      <c r="CK48" s="0" t="s">
        <v>228</v>
      </c>
      <c r="CL48" s="0" t="s">
        <v>228</v>
      </c>
      <c r="CM48" s="0" t="s">
        <v>3877</v>
      </c>
      <c r="CN48" s="0" t="s">
        <v>3877</v>
      </c>
      <c r="CO48" s="0" t="s">
        <v>228</v>
      </c>
      <c r="CP48" s="0" t="s">
        <v>228</v>
      </c>
      <c r="CQ48" s="0" t="s">
        <v>228</v>
      </c>
      <c r="CR48" s="0" t="s">
        <v>228</v>
      </c>
      <c r="CS48" s="0" t="s">
        <v>3654</v>
      </c>
      <c r="CT48" s="0" t="s">
        <v>3568</v>
      </c>
      <c r="CU48" s="0" t="s">
        <v>3569</v>
      </c>
      <c r="CV48" s="0" t="s">
        <v>418</v>
      </c>
      <c r="CW48" s="0" t="s">
        <v>3656</v>
      </c>
      <c r="CX48" s="0" t="s">
        <v>419</v>
      </c>
      <c r="CY48" s="0" t="s">
        <v>418</v>
      </c>
      <c r="CZ48" s="0" t="s">
        <v>3657</v>
      </c>
      <c r="DA48" s="0" t="s">
        <v>3658</v>
      </c>
      <c r="DB48" s="0" t="s">
        <v>3656</v>
      </c>
      <c r="DC48" s="0" t="s">
        <v>362</v>
      </c>
      <c r="DD48" s="0" t="s">
        <v>3572</v>
      </c>
      <c r="DE48" s="0" t="s">
        <v>3878</v>
      </c>
    </row>
    <row customHeight="1" ht="11.25">
      <c r="A49" s="1353" t="s">
        <v>228</v>
      </c>
      <c r="B49" s="0" t="s">
        <v>228</v>
      </c>
      <c r="C49" s="0" t="s">
        <v>228</v>
      </c>
      <c r="D49" s="0" t="s">
        <v>228</v>
      </c>
      <c r="E49" s="0" t="s">
        <v>228</v>
      </c>
      <c r="F49" s="0" t="s">
        <v>228</v>
      </c>
      <c r="G49" s="0" t="s">
        <v>228</v>
      </c>
      <c r="H49" s="0" t="s">
        <v>228</v>
      </c>
      <c r="I49" s="0" t="s">
        <v>3555</v>
      </c>
      <c r="J49" s="0" t="s">
        <v>228</v>
      </c>
      <c r="K49" s="0" t="s">
        <v>228</v>
      </c>
      <c r="L49" s="0" t="s">
        <v>228</v>
      </c>
      <c r="M49" s="0" t="s">
        <v>228</v>
      </c>
      <c r="N49" s="0" t="s">
        <v>228</v>
      </c>
      <c r="O49" s="0" t="s">
        <v>228</v>
      </c>
      <c r="P49" s="0" t="s">
        <v>228</v>
      </c>
      <c r="Q49" s="0" t="s">
        <v>228</v>
      </c>
      <c r="R49" s="0" t="s">
        <v>3879</v>
      </c>
      <c r="S49" s="0" t="s">
        <v>228</v>
      </c>
      <c r="T49" s="0" t="s">
        <v>228</v>
      </c>
      <c r="U49" s="0" t="s">
        <v>101</v>
      </c>
      <c r="V49" s="0" t="s">
        <v>228</v>
      </c>
      <c r="W49" s="0" t="s">
        <v>228</v>
      </c>
      <c r="X49" s="0" t="s">
        <v>3661</v>
      </c>
      <c r="Y49" s="0" t="s">
        <v>228</v>
      </c>
      <c r="Z49" s="0" t="s">
        <v>151</v>
      </c>
      <c r="AA49" s="0" t="s">
        <v>151</v>
      </c>
      <c r="AB49" s="0" t="s">
        <v>160</v>
      </c>
      <c r="AC49" s="0" t="s">
        <v>2315</v>
      </c>
      <c r="AD49" s="0" t="s">
        <v>2315</v>
      </c>
      <c r="AE49" s="0" t="s">
        <v>2316</v>
      </c>
      <c r="AF49" s="0" t="s">
        <v>3880</v>
      </c>
      <c r="AG49" s="0" t="s">
        <v>3881</v>
      </c>
      <c r="AH49" s="0" t="s">
        <v>3651</v>
      </c>
      <c r="AI49" s="0" t="s">
        <v>3651</v>
      </c>
      <c r="AJ49" s="0" t="s">
        <v>228</v>
      </c>
      <c r="AK49" s="0" t="s">
        <v>228</v>
      </c>
      <c r="AL49" s="0" t="s">
        <v>228</v>
      </c>
      <c r="AM49" s="0" t="s">
        <v>228</v>
      </c>
      <c r="AN49" s="0" t="s">
        <v>228</v>
      </c>
      <c r="AO49" s="0" t="s">
        <v>228</v>
      </c>
      <c r="AP49" s="0" t="s">
        <v>228</v>
      </c>
      <c r="AQ49" s="0" t="s">
        <v>228</v>
      </c>
      <c r="AR49" s="0" t="s">
        <v>228</v>
      </c>
      <c r="AS49" s="0" t="s">
        <v>228</v>
      </c>
      <c r="AT49" s="0" t="s">
        <v>228</v>
      </c>
      <c r="AU49" s="0" t="s">
        <v>228</v>
      </c>
      <c r="AV49" s="0" t="s">
        <v>228</v>
      </c>
      <c r="AW49" s="0" t="s">
        <v>228</v>
      </c>
      <c r="AX49" s="0" t="s">
        <v>228</v>
      </c>
      <c r="AY49" s="0" t="s">
        <v>228</v>
      </c>
      <c r="AZ49" s="0" t="s">
        <v>228</v>
      </c>
      <c r="BA49" s="0" t="s">
        <v>228</v>
      </c>
      <c r="BB49" s="0" t="s">
        <v>228</v>
      </c>
      <c r="BC49" s="0" t="s">
        <v>228</v>
      </c>
      <c r="BD49" s="0" t="s">
        <v>228</v>
      </c>
      <c r="BE49" s="0" t="s">
        <v>3882</v>
      </c>
      <c r="BF49" s="0" t="s">
        <v>3883</v>
      </c>
      <c r="BG49" s="0" t="s">
        <v>111</v>
      </c>
      <c r="BH49" s="0" t="s">
        <v>3665</v>
      </c>
      <c r="BI49" s="0" t="s">
        <v>122</v>
      </c>
      <c r="BJ49" s="0" t="s">
        <v>228</v>
      </c>
      <c r="BK49" s="0" t="s">
        <v>3684</v>
      </c>
      <c r="BL49" s="0" t="s">
        <v>2315</v>
      </c>
      <c r="BM49" s="0" t="s">
        <v>2315</v>
      </c>
      <c r="BN49" s="0" t="s">
        <v>3875</v>
      </c>
      <c r="BO49" s="0" t="s">
        <v>3880</v>
      </c>
      <c r="BP49" s="0" t="s">
        <v>3884</v>
      </c>
      <c r="BQ49" s="0" t="s">
        <v>3651</v>
      </c>
      <c r="BR49" s="0" t="s">
        <v>3651</v>
      </c>
      <c r="BS49" s="0" t="s">
        <v>228</v>
      </c>
      <c r="BT49" s="0" t="s">
        <v>3727</v>
      </c>
      <c r="BU49" s="0" t="s">
        <v>3885</v>
      </c>
      <c r="BV49" s="0" t="s">
        <v>3885</v>
      </c>
      <c r="BW49" s="0" t="s">
        <v>3674</v>
      </c>
      <c r="BX49" s="0" t="s">
        <v>3674</v>
      </c>
      <c r="BY49" s="0" t="s">
        <v>3674</v>
      </c>
      <c r="BZ49" s="0" t="s">
        <v>3674</v>
      </c>
      <c r="CA49" s="0" t="s">
        <v>3674</v>
      </c>
      <c r="CB49" s="0" t="s">
        <v>228</v>
      </c>
      <c r="CC49" s="0" t="s">
        <v>228</v>
      </c>
      <c r="CD49" s="0" t="s">
        <v>228</v>
      </c>
      <c r="CE49" s="0" t="s">
        <v>228</v>
      </c>
      <c r="CF49" s="0" t="s">
        <v>228</v>
      </c>
      <c r="CG49" s="0" t="s">
        <v>3674</v>
      </c>
      <c r="CH49" s="0" t="s">
        <v>228</v>
      </c>
      <c r="CI49" s="0" t="s">
        <v>228</v>
      </c>
      <c r="CJ49" s="0" t="s">
        <v>228</v>
      </c>
      <c r="CK49" s="0" t="s">
        <v>228</v>
      </c>
      <c r="CL49" s="0" t="s">
        <v>228</v>
      </c>
      <c r="CM49" s="0" t="s">
        <v>3885</v>
      </c>
      <c r="CN49" s="0" t="s">
        <v>3885</v>
      </c>
      <c r="CO49" s="0" t="s">
        <v>228</v>
      </c>
      <c r="CP49" s="0" t="s">
        <v>228</v>
      </c>
      <c r="CQ49" s="0" t="s">
        <v>228</v>
      </c>
      <c r="CR49" s="0" t="s">
        <v>228</v>
      </c>
      <c r="CS49" s="0" t="s">
        <v>3563</v>
      </c>
      <c r="CT49" s="0" t="s">
        <v>3568</v>
      </c>
      <c r="CU49" s="0" t="s">
        <v>3569</v>
      </c>
      <c r="CV49" s="0" t="s">
        <v>418</v>
      </c>
      <c r="CW49" s="0" t="s">
        <v>3656</v>
      </c>
      <c r="CX49" s="0" t="s">
        <v>419</v>
      </c>
      <c r="CY49" s="0" t="s">
        <v>418</v>
      </c>
      <c r="CZ49" s="0" t="s">
        <v>3657</v>
      </c>
      <c r="DA49" s="0" t="s">
        <v>3658</v>
      </c>
      <c r="DB49" s="0" t="s">
        <v>3656</v>
      </c>
      <c r="DC49" s="0" t="s">
        <v>362</v>
      </c>
      <c r="DD49" s="0" t="s">
        <v>3572</v>
      </c>
      <c r="DE49" s="0" t="s">
        <v>3886</v>
      </c>
    </row>
    <row customHeight="1" ht="11.25">
      <c r="A50" s="1353" t="s">
        <v>228</v>
      </c>
      <c r="B50" s="0" t="s">
        <v>228</v>
      </c>
      <c r="C50" s="0" t="s">
        <v>228</v>
      </c>
      <c r="D50" s="0" t="s">
        <v>228</v>
      </c>
      <c r="E50" s="0" t="s">
        <v>228</v>
      </c>
      <c r="F50" s="0" t="s">
        <v>228</v>
      </c>
      <c r="G50" s="0" t="s">
        <v>228</v>
      </c>
      <c r="H50" s="0" t="s">
        <v>228</v>
      </c>
      <c r="I50" s="0" t="s">
        <v>3555</v>
      </c>
      <c r="J50" s="0" t="s">
        <v>228</v>
      </c>
      <c r="K50" s="0" t="s">
        <v>228</v>
      </c>
      <c r="L50" s="0" t="s">
        <v>228</v>
      </c>
      <c r="M50" s="0" t="s">
        <v>228</v>
      </c>
      <c r="N50" s="0" t="s">
        <v>228</v>
      </c>
      <c r="O50" s="0" t="s">
        <v>228</v>
      </c>
      <c r="P50" s="0" t="s">
        <v>228</v>
      </c>
      <c r="Q50" s="0" t="s">
        <v>228</v>
      </c>
      <c r="R50" s="0" t="s">
        <v>3648</v>
      </c>
      <c r="S50" s="0" t="s">
        <v>228</v>
      </c>
      <c r="T50" s="0" t="s">
        <v>228</v>
      </c>
      <c r="U50" s="0" t="s">
        <v>101</v>
      </c>
      <c r="V50" s="0" t="s">
        <v>228</v>
      </c>
      <c r="W50" s="0" t="s">
        <v>228</v>
      </c>
      <c r="X50" s="0" t="s">
        <v>3557</v>
      </c>
      <c r="Y50" s="0" t="s">
        <v>228</v>
      </c>
      <c r="Z50" s="0" t="s">
        <v>160</v>
      </c>
      <c r="AA50" s="0" t="s">
        <v>151</v>
      </c>
      <c r="AB50" s="0" t="s">
        <v>151</v>
      </c>
      <c r="AC50" s="0" t="s">
        <v>2315</v>
      </c>
      <c r="AD50" s="0" t="s">
        <v>2315</v>
      </c>
      <c r="AE50" s="0" t="s">
        <v>2316</v>
      </c>
      <c r="AF50" s="0" t="s">
        <v>3887</v>
      </c>
      <c r="AG50" s="0" t="s">
        <v>3888</v>
      </c>
      <c r="AH50" s="0" t="s">
        <v>3889</v>
      </c>
      <c r="AI50" s="0" t="s">
        <v>3890</v>
      </c>
      <c r="AJ50" s="0" t="s">
        <v>3652</v>
      </c>
      <c r="AK50" s="0" t="s">
        <v>3891</v>
      </c>
      <c r="AL50" s="0" t="s">
        <v>3581</v>
      </c>
      <c r="AM50" s="0" t="s">
        <v>3565</v>
      </c>
      <c r="AN50" s="0" t="s">
        <v>3654</v>
      </c>
      <c r="AO50" s="0" t="s">
        <v>3629</v>
      </c>
      <c r="AP50" s="0" t="s">
        <v>228</v>
      </c>
      <c r="AQ50" s="0" t="s">
        <v>228</v>
      </c>
      <c r="AR50" s="0" t="s">
        <v>228</v>
      </c>
      <c r="AS50" s="0" t="s">
        <v>228</v>
      </c>
      <c r="AT50" s="0" t="s">
        <v>228</v>
      </c>
      <c r="AU50" s="0" t="s">
        <v>228</v>
      </c>
      <c r="AV50" s="0" t="s">
        <v>228</v>
      </c>
      <c r="AW50" s="0" t="s">
        <v>228</v>
      </c>
      <c r="AX50" s="0" t="s">
        <v>228</v>
      </c>
      <c r="AY50" s="0" t="s">
        <v>228</v>
      </c>
      <c r="AZ50" s="0" t="s">
        <v>228</v>
      </c>
      <c r="BA50" s="0" t="s">
        <v>228</v>
      </c>
      <c r="BB50" s="0" t="s">
        <v>228</v>
      </c>
      <c r="BC50" s="0" t="s">
        <v>228</v>
      </c>
      <c r="BD50" s="0" t="s">
        <v>228</v>
      </c>
      <c r="BE50" s="0" t="s">
        <v>228</v>
      </c>
      <c r="BF50" s="0" t="s">
        <v>228</v>
      </c>
      <c r="BG50" s="0" t="s">
        <v>228</v>
      </c>
      <c r="BH50" s="0" t="s">
        <v>228</v>
      </c>
      <c r="BI50" s="0" t="s">
        <v>228</v>
      </c>
      <c r="BJ50" s="0" t="s">
        <v>228</v>
      </c>
      <c r="BK50" s="0" t="s">
        <v>228</v>
      </c>
      <c r="BL50" s="0" t="s">
        <v>228</v>
      </c>
      <c r="BM50" s="0" t="s">
        <v>228</v>
      </c>
      <c r="BN50" s="0" t="s">
        <v>228</v>
      </c>
      <c r="BO50" s="0" t="s">
        <v>228</v>
      </c>
      <c r="BP50" s="0" t="s">
        <v>228</v>
      </c>
      <c r="BQ50" s="0" t="s">
        <v>228</v>
      </c>
      <c r="BR50" s="0" t="s">
        <v>228</v>
      </c>
      <c r="BS50" s="0" t="s">
        <v>228</v>
      </c>
      <c r="BT50" s="0" t="s">
        <v>228</v>
      </c>
      <c r="BU50" s="0" t="s">
        <v>228</v>
      </c>
      <c r="BV50" s="0" t="s">
        <v>228</v>
      </c>
      <c r="BW50" s="0" t="s">
        <v>228</v>
      </c>
      <c r="BX50" s="0" t="s">
        <v>228</v>
      </c>
      <c r="BY50" s="0" t="s">
        <v>228</v>
      </c>
      <c r="BZ50" s="0" t="s">
        <v>228</v>
      </c>
      <c r="CA50" s="0" t="s">
        <v>228</v>
      </c>
      <c r="CB50" s="0" t="s">
        <v>228</v>
      </c>
      <c r="CC50" s="0" t="s">
        <v>228</v>
      </c>
      <c r="CD50" s="0" t="s">
        <v>228</v>
      </c>
      <c r="CE50" s="0" t="s">
        <v>228</v>
      </c>
      <c r="CF50" s="0" t="s">
        <v>228</v>
      </c>
      <c r="CG50" s="0" t="s">
        <v>228</v>
      </c>
      <c r="CH50" s="0" t="s">
        <v>228</v>
      </c>
      <c r="CI50" s="0" t="s">
        <v>228</v>
      </c>
      <c r="CJ50" s="0" t="s">
        <v>228</v>
      </c>
      <c r="CK50" s="0" t="s">
        <v>228</v>
      </c>
      <c r="CL50" s="0" t="s">
        <v>228</v>
      </c>
      <c r="CM50" s="0" t="s">
        <v>228</v>
      </c>
      <c r="CN50" s="0" t="s">
        <v>228</v>
      </c>
      <c r="CO50" s="0" t="s">
        <v>228</v>
      </c>
      <c r="CP50" s="0" t="s">
        <v>228</v>
      </c>
      <c r="CQ50" s="0" t="s">
        <v>228</v>
      </c>
      <c r="CR50" s="0" t="s">
        <v>228</v>
      </c>
      <c r="CS50" s="0" t="s">
        <v>228</v>
      </c>
      <c r="CT50" s="0" t="s">
        <v>3568</v>
      </c>
      <c r="CU50" s="0" t="s">
        <v>3569</v>
      </c>
      <c r="CV50" s="0" t="s">
        <v>418</v>
      </c>
      <c r="CW50" s="0" t="s">
        <v>3656</v>
      </c>
      <c r="CX50" s="0" t="s">
        <v>419</v>
      </c>
      <c r="CY50" s="0" t="s">
        <v>418</v>
      </c>
      <c r="CZ50" s="0" t="s">
        <v>3657</v>
      </c>
      <c r="DA50" s="0" t="s">
        <v>3658</v>
      </c>
      <c r="DB50" s="0" t="s">
        <v>3656</v>
      </c>
      <c r="DC50" s="0" t="s">
        <v>362</v>
      </c>
      <c r="DD50" s="0" t="s">
        <v>3572</v>
      </c>
      <c r="DE50" s="0" t="s">
        <v>3892</v>
      </c>
    </row>
    <row customHeight="1" ht="11.25">
      <c r="A51" s="1353" t="s">
        <v>228</v>
      </c>
      <c r="B51" s="0" t="s">
        <v>228</v>
      </c>
      <c r="C51" s="0" t="s">
        <v>228</v>
      </c>
      <c r="D51" s="0" t="s">
        <v>228</v>
      </c>
      <c r="E51" s="0" t="s">
        <v>228</v>
      </c>
      <c r="F51" s="0" t="s">
        <v>228</v>
      </c>
      <c r="G51" s="0" t="s">
        <v>228</v>
      </c>
      <c r="H51" s="0" t="s">
        <v>228</v>
      </c>
      <c r="I51" s="0" t="s">
        <v>3555</v>
      </c>
      <c r="J51" s="0" t="s">
        <v>228</v>
      </c>
      <c r="K51" s="0" t="s">
        <v>228</v>
      </c>
      <c r="L51" s="0" t="s">
        <v>228</v>
      </c>
      <c r="M51" s="0" t="s">
        <v>228</v>
      </c>
      <c r="N51" s="0" t="s">
        <v>228</v>
      </c>
      <c r="O51" s="0" t="s">
        <v>228</v>
      </c>
      <c r="P51" s="0" t="s">
        <v>228</v>
      </c>
      <c r="Q51" s="0" t="s">
        <v>228</v>
      </c>
      <c r="R51" s="0" t="s">
        <v>3648</v>
      </c>
      <c r="S51" s="0" t="s">
        <v>228</v>
      </c>
      <c r="T51" s="0" t="s">
        <v>228</v>
      </c>
      <c r="U51" s="0" t="s">
        <v>101</v>
      </c>
      <c r="V51" s="0" t="s">
        <v>228</v>
      </c>
      <c r="W51" s="0" t="s">
        <v>228</v>
      </c>
      <c r="X51" s="0" t="s">
        <v>3557</v>
      </c>
      <c r="Y51" s="0" t="s">
        <v>228</v>
      </c>
      <c r="Z51" s="0" t="s">
        <v>160</v>
      </c>
      <c r="AA51" s="0" t="s">
        <v>151</v>
      </c>
      <c r="AB51" s="0" t="s">
        <v>151</v>
      </c>
      <c r="AC51" s="0" t="s">
        <v>2315</v>
      </c>
      <c r="AD51" s="0" t="s">
        <v>2315</v>
      </c>
      <c r="AE51" s="0" t="s">
        <v>2316</v>
      </c>
      <c r="AF51" s="0" t="s">
        <v>3887</v>
      </c>
      <c r="AG51" s="0" t="s">
        <v>3888</v>
      </c>
      <c r="AH51" s="0" t="s">
        <v>3642</v>
      </c>
      <c r="AI51" s="0" t="s">
        <v>3893</v>
      </c>
      <c r="AJ51" s="0" t="s">
        <v>3652</v>
      </c>
      <c r="AK51" s="0" t="s">
        <v>3894</v>
      </c>
      <c r="AL51" s="0" t="s">
        <v>3581</v>
      </c>
      <c r="AM51" s="0" t="s">
        <v>3565</v>
      </c>
      <c r="AN51" s="0" t="s">
        <v>3654</v>
      </c>
      <c r="AO51" s="0" t="s">
        <v>3712</v>
      </c>
      <c r="AP51" s="0" t="s">
        <v>228</v>
      </c>
      <c r="AQ51" s="0" t="s">
        <v>228</v>
      </c>
      <c r="AR51" s="0" t="s">
        <v>228</v>
      </c>
      <c r="AS51" s="0" t="s">
        <v>228</v>
      </c>
      <c r="AT51" s="0" t="s">
        <v>228</v>
      </c>
      <c r="AU51" s="0" t="s">
        <v>228</v>
      </c>
      <c r="AV51" s="0" t="s">
        <v>228</v>
      </c>
      <c r="AW51" s="0" t="s">
        <v>228</v>
      </c>
      <c r="AX51" s="0" t="s">
        <v>228</v>
      </c>
      <c r="AY51" s="0" t="s">
        <v>228</v>
      </c>
      <c r="AZ51" s="0" t="s">
        <v>228</v>
      </c>
      <c r="BA51" s="0" t="s">
        <v>228</v>
      </c>
      <c r="BB51" s="0" t="s">
        <v>228</v>
      </c>
      <c r="BC51" s="0" t="s">
        <v>228</v>
      </c>
      <c r="BD51" s="0" t="s">
        <v>228</v>
      </c>
      <c r="BE51" s="0" t="s">
        <v>228</v>
      </c>
      <c r="BF51" s="0" t="s">
        <v>228</v>
      </c>
      <c r="BG51" s="0" t="s">
        <v>228</v>
      </c>
      <c r="BH51" s="0" t="s">
        <v>228</v>
      </c>
      <c r="BI51" s="0" t="s">
        <v>228</v>
      </c>
      <c r="BJ51" s="0" t="s">
        <v>228</v>
      </c>
      <c r="BK51" s="0" t="s">
        <v>228</v>
      </c>
      <c r="BL51" s="0" t="s">
        <v>228</v>
      </c>
      <c r="BM51" s="0" t="s">
        <v>228</v>
      </c>
      <c r="BN51" s="0" t="s">
        <v>228</v>
      </c>
      <c r="BO51" s="0" t="s">
        <v>228</v>
      </c>
      <c r="BP51" s="0" t="s">
        <v>228</v>
      </c>
      <c r="BQ51" s="0" t="s">
        <v>228</v>
      </c>
      <c r="BR51" s="0" t="s">
        <v>228</v>
      </c>
      <c r="BS51" s="0" t="s">
        <v>228</v>
      </c>
      <c r="BT51" s="0" t="s">
        <v>228</v>
      </c>
      <c r="BU51" s="0" t="s">
        <v>228</v>
      </c>
      <c r="BV51" s="0" t="s">
        <v>228</v>
      </c>
      <c r="BW51" s="0" t="s">
        <v>228</v>
      </c>
      <c r="BX51" s="0" t="s">
        <v>228</v>
      </c>
      <c r="BY51" s="0" t="s">
        <v>228</v>
      </c>
      <c r="BZ51" s="0" t="s">
        <v>228</v>
      </c>
      <c r="CA51" s="0" t="s">
        <v>228</v>
      </c>
      <c r="CB51" s="0" t="s">
        <v>228</v>
      </c>
      <c r="CC51" s="0" t="s">
        <v>228</v>
      </c>
      <c r="CD51" s="0" t="s">
        <v>228</v>
      </c>
      <c r="CE51" s="0" t="s">
        <v>228</v>
      </c>
      <c r="CF51" s="0" t="s">
        <v>228</v>
      </c>
      <c r="CG51" s="0" t="s">
        <v>228</v>
      </c>
      <c r="CH51" s="0" t="s">
        <v>228</v>
      </c>
      <c r="CI51" s="0" t="s">
        <v>228</v>
      </c>
      <c r="CJ51" s="0" t="s">
        <v>228</v>
      </c>
      <c r="CK51" s="0" t="s">
        <v>228</v>
      </c>
      <c r="CL51" s="0" t="s">
        <v>228</v>
      </c>
      <c r="CM51" s="0" t="s">
        <v>228</v>
      </c>
      <c r="CN51" s="0" t="s">
        <v>228</v>
      </c>
      <c r="CO51" s="0" t="s">
        <v>228</v>
      </c>
      <c r="CP51" s="0" t="s">
        <v>228</v>
      </c>
      <c r="CQ51" s="0" t="s">
        <v>228</v>
      </c>
      <c r="CR51" s="0" t="s">
        <v>228</v>
      </c>
      <c r="CS51" s="0" t="s">
        <v>228</v>
      </c>
      <c r="CT51" s="0" t="s">
        <v>3568</v>
      </c>
      <c r="CU51" s="0" t="s">
        <v>3569</v>
      </c>
      <c r="CV51" s="0" t="s">
        <v>418</v>
      </c>
      <c r="CW51" s="0" t="s">
        <v>3656</v>
      </c>
      <c r="CX51" s="0" t="s">
        <v>419</v>
      </c>
      <c r="CY51" s="0" t="s">
        <v>418</v>
      </c>
      <c r="CZ51" s="0" t="s">
        <v>3657</v>
      </c>
      <c r="DA51" s="0" t="s">
        <v>3658</v>
      </c>
      <c r="DB51" s="0" t="s">
        <v>3656</v>
      </c>
      <c r="DC51" s="0" t="s">
        <v>362</v>
      </c>
      <c r="DD51" s="0" t="s">
        <v>3572</v>
      </c>
      <c r="DE51" s="0" t="s">
        <v>3895</v>
      </c>
    </row>
    <row customHeight="1" ht="11.25">
      <c r="A52" s="1353" t="s">
        <v>228</v>
      </c>
      <c r="B52" s="0" t="s">
        <v>228</v>
      </c>
      <c r="C52" s="0" t="s">
        <v>228</v>
      </c>
      <c r="D52" s="0" t="s">
        <v>228</v>
      </c>
      <c r="E52" s="0" t="s">
        <v>228</v>
      </c>
      <c r="F52" s="0" t="s">
        <v>228</v>
      </c>
      <c r="G52" s="0" t="s">
        <v>228</v>
      </c>
      <c r="H52" s="0" t="s">
        <v>228</v>
      </c>
      <c r="I52" s="0" t="s">
        <v>3555</v>
      </c>
      <c r="J52" s="0" t="s">
        <v>228</v>
      </c>
      <c r="K52" s="0" t="s">
        <v>228</v>
      </c>
      <c r="L52" s="0" t="s">
        <v>228</v>
      </c>
      <c r="M52" s="0" t="s">
        <v>228</v>
      </c>
      <c r="N52" s="0" t="s">
        <v>228</v>
      </c>
      <c r="O52" s="0" t="s">
        <v>228</v>
      </c>
      <c r="P52" s="0" t="s">
        <v>228</v>
      </c>
      <c r="Q52" s="0" t="s">
        <v>228</v>
      </c>
      <c r="R52" s="0" t="s">
        <v>3896</v>
      </c>
      <c r="S52" s="0" t="s">
        <v>228</v>
      </c>
      <c r="T52" s="0" t="s">
        <v>228</v>
      </c>
      <c r="U52" s="0" t="s">
        <v>101</v>
      </c>
      <c r="V52" s="0" t="s">
        <v>228</v>
      </c>
      <c r="W52" s="0" t="s">
        <v>228</v>
      </c>
      <c r="X52" s="0" t="s">
        <v>3557</v>
      </c>
      <c r="Y52" s="0" t="s">
        <v>228</v>
      </c>
      <c r="Z52" s="0" t="s">
        <v>160</v>
      </c>
      <c r="AA52" s="0" t="s">
        <v>151</v>
      </c>
      <c r="AB52" s="0" t="s">
        <v>151</v>
      </c>
      <c r="AC52" s="0" t="s">
        <v>2290</v>
      </c>
      <c r="AD52" s="0" t="s">
        <v>2290</v>
      </c>
      <c r="AE52" s="0" t="s">
        <v>2292</v>
      </c>
      <c r="AF52" s="0" t="s">
        <v>3558</v>
      </c>
      <c r="AG52" s="0" t="s">
        <v>3559</v>
      </c>
      <c r="AH52" s="0" t="s">
        <v>3897</v>
      </c>
      <c r="AI52" s="0" t="s">
        <v>3898</v>
      </c>
      <c r="AJ52" s="0" t="s">
        <v>3620</v>
      </c>
      <c r="AK52" s="0" t="s">
        <v>3899</v>
      </c>
      <c r="AL52" s="0" t="s">
        <v>3681</v>
      </c>
      <c r="AM52" s="0" t="s">
        <v>3565</v>
      </c>
      <c r="AN52" s="0" t="s">
        <v>3900</v>
      </c>
      <c r="AO52" s="0" t="s">
        <v>3901</v>
      </c>
      <c r="AP52" s="0" t="s">
        <v>228</v>
      </c>
      <c r="AQ52" s="0" t="s">
        <v>228</v>
      </c>
      <c r="AR52" s="0" t="s">
        <v>228</v>
      </c>
      <c r="AS52" s="0" t="s">
        <v>228</v>
      </c>
      <c r="AT52" s="0" t="s">
        <v>228</v>
      </c>
      <c r="AU52" s="0" t="s">
        <v>228</v>
      </c>
      <c r="AV52" s="0" t="s">
        <v>228</v>
      </c>
      <c r="AW52" s="0" t="s">
        <v>228</v>
      </c>
      <c r="AX52" s="0" t="s">
        <v>228</v>
      </c>
      <c r="AY52" s="0" t="s">
        <v>228</v>
      </c>
      <c r="AZ52" s="0" t="s">
        <v>228</v>
      </c>
      <c r="BA52" s="0" t="s">
        <v>228</v>
      </c>
      <c r="BB52" s="0" t="s">
        <v>228</v>
      </c>
      <c r="BC52" s="0" t="s">
        <v>228</v>
      </c>
      <c r="BD52" s="0" t="s">
        <v>228</v>
      </c>
      <c r="BE52" s="0" t="s">
        <v>228</v>
      </c>
      <c r="BF52" s="0" t="s">
        <v>228</v>
      </c>
      <c r="BG52" s="0" t="s">
        <v>228</v>
      </c>
      <c r="BH52" s="0" t="s">
        <v>228</v>
      </c>
      <c r="BI52" s="0" t="s">
        <v>228</v>
      </c>
      <c r="BJ52" s="0" t="s">
        <v>228</v>
      </c>
      <c r="BK52" s="0" t="s">
        <v>228</v>
      </c>
      <c r="BL52" s="0" t="s">
        <v>228</v>
      </c>
      <c r="BM52" s="0" t="s">
        <v>228</v>
      </c>
      <c r="BN52" s="0" t="s">
        <v>228</v>
      </c>
      <c r="BO52" s="0" t="s">
        <v>228</v>
      </c>
      <c r="BP52" s="0" t="s">
        <v>228</v>
      </c>
      <c r="BQ52" s="0" t="s">
        <v>228</v>
      </c>
      <c r="BR52" s="0" t="s">
        <v>228</v>
      </c>
      <c r="BS52" s="0" t="s">
        <v>228</v>
      </c>
      <c r="BT52" s="0" t="s">
        <v>228</v>
      </c>
      <c r="BU52" s="0" t="s">
        <v>228</v>
      </c>
      <c r="BV52" s="0" t="s">
        <v>228</v>
      </c>
      <c r="BW52" s="0" t="s">
        <v>228</v>
      </c>
      <c r="BX52" s="0" t="s">
        <v>228</v>
      </c>
      <c r="BY52" s="0" t="s">
        <v>228</v>
      </c>
      <c r="BZ52" s="0" t="s">
        <v>228</v>
      </c>
      <c r="CA52" s="0" t="s">
        <v>228</v>
      </c>
      <c r="CB52" s="0" t="s">
        <v>228</v>
      </c>
      <c r="CC52" s="0" t="s">
        <v>228</v>
      </c>
      <c r="CD52" s="0" t="s">
        <v>228</v>
      </c>
      <c r="CE52" s="0" t="s">
        <v>228</v>
      </c>
      <c r="CF52" s="0" t="s">
        <v>228</v>
      </c>
      <c r="CG52" s="0" t="s">
        <v>228</v>
      </c>
      <c r="CH52" s="0" t="s">
        <v>228</v>
      </c>
      <c r="CI52" s="0" t="s">
        <v>228</v>
      </c>
      <c r="CJ52" s="0" t="s">
        <v>228</v>
      </c>
      <c r="CK52" s="0" t="s">
        <v>228</v>
      </c>
      <c r="CL52" s="0" t="s">
        <v>228</v>
      </c>
      <c r="CM52" s="0" t="s">
        <v>228</v>
      </c>
      <c r="CN52" s="0" t="s">
        <v>228</v>
      </c>
      <c r="CO52" s="0" t="s">
        <v>228</v>
      </c>
      <c r="CP52" s="0" t="s">
        <v>228</v>
      </c>
      <c r="CQ52" s="0" t="s">
        <v>228</v>
      </c>
      <c r="CR52" s="0" t="s">
        <v>228</v>
      </c>
      <c r="CS52" s="0" t="s">
        <v>228</v>
      </c>
      <c r="CT52" s="0" t="s">
        <v>3568</v>
      </c>
      <c r="CU52" s="0" t="s">
        <v>3569</v>
      </c>
      <c r="CV52" s="0" t="s">
        <v>418</v>
      </c>
      <c r="CW52" s="0" t="s">
        <v>3570</v>
      </c>
      <c r="CX52" s="0" t="s">
        <v>419</v>
      </c>
      <c r="CY52" s="0" t="s">
        <v>418</v>
      </c>
      <c r="CZ52" s="0" t="s">
        <v>3571</v>
      </c>
      <c r="DA52" s="0" t="s">
        <v>420</v>
      </c>
      <c r="DB52" s="0" t="s">
        <v>3570</v>
      </c>
      <c r="DC52" s="0" t="s">
        <v>362</v>
      </c>
      <c r="DD52" s="0" t="s">
        <v>3572</v>
      </c>
      <c r="DE52" s="0" t="s">
        <v>3902</v>
      </c>
    </row>
    <row customHeight="1" ht="11.25">
      <c r="A53" s="1353" t="s">
        <v>228</v>
      </c>
      <c r="B53" s="0" t="s">
        <v>228</v>
      </c>
      <c r="C53" s="0" t="s">
        <v>228</v>
      </c>
      <c r="D53" s="0" t="s">
        <v>228</v>
      </c>
      <c r="E53" s="0" t="s">
        <v>228</v>
      </c>
      <c r="F53" s="0" t="s">
        <v>228</v>
      </c>
      <c r="G53" s="0" t="s">
        <v>228</v>
      </c>
      <c r="H53" s="0" t="s">
        <v>228</v>
      </c>
      <c r="I53" s="0" t="s">
        <v>3555</v>
      </c>
      <c r="J53" s="0" t="s">
        <v>228</v>
      </c>
      <c r="K53" s="0" t="s">
        <v>228</v>
      </c>
      <c r="L53" s="0" t="s">
        <v>228</v>
      </c>
      <c r="M53" s="0" t="s">
        <v>228</v>
      </c>
      <c r="N53" s="0" t="s">
        <v>228</v>
      </c>
      <c r="O53" s="0" t="s">
        <v>228</v>
      </c>
      <c r="P53" s="0" t="s">
        <v>228</v>
      </c>
      <c r="Q53" s="0" t="s">
        <v>228</v>
      </c>
      <c r="R53" s="0" t="s">
        <v>3648</v>
      </c>
      <c r="S53" s="0" t="s">
        <v>228</v>
      </c>
      <c r="T53" s="0" t="s">
        <v>228</v>
      </c>
      <c r="U53" s="0" t="s">
        <v>101</v>
      </c>
      <c r="V53" s="0" t="s">
        <v>228</v>
      </c>
      <c r="W53" s="0" t="s">
        <v>228</v>
      </c>
      <c r="X53" s="0" t="s">
        <v>3557</v>
      </c>
      <c r="Y53" s="0" t="s">
        <v>228</v>
      </c>
      <c r="Z53" s="0" t="s">
        <v>160</v>
      </c>
      <c r="AA53" s="0" t="s">
        <v>151</v>
      </c>
      <c r="AB53" s="0" t="s">
        <v>151</v>
      </c>
      <c r="AC53" s="0" t="s">
        <v>2317</v>
      </c>
      <c r="AD53" s="0" t="s">
        <v>2317</v>
      </c>
      <c r="AE53" s="0" t="s">
        <v>2318</v>
      </c>
      <c r="AF53" s="0" t="s">
        <v>3804</v>
      </c>
      <c r="AG53" s="0" t="s">
        <v>3805</v>
      </c>
      <c r="AH53" s="0" t="s">
        <v>3903</v>
      </c>
      <c r="AI53" s="0" t="s">
        <v>3904</v>
      </c>
      <c r="AJ53" s="0" t="s">
        <v>3627</v>
      </c>
      <c r="AK53" s="0" t="s">
        <v>3619</v>
      </c>
      <c r="AL53" s="0" t="s">
        <v>3581</v>
      </c>
      <c r="AM53" s="0" t="s">
        <v>3565</v>
      </c>
      <c r="AN53" s="0" t="s">
        <v>3620</v>
      </c>
      <c r="AO53" s="0" t="s">
        <v>3583</v>
      </c>
      <c r="AP53" s="0" t="s">
        <v>228</v>
      </c>
      <c r="AQ53" s="0" t="s">
        <v>228</v>
      </c>
      <c r="AR53" s="0" t="s">
        <v>228</v>
      </c>
      <c r="AS53" s="0" t="s">
        <v>228</v>
      </c>
      <c r="AT53" s="0" t="s">
        <v>228</v>
      </c>
      <c r="AU53" s="0" t="s">
        <v>228</v>
      </c>
      <c r="AV53" s="0" t="s">
        <v>228</v>
      </c>
      <c r="AW53" s="0" t="s">
        <v>228</v>
      </c>
      <c r="AX53" s="0" t="s">
        <v>228</v>
      </c>
      <c r="AY53" s="0" t="s">
        <v>228</v>
      </c>
      <c r="AZ53" s="0" t="s">
        <v>228</v>
      </c>
      <c r="BA53" s="0" t="s">
        <v>228</v>
      </c>
      <c r="BB53" s="0" t="s">
        <v>228</v>
      </c>
      <c r="BC53" s="0" t="s">
        <v>228</v>
      </c>
      <c r="BD53" s="0" t="s">
        <v>228</v>
      </c>
      <c r="BE53" s="0" t="s">
        <v>228</v>
      </c>
      <c r="BF53" s="0" t="s">
        <v>228</v>
      </c>
      <c r="BG53" s="0" t="s">
        <v>228</v>
      </c>
      <c r="BH53" s="0" t="s">
        <v>228</v>
      </c>
      <c r="BI53" s="0" t="s">
        <v>228</v>
      </c>
      <c r="BJ53" s="0" t="s">
        <v>228</v>
      </c>
      <c r="BK53" s="0" t="s">
        <v>228</v>
      </c>
      <c r="BL53" s="0" t="s">
        <v>228</v>
      </c>
      <c r="BM53" s="0" t="s">
        <v>228</v>
      </c>
      <c r="BN53" s="0" t="s">
        <v>228</v>
      </c>
      <c r="BO53" s="0" t="s">
        <v>228</v>
      </c>
      <c r="BP53" s="0" t="s">
        <v>228</v>
      </c>
      <c r="BQ53" s="0" t="s">
        <v>228</v>
      </c>
      <c r="BR53" s="0" t="s">
        <v>228</v>
      </c>
      <c r="BS53" s="0" t="s">
        <v>228</v>
      </c>
      <c r="BT53" s="0" t="s">
        <v>228</v>
      </c>
      <c r="BU53" s="0" t="s">
        <v>228</v>
      </c>
      <c r="BV53" s="0" t="s">
        <v>228</v>
      </c>
      <c r="BW53" s="0" t="s">
        <v>228</v>
      </c>
      <c r="BX53" s="0" t="s">
        <v>228</v>
      </c>
      <c r="BY53" s="0" t="s">
        <v>228</v>
      </c>
      <c r="BZ53" s="0" t="s">
        <v>228</v>
      </c>
      <c r="CA53" s="0" t="s">
        <v>228</v>
      </c>
      <c r="CB53" s="0" t="s">
        <v>228</v>
      </c>
      <c r="CC53" s="0" t="s">
        <v>228</v>
      </c>
      <c r="CD53" s="0" t="s">
        <v>228</v>
      </c>
      <c r="CE53" s="0" t="s">
        <v>228</v>
      </c>
      <c r="CF53" s="0" t="s">
        <v>228</v>
      </c>
      <c r="CG53" s="0" t="s">
        <v>228</v>
      </c>
      <c r="CH53" s="0" t="s">
        <v>228</v>
      </c>
      <c r="CI53" s="0" t="s">
        <v>228</v>
      </c>
      <c r="CJ53" s="0" t="s">
        <v>228</v>
      </c>
      <c r="CK53" s="0" t="s">
        <v>228</v>
      </c>
      <c r="CL53" s="0" t="s">
        <v>228</v>
      </c>
      <c r="CM53" s="0" t="s">
        <v>228</v>
      </c>
      <c r="CN53" s="0" t="s">
        <v>228</v>
      </c>
      <c r="CO53" s="0" t="s">
        <v>228</v>
      </c>
      <c r="CP53" s="0" t="s">
        <v>228</v>
      </c>
      <c r="CQ53" s="0" t="s">
        <v>228</v>
      </c>
      <c r="CR53" s="0" t="s">
        <v>228</v>
      </c>
      <c r="CS53" s="0" t="s">
        <v>228</v>
      </c>
      <c r="CT53" s="0" t="s">
        <v>3568</v>
      </c>
      <c r="CU53" s="0" t="s">
        <v>3569</v>
      </c>
      <c r="CV53" s="0" t="s">
        <v>418</v>
      </c>
      <c r="CW53" s="0" t="s">
        <v>3622</v>
      </c>
      <c r="CX53" s="0" t="s">
        <v>419</v>
      </c>
      <c r="CY53" s="0" t="s">
        <v>418</v>
      </c>
      <c r="CZ53" s="0" t="s">
        <v>3623</v>
      </c>
      <c r="DA53" s="0" t="s">
        <v>3624</v>
      </c>
      <c r="DB53" s="0" t="s">
        <v>3622</v>
      </c>
      <c r="DC53" s="0" t="s">
        <v>362</v>
      </c>
      <c r="DD53" s="0" t="s">
        <v>3572</v>
      </c>
      <c r="DE53" s="0" t="s">
        <v>3905</v>
      </c>
    </row>
    <row customHeight="1" ht="11.25">
      <c r="A54" s="1353" t="s">
        <v>228</v>
      </c>
      <c r="B54" s="0" t="s">
        <v>228</v>
      </c>
      <c r="C54" s="0" t="s">
        <v>228</v>
      </c>
      <c r="D54" s="0" t="s">
        <v>228</v>
      </c>
      <c r="E54" s="0" t="s">
        <v>228</v>
      </c>
      <c r="F54" s="0" t="s">
        <v>228</v>
      </c>
      <c r="G54" s="0" t="s">
        <v>228</v>
      </c>
      <c r="H54" s="0" t="s">
        <v>228</v>
      </c>
      <c r="I54" s="0" t="s">
        <v>3555</v>
      </c>
      <c r="J54" s="0" t="s">
        <v>228</v>
      </c>
      <c r="K54" s="0" t="s">
        <v>228</v>
      </c>
      <c r="L54" s="0" t="s">
        <v>228</v>
      </c>
      <c r="M54" s="0" t="s">
        <v>228</v>
      </c>
      <c r="N54" s="0" t="s">
        <v>228</v>
      </c>
      <c r="O54" s="0" t="s">
        <v>228</v>
      </c>
      <c r="P54" s="0" t="s">
        <v>228</v>
      </c>
      <c r="Q54" s="0" t="s">
        <v>228</v>
      </c>
      <c r="R54" s="0" t="s">
        <v>3906</v>
      </c>
      <c r="S54" s="0" t="s">
        <v>228</v>
      </c>
      <c r="T54" s="0" t="s">
        <v>228</v>
      </c>
      <c r="U54" s="0" t="s">
        <v>101</v>
      </c>
      <c r="V54" s="0" t="s">
        <v>228</v>
      </c>
      <c r="W54" s="0" t="s">
        <v>228</v>
      </c>
      <c r="X54" s="0" t="s">
        <v>3661</v>
      </c>
      <c r="Y54" s="0" t="s">
        <v>228</v>
      </c>
      <c r="Z54" s="0" t="s">
        <v>151</v>
      </c>
      <c r="AA54" s="0" t="s">
        <v>151</v>
      </c>
      <c r="AB54" s="0" t="s">
        <v>160</v>
      </c>
      <c r="AC54" s="0" t="s">
        <v>2317</v>
      </c>
      <c r="AD54" s="0" t="s">
        <v>2317</v>
      </c>
      <c r="AE54" s="0" t="s">
        <v>2318</v>
      </c>
      <c r="AF54" s="0" t="s">
        <v>3907</v>
      </c>
      <c r="AG54" s="0" t="s">
        <v>3908</v>
      </c>
      <c r="AH54" s="0" t="s">
        <v>3651</v>
      </c>
      <c r="AI54" s="0" t="s">
        <v>3651</v>
      </c>
      <c r="AJ54" s="0" t="s">
        <v>228</v>
      </c>
      <c r="AK54" s="0" t="s">
        <v>228</v>
      </c>
      <c r="AL54" s="0" t="s">
        <v>228</v>
      </c>
      <c r="AM54" s="0" t="s">
        <v>228</v>
      </c>
      <c r="AN54" s="0" t="s">
        <v>228</v>
      </c>
      <c r="AO54" s="0" t="s">
        <v>228</v>
      </c>
      <c r="AP54" s="0" t="s">
        <v>228</v>
      </c>
      <c r="AQ54" s="0" t="s">
        <v>228</v>
      </c>
      <c r="AR54" s="0" t="s">
        <v>228</v>
      </c>
      <c r="AS54" s="0" t="s">
        <v>228</v>
      </c>
      <c r="AT54" s="0" t="s">
        <v>228</v>
      </c>
      <c r="AU54" s="0" t="s">
        <v>228</v>
      </c>
      <c r="AV54" s="0" t="s">
        <v>228</v>
      </c>
      <c r="AW54" s="0" t="s">
        <v>228</v>
      </c>
      <c r="AX54" s="0" t="s">
        <v>228</v>
      </c>
      <c r="AY54" s="0" t="s">
        <v>228</v>
      </c>
      <c r="AZ54" s="0" t="s">
        <v>228</v>
      </c>
      <c r="BA54" s="0" t="s">
        <v>228</v>
      </c>
      <c r="BB54" s="0" t="s">
        <v>228</v>
      </c>
      <c r="BC54" s="0" t="s">
        <v>228</v>
      </c>
      <c r="BD54" s="0" t="s">
        <v>228</v>
      </c>
      <c r="BE54" s="0" t="s">
        <v>3652</v>
      </c>
      <c r="BF54" s="0" t="s">
        <v>3909</v>
      </c>
      <c r="BG54" s="0" t="s">
        <v>111</v>
      </c>
      <c r="BH54" s="0" t="s">
        <v>3665</v>
      </c>
      <c r="BI54" s="0" t="s">
        <v>122</v>
      </c>
      <c r="BJ54" s="0" t="s">
        <v>228</v>
      </c>
      <c r="BK54" s="0" t="s">
        <v>3684</v>
      </c>
      <c r="BL54" s="0" t="s">
        <v>2317</v>
      </c>
      <c r="BM54" s="0" t="s">
        <v>2317</v>
      </c>
      <c r="BN54" s="0" t="s">
        <v>3740</v>
      </c>
      <c r="BO54" s="0" t="s">
        <v>3907</v>
      </c>
      <c r="BP54" s="0" t="s">
        <v>3910</v>
      </c>
      <c r="BQ54" s="0" t="s">
        <v>3651</v>
      </c>
      <c r="BR54" s="0" t="s">
        <v>3651</v>
      </c>
      <c r="BS54" s="0" t="s">
        <v>228</v>
      </c>
      <c r="BT54" s="0" t="s">
        <v>3727</v>
      </c>
      <c r="BU54" s="0" t="s">
        <v>3911</v>
      </c>
      <c r="BV54" s="0" t="s">
        <v>3911</v>
      </c>
      <c r="BW54" s="0" t="s">
        <v>3674</v>
      </c>
      <c r="BX54" s="0" t="s">
        <v>3674</v>
      </c>
      <c r="BY54" s="0" t="s">
        <v>3674</v>
      </c>
      <c r="BZ54" s="0" t="s">
        <v>3674</v>
      </c>
      <c r="CA54" s="0" t="s">
        <v>3674</v>
      </c>
      <c r="CB54" s="0" t="s">
        <v>228</v>
      </c>
      <c r="CC54" s="0" t="s">
        <v>228</v>
      </c>
      <c r="CD54" s="0" t="s">
        <v>228</v>
      </c>
      <c r="CE54" s="0" t="s">
        <v>228</v>
      </c>
      <c r="CF54" s="0" t="s">
        <v>228</v>
      </c>
      <c r="CG54" s="0" t="s">
        <v>3674</v>
      </c>
      <c r="CH54" s="0" t="s">
        <v>228</v>
      </c>
      <c r="CI54" s="0" t="s">
        <v>228</v>
      </c>
      <c r="CJ54" s="0" t="s">
        <v>228</v>
      </c>
      <c r="CK54" s="0" t="s">
        <v>228</v>
      </c>
      <c r="CL54" s="0" t="s">
        <v>228</v>
      </c>
      <c r="CM54" s="0" t="s">
        <v>3911</v>
      </c>
      <c r="CN54" s="0" t="s">
        <v>3911</v>
      </c>
      <c r="CO54" s="0" t="s">
        <v>228</v>
      </c>
      <c r="CP54" s="0" t="s">
        <v>228</v>
      </c>
      <c r="CQ54" s="0" t="s">
        <v>228</v>
      </c>
      <c r="CR54" s="0" t="s">
        <v>228</v>
      </c>
      <c r="CS54" s="0" t="s">
        <v>3743</v>
      </c>
      <c r="CT54" s="0" t="s">
        <v>3568</v>
      </c>
      <c r="CU54" s="0" t="s">
        <v>3569</v>
      </c>
      <c r="CV54" s="0" t="s">
        <v>418</v>
      </c>
      <c r="CW54" s="0" t="s">
        <v>3622</v>
      </c>
      <c r="CX54" s="0" t="s">
        <v>419</v>
      </c>
      <c r="CY54" s="0" t="s">
        <v>418</v>
      </c>
      <c r="CZ54" s="0" t="s">
        <v>3623</v>
      </c>
      <c r="DA54" s="0" t="s">
        <v>3624</v>
      </c>
      <c r="DB54" s="0" t="s">
        <v>3622</v>
      </c>
      <c r="DC54" s="0" t="s">
        <v>362</v>
      </c>
      <c r="DD54" s="0" t="s">
        <v>3572</v>
      </c>
      <c r="DE54" s="0" t="s">
        <v>3912</v>
      </c>
    </row>
    <row customHeight="1" ht="11.25">
      <c r="A55" s="1353" t="s">
        <v>228</v>
      </c>
      <c r="B55" s="0" t="s">
        <v>228</v>
      </c>
      <c r="C55" s="0" t="s">
        <v>228</v>
      </c>
      <c r="D55" s="0" t="s">
        <v>228</v>
      </c>
      <c r="E55" s="0" t="s">
        <v>228</v>
      </c>
      <c r="F55" s="0" t="s">
        <v>228</v>
      </c>
      <c r="G55" s="0" t="s">
        <v>228</v>
      </c>
      <c r="H55" s="0" t="s">
        <v>228</v>
      </c>
      <c r="I55" s="0" t="s">
        <v>3555</v>
      </c>
      <c r="J55" s="0" t="s">
        <v>228</v>
      </c>
      <c r="K55" s="0" t="s">
        <v>228</v>
      </c>
      <c r="L55" s="0" t="s">
        <v>228</v>
      </c>
      <c r="M55" s="0" t="s">
        <v>228</v>
      </c>
      <c r="N55" s="0" t="s">
        <v>228</v>
      </c>
      <c r="O55" s="0" t="s">
        <v>228</v>
      </c>
      <c r="P55" s="0" t="s">
        <v>228</v>
      </c>
      <c r="Q55" s="0" t="s">
        <v>228</v>
      </c>
      <c r="R55" s="0" t="s">
        <v>3648</v>
      </c>
      <c r="S55" s="0" t="s">
        <v>228</v>
      </c>
      <c r="T55" s="0" t="s">
        <v>228</v>
      </c>
      <c r="U55" s="0" t="s">
        <v>101</v>
      </c>
      <c r="V55" s="0" t="s">
        <v>228</v>
      </c>
      <c r="W55" s="0" t="s">
        <v>228</v>
      </c>
      <c r="X55" s="0" t="s">
        <v>3557</v>
      </c>
      <c r="Y55" s="0" t="s">
        <v>228</v>
      </c>
      <c r="Z55" s="0" t="s">
        <v>160</v>
      </c>
      <c r="AA55" s="0" t="s">
        <v>151</v>
      </c>
      <c r="AB55" s="0" t="s">
        <v>151</v>
      </c>
      <c r="AC55" s="0" t="s">
        <v>2317</v>
      </c>
      <c r="AD55" s="0" t="s">
        <v>2317</v>
      </c>
      <c r="AE55" s="0" t="s">
        <v>2318</v>
      </c>
      <c r="AF55" s="0" t="s">
        <v>3913</v>
      </c>
      <c r="AG55" s="0" t="s">
        <v>3914</v>
      </c>
      <c r="AH55" s="0" t="s">
        <v>3747</v>
      </c>
      <c r="AI55" s="0" t="s">
        <v>3626</v>
      </c>
      <c r="AJ55" s="0" t="s">
        <v>3579</v>
      </c>
      <c r="AK55" s="0" t="s">
        <v>3749</v>
      </c>
      <c r="AL55" s="0" t="s">
        <v>3581</v>
      </c>
      <c r="AM55" s="0" t="s">
        <v>3565</v>
      </c>
      <c r="AN55" s="0" t="s">
        <v>3620</v>
      </c>
      <c r="AO55" s="0" t="s">
        <v>3915</v>
      </c>
      <c r="AP55" s="0" t="s">
        <v>228</v>
      </c>
      <c r="AQ55" s="0" t="s">
        <v>228</v>
      </c>
      <c r="AR55" s="0" t="s">
        <v>228</v>
      </c>
      <c r="AS55" s="0" t="s">
        <v>228</v>
      </c>
      <c r="AT55" s="0" t="s">
        <v>228</v>
      </c>
      <c r="AU55" s="0" t="s">
        <v>228</v>
      </c>
      <c r="AV55" s="0" t="s">
        <v>228</v>
      </c>
      <c r="AW55" s="0" t="s">
        <v>228</v>
      </c>
      <c r="AX55" s="0" t="s">
        <v>228</v>
      </c>
      <c r="AY55" s="0" t="s">
        <v>228</v>
      </c>
      <c r="AZ55" s="0" t="s">
        <v>228</v>
      </c>
      <c r="BA55" s="0" t="s">
        <v>228</v>
      </c>
      <c r="BB55" s="0" t="s">
        <v>228</v>
      </c>
      <c r="BC55" s="0" t="s">
        <v>228</v>
      </c>
      <c r="BD55" s="0" t="s">
        <v>228</v>
      </c>
      <c r="BE55" s="0" t="s">
        <v>228</v>
      </c>
      <c r="BF55" s="0" t="s">
        <v>228</v>
      </c>
      <c r="BG55" s="0" t="s">
        <v>228</v>
      </c>
      <c r="BH55" s="0" t="s">
        <v>228</v>
      </c>
      <c r="BI55" s="0" t="s">
        <v>228</v>
      </c>
      <c r="BJ55" s="0" t="s">
        <v>228</v>
      </c>
      <c r="BK55" s="0" t="s">
        <v>228</v>
      </c>
      <c r="BL55" s="0" t="s">
        <v>228</v>
      </c>
      <c r="BM55" s="0" t="s">
        <v>228</v>
      </c>
      <c r="BN55" s="0" t="s">
        <v>228</v>
      </c>
      <c r="BO55" s="0" t="s">
        <v>228</v>
      </c>
      <c r="BP55" s="0" t="s">
        <v>228</v>
      </c>
      <c r="BQ55" s="0" t="s">
        <v>228</v>
      </c>
      <c r="BR55" s="0" t="s">
        <v>228</v>
      </c>
      <c r="BS55" s="0" t="s">
        <v>228</v>
      </c>
      <c r="BT55" s="0" t="s">
        <v>228</v>
      </c>
      <c r="BU55" s="0" t="s">
        <v>228</v>
      </c>
      <c r="BV55" s="0" t="s">
        <v>228</v>
      </c>
      <c r="BW55" s="0" t="s">
        <v>228</v>
      </c>
      <c r="BX55" s="0" t="s">
        <v>228</v>
      </c>
      <c r="BY55" s="0" t="s">
        <v>228</v>
      </c>
      <c r="BZ55" s="0" t="s">
        <v>228</v>
      </c>
      <c r="CA55" s="0" t="s">
        <v>228</v>
      </c>
      <c r="CB55" s="0" t="s">
        <v>228</v>
      </c>
      <c r="CC55" s="0" t="s">
        <v>228</v>
      </c>
      <c r="CD55" s="0" t="s">
        <v>228</v>
      </c>
      <c r="CE55" s="0" t="s">
        <v>228</v>
      </c>
      <c r="CF55" s="0" t="s">
        <v>228</v>
      </c>
      <c r="CG55" s="0" t="s">
        <v>228</v>
      </c>
      <c r="CH55" s="0" t="s">
        <v>228</v>
      </c>
      <c r="CI55" s="0" t="s">
        <v>228</v>
      </c>
      <c r="CJ55" s="0" t="s">
        <v>228</v>
      </c>
      <c r="CK55" s="0" t="s">
        <v>228</v>
      </c>
      <c r="CL55" s="0" t="s">
        <v>228</v>
      </c>
      <c r="CM55" s="0" t="s">
        <v>228</v>
      </c>
      <c r="CN55" s="0" t="s">
        <v>228</v>
      </c>
      <c r="CO55" s="0" t="s">
        <v>228</v>
      </c>
      <c r="CP55" s="0" t="s">
        <v>228</v>
      </c>
      <c r="CQ55" s="0" t="s">
        <v>228</v>
      </c>
      <c r="CR55" s="0" t="s">
        <v>228</v>
      </c>
      <c r="CS55" s="0" t="s">
        <v>228</v>
      </c>
      <c r="CT55" s="0" t="s">
        <v>3568</v>
      </c>
      <c r="CU55" s="0" t="s">
        <v>3569</v>
      </c>
      <c r="CV55" s="0" t="s">
        <v>418</v>
      </c>
      <c r="CW55" s="0" t="s">
        <v>3622</v>
      </c>
      <c r="CX55" s="0" t="s">
        <v>419</v>
      </c>
      <c r="CY55" s="0" t="s">
        <v>418</v>
      </c>
      <c r="CZ55" s="0" t="s">
        <v>3623</v>
      </c>
      <c r="DA55" s="0" t="s">
        <v>3624</v>
      </c>
      <c r="DB55" s="0" t="s">
        <v>3622</v>
      </c>
      <c r="DC55" s="0" t="s">
        <v>362</v>
      </c>
      <c r="DD55" s="0" t="s">
        <v>3572</v>
      </c>
      <c r="DE55" s="0" t="s">
        <v>3916</v>
      </c>
    </row>
    <row customHeight="1" ht="11.25">
      <c r="A56" s="1353" t="s">
        <v>228</v>
      </c>
      <c r="B56" s="0" t="s">
        <v>228</v>
      </c>
      <c r="C56" s="0" t="s">
        <v>228</v>
      </c>
      <c r="D56" s="0" t="s">
        <v>228</v>
      </c>
      <c r="E56" s="0" t="s">
        <v>228</v>
      </c>
      <c r="F56" s="0" t="s">
        <v>228</v>
      </c>
      <c r="G56" s="0" t="s">
        <v>228</v>
      </c>
      <c r="H56" s="0" t="s">
        <v>228</v>
      </c>
      <c r="I56" s="0" t="s">
        <v>3555</v>
      </c>
      <c r="J56" s="0" t="s">
        <v>228</v>
      </c>
      <c r="K56" s="0" t="s">
        <v>228</v>
      </c>
      <c r="L56" s="0" t="s">
        <v>228</v>
      </c>
      <c r="M56" s="0" t="s">
        <v>228</v>
      </c>
      <c r="N56" s="0" t="s">
        <v>228</v>
      </c>
      <c r="O56" s="0" t="s">
        <v>228</v>
      </c>
      <c r="P56" s="0" t="s">
        <v>228</v>
      </c>
      <c r="Q56" s="0" t="s">
        <v>228</v>
      </c>
      <c r="R56" s="0" t="s">
        <v>3917</v>
      </c>
      <c r="S56" s="0" t="s">
        <v>228</v>
      </c>
      <c r="T56" s="0" t="s">
        <v>228</v>
      </c>
      <c r="U56" s="0" t="s">
        <v>101</v>
      </c>
      <c r="V56" s="0" t="s">
        <v>228</v>
      </c>
      <c r="W56" s="0" t="s">
        <v>228</v>
      </c>
      <c r="X56" s="0" t="s">
        <v>3661</v>
      </c>
      <c r="Y56" s="0" t="s">
        <v>228</v>
      </c>
      <c r="Z56" s="0" t="s">
        <v>151</v>
      </c>
      <c r="AA56" s="0" t="s">
        <v>151</v>
      </c>
      <c r="AB56" s="0" t="s">
        <v>160</v>
      </c>
      <c r="AC56" s="0" t="s">
        <v>2317</v>
      </c>
      <c r="AD56" s="0" t="s">
        <v>2317</v>
      </c>
      <c r="AE56" s="0" t="s">
        <v>2318</v>
      </c>
      <c r="AF56" s="0" t="s">
        <v>3918</v>
      </c>
      <c r="AG56" s="0" t="s">
        <v>3919</v>
      </c>
      <c r="AH56" s="0" t="s">
        <v>3651</v>
      </c>
      <c r="AI56" s="0" t="s">
        <v>3651</v>
      </c>
      <c r="AJ56" s="0" t="s">
        <v>228</v>
      </c>
      <c r="AK56" s="0" t="s">
        <v>228</v>
      </c>
      <c r="AL56" s="0" t="s">
        <v>228</v>
      </c>
      <c r="AM56" s="0" t="s">
        <v>228</v>
      </c>
      <c r="AN56" s="0" t="s">
        <v>228</v>
      </c>
      <c r="AO56" s="0" t="s">
        <v>228</v>
      </c>
      <c r="AP56" s="0" t="s">
        <v>228</v>
      </c>
      <c r="AQ56" s="0" t="s">
        <v>228</v>
      </c>
      <c r="AR56" s="0" t="s">
        <v>228</v>
      </c>
      <c r="AS56" s="0" t="s">
        <v>228</v>
      </c>
      <c r="AT56" s="0" t="s">
        <v>228</v>
      </c>
      <c r="AU56" s="0" t="s">
        <v>228</v>
      </c>
      <c r="AV56" s="0" t="s">
        <v>228</v>
      </c>
      <c r="AW56" s="0" t="s">
        <v>228</v>
      </c>
      <c r="AX56" s="0" t="s">
        <v>228</v>
      </c>
      <c r="AY56" s="0" t="s">
        <v>228</v>
      </c>
      <c r="AZ56" s="0" t="s">
        <v>228</v>
      </c>
      <c r="BA56" s="0" t="s">
        <v>228</v>
      </c>
      <c r="BB56" s="0" t="s">
        <v>228</v>
      </c>
      <c r="BC56" s="0" t="s">
        <v>228</v>
      </c>
      <c r="BD56" s="0" t="s">
        <v>228</v>
      </c>
      <c r="BE56" s="0" t="s">
        <v>3627</v>
      </c>
      <c r="BF56" s="0" t="s">
        <v>3749</v>
      </c>
      <c r="BG56" s="0" t="s">
        <v>111</v>
      </c>
      <c r="BH56" s="0" t="s">
        <v>3665</v>
      </c>
      <c r="BI56" s="0" t="s">
        <v>122</v>
      </c>
      <c r="BJ56" s="0" t="s">
        <v>228</v>
      </c>
      <c r="BK56" s="0" t="s">
        <v>3684</v>
      </c>
      <c r="BL56" s="0" t="s">
        <v>2317</v>
      </c>
      <c r="BM56" s="0" t="s">
        <v>2317</v>
      </c>
      <c r="BN56" s="0" t="s">
        <v>3740</v>
      </c>
      <c r="BO56" s="0" t="s">
        <v>3918</v>
      </c>
      <c r="BP56" s="0" t="s">
        <v>3920</v>
      </c>
      <c r="BQ56" s="0" t="s">
        <v>3651</v>
      </c>
      <c r="BR56" s="0" t="s">
        <v>3651</v>
      </c>
      <c r="BS56" s="0" t="s">
        <v>228</v>
      </c>
      <c r="BT56" s="0" t="s">
        <v>3727</v>
      </c>
      <c r="BU56" s="0" t="s">
        <v>3921</v>
      </c>
      <c r="BV56" s="0" t="s">
        <v>3921</v>
      </c>
      <c r="BW56" s="0" t="s">
        <v>3674</v>
      </c>
      <c r="BX56" s="0" t="s">
        <v>3674</v>
      </c>
      <c r="BY56" s="0" t="s">
        <v>3674</v>
      </c>
      <c r="BZ56" s="0" t="s">
        <v>3674</v>
      </c>
      <c r="CA56" s="0" t="s">
        <v>3674</v>
      </c>
      <c r="CB56" s="0" t="s">
        <v>228</v>
      </c>
      <c r="CC56" s="0" t="s">
        <v>228</v>
      </c>
      <c r="CD56" s="0" t="s">
        <v>228</v>
      </c>
      <c r="CE56" s="0" t="s">
        <v>228</v>
      </c>
      <c r="CF56" s="0" t="s">
        <v>228</v>
      </c>
      <c r="CG56" s="0" t="s">
        <v>3674</v>
      </c>
      <c r="CH56" s="0" t="s">
        <v>228</v>
      </c>
      <c r="CI56" s="0" t="s">
        <v>228</v>
      </c>
      <c r="CJ56" s="0" t="s">
        <v>228</v>
      </c>
      <c r="CK56" s="0" t="s">
        <v>228</v>
      </c>
      <c r="CL56" s="0" t="s">
        <v>228</v>
      </c>
      <c r="CM56" s="0" t="s">
        <v>3921</v>
      </c>
      <c r="CN56" s="0" t="s">
        <v>3921</v>
      </c>
      <c r="CO56" s="0" t="s">
        <v>228</v>
      </c>
      <c r="CP56" s="0" t="s">
        <v>228</v>
      </c>
      <c r="CQ56" s="0" t="s">
        <v>228</v>
      </c>
      <c r="CR56" s="0" t="s">
        <v>228</v>
      </c>
      <c r="CS56" s="0" t="s">
        <v>3743</v>
      </c>
      <c r="CT56" s="0" t="s">
        <v>3568</v>
      </c>
      <c r="CU56" s="0" t="s">
        <v>3569</v>
      </c>
      <c r="CV56" s="0" t="s">
        <v>418</v>
      </c>
      <c r="CW56" s="0" t="s">
        <v>3622</v>
      </c>
      <c r="CX56" s="0" t="s">
        <v>419</v>
      </c>
      <c r="CY56" s="0" t="s">
        <v>418</v>
      </c>
      <c r="CZ56" s="0" t="s">
        <v>3623</v>
      </c>
      <c r="DA56" s="0" t="s">
        <v>3624</v>
      </c>
      <c r="DB56" s="0" t="s">
        <v>3622</v>
      </c>
      <c r="DC56" s="0" t="s">
        <v>362</v>
      </c>
      <c r="DD56" s="0" t="s">
        <v>3572</v>
      </c>
      <c r="DE56" s="0" t="s">
        <v>3922</v>
      </c>
    </row>
    <row customHeight="1" ht="11.25">
      <c r="A57" s="1353" t="s">
        <v>228</v>
      </c>
      <c r="B57" s="0" t="s">
        <v>228</v>
      </c>
      <c r="C57" s="0" t="s">
        <v>228</v>
      </c>
      <c r="D57" s="0" t="s">
        <v>228</v>
      </c>
      <c r="E57" s="0" t="s">
        <v>228</v>
      </c>
      <c r="F57" s="0" t="s">
        <v>228</v>
      </c>
      <c r="G57" s="0" t="s">
        <v>228</v>
      </c>
      <c r="H57" s="0" t="s">
        <v>228</v>
      </c>
      <c r="I57" s="0" t="s">
        <v>3555</v>
      </c>
      <c r="J57" s="0" t="s">
        <v>228</v>
      </c>
      <c r="K57" s="0" t="s">
        <v>228</v>
      </c>
      <c r="L57" s="0" t="s">
        <v>228</v>
      </c>
      <c r="M57" s="0" t="s">
        <v>228</v>
      </c>
      <c r="N57" s="0" t="s">
        <v>228</v>
      </c>
      <c r="O57" s="0" t="s">
        <v>228</v>
      </c>
      <c r="P57" s="0" t="s">
        <v>228</v>
      </c>
      <c r="Q57" s="0" t="s">
        <v>228</v>
      </c>
      <c r="R57" s="0" t="s">
        <v>3648</v>
      </c>
      <c r="S57" s="0" t="s">
        <v>228</v>
      </c>
      <c r="T57" s="0" t="s">
        <v>228</v>
      </c>
      <c r="U57" s="0" t="s">
        <v>101</v>
      </c>
      <c r="V57" s="0" t="s">
        <v>228</v>
      </c>
      <c r="W57" s="0" t="s">
        <v>228</v>
      </c>
      <c r="X57" s="0" t="s">
        <v>3557</v>
      </c>
      <c r="Y57" s="0" t="s">
        <v>228</v>
      </c>
      <c r="Z57" s="0" t="s">
        <v>160</v>
      </c>
      <c r="AA57" s="0" t="s">
        <v>151</v>
      </c>
      <c r="AB57" s="0" t="s">
        <v>151</v>
      </c>
      <c r="AC57" s="0" t="s">
        <v>2317</v>
      </c>
      <c r="AD57" s="0" t="s">
        <v>2317</v>
      </c>
      <c r="AE57" s="0" t="s">
        <v>2318</v>
      </c>
      <c r="AF57" s="0" t="s">
        <v>3923</v>
      </c>
      <c r="AG57" s="0" t="s">
        <v>3924</v>
      </c>
      <c r="AH57" s="0" t="s">
        <v>3925</v>
      </c>
      <c r="AI57" s="0" t="s">
        <v>3926</v>
      </c>
      <c r="AJ57" s="0" t="s">
        <v>3579</v>
      </c>
      <c r="AK57" s="0" t="s">
        <v>3619</v>
      </c>
      <c r="AL57" s="0" t="s">
        <v>3581</v>
      </c>
      <c r="AM57" s="0" t="s">
        <v>3565</v>
      </c>
      <c r="AN57" s="0" t="s">
        <v>3620</v>
      </c>
      <c r="AO57" s="0" t="s">
        <v>3583</v>
      </c>
      <c r="AP57" s="0" t="s">
        <v>228</v>
      </c>
      <c r="AQ57" s="0" t="s">
        <v>228</v>
      </c>
      <c r="AR57" s="0" t="s">
        <v>228</v>
      </c>
      <c r="AS57" s="0" t="s">
        <v>228</v>
      </c>
      <c r="AT57" s="0" t="s">
        <v>228</v>
      </c>
      <c r="AU57" s="0" t="s">
        <v>228</v>
      </c>
      <c r="AV57" s="0" t="s">
        <v>228</v>
      </c>
      <c r="AW57" s="0" t="s">
        <v>228</v>
      </c>
      <c r="AX57" s="0" t="s">
        <v>228</v>
      </c>
      <c r="AY57" s="0" t="s">
        <v>228</v>
      </c>
      <c r="AZ57" s="0" t="s">
        <v>228</v>
      </c>
      <c r="BA57" s="0" t="s">
        <v>228</v>
      </c>
      <c r="BB57" s="0" t="s">
        <v>228</v>
      </c>
      <c r="BC57" s="0" t="s">
        <v>228</v>
      </c>
      <c r="BD57" s="0" t="s">
        <v>228</v>
      </c>
      <c r="BE57" s="0" t="s">
        <v>228</v>
      </c>
      <c r="BF57" s="0" t="s">
        <v>228</v>
      </c>
      <c r="BG57" s="0" t="s">
        <v>228</v>
      </c>
      <c r="BH57" s="0" t="s">
        <v>228</v>
      </c>
      <c r="BI57" s="0" t="s">
        <v>228</v>
      </c>
      <c r="BJ57" s="0" t="s">
        <v>228</v>
      </c>
      <c r="BK57" s="0" t="s">
        <v>228</v>
      </c>
      <c r="BL57" s="0" t="s">
        <v>228</v>
      </c>
      <c r="BM57" s="0" t="s">
        <v>228</v>
      </c>
      <c r="BN57" s="0" t="s">
        <v>228</v>
      </c>
      <c r="BO57" s="0" t="s">
        <v>228</v>
      </c>
      <c r="BP57" s="0" t="s">
        <v>228</v>
      </c>
      <c r="BQ57" s="0" t="s">
        <v>228</v>
      </c>
      <c r="BR57" s="0" t="s">
        <v>228</v>
      </c>
      <c r="BS57" s="0" t="s">
        <v>228</v>
      </c>
      <c r="BT57" s="0" t="s">
        <v>228</v>
      </c>
      <c r="BU57" s="0" t="s">
        <v>228</v>
      </c>
      <c r="BV57" s="0" t="s">
        <v>228</v>
      </c>
      <c r="BW57" s="0" t="s">
        <v>228</v>
      </c>
      <c r="BX57" s="0" t="s">
        <v>228</v>
      </c>
      <c r="BY57" s="0" t="s">
        <v>228</v>
      </c>
      <c r="BZ57" s="0" t="s">
        <v>228</v>
      </c>
      <c r="CA57" s="0" t="s">
        <v>228</v>
      </c>
      <c r="CB57" s="0" t="s">
        <v>228</v>
      </c>
      <c r="CC57" s="0" t="s">
        <v>228</v>
      </c>
      <c r="CD57" s="0" t="s">
        <v>228</v>
      </c>
      <c r="CE57" s="0" t="s">
        <v>228</v>
      </c>
      <c r="CF57" s="0" t="s">
        <v>228</v>
      </c>
      <c r="CG57" s="0" t="s">
        <v>228</v>
      </c>
      <c r="CH57" s="0" t="s">
        <v>228</v>
      </c>
      <c r="CI57" s="0" t="s">
        <v>228</v>
      </c>
      <c r="CJ57" s="0" t="s">
        <v>228</v>
      </c>
      <c r="CK57" s="0" t="s">
        <v>228</v>
      </c>
      <c r="CL57" s="0" t="s">
        <v>228</v>
      </c>
      <c r="CM57" s="0" t="s">
        <v>228</v>
      </c>
      <c r="CN57" s="0" t="s">
        <v>228</v>
      </c>
      <c r="CO57" s="0" t="s">
        <v>228</v>
      </c>
      <c r="CP57" s="0" t="s">
        <v>228</v>
      </c>
      <c r="CQ57" s="0" t="s">
        <v>228</v>
      </c>
      <c r="CR57" s="0" t="s">
        <v>228</v>
      </c>
      <c r="CS57" s="0" t="s">
        <v>228</v>
      </c>
      <c r="CT57" s="0" t="s">
        <v>3568</v>
      </c>
      <c r="CU57" s="0" t="s">
        <v>3569</v>
      </c>
      <c r="CV57" s="0" t="s">
        <v>418</v>
      </c>
      <c r="CW57" s="0" t="s">
        <v>3622</v>
      </c>
      <c r="CX57" s="0" t="s">
        <v>419</v>
      </c>
      <c r="CY57" s="0" t="s">
        <v>418</v>
      </c>
      <c r="CZ57" s="0" t="s">
        <v>3623</v>
      </c>
      <c r="DA57" s="0" t="s">
        <v>3624</v>
      </c>
      <c r="DB57" s="0" t="s">
        <v>3622</v>
      </c>
      <c r="DC57" s="0" t="s">
        <v>362</v>
      </c>
      <c r="DD57" s="0" t="s">
        <v>3572</v>
      </c>
      <c r="DE57" s="0" t="s">
        <v>3927</v>
      </c>
    </row>
    <row customHeight="1" ht="11.25">
      <c r="A58" s="1353" t="s">
        <v>228</v>
      </c>
      <c r="B58" s="0" t="s">
        <v>228</v>
      </c>
      <c r="C58" s="0" t="s">
        <v>228</v>
      </c>
      <c r="D58" s="0" t="s">
        <v>228</v>
      </c>
      <c r="E58" s="0" t="s">
        <v>228</v>
      </c>
      <c r="F58" s="0" t="s">
        <v>228</v>
      </c>
      <c r="G58" s="0" t="s">
        <v>228</v>
      </c>
      <c r="H58" s="0" t="s">
        <v>228</v>
      </c>
      <c r="I58" s="0" t="s">
        <v>3555</v>
      </c>
      <c r="J58" s="0" t="s">
        <v>228</v>
      </c>
      <c r="K58" s="0" t="s">
        <v>228</v>
      </c>
      <c r="L58" s="0" t="s">
        <v>228</v>
      </c>
      <c r="M58" s="0" t="s">
        <v>228</v>
      </c>
      <c r="N58" s="0" t="s">
        <v>228</v>
      </c>
      <c r="O58" s="0" t="s">
        <v>228</v>
      </c>
      <c r="P58" s="0" t="s">
        <v>228</v>
      </c>
      <c r="Q58" s="0" t="s">
        <v>228</v>
      </c>
      <c r="R58" s="0" t="s">
        <v>3928</v>
      </c>
      <c r="S58" s="0" t="s">
        <v>228</v>
      </c>
      <c r="T58" s="0" t="s">
        <v>228</v>
      </c>
      <c r="U58" s="0" t="s">
        <v>101</v>
      </c>
      <c r="V58" s="0" t="s">
        <v>228</v>
      </c>
      <c r="W58" s="0" t="s">
        <v>228</v>
      </c>
      <c r="X58" s="0" t="s">
        <v>3661</v>
      </c>
      <c r="Y58" s="0" t="s">
        <v>228</v>
      </c>
      <c r="Z58" s="0" t="s">
        <v>151</v>
      </c>
      <c r="AA58" s="0" t="s">
        <v>151</v>
      </c>
      <c r="AB58" s="0" t="s">
        <v>160</v>
      </c>
      <c r="AC58" s="0" t="s">
        <v>2315</v>
      </c>
      <c r="AD58" s="0" t="s">
        <v>2315</v>
      </c>
      <c r="AE58" s="0" t="s">
        <v>2316</v>
      </c>
      <c r="AF58" s="0" t="s">
        <v>3649</v>
      </c>
      <c r="AG58" s="0" t="s">
        <v>3650</v>
      </c>
      <c r="AH58" s="0" t="s">
        <v>3651</v>
      </c>
      <c r="AI58" s="0" t="s">
        <v>3651</v>
      </c>
      <c r="AJ58" s="0" t="s">
        <v>228</v>
      </c>
      <c r="AK58" s="0" t="s">
        <v>228</v>
      </c>
      <c r="AL58" s="0" t="s">
        <v>228</v>
      </c>
      <c r="AM58" s="0" t="s">
        <v>228</v>
      </c>
      <c r="AN58" s="0" t="s">
        <v>228</v>
      </c>
      <c r="AO58" s="0" t="s">
        <v>228</v>
      </c>
      <c r="AP58" s="0" t="s">
        <v>228</v>
      </c>
      <c r="AQ58" s="0" t="s">
        <v>228</v>
      </c>
      <c r="AR58" s="0" t="s">
        <v>228</v>
      </c>
      <c r="AS58" s="0" t="s">
        <v>228</v>
      </c>
      <c r="AT58" s="0" t="s">
        <v>228</v>
      </c>
      <c r="AU58" s="0" t="s">
        <v>228</v>
      </c>
      <c r="AV58" s="0" t="s">
        <v>228</v>
      </c>
      <c r="AW58" s="0" t="s">
        <v>228</v>
      </c>
      <c r="AX58" s="0" t="s">
        <v>228</v>
      </c>
      <c r="AY58" s="0" t="s">
        <v>228</v>
      </c>
      <c r="AZ58" s="0" t="s">
        <v>228</v>
      </c>
      <c r="BA58" s="0" t="s">
        <v>228</v>
      </c>
      <c r="BB58" s="0" t="s">
        <v>228</v>
      </c>
      <c r="BC58" s="0" t="s">
        <v>228</v>
      </c>
      <c r="BD58" s="0" t="s">
        <v>228</v>
      </c>
      <c r="BE58" s="0" t="s">
        <v>3652</v>
      </c>
      <c r="BF58" s="0" t="s">
        <v>3653</v>
      </c>
      <c r="BG58" s="0" t="s">
        <v>111</v>
      </c>
      <c r="BH58" s="0" t="s">
        <v>3665</v>
      </c>
      <c r="BI58" s="0" t="s">
        <v>122</v>
      </c>
      <c r="BJ58" s="0" t="s">
        <v>228</v>
      </c>
      <c r="BK58" s="0" t="s">
        <v>3684</v>
      </c>
      <c r="BL58" s="0" t="s">
        <v>2315</v>
      </c>
      <c r="BM58" s="0" t="s">
        <v>2315</v>
      </c>
      <c r="BN58" s="0" t="s">
        <v>3875</v>
      </c>
      <c r="BO58" s="0" t="s">
        <v>3649</v>
      </c>
      <c r="BP58" s="0" t="s">
        <v>3929</v>
      </c>
      <c r="BQ58" s="0" t="s">
        <v>3651</v>
      </c>
      <c r="BR58" s="0" t="s">
        <v>3651</v>
      </c>
      <c r="BS58" s="0" t="s">
        <v>228</v>
      </c>
      <c r="BT58" s="0" t="s">
        <v>3727</v>
      </c>
      <c r="BU58" s="0" t="s">
        <v>3930</v>
      </c>
      <c r="BV58" s="0" t="s">
        <v>3930</v>
      </c>
      <c r="BW58" s="0" t="s">
        <v>3674</v>
      </c>
      <c r="BX58" s="0" t="s">
        <v>3674</v>
      </c>
      <c r="BY58" s="0" t="s">
        <v>3674</v>
      </c>
      <c r="BZ58" s="0" t="s">
        <v>3674</v>
      </c>
      <c r="CA58" s="0" t="s">
        <v>3674</v>
      </c>
      <c r="CB58" s="0" t="s">
        <v>228</v>
      </c>
      <c r="CC58" s="0" t="s">
        <v>228</v>
      </c>
      <c r="CD58" s="0" t="s">
        <v>228</v>
      </c>
      <c r="CE58" s="0" t="s">
        <v>228</v>
      </c>
      <c r="CF58" s="0" t="s">
        <v>228</v>
      </c>
      <c r="CG58" s="0" t="s">
        <v>3674</v>
      </c>
      <c r="CH58" s="0" t="s">
        <v>228</v>
      </c>
      <c r="CI58" s="0" t="s">
        <v>228</v>
      </c>
      <c r="CJ58" s="0" t="s">
        <v>228</v>
      </c>
      <c r="CK58" s="0" t="s">
        <v>228</v>
      </c>
      <c r="CL58" s="0" t="s">
        <v>228</v>
      </c>
      <c r="CM58" s="0" t="s">
        <v>3930</v>
      </c>
      <c r="CN58" s="0" t="s">
        <v>3930</v>
      </c>
      <c r="CO58" s="0" t="s">
        <v>228</v>
      </c>
      <c r="CP58" s="0" t="s">
        <v>228</v>
      </c>
      <c r="CQ58" s="0" t="s">
        <v>228</v>
      </c>
      <c r="CR58" s="0" t="s">
        <v>228</v>
      </c>
      <c r="CS58" s="0" t="s">
        <v>3628</v>
      </c>
      <c r="CT58" s="0" t="s">
        <v>3568</v>
      </c>
      <c r="CU58" s="0" t="s">
        <v>3569</v>
      </c>
      <c r="CV58" s="0" t="s">
        <v>418</v>
      </c>
      <c r="CW58" s="0" t="s">
        <v>3656</v>
      </c>
      <c r="CX58" s="0" t="s">
        <v>419</v>
      </c>
      <c r="CY58" s="0" t="s">
        <v>418</v>
      </c>
      <c r="CZ58" s="0" t="s">
        <v>3657</v>
      </c>
      <c r="DA58" s="0" t="s">
        <v>3658</v>
      </c>
      <c r="DB58" s="0" t="s">
        <v>3656</v>
      </c>
      <c r="DC58" s="0" t="s">
        <v>362</v>
      </c>
      <c r="DD58" s="0" t="s">
        <v>3572</v>
      </c>
      <c r="DE58" s="0" t="s">
        <v>3659</v>
      </c>
    </row>
    <row customHeight="1" ht="11.25">
      <c r="A59" s="1353" t="s">
        <v>228</v>
      </c>
      <c r="B59" s="0" t="s">
        <v>228</v>
      </c>
      <c r="C59" s="0" t="s">
        <v>228</v>
      </c>
      <c r="D59" s="0" t="s">
        <v>228</v>
      </c>
      <c r="E59" s="0" t="s">
        <v>228</v>
      </c>
      <c r="F59" s="0" t="s">
        <v>228</v>
      </c>
      <c r="G59" s="0" t="s">
        <v>228</v>
      </c>
      <c r="H59" s="0" t="s">
        <v>228</v>
      </c>
      <c r="I59" s="0" t="s">
        <v>3555</v>
      </c>
      <c r="J59" s="0" t="s">
        <v>228</v>
      </c>
      <c r="K59" s="0" t="s">
        <v>228</v>
      </c>
      <c r="L59" s="0" t="s">
        <v>228</v>
      </c>
      <c r="M59" s="0" t="s">
        <v>228</v>
      </c>
      <c r="N59" s="0" t="s">
        <v>228</v>
      </c>
      <c r="O59" s="0" t="s">
        <v>228</v>
      </c>
      <c r="P59" s="0" t="s">
        <v>228</v>
      </c>
      <c r="Q59" s="0" t="s">
        <v>228</v>
      </c>
      <c r="R59" s="0" t="s">
        <v>3648</v>
      </c>
      <c r="S59" s="0" t="s">
        <v>228</v>
      </c>
      <c r="T59" s="0" t="s">
        <v>228</v>
      </c>
      <c r="U59" s="0" t="s">
        <v>101</v>
      </c>
      <c r="V59" s="0" t="s">
        <v>228</v>
      </c>
      <c r="W59" s="0" t="s">
        <v>228</v>
      </c>
      <c r="X59" s="0" t="s">
        <v>3557</v>
      </c>
      <c r="Y59" s="0" t="s">
        <v>228</v>
      </c>
      <c r="Z59" s="0" t="s">
        <v>160</v>
      </c>
      <c r="AA59" s="0" t="s">
        <v>151</v>
      </c>
      <c r="AB59" s="0" t="s">
        <v>151</v>
      </c>
      <c r="AC59" s="0" t="s">
        <v>2315</v>
      </c>
      <c r="AD59" s="0" t="s">
        <v>2315</v>
      </c>
      <c r="AE59" s="0" t="s">
        <v>2316</v>
      </c>
      <c r="AF59" s="0" t="s">
        <v>3931</v>
      </c>
      <c r="AG59" s="0" t="s">
        <v>3932</v>
      </c>
      <c r="AH59" s="0" t="s">
        <v>3933</v>
      </c>
      <c r="AI59" s="0" t="s">
        <v>489</v>
      </c>
      <c r="AJ59" s="0" t="s">
        <v>3652</v>
      </c>
      <c r="AK59" s="0" t="s">
        <v>3891</v>
      </c>
      <c r="AL59" s="0" t="s">
        <v>3581</v>
      </c>
      <c r="AM59" s="0" t="s">
        <v>3565</v>
      </c>
      <c r="AN59" s="0" t="s">
        <v>3654</v>
      </c>
      <c r="AO59" s="0" t="s">
        <v>3934</v>
      </c>
      <c r="AP59" s="0" t="s">
        <v>228</v>
      </c>
      <c r="AQ59" s="0" t="s">
        <v>228</v>
      </c>
      <c r="AR59" s="0" t="s">
        <v>228</v>
      </c>
      <c r="AS59" s="0" t="s">
        <v>228</v>
      </c>
      <c r="AT59" s="0" t="s">
        <v>228</v>
      </c>
      <c r="AU59" s="0" t="s">
        <v>228</v>
      </c>
      <c r="AV59" s="0" t="s">
        <v>228</v>
      </c>
      <c r="AW59" s="0" t="s">
        <v>228</v>
      </c>
      <c r="AX59" s="0" t="s">
        <v>228</v>
      </c>
      <c r="AY59" s="0" t="s">
        <v>228</v>
      </c>
      <c r="AZ59" s="0" t="s">
        <v>228</v>
      </c>
      <c r="BA59" s="0" t="s">
        <v>228</v>
      </c>
      <c r="BB59" s="0" t="s">
        <v>228</v>
      </c>
      <c r="BC59" s="0" t="s">
        <v>228</v>
      </c>
      <c r="BD59" s="0" t="s">
        <v>228</v>
      </c>
      <c r="BE59" s="0" t="s">
        <v>228</v>
      </c>
      <c r="BF59" s="0" t="s">
        <v>228</v>
      </c>
      <c r="BG59" s="0" t="s">
        <v>228</v>
      </c>
      <c r="BH59" s="0" t="s">
        <v>228</v>
      </c>
      <c r="BI59" s="0" t="s">
        <v>228</v>
      </c>
      <c r="BJ59" s="0" t="s">
        <v>228</v>
      </c>
      <c r="BK59" s="0" t="s">
        <v>228</v>
      </c>
      <c r="BL59" s="0" t="s">
        <v>228</v>
      </c>
      <c r="BM59" s="0" t="s">
        <v>228</v>
      </c>
      <c r="BN59" s="0" t="s">
        <v>228</v>
      </c>
      <c r="BO59" s="0" t="s">
        <v>228</v>
      </c>
      <c r="BP59" s="0" t="s">
        <v>228</v>
      </c>
      <c r="BQ59" s="0" t="s">
        <v>228</v>
      </c>
      <c r="BR59" s="0" t="s">
        <v>228</v>
      </c>
      <c r="BS59" s="0" t="s">
        <v>228</v>
      </c>
      <c r="BT59" s="0" t="s">
        <v>228</v>
      </c>
      <c r="BU59" s="0" t="s">
        <v>228</v>
      </c>
      <c r="BV59" s="0" t="s">
        <v>228</v>
      </c>
      <c r="BW59" s="0" t="s">
        <v>228</v>
      </c>
      <c r="BX59" s="0" t="s">
        <v>228</v>
      </c>
      <c r="BY59" s="0" t="s">
        <v>228</v>
      </c>
      <c r="BZ59" s="0" t="s">
        <v>228</v>
      </c>
      <c r="CA59" s="0" t="s">
        <v>228</v>
      </c>
      <c r="CB59" s="0" t="s">
        <v>228</v>
      </c>
      <c r="CC59" s="0" t="s">
        <v>228</v>
      </c>
      <c r="CD59" s="0" t="s">
        <v>228</v>
      </c>
      <c r="CE59" s="0" t="s">
        <v>228</v>
      </c>
      <c r="CF59" s="0" t="s">
        <v>228</v>
      </c>
      <c r="CG59" s="0" t="s">
        <v>228</v>
      </c>
      <c r="CH59" s="0" t="s">
        <v>228</v>
      </c>
      <c r="CI59" s="0" t="s">
        <v>228</v>
      </c>
      <c r="CJ59" s="0" t="s">
        <v>228</v>
      </c>
      <c r="CK59" s="0" t="s">
        <v>228</v>
      </c>
      <c r="CL59" s="0" t="s">
        <v>228</v>
      </c>
      <c r="CM59" s="0" t="s">
        <v>228</v>
      </c>
      <c r="CN59" s="0" t="s">
        <v>228</v>
      </c>
      <c r="CO59" s="0" t="s">
        <v>228</v>
      </c>
      <c r="CP59" s="0" t="s">
        <v>228</v>
      </c>
      <c r="CQ59" s="0" t="s">
        <v>228</v>
      </c>
      <c r="CR59" s="0" t="s">
        <v>228</v>
      </c>
      <c r="CS59" s="0" t="s">
        <v>228</v>
      </c>
      <c r="CT59" s="0" t="s">
        <v>3568</v>
      </c>
      <c r="CU59" s="0" t="s">
        <v>3569</v>
      </c>
      <c r="CV59" s="0" t="s">
        <v>418</v>
      </c>
      <c r="CW59" s="0" t="s">
        <v>3656</v>
      </c>
      <c r="CX59" s="0" t="s">
        <v>419</v>
      </c>
      <c r="CY59" s="0" t="s">
        <v>418</v>
      </c>
      <c r="CZ59" s="0" t="s">
        <v>3657</v>
      </c>
      <c r="DA59" s="0" t="s">
        <v>3658</v>
      </c>
      <c r="DB59" s="0" t="s">
        <v>3656</v>
      </c>
      <c r="DC59" s="0" t="s">
        <v>362</v>
      </c>
      <c r="DD59" s="0" t="s">
        <v>3572</v>
      </c>
      <c r="DE59" s="0" t="s">
        <v>3935</v>
      </c>
    </row>
    <row customHeight="1" ht="11.25">
      <c r="A60" s="1353" t="s">
        <v>228</v>
      </c>
      <c r="B60" s="0" t="s">
        <v>228</v>
      </c>
      <c r="C60" s="0" t="s">
        <v>228</v>
      </c>
      <c r="D60" s="0" t="s">
        <v>228</v>
      </c>
      <c r="E60" s="0" t="s">
        <v>228</v>
      </c>
      <c r="F60" s="0" t="s">
        <v>228</v>
      </c>
      <c r="G60" s="0" t="s">
        <v>228</v>
      </c>
      <c r="H60" s="0" t="s">
        <v>228</v>
      </c>
      <c r="I60" s="0" t="s">
        <v>3555</v>
      </c>
      <c r="J60" s="0" t="s">
        <v>228</v>
      </c>
      <c r="K60" s="0" t="s">
        <v>228</v>
      </c>
      <c r="L60" s="0" t="s">
        <v>228</v>
      </c>
      <c r="M60" s="0" t="s">
        <v>228</v>
      </c>
      <c r="N60" s="0" t="s">
        <v>228</v>
      </c>
      <c r="O60" s="0" t="s">
        <v>228</v>
      </c>
      <c r="P60" s="0" t="s">
        <v>228</v>
      </c>
      <c r="Q60" s="0" t="s">
        <v>228</v>
      </c>
      <c r="R60" s="0" t="s">
        <v>3936</v>
      </c>
      <c r="S60" s="0" t="s">
        <v>228</v>
      </c>
      <c r="T60" s="0" t="s">
        <v>228</v>
      </c>
      <c r="U60" s="0" t="s">
        <v>101</v>
      </c>
      <c r="V60" s="0" t="s">
        <v>228</v>
      </c>
      <c r="W60" s="0" t="s">
        <v>228</v>
      </c>
      <c r="X60" s="0" t="s">
        <v>3557</v>
      </c>
      <c r="Y60" s="0" t="s">
        <v>228</v>
      </c>
      <c r="Z60" s="0" t="s">
        <v>160</v>
      </c>
      <c r="AA60" s="0" t="s">
        <v>151</v>
      </c>
      <c r="AB60" s="0" t="s">
        <v>151</v>
      </c>
      <c r="AC60" s="0" t="s">
        <v>2715</v>
      </c>
      <c r="AD60" s="0" t="s">
        <v>2715</v>
      </c>
      <c r="AE60" s="0" t="s">
        <v>2716</v>
      </c>
      <c r="AF60" s="0" t="s">
        <v>3594</v>
      </c>
      <c r="AG60" s="0" t="s">
        <v>3595</v>
      </c>
      <c r="AH60" s="0" t="s">
        <v>3937</v>
      </c>
      <c r="AI60" s="0" t="s">
        <v>3938</v>
      </c>
      <c r="AJ60" s="0" t="s">
        <v>3939</v>
      </c>
      <c r="AK60" s="0" t="s">
        <v>3940</v>
      </c>
      <c r="AL60" s="0" t="s">
        <v>3681</v>
      </c>
      <c r="AM60" s="0" t="s">
        <v>3565</v>
      </c>
      <c r="AN60" s="0" t="s">
        <v>3654</v>
      </c>
      <c r="AO60" s="0" t="s">
        <v>3941</v>
      </c>
      <c r="AP60" s="0" t="s">
        <v>228</v>
      </c>
      <c r="AQ60" s="0" t="s">
        <v>228</v>
      </c>
      <c r="AR60" s="0" t="s">
        <v>228</v>
      </c>
      <c r="AS60" s="0" t="s">
        <v>228</v>
      </c>
      <c r="AT60" s="0" t="s">
        <v>228</v>
      </c>
      <c r="AU60" s="0" t="s">
        <v>228</v>
      </c>
      <c r="AV60" s="0" t="s">
        <v>228</v>
      </c>
      <c r="AW60" s="0" t="s">
        <v>228</v>
      </c>
      <c r="AX60" s="0" t="s">
        <v>228</v>
      </c>
      <c r="AY60" s="0" t="s">
        <v>228</v>
      </c>
      <c r="AZ60" s="0" t="s">
        <v>228</v>
      </c>
      <c r="BA60" s="0" t="s">
        <v>228</v>
      </c>
      <c r="BB60" s="0" t="s">
        <v>228</v>
      </c>
      <c r="BC60" s="0" t="s">
        <v>228</v>
      </c>
      <c r="BD60" s="0" t="s">
        <v>228</v>
      </c>
      <c r="BE60" s="0" t="s">
        <v>228</v>
      </c>
      <c r="BF60" s="0" t="s">
        <v>228</v>
      </c>
      <c r="BG60" s="0" t="s">
        <v>228</v>
      </c>
      <c r="BH60" s="0" t="s">
        <v>228</v>
      </c>
      <c r="BI60" s="0" t="s">
        <v>228</v>
      </c>
      <c r="BJ60" s="0" t="s">
        <v>228</v>
      </c>
      <c r="BK60" s="0" t="s">
        <v>228</v>
      </c>
      <c r="BL60" s="0" t="s">
        <v>228</v>
      </c>
      <c r="BM60" s="0" t="s">
        <v>228</v>
      </c>
      <c r="BN60" s="0" t="s">
        <v>228</v>
      </c>
      <c r="BO60" s="0" t="s">
        <v>228</v>
      </c>
      <c r="BP60" s="0" t="s">
        <v>228</v>
      </c>
      <c r="BQ60" s="0" t="s">
        <v>228</v>
      </c>
      <c r="BR60" s="0" t="s">
        <v>228</v>
      </c>
      <c r="BS60" s="0" t="s">
        <v>228</v>
      </c>
      <c r="BT60" s="0" t="s">
        <v>228</v>
      </c>
      <c r="BU60" s="0" t="s">
        <v>228</v>
      </c>
      <c r="BV60" s="0" t="s">
        <v>228</v>
      </c>
      <c r="BW60" s="0" t="s">
        <v>228</v>
      </c>
      <c r="BX60" s="0" t="s">
        <v>228</v>
      </c>
      <c r="BY60" s="0" t="s">
        <v>228</v>
      </c>
      <c r="BZ60" s="0" t="s">
        <v>228</v>
      </c>
      <c r="CA60" s="0" t="s">
        <v>228</v>
      </c>
      <c r="CB60" s="0" t="s">
        <v>228</v>
      </c>
      <c r="CC60" s="0" t="s">
        <v>228</v>
      </c>
      <c r="CD60" s="0" t="s">
        <v>228</v>
      </c>
      <c r="CE60" s="0" t="s">
        <v>228</v>
      </c>
      <c r="CF60" s="0" t="s">
        <v>228</v>
      </c>
      <c r="CG60" s="0" t="s">
        <v>228</v>
      </c>
      <c r="CH60" s="0" t="s">
        <v>228</v>
      </c>
      <c r="CI60" s="0" t="s">
        <v>228</v>
      </c>
      <c r="CJ60" s="0" t="s">
        <v>228</v>
      </c>
      <c r="CK60" s="0" t="s">
        <v>228</v>
      </c>
      <c r="CL60" s="0" t="s">
        <v>228</v>
      </c>
      <c r="CM60" s="0" t="s">
        <v>228</v>
      </c>
      <c r="CN60" s="0" t="s">
        <v>228</v>
      </c>
      <c r="CO60" s="0" t="s">
        <v>228</v>
      </c>
      <c r="CP60" s="0" t="s">
        <v>228</v>
      </c>
      <c r="CQ60" s="0" t="s">
        <v>228</v>
      </c>
      <c r="CR60" s="0" t="s">
        <v>228</v>
      </c>
      <c r="CS60" s="0" t="s">
        <v>228</v>
      </c>
      <c r="CT60" s="0" t="s">
        <v>3568</v>
      </c>
      <c r="CU60" s="0" t="s">
        <v>3569</v>
      </c>
      <c r="CV60" s="0" t="s">
        <v>418</v>
      </c>
      <c r="CW60" s="0" t="s">
        <v>3602</v>
      </c>
      <c r="CX60" s="0" t="s">
        <v>3603</v>
      </c>
      <c r="CY60" s="0" t="s">
        <v>418</v>
      </c>
      <c r="CZ60" s="0" t="s">
        <v>504</v>
      </c>
      <c r="DA60" s="0" t="s">
        <v>3604</v>
      </c>
      <c r="DB60" s="0" t="s">
        <v>3602</v>
      </c>
      <c r="DC60" s="0" t="s">
        <v>362</v>
      </c>
      <c r="DD60" s="0" t="s">
        <v>3572</v>
      </c>
      <c r="DE60" s="0" t="s">
        <v>3942</v>
      </c>
    </row>
    <row customHeight="1" ht="11.25">
      <c r="A61" s="1353" t="s">
        <v>228</v>
      </c>
      <c r="B61" s="0" t="s">
        <v>228</v>
      </c>
      <c r="C61" s="0" t="s">
        <v>228</v>
      </c>
      <c r="D61" s="0" t="s">
        <v>228</v>
      </c>
      <c r="E61" s="0" t="s">
        <v>228</v>
      </c>
      <c r="F61" s="0" t="s">
        <v>228</v>
      </c>
      <c r="G61" s="0" t="s">
        <v>228</v>
      </c>
      <c r="H61" s="0" t="s">
        <v>228</v>
      </c>
      <c r="I61" s="0" t="s">
        <v>3555</v>
      </c>
      <c r="J61" s="0" t="s">
        <v>228</v>
      </c>
      <c r="K61" s="0" t="s">
        <v>228</v>
      </c>
      <c r="L61" s="0" t="s">
        <v>228</v>
      </c>
      <c r="M61" s="0" t="s">
        <v>228</v>
      </c>
      <c r="N61" s="0" t="s">
        <v>228</v>
      </c>
      <c r="O61" s="0" t="s">
        <v>228</v>
      </c>
      <c r="P61" s="0" t="s">
        <v>228</v>
      </c>
      <c r="Q61" s="0" t="s">
        <v>228</v>
      </c>
      <c r="R61" s="0" t="s">
        <v>3648</v>
      </c>
      <c r="S61" s="0" t="s">
        <v>228</v>
      </c>
      <c r="T61" s="0" t="s">
        <v>228</v>
      </c>
      <c r="U61" s="0" t="s">
        <v>101</v>
      </c>
      <c r="V61" s="0" t="s">
        <v>228</v>
      </c>
      <c r="W61" s="0" t="s">
        <v>228</v>
      </c>
      <c r="X61" s="0" t="s">
        <v>3557</v>
      </c>
      <c r="Y61" s="0" t="s">
        <v>228</v>
      </c>
      <c r="Z61" s="0" t="s">
        <v>160</v>
      </c>
      <c r="AA61" s="0" t="s">
        <v>151</v>
      </c>
      <c r="AB61" s="0" t="s">
        <v>151</v>
      </c>
      <c r="AC61" s="0" t="s">
        <v>2317</v>
      </c>
      <c r="AD61" s="0" t="s">
        <v>2317</v>
      </c>
      <c r="AE61" s="0" t="s">
        <v>2318</v>
      </c>
      <c r="AF61" s="0" t="s">
        <v>3943</v>
      </c>
      <c r="AG61" s="0" t="s">
        <v>3944</v>
      </c>
      <c r="AH61" s="0" t="s">
        <v>3945</v>
      </c>
      <c r="AI61" s="0" t="s">
        <v>1688</v>
      </c>
      <c r="AJ61" s="0" t="s">
        <v>3652</v>
      </c>
      <c r="AK61" s="0" t="s">
        <v>3619</v>
      </c>
      <c r="AL61" s="0" t="s">
        <v>3581</v>
      </c>
      <c r="AM61" s="0" t="s">
        <v>3565</v>
      </c>
      <c r="AN61" s="0" t="s">
        <v>3628</v>
      </c>
      <c r="AO61" s="0" t="s">
        <v>3946</v>
      </c>
      <c r="AP61" s="0" t="s">
        <v>228</v>
      </c>
      <c r="AQ61" s="0" t="s">
        <v>228</v>
      </c>
      <c r="AR61" s="0" t="s">
        <v>228</v>
      </c>
      <c r="AS61" s="0" t="s">
        <v>228</v>
      </c>
      <c r="AT61" s="0" t="s">
        <v>228</v>
      </c>
      <c r="AU61" s="0" t="s">
        <v>228</v>
      </c>
      <c r="AV61" s="0" t="s">
        <v>228</v>
      </c>
      <c r="AW61" s="0" t="s">
        <v>228</v>
      </c>
      <c r="AX61" s="0" t="s">
        <v>228</v>
      </c>
      <c r="AY61" s="0" t="s">
        <v>228</v>
      </c>
      <c r="AZ61" s="0" t="s">
        <v>228</v>
      </c>
      <c r="BA61" s="0" t="s">
        <v>228</v>
      </c>
      <c r="BB61" s="0" t="s">
        <v>228</v>
      </c>
      <c r="BC61" s="0" t="s">
        <v>228</v>
      </c>
      <c r="BD61" s="0" t="s">
        <v>228</v>
      </c>
      <c r="BE61" s="0" t="s">
        <v>228</v>
      </c>
      <c r="BF61" s="0" t="s">
        <v>228</v>
      </c>
      <c r="BG61" s="0" t="s">
        <v>228</v>
      </c>
      <c r="BH61" s="0" t="s">
        <v>228</v>
      </c>
      <c r="BI61" s="0" t="s">
        <v>228</v>
      </c>
      <c r="BJ61" s="0" t="s">
        <v>228</v>
      </c>
      <c r="BK61" s="0" t="s">
        <v>228</v>
      </c>
      <c r="BL61" s="0" t="s">
        <v>228</v>
      </c>
      <c r="BM61" s="0" t="s">
        <v>228</v>
      </c>
      <c r="BN61" s="0" t="s">
        <v>228</v>
      </c>
      <c r="BO61" s="0" t="s">
        <v>228</v>
      </c>
      <c r="BP61" s="0" t="s">
        <v>228</v>
      </c>
      <c r="BQ61" s="0" t="s">
        <v>228</v>
      </c>
      <c r="BR61" s="0" t="s">
        <v>228</v>
      </c>
      <c r="BS61" s="0" t="s">
        <v>228</v>
      </c>
      <c r="BT61" s="0" t="s">
        <v>228</v>
      </c>
      <c r="BU61" s="0" t="s">
        <v>228</v>
      </c>
      <c r="BV61" s="0" t="s">
        <v>228</v>
      </c>
      <c r="BW61" s="0" t="s">
        <v>228</v>
      </c>
      <c r="BX61" s="0" t="s">
        <v>228</v>
      </c>
      <c r="BY61" s="0" t="s">
        <v>228</v>
      </c>
      <c r="BZ61" s="0" t="s">
        <v>228</v>
      </c>
      <c r="CA61" s="0" t="s">
        <v>228</v>
      </c>
      <c r="CB61" s="0" t="s">
        <v>228</v>
      </c>
      <c r="CC61" s="0" t="s">
        <v>228</v>
      </c>
      <c r="CD61" s="0" t="s">
        <v>228</v>
      </c>
      <c r="CE61" s="0" t="s">
        <v>228</v>
      </c>
      <c r="CF61" s="0" t="s">
        <v>228</v>
      </c>
      <c r="CG61" s="0" t="s">
        <v>228</v>
      </c>
      <c r="CH61" s="0" t="s">
        <v>228</v>
      </c>
      <c r="CI61" s="0" t="s">
        <v>228</v>
      </c>
      <c r="CJ61" s="0" t="s">
        <v>228</v>
      </c>
      <c r="CK61" s="0" t="s">
        <v>228</v>
      </c>
      <c r="CL61" s="0" t="s">
        <v>228</v>
      </c>
      <c r="CM61" s="0" t="s">
        <v>228</v>
      </c>
      <c r="CN61" s="0" t="s">
        <v>228</v>
      </c>
      <c r="CO61" s="0" t="s">
        <v>228</v>
      </c>
      <c r="CP61" s="0" t="s">
        <v>228</v>
      </c>
      <c r="CQ61" s="0" t="s">
        <v>228</v>
      </c>
      <c r="CR61" s="0" t="s">
        <v>228</v>
      </c>
      <c r="CS61" s="0" t="s">
        <v>228</v>
      </c>
      <c r="CT61" s="0" t="s">
        <v>3568</v>
      </c>
      <c r="CU61" s="0" t="s">
        <v>3569</v>
      </c>
      <c r="CV61" s="0" t="s">
        <v>418</v>
      </c>
      <c r="CW61" s="0" t="s">
        <v>3622</v>
      </c>
      <c r="CX61" s="0" t="s">
        <v>419</v>
      </c>
      <c r="CY61" s="0" t="s">
        <v>418</v>
      </c>
      <c r="CZ61" s="0" t="s">
        <v>3623</v>
      </c>
      <c r="DA61" s="0" t="s">
        <v>3624</v>
      </c>
      <c r="DB61" s="0" t="s">
        <v>3622</v>
      </c>
      <c r="DC61" s="0" t="s">
        <v>362</v>
      </c>
      <c r="DD61" s="0" t="s">
        <v>3572</v>
      </c>
      <c r="DE61" s="0" t="s">
        <v>3947</v>
      </c>
    </row>
    <row customHeight="1" ht="11.25">
      <c r="A62" s="1353" t="s">
        <v>228</v>
      </c>
      <c r="B62" s="0" t="s">
        <v>228</v>
      </c>
      <c r="C62" s="0" t="s">
        <v>228</v>
      </c>
      <c r="D62" s="0" t="s">
        <v>228</v>
      </c>
      <c r="E62" s="0" t="s">
        <v>228</v>
      </c>
      <c r="F62" s="0" t="s">
        <v>228</v>
      </c>
      <c r="G62" s="0" t="s">
        <v>228</v>
      </c>
      <c r="H62" s="0" t="s">
        <v>228</v>
      </c>
      <c r="I62" s="0" t="s">
        <v>3555</v>
      </c>
      <c r="J62" s="0" t="s">
        <v>228</v>
      </c>
      <c r="K62" s="0" t="s">
        <v>228</v>
      </c>
      <c r="L62" s="0" t="s">
        <v>228</v>
      </c>
      <c r="M62" s="0" t="s">
        <v>228</v>
      </c>
      <c r="N62" s="0" t="s">
        <v>228</v>
      </c>
      <c r="O62" s="0" t="s">
        <v>228</v>
      </c>
      <c r="P62" s="0" t="s">
        <v>228</v>
      </c>
      <c r="Q62" s="0" t="s">
        <v>228</v>
      </c>
      <c r="R62" s="0" t="s">
        <v>3948</v>
      </c>
      <c r="S62" s="0" t="s">
        <v>228</v>
      </c>
      <c r="T62" s="0" t="s">
        <v>228</v>
      </c>
      <c r="U62" s="0" t="s">
        <v>101</v>
      </c>
      <c r="V62" s="0" t="s">
        <v>228</v>
      </c>
      <c r="W62" s="0" t="s">
        <v>228</v>
      </c>
      <c r="X62" s="0" t="s">
        <v>3557</v>
      </c>
      <c r="Y62" s="0" t="s">
        <v>228</v>
      </c>
      <c r="Z62" s="0" t="s">
        <v>160</v>
      </c>
      <c r="AA62" s="0" t="s">
        <v>151</v>
      </c>
      <c r="AB62" s="0" t="s">
        <v>151</v>
      </c>
      <c r="AC62" s="0" t="s">
        <v>2715</v>
      </c>
      <c r="AD62" s="0" t="s">
        <v>2715</v>
      </c>
      <c r="AE62" s="0" t="s">
        <v>2716</v>
      </c>
      <c r="AF62" s="0" t="s">
        <v>3594</v>
      </c>
      <c r="AG62" s="0" t="s">
        <v>3595</v>
      </c>
      <c r="AH62" s="0" t="s">
        <v>3949</v>
      </c>
      <c r="AI62" s="0" t="s">
        <v>3950</v>
      </c>
      <c r="AJ62" s="0" t="s">
        <v>3951</v>
      </c>
      <c r="AK62" s="0" t="s">
        <v>3952</v>
      </c>
      <c r="AL62" s="0" t="s">
        <v>3599</v>
      </c>
      <c r="AM62" s="0" t="s">
        <v>3565</v>
      </c>
      <c r="AN62" s="0" t="s">
        <v>3953</v>
      </c>
      <c r="AO62" s="0" t="s">
        <v>3954</v>
      </c>
      <c r="AP62" s="0" t="s">
        <v>228</v>
      </c>
      <c r="AQ62" s="0" t="s">
        <v>228</v>
      </c>
      <c r="AR62" s="0" t="s">
        <v>228</v>
      </c>
      <c r="AS62" s="0" t="s">
        <v>228</v>
      </c>
      <c r="AT62" s="0" t="s">
        <v>228</v>
      </c>
      <c r="AU62" s="0" t="s">
        <v>228</v>
      </c>
      <c r="AV62" s="0" t="s">
        <v>228</v>
      </c>
      <c r="AW62" s="0" t="s">
        <v>228</v>
      </c>
      <c r="AX62" s="0" t="s">
        <v>228</v>
      </c>
      <c r="AY62" s="0" t="s">
        <v>228</v>
      </c>
      <c r="AZ62" s="0" t="s">
        <v>228</v>
      </c>
      <c r="BA62" s="0" t="s">
        <v>228</v>
      </c>
      <c r="BB62" s="0" t="s">
        <v>228</v>
      </c>
      <c r="BC62" s="0" t="s">
        <v>228</v>
      </c>
      <c r="BD62" s="0" t="s">
        <v>228</v>
      </c>
      <c r="BE62" s="0" t="s">
        <v>228</v>
      </c>
      <c r="BF62" s="0" t="s">
        <v>228</v>
      </c>
      <c r="BG62" s="0" t="s">
        <v>228</v>
      </c>
      <c r="BH62" s="0" t="s">
        <v>228</v>
      </c>
      <c r="BI62" s="0" t="s">
        <v>228</v>
      </c>
      <c r="BJ62" s="0" t="s">
        <v>228</v>
      </c>
      <c r="BK62" s="0" t="s">
        <v>228</v>
      </c>
      <c r="BL62" s="0" t="s">
        <v>228</v>
      </c>
      <c r="BM62" s="0" t="s">
        <v>228</v>
      </c>
      <c r="BN62" s="0" t="s">
        <v>228</v>
      </c>
      <c r="BO62" s="0" t="s">
        <v>228</v>
      </c>
      <c r="BP62" s="0" t="s">
        <v>228</v>
      </c>
      <c r="BQ62" s="0" t="s">
        <v>228</v>
      </c>
      <c r="BR62" s="0" t="s">
        <v>228</v>
      </c>
      <c r="BS62" s="0" t="s">
        <v>228</v>
      </c>
      <c r="BT62" s="0" t="s">
        <v>228</v>
      </c>
      <c r="BU62" s="0" t="s">
        <v>228</v>
      </c>
      <c r="BV62" s="0" t="s">
        <v>228</v>
      </c>
      <c r="BW62" s="0" t="s">
        <v>228</v>
      </c>
      <c r="BX62" s="0" t="s">
        <v>228</v>
      </c>
      <c r="BY62" s="0" t="s">
        <v>228</v>
      </c>
      <c r="BZ62" s="0" t="s">
        <v>228</v>
      </c>
      <c r="CA62" s="0" t="s">
        <v>228</v>
      </c>
      <c r="CB62" s="0" t="s">
        <v>228</v>
      </c>
      <c r="CC62" s="0" t="s">
        <v>228</v>
      </c>
      <c r="CD62" s="0" t="s">
        <v>228</v>
      </c>
      <c r="CE62" s="0" t="s">
        <v>228</v>
      </c>
      <c r="CF62" s="0" t="s">
        <v>228</v>
      </c>
      <c r="CG62" s="0" t="s">
        <v>228</v>
      </c>
      <c r="CH62" s="0" t="s">
        <v>228</v>
      </c>
      <c r="CI62" s="0" t="s">
        <v>228</v>
      </c>
      <c r="CJ62" s="0" t="s">
        <v>228</v>
      </c>
      <c r="CK62" s="0" t="s">
        <v>228</v>
      </c>
      <c r="CL62" s="0" t="s">
        <v>228</v>
      </c>
      <c r="CM62" s="0" t="s">
        <v>228</v>
      </c>
      <c r="CN62" s="0" t="s">
        <v>228</v>
      </c>
      <c r="CO62" s="0" t="s">
        <v>228</v>
      </c>
      <c r="CP62" s="0" t="s">
        <v>228</v>
      </c>
      <c r="CQ62" s="0" t="s">
        <v>228</v>
      </c>
      <c r="CR62" s="0" t="s">
        <v>228</v>
      </c>
      <c r="CS62" s="0" t="s">
        <v>228</v>
      </c>
      <c r="CT62" s="0" t="s">
        <v>3568</v>
      </c>
      <c r="CU62" s="0" t="s">
        <v>3569</v>
      </c>
      <c r="CV62" s="0" t="s">
        <v>418</v>
      </c>
      <c r="CW62" s="0" t="s">
        <v>3602</v>
      </c>
      <c r="CX62" s="0" t="s">
        <v>3603</v>
      </c>
      <c r="CY62" s="0" t="s">
        <v>418</v>
      </c>
      <c r="CZ62" s="0" t="s">
        <v>504</v>
      </c>
      <c r="DA62" s="0" t="s">
        <v>3604</v>
      </c>
      <c r="DB62" s="0" t="s">
        <v>3602</v>
      </c>
      <c r="DC62" s="0" t="s">
        <v>362</v>
      </c>
      <c r="DD62" s="0" t="s">
        <v>3572</v>
      </c>
      <c r="DE62" s="0" t="s">
        <v>3955</v>
      </c>
    </row>
    <row customHeight="1" ht="11.25">
      <c r="A63" s="1353" t="s">
        <v>228</v>
      </c>
      <c r="B63" s="0" t="s">
        <v>228</v>
      </c>
      <c r="C63" s="0" t="s">
        <v>228</v>
      </c>
      <c r="D63" s="0" t="s">
        <v>228</v>
      </c>
      <c r="E63" s="0" t="s">
        <v>228</v>
      </c>
      <c r="F63" s="0" t="s">
        <v>228</v>
      </c>
      <c r="G63" s="0" t="s">
        <v>228</v>
      </c>
      <c r="H63" s="0" t="s">
        <v>228</v>
      </c>
      <c r="I63" s="0" t="s">
        <v>3555</v>
      </c>
      <c r="J63" s="0" t="s">
        <v>228</v>
      </c>
      <c r="K63" s="0" t="s">
        <v>228</v>
      </c>
      <c r="L63" s="0" t="s">
        <v>228</v>
      </c>
      <c r="M63" s="0" t="s">
        <v>228</v>
      </c>
      <c r="N63" s="0" t="s">
        <v>228</v>
      </c>
      <c r="O63" s="0" t="s">
        <v>228</v>
      </c>
      <c r="P63" s="0" t="s">
        <v>228</v>
      </c>
      <c r="Q63" s="0" t="s">
        <v>228</v>
      </c>
      <c r="R63" s="0" t="s">
        <v>3648</v>
      </c>
      <c r="S63" s="0" t="s">
        <v>228</v>
      </c>
      <c r="T63" s="0" t="s">
        <v>228</v>
      </c>
      <c r="U63" s="0" t="s">
        <v>101</v>
      </c>
      <c r="V63" s="0" t="s">
        <v>228</v>
      </c>
      <c r="W63" s="0" t="s">
        <v>228</v>
      </c>
      <c r="X63" s="0" t="s">
        <v>3557</v>
      </c>
      <c r="Y63" s="0" t="s">
        <v>228</v>
      </c>
      <c r="Z63" s="0" t="s">
        <v>160</v>
      </c>
      <c r="AA63" s="0" t="s">
        <v>151</v>
      </c>
      <c r="AB63" s="0" t="s">
        <v>151</v>
      </c>
      <c r="AC63" s="0" t="s">
        <v>2317</v>
      </c>
      <c r="AD63" s="0" t="s">
        <v>2317</v>
      </c>
      <c r="AE63" s="0" t="s">
        <v>2318</v>
      </c>
      <c r="AF63" s="0" t="s">
        <v>3943</v>
      </c>
      <c r="AG63" s="0" t="s">
        <v>3944</v>
      </c>
      <c r="AH63" s="0" t="s">
        <v>3651</v>
      </c>
      <c r="AI63" s="0" t="s">
        <v>3651</v>
      </c>
      <c r="AJ63" s="0" t="s">
        <v>3652</v>
      </c>
      <c r="AK63" s="0" t="s">
        <v>3619</v>
      </c>
      <c r="AL63" s="0" t="s">
        <v>3581</v>
      </c>
      <c r="AM63" s="0" t="s">
        <v>3565</v>
      </c>
      <c r="AN63" s="0" t="s">
        <v>3628</v>
      </c>
      <c r="AO63" s="0" t="s">
        <v>3956</v>
      </c>
      <c r="AP63" s="0" t="s">
        <v>228</v>
      </c>
      <c r="AQ63" s="0" t="s">
        <v>228</v>
      </c>
      <c r="AR63" s="0" t="s">
        <v>228</v>
      </c>
      <c r="AS63" s="0" t="s">
        <v>228</v>
      </c>
      <c r="AT63" s="0" t="s">
        <v>228</v>
      </c>
      <c r="AU63" s="0" t="s">
        <v>228</v>
      </c>
      <c r="AV63" s="0" t="s">
        <v>228</v>
      </c>
      <c r="AW63" s="0" t="s">
        <v>228</v>
      </c>
      <c r="AX63" s="0" t="s">
        <v>228</v>
      </c>
      <c r="AY63" s="0" t="s">
        <v>228</v>
      </c>
      <c r="AZ63" s="0" t="s">
        <v>228</v>
      </c>
      <c r="BA63" s="0" t="s">
        <v>228</v>
      </c>
      <c r="BB63" s="0" t="s">
        <v>228</v>
      </c>
      <c r="BC63" s="0" t="s">
        <v>228</v>
      </c>
      <c r="BD63" s="0" t="s">
        <v>228</v>
      </c>
      <c r="BE63" s="0" t="s">
        <v>228</v>
      </c>
      <c r="BF63" s="0" t="s">
        <v>228</v>
      </c>
      <c r="BG63" s="0" t="s">
        <v>228</v>
      </c>
      <c r="BH63" s="0" t="s">
        <v>228</v>
      </c>
      <c r="BI63" s="0" t="s">
        <v>228</v>
      </c>
      <c r="BJ63" s="0" t="s">
        <v>228</v>
      </c>
      <c r="BK63" s="0" t="s">
        <v>228</v>
      </c>
      <c r="BL63" s="0" t="s">
        <v>228</v>
      </c>
      <c r="BM63" s="0" t="s">
        <v>228</v>
      </c>
      <c r="BN63" s="0" t="s">
        <v>228</v>
      </c>
      <c r="BO63" s="0" t="s">
        <v>228</v>
      </c>
      <c r="BP63" s="0" t="s">
        <v>228</v>
      </c>
      <c r="BQ63" s="0" t="s">
        <v>228</v>
      </c>
      <c r="BR63" s="0" t="s">
        <v>228</v>
      </c>
      <c r="BS63" s="0" t="s">
        <v>228</v>
      </c>
      <c r="BT63" s="0" t="s">
        <v>228</v>
      </c>
      <c r="BU63" s="0" t="s">
        <v>228</v>
      </c>
      <c r="BV63" s="0" t="s">
        <v>228</v>
      </c>
      <c r="BW63" s="0" t="s">
        <v>228</v>
      </c>
      <c r="BX63" s="0" t="s">
        <v>228</v>
      </c>
      <c r="BY63" s="0" t="s">
        <v>228</v>
      </c>
      <c r="BZ63" s="0" t="s">
        <v>228</v>
      </c>
      <c r="CA63" s="0" t="s">
        <v>228</v>
      </c>
      <c r="CB63" s="0" t="s">
        <v>228</v>
      </c>
      <c r="CC63" s="0" t="s">
        <v>228</v>
      </c>
      <c r="CD63" s="0" t="s">
        <v>228</v>
      </c>
      <c r="CE63" s="0" t="s">
        <v>228</v>
      </c>
      <c r="CF63" s="0" t="s">
        <v>228</v>
      </c>
      <c r="CG63" s="0" t="s">
        <v>228</v>
      </c>
      <c r="CH63" s="0" t="s">
        <v>228</v>
      </c>
      <c r="CI63" s="0" t="s">
        <v>228</v>
      </c>
      <c r="CJ63" s="0" t="s">
        <v>228</v>
      </c>
      <c r="CK63" s="0" t="s">
        <v>228</v>
      </c>
      <c r="CL63" s="0" t="s">
        <v>228</v>
      </c>
      <c r="CM63" s="0" t="s">
        <v>228</v>
      </c>
      <c r="CN63" s="0" t="s">
        <v>228</v>
      </c>
      <c r="CO63" s="0" t="s">
        <v>228</v>
      </c>
      <c r="CP63" s="0" t="s">
        <v>228</v>
      </c>
      <c r="CQ63" s="0" t="s">
        <v>228</v>
      </c>
      <c r="CR63" s="0" t="s">
        <v>228</v>
      </c>
      <c r="CS63" s="0" t="s">
        <v>228</v>
      </c>
      <c r="CT63" s="0" t="s">
        <v>3568</v>
      </c>
      <c r="CU63" s="0" t="s">
        <v>3569</v>
      </c>
      <c r="CV63" s="0" t="s">
        <v>418</v>
      </c>
      <c r="CW63" s="0" t="s">
        <v>3622</v>
      </c>
      <c r="CX63" s="0" t="s">
        <v>419</v>
      </c>
      <c r="CY63" s="0" t="s">
        <v>418</v>
      </c>
      <c r="CZ63" s="0" t="s">
        <v>3623</v>
      </c>
      <c r="DA63" s="0" t="s">
        <v>3624</v>
      </c>
      <c r="DB63" s="0" t="s">
        <v>3622</v>
      </c>
      <c r="DC63" s="0" t="s">
        <v>362</v>
      </c>
      <c r="DD63" s="0" t="s">
        <v>3572</v>
      </c>
      <c r="DE63" s="0" t="s">
        <v>3957</v>
      </c>
    </row>
    <row customHeight="1" ht="11.25">
      <c r="A64" s="1353" t="s">
        <v>228</v>
      </c>
      <c r="B64" s="0" t="s">
        <v>228</v>
      </c>
      <c r="C64" s="0" t="s">
        <v>228</v>
      </c>
      <c r="D64" s="0" t="s">
        <v>228</v>
      </c>
      <c r="E64" s="0" t="s">
        <v>228</v>
      </c>
      <c r="F64" s="0" t="s">
        <v>228</v>
      </c>
      <c r="G64" s="0" t="s">
        <v>228</v>
      </c>
      <c r="H64" s="0" t="s">
        <v>228</v>
      </c>
      <c r="I64" s="0" t="s">
        <v>3555</v>
      </c>
      <c r="J64" s="0" t="s">
        <v>228</v>
      </c>
      <c r="K64" s="0" t="s">
        <v>228</v>
      </c>
      <c r="L64" s="0" t="s">
        <v>228</v>
      </c>
      <c r="M64" s="0" t="s">
        <v>228</v>
      </c>
      <c r="N64" s="0" t="s">
        <v>228</v>
      </c>
      <c r="O64" s="0" t="s">
        <v>228</v>
      </c>
      <c r="P64" s="0" t="s">
        <v>228</v>
      </c>
      <c r="Q64" s="0" t="s">
        <v>228</v>
      </c>
      <c r="R64" s="0" t="s">
        <v>3648</v>
      </c>
      <c r="S64" s="0" t="s">
        <v>228</v>
      </c>
      <c r="T64" s="0" t="s">
        <v>228</v>
      </c>
      <c r="U64" s="0" t="s">
        <v>101</v>
      </c>
      <c r="V64" s="0" t="s">
        <v>228</v>
      </c>
      <c r="W64" s="0" t="s">
        <v>228</v>
      </c>
      <c r="X64" s="0" t="s">
        <v>3557</v>
      </c>
      <c r="Y64" s="0" t="s">
        <v>228</v>
      </c>
      <c r="Z64" s="0" t="s">
        <v>160</v>
      </c>
      <c r="AA64" s="0" t="s">
        <v>151</v>
      </c>
      <c r="AB64" s="0" t="s">
        <v>151</v>
      </c>
      <c r="AC64" s="0" t="s">
        <v>2317</v>
      </c>
      <c r="AD64" s="0" t="s">
        <v>2317</v>
      </c>
      <c r="AE64" s="0" t="s">
        <v>2318</v>
      </c>
      <c r="AF64" s="0" t="s">
        <v>3943</v>
      </c>
      <c r="AG64" s="0" t="s">
        <v>3944</v>
      </c>
      <c r="AH64" s="0" t="s">
        <v>3958</v>
      </c>
      <c r="AI64" s="0" t="s">
        <v>3651</v>
      </c>
      <c r="AJ64" s="0" t="s">
        <v>3579</v>
      </c>
      <c r="AK64" s="0" t="s">
        <v>3853</v>
      </c>
      <c r="AL64" s="0" t="s">
        <v>3581</v>
      </c>
      <c r="AM64" s="0" t="s">
        <v>3565</v>
      </c>
      <c r="AN64" s="0" t="s">
        <v>3628</v>
      </c>
      <c r="AO64" s="0" t="s">
        <v>3689</v>
      </c>
      <c r="AP64" s="0" t="s">
        <v>228</v>
      </c>
      <c r="AQ64" s="0" t="s">
        <v>228</v>
      </c>
      <c r="AR64" s="0" t="s">
        <v>228</v>
      </c>
      <c r="AS64" s="0" t="s">
        <v>228</v>
      </c>
      <c r="AT64" s="0" t="s">
        <v>228</v>
      </c>
      <c r="AU64" s="0" t="s">
        <v>228</v>
      </c>
      <c r="AV64" s="0" t="s">
        <v>228</v>
      </c>
      <c r="AW64" s="0" t="s">
        <v>228</v>
      </c>
      <c r="AX64" s="0" t="s">
        <v>228</v>
      </c>
      <c r="AY64" s="0" t="s">
        <v>228</v>
      </c>
      <c r="AZ64" s="0" t="s">
        <v>228</v>
      </c>
      <c r="BA64" s="0" t="s">
        <v>228</v>
      </c>
      <c r="BB64" s="0" t="s">
        <v>228</v>
      </c>
      <c r="BC64" s="0" t="s">
        <v>228</v>
      </c>
      <c r="BD64" s="0" t="s">
        <v>228</v>
      </c>
      <c r="BE64" s="0" t="s">
        <v>228</v>
      </c>
      <c r="BF64" s="0" t="s">
        <v>228</v>
      </c>
      <c r="BG64" s="0" t="s">
        <v>228</v>
      </c>
      <c r="BH64" s="0" t="s">
        <v>228</v>
      </c>
      <c r="BI64" s="0" t="s">
        <v>228</v>
      </c>
      <c r="BJ64" s="0" t="s">
        <v>228</v>
      </c>
      <c r="BK64" s="0" t="s">
        <v>228</v>
      </c>
      <c r="BL64" s="0" t="s">
        <v>228</v>
      </c>
      <c r="BM64" s="0" t="s">
        <v>228</v>
      </c>
      <c r="BN64" s="0" t="s">
        <v>228</v>
      </c>
      <c r="BO64" s="0" t="s">
        <v>228</v>
      </c>
      <c r="BP64" s="0" t="s">
        <v>228</v>
      </c>
      <c r="BQ64" s="0" t="s">
        <v>228</v>
      </c>
      <c r="BR64" s="0" t="s">
        <v>228</v>
      </c>
      <c r="BS64" s="0" t="s">
        <v>228</v>
      </c>
      <c r="BT64" s="0" t="s">
        <v>228</v>
      </c>
      <c r="BU64" s="0" t="s">
        <v>228</v>
      </c>
      <c r="BV64" s="0" t="s">
        <v>228</v>
      </c>
      <c r="BW64" s="0" t="s">
        <v>228</v>
      </c>
      <c r="BX64" s="0" t="s">
        <v>228</v>
      </c>
      <c r="BY64" s="0" t="s">
        <v>228</v>
      </c>
      <c r="BZ64" s="0" t="s">
        <v>228</v>
      </c>
      <c r="CA64" s="0" t="s">
        <v>228</v>
      </c>
      <c r="CB64" s="0" t="s">
        <v>228</v>
      </c>
      <c r="CC64" s="0" t="s">
        <v>228</v>
      </c>
      <c r="CD64" s="0" t="s">
        <v>228</v>
      </c>
      <c r="CE64" s="0" t="s">
        <v>228</v>
      </c>
      <c r="CF64" s="0" t="s">
        <v>228</v>
      </c>
      <c r="CG64" s="0" t="s">
        <v>228</v>
      </c>
      <c r="CH64" s="0" t="s">
        <v>228</v>
      </c>
      <c r="CI64" s="0" t="s">
        <v>228</v>
      </c>
      <c r="CJ64" s="0" t="s">
        <v>228</v>
      </c>
      <c r="CK64" s="0" t="s">
        <v>228</v>
      </c>
      <c r="CL64" s="0" t="s">
        <v>228</v>
      </c>
      <c r="CM64" s="0" t="s">
        <v>228</v>
      </c>
      <c r="CN64" s="0" t="s">
        <v>228</v>
      </c>
      <c r="CO64" s="0" t="s">
        <v>228</v>
      </c>
      <c r="CP64" s="0" t="s">
        <v>228</v>
      </c>
      <c r="CQ64" s="0" t="s">
        <v>228</v>
      </c>
      <c r="CR64" s="0" t="s">
        <v>228</v>
      </c>
      <c r="CS64" s="0" t="s">
        <v>228</v>
      </c>
      <c r="CT64" s="0" t="s">
        <v>3568</v>
      </c>
      <c r="CU64" s="0" t="s">
        <v>3569</v>
      </c>
      <c r="CV64" s="0" t="s">
        <v>418</v>
      </c>
      <c r="CW64" s="0" t="s">
        <v>3622</v>
      </c>
      <c r="CX64" s="0" t="s">
        <v>419</v>
      </c>
      <c r="CY64" s="0" t="s">
        <v>418</v>
      </c>
      <c r="CZ64" s="0" t="s">
        <v>3623</v>
      </c>
      <c r="DA64" s="0" t="s">
        <v>3624</v>
      </c>
      <c r="DB64" s="0" t="s">
        <v>3622</v>
      </c>
      <c r="DC64" s="0" t="s">
        <v>362</v>
      </c>
      <c r="DD64" s="0" t="s">
        <v>3572</v>
      </c>
      <c r="DE64" s="0" t="s">
        <v>3959</v>
      </c>
    </row>
    <row customHeight="1" ht="11.25">
      <c r="A65" s="1353" t="s">
        <v>228</v>
      </c>
      <c r="B65" s="0" t="s">
        <v>228</v>
      </c>
      <c r="C65" s="0" t="s">
        <v>228</v>
      </c>
      <c r="D65" s="0" t="s">
        <v>228</v>
      </c>
      <c r="E65" s="0" t="s">
        <v>228</v>
      </c>
      <c r="F65" s="0" t="s">
        <v>228</v>
      </c>
      <c r="G65" s="0" t="s">
        <v>228</v>
      </c>
      <c r="H65" s="0" t="s">
        <v>228</v>
      </c>
      <c r="I65" s="0" t="s">
        <v>3555</v>
      </c>
      <c r="J65" s="0" t="s">
        <v>228</v>
      </c>
      <c r="K65" s="0" t="s">
        <v>228</v>
      </c>
      <c r="L65" s="0" t="s">
        <v>228</v>
      </c>
      <c r="M65" s="0" t="s">
        <v>228</v>
      </c>
      <c r="N65" s="0" t="s">
        <v>228</v>
      </c>
      <c r="O65" s="0" t="s">
        <v>228</v>
      </c>
      <c r="P65" s="0" t="s">
        <v>228</v>
      </c>
      <c r="Q65" s="0" t="s">
        <v>228</v>
      </c>
      <c r="R65" s="0" t="s">
        <v>3960</v>
      </c>
      <c r="S65" s="0" t="s">
        <v>228</v>
      </c>
      <c r="T65" s="0" t="s">
        <v>228</v>
      </c>
      <c r="U65" s="0" t="s">
        <v>101</v>
      </c>
      <c r="V65" s="0" t="s">
        <v>228</v>
      </c>
      <c r="W65" s="0" t="s">
        <v>228</v>
      </c>
      <c r="X65" s="0" t="s">
        <v>3661</v>
      </c>
      <c r="Y65" s="0" t="s">
        <v>228</v>
      </c>
      <c r="Z65" s="0" t="s">
        <v>151</v>
      </c>
      <c r="AA65" s="0" t="s">
        <v>151</v>
      </c>
      <c r="AB65" s="0" t="s">
        <v>160</v>
      </c>
      <c r="AC65" s="0" t="s">
        <v>2317</v>
      </c>
      <c r="AD65" s="0" t="s">
        <v>2317</v>
      </c>
      <c r="AE65" s="0" t="s">
        <v>2318</v>
      </c>
      <c r="AF65" s="0" t="s">
        <v>3943</v>
      </c>
      <c r="AG65" s="0" t="s">
        <v>3944</v>
      </c>
      <c r="AH65" s="0" t="s">
        <v>3651</v>
      </c>
      <c r="AI65" s="0" t="s">
        <v>3651</v>
      </c>
      <c r="AJ65" s="0" t="s">
        <v>228</v>
      </c>
      <c r="AK65" s="0" t="s">
        <v>228</v>
      </c>
      <c r="AL65" s="0" t="s">
        <v>228</v>
      </c>
      <c r="AM65" s="0" t="s">
        <v>228</v>
      </c>
      <c r="AN65" s="0" t="s">
        <v>228</v>
      </c>
      <c r="AO65" s="0" t="s">
        <v>228</v>
      </c>
      <c r="AP65" s="0" t="s">
        <v>228</v>
      </c>
      <c r="AQ65" s="0" t="s">
        <v>228</v>
      </c>
      <c r="AR65" s="0" t="s">
        <v>228</v>
      </c>
      <c r="AS65" s="0" t="s">
        <v>228</v>
      </c>
      <c r="AT65" s="0" t="s">
        <v>228</v>
      </c>
      <c r="AU65" s="0" t="s">
        <v>228</v>
      </c>
      <c r="AV65" s="0" t="s">
        <v>228</v>
      </c>
      <c r="AW65" s="0" t="s">
        <v>228</v>
      </c>
      <c r="AX65" s="0" t="s">
        <v>228</v>
      </c>
      <c r="AY65" s="0" t="s">
        <v>228</v>
      </c>
      <c r="AZ65" s="0" t="s">
        <v>228</v>
      </c>
      <c r="BA65" s="0" t="s">
        <v>228</v>
      </c>
      <c r="BB65" s="0" t="s">
        <v>228</v>
      </c>
      <c r="BC65" s="0" t="s">
        <v>228</v>
      </c>
      <c r="BD65" s="0" t="s">
        <v>228</v>
      </c>
      <c r="BE65" s="0" t="s">
        <v>3627</v>
      </c>
      <c r="BF65" s="0" t="s">
        <v>3619</v>
      </c>
      <c r="BG65" s="0" t="s">
        <v>111</v>
      </c>
      <c r="BH65" s="0" t="s">
        <v>3665</v>
      </c>
      <c r="BI65" s="0" t="s">
        <v>122</v>
      </c>
      <c r="BJ65" s="0" t="s">
        <v>228</v>
      </c>
      <c r="BK65" s="0" t="s">
        <v>3684</v>
      </c>
      <c r="BL65" s="0" t="s">
        <v>2317</v>
      </c>
      <c r="BM65" s="0" t="s">
        <v>2317</v>
      </c>
      <c r="BN65" s="0" t="s">
        <v>3740</v>
      </c>
      <c r="BO65" s="0" t="s">
        <v>3943</v>
      </c>
      <c r="BP65" s="0" t="s">
        <v>3961</v>
      </c>
      <c r="BQ65" s="0" t="s">
        <v>3651</v>
      </c>
      <c r="BR65" s="0" t="s">
        <v>3651</v>
      </c>
      <c r="BS65" s="0" t="s">
        <v>228</v>
      </c>
      <c r="BT65" s="0" t="s">
        <v>3727</v>
      </c>
      <c r="BU65" s="0" t="s">
        <v>3962</v>
      </c>
      <c r="BV65" s="0" t="s">
        <v>3962</v>
      </c>
      <c r="BW65" s="0" t="s">
        <v>3674</v>
      </c>
      <c r="BX65" s="0" t="s">
        <v>3674</v>
      </c>
      <c r="BY65" s="0" t="s">
        <v>3674</v>
      </c>
      <c r="BZ65" s="0" t="s">
        <v>3674</v>
      </c>
      <c r="CA65" s="0" t="s">
        <v>3674</v>
      </c>
      <c r="CB65" s="0" t="s">
        <v>228</v>
      </c>
      <c r="CC65" s="0" t="s">
        <v>228</v>
      </c>
      <c r="CD65" s="0" t="s">
        <v>228</v>
      </c>
      <c r="CE65" s="0" t="s">
        <v>228</v>
      </c>
      <c r="CF65" s="0" t="s">
        <v>228</v>
      </c>
      <c r="CG65" s="0" t="s">
        <v>3674</v>
      </c>
      <c r="CH65" s="0" t="s">
        <v>228</v>
      </c>
      <c r="CI65" s="0" t="s">
        <v>228</v>
      </c>
      <c r="CJ65" s="0" t="s">
        <v>228</v>
      </c>
      <c r="CK65" s="0" t="s">
        <v>228</v>
      </c>
      <c r="CL65" s="0" t="s">
        <v>228</v>
      </c>
      <c r="CM65" s="0" t="s">
        <v>3962</v>
      </c>
      <c r="CN65" s="0" t="s">
        <v>3962</v>
      </c>
      <c r="CO65" s="0" t="s">
        <v>228</v>
      </c>
      <c r="CP65" s="0" t="s">
        <v>228</v>
      </c>
      <c r="CQ65" s="0" t="s">
        <v>228</v>
      </c>
      <c r="CR65" s="0" t="s">
        <v>228</v>
      </c>
      <c r="CS65" s="0" t="s">
        <v>3743</v>
      </c>
      <c r="CT65" s="0" t="s">
        <v>3568</v>
      </c>
      <c r="CU65" s="0" t="s">
        <v>3569</v>
      </c>
      <c r="CV65" s="0" t="s">
        <v>418</v>
      </c>
      <c r="CW65" s="0" t="s">
        <v>3622</v>
      </c>
      <c r="CX65" s="0" t="s">
        <v>419</v>
      </c>
      <c r="CY65" s="0" t="s">
        <v>418</v>
      </c>
      <c r="CZ65" s="0" t="s">
        <v>3623</v>
      </c>
      <c r="DA65" s="0" t="s">
        <v>3624</v>
      </c>
      <c r="DB65" s="0" t="s">
        <v>3622</v>
      </c>
      <c r="DC65" s="0" t="s">
        <v>362</v>
      </c>
      <c r="DD65" s="0" t="s">
        <v>3572</v>
      </c>
      <c r="DE65" s="0" t="s">
        <v>3957</v>
      </c>
    </row>
    <row customHeight="1" ht="11.25">
      <c r="A66" s="1353" t="s">
        <v>228</v>
      </c>
      <c r="B66" s="0" t="s">
        <v>228</v>
      </c>
      <c r="C66" s="0" t="s">
        <v>228</v>
      </c>
      <c r="D66" s="0" t="s">
        <v>228</v>
      </c>
      <c r="E66" s="0" t="s">
        <v>228</v>
      </c>
      <c r="F66" s="0" t="s">
        <v>228</v>
      </c>
      <c r="G66" s="0" t="s">
        <v>228</v>
      </c>
      <c r="H66" s="0" t="s">
        <v>228</v>
      </c>
      <c r="I66" s="0" t="s">
        <v>3555</v>
      </c>
      <c r="J66" s="0" t="s">
        <v>228</v>
      </c>
      <c r="K66" s="0" t="s">
        <v>228</v>
      </c>
      <c r="L66" s="0" t="s">
        <v>228</v>
      </c>
      <c r="M66" s="0" t="s">
        <v>228</v>
      </c>
      <c r="N66" s="0" t="s">
        <v>228</v>
      </c>
      <c r="O66" s="0" t="s">
        <v>228</v>
      </c>
      <c r="P66" s="0" t="s">
        <v>228</v>
      </c>
      <c r="Q66" s="0" t="s">
        <v>228</v>
      </c>
      <c r="R66" s="0" t="s">
        <v>3648</v>
      </c>
      <c r="S66" s="0" t="s">
        <v>228</v>
      </c>
      <c r="T66" s="0" t="s">
        <v>228</v>
      </c>
      <c r="U66" s="0" t="s">
        <v>101</v>
      </c>
      <c r="V66" s="0" t="s">
        <v>228</v>
      </c>
      <c r="W66" s="0" t="s">
        <v>228</v>
      </c>
      <c r="X66" s="0" t="s">
        <v>3557</v>
      </c>
      <c r="Y66" s="0" t="s">
        <v>228</v>
      </c>
      <c r="Z66" s="0" t="s">
        <v>160</v>
      </c>
      <c r="AA66" s="0" t="s">
        <v>151</v>
      </c>
      <c r="AB66" s="0" t="s">
        <v>151</v>
      </c>
      <c r="AC66" s="0" t="s">
        <v>2317</v>
      </c>
      <c r="AD66" s="0" t="s">
        <v>2317</v>
      </c>
      <c r="AE66" s="0" t="s">
        <v>2318</v>
      </c>
      <c r="AF66" s="0" t="s">
        <v>3963</v>
      </c>
      <c r="AG66" s="0" t="s">
        <v>3964</v>
      </c>
      <c r="AH66" s="0" t="s">
        <v>3965</v>
      </c>
      <c r="AI66" s="0" t="s">
        <v>3787</v>
      </c>
      <c r="AJ66" s="0" t="s">
        <v>3627</v>
      </c>
      <c r="AK66" s="0" t="s">
        <v>3853</v>
      </c>
      <c r="AL66" s="0" t="s">
        <v>3581</v>
      </c>
      <c r="AM66" s="0" t="s">
        <v>3565</v>
      </c>
      <c r="AN66" s="0" t="s">
        <v>3628</v>
      </c>
      <c r="AO66" s="0" t="s">
        <v>3966</v>
      </c>
      <c r="AP66" s="0" t="s">
        <v>228</v>
      </c>
      <c r="AQ66" s="0" t="s">
        <v>228</v>
      </c>
      <c r="AR66" s="0" t="s">
        <v>228</v>
      </c>
      <c r="AS66" s="0" t="s">
        <v>228</v>
      </c>
      <c r="AT66" s="0" t="s">
        <v>228</v>
      </c>
      <c r="AU66" s="0" t="s">
        <v>228</v>
      </c>
      <c r="AV66" s="0" t="s">
        <v>228</v>
      </c>
      <c r="AW66" s="0" t="s">
        <v>228</v>
      </c>
      <c r="AX66" s="0" t="s">
        <v>228</v>
      </c>
      <c r="AY66" s="0" t="s">
        <v>228</v>
      </c>
      <c r="AZ66" s="0" t="s">
        <v>228</v>
      </c>
      <c r="BA66" s="0" t="s">
        <v>228</v>
      </c>
      <c r="BB66" s="0" t="s">
        <v>228</v>
      </c>
      <c r="BC66" s="0" t="s">
        <v>228</v>
      </c>
      <c r="BD66" s="0" t="s">
        <v>228</v>
      </c>
      <c r="BE66" s="0" t="s">
        <v>228</v>
      </c>
      <c r="BF66" s="0" t="s">
        <v>228</v>
      </c>
      <c r="BG66" s="0" t="s">
        <v>228</v>
      </c>
      <c r="BH66" s="0" t="s">
        <v>228</v>
      </c>
      <c r="BI66" s="0" t="s">
        <v>228</v>
      </c>
      <c r="BJ66" s="0" t="s">
        <v>228</v>
      </c>
      <c r="BK66" s="0" t="s">
        <v>228</v>
      </c>
      <c r="BL66" s="0" t="s">
        <v>228</v>
      </c>
      <c r="BM66" s="0" t="s">
        <v>228</v>
      </c>
      <c r="BN66" s="0" t="s">
        <v>228</v>
      </c>
      <c r="BO66" s="0" t="s">
        <v>228</v>
      </c>
      <c r="BP66" s="0" t="s">
        <v>228</v>
      </c>
      <c r="BQ66" s="0" t="s">
        <v>228</v>
      </c>
      <c r="BR66" s="0" t="s">
        <v>228</v>
      </c>
      <c r="BS66" s="0" t="s">
        <v>228</v>
      </c>
      <c r="BT66" s="0" t="s">
        <v>228</v>
      </c>
      <c r="BU66" s="0" t="s">
        <v>228</v>
      </c>
      <c r="BV66" s="0" t="s">
        <v>228</v>
      </c>
      <c r="BW66" s="0" t="s">
        <v>228</v>
      </c>
      <c r="BX66" s="0" t="s">
        <v>228</v>
      </c>
      <c r="BY66" s="0" t="s">
        <v>228</v>
      </c>
      <c r="BZ66" s="0" t="s">
        <v>228</v>
      </c>
      <c r="CA66" s="0" t="s">
        <v>228</v>
      </c>
      <c r="CB66" s="0" t="s">
        <v>228</v>
      </c>
      <c r="CC66" s="0" t="s">
        <v>228</v>
      </c>
      <c r="CD66" s="0" t="s">
        <v>228</v>
      </c>
      <c r="CE66" s="0" t="s">
        <v>228</v>
      </c>
      <c r="CF66" s="0" t="s">
        <v>228</v>
      </c>
      <c r="CG66" s="0" t="s">
        <v>228</v>
      </c>
      <c r="CH66" s="0" t="s">
        <v>228</v>
      </c>
      <c r="CI66" s="0" t="s">
        <v>228</v>
      </c>
      <c r="CJ66" s="0" t="s">
        <v>228</v>
      </c>
      <c r="CK66" s="0" t="s">
        <v>228</v>
      </c>
      <c r="CL66" s="0" t="s">
        <v>228</v>
      </c>
      <c r="CM66" s="0" t="s">
        <v>228</v>
      </c>
      <c r="CN66" s="0" t="s">
        <v>228</v>
      </c>
      <c r="CO66" s="0" t="s">
        <v>228</v>
      </c>
      <c r="CP66" s="0" t="s">
        <v>228</v>
      </c>
      <c r="CQ66" s="0" t="s">
        <v>228</v>
      </c>
      <c r="CR66" s="0" t="s">
        <v>228</v>
      </c>
      <c r="CS66" s="0" t="s">
        <v>228</v>
      </c>
      <c r="CT66" s="0" t="s">
        <v>3568</v>
      </c>
      <c r="CU66" s="0" t="s">
        <v>3569</v>
      </c>
      <c r="CV66" s="0" t="s">
        <v>418</v>
      </c>
      <c r="CW66" s="0" t="s">
        <v>3622</v>
      </c>
      <c r="CX66" s="0" t="s">
        <v>419</v>
      </c>
      <c r="CY66" s="0" t="s">
        <v>418</v>
      </c>
      <c r="CZ66" s="0" t="s">
        <v>3623</v>
      </c>
      <c r="DA66" s="0" t="s">
        <v>3624</v>
      </c>
      <c r="DB66" s="0" t="s">
        <v>3622</v>
      </c>
      <c r="DC66" s="0" t="s">
        <v>362</v>
      </c>
      <c r="DD66" s="0" t="s">
        <v>3572</v>
      </c>
      <c r="DE66" s="0" t="s">
        <v>3967</v>
      </c>
    </row>
    <row customHeight="1" ht="11.25">
      <c r="A67" s="1353" t="s">
        <v>228</v>
      </c>
      <c r="B67" s="0" t="s">
        <v>228</v>
      </c>
      <c r="C67" s="0" t="s">
        <v>228</v>
      </c>
      <c r="D67" s="0" t="s">
        <v>228</v>
      </c>
      <c r="E67" s="0" t="s">
        <v>228</v>
      </c>
      <c r="F67" s="0" t="s">
        <v>228</v>
      </c>
      <c r="G67" s="0" t="s">
        <v>228</v>
      </c>
      <c r="H67" s="0" t="s">
        <v>228</v>
      </c>
      <c r="I67" s="0" t="s">
        <v>3555</v>
      </c>
      <c r="J67" s="0" t="s">
        <v>228</v>
      </c>
      <c r="K67" s="0" t="s">
        <v>228</v>
      </c>
      <c r="L67" s="0" t="s">
        <v>228</v>
      </c>
      <c r="M67" s="0" t="s">
        <v>228</v>
      </c>
      <c r="N67" s="0" t="s">
        <v>228</v>
      </c>
      <c r="O67" s="0" t="s">
        <v>228</v>
      </c>
      <c r="P67" s="0" t="s">
        <v>228</v>
      </c>
      <c r="Q67" s="0" t="s">
        <v>228</v>
      </c>
      <c r="R67" s="0" t="s">
        <v>3968</v>
      </c>
      <c r="S67" s="0" t="s">
        <v>228</v>
      </c>
      <c r="T67" s="0" t="s">
        <v>228</v>
      </c>
      <c r="U67" s="0" t="s">
        <v>101</v>
      </c>
      <c r="V67" s="0" t="s">
        <v>228</v>
      </c>
      <c r="W67" s="0" t="s">
        <v>228</v>
      </c>
      <c r="X67" s="0" t="s">
        <v>3557</v>
      </c>
      <c r="Y67" s="0" t="s">
        <v>228</v>
      </c>
      <c r="Z67" s="0" t="s">
        <v>160</v>
      </c>
      <c r="AA67" s="0" t="s">
        <v>151</v>
      </c>
      <c r="AB67" s="0" t="s">
        <v>151</v>
      </c>
      <c r="AC67" s="0" t="s">
        <v>2715</v>
      </c>
      <c r="AD67" s="0" t="s">
        <v>2715</v>
      </c>
      <c r="AE67" s="0" t="s">
        <v>2716</v>
      </c>
      <c r="AF67" s="0" t="s">
        <v>3594</v>
      </c>
      <c r="AG67" s="0" t="s">
        <v>3595</v>
      </c>
      <c r="AH67" s="0" t="s">
        <v>3969</v>
      </c>
      <c r="AI67" s="0" t="s">
        <v>3970</v>
      </c>
      <c r="AJ67" s="0" t="s">
        <v>3663</v>
      </c>
      <c r="AK67" s="0" t="s">
        <v>3971</v>
      </c>
      <c r="AL67" s="0" t="s">
        <v>3564</v>
      </c>
      <c r="AM67" s="0" t="s">
        <v>3565</v>
      </c>
      <c r="AN67" s="0" t="s">
        <v>3972</v>
      </c>
      <c r="AO67" s="0" t="s">
        <v>3973</v>
      </c>
      <c r="AP67" s="0" t="s">
        <v>228</v>
      </c>
      <c r="AQ67" s="0" t="s">
        <v>228</v>
      </c>
      <c r="AR67" s="0" t="s">
        <v>228</v>
      </c>
      <c r="AS67" s="0" t="s">
        <v>228</v>
      </c>
      <c r="AT67" s="0" t="s">
        <v>228</v>
      </c>
      <c r="AU67" s="0" t="s">
        <v>228</v>
      </c>
      <c r="AV67" s="0" t="s">
        <v>228</v>
      </c>
      <c r="AW67" s="0" t="s">
        <v>228</v>
      </c>
      <c r="AX67" s="0" t="s">
        <v>228</v>
      </c>
      <c r="AY67" s="0" t="s">
        <v>228</v>
      </c>
      <c r="AZ67" s="0" t="s">
        <v>228</v>
      </c>
      <c r="BA67" s="0" t="s">
        <v>228</v>
      </c>
      <c r="BB67" s="0" t="s">
        <v>228</v>
      </c>
      <c r="BC67" s="0" t="s">
        <v>228</v>
      </c>
      <c r="BD67" s="0" t="s">
        <v>228</v>
      </c>
      <c r="BE67" s="0" t="s">
        <v>228</v>
      </c>
      <c r="BF67" s="0" t="s">
        <v>228</v>
      </c>
      <c r="BG67" s="0" t="s">
        <v>228</v>
      </c>
      <c r="BH67" s="0" t="s">
        <v>228</v>
      </c>
      <c r="BI67" s="0" t="s">
        <v>228</v>
      </c>
      <c r="BJ67" s="0" t="s">
        <v>228</v>
      </c>
      <c r="BK67" s="0" t="s">
        <v>228</v>
      </c>
      <c r="BL67" s="0" t="s">
        <v>228</v>
      </c>
      <c r="BM67" s="0" t="s">
        <v>228</v>
      </c>
      <c r="BN67" s="0" t="s">
        <v>228</v>
      </c>
      <c r="BO67" s="0" t="s">
        <v>228</v>
      </c>
      <c r="BP67" s="0" t="s">
        <v>228</v>
      </c>
      <c r="BQ67" s="0" t="s">
        <v>228</v>
      </c>
      <c r="BR67" s="0" t="s">
        <v>228</v>
      </c>
      <c r="BS67" s="0" t="s">
        <v>228</v>
      </c>
      <c r="BT67" s="0" t="s">
        <v>228</v>
      </c>
      <c r="BU67" s="0" t="s">
        <v>228</v>
      </c>
      <c r="BV67" s="0" t="s">
        <v>228</v>
      </c>
      <c r="BW67" s="0" t="s">
        <v>228</v>
      </c>
      <c r="BX67" s="0" t="s">
        <v>228</v>
      </c>
      <c r="BY67" s="0" t="s">
        <v>228</v>
      </c>
      <c r="BZ67" s="0" t="s">
        <v>228</v>
      </c>
      <c r="CA67" s="0" t="s">
        <v>228</v>
      </c>
      <c r="CB67" s="0" t="s">
        <v>228</v>
      </c>
      <c r="CC67" s="0" t="s">
        <v>228</v>
      </c>
      <c r="CD67" s="0" t="s">
        <v>228</v>
      </c>
      <c r="CE67" s="0" t="s">
        <v>228</v>
      </c>
      <c r="CF67" s="0" t="s">
        <v>228</v>
      </c>
      <c r="CG67" s="0" t="s">
        <v>228</v>
      </c>
      <c r="CH67" s="0" t="s">
        <v>228</v>
      </c>
      <c r="CI67" s="0" t="s">
        <v>228</v>
      </c>
      <c r="CJ67" s="0" t="s">
        <v>228</v>
      </c>
      <c r="CK67" s="0" t="s">
        <v>228</v>
      </c>
      <c r="CL67" s="0" t="s">
        <v>228</v>
      </c>
      <c r="CM67" s="0" t="s">
        <v>228</v>
      </c>
      <c r="CN67" s="0" t="s">
        <v>228</v>
      </c>
      <c r="CO67" s="0" t="s">
        <v>228</v>
      </c>
      <c r="CP67" s="0" t="s">
        <v>228</v>
      </c>
      <c r="CQ67" s="0" t="s">
        <v>228</v>
      </c>
      <c r="CR67" s="0" t="s">
        <v>228</v>
      </c>
      <c r="CS67" s="0" t="s">
        <v>228</v>
      </c>
      <c r="CT67" s="0" t="s">
        <v>3568</v>
      </c>
      <c r="CU67" s="0" t="s">
        <v>3569</v>
      </c>
      <c r="CV67" s="0" t="s">
        <v>418</v>
      </c>
      <c r="CW67" s="0" t="s">
        <v>3602</v>
      </c>
      <c r="CX67" s="0" t="s">
        <v>3603</v>
      </c>
      <c r="CY67" s="0" t="s">
        <v>418</v>
      </c>
      <c r="CZ67" s="0" t="s">
        <v>504</v>
      </c>
      <c r="DA67" s="0" t="s">
        <v>3604</v>
      </c>
      <c r="DB67" s="0" t="s">
        <v>3602</v>
      </c>
      <c r="DC67" s="0" t="s">
        <v>362</v>
      </c>
      <c r="DD67" s="0" t="s">
        <v>3572</v>
      </c>
      <c r="DE67" s="0" t="s">
        <v>3974</v>
      </c>
    </row>
    <row customHeight="1" ht="11.25">
      <c r="A68" s="1353" t="s">
        <v>228</v>
      </c>
      <c r="B68" s="0" t="s">
        <v>228</v>
      </c>
      <c r="C68" s="0" t="s">
        <v>228</v>
      </c>
      <c r="D68" s="0" t="s">
        <v>228</v>
      </c>
      <c r="E68" s="0" t="s">
        <v>228</v>
      </c>
      <c r="F68" s="0" t="s">
        <v>228</v>
      </c>
      <c r="G68" s="0" t="s">
        <v>228</v>
      </c>
      <c r="H68" s="0" t="s">
        <v>228</v>
      </c>
      <c r="I68" s="0" t="s">
        <v>3555</v>
      </c>
      <c r="J68" s="0" t="s">
        <v>228</v>
      </c>
      <c r="K68" s="0" t="s">
        <v>228</v>
      </c>
      <c r="L68" s="0" t="s">
        <v>228</v>
      </c>
      <c r="M68" s="0" t="s">
        <v>228</v>
      </c>
      <c r="N68" s="0" t="s">
        <v>228</v>
      </c>
      <c r="O68" s="0" t="s">
        <v>228</v>
      </c>
      <c r="P68" s="0" t="s">
        <v>228</v>
      </c>
      <c r="Q68" s="0" t="s">
        <v>228</v>
      </c>
      <c r="R68" s="0" t="s">
        <v>3975</v>
      </c>
      <c r="S68" s="0" t="s">
        <v>228</v>
      </c>
      <c r="T68" s="0" t="s">
        <v>228</v>
      </c>
      <c r="U68" s="0" t="s">
        <v>101</v>
      </c>
      <c r="V68" s="0" t="s">
        <v>228</v>
      </c>
      <c r="W68" s="0" t="s">
        <v>228</v>
      </c>
      <c r="X68" s="0" t="s">
        <v>3557</v>
      </c>
      <c r="Y68" s="0" t="s">
        <v>228</v>
      </c>
      <c r="Z68" s="0" t="s">
        <v>160</v>
      </c>
      <c r="AA68" s="0" t="s">
        <v>151</v>
      </c>
      <c r="AB68" s="0" t="s">
        <v>151</v>
      </c>
      <c r="AC68" s="0" t="s">
        <v>2317</v>
      </c>
      <c r="AD68" s="0" t="s">
        <v>2317</v>
      </c>
      <c r="AE68" s="0" t="s">
        <v>2318</v>
      </c>
      <c r="AF68" s="0" t="s">
        <v>3849</v>
      </c>
      <c r="AG68" s="0" t="s">
        <v>3850</v>
      </c>
      <c r="AH68" s="0" t="s">
        <v>3828</v>
      </c>
      <c r="AI68" s="0" t="s">
        <v>3976</v>
      </c>
      <c r="AJ68" s="0" t="s">
        <v>3579</v>
      </c>
      <c r="AK68" s="0" t="s">
        <v>3808</v>
      </c>
      <c r="AL68" s="0" t="s">
        <v>3581</v>
      </c>
      <c r="AM68" s="0" t="s">
        <v>3565</v>
      </c>
      <c r="AN68" s="0" t="s">
        <v>3628</v>
      </c>
      <c r="AO68" s="0" t="s">
        <v>3689</v>
      </c>
      <c r="AP68" s="0" t="s">
        <v>228</v>
      </c>
      <c r="AQ68" s="0" t="s">
        <v>228</v>
      </c>
      <c r="AR68" s="0" t="s">
        <v>228</v>
      </c>
      <c r="AS68" s="0" t="s">
        <v>228</v>
      </c>
      <c r="AT68" s="0" t="s">
        <v>228</v>
      </c>
      <c r="AU68" s="0" t="s">
        <v>228</v>
      </c>
      <c r="AV68" s="0" t="s">
        <v>228</v>
      </c>
      <c r="AW68" s="0" t="s">
        <v>228</v>
      </c>
      <c r="AX68" s="0" t="s">
        <v>228</v>
      </c>
      <c r="AY68" s="0" t="s">
        <v>228</v>
      </c>
      <c r="AZ68" s="0" t="s">
        <v>228</v>
      </c>
      <c r="BA68" s="0" t="s">
        <v>228</v>
      </c>
      <c r="BB68" s="0" t="s">
        <v>228</v>
      </c>
      <c r="BC68" s="0" t="s">
        <v>228</v>
      </c>
      <c r="BD68" s="0" t="s">
        <v>228</v>
      </c>
      <c r="BE68" s="0" t="s">
        <v>228</v>
      </c>
      <c r="BF68" s="0" t="s">
        <v>228</v>
      </c>
      <c r="BG68" s="0" t="s">
        <v>228</v>
      </c>
      <c r="BH68" s="0" t="s">
        <v>228</v>
      </c>
      <c r="BI68" s="0" t="s">
        <v>228</v>
      </c>
      <c r="BJ68" s="0" t="s">
        <v>228</v>
      </c>
      <c r="BK68" s="0" t="s">
        <v>228</v>
      </c>
      <c r="BL68" s="0" t="s">
        <v>228</v>
      </c>
      <c r="BM68" s="0" t="s">
        <v>228</v>
      </c>
      <c r="BN68" s="0" t="s">
        <v>228</v>
      </c>
      <c r="BO68" s="0" t="s">
        <v>228</v>
      </c>
      <c r="BP68" s="0" t="s">
        <v>228</v>
      </c>
      <c r="BQ68" s="0" t="s">
        <v>228</v>
      </c>
      <c r="BR68" s="0" t="s">
        <v>228</v>
      </c>
      <c r="BS68" s="0" t="s">
        <v>228</v>
      </c>
      <c r="BT68" s="0" t="s">
        <v>228</v>
      </c>
      <c r="BU68" s="0" t="s">
        <v>228</v>
      </c>
      <c r="BV68" s="0" t="s">
        <v>228</v>
      </c>
      <c r="BW68" s="0" t="s">
        <v>228</v>
      </c>
      <c r="BX68" s="0" t="s">
        <v>228</v>
      </c>
      <c r="BY68" s="0" t="s">
        <v>228</v>
      </c>
      <c r="BZ68" s="0" t="s">
        <v>228</v>
      </c>
      <c r="CA68" s="0" t="s">
        <v>228</v>
      </c>
      <c r="CB68" s="0" t="s">
        <v>228</v>
      </c>
      <c r="CC68" s="0" t="s">
        <v>228</v>
      </c>
      <c r="CD68" s="0" t="s">
        <v>228</v>
      </c>
      <c r="CE68" s="0" t="s">
        <v>228</v>
      </c>
      <c r="CF68" s="0" t="s">
        <v>228</v>
      </c>
      <c r="CG68" s="0" t="s">
        <v>228</v>
      </c>
      <c r="CH68" s="0" t="s">
        <v>228</v>
      </c>
      <c r="CI68" s="0" t="s">
        <v>228</v>
      </c>
      <c r="CJ68" s="0" t="s">
        <v>228</v>
      </c>
      <c r="CK68" s="0" t="s">
        <v>228</v>
      </c>
      <c r="CL68" s="0" t="s">
        <v>228</v>
      </c>
      <c r="CM68" s="0" t="s">
        <v>228</v>
      </c>
      <c r="CN68" s="0" t="s">
        <v>228</v>
      </c>
      <c r="CO68" s="0" t="s">
        <v>228</v>
      </c>
      <c r="CP68" s="0" t="s">
        <v>228</v>
      </c>
      <c r="CQ68" s="0" t="s">
        <v>228</v>
      </c>
      <c r="CR68" s="0" t="s">
        <v>228</v>
      </c>
      <c r="CS68" s="0" t="s">
        <v>228</v>
      </c>
      <c r="CT68" s="0" t="s">
        <v>3568</v>
      </c>
      <c r="CU68" s="0" t="s">
        <v>3569</v>
      </c>
      <c r="CV68" s="0" t="s">
        <v>418</v>
      </c>
      <c r="CW68" s="0" t="s">
        <v>3622</v>
      </c>
      <c r="CX68" s="0" t="s">
        <v>419</v>
      </c>
      <c r="CY68" s="0" t="s">
        <v>418</v>
      </c>
      <c r="CZ68" s="0" t="s">
        <v>3623</v>
      </c>
      <c r="DA68" s="0" t="s">
        <v>3624</v>
      </c>
      <c r="DB68" s="0" t="s">
        <v>3622</v>
      </c>
      <c r="DC68" s="0" t="s">
        <v>362</v>
      </c>
      <c r="DD68" s="0" t="s">
        <v>3572</v>
      </c>
      <c r="DE68" s="0" t="s">
        <v>3977</v>
      </c>
    </row>
    <row customHeight="1" ht="11.25">
      <c r="A69" s="1353" t="s">
        <v>228</v>
      </c>
      <c r="B69" s="0" t="s">
        <v>228</v>
      </c>
      <c r="C69" s="0" t="s">
        <v>228</v>
      </c>
      <c r="D69" s="0" t="s">
        <v>228</v>
      </c>
      <c r="E69" s="0" t="s">
        <v>228</v>
      </c>
      <c r="F69" s="0" t="s">
        <v>228</v>
      </c>
      <c r="G69" s="0" t="s">
        <v>228</v>
      </c>
      <c r="H69" s="0" t="s">
        <v>228</v>
      </c>
      <c r="I69" s="0" t="s">
        <v>3555</v>
      </c>
      <c r="J69" s="0" t="s">
        <v>228</v>
      </c>
      <c r="K69" s="0" t="s">
        <v>228</v>
      </c>
      <c r="L69" s="0" t="s">
        <v>228</v>
      </c>
      <c r="M69" s="0" t="s">
        <v>228</v>
      </c>
      <c r="N69" s="0" t="s">
        <v>228</v>
      </c>
      <c r="O69" s="0" t="s">
        <v>228</v>
      </c>
      <c r="P69" s="0" t="s">
        <v>228</v>
      </c>
      <c r="Q69" s="0" t="s">
        <v>228</v>
      </c>
      <c r="R69" s="0" t="s">
        <v>3978</v>
      </c>
      <c r="S69" s="0" t="s">
        <v>228</v>
      </c>
      <c r="T69" s="0" t="s">
        <v>228</v>
      </c>
      <c r="U69" s="0" t="s">
        <v>101</v>
      </c>
      <c r="V69" s="0" t="s">
        <v>228</v>
      </c>
      <c r="W69" s="0" t="s">
        <v>228</v>
      </c>
      <c r="X69" s="0" t="s">
        <v>3557</v>
      </c>
      <c r="Y69" s="0" t="s">
        <v>228</v>
      </c>
      <c r="Z69" s="0" t="s">
        <v>160</v>
      </c>
      <c r="AA69" s="0" t="s">
        <v>151</v>
      </c>
      <c r="AB69" s="0" t="s">
        <v>151</v>
      </c>
      <c r="AC69" s="0" t="s">
        <v>2290</v>
      </c>
      <c r="AD69" s="0" t="s">
        <v>2290</v>
      </c>
      <c r="AE69" s="0" t="s">
        <v>2292</v>
      </c>
      <c r="AF69" s="0" t="s">
        <v>3558</v>
      </c>
      <c r="AG69" s="0" t="s">
        <v>3559</v>
      </c>
      <c r="AH69" s="0" t="s">
        <v>3897</v>
      </c>
      <c r="AI69" s="0" t="s">
        <v>3979</v>
      </c>
      <c r="AJ69" s="0" t="s">
        <v>3620</v>
      </c>
      <c r="AK69" s="0" t="s">
        <v>3674</v>
      </c>
      <c r="AL69" s="0" t="s">
        <v>3681</v>
      </c>
      <c r="AM69" s="0" t="s">
        <v>3565</v>
      </c>
      <c r="AN69" s="0" t="s">
        <v>3582</v>
      </c>
      <c r="AO69" s="0" t="s">
        <v>3901</v>
      </c>
      <c r="AP69" s="0" t="s">
        <v>228</v>
      </c>
      <c r="AQ69" s="0" t="s">
        <v>228</v>
      </c>
      <c r="AR69" s="0" t="s">
        <v>228</v>
      </c>
      <c r="AS69" s="0" t="s">
        <v>228</v>
      </c>
      <c r="AT69" s="0" t="s">
        <v>228</v>
      </c>
      <c r="AU69" s="0" t="s">
        <v>228</v>
      </c>
      <c r="AV69" s="0" t="s">
        <v>228</v>
      </c>
      <c r="AW69" s="0" t="s">
        <v>228</v>
      </c>
      <c r="AX69" s="0" t="s">
        <v>228</v>
      </c>
      <c r="AY69" s="0" t="s">
        <v>228</v>
      </c>
      <c r="AZ69" s="0" t="s">
        <v>228</v>
      </c>
      <c r="BA69" s="0" t="s">
        <v>228</v>
      </c>
      <c r="BB69" s="0" t="s">
        <v>228</v>
      </c>
      <c r="BC69" s="0" t="s">
        <v>228</v>
      </c>
      <c r="BD69" s="0" t="s">
        <v>228</v>
      </c>
      <c r="BE69" s="0" t="s">
        <v>228</v>
      </c>
      <c r="BF69" s="0" t="s">
        <v>228</v>
      </c>
      <c r="BG69" s="0" t="s">
        <v>228</v>
      </c>
      <c r="BH69" s="0" t="s">
        <v>228</v>
      </c>
      <c r="BI69" s="0" t="s">
        <v>228</v>
      </c>
      <c r="BJ69" s="0" t="s">
        <v>228</v>
      </c>
      <c r="BK69" s="0" t="s">
        <v>228</v>
      </c>
      <c r="BL69" s="0" t="s">
        <v>228</v>
      </c>
      <c r="BM69" s="0" t="s">
        <v>228</v>
      </c>
      <c r="BN69" s="0" t="s">
        <v>228</v>
      </c>
      <c r="BO69" s="0" t="s">
        <v>228</v>
      </c>
      <c r="BP69" s="0" t="s">
        <v>228</v>
      </c>
      <c r="BQ69" s="0" t="s">
        <v>228</v>
      </c>
      <c r="BR69" s="0" t="s">
        <v>228</v>
      </c>
      <c r="BS69" s="0" t="s">
        <v>228</v>
      </c>
      <c r="BT69" s="0" t="s">
        <v>228</v>
      </c>
      <c r="BU69" s="0" t="s">
        <v>228</v>
      </c>
      <c r="BV69" s="0" t="s">
        <v>228</v>
      </c>
      <c r="BW69" s="0" t="s">
        <v>228</v>
      </c>
      <c r="BX69" s="0" t="s">
        <v>228</v>
      </c>
      <c r="BY69" s="0" t="s">
        <v>228</v>
      </c>
      <c r="BZ69" s="0" t="s">
        <v>228</v>
      </c>
      <c r="CA69" s="0" t="s">
        <v>228</v>
      </c>
      <c r="CB69" s="0" t="s">
        <v>228</v>
      </c>
      <c r="CC69" s="0" t="s">
        <v>228</v>
      </c>
      <c r="CD69" s="0" t="s">
        <v>228</v>
      </c>
      <c r="CE69" s="0" t="s">
        <v>228</v>
      </c>
      <c r="CF69" s="0" t="s">
        <v>228</v>
      </c>
      <c r="CG69" s="0" t="s">
        <v>228</v>
      </c>
      <c r="CH69" s="0" t="s">
        <v>228</v>
      </c>
      <c r="CI69" s="0" t="s">
        <v>228</v>
      </c>
      <c r="CJ69" s="0" t="s">
        <v>228</v>
      </c>
      <c r="CK69" s="0" t="s">
        <v>228</v>
      </c>
      <c r="CL69" s="0" t="s">
        <v>228</v>
      </c>
      <c r="CM69" s="0" t="s">
        <v>228</v>
      </c>
      <c r="CN69" s="0" t="s">
        <v>228</v>
      </c>
      <c r="CO69" s="0" t="s">
        <v>228</v>
      </c>
      <c r="CP69" s="0" t="s">
        <v>228</v>
      </c>
      <c r="CQ69" s="0" t="s">
        <v>228</v>
      </c>
      <c r="CR69" s="0" t="s">
        <v>228</v>
      </c>
      <c r="CS69" s="0" t="s">
        <v>228</v>
      </c>
      <c r="CT69" s="0" t="s">
        <v>3568</v>
      </c>
      <c r="CU69" s="0" t="s">
        <v>3569</v>
      </c>
      <c r="CV69" s="0" t="s">
        <v>418</v>
      </c>
      <c r="CW69" s="0" t="s">
        <v>3570</v>
      </c>
      <c r="CX69" s="0" t="s">
        <v>419</v>
      </c>
      <c r="CY69" s="0" t="s">
        <v>418</v>
      </c>
      <c r="CZ69" s="0" t="s">
        <v>3571</v>
      </c>
      <c r="DA69" s="0" t="s">
        <v>420</v>
      </c>
      <c r="DB69" s="0" t="s">
        <v>3570</v>
      </c>
      <c r="DC69" s="0" t="s">
        <v>362</v>
      </c>
      <c r="DD69" s="0" t="s">
        <v>3572</v>
      </c>
      <c r="DE69" s="0" t="s">
        <v>3980</v>
      </c>
    </row>
    <row customHeight="1" ht="11.25">
      <c r="A70" s="1353" t="s">
        <v>228</v>
      </c>
      <c r="B70" s="0" t="s">
        <v>228</v>
      </c>
      <c r="C70" s="0" t="s">
        <v>228</v>
      </c>
      <c r="D70" s="0" t="s">
        <v>228</v>
      </c>
      <c r="E70" s="0" t="s">
        <v>228</v>
      </c>
      <c r="F70" s="0" t="s">
        <v>228</v>
      </c>
      <c r="G70" s="0" t="s">
        <v>228</v>
      </c>
      <c r="H70" s="0" t="s">
        <v>228</v>
      </c>
      <c r="I70" s="0" t="s">
        <v>3555</v>
      </c>
      <c r="J70" s="0" t="s">
        <v>228</v>
      </c>
      <c r="K70" s="0" t="s">
        <v>228</v>
      </c>
      <c r="L70" s="0" t="s">
        <v>228</v>
      </c>
      <c r="M70" s="0" t="s">
        <v>228</v>
      </c>
      <c r="N70" s="0" t="s">
        <v>228</v>
      </c>
      <c r="O70" s="0" t="s">
        <v>228</v>
      </c>
      <c r="P70" s="0" t="s">
        <v>228</v>
      </c>
      <c r="Q70" s="0" t="s">
        <v>228</v>
      </c>
      <c r="R70" s="0" t="s">
        <v>3981</v>
      </c>
      <c r="S70" s="0" t="s">
        <v>228</v>
      </c>
      <c r="T70" s="0" t="s">
        <v>228</v>
      </c>
      <c r="U70" s="0" t="s">
        <v>101</v>
      </c>
      <c r="V70" s="0" t="s">
        <v>228</v>
      </c>
      <c r="W70" s="0" t="s">
        <v>228</v>
      </c>
      <c r="X70" s="0" t="s">
        <v>3557</v>
      </c>
      <c r="Y70" s="0" t="s">
        <v>228</v>
      </c>
      <c r="Z70" s="0" t="s">
        <v>160</v>
      </c>
      <c r="AA70" s="0" t="s">
        <v>151</v>
      </c>
      <c r="AB70" s="0" t="s">
        <v>151</v>
      </c>
      <c r="AC70" s="0" t="s">
        <v>2290</v>
      </c>
      <c r="AD70" s="0" t="s">
        <v>2290</v>
      </c>
      <c r="AE70" s="0" t="s">
        <v>2292</v>
      </c>
      <c r="AF70" s="0" t="s">
        <v>3558</v>
      </c>
      <c r="AG70" s="0" t="s">
        <v>3559</v>
      </c>
      <c r="AH70" s="0" t="s">
        <v>3982</v>
      </c>
      <c r="AI70" s="0" t="s">
        <v>3983</v>
      </c>
      <c r="AJ70" s="0" t="s">
        <v>3566</v>
      </c>
      <c r="AK70" s="0" t="s">
        <v>3984</v>
      </c>
      <c r="AL70" s="0" t="s">
        <v>3564</v>
      </c>
      <c r="AM70" s="0" t="s">
        <v>3565</v>
      </c>
      <c r="AN70" s="0" t="s">
        <v>3985</v>
      </c>
      <c r="AO70" s="0" t="s">
        <v>3695</v>
      </c>
      <c r="AP70" s="0" t="s">
        <v>228</v>
      </c>
      <c r="AQ70" s="0" t="s">
        <v>228</v>
      </c>
      <c r="AR70" s="0" t="s">
        <v>228</v>
      </c>
      <c r="AS70" s="0" t="s">
        <v>228</v>
      </c>
      <c r="AT70" s="0" t="s">
        <v>228</v>
      </c>
      <c r="AU70" s="0" t="s">
        <v>228</v>
      </c>
      <c r="AV70" s="0" t="s">
        <v>228</v>
      </c>
      <c r="AW70" s="0" t="s">
        <v>228</v>
      </c>
      <c r="AX70" s="0" t="s">
        <v>228</v>
      </c>
      <c r="AY70" s="0" t="s">
        <v>228</v>
      </c>
      <c r="AZ70" s="0" t="s">
        <v>228</v>
      </c>
      <c r="BA70" s="0" t="s">
        <v>228</v>
      </c>
      <c r="BB70" s="0" t="s">
        <v>228</v>
      </c>
      <c r="BC70" s="0" t="s">
        <v>228</v>
      </c>
      <c r="BD70" s="0" t="s">
        <v>228</v>
      </c>
      <c r="BE70" s="0" t="s">
        <v>228</v>
      </c>
      <c r="BF70" s="0" t="s">
        <v>228</v>
      </c>
      <c r="BG70" s="0" t="s">
        <v>228</v>
      </c>
      <c r="BH70" s="0" t="s">
        <v>228</v>
      </c>
      <c r="BI70" s="0" t="s">
        <v>228</v>
      </c>
      <c r="BJ70" s="0" t="s">
        <v>228</v>
      </c>
      <c r="BK70" s="0" t="s">
        <v>228</v>
      </c>
      <c r="BL70" s="0" t="s">
        <v>228</v>
      </c>
      <c r="BM70" s="0" t="s">
        <v>228</v>
      </c>
      <c r="BN70" s="0" t="s">
        <v>228</v>
      </c>
      <c r="BO70" s="0" t="s">
        <v>228</v>
      </c>
      <c r="BP70" s="0" t="s">
        <v>228</v>
      </c>
      <c r="BQ70" s="0" t="s">
        <v>228</v>
      </c>
      <c r="BR70" s="0" t="s">
        <v>228</v>
      </c>
      <c r="BS70" s="0" t="s">
        <v>228</v>
      </c>
      <c r="BT70" s="0" t="s">
        <v>228</v>
      </c>
      <c r="BU70" s="0" t="s">
        <v>228</v>
      </c>
      <c r="BV70" s="0" t="s">
        <v>228</v>
      </c>
      <c r="BW70" s="0" t="s">
        <v>228</v>
      </c>
      <c r="BX70" s="0" t="s">
        <v>228</v>
      </c>
      <c r="BY70" s="0" t="s">
        <v>228</v>
      </c>
      <c r="BZ70" s="0" t="s">
        <v>228</v>
      </c>
      <c r="CA70" s="0" t="s">
        <v>228</v>
      </c>
      <c r="CB70" s="0" t="s">
        <v>228</v>
      </c>
      <c r="CC70" s="0" t="s">
        <v>228</v>
      </c>
      <c r="CD70" s="0" t="s">
        <v>228</v>
      </c>
      <c r="CE70" s="0" t="s">
        <v>228</v>
      </c>
      <c r="CF70" s="0" t="s">
        <v>228</v>
      </c>
      <c r="CG70" s="0" t="s">
        <v>228</v>
      </c>
      <c r="CH70" s="0" t="s">
        <v>228</v>
      </c>
      <c r="CI70" s="0" t="s">
        <v>228</v>
      </c>
      <c r="CJ70" s="0" t="s">
        <v>228</v>
      </c>
      <c r="CK70" s="0" t="s">
        <v>228</v>
      </c>
      <c r="CL70" s="0" t="s">
        <v>228</v>
      </c>
      <c r="CM70" s="0" t="s">
        <v>228</v>
      </c>
      <c r="CN70" s="0" t="s">
        <v>228</v>
      </c>
      <c r="CO70" s="0" t="s">
        <v>228</v>
      </c>
      <c r="CP70" s="0" t="s">
        <v>228</v>
      </c>
      <c r="CQ70" s="0" t="s">
        <v>228</v>
      </c>
      <c r="CR70" s="0" t="s">
        <v>228</v>
      </c>
      <c r="CS70" s="0" t="s">
        <v>228</v>
      </c>
      <c r="CT70" s="0" t="s">
        <v>3568</v>
      </c>
      <c r="CU70" s="0" t="s">
        <v>3569</v>
      </c>
      <c r="CV70" s="0" t="s">
        <v>418</v>
      </c>
      <c r="CW70" s="0" t="s">
        <v>3570</v>
      </c>
      <c r="CX70" s="0" t="s">
        <v>419</v>
      </c>
      <c r="CY70" s="0" t="s">
        <v>418</v>
      </c>
      <c r="CZ70" s="0" t="s">
        <v>3571</v>
      </c>
      <c r="DA70" s="0" t="s">
        <v>420</v>
      </c>
      <c r="DB70" s="0" t="s">
        <v>3570</v>
      </c>
      <c r="DC70" s="0" t="s">
        <v>362</v>
      </c>
      <c r="DD70" s="0" t="s">
        <v>3572</v>
      </c>
      <c r="DE70" s="0" t="s">
        <v>3986</v>
      </c>
    </row>
    <row customHeight="1" ht="11.25">
      <c r="A71" s="1353" t="s">
        <v>228</v>
      </c>
      <c r="B71" s="0" t="s">
        <v>228</v>
      </c>
      <c r="C71" s="0" t="s">
        <v>228</v>
      </c>
      <c r="D71" s="0" t="s">
        <v>228</v>
      </c>
      <c r="E71" s="0" t="s">
        <v>228</v>
      </c>
      <c r="F71" s="0" t="s">
        <v>228</v>
      </c>
      <c r="G71" s="0" t="s">
        <v>228</v>
      </c>
      <c r="H71" s="0" t="s">
        <v>228</v>
      </c>
      <c r="I71" s="0" t="s">
        <v>3555</v>
      </c>
      <c r="J71" s="0" t="s">
        <v>228</v>
      </c>
      <c r="K71" s="0" t="s">
        <v>228</v>
      </c>
      <c r="L71" s="0" t="s">
        <v>228</v>
      </c>
      <c r="M71" s="0" t="s">
        <v>228</v>
      </c>
      <c r="N71" s="0" t="s">
        <v>228</v>
      </c>
      <c r="O71" s="0" t="s">
        <v>228</v>
      </c>
      <c r="P71" s="0" t="s">
        <v>228</v>
      </c>
      <c r="Q71" s="0" t="s">
        <v>228</v>
      </c>
      <c r="R71" s="0" t="s">
        <v>3987</v>
      </c>
      <c r="S71" s="0" t="s">
        <v>228</v>
      </c>
      <c r="T71" s="0" t="s">
        <v>228</v>
      </c>
      <c r="U71" s="0" t="s">
        <v>101</v>
      </c>
      <c r="V71" s="0" t="s">
        <v>228</v>
      </c>
      <c r="W71" s="0" t="s">
        <v>228</v>
      </c>
      <c r="X71" s="0" t="s">
        <v>3988</v>
      </c>
      <c r="Y71" s="0" t="s">
        <v>228</v>
      </c>
      <c r="Z71" s="0" t="s">
        <v>151</v>
      </c>
      <c r="AA71" s="0" t="s">
        <v>160</v>
      </c>
      <c r="AB71" s="0" t="s">
        <v>151</v>
      </c>
      <c r="AC71" s="0" t="s">
        <v>2715</v>
      </c>
      <c r="AD71" s="0" t="s">
        <v>2715</v>
      </c>
      <c r="AE71" s="0" t="s">
        <v>2716</v>
      </c>
      <c r="AF71" s="0" t="s">
        <v>3594</v>
      </c>
      <c r="AG71" s="0" t="s">
        <v>3595</v>
      </c>
      <c r="AH71" s="0" t="s">
        <v>3642</v>
      </c>
      <c r="AI71" s="0" t="s">
        <v>3643</v>
      </c>
      <c r="AJ71" s="0" t="s">
        <v>228</v>
      </c>
      <c r="AK71" s="0" t="s">
        <v>228</v>
      </c>
      <c r="AL71" s="0" t="s">
        <v>228</v>
      </c>
      <c r="AM71" s="0" t="s">
        <v>228</v>
      </c>
      <c r="AN71" s="0" t="s">
        <v>228</v>
      </c>
      <c r="AO71" s="0" t="s">
        <v>228</v>
      </c>
      <c r="AP71" s="0" t="s">
        <v>3989</v>
      </c>
      <c r="AQ71" s="0" t="s">
        <v>3990</v>
      </c>
      <c r="AR71" s="0" t="s">
        <v>111</v>
      </c>
      <c r="AS71" s="0" t="s">
        <v>3665</v>
      </c>
      <c r="AT71" s="0" t="s">
        <v>122</v>
      </c>
      <c r="AU71" s="0" t="s">
        <v>228</v>
      </c>
      <c r="AV71" s="0" t="s">
        <v>3991</v>
      </c>
      <c r="AW71" s="0" t="s">
        <v>2286</v>
      </c>
      <c r="AX71" s="0" t="s">
        <v>2286</v>
      </c>
      <c r="AY71" s="0" t="s">
        <v>3992</v>
      </c>
      <c r="AZ71" s="0" t="s">
        <v>3993</v>
      </c>
      <c r="BA71" s="0" t="s">
        <v>3994</v>
      </c>
      <c r="BB71" s="0" t="s">
        <v>3642</v>
      </c>
      <c r="BC71" s="0" t="s">
        <v>3643</v>
      </c>
      <c r="BD71" s="0" t="s">
        <v>3995</v>
      </c>
      <c r="BE71" s="0" t="s">
        <v>228</v>
      </c>
      <c r="BF71" s="0" t="s">
        <v>228</v>
      </c>
      <c r="BG71" s="0" t="s">
        <v>228</v>
      </c>
      <c r="BH71" s="0" t="s">
        <v>228</v>
      </c>
      <c r="BI71" s="0" t="s">
        <v>228</v>
      </c>
      <c r="BJ71" s="0" t="s">
        <v>228</v>
      </c>
      <c r="BK71" s="0" t="s">
        <v>228</v>
      </c>
      <c r="BL71" s="0" t="s">
        <v>228</v>
      </c>
      <c r="BM71" s="0" t="s">
        <v>228</v>
      </c>
      <c r="BN71" s="0" t="s">
        <v>228</v>
      </c>
      <c r="BO71" s="0" t="s">
        <v>228</v>
      </c>
      <c r="BP71" s="0" t="s">
        <v>228</v>
      </c>
      <c r="BQ71" s="0" t="s">
        <v>228</v>
      </c>
      <c r="BR71" s="0" t="s">
        <v>228</v>
      </c>
      <c r="BS71" s="0" t="s">
        <v>228</v>
      </c>
      <c r="BT71" s="0" t="s">
        <v>228</v>
      </c>
      <c r="BU71" s="0" t="s">
        <v>228</v>
      </c>
      <c r="BV71" s="0" t="s">
        <v>228</v>
      </c>
      <c r="BW71" s="0" t="s">
        <v>228</v>
      </c>
      <c r="BX71" s="0" t="s">
        <v>228</v>
      </c>
      <c r="BY71" s="0" t="s">
        <v>228</v>
      </c>
      <c r="BZ71" s="0" t="s">
        <v>228</v>
      </c>
      <c r="CA71" s="0" t="s">
        <v>228</v>
      </c>
      <c r="CB71" s="0" t="s">
        <v>228</v>
      </c>
      <c r="CC71" s="0" t="s">
        <v>228</v>
      </c>
      <c r="CD71" s="0" t="s">
        <v>228</v>
      </c>
      <c r="CE71" s="0" t="s">
        <v>228</v>
      </c>
      <c r="CF71" s="0" t="s">
        <v>228</v>
      </c>
      <c r="CG71" s="0" t="s">
        <v>228</v>
      </c>
      <c r="CH71" s="0" t="s">
        <v>228</v>
      </c>
      <c r="CI71" s="0" t="s">
        <v>228</v>
      </c>
      <c r="CJ71" s="0" t="s">
        <v>228</v>
      </c>
      <c r="CK71" s="0" t="s">
        <v>228</v>
      </c>
      <c r="CL71" s="0" t="s">
        <v>228</v>
      </c>
      <c r="CM71" s="0" t="s">
        <v>228</v>
      </c>
      <c r="CN71" s="0" t="s">
        <v>228</v>
      </c>
      <c r="CO71" s="0" t="s">
        <v>228</v>
      </c>
      <c r="CP71" s="0" t="s">
        <v>228</v>
      </c>
      <c r="CQ71" s="0" t="s">
        <v>228</v>
      </c>
      <c r="CR71" s="0" t="s">
        <v>228</v>
      </c>
      <c r="CS71" s="0" t="s">
        <v>228</v>
      </c>
      <c r="CT71" s="0" t="s">
        <v>3568</v>
      </c>
      <c r="CU71" s="0" t="s">
        <v>3569</v>
      </c>
      <c r="CV71" s="0" t="s">
        <v>418</v>
      </c>
      <c r="CW71" s="0" t="s">
        <v>3602</v>
      </c>
      <c r="CX71" s="0" t="s">
        <v>3603</v>
      </c>
      <c r="CY71" s="0" t="s">
        <v>418</v>
      </c>
      <c r="CZ71" s="0" t="s">
        <v>504</v>
      </c>
      <c r="DA71" s="0" t="s">
        <v>3604</v>
      </c>
      <c r="DB71" s="0" t="s">
        <v>3602</v>
      </c>
      <c r="DC71" s="0" t="s">
        <v>362</v>
      </c>
      <c r="DD71" s="0" t="s">
        <v>3572</v>
      </c>
      <c r="DE71" s="0" t="s">
        <v>3647</v>
      </c>
    </row>
    <row customHeight="1" ht="11.25">
      <c r="A72" s="1353" t="s">
        <v>228</v>
      </c>
      <c r="B72" s="0" t="s">
        <v>228</v>
      </c>
      <c r="C72" s="0" t="s">
        <v>228</v>
      </c>
      <c r="D72" s="0" t="s">
        <v>228</v>
      </c>
      <c r="E72" s="0" t="s">
        <v>228</v>
      </c>
      <c r="F72" s="0" t="s">
        <v>228</v>
      </c>
      <c r="G72" s="0" t="s">
        <v>228</v>
      </c>
      <c r="H72" s="0" t="s">
        <v>228</v>
      </c>
      <c r="I72" s="0" t="s">
        <v>3555</v>
      </c>
      <c r="J72" s="0" t="s">
        <v>228</v>
      </c>
      <c r="K72" s="0" t="s">
        <v>228</v>
      </c>
      <c r="L72" s="0" t="s">
        <v>228</v>
      </c>
      <c r="M72" s="0" t="s">
        <v>228</v>
      </c>
      <c r="N72" s="0" t="s">
        <v>228</v>
      </c>
      <c r="O72" s="0" t="s">
        <v>228</v>
      </c>
      <c r="P72" s="0" t="s">
        <v>228</v>
      </c>
      <c r="Q72" s="0" t="s">
        <v>228</v>
      </c>
      <c r="R72" s="0" t="s">
        <v>3718</v>
      </c>
      <c r="S72" s="0" t="s">
        <v>228</v>
      </c>
      <c r="T72" s="0" t="s">
        <v>228</v>
      </c>
      <c r="U72" s="0" t="s">
        <v>101</v>
      </c>
      <c r="V72" s="0" t="s">
        <v>228</v>
      </c>
      <c r="W72" s="0" t="s">
        <v>228</v>
      </c>
      <c r="X72" s="0" t="s">
        <v>3661</v>
      </c>
      <c r="Y72" s="0" t="s">
        <v>228</v>
      </c>
      <c r="Z72" s="0" t="s">
        <v>151</v>
      </c>
      <c r="AA72" s="0" t="s">
        <v>151</v>
      </c>
      <c r="AB72" s="0" t="s">
        <v>160</v>
      </c>
      <c r="AC72" s="0" t="s">
        <v>2311</v>
      </c>
      <c r="AD72" s="0" t="s">
        <v>2311</v>
      </c>
      <c r="AE72" s="0" t="s">
        <v>2312</v>
      </c>
      <c r="AF72" s="0" t="s">
        <v>3996</v>
      </c>
      <c r="AG72" s="0" t="s">
        <v>3997</v>
      </c>
      <c r="AH72" s="0" t="s">
        <v>3998</v>
      </c>
      <c r="AI72" s="0" t="s">
        <v>3721</v>
      </c>
      <c r="AJ72" s="0" t="s">
        <v>228</v>
      </c>
      <c r="AK72" s="0" t="s">
        <v>228</v>
      </c>
      <c r="AL72" s="0" t="s">
        <v>228</v>
      </c>
      <c r="AM72" s="0" t="s">
        <v>228</v>
      </c>
      <c r="AN72" s="0" t="s">
        <v>228</v>
      </c>
      <c r="AO72" s="0" t="s">
        <v>228</v>
      </c>
      <c r="AP72" s="0" t="s">
        <v>228</v>
      </c>
      <c r="AQ72" s="0" t="s">
        <v>228</v>
      </c>
      <c r="AR72" s="0" t="s">
        <v>228</v>
      </c>
      <c r="AS72" s="0" t="s">
        <v>228</v>
      </c>
      <c r="AT72" s="0" t="s">
        <v>228</v>
      </c>
      <c r="AU72" s="0" t="s">
        <v>228</v>
      </c>
      <c r="AV72" s="0" t="s">
        <v>228</v>
      </c>
      <c r="AW72" s="0" t="s">
        <v>228</v>
      </c>
      <c r="AX72" s="0" t="s">
        <v>228</v>
      </c>
      <c r="AY72" s="0" t="s">
        <v>228</v>
      </c>
      <c r="AZ72" s="0" t="s">
        <v>228</v>
      </c>
      <c r="BA72" s="0" t="s">
        <v>228</v>
      </c>
      <c r="BB72" s="0" t="s">
        <v>228</v>
      </c>
      <c r="BC72" s="0" t="s">
        <v>228</v>
      </c>
      <c r="BD72" s="0" t="s">
        <v>228</v>
      </c>
      <c r="BE72" s="0" t="s">
        <v>3722</v>
      </c>
      <c r="BF72" s="0" t="s">
        <v>3722</v>
      </c>
      <c r="BG72" s="0" t="s">
        <v>111</v>
      </c>
      <c r="BH72" s="0" t="s">
        <v>3665</v>
      </c>
      <c r="BI72" s="0" t="s">
        <v>122</v>
      </c>
      <c r="BJ72" s="0" t="s">
        <v>228</v>
      </c>
      <c r="BK72" s="0" t="s">
        <v>3684</v>
      </c>
      <c r="BL72" s="0" t="s">
        <v>2311</v>
      </c>
      <c r="BM72" s="0" t="s">
        <v>2311</v>
      </c>
      <c r="BN72" s="0" t="s">
        <v>3723</v>
      </c>
      <c r="BO72" s="0" t="s">
        <v>3996</v>
      </c>
      <c r="BP72" s="0" t="s">
        <v>3999</v>
      </c>
      <c r="BQ72" s="0" t="s">
        <v>4000</v>
      </c>
      <c r="BR72" s="0" t="s">
        <v>1701</v>
      </c>
      <c r="BS72" s="0" t="s">
        <v>228</v>
      </c>
      <c r="BT72" s="0" t="s">
        <v>3727</v>
      </c>
      <c r="BU72" s="0" t="s">
        <v>4001</v>
      </c>
      <c r="BV72" s="0" t="s">
        <v>4001</v>
      </c>
      <c r="BW72" s="0" t="s">
        <v>3674</v>
      </c>
      <c r="BX72" s="0" t="s">
        <v>3674</v>
      </c>
      <c r="BY72" s="0" t="s">
        <v>3674</v>
      </c>
      <c r="BZ72" s="0" t="s">
        <v>3674</v>
      </c>
      <c r="CA72" s="0" t="s">
        <v>3674</v>
      </c>
      <c r="CB72" s="0" t="s">
        <v>228</v>
      </c>
      <c r="CC72" s="0" t="s">
        <v>228</v>
      </c>
      <c r="CD72" s="0" t="s">
        <v>228</v>
      </c>
      <c r="CE72" s="0" t="s">
        <v>228</v>
      </c>
      <c r="CF72" s="0" t="s">
        <v>228</v>
      </c>
      <c r="CG72" s="0" t="s">
        <v>3674</v>
      </c>
      <c r="CH72" s="0" t="s">
        <v>228</v>
      </c>
      <c r="CI72" s="0" t="s">
        <v>228</v>
      </c>
      <c r="CJ72" s="0" t="s">
        <v>228</v>
      </c>
      <c r="CK72" s="0" t="s">
        <v>228</v>
      </c>
      <c r="CL72" s="0" t="s">
        <v>228</v>
      </c>
      <c r="CM72" s="0" t="s">
        <v>4001</v>
      </c>
      <c r="CN72" s="0" t="s">
        <v>4001</v>
      </c>
      <c r="CO72" s="0" t="s">
        <v>228</v>
      </c>
      <c r="CP72" s="0" t="s">
        <v>228</v>
      </c>
      <c r="CQ72" s="0" t="s">
        <v>228</v>
      </c>
      <c r="CR72" s="0" t="s">
        <v>228</v>
      </c>
      <c r="CS72" s="0" t="s">
        <v>3582</v>
      </c>
      <c r="CT72" s="0" t="s">
        <v>3568</v>
      </c>
      <c r="CU72" s="0" t="s">
        <v>3569</v>
      </c>
      <c r="CV72" s="0" t="s">
        <v>418</v>
      </c>
      <c r="CW72" s="0" t="s">
        <v>3584</v>
      </c>
      <c r="CX72" s="0" t="s">
        <v>419</v>
      </c>
      <c r="CY72" s="0" t="s">
        <v>418</v>
      </c>
      <c r="CZ72" s="0" t="s">
        <v>3585</v>
      </c>
      <c r="DA72" s="0" t="s">
        <v>3586</v>
      </c>
      <c r="DB72" s="0" t="s">
        <v>3584</v>
      </c>
      <c r="DC72" s="0" t="s">
        <v>362</v>
      </c>
      <c r="DD72" s="0" t="s">
        <v>3572</v>
      </c>
      <c r="DE72" s="0" t="s">
        <v>4002</v>
      </c>
    </row>
    <row customHeight="1" ht="11.25">
      <c r="A73" s="1353" t="s">
        <v>228</v>
      </c>
      <c r="B73" s="0" t="s">
        <v>228</v>
      </c>
      <c r="C73" s="0" t="s">
        <v>228</v>
      </c>
      <c r="D73" s="0" t="s">
        <v>228</v>
      </c>
      <c r="E73" s="0" t="s">
        <v>228</v>
      </c>
      <c r="F73" s="0" t="s">
        <v>228</v>
      </c>
      <c r="G73" s="0" t="s">
        <v>228</v>
      </c>
      <c r="H73" s="0" t="s">
        <v>228</v>
      </c>
      <c r="I73" s="0" t="s">
        <v>3555</v>
      </c>
      <c r="J73" s="0" t="s">
        <v>228</v>
      </c>
      <c r="K73" s="0" t="s">
        <v>228</v>
      </c>
      <c r="L73" s="0" t="s">
        <v>228</v>
      </c>
      <c r="M73" s="0" t="s">
        <v>228</v>
      </c>
      <c r="N73" s="0" t="s">
        <v>228</v>
      </c>
      <c r="O73" s="0" t="s">
        <v>228</v>
      </c>
      <c r="P73" s="0" t="s">
        <v>228</v>
      </c>
      <c r="Q73" s="0" t="s">
        <v>228</v>
      </c>
      <c r="R73" s="0" t="s">
        <v>3782</v>
      </c>
      <c r="S73" s="0" t="s">
        <v>228</v>
      </c>
      <c r="T73" s="0" t="s">
        <v>228</v>
      </c>
      <c r="U73" s="0" t="s">
        <v>101</v>
      </c>
      <c r="V73" s="0" t="s">
        <v>228</v>
      </c>
      <c r="W73" s="0" t="s">
        <v>228</v>
      </c>
      <c r="X73" s="0" t="s">
        <v>3661</v>
      </c>
      <c r="Y73" s="0" t="s">
        <v>228</v>
      </c>
      <c r="Z73" s="0" t="s">
        <v>151</v>
      </c>
      <c r="AA73" s="0" t="s">
        <v>151</v>
      </c>
      <c r="AB73" s="0" t="s">
        <v>160</v>
      </c>
      <c r="AC73" s="0" t="s">
        <v>2311</v>
      </c>
      <c r="AD73" s="0" t="s">
        <v>2311</v>
      </c>
      <c r="AE73" s="0" t="s">
        <v>2312</v>
      </c>
      <c r="AF73" s="0" t="s">
        <v>3996</v>
      </c>
      <c r="AG73" s="0" t="s">
        <v>3997</v>
      </c>
      <c r="AH73" s="0" t="s">
        <v>4003</v>
      </c>
      <c r="AI73" s="0" t="s">
        <v>3721</v>
      </c>
      <c r="AJ73" s="0" t="s">
        <v>228</v>
      </c>
      <c r="AK73" s="0" t="s">
        <v>228</v>
      </c>
      <c r="AL73" s="0" t="s">
        <v>228</v>
      </c>
      <c r="AM73" s="0" t="s">
        <v>228</v>
      </c>
      <c r="AN73" s="0" t="s">
        <v>228</v>
      </c>
      <c r="AO73" s="0" t="s">
        <v>228</v>
      </c>
      <c r="AP73" s="0" t="s">
        <v>228</v>
      </c>
      <c r="AQ73" s="0" t="s">
        <v>228</v>
      </c>
      <c r="AR73" s="0" t="s">
        <v>228</v>
      </c>
      <c r="AS73" s="0" t="s">
        <v>228</v>
      </c>
      <c r="AT73" s="0" t="s">
        <v>228</v>
      </c>
      <c r="AU73" s="0" t="s">
        <v>228</v>
      </c>
      <c r="AV73" s="0" t="s">
        <v>228</v>
      </c>
      <c r="AW73" s="0" t="s">
        <v>228</v>
      </c>
      <c r="AX73" s="0" t="s">
        <v>228</v>
      </c>
      <c r="AY73" s="0" t="s">
        <v>228</v>
      </c>
      <c r="AZ73" s="0" t="s">
        <v>228</v>
      </c>
      <c r="BA73" s="0" t="s">
        <v>228</v>
      </c>
      <c r="BB73" s="0" t="s">
        <v>228</v>
      </c>
      <c r="BC73" s="0" t="s">
        <v>228</v>
      </c>
      <c r="BD73" s="0" t="s">
        <v>228</v>
      </c>
      <c r="BE73" s="0" t="s">
        <v>3722</v>
      </c>
      <c r="BF73" s="0" t="s">
        <v>3722</v>
      </c>
      <c r="BG73" s="0" t="s">
        <v>111</v>
      </c>
      <c r="BH73" s="0" t="s">
        <v>3665</v>
      </c>
      <c r="BI73" s="0" t="s">
        <v>122</v>
      </c>
      <c r="BJ73" s="0" t="s">
        <v>228</v>
      </c>
      <c r="BK73" s="0" t="s">
        <v>3684</v>
      </c>
      <c r="BL73" s="0" t="s">
        <v>2311</v>
      </c>
      <c r="BM73" s="0" t="s">
        <v>2311</v>
      </c>
      <c r="BN73" s="0" t="s">
        <v>3723</v>
      </c>
      <c r="BO73" s="0" t="s">
        <v>3996</v>
      </c>
      <c r="BP73" s="0" t="s">
        <v>3999</v>
      </c>
      <c r="BQ73" s="0" t="s">
        <v>4004</v>
      </c>
      <c r="BR73" s="0" t="s">
        <v>1701</v>
      </c>
      <c r="BS73" s="0" t="s">
        <v>228</v>
      </c>
      <c r="BT73" s="0" t="s">
        <v>3727</v>
      </c>
      <c r="BU73" s="0" t="s">
        <v>4005</v>
      </c>
      <c r="BV73" s="0" t="s">
        <v>4005</v>
      </c>
      <c r="BW73" s="0" t="s">
        <v>3674</v>
      </c>
      <c r="BX73" s="0" t="s">
        <v>3674</v>
      </c>
      <c r="BY73" s="0" t="s">
        <v>3674</v>
      </c>
      <c r="BZ73" s="0" t="s">
        <v>3674</v>
      </c>
      <c r="CA73" s="0" t="s">
        <v>3674</v>
      </c>
      <c r="CB73" s="0" t="s">
        <v>228</v>
      </c>
      <c r="CC73" s="0" t="s">
        <v>228</v>
      </c>
      <c r="CD73" s="0" t="s">
        <v>228</v>
      </c>
      <c r="CE73" s="0" t="s">
        <v>228</v>
      </c>
      <c r="CF73" s="0" t="s">
        <v>228</v>
      </c>
      <c r="CG73" s="0" t="s">
        <v>3674</v>
      </c>
      <c r="CH73" s="0" t="s">
        <v>228</v>
      </c>
      <c r="CI73" s="0" t="s">
        <v>228</v>
      </c>
      <c r="CJ73" s="0" t="s">
        <v>228</v>
      </c>
      <c r="CK73" s="0" t="s">
        <v>228</v>
      </c>
      <c r="CL73" s="0" t="s">
        <v>228</v>
      </c>
      <c r="CM73" s="0" t="s">
        <v>4005</v>
      </c>
      <c r="CN73" s="0" t="s">
        <v>4005</v>
      </c>
      <c r="CO73" s="0" t="s">
        <v>228</v>
      </c>
      <c r="CP73" s="0" t="s">
        <v>228</v>
      </c>
      <c r="CQ73" s="0" t="s">
        <v>228</v>
      </c>
      <c r="CR73" s="0" t="s">
        <v>228</v>
      </c>
      <c r="CS73" s="0" t="s">
        <v>3582</v>
      </c>
      <c r="CT73" s="0" t="s">
        <v>3568</v>
      </c>
      <c r="CU73" s="0" t="s">
        <v>3569</v>
      </c>
      <c r="CV73" s="0" t="s">
        <v>418</v>
      </c>
      <c r="CW73" s="0" t="s">
        <v>3584</v>
      </c>
      <c r="CX73" s="0" t="s">
        <v>419</v>
      </c>
      <c r="CY73" s="0" t="s">
        <v>418</v>
      </c>
      <c r="CZ73" s="0" t="s">
        <v>3585</v>
      </c>
      <c r="DA73" s="0" t="s">
        <v>3586</v>
      </c>
      <c r="DB73" s="0" t="s">
        <v>3584</v>
      </c>
      <c r="DC73" s="0" t="s">
        <v>362</v>
      </c>
      <c r="DD73" s="0" t="s">
        <v>3572</v>
      </c>
      <c r="DE73" s="0" t="s">
        <v>4006</v>
      </c>
    </row>
    <row customHeight="1" ht="11.25">
      <c r="A74" s="1353" t="s">
        <v>228</v>
      </c>
      <c r="B74" s="0" t="s">
        <v>228</v>
      </c>
      <c r="C74" s="0" t="s">
        <v>228</v>
      </c>
      <c r="D74" s="0" t="s">
        <v>228</v>
      </c>
      <c r="E74" s="0" t="s">
        <v>228</v>
      </c>
      <c r="F74" s="0" t="s">
        <v>228</v>
      </c>
      <c r="G74" s="0" t="s">
        <v>228</v>
      </c>
      <c r="H74" s="0" t="s">
        <v>228</v>
      </c>
      <c r="I74" s="0" t="s">
        <v>3555</v>
      </c>
      <c r="J74" s="0" t="s">
        <v>228</v>
      </c>
      <c r="K74" s="0" t="s">
        <v>228</v>
      </c>
      <c r="L74" s="0" t="s">
        <v>228</v>
      </c>
      <c r="M74" s="0" t="s">
        <v>228</v>
      </c>
      <c r="N74" s="0" t="s">
        <v>228</v>
      </c>
      <c r="O74" s="0" t="s">
        <v>228</v>
      </c>
      <c r="P74" s="0" t="s">
        <v>228</v>
      </c>
      <c r="Q74" s="0" t="s">
        <v>228</v>
      </c>
      <c r="R74" s="0" t="s">
        <v>4007</v>
      </c>
      <c r="S74" s="0" t="s">
        <v>228</v>
      </c>
      <c r="T74" s="0" t="s">
        <v>228</v>
      </c>
      <c r="U74" s="0" t="s">
        <v>101</v>
      </c>
      <c r="V74" s="0" t="s">
        <v>228</v>
      </c>
      <c r="W74" s="0" t="s">
        <v>228</v>
      </c>
      <c r="X74" s="0" t="s">
        <v>3557</v>
      </c>
      <c r="Y74" s="0" t="s">
        <v>228</v>
      </c>
      <c r="Z74" s="0" t="s">
        <v>160</v>
      </c>
      <c r="AA74" s="0" t="s">
        <v>151</v>
      </c>
      <c r="AB74" s="0" t="s">
        <v>151</v>
      </c>
      <c r="AC74" s="0" t="s">
        <v>2317</v>
      </c>
      <c r="AD74" s="0" t="s">
        <v>2317</v>
      </c>
      <c r="AE74" s="0" t="s">
        <v>2318</v>
      </c>
      <c r="AF74" s="0" t="s">
        <v>3615</v>
      </c>
      <c r="AG74" s="0" t="s">
        <v>3616</v>
      </c>
      <c r="AH74" s="0" t="s">
        <v>3617</v>
      </c>
      <c r="AI74" s="0" t="s">
        <v>4008</v>
      </c>
      <c r="AJ74" s="0" t="s">
        <v>3579</v>
      </c>
      <c r="AK74" s="0" t="s">
        <v>3808</v>
      </c>
      <c r="AL74" s="0" t="s">
        <v>3581</v>
      </c>
      <c r="AM74" s="0" t="s">
        <v>3565</v>
      </c>
      <c r="AN74" s="0" t="s">
        <v>3563</v>
      </c>
      <c r="AO74" s="0" t="s">
        <v>3621</v>
      </c>
      <c r="AP74" s="0" t="s">
        <v>228</v>
      </c>
      <c r="AQ74" s="0" t="s">
        <v>228</v>
      </c>
      <c r="AR74" s="0" t="s">
        <v>228</v>
      </c>
      <c r="AS74" s="0" t="s">
        <v>228</v>
      </c>
      <c r="AT74" s="0" t="s">
        <v>228</v>
      </c>
      <c r="AU74" s="0" t="s">
        <v>228</v>
      </c>
      <c r="AV74" s="0" t="s">
        <v>228</v>
      </c>
      <c r="AW74" s="0" t="s">
        <v>228</v>
      </c>
      <c r="AX74" s="0" t="s">
        <v>228</v>
      </c>
      <c r="AY74" s="0" t="s">
        <v>228</v>
      </c>
      <c r="AZ74" s="0" t="s">
        <v>228</v>
      </c>
      <c r="BA74" s="0" t="s">
        <v>228</v>
      </c>
      <c r="BB74" s="0" t="s">
        <v>228</v>
      </c>
      <c r="BC74" s="0" t="s">
        <v>228</v>
      </c>
      <c r="BD74" s="0" t="s">
        <v>228</v>
      </c>
      <c r="BE74" s="0" t="s">
        <v>228</v>
      </c>
      <c r="BF74" s="0" t="s">
        <v>228</v>
      </c>
      <c r="BG74" s="0" t="s">
        <v>228</v>
      </c>
      <c r="BH74" s="0" t="s">
        <v>228</v>
      </c>
      <c r="BI74" s="0" t="s">
        <v>228</v>
      </c>
      <c r="BJ74" s="0" t="s">
        <v>228</v>
      </c>
      <c r="BK74" s="0" t="s">
        <v>228</v>
      </c>
      <c r="BL74" s="0" t="s">
        <v>228</v>
      </c>
      <c r="BM74" s="0" t="s">
        <v>228</v>
      </c>
      <c r="BN74" s="0" t="s">
        <v>228</v>
      </c>
      <c r="BO74" s="0" t="s">
        <v>228</v>
      </c>
      <c r="BP74" s="0" t="s">
        <v>228</v>
      </c>
      <c r="BQ74" s="0" t="s">
        <v>228</v>
      </c>
      <c r="BR74" s="0" t="s">
        <v>228</v>
      </c>
      <c r="BS74" s="0" t="s">
        <v>228</v>
      </c>
      <c r="BT74" s="0" t="s">
        <v>228</v>
      </c>
      <c r="BU74" s="0" t="s">
        <v>228</v>
      </c>
      <c r="BV74" s="0" t="s">
        <v>228</v>
      </c>
      <c r="BW74" s="0" t="s">
        <v>228</v>
      </c>
      <c r="BX74" s="0" t="s">
        <v>228</v>
      </c>
      <c r="BY74" s="0" t="s">
        <v>228</v>
      </c>
      <c r="BZ74" s="0" t="s">
        <v>228</v>
      </c>
      <c r="CA74" s="0" t="s">
        <v>228</v>
      </c>
      <c r="CB74" s="0" t="s">
        <v>228</v>
      </c>
      <c r="CC74" s="0" t="s">
        <v>228</v>
      </c>
      <c r="CD74" s="0" t="s">
        <v>228</v>
      </c>
      <c r="CE74" s="0" t="s">
        <v>228</v>
      </c>
      <c r="CF74" s="0" t="s">
        <v>228</v>
      </c>
      <c r="CG74" s="0" t="s">
        <v>228</v>
      </c>
      <c r="CH74" s="0" t="s">
        <v>228</v>
      </c>
      <c r="CI74" s="0" t="s">
        <v>228</v>
      </c>
      <c r="CJ74" s="0" t="s">
        <v>228</v>
      </c>
      <c r="CK74" s="0" t="s">
        <v>228</v>
      </c>
      <c r="CL74" s="0" t="s">
        <v>228</v>
      </c>
      <c r="CM74" s="0" t="s">
        <v>228</v>
      </c>
      <c r="CN74" s="0" t="s">
        <v>228</v>
      </c>
      <c r="CO74" s="0" t="s">
        <v>228</v>
      </c>
      <c r="CP74" s="0" t="s">
        <v>228</v>
      </c>
      <c r="CQ74" s="0" t="s">
        <v>228</v>
      </c>
      <c r="CR74" s="0" t="s">
        <v>228</v>
      </c>
      <c r="CS74" s="0" t="s">
        <v>228</v>
      </c>
      <c r="CT74" s="0" t="s">
        <v>3568</v>
      </c>
      <c r="CU74" s="0" t="s">
        <v>3569</v>
      </c>
      <c r="CV74" s="0" t="s">
        <v>418</v>
      </c>
      <c r="CW74" s="0" t="s">
        <v>3622</v>
      </c>
      <c r="CX74" s="0" t="s">
        <v>419</v>
      </c>
      <c r="CY74" s="0" t="s">
        <v>418</v>
      </c>
      <c r="CZ74" s="0" t="s">
        <v>3623</v>
      </c>
      <c r="DA74" s="0" t="s">
        <v>3624</v>
      </c>
      <c r="DB74" s="0" t="s">
        <v>3622</v>
      </c>
      <c r="DC74" s="0" t="s">
        <v>362</v>
      </c>
      <c r="DD74" s="0" t="s">
        <v>3572</v>
      </c>
      <c r="DE74" s="0" t="s">
        <v>4009</v>
      </c>
    </row>
    <row customHeight="1" ht="11.25">
      <c r="A75" s="1353" t="s">
        <v>228</v>
      </c>
      <c r="B75" s="0" t="s">
        <v>228</v>
      </c>
      <c r="C75" s="0" t="s">
        <v>228</v>
      </c>
      <c r="D75" s="0" t="s">
        <v>228</v>
      </c>
      <c r="E75" s="0" t="s">
        <v>228</v>
      </c>
      <c r="F75" s="0" t="s">
        <v>228</v>
      </c>
      <c r="G75" s="0" t="s">
        <v>228</v>
      </c>
      <c r="H75" s="0" t="s">
        <v>228</v>
      </c>
      <c r="I75" s="0" t="s">
        <v>3555</v>
      </c>
      <c r="J75" s="0" t="s">
        <v>228</v>
      </c>
      <c r="K75" s="0" t="s">
        <v>228</v>
      </c>
      <c r="L75" s="0" t="s">
        <v>228</v>
      </c>
      <c r="M75" s="0" t="s">
        <v>228</v>
      </c>
      <c r="N75" s="0" t="s">
        <v>228</v>
      </c>
      <c r="O75" s="0" t="s">
        <v>228</v>
      </c>
      <c r="P75" s="0" t="s">
        <v>228</v>
      </c>
      <c r="Q75" s="0" t="s">
        <v>228</v>
      </c>
      <c r="R75" s="0" t="s">
        <v>4010</v>
      </c>
      <c r="S75" s="0" t="s">
        <v>228</v>
      </c>
      <c r="T75" s="0" t="s">
        <v>228</v>
      </c>
      <c r="U75" s="0" t="s">
        <v>101</v>
      </c>
      <c r="V75" s="0" t="s">
        <v>228</v>
      </c>
      <c r="W75" s="0" t="s">
        <v>228</v>
      </c>
      <c r="X75" s="0" t="s">
        <v>3557</v>
      </c>
      <c r="Y75" s="0" t="s">
        <v>228</v>
      </c>
      <c r="Z75" s="0" t="s">
        <v>160</v>
      </c>
      <c r="AA75" s="0" t="s">
        <v>151</v>
      </c>
      <c r="AB75" s="0" t="s">
        <v>151</v>
      </c>
      <c r="AC75" s="0" t="s">
        <v>2317</v>
      </c>
      <c r="AD75" s="0" t="s">
        <v>2317</v>
      </c>
      <c r="AE75" s="0" t="s">
        <v>2318</v>
      </c>
      <c r="AF75" s="0" t="s">
        <v>3615</v>
      </c>
      <c r="AG75" s="0" t="s">
        <v>3616</v>
      </c>
      <c r="AH75" s="0" t="s">
        <v>3617</v>
      </c>
      <c r="AI75" s="0" t="s">
        <v>4011</v>
      </c>
      <c r="AJ75" s="0" t="s">
        <v>3579</v>
      </c>
      <c r="AK75" s="0" t="s">
        <v>3853</v>
      </c>
      <c r="AL75" s="0" t="s">
        <v>3581</v>
      </c>
      <c r="AM75" s="0" t="s">
        <v>3565</v>
      </c>
      <c r="AN75" s="0" t="s">
        <v>3563</v>
      </c>
      <c r="AO75" s="0" t="s">
        <v>3621</v>
      </c>
      <c r="AP75" s="0" t="s">
        <v>228</v>
      </c>
      <c r="AQ75" s="0" t="s">
        <v>228</v>
      </c>
      <c r="AR75" s="0" t="s">
        <v>228</v>
      </c>
      <c r="AS75" s="0" t="s">
        <v>228</v>
      </c>
      <c r="AT75" s="0" t="s">
        <v>228</v>
      </c>
      <c r="AU75" s="0" t="s">
        <v>228</v>
      </c>
      <c r="AV75" s="0" t="s">
        <v>228</v>
      </c>
      <c r="AW75" s="0" t="s">
        <v>228</v>
      </c>
      <c r="AX75" s="0" t="s">
        <v>228</v>
      </c>
      <c r="AY75" s="0" t="s">
        <v>228</v>
      </c>
      <c r="AZ75" s="0" t="s">
        <v>228</v>
      </c>
      <c r="BA75" s="0" t="s">
        <v>228</v>
      </c>
      <c r="BB75" s="0" t="s">
        <v>228</v>
      </c>
      <c r="BC75" s="0" t="s">
        <v>228</v>
      </c>
      <c r="BD75" s="0" t="s">
        <v>228</v>
      </c>
      <c r="BE75" s="0" t="s">
        <v>228</v>
      </c>
      <c r="BF75" s="0" t="s">
        <v>228</v>
      </c>
      <c r="BG75" s="0" t="s">
        <v>228</v>
      </c>
      <c r="BH75" s="0" t="s">
        <v>228</v>
      </c>
      <c r="BI75" s="0" t="s">
        <v>228</v>
      </c>
      <c r="BJ75" s="0" t="s">
        <v>228</v>
      </c>
      <c r="BK75" s="0" t="s">
        <v>228</v>
      </c>
      <c r="BL75" s="0" t="s">
        <v>228</v>
      </c>
      <c r="BM75" s="0" t="s">
        <v>228</v>
      </c>
      <c r="BN75" s="0" t="s">
        <v>228</v>
      </c>
      <c r="BO75" s="0" t="s">
        <v>228</v>
      </c>
      <c r="BP75" s="0" t="s">
        <v>228</v>
      </c>
      <c r="BQ75" s="0" t="s">
        <v>228</v>
      </c>
      <c r="BR75" s="0" t="s">
        <v>228</v>
      </c>
      <c r="BS75" s="0" t="s">
        <v>228</v>
      </c>
      <c r="BT75" s="0" t="s">
        <v>228</v>
      </c>
      <c r="BU75" s="0" t="s">
        <v>228</v>
      </c>
      <c r="BV75" s="0" t="s">
        <v>228</v>
      </c>
      <c r="BW75" s="0" t="s">
        <v>228</v>
      </c>
      <c r="BX75" s="0" t="s">
        <v>228</v>
      </c>
      <c r="BY75" s="0" t="s">
        <v>228</v>
      </c>
      <c r="BZ75" s="0" t="s">
        <v>228</v>
      </c>
      <c r="CA75" s="0" t="s">
        <v>228</v>
      </c>
      <c r="CB75" s="0" t="s">
        <v>228</v>
      </c>
      <c r="CC75" s="0" t="s">
        <v>228</v>
      </c>
      <c r="CD75" s="0" t="s">
        <v>228</v>
      </c>
      <c r="CE75" s="0" t="s">
        <v>228</v>
      </c>
      <c r="CF75" s="0" t="s">
        <v>228</v>
      </c>
      <c r="CG75" s="0" t="s">
        <v>228</v>
      </c>
      <c r="CH75" s="0" t="s">
        <v>228</v>
      </c>
      <c r="CI75" s="0" t="s">
        <v>228</v>
      </c>
      <c r="CJ75" s="0" t="s">
        <v>228</v>
      </c>
      <c r="CK75" s="0" t="s">
        <v>228</v>
      </c>
      <c r="CL75" s="0" t="s">
        <v>228</v>
      </c>
      <c r="CM75" s="0" t="s">
        <v>228</v>
      </c>
      <c r="CN75" s="0" t="s">
        <v>228</v>
      </c>
      <c r="CO75" s="0" t="s">
        <v>228</v>
      </c>
      <c r="CP75" s="0" t="s">
        <v>228</v>
      </c>
      <c r="CQ75" s="0" t="s">
        <v>228</v>
      </c>
      <c r="CR75" s="0" t="s">
        <v>228</v>
      </c>
      <c r="CS75" s="0" t="s">
        <v>228</v>
      </c>
      <c r="CT75" s="0" t="s">
        <v>3568</v>
      </c>
      <c r="CU75" s="0" t="s">
        <v>3569</v>
      </c>
      <c r="CV75" s="0" t="s">
        <v>418</v>
      </c>
      <c r="CW75" s="0" t="s">
        <v>3622</v>
      </c>
      <c r="CX75" s="0" t="s">
        <v>419</v>
      </c>
      <c r="CY75" s="0" t="s">
        <v>418</v>
      </c>
      <c r="CZ75" s="0" t="s">
        <v>3623</v>
      </c>
      <c r="DA75" s="0" t="s">
        <v>3624</v>
      </c>
      <c r="DB75" s="0" t="s">
        <v>3622</v>
      </c>
      <c r="DC75" s="0" t="s">
        <v>362</v>
      </c>
      <c r="DD75" s="0" t="s">
        <v>3572</v>
      </c>
      <c r="DE75" s="0" t="s">
        <v>4012</v>
      </c>
    </row>
    <row customHeight="1" ht="11.25">
      <c r="A76" s="1353" t="s">
        <v>228</v>
      </c>
      <c r="B76" s="0" t="s">
        <v>228</v>
      </c>
      <c r="C76" s="0" t="s">
        <v>228</v>
      </c>
      <c r="D76" s="0" t="s">
        <v>228</v>
      </c>
      <c r="E76" s="0" t="s">
        <v>228</v>
      </c>
      <c r="F76" s="0" t="s">
        <v>228</v>
      </c>
      <c r="G76" s="0" t="s">
        <v>228</v>
      </c>
      <c r="H76" s="0" t="s">
        <v>228</v>
      </c>
      <c r="I76" s="0" t="s">
        <v>3555</v>
      </c>
      <c r="J76" s="0" t="s">
        <v>228</v>
      </c>
      <c r="K76" s="0" t="s">
        <v>228</v>
      </c>
      <c r="L76" s="0" t="s">
        <v>228</v>
      </c>
      <c r="M76" s="0" t="s">
        <v>228</v>
      </c>
      <c r="N76" s="0" t="s">
        <v>228</v>
      </c>
      <c r="O76" s="0" t="s">
        <v>228</v>
      </c>
      <c r="P76" s="0" t="s">
        <v>228</v>
      </c>
      <c r="Q76" s="0" t="s">
        <v>228</v>
      </c>
      <c r="R76" s="0" t="s">
        <v>4013</v>
      </c>
      <c r="S76" s="0" t="s">
        <v>228</v>
      </c>
      <c r="T76" s="0" t="s">
        <v>228</v>
      </c>
      <c r="U76" s="0" t="s">
        <v>101</v>
      </c>
      <c r="V76" s="0" t="s">
        <v>228</v>
      </c>
      <c r="W76" s="0" t="s">
        <v>228</v>
      </c>
      <c r="X76" s="0" t="s">
        <v>3661</v>
      </c>
      <c r="Y76" s="0" t="s">
        <v>228</v>
      </c>
      <c r="Z76" s="0" t="s">
        <v>151</v>
      </c>
      <c r="AA76" s="0" t="s">
        <v>151</v>
      </c>
      <c r="AB76" s="0" t="s">
        <v>160</v>
      </c>
      <c r="AC76" s="0" t="s">
        <v>2715</v>
      </c>
      <c r="AD76" s="0" t="s">
        <v>2715</v>
      </c>
      <c r="AE76" s="0" t="s">
        <v>2716</v>
      </c>
      <c r="AF76" s="0" t="s">
        <v>3594</v>
      </c>
      <c r="AG76" s="0" t="s">
        <v>3595</v>
      </c>
      <c r="AH76" s="0" t="s">
        <v>3642</v>
      </c>
      <c r="AI76" s="0" t="s">
        <v>3643</v>
      </c>
      <c r="AJ76" s="0" t="s">
        <v>228</v>
      </c>
      <c r="AK76" s="0" t="s">
        <v>228</v>
      </c>
      <c r="AL76" s="0" t="s">
        <v>228</v>
      </c>
      <c r="AM76" s="0" t="s">
        <v>228</v>
      </c>
      <c r="AN76" s="0" t="s">
        <v>228</v>
      </c>
      <c r="AO76" s="0" t="s">
        <v>228</v>
      </c>
      <c r="AP76" s="0" t="s">
        <v>228</v>
      </c>
      <c r="AQ76" s="0" t="s">
        <v>228</v>
      </c>
      <c r="AR76" s="0" t="s">
        <v>228</v>
      </c>
      <c r="AS76" s="0" t="s">
        <v>228</v>
      </c>
      <c r="AT76" s="0" t="s">
        <v>228</v>
      </c>
      <c r="AU76" s="0" t="s">
        <v>228</v>
      </c>
      <c r="AV76" s="0" t="s">
        <v>228</v>
      </c>
      <c r="AW76" s="0" t="s">
        <v>228</v>
      </c>
      <c r="AX76" s="0" t="s">
        <v>228</v>
      </c>
      <c r="AY76" s="0" t="s">
        <v>228</v>
      </c>
      <c r="AZ76" s="0" t="s">
        <v>228</v>
      </c>
      <c r="BA76" s="0" t="s">
        <v>228</v>
      </c>
      <c r="BB76" s="0" t="s">
        <v>228</v>
      </c>
      <c r="BC76" s="0" t="s">
        <v>228</v>
      </c>
      <c r="BD76" s="0" t="s">
        <v>228</v>
      </c>
      <c r="BE76" s="0" t="s">
        <v>4014</v>
      </c>
      <c r="BF76" s="0" t="s">
        <v>3598</v>
      </c>
      <c r="BG76" s="0" t="s">
        <v>111</v>
      </c>
      <c r="BH76" s="0" t="s">
        <v>3665</v>
      </c>
      <c r="BI76" s="0" t="s">
        <v>122</v>
      </c>
      <c r="BJ76" s="0" t="s">
        <v>228</v>
      </c>
      <c r="BK76" s="0" t="s">
        <v>4015</v>
      </c>
      <c r="BL76" s="0" t="s">
        <v>2715</v>
      </c>
      <c r="BM76" s="0" t="s">
        <v>2715</v>
      </c>
      <c r="BN76" s="0" t="s">
        <v>3667</v>
      </c>
      <c r="BO76" s="0" t="s">
        <v>3594</v>
      </c>
      <c r="BP76" s="0" t="s">
        <v>3668</v>
      </c>
      <c r="BQ76" s="0" t="s">
        <v>4016</v>
      </c>
      <c r="BR76" s="0" t="s">
        <v>3643</v>
      </c>
      <c r="BS76" s="0" t="s">
        <v>228</v>
      </c>
      <c r="BT76" s="0" t="s">
        <v>3670</v>
      </c>
      <c r="BU76" s="0" t="s">
        <v>4017</v>
      </c>
      <c r="BV76" s="0" t="s">
        <v>4018</v>
      </c>
      <c r="BW76" s="0" t="s">
        <v>4019</v>
      </c>
      <c r="BX76" s="0" t="s">
        <v>4020</v>
      </c>
      <c r="BY76" s="0" t="s">
        <v>4021</v>
      </c>
      <c r="BZ76" s="0" t="s">
        <v>4022</v>
      </c>
      <c r="CA76" s="0" t="s">
        <v>3674</v>
      </c>
      <c r="CB76" s="0" t="s">
        <v>3674</v>
      </c>
      <c r="CC76" s="0" t="s">
        <v>3674</v>
      </c>
      <c r="CD76" s="0" t="s">
        <v>3674</v>
      </c>
      <c r="CE76" s="0" t="s">
        <v>3674</v>
      </c>
      <c r="CF76" s="0" t="s">
        <v>3674</v>
      </c>
      <c r="CG76" s="0" t="s">
        <v>3674</v>
      </c>
      <c r="CH76" s="0" t="s">
        <v>3674</v>
      </c>
      <c r="CI76" s="0" t="s">
        <v>3674</v>
      </c>
      <c r="CJ76" s="0" t="s">
        <v>3674</v>
      </c>
      <c r="CK76" s="0" t="s">
        <v>3674</v>
      </c>
      <c r="CL76" s="0" t="s">
        <v>3674</v>
      </c>
      <c r="CM76" s="0" t="s">
        <v>4017</v>
      </c>
      <c r="CN76" s="0" t="s">
        <v>4018</v>
      </c>
      <c r="CO76" s="0" t="s">
        <v>4019</v>
      </c>
      <c r="CP76" s="0" t="s">
        <v>4020</v>
      </c>
      <c r="CQ76" s="0" t="s">
        <v>4021</v>
      </c>
      <c r="CR76" s="0" t="s">
        <v>4022</v>
      </c>
      <c r="CS76" s="0" t="s">
        <v>3675</v>
      </c>
      <c r="CT76" s="0" t="s">
        <v>3568</v>
      </c>
      <c r="CU76" s="0" t="s">
        <v>3569</v>
      </c>
      <c r="CV76" s="0" t="s">
        <v>418</v>
      </c>
      <c r="CW76" s="0" t="s">
        <v>3676</v>
      </c>
      <c r="CX76" s="0" t="s">
        <v>3603</v>
      </c>
      <c r="CY76" s="0" t="s">
        <v>418</v>
      </c>
      <c r="CZ76" s="0" t="s">
        <v>504</v>
      </c>
      <c r="DA76" s="0" t="s">
        <v>3604</v>
      </c>
      <c r="DB76" s="0" t="s">
        <v>3676</v>
      </c>
      <c r="DC76" s="0" t="s">
        <v>362</v>
      </c>
      <c r="DD76" s="0" t="s">
        <v>3572</v>
      </c>
      <c r="DE76" s="0" t="s">
        <v>3647</v>
      </c>
    </row>
    <row customHeight="1" ht="11.25">
      <c r="A77" s="1353" t="s">
        <v>228</v>
      </c>
      <c r="B77" s="0" t="s">
        <v>228</v>
      </c>
      <c r="C77" s="0" t="s">
        <v>228</v>
      </c>
      <c r="D77" s="0" t="s">
        <v>228</v>
      </c>
      <c r="E77" s="0" t="s">
        <v>228</v>
      </c>
      <c r="F77" s="0" t="s">
        <v>228</v>
      </c>
      <c r="G77" s="0" t="s">
        <v>228</v>
      </c>
      <c r="H77" s="0" t="s">
        <v>228</v>
      </c>
      <c r="I77" s="0" t="s">
        <v>3555</v>
      </c>
      <c r="J77" s="0" t="s">
        <v>228</v>
      </c>
      <c r="K77" s="0" t="s">
        <v>228</v>
      </c>
      <c r="L77" s="0" t="s">
        <v>228</v>
      </c>
      <c r="M77" s="0" t="s">
        <v>228</v>
      </c>
      <c r="N77" s="0" t="s">
        <v>228</v>
      </c>
      <c r="O77" s="0" t="s">
        <v>228</v>
      </c>
      <c r="P77" s="0" t="s">
        <v>228</v>
      </c>
      <c r="Q77" s="0" t="s">
        <v>228</v>
      </c>
      <c r="R77" s="0" t="s">
        <v>4023</v>
      </c>
      <c r="S77" s="0" t="s">
        <v>228</v>
      </c>
      <c r="T77" s="0" t="s">
        <v>228</v>
      </c>
      <c r="U77" s="0" t="s">
        <v>101</v>
      </c>
      <c r="V77" s="0" t="s">
        <v>228</v>
      </c>
      <c r="W77" s="0" t="s">
        <v>228</v>
      </c>
      <c r="X77" s="0" t="s">
        <v>3557</v>
      </c>
      <c r="Y77" s="0" t="s">
        <v>228</v>
      </c>
      <c r="Z77" s="0" t="s">
        <v>160</v>
      </c>
      <c r="AA77" s="0" t="s">
        <v>151</v>
      </c>
      <c r="AB77" s="0" t="s">
        <v>151</v>
      </c>
      <c r="AC77" s="0" t="s">
        <v>2721</v>
      </c>
      <c r="AD77" s="0" t="s">
        <v>2721</v>
      </c>
      <c r="AE77" s="0" t="s">
        <v>2722</v>
      </c>
      <c r="AF77" s="0" t="s">
        <v>4024</v>
      </c>
      <c r="AG77" s="0" t="s">
        <v>4025</v>
      </c>
      <c r="AH77" s="0" t="s">
        <v>4026</v>
      </c>
      <c r="AI77" s="0" t="s">
        <v>151</v>
      </c>
      <c r="AJ77" s="0" t="s">
        <v>4027</v>
      </c>
      <c r="AK77" s="0" t="s">
        <v>4028</v>
      </c>
      <c r="AL77" s="0" t="s">
        <v>3646</v>
      </c>
      <c r="AM77" s="0" t="s">
        <v>3565</v>
      </c>
      <c r="AN77" s="0" t="s">
        <v>3654</v>
      </c>
      <c r="AO77" s="0" t="s">
        <v>4029</v>
      </c>
      <c r="AP77" s="0" t="s">
        <v>228</v>
      </c>
      <c r="AQ77" s="0" t="s">
        <v>228</v>
      </c>
      <c r="AR77" s="0" t="s">
        <v>228</v>
      </c>
      <c r="AS77" s="0" t="s">
        <v>228</v>
      </c>
      <c r="AT77" s="0" t="s">
        <v>228</v>
      </c>
      <c r="AU77" s="0" t="s">
        <v>228</v>
      </c>
      <c r="AV77" s="0" t="s">
        <v>228</v>
      </c>
      <c r="AW77" s="0" t="s">
        <v>228</v>
      </c>
      <c r="AX77" s="0" t="s">
        <v>228</v>
      </c>
      <c r="AY77" s="0" t="s">
        <v>228</v>
      </c>
      <c r="AZ77" s="0" t="s">
        <v>228</v>
      </c>
      <c r="BA77" s="0" t="s">
        <v>228</v>
      </c>
      <c r="BB77" s="0" t="s">
        <v>228</v>
      </c>
      <c r="BC77" s="0" t="s">
        <v>228</v>
      </c>
      <c r="BD77" s="0" t="s">
        <v>228</v>
      </c>
      <c r="BE77" s="0" t="s">
        <v>228</v>
      </c>
      <c r="BF77" s="0" t="s">
        <v>228</v>
      </c>
      <c r="BG77" s="0" t="s">
        <v>228</v>
      </c>
      <c r="BH77" s="0" t="s">
        <v>228</v>
      </c>
      <c r="BI77" s="0" t="s">
        <v>228</v>
      </c>
      <c r="BJ77" s="0" t="s">
        <v>228</v>
      </c>
      <c r="BK77" s="0" t="s">
        <v>228</v>
      </c>
      <c r="BL77" s="0" t="s">
        <v>228</v>
      </c>
      <c r="BM77" s="0" t="s">
        <v>228</v>
      </c>
      <c r="BN77" s="0" t="s">
        <v>228</v>
      </c>
      <c r="BO77" s="0" t="s">
        <v>228</v>
      </c>
      <c r="BP77" s="0" t="s">
        <v>228</v>
      </c>
      <c r="BQ77" s="0" t="s">
        <v>228</v>
      </c>
      <c r="BR77" s="0" t="s">
        <v>228</v>
      </c>
      <c r="BS77" s="0" t="s">
        <v>228</v>
      </c>
      <c r="BT77" s="0" t="s">
        <v>228</v>
      </c>
      <c r="BU77" s="0" t="s">
        <v>228</v>
      </c>
      <c r="BV77" s="0" t="s">
        <v>228</v>
      </c>
      <c r="BW77" s="0" t="s">
        <v>228</v>
      </c>
      <c r="BX77" s="0" t="s">
        <v>228</v>
      </c>
      <c r="BY77" s="0" t="s">
        <v>228</v>
      </c>
      <c r="BZ77" s="0" t="s">
        <v>228</v>
      </c>
      <c r="CA77" s="0" t="s">
        <v>228</v>
      </c>
      <c r="CB77" s="0" t="s">
        <v>228</v>
      </c>
      <c r="CC77" s="0" t="s">
        <v>228</v>
      </c>
      <c r="CD77" s="0" t="s">
        <v>228</v>
      </c>
      <c r="CE77" s="0" t="s">
        <v>228</v>
      </c>
      <c r="CF77" s="0" t="s">
        <v>228</v>
      </c>
      <c r="CG77" s="0" t="s">
        <v>228</v>
      </c>
      <c r="CH77" s="0" t="s">
        <v>228</v>
      </c>
      <c r="CI77" s="0" t="s">
        <v>228</v>
      </c>
      <c r="CJ77" s="0" t="s">
        <v>228</v>
      </c>
      <c r="CK77" s="0" t="s">
        <v>228</v>
      </c>
      <c r="CL77" s="0" t="s">
        <v>228</v>
      </c>
      <c r="CM77" s="0" t="s">
        <v>228</v>
      </c>
      <c r="CN77" s="0" t="s">
        <v>228</v>
      </c>
      <c r="CO77" s="0" t="s">
        <v>228</v>
      </c>
      <c r="CP77" s="0" t="s">
        <v>228</v>
      </c>
      <c r="CQ77" s="0" t="s">
        <v>228</v>
      </c>
      <c r="CR77" s="0" t="s">
        <v>228</v>
      </c>
      <c r="CS77" s="0" t="s">
        <v>228</v>
      </c>
      <c r="CT77" s="0" t="s">
        <v>3568</v>
      </c>
      <c r="CU77" s="0" t="s">
        <v>3569</v>
      </c>
      <c r="CV77" s="0" t="s">
        <v>4030</v>
      </c>
      <c r="CW77" s="0" t="s">
        <v>4031</v>
      </c>
      <c r="CX77" s="0" t="s">
        <v>3603</v>
      </c>
      <c r="CY77" s="0" t="s">
        <v>4030</v>
      </c>
      <c r="CZ77" s="0" t="s">
        <v>3608</v>
      </c>
      <c r="DA77" s="0" t="s">
        <v>4032</v>
      </c>
      <c r="DB77" s="0" t="s">
        <v>3676</v>
      </c>
      <c r="DC77" s="0" t="s">
        <v>362</v>
      </c>
      <c r="DD77" s="0" t="s">
        <v>3572</v>
      </c>
      <c r="DE77" s="0" t="s">
        <v>4033</v>
      </c>
    </row>
    <row customHeight="1" ht="11.25">
      <c r="A78" s="1353" t="s">
        <v>228</v>
      </c>
      <c r="B78" s="0" t="s">
        <v>228</v>
      </c>
      <c r="C78" s="0" t="s">
        <v>228</v>
      </c>
      <c r="D78" s="0" t="s">
        <v>228</v>
      </c>
      <c r="E78" s="0" t="s">
        <v>228</v>
      </c>
      <c r="F78" s="0" t="s">
        <v>228</v>
      </c>
      <c r="G78" s="0" t="s">
        <v>228</v>
      </c>
      <c r="H78" s="0" t="s">
        <v>228</v>
      </c>
      <c r="I78" s="0" t="s">
        <v>3555</v>
      </c>
      <c r="J78" s="0" t="s">
        <v>228</v>
      </c>
      <c r="K78" s="0" t="s">
        <v>228</v>
      </c>
      <c r="L78" s="0" t="s">
        <v>228</v>
      </c>
      <c r="M78" s="0" t="s">
        <v>228</v>
      </c>
      <c r="N78" s="0" t="s">
        <v>228</v>
      </c>
      <c r="O78" s="0" t="s">
        <v>228</v>
      </c>
      <c r="P78" s="0" t="s">
        <v>228</v>
      </c>
      <c r="Q78" s="0" t="s">
        <v>228</v>
      </c>
      <c r="R78" s="0" t="s">
        <v>3718</v>
      </c>
      <c r="S78" s="0" t="s">
        <v>228</v>
      </c>
      <c r="T78" s="0" t="s">
        <v>228</v>
      </c>
      <c r="U78" s="0" t="s">
        <v>101</v>
      </c>
      <c r="V78" s="0" t="s">
        <v>228</v>
      </c>
      <c r="W78" s="0" t="s">
        <v>228</v>
      </c>
      <c r="X78" s="0" t="s">
        <v>3661</v>
      </c>
      <c r="Y78" s="0" t="s">
        <v>228</v>
      </c>
      <c r="Z78" s="0" t="s">
        <v>151</v>
      </c>
      <c r="AA78" s="0" t="s">
        <v>151</v>
      </c>
      <c r="AB78" s="0" t="s">
        <v>160</v>
      </c>
      <c r="AC78" s="0" t="s">
        <v>2311</v>
      </c>
      <c r="AD78" s="0" t="s">
        <v>2311</v>
      </c>
      <c r="AE78" s="0" t="s">
        <v>2312</v>
      </c>
      <c r="AF78" s="0" t="s">
        <v>4034</v>
      </c>
      <c r="AG78" s="0" t="s">
        <v>4035</v>
      </c>
      <c r="AH78" s="0" t="s">
        <v>4036</v>
      </c>
      <c r="AI78" s="0" t="s">
        <v>3721</v>
      </c>
      <c r="AJ78" s="0" t="s">
        <v>228</v>
      </c>
      <c r="AK78" s="0" t="s">
        <v>228</v>
      </c>
      <c r="AL78" s="0" t="s">
        <v>228</v>
      </c>
      <c r="AM78" s="0" t="s">
        <v>228</v>
      </c>
      <c r="AN78" s="0" t="s">
        <v>228</v>
      </c>
      <c r="AO78" s="0" t="s">
        <v>228</v>
      </c>
      <c r="AP78" s="0" t="s">
        <v>228</v>
      </c>
      <c r="AQ78" s="0" t="s">
        <v>228</v>
      </c>
      <c r="AR78" s="0" t="s">
        <v>228</v>
      </c>
      <c r="AS78" s="0" t="s">
        <v>228</v>
      </c>
      <c r="AT78" s="0" t="s">
        <v>228</v>
      </c>
      <c r="AU78" s="0" t="s">
        <v>228</v>
      </c>
      <c r="AV78" s="0" t="s">
        <v>228</v>
      </c>
      <c r="AW78" s="0" t="s">
        <v>228</v>
      </c>
      <c r="AX78" s="0" t="s">
        <v>228</v>
      </c>
      <c r="AY78" s="0" t="s">
        <v>228</v>
      </c>
      <c r="AZ78" s="0" t="s">
        <v>228</v>
      </c>
      <c r="BA78" s="0" t="s">
        <v>228</v>
      </c>
      <c r="BB78" s="0" t="s">
        <v>228</v>
      </c>
      <c r="BC78" s="0" t="s">
        <v>228</v>
      </c>
      <c r="BD78" s="0" t="s">
        <v>228</v>
      </c>
      <c r="BE78" s="0" t="s">
        <v>3722</v>
      </c>
      <c r="BF78" s="0" t="s">
        <v>3722</v>
      </c>
      <c r="BG78" s="0" t="s">
        <v>111</v>
      </c>
      <c r="BH78" s="0" t="s">
        <v>3665</v>
      </c>
      <c r="BI78" s="0" t="s">
        <v>122</v>
      </c>
      <c r="BJ78" s="0" t="s">
        <v>228</v>
      </c>
      <c r="BK78" s="0" t="s">
        <v>4037</v>
      </c>
      <c r="BL78" s="0" t="s">
        <v>2311</v>
      </c>
      <c r="BM78" s="0" t="s">
        <v>2311</v>
      </c>
      <c r="BN78" s="0" t="s">
        <v>3723</v>
      </c>
      <c r="BO78" s="0" t="s">
        <v>4034</v>
      </c>
      <c r="BP78" s="0" t="s">
        <v>4038</v>
      </c>
      <c r="BQ78" s="0" t="s">
        <v>4039</v>
      </c>
      <c r="BR78" s="0" t="s">
        <v>3626</v>
      </c>
      <c r="BS78" s="0" t="s">
        <v>228</v>
      </c>
      <c r="BT78" s="0" t="s">
        <v>3727</v>
      </c>
      <c r="BU78" s="0" t="s">
        <v>4040</v>
      </c>
      <c r="BV78" s="0" t="s">
        <v>4040</v>
      </c>
      <c r="BW78" s="0" t="s">
        <v>3674</v>
      </c>
      <c r="BX78" s="0" t="s">
        <v>3674</v>
      </c>
      <c r="BY78" s="0" t="s">
        <v>3674</v>
      </c>
      <c r="BZ78" s="0" t="s">
        <v>3674</v>
      </c>
      <c r="CA78" s="0" t="s">
        <v>3674</v>
      </c>
      <c r="CB78" s="0" t="s">
        <v>228</v>
      </c>
      <c r="CC78" s="0" t="s">
        <v>228</v>
      </c>
      <c r="CD78" s="0" t="s">
        <v>228</v>
      </c>
      <c r="CE78" s="0" t="s">
        <v>228</v>
      </c>
      <c r="CF78" s="0" t="s">
        <v>228</v>
      </c>
      <c r="CG78" s="0" t="s">
        <v>3674</v>
      </c>
      <c r="CH78" s="0" t="s">
        <v>228</v>
      </c>
      <c r="CI78" s="0" t="s">
        <v>228</v>
      </c>
      <c r="CJ78" s="0" t="s">
        <v>228</v>
      </c>
      <c r="CK78" s="0" t="s">
        <v>228</v>
      </c>
      <c r="CL78" s="0" t="s">
        <v>228</v>
      </c>
      <c r="CM78" s="0" t="s">
        <v>4040</v>
      </c>
      <c r="CN78" s="0" t="s">
        <v>4040</v>
      </c>
      <c r="CO78" s="0" t="s">
        <v>228</v>
      </c>
      <c r="CP78" s="0" t="s">
        <v>228</v>
      </c>
      <c r="CQ78" s="0" t="s">
        <v>228</v>
      </c>
      <c r="CR78" s="0" t="s">
        <v>228</v>
      </c>
      <c r="CS78" s="0" t="s">
        <v>3582</v>
      </c>
      <c r="CT78" s="0" t="s">
        <v>3568</v>
      </c>
      <c r="CU78" s="0" t="s">
        <v>3569</v>
      </c>
      <c r="CV78" s="0" t="s">
        <v>418</v>
      </c>
      <c r="CW78" s="0" t="s">
        <v>3584</v>
      </c>
      <c r="CX78" s="0" t="s">
        <v>419</v>
      </c>
      <c r="CY78" s="0" t="s">
        <v>418</v>
      </c>
      <c r="CZ78" s="0" t="s">
        <v>3585</v>
      </c>
      <c r="DA78" s="0" t="s">
        <v>3586</v>
      </c>
      <c r="DB78" s="0" t="s">
        <v>3584</v>
      </c>
      <c r="DC78" s="0" t="s">
        <v>362</v>
      </c>
      <c r="DD78" s="0" t="s">
        <v>3572</v>
      </c>
      <c r="DE78" s="0" t="s">
        <v>4041</v>
      </c>
    </row>
    <row customHeight="1" ht="11.25">
      <c r="A79" s="1353" t="s">
        <v>228</v>
      </c>
      <c r="B79" s="0" t="s">
        <v>228</v>
      </c>
      <c r="C79" s="0" t="s">
        <v>228</v>
      </c>
      <c r="D79" s="0" t="s">
        <v>228</v>
      </c>
      <c r="E79" s="0" t="s">
        <v>228</v>
      </c>
      <c r="F79" s="0" t="s">
        <v>228</v>
      </c>
      <c r="G79" s="0" t="s">
        <v>228</v>
      </c>
      <c r="H79" s="0" t="s">
        <v>228</v>
      </c>
      <c r="I79" s="0" t="s">
        <v>3555</v>
      </c>
      <c r="J79" s="0" t="s">
        <v>228</v>
      </c>
      <c r="K79" s="0" t="s">
        <v>228</v>
      </c>
      <c r="L79" s="0" t="s">
        <v>228</v>
      </c>
      <c r="M79" s="0" t="s">
        <v>228</v>
      </c>
      <c r="N79" s="0" t="s">
        <v>228</v>
      </c>
      <c r="O79" s="0" t="s">
        <v>228</v>
      </c>
      <c r="P79" s="0" t="s">
        <v>228</v>
      </c>
      <c r="Q79" s="0" t="s">
        <v>228</v>
      </c>
      <c r="R79" s="0" t="s">
        <v>3718</v>
      </c>
      <c r="S79" s="0" t="s">
        <v>228</v>
      </c>
      <c r="T79" s="0" t="s">
        <v>228</v>
      </c>
      <c r="U79" s="0" t="s">
        <v>101</v>
      </c>
      <c r="V79" s="0" t="s">
        <v>228</v>
      </c>
      <c r="W79" s="0" t="s">
        <v>228</v>
      </c>
      <c r="X79" s="0" t="s">
        <v>3661</v>
      </c>
      <c r="Y79" s="0" t="s">
        <v>228</v>
      </c>
      <c r="Z79" s="0" t="s">
        <v>151</v>
      </c>
      <c r="AA79" s="0" t="s">
        <v>151</v>
      </c>
      <c r="AB79" s="0" t="s">
        <v>160</v>
      </c>
      <c r="AC79" s="0" t="s">
        <v>2311</v>
      </c>
      <c r="AD79" s="0" t="s">
        <v>2311</v>
      </c>
      <c r="AE79" s="0" t="s">
        <v>2312</v>
      </c>
      <c r="AF79" s="0" t="s">
        <v>4034</v>
      </c>
      <c r="AG79" s="0" t="s">
        <v>4035</v>
      </c>
      <c r="AH79" s="0" t="s">
        <v>4034</v>
      </c>
      <c r="AI79" s="0" t="s">
        <v>3721</v>
      </c>
      <c r="AJ79" s="0" t="s">
        <v>228</v>
      </c>
      <c r="AK79" s="0" t="s">
        <v>228</v>
      </c>
      <c r="AL79" s="0" t="s">
        <v>228</v>
      </c>
      <c r="AM79" s="0" t="s">
        <v>228</v>
      </c>
      <c r="AN79" s="0" t="s">
        <v>228</v>
      </c>
      <c r="AO79" s="0" t="s">
        <v>228</v>
      </c>
      <c r="AP79" s="0" t="s">
        <v>228</v>
      </c>
      <c r="AQ79" s="0" t="s">
        <v>228</v>
      </c>
      <c r="AR79" s="0" t="s">
        <v>228</v>
      </c>
      <c r="AS79" s="0" t="s">
        <v>228</v>
      </c>
      <c r="AT79" s="0" t="s">
        <v>228</v>
      </c>
      <c r="AU79" s="0" t="s">
        <v>228</v>
      </c>
      <c r="AV79" s="0" t="s">
        <v>228</v>
      </c>
      <c r="AW79" s="0" t="s">
        <v>228</v>
      </c>
      <c r="AX79" s="0" t="s">
        <v>228</v>
      </c>
      <c r="AY79" s="0" t="s">
        <v>228</v>
      </c>
      <c r="AZ79" s="0" t="s">
        <v>228</v>
      </c>
      <c r="BA79" s="0" t="s">
        <v>228</v>
      </c>
      <c r="BB79" s="0" t="s">
        <v>228</v>
      </c>
      <c r="BC79" s="0" t="s">
        <v>228</v>
      </c>
      <c r="BD79" s="0" t="s">
        <v>228</v>
      </c>
      <c r="BE79" s="0" t="s">
        <v>3722</v>
      </c>
      <c r="BF79" s="0" t="s">
        <v>3722</v>
      </c>
      <c r="BG79" s="0" t="s">
        <v>111</v>
      </c>
      <c r="BH79" s="0" t="s">
        <v>3665</v>
      </c>
      <c r="BI79" s="0" t="s">
        <v>122</v>
      </c>
      <c r="BJ79" s="0" t="s">
        <v>228</v>
      </c>
      <c r="BK79" s="0" t="s">
        <v>3684</v>
      </c>
      <c r="BL79" s="0" t="s">
        <v>2311</v>
      </c>
      <c r="BM79" s="0" t="s">
        <v>2311</v>
      </c>
      <c r="BN79" s="0" t="s">
        <v>3723</v>
      </c>
      <c r="BO79" s="0" t="s">
        <v>4034</v>
      </c>
      <c r="BP79" s="0" t="s">
        <v>4038</v>
      </c>
      <c r="BQ79" s="0" t="s">
        <v>3642</v>
      </c>
      <c r="BR79" s="0" t="s">
        <v>3688</v>
      </c>
      <c r="BS79" s="0" t="s">
        <v>228</v>
      </c>
      <c r="BT79" s="0" t="s">
        <v>3727</v>
      </c>
      <c r="BU79" s="0" t="s">
        <v>4042</v>
      </c>
      <c r="BV79" s="0" t="s">
        <v>4042</v>
      </c>
      <c r="BW79" s="0" t="s">
        <v>3674</v>
      </c>
      <c r="BX79" s="0" t="s">
        <v>3674</v>
      </c>
      <c r="BY79" s="0" t="s">
        <v>3674</v>
      </c>
      <c r="BZ79" s="0" t="s">
        <v>3674</v>
      </c>
      <c r="CA79" s="0" t="s">
        <v>3674</v>
      </c>
      <c r="CB79" s="0" t="s">
        <v>228</v>
      </c>
      <c r="CC79" s="0" t="s">
        <v>228</v>
      </c>
      <c r="CD79" s="0" t="s">
        <v>228</v>
      </c>
      <c r="CE79" s="0" t="s">
        <v>228</v>
      </c>
      <c r="CF79" s="0" t="s">
        <v>228</v>
      </c>
      <c r="CG79" s="0" t="s">
        <v>3674</v>
      </c>
      <c r="CH79" s="0" t="s">
        <v>228</v>
      </c>
      <c r="CI79" s="0" t="s">
        <v>228</v>
      </c>
      <c r="CJ79" s="0" t="s">
        <v>228</v>
      </c>
      <c r="CK79" s="0" t="s">
        <v>228</v>
      </c>
      <c r="CL79" s="0" t="s">
        <v>228</v>
      </c>
      <c r="CM79" s="0" t="s">
        <v>4042</v>
      </c>
      <c r="CN79" s="0" t="s">
        <v>4042</v>
      </c>
      <c r="CO79" s="0" t="s">
        <v>228</v>
      </c>
      <c r="CP79" s="0" t="s">
        <v>228</v>
      </c>
      <c r="CQ79" s="0" t="s">
        <v>228</v>
      </c>
      <c r="CR79" s="0" t="s">
        <v>228</v>
      </c>
      <c r="CS79" s="0" t="s">
        <v>3582</v>
      </c>
      <c r="CT79" s="0" t="s">
        <v>3568</v>
      </c>
      <c r="CU79" s="0" t="s">
        <v>3569</v>
      </c>
      <c r="CV79" s="0" t="s">
        <v>418</v>
      </c>
      <c r="CW79" s="0" t="s">
        <v>3584</v>
      </c>
      <c r="CX79" s="0" t="s">
        <v>419</v>
      </c>
      <c r="CY79" s="0" t="s">
        <v>418</v>
      </c>
      <c r="CZ79" s="0" t="s">
        <v>3585</v>
      </c>
      <c r="DA79" s="0" t="s">
        <v>3586</v>
      </c>
      <c r="DB79" s="0" t="s">
        <v>3584</v>
      </c>
      <c r="DC79" s="0" t="s">
        <v>362</v>
      </c>
      <c r="DD79" s="0" t="s">
        <v>3572</v>
      </c>
      <c r="DE79" s="0" t="s">
        <v>4043</v>
      </c>
    </row>
    <row customHeight="1" ht="11.25">
      <c r="A80" s="1353" t="s">
        <v>228</v>
      </c>
      <c r="B80" s="0" t="s">
        <v>228</v>
      </c>
      <c r="C80" s="0" t="s">
        <v>228</v>
      </c>
      <c r="D80" s="0" t="s">
        <v>228</v>
      </c>
      <c r="E80" s="0" t="s">
        <v>228</v>
      </c>
      <c r="F80" s="0" t="s">
        <v>228</v>
      </c>
      <c r="G80" s="0" t="s">
        <v>228</v>
      </c>
      <c r="H80" s="0" t="s">
        <v>228</v>
      </c>
      <c r="I80" s="0" t="s">
        <v>3555</v>
      </c>
      <c r="J80" s="0" t="s">
        <v>228</v>
      </c>
      <c r="K80" s="0" t="s">
        <v>228</v>
      </c>
      <c r="L80" s="0" t="s">
        <v>228</v>
      </c>
      <c r="M80" s="0" t="s">
        <v>228</v>
      </c>
      <c r="N80" s="0" t="s">
        <v>228</v>
      </c>
      <c r="O80" s="0" t="s">
        <v>228</v>
      </c>
      <c r="P80" s="0" t="s">
        <v>228</v>
      </c>
      <c r="Q80" s="0" t="s">
        <v>228</v>
      </c>
      <c r="R80" s="0" t="s">
        <v>4044</v>
      </c>
      <c r="S80" s="0" t="s">
        <v>228</v>
      </c>
      <c r="T80" s="0" t="s">
        <v>228</v>
      </c>
      <c r="U80" s="0" t="s">
        <v>101</v>
      </c>
      <c r="V80" s="0" t="s">
        <v>228</v>
      </c>
      <c r="W80" s="0" t="s">
        <v>228</v>
      </c>
      <c r="X80" s="0" t="s">
        <v>3988</v>
      </c>
      <c r="Y80" s="0" t="s">
        <v>228</v>
      </c>
      <c r="Z80" s="0" t="s">
        <v>151</v>
      </c>
      <c r="AA80" s="0" t="s">
        <v>160</v>
      </c>
      <c r="AB80" s="0" t="s">
        <v>151</v>
      </c>
      <c r="AC80" s="0" t="s">
        <v>2715</v>
      </c>
      <c r="AD80" s="0" t="s">
        <v>2715</v>
      </c>
      <c r="AE80" s="0" t="s">
        <v>2716</v>
      </c>
      <c r="AF80" s="0" t="s">
        <v>3594</v>
      </c>
      <c r="AG80" s="0" t="s">
        <v>3595</v>
      </c>
      <c r="AH80" s="0" t="s">
        <v>3704</v>
      </c>
      <c r="AI80" s="0" t="s">
        <v>3608</v>
      </c>
      <c r="AJ80" s="0" t="s">
        <v>228</v>
      </c>
      <c r="AK80" s="0" t="s">
        <v>228</v>
      </c>
      <c r="AL80" s="0" t="s">
        <v>228</v>
      </c>
      <c r="AM80" s="0" t="s">
        <v>228</v>
      </c>
      <c r="AN80" s="0" t="s">
        <v>228</v>
      </c>
      <c r="AO80" s="0" t="s">
        <v>228</v>
      </c>
      <c r="AP80" s="0" t="s">
        <v>3793</v>
      </c>
      <c r="AQ80" s="0" t="s">
        <v>4045</v>
      </c>
      <c r="AR80" s="0" t="s">
        <v>111</v>
      </c>
      <c r="AS80" s="0" t="s">
        <v>3665</v>
      </c>
      <c r="AT80" s="0" t="s">
        <v>122</v>
      </c>
      <c r="AU80" s="0" t="s">
        <v>228</v>
      </c>
      <c r="AV80" s="0" t="s">
        <v>4046</v>
      </c>
      <c r="AW80" s="0" t="s">
        <v>2715</v>
      </c>
      <c r="AX80" s="0" t="s">
        <v>2715</v>
      </c>
      <c r="AY80" s="0" t="s">
        <v>3667</v>
      </c>
      <c r="AZ80" s="0" t="s">
        <v>3594</v>
      </c>
      <c r="BA80" s="0" t="s">
        <v>3668</v>
      </c>
      <c r="BB80" s="0" t="s">
        <v>4047</v>
      </c>
      <c r="BC80" s="0" t="s">
        <v>3608</v>
      </c>
      <c r="BD80" s="0" t="s">
        <v>3706</v>
      </c>
      <c r="BE80" s="0" t="s">
        <v>228</v>
      </c>
      <c r="BF80" s="0" t="s">
        <v>228</v>
      </c>
      <c r="BG80" s="0" t="s">
        <v>228</v>
      </c>
      <c r="BH80" s="0" t="s">
        <v>228</v>
      </c>
      <c r="BI80" s="0" t="s">
        <v>228</v>
      </c>
      <c r="BJ80" s="0" t="s">
        <v>228</v>
      </c>
      <c r="BK80" s="0" t="s">
        <v>228</v>
      </c>
      <c r="BL80" s="0" t="s">
        <v>228</v>
      </c>
      <c r="BM80" s="0" t="s">
        <v>228</v>
      </c>
      <c r="BN80" s="0" t="s">
        <v>228</v>
      </c>
      <c r="BO80" s="0" t="s">
        <v>228</v>
      </c>
      <c r="BP80" s="0" t="s">
        <v>228</v>
      </c>
      <c r="BQ80" s="0" t="s">
        <v>228</v>
      </c>
      <c r="BR80" s="0" t="s">
        <v>228</v>
      </c>
      <c r="BS80" s="0" t="s">
        <v>228</v>
      </c>
      <c r="BT80" s="0" t="s">
        <v>228</v>
      </c>
      <c r="BU80" s="0" t="s">
        <v>228</v>
      </c>
      <c r="BV80" s="0" t="s">
        <v>228</v>
      </c>
      <c r="BW80" s="0" t="s">
        <v>228</v>
      </c>
      <c r="BX80" s="0" t="s">
        <v>228</v>
      </c>
      <c r="BY80" s="0" t="s">
        <v>228</v>
      </c>
      <c r="BZ80" s="0" t="s">
        <v>228</v>
      </c>
      <c r="CA80" s="0" t="s">
        <v>228</v>
      </c>
      <c r="CB80" s="0" t="s">
        <v>228</v>
      </c>
      <c r="CC80" s="0" t="s">
        <v>228</v>
      </c>
      <c r="CD80" s="0" t="s">
        <v>228</v>
      </c>
      <c r="CE80" s="0" t="s">
        <v>228</v>
      </c>
      <c r="CF80" s="0" t="s">
        <v>228</v>
      </c>
      <c r="CG80" s="0" t="s">
        <v>228</v>
      </c>
      <c r="CH80" s="0" t="s">
        <v>228</v>
      </c>
      <c r="CI80" s="0" t="s">
        <v>228</v>
      </c>
      <c r="CJ80" s="0" t="s">
        <v>228</v>
      </c>
      <c r="CK80" s="0" t="s">
        <v>228</v>
      </c>
      <c r="CL80" s="0" t="s">
        <v>228</v>
      </c>
      <c r="CM80" s="0" t="s">
        <v>228</v>
      </c>
      <c r="CN80" s="0" t="s">
        <v>228</v>
      </c>
      <c r="CO80" s="0" t="s">
        <v>228</v>
      </c>
      <c r="CP80" s="0" t="s">
        <v>228</v>
      </c>
      <c r="CQ80" s="0" t="s">
        <v>228</v>
      </c>
      <c r="CR80" s="0" t="s">
        <v>228</v>
      </c>
      <c r="CS80" s="0" t="s">
        <v>228</v>
      </c>
      <c r="CT80" s="0" t="s">
        <v>3568</v>
      </c>
      <c r="CU80" s="0" t="s">
        <v>3569</v>
      </c>
      <c r="CV80" s="0" t="s">
        <v>418</v>
      </c>
      <c r="CW80" s="0" t="s">
        <v>3602</v>
      </c>
      <c r="CX80" s="0" t="s">
        <v>3603</v>
      </c>
      <c r="CY80" s="0" t="s">
        <v>418</v>
      </c>
      <c r="CZ80" s="0" t="s">
        <v>504</v>
      </c>
      <c r="DA80" s="0" t="s">
        <v>3604</v>
      </c>
      <c r="DB80" s="0" t="s">
        <v>3602</v>
      </c>
      <c r="DC80" s="0" t="s">
        <v>362</v>
      </c>
      <c r="DD80" s="0" t="s">
        <v>3572</v>
      </c>
      <c r="DE80" s="0" t="s">
        <v>3707</v>
      </c>
    </row>
    <row customHeight="1" ht="11.25">
      <c r="A81" s="1353" t="s">
        <v>228</v>
      </c>
      <c r="B81" s="0" t="s">
        <v>228</v>
      </c>
      <c r="C81" s="0" t="s">
        <v>228</v>
      </c>
      <c r="D81" s="0" t="s">
        <v>228</v>
      </c>
      <c r="E81" s="0" t="s">
        <v>228</v>
      </c>
      <c r="F81" s="0" t="s">
        <v>228</v>
      </c>
      <c r="G81" s="0" t="s">
        <v>228</v>
      </c>
      <c r="H81" s="0" t="s">
        <v>228</v>
      </c>
      <c r="I81" s="0" t="s">
        <v>3555</v>
      </c>
      <c r="J81" s="0" t="s">
        <v>228</v>
      </c>
      <c r="K81" s="0" t="s">
        <v>228</v>
      </c>
      <c r="L81" s="0" t="s">
        <v>228</v>
      </c>
      <c r="M81" s="0" t="s">
        <v>228</v>
      </c>
      <c r="N81" s="0" t="s">
        <v>228</v>
      </c>
      <c r="O81" s="0" t="s">
        <v>228</v>
      </c>
      <c r="P81" s="0" t="s">
        <v>228</v>
      </c>
      <c r="Q81" s="0" t="s">
        <v>228</v>
      </c>
      <c r="R81" s="0" t="s">
        <v>3684</v>
      </c>
      <c r="S81" s="0" t="s">
        <v>228</v>
      </c>
      <c r="T81" s="0" t="s">
        <v>228</v>
      </c>
      <c r="U81" s="0" t="s">
        <v>101</v>
      </c>
      <c r="V81" s="0" t="s">
        <v>228</v>
      </c>
      <c r="W81" s="0" t="s">
        <v>228</v>
      </c>
      <c r="X81" s="0" t="s">
        <v>3557</v>
      </c>
      <c r="Y81" s="0" t="s">
        <v>228</v>
      </c>
      <c r="Z81" s="0" t="s">
        <v>160</v>
      </c>
      <c r="AA81" s="0" t="s">
        <v>151</v>
      </c>
      <c r="AB81" s="0" t="s">
        <v>151</v>
      </c>
      <c r="AC81" s="0" t="s">
        <v>2311</v>
      </c>
      <c r="AD81" s="0" t="s">
        <v>2311</v>
      </c>
      <c r="AE81" s="0" t="s">
        <v>2312</v>
      </c>
      <c r="AF81" s="0" t="s">
        <v>4034</v>
      </c>
      <c r="AG81" s="0" t="s">
        <v>4035</v>
      </c>
      <c r="AH81" s="0" t="s">
        <v>4048</v>
      </c>
      <c r="AI81" s="0" t="s">
        <v>4049</v>
      </c>
      <c r="AJ81" s="0" t="s">
        <v>3579</v>
      </c>
      <c r="AK81" s="0" t="s">
        <v>3579</v>
      </c>
      <c r="AL81" s="0" t="s">
        <v>3681</v>
      </c>
      <c r="AM81" s="0" t="s">
        <v>3565</v>
      </c>
      <c r="AN81" s="0" t="s">
        <v>3582</v>
      </c>
      <c r="AO81" s="0" t="s">
        <v>3583</v>
      </c>
      <c r="AP81" s="0" t="s">
        <v>228</v>
      </c>
      <c r="AQ81" s="0" t="s">
        <v>228</v>
      </c>
      <c r="AR81" s="0" t="s">
        <v>228</v>
      </c>
      <c r="AS81" s="0" t="s">
        <v>228</v>
      </c>
      <c r="AT81" s="0" t="s">
        <v>228</v>
      </c>
      <c r="AU81" s="0" t="s">
        <v>228</v>
      </c>
      <c r="AV81" s="0" t="s">
        <v>228</v>
      </c>
      <c r="AW81" s="0" t="s">
        <v>228</v>
      </c>
      <c r="AX81" s="0" t="s">
        <v>228</v>
      </c>
      <c r="AY81" s="0" t="s">
        <v>228</v>
      </c>
      <c r="AZ81" s="0" t="s">
        <v>228</v>
      </c>
      <c r="BA81" s="0" t="s">
        <v>228</v>
      </c>
      <c r="BB81" s="0" t="s">
        <v>228</v>
      </c>
      <c r="BC81" s="0" t="s">
        <v>228</v>
      </c>
      <c r="BD81" s="0" t="s">
        <v>228</v>
      </c>
      <c r="BE81" s="0" t="s">
        <v>228</v>
      </c>
      <c r="BF81" s="0" t="s">
        <v>228</v>
      </c>
      <c r="BG81" s="0" t="s">
        <v>228</v>
      </c>
      <c r="BH81" s="0" t="s">
        <v>228</v>
      </c>
      <c r="BI81" s="0" t="s">
        <v>228</v>
      </c>
      <c r="BJ81" s="0" t="s">
        <v>228</v>
      </c>
      <c r="BK81" s="0" t="s">
        <v>228</v>
      </c>
      <c r="BL81" s="0" t="s">
        <v>228</v>
      </c>
      <c r="BM81" s="0" t="s">
        <v>228</v>
      </c>
      <c r="BN81" s="0" t="s">
        <v>228</v>
      </c>
      <c r="BO81" s="0" t="s">
        <v>228</v>
      </c>
      <c r="BP81" s="0" t="s">
        <v>228</v>
      </c>
      <c r="BQ81" s="0" t="s">
        <v>228</v>
      </c>
      <c r="BR81" s="0" t="s">
        <v>228</v>
      </c>
      <c r="BS81" s="0" t="s">
        <v>228</v>
      </c>
      <c r="BT81" s="0" t="s">
        <v>228</v>
      </c>
      <c r="BU81" s="0" t="s">
        <v>228</v>
      </c>
      <c r="BV81" s="0" t="s">
        <v>228</v>
      </c>
      <c r="BW81" s="0" t="s">
        <v>228</v>
      </c>
      <c r="BX81" s="0" t="s">
        <v>228</v>
      </c>
      <c r="BY81" s="0" t="s">
        <v>228</v>
      </c>
      <c r="BZ81" s="0" t="s">
        <v>228</v>
      </c>
      <c r="CA81" s="0" t="s">
        <v>228</v>
      </c>
      <c r="CB81" s="0" t="s">
        <v>228</v>
      </c>
      <c r="CC81" s="0" t="s">
        <v>228</v>
      </c>
      <c r="CD81" s="0" t="s">
        <v>228</v>
      </c>
      <c r="CE81" s="0" t="s">
        <v>228</v>
      </c>
      <c r="CF81" s="0" t="s">
        <v>228</v>
      </c>
      <c r="CG81" s="0" t="s">
        <v>228</v>
      </c>
      <c r="CH81" s="0" t="s">
        <v>228</v>
      </c>
      <c r="CI81" s="0" t="s">
        <v>228</v>
      </c>
      <c r="CJ81" s="0" t="s">
        <v>228</v>
      </c>
      <c r="CK81" s="0" t="s">
        <v>228</v>
      </c>
      <c r="CL81" s="0" t="s">
        <v>228</v>
      </c>
      <c r="CM81" s="0" t="s">
        <v>228</v>
      </c>
      <c r="CN81" s="0" t="s">
        <v>228</v>
      </c>
      <c r="CO81" s="0" t="s">
        <v>228</v>
      </c>
      <c r="CP81" s="0" t="s">
        <v>228</v>
      </c>
      <c r="CQ81" s="0" t="s">
        <v>228</v>
      </c>
      <c r="CR81" s="0" t="s">
        <v>228</v>
      </c>
      <c r="CS81" s="0" t="s">
        <v>228</v>
      </c>
      <c r="CT81" s="0" t="s">
        <v>3568</v>
      </c>
      <c r="CU81" s="0" t="s">
        <v>3569</v>
      </c>
      <c r="CV81" s="0" t="s">
        <v>418</v>
      </c>
      <c r="CW81" s="0" t="s">
        <v>3584</v>
      </c>
      <c r="CX81" s="0" t="s">
        <v>419</v>
      </c>
      <c r="CY81" s="0" t="s">
        <v>418</v>
      </c>
      <c r="CZ81" s="0" t="s">
        <v>3585</v>
      </c>
      <c r="DA81" s="0" t="s">
        <v>3586</v>
      </c>
      <c r="DB81" s="0" t="s">
        <v>3584</v>
      </c>
      <c r="DC81" s="0" t="s">
        <v>362</v>
      </c>
      <c r="DD81" s="0" t="s">
        <v>3572</v>
      </c>
      <c r="DE81" s="0" t="s">
        <v>4050</v>
      </c>
    </row>
    <row customHeight="1" ht="11.25">
      <c r="A82" s="1353" t="s">
        <v>228</v>
      </c>
      <c r="B82" s="0" t="s">
        <v>228</v>
      </c>
      <c r="C82" s="0" t="s">
        <v>228</v>
      </c>
      <c r="D82" s="0" t="s">
        <v>228</v>
      </c>
      <c r="E82" s="0" t="s">
        <v>228</v>
      </c>
      <c r="F82" s="0" t="s">
        <v>228</v>
      </c>
      <c r="G82" s="0" t="s">
        <v>228</v>
      </c>
      <c r="H82" s="0" t="s">
        <v>228</v>
      </c>
      <c r="I82" s="0" t="s">
        <v>3555</v>
      </c>
      <c r="J82" s="0" t="s">
        <v>228</v>
      </c>
      <c r="K82" s="0" t="s">
        <v>228</v>
      </c>
      <c r="L82" s="0" t="s">
        <v>228</v>
      </c>
      <c r="M82" s="0" t="s">
        <v>228</v>
      </c>
      <c r="N82" s="0" t="s">
        <v>228</v>
      </c>
      <c r="O82" s="0" t="s">
        <v>228</v>
      </c>
      <c r="P82" s="0" t="s">
        <v>228</v>
      </c>
      <c r="Q82" s="0" t="s">
        <v>228</v>
      </c>
      <c r="R82" s="0" t="s">
        <v>3684</v>
      </c>
      <c r="S82" s="0" t="s">
        <v>228</v>
      </c>
      <c r="T82" s="0" t="s">
        <v>228</v>
      </c>
      <c r="U82" s="0" t="s">
        <v>101</v>
      </c>
      <c r="V82" s="0" t="s">
        <v>228</v>
      </c>
      <c r="W82" s="0" t="s">
        <v>228</v>
      </c>
      <c r="X82" s="0" t="s">
        <v>3557</v>
      </c>
      <c r="Y82" s="0" t="s">
        <v>228</v>
      </c>
      <c r="Z82" s="0" t="s">
        <v>160</v>
      </c>
      <c r="AA82" s="0" t="s">
        <v>151</v>
      </c>
      <c r="AB82" s="0" t="s">
        <v>151</v>
      </c>
      <c r="AC82" s="0" t="s">
        <v>2311</v>
      </c>
      <c r="AD82" s="0" t="s">
        <v>2311</v>
      </c>
      <c r="AE82" s="0" t="s">
        <v>2312</v>
      </c>
      <c r="AF82" s="0" t="s">
        <v>3783</v>
      </c>
      <c r="AG82" s="0" t="s">
        <v>3784</v>
      </c>
      <c r="AH82" s="0" t="s">
        <v>3786</v>
      </c>
      <c r="AI82" s="0" t="s">
        <v>4051</v>
      </c>
      <c r="AJ82" s="0" t="s">
        <v>3579</v>
      </c>
      <c r="AK82" s="0" t="s">
        <v>3580</v>
      </c>
      <c r="AL82" s="0" t="s">
        <v>3581</v>
      </c>
      <c r="AM82" s="0" t="s">
        <v>3565</v>
      </c>
      <c r="AN82" s="0" t="s">
        <v>3582</v>
      </c>
      <c r="AO82" s="0" t="s">
        <v>3845</v>
      </c>
      <c r="AP82" s="0" t="s">
        <v>228</v>
      </c>
      <c r="AQ82" s="0" t="s">
        <v>228</v>
      </c>
      <c r="AR82" s="0" t="s">
        <v>228</v>
      </c>
      <c r="AS82" s="0" t="s">
        <v>228</v>
      </c>
      <c r="AT82" s="0" t="s">
        <v>228</v>
      </c>
      <c r="AU82" s="0" t="s">
        <v>228</v>
      </c>
      <c r="AV82" s="0" t="s">
        <v>228</v>
      </c>
      <c r="AW82" s="0" t="s">
        <v>228</v>
      </c>
      <c r="AX82" s="0" t="s">
        <v>228</v>
      </c>
      <c r="AY82" s="0" t="s">
        <v>228</v>
      </c>
      <c r="AZ82" s="0" t="s">
        <v>228</v>
      </c>
      <c r="BA82" s="0" t="s">
        <v>228</v>
      </c>
      <c r="BB82" s="0" t="s">
        <v>228</v>
      </c>
      <c r="BC82" s="0" t="s">
        <v>228</v>
      </c>
      <c r="BD82" s="0" t="s">
        <v>228</v>
      </c>
      <c r="BE82" s="0" t="s">
        <v>228</v>
      </c>
      <c r="BF82" s="0" t="s">
        <v>228</v>
      </c>
      <c r="BG82" s="0" t="s">
        <v>228</v>
      </c>
      <c r="BH82" s="0" t="s">
        <v>228</v>
      </c>
      <c r="BI82" s="0" t="s">
        <v>228</v>
      </c>
      <c r="BJ82" s="0" t="s">
        <v>228</v>
      </c>
      <c r="BK82" s="0" t="s">
        <v>228</v>
      </c>
      <c r="BL82" s="0" t="s">
        <v>228</v>
      </c>
      <c r="BM82" s="0" t="s">
        <v>228</v>
      </c>
      <c r="BN82" s="0" t="s">
        <v>228</v>
      </c>
      <c r="BO82" s="0" t="s">
        <v>228</v>
      </c>
      <c r="BP82" s="0" t="s">
        <v>228</v>
      </c>
      <c r="BQ82" s="0" t="s">
        <v>228</v>
      </c>
      <c r="BR82" s="0" t="s">
        <v>228</v>
      </c>
      <c r="BS82" s="0" t="s">
        <v>228</v>
      </c>
      <c r="BT82" s="0" t="s">
        <v>228</v>
      </c>
      <c r="BU82" s="0" t="s">
        <v>228</v>
      </c>
      <c r="BV82" s="0" t="s">
        <v>228</v>
      </c>
      <c r="BW82" s="0" t="s">
        <v>228</v>
      </c>
      <c r="BX82" s="0" t="s">
        <v>228</v>
      </c>
      <c r="BY82" s="0" t="s">
        <v>228</v>
      </c>
      <c r="BZ82" s="0" t="s">
        <v>228</v>
      </c>
      <c r="CA82" s="0" t="s">
        <v>228</v>
      </c>
      <c r="CB82" s="0" t="s">
        <v>228</v>
      </c>
      <c r="CC82" s="0" t="s">
        <v>228</v>
      </c>
      <c r="CD82" s="0" t="s">
        <v>228</v>
      </c>
      <c r="CE82" s="0" t="s">
        <v>228</v>
      </c>
      <c r="CF82" s="0" t="s">
        <v>228</v>
      </c>
      <c r="CG82" s="0" t="s">
        <v>228</v>
      </c>
      <c r="CH82" s="0" t="s">
        <v>228</v>
      </c>
      <c r="CI82" s="0" t="s">
        <v>228</v>
      </c>
      <c r="CJ82" s="0" t="s">
        <v>228</v>
      </c>
      <c r="CK82" s="0" t="s">
        <v>228</v>
      </c>
      <c r="CL82" s="0" t="s">
        <v>228</v>
      </c>
      <c r="CM82" s="0" t="s">
        <v>228</v>
      </c>
      <c r="CN82" s="0" t="s">
        <v>228</v>
      </c>
      <c r="CO82" s="0" t="s">
        <v>228</v>
      </c>
      <c r="CP82" s="0" t="s">
        <v>228</v>
      </c>
      <c r="CQ82" s="0" t="s">
        <v>228</v>
      </c>
      <c r="CR82" s="0" t="s">
        <v>228</v>
      </c>
      <c r="CS82" s="0" t="s">
        <v>228</v>
      </c>
      <c r="CT82" s="0" t="s">
        <v>3568</v>
      </c>
      <c r="CU82" s="0" t="s">
        <v>3569</v>
      </c>
      <c r="CV82" s="0" t="s">
        <v>418</v>
      </c>
      <c r="CW82" s="0" t="s">
        <v>3584</v>
      </c>
      <c r="CX82" s="0" t="s">
        <v>419</v>
      </c>
      <c r="CY82" s="0" t="s">
        <v>418</v>
      </c>
      <c r="CZ82" s="0" t="s">
        <v>3585</v>
      </c>
      <c r="DA82" s="0" t="s">
        <v>3586</v>
      </c>
      <c r="DB82" s="0" t="s">
        <v>3584</v>
      </c>
      <c r="DC82" s="0" t="s">
        <v>362</v>
      </c>
      <c r="DD82" s="0" t="s">
        <v>3572</v>
      </c>
      <c r="DE82" s="0" t="s">
        <v>4052</v>
      </c>
    </row>
    <row customHeight="1" ht="11.25">
      <c r="A83" s="1353" t="s">
        <v>228</v>
      </c>
      <c r="B83" s="0" t="s">
        <v>228</v>
      </c>
      <c r="C83" s="0" t="s">
        <v>228</v>
      </c>
      <c r="D83" s="0" t="s">
        <v>228</v>
      </c>
      <c r="E83" s="0" t="s">
        <v>228</v>
      </c>
      <c r="F83" s="0" t="s">
        <v>228</v>
      </c>
      <c r="G83" s="0" t="s">
        <v>228</v>
      </c>
      <c r="H83" s="0" t="s">
        <v>228</v>
      </c>
      <c r="I83" s="0" t="s">
        <v>3555</v>
      </c>
      <c r="J83" s="0" t="s">
        <v>228</v>
      </c>
      <c r="K83" s="0" t="s">
        <v>228</v>
      </c>
      <c r="L83" s="0" t="s">
        <v>228</v>
      </c>
      <c r="M83" s="0" t="s">
        <v>228</v>
      </c>
      <c r="N83" s="0" t="s">
        <v>228</v>
      </c>
      <c r="O83" s="0" t="s">
        <v>228</v>
      </c>
      <c r="P83" s="0" t="s">
        <v>228</v>
      </c>
      <c r="Q83" s="0" t="s">
        <v>228</v>
      </c>
      <c r="R83" s="0" t="s">
        <v>3588</v>
      </c>
      <c r="S83" s="0" t="s">
        <v>228</v>
      </c>
      <c r="T83" s="0" t="s">
        <v>228</v>
      </c>
      <c r="U83" s="0" t="s">
        <v>101</v>
      </c>
      <c r="V83" s="0" t="s">
        <v>228</v>
      </c>
      <c r="W83" s="0" t="s">
        <v>228</v>
      </c>
      <c r="X83" s="0" t="s">
        <v>3557</v>
      </c>
      <c r="Y83" s="0" t="s">
        <v>228</v>
      </c>
      <c r="Z83" s="0" t="s">
        <v>160</v>
      </c>
      <c r="AA83" s="0" t="s">
        <v>151</v>
      </c>
      <c r="AB83" s="0" t="s">
        <v>151</v>
      </c>
      <c r="AC83" s="0" t="s">
        <v>2317</v>
      </c>
      <c r="AD83" s="0" t="s">
        <v>2317</v>
      </c>
      <c r="AE83" s="0" t="s">
        <v>2318</v>
      </c>
      <c r="AF83" s="0" t="s">
        <v>4053</v>
      </c>
      <c r="AG83" s="0" t="s">
        <v>4054</v>
      </c>
      <c r="AH83" s="0" t="s">
        <v>4055</v>
      </c>
      <c r="AI83" s="0" t="s">
        <v>3807</v>
      </c>
      <c r="AJ83" s="0" t="s">
        <v>3579</v>
      </c>
      <c r="AK83" s="0" t="s">
        <v>3808</v>
      </c>
      <c r="AL83" s="0" t="s">
        <v>3581</v>
      </c>
      <c r="AM83" s="0" t="s">
        <v>3565</v>
      </c>
      <c r="AN83" s="0" t="s">
        <v>3620</v>
      </c>
      <c r="AO83" s="0" t="s">
        <v>3712</v>
      </c>
      <c r="AP83" s="0" t="s">
        <v>228</v>
      </c>
      <c r="AQ83" s="0" t="s">
        <v>228</v>
      </c>
      <c r="AR83" s="0" t="s">
        <v>228</v>
      </c>
      <c r="AS83" s="0" t="s">
        <v>228</v>
      </c>
      <c r="AT83" s="0" t="s">
        <v>228</v>
      </c>
      <c r="AU83" s="0" t="s">
        <v>228</v>
      </c>
      <c r="AV83" s="0" t="s">
        <v>228</v>
      </c>
      <c r="AW83" s="0" t="s">
        <v>228</v>
      </c>
      <c r="AX83" s="0" t="s">
        <v>228</v>
      </c>
      <c r="AY83" s="0" t="s">
        <v>228</v>
      </c>
      <c r="AZ83" s="0" t="s">
        <v>228</v>
      </c>
      <c r="BA83" s="0" t="s">
        <v>228</v>
      </c>
      <c r="BB83" s="0" t="s">
        <v>228</v>
      </c>
      <c r="BC83" s="0" t="s">
        <v>228</v>
      </c>
      <c r="BD83" s="0" t="s">
        <v>228</v>
      </c>
      <c r="BE83" s="0" t="s">
        <v>228</v>
      </c>
      <c r="BF83" s="0" t="s">
        <v>228</v>
      </c>
      <c r="BG83" s="0" t="s">
        <v>228</v>
      </c>
      <c r="BH83" s="0" t="s">
        <v>228</v>
      </c>
      <c r="BI83" s="0" t="s">
        <v>228</v>
      </c>
      <c r="BJ83" s="0" t="s">
        <v>228</v>
      </c>
      <c r="BK83" s="0" t="s">
        <v>228</v>
      </c>
      <c r="BL83" s="0" t="s">
        <v>228</v>
      </c>
      <c r="BM83" s="0" t="s">
        <v>228</v>
      </c>
      <c r="BN83" s="0" t="s">
        <v>228</v>
      </c>
      <c r="BO83" s="0" t="s">
        <v>228</v>
      </c>
      <c r="BP83" s="0" t="s">
        <v>228</v>
      </c>
      <c r="BQ83" s="0" t="s">
        <v>228</v>
      </c>
      <c r="BR83" s="0" t="s">
        <v>228</v>
      </c>
      <c r="BS83" s="0" t="s">
        <v>228</v>
      </c>
      <c r="BT83" s="0" t="s">
        <v>228</v>
      </c>
      <c r="BU83" s="0" t="s">
        <v>228</v>
      </c>
      <c r="BV83" s="0" t="s">
        <v>228</v>
      </c>
      <c r="BW83" s="0" t="s">
        <v>228</v>
      </c>
      <c r="BX83" s="0" t="s">
        <v>228</v>
      </c>
      <c r="BY83" s="0" t="s">
        <v>228</v>
      </c>
      <c r="BZ83" s="0" t="s">
        <v>228</v>
      </c>
      <c r="CA83" s="0" t="s">
        <v>228</v>
      </c>
      <c r="CB83" s="0" t="s">
        <v>228</v>
      </c>
      <c r="CC83" s="0" t="s">
        <v>228</v>
      </c>
      <c r="CD83" s="0" t="s">
        <v>228</v>
      </c>
      <c r="CE83" s="0" t="s">
        <v>228</v>
      </c>
      <c r="CF83" s="0" t="s">
        <v>228</v>
      </c>
      <c r="CG83" s="0" t="s">
        <v>228</v>
      </c>
      <c r="CH83" s="0" t="s">
        <v>228</v>
      </c>
      <c r="CI83" s="0" t="s">
        <v>228</v>
      </c>
      <c r="CJ83" s="0" t="s">
        <v>228</v>
      </c>
      <c r="CK83" s="0" t="s">
        <v>228</v>
      </c>
      <c r="CL83" s="0" t="s">
        <v>228</v>
      </c>
      <c r="CM83" s="0" t="s">
        <v>228</v>
      </c>
      <c r="CN83" s="0" t="s">
        <v>228</v>
      </c>
      <c r="CO83" s="0" t="s">
        <v>228</v>
      </c>
      <c r="CP83" s="0" t="s">
        <v>228</v>
      </c>
      <c r="CQ83" s="0" t="s">
        <v>228</v>
      </c>
      <c r="CR83" s="0" t="s">
        <v>228</v>
      </c>
      <c r="CS83" s="0" t="s">
        <v>228</v>
      </c>
      <c r="CT83" s="0" t="s">
        <v>3568</v>
      </c>
      <c r="CU83" s="0" t="s">
        <v>3569</v>
      </c>
      <c r="CV83" s="0" t="s">
        <v>418</v>
      </c>
      <c r="CW83" s="0" t="s">
        <v>3622</v>
      </c>
      <c r="CX83" s="0" t="s">
        <v>419</v>
      </c>
      <c r="CY83" s="0" t="s">
        <v>418</v>
      </c>
      <c r="CZ83" s="0" t="s">
        <v>3623</v>
      </c>
      <c r="DA83" s="0" t="s">
        <v>3624</v>
      </c>
      <c r="DB83" s="0" t="s">
        <v>3622</v>
      </c>
      <c r="DC83" s="0" t="s">
        <v>362</v>
      </c>
      <c r="DD83" s="0" t="s">
        <v>3572</v>
      </c>
      <c r="DE83" s="0" t="s">
        <v>4056</v>
      </c>
    </row>
    <row customHeight="1" ht="11.25">
      <c r="A84" s="1353" t="s">
        <v>228</v>
      </c>
      <c r="B84" s="0" t="s">
        <v>228</v>
      </c>
      <c r="C84" s="0" t="s">
        <v>228</v>
      </c>
      <c r="D84" s="0" t="s">
        <v>228</v>
      </c>
      <c r="E84" s="0" t="s">
        <v>228</v>
      </c>
      <c r="F84" s="0" t="s">
        <v>228</v>
      </c>
      <c r="G84" s="0" t="s">
        <v>228</v>
      </c>
      <c r="H84" s="0" t="s">
        <v>228</v>
      </c>
      <c r="I84" s="0" t="s">
        <v>3555</v>
      </c>
      <c r="J84" s="0" t="s">
        <v>228</v>
      </c>
      <c r="K84" s="0" t="s">
        <v>228</v>
      </c>
      <c r="L84" s="0" t="s">
        <v>228</v>
      </c>
      <c r="M84" s="0" t="s">
        <v>228</v>
      </c>
      <c r="N84" s="0" t="s">
        <v>228</v>
      </c>
      <c r="O84" s="0" t="s">
        <v>228</v>
      </c>
      <c r="P84" s="0" t="s">
        <v>228</v>
      </c>
      <c r="Q84" s="0" t="s">
        <v>228</v>
      </c>
      <c r="R84" s="0" t="s">
        <v>4057</v>
      </c>
      <c r="S84" s="0" t="s">
        <v>228</v>
      </c>
      <c r="T84" s="0" t="s">
        <v>228</v>
      </c>
      <c r="U84" s="0" t="s">
        <v>101</v>
      </c>
      <c r="V84" s="0" t="s">
        <v>228</v>
      </c>
      <c r="W84" s="0" t="s">
        <v>228</v>
      </c>
      <c r="X84" s="0" t="s">
        <v>3557</v>
      </c>
      <c r="Y84" s="0" t="s">
        <v>228</v>
      </c>
      <c r="Z84" s="0" t="s">
        <v>160</v>
      </c>
      <c r="AA84" s="0" t="s">
        <v>151</v>
      </c>
      <c r="AB84" s="0" t="s">
        <v>151</v>
      </c>
      <c r="AC84" s="0" t="s">
        <v>2315</v>
      </c>
      <c r="AD84" s="0" t="s">
        <v>2315</v>
      </c>
      <c r="AE84" s="0" t="s">
        <v>2316</v>
      </c>
      <c r="AF84" s="0" t="s">
        <v>4058</v>
      </c>
      <c r="AG84" s="0" t="s">
        <v>4059</v>
      </c>
      <c r="AH84" s="0" t="s">
        <v>4055</v>
      </c>
      <c r="AI84" s="0" t="s">
        <v>281</v>
      </c>
      <c r="AJ84" s="0" t="s">
        <v>3562</v>
      </c>
      <c r="AK84" s="0" t="s">
        <v>3562</v>
      </c>
      <c r="AL84" s="0" t="s">
        <v>3681</v>
      </c>
      <c r="AM84" s="0" t="s">
        <v>3565</v>
      </c>
      <c r="AN84" s="0" t="s">
        <v>3582</v>
      </c>
      <c r="AO84" s="0" t="s">
        <v>4060</v>
      </c>
      <c r="AP84" s="0" t="s">
        <v>228</v>
      </c>
      <c r="AQ84" s="0" t="s">
        <v>228</v>
      </c>
      <c r="AR84" s="0" t="s">
        <v>228</v>
      </c>
      <c r="AS84" s="0" t="s">
        <v>228</v>
      </c>
      <c r="AT84" s="0" t="s">
        <v>228</v>
      </c>
      <c r="AU84" s="0" t="s">
        <v>228</v>
      </c>
      <c r="AV84" s="0" t="s">
        <v>228</v>
      </c>
      <c r="AW84" s="0" t="s">
        <v>228</v>
      </c>
      <c r="AX84" s="0" t="s">
        <v>228</v>
      </c>
      <c r="AY84" s="0" t="s">
        <v>228</v>
      </c>
      <c r="AZ84" s="0" t="s">
        <v>228</v>
      </c>
      <c r="BA84" s="0" t="s">
        <v>228</v>
      </c>
      <c r="BB84" s="0" t="s">
        <v>228</v>
      </c>
      <c r="BC84" s="0" t="s">
        <v>228</v>
      </c>
      <c r="BD84" s="0" t="s">
        <v>228</v>
      </c>
      <c r="BE84" s="0" t="s">
        <v>228</v>
      </c>
      <c r="BF84" s="0" t="s">
        <v>228</v>
      </c>
      <c r="BG84" s="0" t="s">
        <v>228</v>
      </c>
      <c r="BH84" s="0" t="s">
        <v>228</v>
      </c>
      <c r="BI84" s="0" t="s">
        <v>228</v>
      </c>
      <c r="BJ84" s="0" t="s">
        <v>228</v>
      </c>
      <c r="BK84" s="0" t="s">
        <v>228</v>
      </c>
      <c r="BL84" s="0" t="s">
        <v>228</v>
      </c>
      <c r="BM84" s="0" t="s">
        <v>228</v>
      </c>
      <c r="BN84" s="0" t="s">
        <v>228</v>
      </c>
      <c r="BO84" s="0" t="s">
        <v>228</v>
      </c>
      <c r="BP84" s="0" t="s">
        <v>228</v>
      </c>
      <c r="BQ84" s="0" t="s">
        <v>228</v>
      </c>
      <c r="BR84" s="0" t="s">
        <v>228</v>
      </c>
      <c r="BS84" s="0" t="s">
        <v>228</v>
      </c>
      <c r="BT84" s="0" t="s">
        <v>228</v>
      </c>
      <c r="BU84" s="0" t="s">
        <v>228</v>
      </c>
      <c r="BV84" s="0" t="s">
        <v>228</v>
      </c>
      <c r="BW84" s="0" t="s">
        <v>228</v>
      </c>
      <c r="BX84" s="0" t="s">
        <v>228</v>
      </c>
      <c r="BY84" s="0" t="s">
        <v>228</v>
      </c>
      <c r="BZ84" s="0" t="s">
        <v>228</v>
      </c>
      <c r="CA84" s="0" t="s">
        <v>228</v>
      </c>
      <c r="CB84" s="0" t="s">
        <v>228</v>
      </c>
      <c r="CC84" s="0" t="s">
        <v>228</v>
      </c>
      <c r="CD84" s="0" t="s">
        <v>228</v>
      </c>
      <c r="CE84" s="0" t="s">
        <v>228</v>
      </c>
      <c r="CF84" s="0" t="s">
        <v>228</v>
      </c>
      <c r="CG84" s="0" t="s">
        <v>228</v>
      </c>
      <c r="CH84" s="0" t="s">
        <v>228</v>
      </c>
      <c r="CI84" s="0" t="s">
        <v>228</v>
      </c>
      <c r="CJ84" s="0" t="s">
        <v>228</v>
      </c>
      <c r="CK84" s="0" t="s">
        <v>228</v>
      </c>
      <c r="CL84" s="0" t="s">
        <v>228</v>
      </c>
      <c r="CM84" s="0" t="s">
        <v>228</v>
      </c>
      <c r="CN84" s="0" t="s">
        <v>228</v>
      </c>
      <c r="CO84" s="0" t="s">
        <v>228</v>
      </c>
      <c r="CP84" s="0" t="s">
        <v>228</v>
      </c>
      <c r="CQ84" s="0" t="s">
        <v>228</v>
      </c>
      <c r="CR84" s="0" t="s">
        <v>228</v>
      </c>
      <c r="CS84" s="0" t="s">
        <v>228</v>
      </c>
      <c r="CT84" s="0" t="s">
        <v>3568</v>
      </c>
      <c r="CU84" s="0" t="s">
        <v>3569</v>
      </c>
      <c r="CV84" s="0" t="s">
        <v>418</v>
      </c>
      <c r="CW84" s="0" t="s">
        <v>3656</v>
      </c>
      <c r="CX84" s="0" t="s">
        <v>419</v>
      </c>
      <c r="CY84" s="0" t="s">
        <v>418</v>
      </c>
      <c r="CZ84" s="0" t="s">
        <v>3657</v>
      </c>
      <c r="DA84" s="0" t="s">
        <v>3658</v>
      </c>
      <c r="DB84" s="0" t="s">
        <v>3656</v>
      </c>
      <c r="DC84" s="0" t="s">
        <v>362</v>
      </c>
      <c r="DD84" s="0" t="s">
        <v>3572</v>
      </c>
      <c r="DE84" s="0" t="s">
        <v>4061</v>
      </c>
    </row>
    <row customHeight="1" ht="11.25">
      <c r="A85" s="1353" t="s">
        <v>228</v>
      </c>
      <c r="B85" s="0" t="s">
        <v>228</v>
      </c>
      <c r="C85" s="0" t="s">
        <v>228</v>
      </c>
      <c r="D85" s="0" t="s">
        <v>228</v>
      </c>
      <c r="E85" s="0" t="s">
        <v>228</v>
      </c>
      <c r="F85" s="0" t="s">
        <v>228</v>
      </c>
      <c r="G85" s="0" t="s">
        <v>228</v>
      </c>
      <c r="H85" s="0" t="s">
        <v>228</v>
      </c>
      <c r="I85" s="0" t="s">
        <v>3555</v>
      </c>
      <c r="J85" s="0" t="s">
        <v>228</v>
      </c>
      <c r="K85" s="0" t="s">
        <v>228</v>
      </c>
      <c r="L85" s="0" t="s">
        <v>228</v>
      </c>
      <c r="M85" s="0" t="s">
        <v>228</v>
      </c>
      <c r="N85" s="0" t="s">
        <v>228</v>
      </c>
      <c r="O85" s="0" t="s">
        <v>228</v>
      </c>
      <c r="P85" s="0" t="s">
        <v>228</v>
      </c>
      <c r="Q85" s="0" t="s">
        <v>228</v>
      </c>
      <c r="R85" s="0" t="s">
        <v>3648</v>
      </c>
      <c r="S85" s="0" t="s">
        <v>228</v>
      </c>
      <c r="T85" s="0" t="s">
        <v>228</v>
      </c>
      <c r="U85" s="0" t="s">
        <v>101</v>
      </c>
      <c r="V85" s="0" t="s">
        <v>228</v>
      </c>
      <c r="W85" s="0" t="s">
        <v>228</v>
      </c>
      <c r="X85" s="0" t="s">
        <v>3557</v>
      </c>
      <c r="Y85" s="0" t="s">
        <v>228</v>
      </c>
      <c r="Z85" s="0" t="s">
        <v>160</v>
      </c>
      <c r="AA85" s="0" t="s">
        <v>151</v>
      </c>
      <c r="AB85" s="0" t="s">
        <v>151</v>
      </c>
      <c r="AC85" s="0" t="s">
        <v>2315</v>
      </c>
      <c r="AD85" s="0" t="s">
        <v>2315</v>
      </c>
      <c r="AE85" s="0" t="s">
        <v>2316</v>
      </c>
      <c r="AF85" s="0" t="s">
        <v>4062</v>
      </c>
      <c r="AG85" s="0" t="s">
        <v>4063</v>
      </c>
      <c r="AH85" s="0" t="s">
        <v>4064</v>
      </c>
      <c r="AI85" s="0" t="s">
        <v>4065</v>
      </c>
      <c r="AJ85" s="0" t="s">
        <v>3652</v>
      </c>
      <c r="AK85" s="0" t="s">
        <v>3674</v>
      </c>
      <c r="AL85" s="0" t="s">
        <v>3581</v>
      </c>
      <c r="AM85" s="0" t="s">
        <v>3565</v>
      </c>
      <c r="AN85" s="0" t="s">
        <v>3654</v>
      </c>
      <c r="AO85" s="0" t="s">
        <v>3701</v>
      </c>
      <c r="AP85" s="0" t="s">
        <v>228</v>
      </c>
      <c r="AQ85" s="0" t="s">
        <v>228</v>
      </c>
      <c r="AR85" s="0" t="s">
        <v>228</v>
      </c>
      <c r="AS85" s="0" t="s">
        <v>228</v>
      </c>
      <c r="AT85" s="0" t="s">
        <v>228</v>
      </c>
      <c r="AU85" s="0" t="s">
        <v>228</v>
      </c>
      <c r="AV85" s="0" t="s">
        <v>228</v>
      </c>
      <c r="AW85" s="0" t="s">
        <v>228</v>
      </c>
      <c r="AX85" s="0" t="s">
        <v>228</v>
      </c>
      <c r="AY85" s="0" t="s">
        <v>228</v>
      </c>
      <c r="AZ85" s="0" t="s">
        <v>228</v>
      </c>
      <c r="BA85" s="0" t="s">
        <v>228</v>
      </c>
      <c r="BB85" s="0" t="s">
        <v>228</v>
      </c>
      <c r="BC85" s="0" t="s">
        <v>228</v>
      </c>
      <c r="BD85" s="0" t="s">
        <v>228</v>
      </c>
      <c r="BE85" s="0" t="s">
        <v>228</v>
      </c>
      <c r="BF85" s="0" t="s">
        <v>228</v>
      </c>
      <c r="BG85" s="0" t="s">
        <v>228</v>
      </c>
      <c r="BH85" s="0" t="s">
        <v>228</v>
      </c>
      <c r="BI85" s="0" t="s">
        <v>228</v>
      </c>
      <c r="BJ85" s="0" t="s">
        <v>228</v>
      </c>
      <c r="BK85" s="0" t="s">
        <v>228</v>
      </c>
      <c r="BL85" s="0" t="s">
        <v>228</v>
      </c>
      <c r="BM85" s="0" t="s">
        <v>228</v>
      </c>
      <c r="BN85" s="0" t="s">
        <v>228</v>
      </c>
      <c r="BO85" s="0" t="s">
        <v>228</v>
      </c>
      <c r="BP85" s="0" t="s">
        <v>228</v>
      </c>
      <c r="BQ85" s="0" t="s">
        <v>228</v>
      </c>
      <c r="BR85" s="0" t="s">
        <v>228</v>
      </c>
      <c r="BS85" s="0" t="s">
        <v>228</v>
      </c>
      <c r="BT85" s="0" t="s">
        <v>228</v>
      </c>
      <c r="BU85" s="0" t="s">
        <v>228</v>
      </c>
      <c r="BV85" s="0" t="s">
        <v>228</v>
      </c>
      <c r="BW85" s="0" t="s">
        <v>228</v>
      </c>
      <c r="BX85" s="0" t="s">
        <v>228</v>
      </c>
      <c r="BY85" s="0" t="s">
        <v>228</v>
      </c>
      <c r="BZ85" s="0" t="s">
        <v>228</v>
      </c>
      <c r="CA85" s="0" t="s">
        <v>228</v>
      </c>
      <c r="CB85" s="0" t="s">
        <v>228</v>
      </c>
      <c r="CC85" s="0" t="s">
        <v>228</v>
      </c>
      <c r="CD85" s="0" t="s">
        <v>228</v>
      </c>
      <c r="CE85" s="0" t="s">
        <v>228</v>
      </c>
      <c r="CF85" s="0" t="s">
        <v>228</v>
      </c>
      <c r="CG85" s="0" t="s">
        <v>228</v>
      </c>
      <c r="CH85" s="0" t="s">
        <v>228</v>
      </c>
      <c r="CI85" s="0" t="s">
        <v>228</v>
      </c>
      <c r="CJ85" s="0" t="s">
        <v>228</v>
      </c>
      <c r="CK85" s="0" t="s">
        <v>228</v>
      </c>
      <c r="CL85" s="0" t="s">
        <v>228</v>
      </c>
      <c r="CM85" s="0" t="s">
        <v>228</v>
      </c>
      <c r="CN85" s="0" t="s">
        <v>228</v>
      </c>
      <c r="CO85" s="0" t="s">
        <v>228</v>
      </c>
      <c r="CP85" s="0" t="s">
        <v>228</v>
      </c>
      <c r="CQ85" s="0" t="s">
        <v>228</v>
      </c>
      <c r="CR85" s="0" t="s">
        <v>228</v>
      </c>
      <c r="CS85" s="0" t="s">
        <v>228</v>
      </c>
      <c r="CT85" s="0" t="s">
        <v>3568</v>
      </c>
      <c r="CU85" s="0" t="s">
        <v>3569</v>
      </c>
      <c r="CV85" s="0" t="s">
        <v>418</v>
      </c>
      <c r="CW85" s="0" t="s">
        <v>3656</v>
      </c>
      <c r="CX85" s="0" t="s">
        <v>419</v>
      </c>
      <c r="CY85" s="0" t="s">
        <v>418</v>
      </c>
      <c r="CZ85" s="0" t="s">
        <v>3657</v>
      </c>
      <c r="DA85" s="0" t="s">
        <v>3658</v>
      </c>
      <c r="DB85" s="0" t="s">
        <v>3656</v>
      </c>
      <c r="DC85" s="0" t="s">
        <v>362</v>
      </c>
      <c r="DD85" s="0" t="s">
        <v>3572</v>
      </c>
      <c r="DE85" s="0" t="s">
        <v>4066</v>
      </c>
    </row>
    <row customHeight="1" ht="11.25">
      <c r="A86" s="1353" t="s">
        <v>228</v>
      </c>
      <c r="B86" s="0" t="s">
        <v>228</v>
      </c>
      <c r="C86" s="0" t="s">
        <v>228</v>
      </c>
      <c r="D86" s="0" t="s">
        <v>228</v>
      </c>
      <c r="E86" s="0" t="s">
        <v>228</v>
      </c>
      <c r="F86" s="0" t="s">
        <v>228</v>
      </c>
      <c r="G86" s="0" t="s">
        <v>228</v>
      </c>
      <c r="H86" s="0" t="s">
        <v>228</v>
      </c>
      <c r="I86" s="0" t="s">
        <v>3555</v>
      </c>
      <c r="J86" s="0" t="s">
        <v>228</v>
      </c>
      <c r="K86" s="0" t="s">
        <v>228</v>
      </c>
      <c r="L86" s="0" t="s">
        <v>228</v>
      </c>
      <c r="M86" s="0" t="s">
        <v>228</v>
      </c>
      <c r="N86" s="0" t="s">
        <v>228</v>
      </c>
      <c r="O86" s="0" t="s">
        <v>228</v>
      </c>
      <c r="P86" s="0" t="s">
        <v>228</v>
      </c>
      <c r="Q86" s="0" t="s">
        <v>228</v>
      </c>
      <c r="R86" s="0" t="s">
        <v>3648</v>
      </c>
      <c r="S86" s="0" t="s">
        <v>228</v>
      </c>
      <c r="T86" s="0" t="s">
        <v>228</v>
      </c>
      <c r="U86" s="0" t="s">
        <v>101</v>
      </c>
      <c r="V86" s="0" t="s">
        <v>228</v>
      </c>
      <c r="W86" s="0" t="s">
        <v>228</v>
      </c>
      <c r="X86" s="0" t="s">
        <v>3557</v>
      </c>
      <c r="Y86" s="0" t="s">
        <v>228</v>
      </c>
      <c r="Z86" s="0" t="s">
        <v>160</v>
      </c>
      <c r="AA86" s="0" t="s">
        <v>151</v>
      </c>
      <c r="AB86" s="0" t="s">
        <v>151</v>
      </c>
      <c r="AC86" s="0" t="s">
        <v>2315</v>
      </c>
      <c r="AD86" s="0" t="s">
        <v>2315</v>
      </c>
      <c r="AE86" s="0" t="s">
        <v>2316</v>
      </c>
      <c r="AF86" s="0" t="s">
        <v>4062</v>
      </c>
      <c r="AG86" s="0" t="s">
        <v>4063</v>
      </c>
      <c r="AH86" s="0" t="s">
        <v>4067</v>
      </c>
      <c r="AI86" s="0" t="s">
        <v>4068</v>
      </c>
      <c r="AJ86" s="0" t="s">
        <v>3652</v>
      </c>
      <c r="AK86" s="0" t="s">
        <v>4069</v>
      </c>
      <c r="AL86" s="0" t="s">
        <v>3581</v>
      </c>
      <c r="AM86" s="0" t="s">
        <v>3565</v>
      </c>
      <c r="AN86" s="0" t="s">
        <v>3654</v>
      </c>
      <c r="AO86" s="0" t="s">
        <v>3655</v>
      </c>
      <c r="AP86" s="0" t="s">
        <v>228</v>
      </c>
      <c r="AQ86" s="0" t="s">
        <v>228</v>
      </c>
      <c r="AR86" s="0" t="s">
        <v>228</v>
      </c>
      <c r="AS86" s="0" t="s">
        <v>228</v>
      </c>
      <c r="AT86" s="0" t="s">
        <v>228</v>
      </c>
      <c r="AU86" s="0" t="s">
        <v>228</v>
      </c>
      <c r="AV86" s="0" t="s">
        <v>228</v>
      </c>
      <c r="AW86" s="0" t="s">
        <v>228</v>
      </c>
      <c r="AX86" s="0" t="s">
        <v>228</v>
      </c>
      <c r="AY86" s="0" t="s">
        <v>228</v>
      </c>
      <c r="AZ86" s="0" t="s">
        <v>228</v>
      </c>
      <c r="BA86" s="0" t="s">
        <v>228</v>
      </c>
      <c r="BB86" s="0" t="s">
        <v>228</v>
      </c>
      <c r="BC86" s="0" t="s">
        <v>228</v>
      </c>
      <c r="BD86" s="0" t="s">
        <v>228</v>
      </c>
      <c r="BE86" s="0" t="s">
        <v>228</v>
      </c>
      <c r="BF86" s="0" t="s">
        <v>228</v>
      </c>
      <c r="BG86" s="0" t="s">
        <v>228</v>
      </c>
      <c r="BH86" s="0" t="s">
        <v>228</v>
      </c>
      <c r="BI86" s="0" t="s">
        <v>228</v>
      </c>
      <c r="BJ86" s="0" t="s">
        <v>228</v>
      </c>
      <c r="BK86" s="0" t="s">
        <v>228</v>
      </c>
      <c r="BL86" s="0" t="s">
        <v>228</v>
      </c>
      <c r="BM86" s="0" t="s">
        <v>228</v>
      </c>
      <c r="BN86" s="0" t="s">
        <v>228</v>
      </c>
      <c r="BO86" s="0" t="s">
        <v>228</v>
      </c>
      <c r="BP86" s="0" t="s">
        <v>228</v>
      </c>
      <c r="BQ86" s="0" t="s">
        <v>228</v>
      </c>
      <c r="BR86" s="0" t="s">
        <v>228</v>
      </c>
      <c r="BS86" s="0" t="s">
        <v>228</v>
      </c>
      <c r="BT86" s="0" t="s">
        <v>228</v>
      </c>
      <c r="BU86" s="0" t="s">
        <v>228</v>
      </c>
      <c r="BV86" s="0" t="s">
        <v>228</v>
      </c>
      <c r="BW86" s="0" t="s">
        <v>228</v>
      </c>
      <c r="BX86" s="0" t="s">
        <v>228</v>
      </c>
      <c r="BY86" s="0" t="s">
        <v>228</v>
      </c>
      <c r="BZ86" s="0" t="s">
        <v>228</v>
      </c>
      <c r="CA86" s="0" t="s">
        <v>228</v>
      </c>
      <c r="CB86" s="0" t="s">
        <v>228</v>
      </c>
      <c r="CC86" s="0" t="s">
        <v>228</v>
      </c>
      <c r="CD86" s="0" t="s">
        <v>228</v>
      </c>
      <c r="CE86" s="0" t="s">
        <v>228</v>
      </c>
      <c r="CF86" s="0" t="s">
        <v>228</v>
      </c>
      <c r="CG86" s="0" t="s">
        <v>228</v>
      </c>
      <c r="CH86" s="0" t="s">
        <v>228</v>
      </c>
      <c r="CI86" s="0" t="s">
        <v>228</v>
      </c>
      <c r="CJ86" s="0" t="s">
        <v>228</v>
      </c>
      <c r="CK86" s="0" t="s">
        <v>228</v>
      </c>
      <c r="CL86" s="0" t="s">
        <v>228</v>
      </c>
      <c r="CM86" s="0" t="s">
        <v>228</v>
      </c>
      <c r="CN86" s="0" t="s">
        <v>228</v>
      </c>
      <c r="CO86" s="0" t="s">
        <v>228</v>
      </c>
      <c r="CP86" s="0" t="s">
        <v>228</v>
      </c>
      <c r="CQ86" s="0" t="s">
        <v>228</v>
      </c>
      <c r="CR86" s="0" t="s">
        <v>228</v>
      </c>
      <c r="CS86" s="0" t="s">
        <v>228</v>
      </c>
      <c r="CT86" s="0" t="s">
        <v>3568</v>
      </c>
      <c r="CU86" s="0" t="s">
        <v>3569</v>
      </c>
      <c r="CV86" s="0" t="s">
        <v>418</v>
      </c>
      <c r="CW86" s="0" t="s">
        <v>3656</v>
      </c>
      <c r="CX86" s="0" t="s">
        <v>419</v>
      </c>
      <c r="CY86" s="0" t="s">
        <v>418</v>
      </c>
      <c r="CZ86" s="0" t="s">
        <v>3657</v>
      </c>
      <c r="DA86" s="0" t="s">
        <v>3658</v>
      </c>
      <c r="DB86" s="0" t="s">
        <v>3656</v>
      </c>
      <c r="DC86" s="0" t="s">
        <v>362</v>
      </c>
      <c r="DD86" s="0" t="s">
        <v>3572</v>
      </c>
      <c r="DE86" s="0" t="s">
        <v>4070</v>
      </c>
    </row>
    <row customHeight="1" ht="11.25">
      <c r="A87" s="1353" t="s">
        <v>228</v>
      </c>
      <c r="B87" s="0" t="s">
        <v>228</v>
      </c>
      <c r="C87" s="0" t="s">
        <v>228</v>
      </c>
      <c r="D87" s="0" t="s">
        <v>228</v>
      </c>
      <c r="E87" s="0" t="s">
        <v>228</v>
      </c>
      <c r="F87" s="0" t="s">
        <v>228</v>
      </c>
      <c r="G87" s="0" t="s">
        <v>228</v>
      </c>
      <c r="H87" s="0" t="s">
        <v>228</v>
      </c>
      <c r="I87" s="0" t="s">
        <v>3555</v>
      </c>
      <c r="J87" s="0" t="s">
        <v>228</v>
      </c>
      <c r="K87" s="0" t="s">
        <v>228</v>
      </c>
      <c r="L87" s="0" t="s">
        <v>228</v>
      </c>
      <c r="M87" s="0" t="s">
        <v>228</v>
      </c>
      <c r="N87" s="0" t="s">
        <v>228</v>
      </c>
      <c r="O87" s="0" t="s">
        <v>228</v>
      </c>
      <c r="P87" s="0" t="s">
        <v>228</v>
      </c>
      <c r="Q87" s="0" t="s">
        <v>228</v>
      </c>
      <c r="R87" s="0" t="s">
        <v>4071</v>
      </c>
      <c r="S87" s="0" t="s">
        <v>228</v>
      </c>
      <c r="T87" s="0" t="s">
        <v>228</v>
      </c>
      <c r="U87" s="0" t="s">
        <v>101</v>
      </c>
      <c r="V87" s="0" t="s">
        <v>228</v>
      </c>
      <c r="W87" s="0" t="s">
        <v>228</v>
      </c>
      <c r="X87" s="0" t="s">
        <v>3557</v>
      </c>
      <c r="Y87" s="0" t="s">
        <v>228</v>
      </c>
      <c r="Z87" s="0" t="s">
        <v>160</v>
      </c>
      <c r="AA87" s="0" t="s">
        <v>151</v>
      </c>
      <c r="AB87" s="0" t="s">
        <v>151</v>
      </c>
      <c r="AC87" s="0" t="s">
        <v>2715</v>
      </c>
      <c r="AD87" s="0" t="s">
        <v>2715</v>
      </c>
      <c r="AE87" s="0" t="s">
        <v>2716</v>
      </c>
      <c r="AF87" s="0" t="s">
        <v>3594</v>
      </c>
      <c r="AG87" s="0" t="s">
        <v>3595</v>
      </c>
      <c r="AH87" s="0" t="s">
        <v>3662</v>
      </c>
      <c r="AI87" s="0" t="s">
        <v>3608</v>
      </c>
      <c r="AJ87" s="0" t="s">
        <v>3663</v>
      </c>
      <c r="AK87" s="0" t="s">
        <v>3664</v>
      </c>
      <c r="AL87" s="0" t="s">
        <v>3646</v>
      </c>
      <c r="AM87" s="0" t="s">
        <v>3565</v>
      </c>
      <c r="AN87" s="0" t="s">
        <v>4072</v>
      </c>
      <c r="AO87" s="0" t="s">
        <v>4073</v>
      </c>
      <c r="AP87" s="0" t="s">
        <v>228</v>
      </c>
      <c r="AQ87" s="0" t="s">
        <v>228</v>
      </c>
      <c r="AR87" s="0" t="s">
        <v>228</v>
      </c>
      <c r="AS87" s="0" t="s">
        <v>228</v>
      </c>
      <c r="AT87" s="0" t="s">
        <v>228</v>
      </c>
      <c r="AU87" s="0" t="s">
        <v>228</v>
      </c>
      <c r="AV87" s="0" t="s">
        <v>228</v>
      </c>
      <c r="AW87" s="0" t="s">
        <v>228</v>
      </c>
      <c r="AX87" s="0" t="s">
        <v>228</v>
      </c>
      <c r="AY87" s="0" t="s">
        <v>228</v>
      </c>
      <c r="AZ87" s="0" t="s">
        <v>228</v>
      </c>
      <c r="BA87" s="0" t="s">
        <v>228</v>
      </c>
      <c r="BB87" s="0" t="s">
        <v>228</v>
      </c>
      <c r="BC87" s="0" t="s">
        <v>228</v>
      </c>
      <c r="BD87" s="0" t="s">
        <v>228</v>
      </c>
      <c r="BE87" s="0" t="s">
        <v>228</v>
      </c>
      <c r="BF87" s="0" t="s">
        <v>228</v>
      </c>
      <c r="BG87" s="0" t="s">
        <v>228</v>
      </c>
      <c r="BH87" s="0" t="s">
        <v>228</v>
      </c>
      <c r="BI87" s="0" t="s">
        <v>228</v>
      </c>
      <c r="BJ87" s="0" t="s">
        <v>228</v>
      </c>
      <c r="BK87" s="0" t="s">
        <v>228</v>
      </c>
      <c r="BL87" s="0" t="s">
        <v>228</v>
      </c>
      <c r="BM87" s="0" t="s">
        <v>228</v>
      </c>
      <c r="BN87" s="0" t="s">
        <v>228</v>
      </c>
      <c r="BO87" s="0" t="s">
        <v>228</v>
      </c>
      <c r="BP87" s="0" t="s">
        <v>228</v>
      </c>
      <c r="BQ87" s="0" t="s">
        <v>228</v>
      </c>
      <c r="BR87" s="0" t="s">
        <v>228</v>
      </c>
      <c r="BS87" s="0" t="s">
        <v>228</v>
      </c>
      <c r="BT87" s="0" t="s">
        <v>228</v>
      </c>
      <c r="BU87" s="0" t="s">
        <v>228</v>
      </c>
      <c r="BV87" s="0" t="s">
        <v>228</v>
      </c>
      <c r="BW87" s="0" t="s">
        <v>228</v>
      </c>
      <c r="BX87" s="0" t="s">
        <v>228</v>
      </c>
      <c r="BY87" s="0" t="s">
        <v>228</v>
      </c>
      <c r="BZ87" s="0" t="s">
        <v>228</v>
      </c>
      <c r="CA87" s="0" t="s">
        <v>228</v>
      </c>
      <c r="CB87" s="0" t="s">
        <v>228</v>
      </c>
      <c r="CC87" s="0" t="s">
        <v>228</v>
      </c>
      <c r="CD87" s="0" t="s">
        <v>228</v>
      </c>
      <c r="CE87" s="0" t="s">
        <v>228</v>
      </c>
      <c r="CF87" s="0" t="s">
        <v>228</v>
      </c>
      <c r="CG87" s="0" t="s">
        <v>228</v>
      </c>
      <c r="CH87" s="0" t="s">
        <v>228</v>
      </c>
      <c r="CI87" s="0" t="s">
        <v>228</v>
      </c>
      <c r="CJ87" s="0" t="s">
        <v>228</v>
      </c>
      <c r="CK87" s="0" t="s">
        <v>228</v>
      </c>
      <c r="CL87" s="0" t="s">
        <v>228</v>
      </c>
      <c r="CM87" s="0" t="s">
        <v>228</v>
      </c>
      <c r="CN87" s="0" t="s">
        <v>228</v>
      </c>
      <c r="CO87" s="0" t="s">
        <v>228</v>
      </c>
      <c r="CP87" s="0" t="s">
        <v>228</v>
      </c>
      <c r="CQ87" s="0" t="s">
        <v>228</v>
      </c>
      <c r="CR87" s="0" t="s">
        <v>228</v>
      </c>
      <c r="CS87" s="0" t="s">
        <v>228</v>
      </c>
      <c r="CT87" s="0" t="s">
        <v>3568</v>
      </c>
      <c r="CU87" s="0" t="s">
        <v>3569</v>
      </c>
      <c r="CV87" s="0" t="s">
        <v>418</v>
      </c>
      <c r="CW87" s="0" t="s">
        <v>3602</v>
      </c>
      <c r="CX87" s="0" t="s">
        <v>3603</v>
      </c>
      <c r="CY87" s="0" t="s">
        <v>418</v>
      </c>
      <c r="CZ87" s="0" t="s">
        <v>504</v>
      </c>
      <c r="DA87" s="0" t="s">
        <v>3604</v>
      </c>
      <c r="DB87" s="0" t="s">
        <v>3602</v>
      </c>
      <c r="DC87" s="0" t="s">
        <v>362</v>
      </c>
      <c r="DD87" s="0" t="s">
        <v>3572</v>
      </c>
      <c r="DE87" s="0" t="s">
        <v>3677</v>
      </c>
    </row>
    <row customHeight="1" ht="11.25">
      <c r="A88" s="1353" t="s">
        <v>228</v>
      </c>
      <c r="B88" s="0" t="s">
        <v>228</v>
      </c>
      <c r="C88" s="0" t="s">
        <v>228</v>
      </c>
      <c r="D88" s="0" t="s">
        <v>228</v>
      </c>
      <c r="E88" s="0" t="s">
        <v>228</v>
      </c>
      <c r="F88" s="0" t="s">
        <v>228</v>
      </c>
      <c r="G88" s="0" t="s">
        <v>228</v>
      </c>
      <c r="H88" s="0" t="s">
        <v>228</v>
      </c>
      <c r="I88" s="0" t="s">
        <v>3555</v>
      </c>
      <c r="J88" s="0" t="s">
        <v>228</v>
      </c>
      <c r="K88" s="0" t="s">
        <v>228</v>
      </c>
      <c r="L88" s="0" t="s">
        <v>228</v>
      </c>
      <c r="M88" s="0" t="s">
        <v>228</v>
      </c>
      <c r="N88" s="0" t="s">
        <v>228</v>
      </c>
      <c r="O88" s="0" t="s">
        <v>228</v>
      </c>
      <c r="P88" s="0" t="s">
        <v>228</v>
      </c>
      <c r="Q88" s="0" t="s">
        <v>228</v>
      </c>
      <c r="R88" s="0" t="s">
        <v>4074</v>
      </c>
      <c r="S88" s="0" t="s">
        <v>228</v>
      </c>
      <c r="T88" s="0" t="s">
        <v>228</v>
      </c>
      <c r="U88" s="0" t="s">
        <v>101</v>
      </c>
      <c r="V88" s="0" t="s">
        <v>228</v>
      </c>
      <c r="W88" s="0" t="s">
        <v>228</v>
      </c>
      <c r="X88" s="0" t="s">
        <v>3661</v>
      </c>
      <c r="Y88" s="0" t="s">
        <v>228</v>
      </c>
      <c r="Z88" s="0" t="s">
        <v>151</v>
      </c>
      <c r="AA88" s="0" t="s">
        <v>151</v>
      </c>
      <c r="AB88" s="0" t="s">
        <v>160</v>
      </c>
      <c r="AC88" s="0" t="s">
        <v>2315</v>
      </c>
      <c r="AD88" s="0" t="s">
        <v>2315</v>
      </c>
      <c r="AE88" s="0" t="s">
        <v>2316</v>
      </c>
      <c r="AF88" s="0" t="s">
        <v>4062</v>
      </c>
      <c r="AG88" s="0" t="s">
        <v>4063</v>
      </c>
      <c r="AH88" s="0" t="s">
        <v>3651</v>
      </c>
      <c r="AI88" s="0" t="s">
        <v>3651</v>
      </c>
      <c r="AJ88" s="0" t="s">
        <v>228</v>
      </c>
      <c r="AK88" s="0" t="s">
        <v>228</v>
      </c>
      <c r="AL88" s="0" t="s">
        <v>228</v>
      </c>
      <c r="AM88" s="0" t="s">
        <v>228</v>
      </c>
      <c r="AN88" s="0" t="s">
        <v>228</v>
      </c>
      <c r="AO88" s="0" t="s">
        <v>228</v>
      </c>
      <c r="AP88" s="0" t="s">
        <v>228</v>
      </c>
      <c r="AQ88" s="0" t="s">
        <v>228</v>
      </c>
      <c r="AR88" s="0" t="s">
        <v>228</v>
      </c>
      <c r="AS88" s="0" t="s">
        <v>228</v>
      </c>
      <c r="AT88" s="0" t="s">
        <v>228</v>
      </c>
      <c r="AU88" s="0" t="s">
        <v>228</v>
      </c>
      <c r="AV88" s="0" t="s">
        <v>228</v>
      </c>
      <c r="AW88" s="0" t="s">
        <v>228</v>
      </c>
      <c r="AX88" s="0" t="s">
        <v>228</v>
      </c>
      <c r="AY88" s="0" t="s">
        <v>228</v>
      </c>
      <c r="AZ88" s="0" t="s">
        <v>228</v>
      </c>
      <c r="BA88" s="0" t="s">
        <v>228</v>
      </c>
      <c r="BB88" s="0" t="s">
        <v>228</v>
      </c>
      <c r="BC88" s="0" t="s">
        <v>228</v>
      </c>
      <c r="BD88" s="0" t="s">
        <v>228</v>
      </c>
      <c r="BE88" s="0" t="s">
        <v>4075</v>
      </c>
      <c r="BF88" s="0" t="s">
        <v>4069</v>
      </c>
      <c r="BG88" s="0" t="s">
        <v>111</v>
      </c>
      <c r="BH88" s="0" t="s">
        <v>3665</v>
      </c>
      <c r="BI88" s="0" t="s">
        <v>122</v>
      </c>
      <c r="BJ88" s="0" t="s">
        <v>228</v>
      </c>
      <c r="BK88" s="0" t="s">
        <v>3684</v>
      </c>
      <c r="BL88" s="0" t="s">
        <v>2315</v>
      </c>
      <c r="BM88" s="0" t="s">
        <v>2315</v>
      </c>
      <c r="BN88" s="0" t="s">
        <v>3875</v>
      </c>
      <c r="BO88" s="0" t="s">
        <v>4062</v>
      </c>
      <c r="BP88" s="0" t="s">
        <v>4076</v>
      </c>
      <c r="BQ88" s="0" t="s">
        <v>3651</v>
      </c>
      <c r="BR88" s="0" t="s">
        <v>3651</v>
      </c>
      <c r="BS88" s="0" t="s">
        <v>228</v>
      </c>
      <c r="BT88" s="0" t="s">
        <v>3727</v>
      </c>
      <c r="BU88" s="0" t="s">
        <v>4077</v>
      </c>
      <c r="BV88" s="0" t="s">
        <v>4077</v>
      </c>
      <c r="BW88" s="0" t="s">
        <v>3674</v>
      </c>
      <c r="BX88" s="0" t="s">
        <v>3674</v>
      </c>
      <c r="BY88" s="0" t="s">
        <v>3674</v>
      </c>
      <c r="BZ88" s="0" t="s">
        <v>3674</v>
      </c>
      <c r="CA88" s="0" t="s">
        <v>3674</v>
      </c>
      <c r="CB88" s="0" t="s">
        <v>228</v>
      </c>
      <c r="CC88" s="0" t="s">
        <v>228</v>
      </c>
      <c r="CD88" s="0" t="s">
        <v>228</v>
      </c>
      <c r="CE88" s="0" t="s">
        <v>228</v>
      </c>
      <c r="CF88" s="0" t="s">
        <v>228</v>
      </c>
      <c r="CG88" s="0" t="s">
        <v>3674</v>
      </c>
      <c r="CH88" s="0" t="s">
        <v>228</v>
      </c>
      <c r="CI88" s="0" t="s">
        <v>228</v>
      </c>
      <c r="CJ88" s="0" t="s">
        <v>228</v>
      </c>
      <c r="CK88" s="0" t="s">
        <v>228</v>
      </c>
      <c r="CL88" s="0" t="s">
        <v>228</v>
      </c>
      <c r="CM88" s="0" t="s">
        <v>4077</v>
      </c>
      <c r="CN88" s="0" t="s">
        <v>4077</v>
      </c>
      <c r="CO88" s="0" t="s">
        <v>228</v>
      </c>
      <c r="CP88" s="0" t="s">
        <v>228</v>
      </c>
      <c r="CQ88" s="0" t="s">
        <v>228</v>
      </c>
      <c r="CR88" s="0" t="s">
        <v>228</v>
      </c>
      <c r="CS88" s="0" t="s">
        <v>3628</v>
      </c>
      <c r="CT88" s="0" t="s">
        <v>3568</v>
      </c>
      <c r="CU88" s="0" t="s">
        <v>3569</v>
      </c>
      <c r="CV88" s="0" t="s">
        <v>418</v>
      </c>
      <c r="CW88" s="0" t="s">
        <v>3656</v>
      </c>
      <c r="CX88" s="0" t="s">
        <v>419</v>
      </c>
      <c r="CY88" s="0" t="s">
        <v>418</v>
      </c>
      <c r="CZ88" s="0" t="s">
        <v>3657</v>
      </c>
      <c r="DA88" s="0" t="s">
        <v>3658</v>
      </c>
      <c r="DB88" s="0" t="s">
        <v>3656</v>
      </c>
      <c r="DC88" s="0" t="s">
        <v>362</v>
      </c>
      <c r="DD88" s="0" t="s">
        <v>3572</v>
      </c>
      <c r="DE88" s="0" t="s">
        <v>4078</v>
      </c>
    </row>
    <row customHeight="1" ht="11.25">
      <c r="A89" s="1353" t="s">
        <v>228</v>
      </c>
      <c r="B89" s="0" t="s">
        <v>228</v>
      </c>
      <c r="C89" s="0" t="s">
        <v>228</v>
      </c>
      <c r="D89" s="0" t="s">
        <v>228</v>
      </c>
      <c r="E89" s="0" t="s">
        <v>228</v>
      </c>
      <c r="F89" s="0" t="s">
        <v>228</v>
      </c>
      <c r="G89" s="0" t="s">
        <v>228</v>
      </c>
      <c r="H89" s="0" t="s">
        <v>228</v>
      </c>
      <c r="I89" s="0" t="s">
        <v>3555</v>
      </c>
      <c r="J89" s="0" t="s">
        <v>228</v>
      </c>
      <c r="K89" s="0" t="s">
        <v>228</v>
      </c>
      <c r="L89" s="0" t="s">
        <v>228</v>
      </c>
      <c r="M89" s="0" t="s">
        <v>228</v>
      </c>
      <c r="N89" s="0" t="s">
        <v>228</v>
      </c>
      <c r="O89" s="0" t="s">
        <v>228</v>
      </c>
      <c r="P89" s="0" t="s">
        <v>228</v>
      </c>
      <c r="Q89" s="0" t="s">
        <v>228</v>
      </c>
      <c r="R89" s="0" t="s">
        <v>4079</v>
      </c>
      <c r="S89" s="0" t="s">
        <v>228</v>
      </c>
      <c r="T89" s="0" t="s">
        <v>228</v>
      </c>
      <c r="U89" s="0" t="s">
        <v>101</v>
      </c>
      <c r="V89" s="0" t="s">
        <v>228</v>
      </c>
      <c r="W89" s="0" t="s">
        <v>228</v>
      </c>
      <c r="X89" s="0" t="s">
        <v>3988</v>
      </c>
      <c r="Y89" s="0" t="s">
        <v>228</v>
      </c>
      <c r="Z89" s="0" t="s">
        <v>151</v>
      </c>
      <c r="AA89" s="0" t="s">
        <v>160</v>
      </c>
      <c r="AB89" s="0" t="s">
        <v>151</v>
      </c>
      <c r="AC89" s="0" t="s">
        <v>2715</v>
      </c>
      <c r="AD89" s="0" t="s">
        <v>2715</v>
      </c>
      <c r="AE89" s="0" t="s">
        <v>2716</v>
      </c>
      <c r="AF89" s="0" t="s">
        <v>3594</v>
      </c>
      <c r="AG89" s="0" t="s">
        <v>3595</v>
      </c>
      <c r="AH89" s="0" t="s">
        <v>4080</v>
      </c>
      <c r="AI89" s="0" t="s">
        <v>3608</v>
      </c>
      <c r="AJ89" s="0" t="s">
        <v>228</v>
      </c>
      <c r="AK89" s="0" t="s">
        <v>228</v>
      </c>
      <c r="AL89" s="0" t="s">
        <v>228</v>
      </c>
      <c r="AM89" s="0" t="s">
        <v>228</v>
      </c>
      <c r="AN89" s="0" t="s">
        <v>228</v>
      </c>
      <c r="AO89" s="0" t="s">
        <v>228</v>
      </c>
      <c r="AP89" s="0" t="s">
        <v>3984</v>
      </c>
      <c r="AQ89" s="0" t="s">
        <v>4081</v>
      </c>
      <c r="AR89" s="0" t="s">
        <v>111</v>
      </c>
      <c r="AS89" s="0" t="s">
        <v>3665</v>
      </c>
      <c r="AT89" s="0" t="s">
        <v>122</v>
      </c>
      <c r="AU89" s="0" t="s">
        <v>228</v>
      </c>
      <c r="AV89" s="0" t="s">
        <v>4082</v>
      </c>
      <c r="AW89" s="0" t="s">
        <v>2715</v>
      </c>
      <c r="AX89" s="0" t="s">
        <v>2715</v>
      </c>
      <c r="AY89" s="0" t="s">
        <v>3667</v>
      </c>
      <c r="AZ89" s="0" t="s">
        <v>3594</v>
      </c>
      <c r="BA89" s="0" t="s">
        <v>3668</v>
      </c>
      <c r="BB89" s="0" t="s">
        <v>4080</v>
      </c>
      <c r="BC89" s="0" t="s">
        <v>3608</v>
      </c>
      <c r="BD89" s="0" t="s">
        <v>3674</v>
      </c>
      <c r="BE89" s="0" t="s">
        <v>228</v>
      </c>
      <c r="BF89" s="0" t="s">
        <v>228</v>
      </c>
      <c r="BG89" s="0" t="s">
        <v>228</v>
      </c>
      <c r="BH89" s="0" t="s">
        <v>228</v>
      </c>
      <c r="BI89" s="0" t="s">
        <v>228</v>
      </c>
      <c r="BJ89" s="0" t="s">
        <v>228</v>
      </c>
      <c r="BK89" s="0" t="s">
        <v>228</v>
      </c>
      <c r="BL89" s="0" t="s">
        <v>228</v>
      </c>
      <c r="BM89" s="0" t="s">
        <v>228</v>
      </c>
      <c r="BN89" s="0" t="s">
        <v>228</v>
      </c>
      <c r="BO89" s="0" t="s">
        <v>228</v>
      </c>
      <c r="BP89" s="0" t="s">
        <v>228</v>
      </c>
      <c r="BQ89" s="0" t="s">
        <v>228</v>
      </c>
      <c r="BR89" s="0" t="s">
        <v>228</v>
      </c>
      <c r="BS89" s="0" t="s">
        <v>228</v>
      </c>
      <c r="BT89" s="0" t="s">
        <v>228</v>
      </c>
      <c r="BU89" s="0" t="s">
        <v>228</v>
      </c>
      <c r="BV89" s="0" t="s">
        <v>228</v>
      </c>
      <c r="BW89" s="0" t="s">
        <v>228</v>
      </c>
      <c r="BX89" s="0" t="s">
        <v>228</v>
      </c>
      <c r="BY89" s="0" t="s">
        <v>228</v>
      </c>
      <c r="BZ89" s="0" t="s">
        <v>228</v>
      </c>
      <c r="CA89" s="0" t="s">
        <v>228</v>
      </c>
      <c r="CB89" s="0" t="s">
        <v>228</v>
      </c>
      <c r="CC89" s="0" t="s">
        <v>228</v>
      </c>
      <c r="CD89" s="0" t="s">
        <v>228</v>
      </c>
      <c r="CE89" s="0" t="s">
        <v>228</v>
      </c>
      <c r="CF89" s="0" t="s">
        <v>228</v>
      </c>
      <c r="CG89" s="0" t="s">
        <v>228</v>
      </c>
      <c r="CH89" s="0" t="s">
        <v>228</v>
      </c>
      <c r="CI89" s="0" t="s">
        <v>228</v>
      </c>
      <c r="CJ89" s="0" t="s">
        <v>228</v>
      </c>
      <c r="CK89" s="0" t="s">
        <v>228</v>
      </c>
      <c r="CL89" s="0" t="s">
        <v>228</v>
      </c>
      <c r="CM89" s="0" t="s">
        <v>228</v>
      </c>
      <c r="CN89" s="0" t="s">
        <v>228</v>
      </c>
      <c r="CO89" s="0" t="s">
        <v>228</v>
      </c>
      <c r="CP89" s="0" t="s">
        <v>228</v>
      </c>
      <c r="CQ89" s="0" t="s">
        <v>228</v>
      </c>
      <c r="CR89" s="0" t="s">
        <v>228</v>
      </c>
      <c r="CS89" s="0" t="s">
        <v>228</v>
      </c>
      <c r="CT89" s="0" t="s">
        <v>3568</v>
      </c>
      <c r="CU89" s="0" t="s">
        <v>3569</v>
      </c>
      <c r="CV89" s="0" t="s">
        <v>418</v>
      </c>
      <c r="CW89" s="0" t="s">
        <v>3602</v>
      </c>
      <c r="CX89" s="0" t="s">
        <v>3603</v>
      </c>
      <c r="CY89" s="0" t="s">
        <v>418</v>
      </c>
      <c r="CZ89" s="0" t="s">
        <v>504</v>
      </c>
      <c r="DA89" s="0" t="s">
        <v>3604</v>
      </c>
      <c r="DB89" s="0" t="s">
        <v>3602</v>
      </c>
      <c r="DC89" s="0" t="s">
        <v>362</v>
      </c>
      <c r="DD89" s="0" t="s">
        <v>3572</v>
      </c>
      <c r="DE89" s="0" t="s">
        <v>4083</v>
      </c>
    </row>
    <row customHeight="1" ht="11.25">
      <c r="A90" s="1353" t="s">
        <v>228</v>
      </c>
      <c r="B90" s="0" t="s">
        <v>228</v>
      </c>
      <c r="C90" s="0" t="s">
        <v>228</v>
      </c>
      <c r="D90" s="0" t="s">
        <v>228</v>
      </c>
      <c r="E90" s="0" t="s">
        <v>228</v>
      </c>
      <c r="F90" s="0" t="s">
        <v>228</v>
      </c>
      <c r="G90" s="0" t="s">
        <v>228</v>
      </c>
      <c r="H90" s="0" t="s">
        <v>228</v>
      </c>
      <c r="I90" s="0" t="s">
        <v>3555</v>
      </c>
      <c r="J90" s="0" t="s">
        <v>228</v>
      </c>
      <c r="K90" s="0" t="s">
        <v>228</v>
      </c>
      <c r="L90" s="0" t="s">
        <v>228</v>
      </c>
      <c r="M90" s="0" t="s">
        <v>228</v>
      </c>
      <c r="N90" s="0" t="s">
        <v>228</v>
      </c>
      <c r="O90" s="0" t="s">
        <v>228</v>
      </c>
      <c r="P90" s="0" t="s">
        <v>228</v>
      </c>
      <c r="Q90" s="0" t="s">
        <v>228</v>
      </c>
      <c r="R90" s="0" t="s">
        <v>4084</v>
      </c>
      <c r="S90" s="0" t="s">
        <v>228</v>
      </c>
      <c r="T90" s="0" t="s">
        <v>228</v>
      </c>
      <c r="U90" s="0" t="s">
        <v>101</v>
      </c>
      <c r="V90" s="0" t="s">
        <v>228</v>
      </c>
      <c r="W90" s="0" t="s">
        <v>228</v>
      </c>
      <c r="X90" s="0" t="s">
        <v>3661</v>
      </c>
      <c r="Y90" s="0" t="s">
        <v>228</v>
      </c>
      <c r="Z90" s="0" t="s">
        <v>151</v>
      </c>
      <c r="AA90" s="0" t="s">
        <v>151</v>
      </c>
      <c r="AB90" s="0" t="s">
        <v>160</v>
      </c>
      <c r="AC90" s="0" t="s">
        <v>2317</v>
      </c>
      <c r="AD90" s="0" t="s">
        <v>2317</v>
      </c>
      <c r="AE90" s="0" t="s">
        <v>2318</v>
      </c>
      <c r="AF90" s="0" t="s">
        <v>3755</v>
      </c>
      <c r="AG90" s="0" t="s">
        <v>3756</v>
      </c>
      <c r="AH90" s="0" t="s">
        <v>3651</v>
      </c>
      <c r="AI90" s="0" t="s">
        <v>3651</v>
      </c>
      <c r="AJ90" s="0" t="s">
        <v>228</v>
      </c>
      <c r="AK90" s="0" t="s">
        <v>228</v>
      </c>
      <c r="AL90" s="0" t="s">
        <v>228</v>
      </c>
      <c r="AM90" s="0" t="s">
        <v>228</v>
      </c>
      <c r="AN90" s="0" t="s">
        <v>228</v>
      </c>
      <c r="AO90" s="0" t="s">
        <v>228</v>
      </c>
      <c r="AP90" s="0" t="s">
        <v>228</v>
      </c>
      <c r="AQ90" s="0" t="s">
        <v>228</v>
      </c>
      <c r="AR90" s="0" t="s">
        <v>228</v>
      </c>
      <c r="AS90" s="0" t="s">
        <v>228</v>
      </c>
      <c r="AT90" s="0" t="s">
        <v>228</v>
      </c>
      <c r="AU90" s="0" t="s">
        <v>228</v>
      </c>
      <c r="AV90" s="0" t="s">
        <v>228</v>
      </c>
      <c r="AW90" s="0" t="s">
        <v>228</v>
      </c>
      <c r="AX90" s="0" t="s">
        <v>228</v>
      </c>
      <c r="AY90" s="0" t="s">
        <v>228</v>
      </c>
      <c r="AZ90" s="0" t="s">
        <v>228</v>
      </c>
      <c r="BA90" s="0" t="s">
        <v>228</v>
      </c>
      <c r="BB90" s="0" t="s">
        <v>228</v>
      </c>
      <c r="BC90" s="0" t="s">
        <v>228</v>
      </c>
      <c r="BD90" s="0" t="s">
        <v>228</v>
      </c>
      <c r="BE90" s="0" t="s">
        <v>3627</v>
      </c>
      <c r="BF90" s="0" t="s">
        <v>3619</v>
      </c>
      <c r="BG90" s="0" t="s">
        <v>111</v>
      </c>
      <c r="BH90" s="0" t="s">
        <v>3665</v>
      </c>
      <c r="BI90" s="0" t="s">
        <v>122</v>
      </c>
      <c r="BJ90" s="0" t="s">
        <v>228</v>
      </c>
      <c r="BK90" s="0" t="s">
        <v>3684</v>
      </c>
      <c r="BL90" s="0" t="s">
        <v>2317</v>
      </c>
      <c r="BM90" s="0" t="s">
        <v>2317</v>
      </c>
      <c r="BN90" s="0" t="s">
        <v>3740</v>
      </c>
      <c r="BO90" s="0" t="s">
        <v>3755</v>
      </c>
      <c r="BP90" s="0" t="s">
        <v>4085</v>
      </c>
      <c r="BQ90" s="0" t="s">
        <v>3651</v>
      </c>
      <c r="BR90" s="0" t="s">
        <v>3651</v>
      </c>
      <c r="BS90" s="0" t="s">
        <v>228</v>
      </c>
      <c r="BT90" s="0" t="s">
        <v>3727</v>
      </c>
      <c r="BU90" s="0" t="s">
        <v>4086</v>
      </c>
      <c r="BV90" s="0" t="s">
        <v>4086</v>
      </c>
      <c r="BW90" s="0" t="s">
        <v>3674</v>
      </c>
      <c r="BX90" s="0" t="s">
        <v>3674</v>
      </c>
      <c r="BY90" s="0" t="s">
        <v>3674</v>
      </c>
      <c r="BZ90" s="0" t="s">
        <v>3674</v>
      </c>
      <c r="CA90" s="0" t="s">
        <v>3674</v>
      </c>
      <c r="CB90" s="0" t="s">
        <v>228</v>
      </c>
      <c r="CC90" s="0" t="s">
        <v>228</v>
      </c>
      <c r="CD90" s="0" t="s">
        <v>228</v>
      </c>
      <c r="CE90" s="0" t="s">
        <v>228</v>
      </c>
      <c r="CF90" s="0" t="s">
        <v>228</v>
      </c>
      <c r="CG90" s="0" t="s">
        <v>3674</v>
      </c>
      <c r="CH90" s="0" t="s">
        <v>228</v>
      </c>
      <c r="CI90" s="0" t="s">
        <v>228</v>
      </c>
      <c r="CJ90" s="0" t="s">
        <v>228</v>
      </c>
      <c r="CK90" s="0" t="s">
        <v>228</v>
      </c>
      <c r="CL90" s="0" t="s">
        <v>228</v>
      </c>
      <c r="CM90" s="0" t="s">
        <v>4086</v>
      </c>
      <c r="CN90" s="0" t="s">
        <v>4086</v>
      </c>
      <c r="CO90" s="0" t="s">
        <v>228</v>
      </c>
      <c r="CP90" s="0" t="s">
        <v>228</v>
      </c>
      <c r="CQ90" s="0" t="s">
        <v>228</v>
      </c>
      <c r="CR90" s="0" t="s">
        <v>228</v>
      </c>
      <c r="CS90" s="0" t="s">
        <v>3743</v>
      </c>
      <c r="CT90" s="0" t="s">
        <v>3568</v>
      </c>
      <c r="CU90" s="0" t="s">
        <v>3569</v>
      </c>
      <c r="CV90" s="0" t="s">
        <v>418</v>
      </c>
      <c r="CW90" s="0" t="s">
        <v>3622</v>
      </c>
      <c r="CX90" s="0" t="s">
        <v>419</v>
      </c>
      <c r="CY90" s="0" t="s">
        <v>418</v>
      </c>
      <c r="CZ90" s="0" t="s">
        <v>3623</v>
      </c>
      <c r="DA90" s="0" t="s">
        <v>3624</v>
      </c>
      <c r="DB90" s="0" t="s">
        <v>3622</v>
      </c>
      <c r="DC90" s="0" t="s">
        <v>362</v>
      </c>
      <c r="DD90" s="0" t="s">
        <v>3572</v>
      </c>
      <c r="DE90" s="0" t="s">
        <v>4087</v>
      </c>
    </row>
    <row customHeight="1" ht="11.25">
      <c r="A91" s="1353" t="s">
        <v>228</v>
      </c>
      <c r="B91" s="0" t="s">
        <v>228</v>
      </c>
      <c r="C91" s="0" t="s">
        <v>228</v>
      </c>
      <c r="D91" s="0" t="s">
        <v>228</v>
      </c>
      <c r="E91" s="0" t="s">
        <v>228</v>
      </c>
      <c r="F91" s="0" t="s">
        <v>228</v>
      </c>
      <c r="G91" s="0" t="s">
        <v>228</v>
      </c>
      <c r="H91" s="0" t="s">
        <v>228</v>
      </c>
      <c r="I91" s="0" t="s">
        <v>3555</v>
      </c>
      <c r="J91" s="0" t="s">
        <v>228</v>
      </c>
      <c r="K91" s="0" t="s">
        <v>228</v>
      </c>
      <c r="L91" s="0" t="s">
        <v>228</v>
      </c>
      <c r="M91" s="0" t="s">
        <v>228</v>
      </c>
      <c r="N91" s="0" t="s">
        <v>228</v>
      </c>
      <c r="O91" s="0" t="s">
        <v>228</v>
      </c>
      <c r="P91" s="0" t="s">
        <v>228</v>
      </c>
      <c r="Q91" s="0" t="s">
        <v>228</v>
      </c>
      <c r="R91" s="0" t="s">
        <v>3648</v>
      </c>
      <c r="S91" s="0" t="s">
        <v>228</v>
      </c>
      <c r="T91" s="0" t="s">
        <v>228</v>
      </c>
      <c r="U91" s="0" t="s">
        <v>101</v>
      </c>
      <c r="V91" s="0" t="s">
        <v>228</v>
      </c>
      <c r="W91" s="0" t="s">
        <v>228</v>
      </c>
      <c r="X91" s="0" t="s">
        <v>3557</v>
      </c>
      <c r="Y91" s="0" t="s">
        <v>228</v>
      </c>
      <c r="Z91" s="0" t="s">
        <v>160</v>
      </c>
      <c r="AA91" s="0" t="s">
        <v>151</v>
      </c>
      <c r="AB91" s="0" t="s">
        <v>151</v>
      </c>
      <c r="AC91" s="0" t="s">
        <v>2317</v>
      </c>
      <c r="AD91" s="0" t="s">
        <v>2317</v>
      </c>
      <c r="AE91" s="0" t="s">
        <v>2318</v>
      </c>
      <c r="AF91" s="0" t="s">
        <v>4088</v>
      </c>
      <c r="AG91" s="0" t="s">
        <v>4089</v>
      </c>
      <c r="AH91" s="0" t="s">
        <v>4090</v>
      </c>
      <c r="AI91" s="0" t="s">
        <v>3626</v>
      </c>
      <c r="AJ91" s="0" t="s">
        <v>3579</v>
      </c>
      <c r="AK91" s="0" t="s">
        <v>3749</v>
      </c>
      <c r="AL91" s="0" t="s">
        <v>3581</v>
      </c>
      <c r="AM91" s="0" t="s">
        <v>3565</v>
      </c>
      <c r="AN91" s="0" t="s">
        <v>3620</v>
      </c>
      <c r="AO91" s="0" t="s">
        <v>3712</v>
      </c>
      <c r="AP91" s="0" t="s">
        <v>228</v>
      </c>
      <c r="AQ91" s="0" t="s">
        <v>228</v>
      </c>
      <c r="AR91" s="0" t="s">
        <v>228</v>
      </c>
      <c r="AS91" s="0" t="s">
        <v>228</v>
      </c>
      <c r="AT91" s="0" t="s">
        <v>228</v>
      </c>
      <c r="AU91" s="0" t="s">
        <v>228</v>
      </c>
      <c r="AV91" s="0" t="s">
        <v>228</v>
      </c>
      <c r="AW91" s="0" t="s">
        <v>228</v>
      </c>
      <c r="AX91" s="0" t="s">
        <v>228</v>
      </c>
      <c r="AY91" s="0" t="s">
        <v>228</v>
      </c>
      <c r="AZ91" s="0" t="s">
        <v>228</v>
      </c>
      <c r="BA91" s="0" t="s">
        <v>228</v>
      </c>
      <c r="BB91" s="0" t="s">
        <v>228</v>
      </c>
      <c r="BC91" s="0" t="s">
        <v>228</v>
      </c>
      <c r="BD91" s="0" t="s">
        <v>228</v>
      </c>
      <c r="BE91" s="0" t="s">
        <v>228</v>
      </c>
      <c r="BF91" s="0" t="s">
        <v>228</v>
      </c>
      <c r="BG91" s="0" t="s">
        <v>228</v>
      </c>
      <c r="BH91" s="0" t="s">
        <v>228</v>
      </c>
      <c r="BI91" s="0" t="s">
        <v>228</v>
      </c>
      <c r="BJ91" s="0" t="s">
        <v>228</v>
      </c>
      <c r="BK91" s="0" t="s">
        <v>228</v>
      </c>
      <c r="BL91" s="0" t="s">
        <v>228</v>
      </c>
      <c r="BM91" s="0" t="s">
        <v>228</v>
      </c>
      <c r="BN91" s="0" t="s">
        <v>228</v>
      </c>
      <c r="BO91" s="0" t="s">
        <v>228</v>
      </c>
      <c r="BP91" s="0" t="s">
        <v>228</v>
      </c>
      <c r="BQ91" s="0" t="s">
        <v>228</v>
      </c>
      <c r="BR91" s="0" t="s">
        <v>228</v>
      </c>
      <c r="BS91" s="0" t="s">
        <v>228</v>
      </c>
      <c r="BT91" s="0" t="s">
        <v>228</v>
      </c>
      <c r="BU91" s="0" t="s">
        <v>228</v>
      </c>
      <c r="BV91" s="0" t="s">
        <v>228</v>
      </c>
      <c r="BW91" s="0" t="s">
        <v>228</v>
      </c>
      <c r="BX91" s="0" t="s">
        <v>228</v>
      </c>
      <c r="BY91" s="0" t="s">
        <v>228</v>
      </c>
      <c r="BZ91" s="0" t="s">
        <v>228</v>
      </c>
      <c r="CA91" s="0" t="s">
        <v>228</v>
      </c>
      <c r="CB91" s="0" t="s">
        <v>228</v>
      </c>
      <c r="CC91" s="0" t="s">
        <v>228</v>
      </c>
      <c r="CD91" s="0" t="s">
        <v>228</v>
      </c>
      <c r="CE91" s="0" t="s">
        <v>228</v>
      </c>
      <c r="CF91" s="0" t="s">
        <v>228</v>
      </c>
      <c r="CG91" s="0" t="s">
        <v>228</v>
      </c>
      <c r="CH91" s="0" t="s">
        <v>228</v>
      </c>
      <c r="CI91" s="0" t="s">
        <v>228</v>
      </c>
      <c r="CJ91" s="0" t="s">
        <v>228</v>
      </c>
      <c r="CK91" s="0" t="s">
        <v>228</v>
      </c>
      <c r="CL91" s="0" t="s">
        <v>228</v>
      </c>
      <c r="CM91" s="0" t="s">
        <v>228</v>
      </c>
      <c r="CN91" s="0" t="s">
        <v>228</v>
      </c>
      <c r="CO91" s="0" t="s">
        <v>228</v>
      </c>
      <c r="CP91" s="0" t="s">
        <v>228</v>
      </c>
      <c r="CQ91" s="0" t="s">
        <v>228</v>
      </c>
      <c r="CR91" s="0" t="s">
        <v>228</v>
      </c>
      <c r="CS91" s="0" t="s">
        <v>228</v>
      </c>
      <c r="CT91" s="0" t="s">
        <v>3568</v>
      </c>
      <c r="CU91" s="0" t="s">
        <v>3569</v>
      </c>
      <c r="CV91" s="0" t="s">
        <v>418</v>
      </c>
      <c r="CW91" s="0" t="s">
        <v>3622</v>
      </c>
      <c r="CX91" s="0" t="s">
        <v>419</v>
      </c>
      <c r="CY91" s="0" t="s">
        <v>418</v>
      </c>
      <c r="CZ91" s="0" t="s">
        <v>3623</v>
      </c>
      <c r="DA91" s="0" t="s">
        <v>3624</v>
      </c>
      <c r="DB91" s="0" t="s">
        <v>3622</v>
      </c>
      <c r="DC91" s="0" t="s">
        <v>362</v>
      </c>
      <c r="DD91" s="0" t="s">
        <v>3572</v>
      </c>
      <c r="DE91" s="0" t="s">
        <v>4091</v>
      </c>
    </row>
    <row customHeight="1" ht="11.25">
      <c r="A92" s="1353" t="s">
        <v>228</v>
      </c>
      <c r="B92" s="0" t="s">
        <v>228</v>
      </c>
      <c r="C92" s="0" t="s">
        <v>228</v>
      </c>
      <c r="D92" s="0" t="s">
        <v>228</v>
      </c>
      <c r="E92" s="0" t="s">
        <v>228</v>
      </c>
      <c r="F92" s="0" t="s">
        <v>228</v>
      </c>
      <c r="G92" s="0" t="s">
        <v>228</v>
      </c>
      <c r="H92" s="0" t="s">
        <v>228</v>
      </c>
      <c r="I92" s="0" t="s">
        <v>3555</v>
      </c>
      <c r="J92" s="0" t="s">
        <v>228</v>
      </c>
      <c r="K92" s="0" t="s">
        <v>228</v>
      </c>
      <c r="L92" s="0" t="s">
        <v>228</v>
      </c>
      <c r="M92" s="0" t="s">
        <v>228</v>
      </c>
      <c r="N92" s="0" t="s">
        <v>228</v>
      </c>
      <c r="O92" s="0" t="s">
        <v>228</v>
      </c>
      <c r="P92" s="0" t="s">
        <v>228</v>
      </c>
      <c r="Q92" s="0" t="s">
        <v>228</v>
      </c>
      <c r="R92" s="0" t="s">
        <v>4092</v>
      </c>
      <c r="S92" s="0" t="s">
        <v>228</v>
      </c>
      <c r="T92" s="0" t="s">
        <v>228</v>
      </c>
      <c r="U92" s="0" t="s">
        <v>101</v>
      </c>
      <c r="V92" s="0" t="s">
        <v>228</v>
      </c>
      <c r="W92" s="0" t="s">
        <v>228</v>
      </c>
      <c r="X92" s="0" t="s">
        <v>3557</v>
      </c>
      <c r="Y92" s="0" t="s">
        <v>228</v>
      </c>
      <c r="Z92" s="0" t="s">
        <v>160</v>
      </c>
      <c r="AA92" s="0" t="s">
        <v>151</v>
      </c>
      <c r="AB92" s="0" t="s">
        <v>151</v>
      </c>
      <c r="AC92" s="0" t="s">
        <v>2317</v>
      </c>
      <c r="AD92" s="0" t="s">
        <v>2317</v>
      </c>
      <c r="AE92" s="0" t="s">
        <v>2318</v>
      </c>
      <c r="AF92" s="0" t="s">
        <v>3768</v>
      </c>
      <c r="AG92" s="0" t="s">
        <v>3769</v>
      </c>
      <c r="AH92" s="0" t="s">
        <v>4093</v>
      </c>
      <c r="AI92" s="0" t="s">
        <v>4094</v>
      </c>
      <c r="AJ92" s="0" t="s">
        <v>3652</v>
      </c>
      <c r="AK92" s="0" t="s">
        <v>3749</v>
      </c>
      <c r="AL92" s="0" t="s">
        <v>3581</v>
      </c>
      <c r="AM92" s="0" t="s">
        <v>3565</v>
      </c>
      <c r="AN92" s="0" t="s">
        <v>3620</v>
      </c>
      <c r="AO92" s="0" t="s">
        <v>3772</v>
      </c>
      <c r="AP92" s="0" t="s">
        <v>228</v>
      </c>
      <c r="AQ92" s="0" t="s">
        <v>228</v>
      </c>
      <c r="AR92" s="0" t="s">
        <v>228</v>
      </c>
      <c r="AS92" s="0" t="s">
        <v>228</v>
      </c>
      <c r="AT92" s="0" t="s">
        <v>228</v>
      </c>
      <c r="AU92" s="0" t="s">
        <v>228</v>
      </c>
      <c r="AV92" s="0" t="s">
        <v>228</v>
      </c>
      <c r="AW92" s="0" t="s">
        <v>228</v>
      </c>
      <c r="AX92" s="0" t="s">
        <v>228</v>
      </c>
      <c r="AY92" s="0" t="s">
        <v>228</v>
      </c>
      <c r="AZ92" s="0" t="s">
        <v>228</v>
      </c>
      <c r="BA92" s="0" t="s">
        <v>228</v>
      </c>
      <c r="BB92" s="0" t="s">
        <v>228</v>
      </c>
      <c r="BC92" s="0" t="s">
        <v>228</v>
      </c>
      <c r="BD92" s="0" t="s">
        <v>228</v>
      </c>
      <c r="BE92" s="0" t="s">
        <v>228</v>
      </c>
      <c r="BF92" s="0" t="s">
        <v>228</v>
      </c>
      <c r="BG92" s="0" t="s">
        <v>228</v>
      </c>
      <c r="BH92" s="0" t="s">
        <v>228</v>
      </c>
      <c r="BI92" s="0" t="s">
        <v>228</v>
      </c>
      <c r="BJ92" s="0" t="s">
        <v>228</v>
      </c>
      <c r="BK92" s="0" t="s">
        <v>228</v>
      </c>
      <c r="BL92" s="0" t="s">
        <v>228</v>
      </c>
      <c r="BM92" s="0" t="s">
        <v>228</v>
      </c>
      <c r="BN92" s="0" t="s">
        <v>228</v>
      </c>
      <c r="BO92" s="0" t="s">
        <v>228</v>
      </c>
      <c r="BP92" s="0" t="s">
        <v>228</v>
      </c>
      <c r="BQ92" s="0" t="s">
        <v>228</v>
      </c>
      <c r="BR92" s="0" t="s">
        <v>228</v>
      </c>
      <c r="BS92" s="0" t="s">
        <v>228</v>
      </c>
      <c r="BT92" s="0" t="s">
        <v>228</v>
      </c>
      <c r="BU92" s="0" t="s">
        <v>228</v>
      </c>
      <c r="BV92" s="0" t="s">
        <v>228</v>
      </c>
      <c r="BW92" s="0" t="s">
        <v>228</v>
      </c>
      <c r="BX92" s="0" t="s">
        <v>228</v>
      </c>
      <c r="BY92" s="0" t="s">
        <v>228</v>
      </c>
      <c r="BZ92" s="0" t="s">
        <v>228</v>
      </c>
      <c r="CA92" s="0" t="s">
        <v>228</v>
      </c>
      <c r="CB92" s="0" t="s">
        <v>228</v>
      </c>
      <c r="CC92" s="0" t="s">
        <v>228</v>
      </c>
      <c r="CD92" s="0" t="s">
        <v>228</v>
      </c>
      <c r="CE92" s="0" t="s">
        <v>228</v>
      </c>
      <c r="CF92" s="0" t="s">
        <v>228</v>
      </c>
      <c r="CG92" s="0" t="s">
        <v>228</v>
      </c>
      <c r="CH92" s="0" t="s">
        <v>228</v>
      </c>
      <c r="CI92" s="0" t="s">
        <v>228</v>
      </c>
      <c r="CJ92" s="0" t="s">
        <v>228</v>
      </c>
      <c r="CK92" s="0" t="s">
        <v>228</v>
      </c>
      <c r="CL92" s="0" t="s">
        <v>228</v>
      </c>
      <c r="CM92" s="0" t="s">
        <v>228</v>
      </c>
      <c r="CN92" s="0" t="s">
        <v>228</v>
      </c>
      <c r="CO92" s="0" t="s">
        <v>228</v>
      </c>
      <c r="CP92" s="0" t="s">
        <v>228</v>
      </c>
      <c r="CQ92" s="0" t="s">
        <v>228</v>
      </c>
      <c r="CR92" s="0" t="s">
        <v>228</v>
      </c>
      <c r="CS92" s="0" t="s">
        <v>228</v>
      </c>
      <c r="CT92" s="0" t="s">
        <v>3568</v>
      </c>
      <c r="CU92" s="0" t="s">
        <v>3569</v>
      </c>
      <c r="CV92" s="0" t="s">
        <v>418</v>
      </c>
      <c r="CW92" s="0" t="s">
        <v>3622</v>
      </c>
      <c r="CX92" s="0" t="s">
        <v>419</v>
      </c>
      <c r="CY92" s="0" t="s">
        <v>418</v>
      </c>
      <c r="CZ92" s="0" t="s">
        <v>3623</v>
      </c>
      <c r="DA92" s="0" t="s">
        <v>3624</v>
      </c>
      <c r="DB92" s="0" t="s">
        <v>3622</v>
      </c>
      <c r="DC92" s="0" t="s">
        <v>362</v>
      </c>
      <c r="DD92" s="0" t="s">
        <v>3572</v>
      </c>
      <c r="DE92" s="0" t="s">
        <v>4095</v>
      </c>
    </row>
    <row customHeight="1" ht="11.25">
      <c r="A93" s="1353" t="s">
        <v>228</v>
      </c>
      <c r="B93" s="0" t="s">
        <v>228</v>
      </c>
      <c r="C93" s="0" t="s">
        <v>228</v>
      </c>
      <c r="D93" s="0" t="s">
        <v>228</v>
      </c>
      <c r="E93" s="0" t="s">
        <v>228</v>
      </c>
      <c r="F93" s="0" t="s">
        <v>228</v>
      </c>
      <c r="G93" s="0" t="s">
        <v>228</v>
      </c>
      <c r="H93" s="0" t="s">
        <v>228</v>
      </c>
      <c r="I93" s="0" t="s">
        <v>3555</v>
      </c>
      <c r="J93" s="0" t="s">
        <v>228</v>
      </c>
      <c r="K93" s="0" t="s">
        <v>228</v>
      </c>
      <c r="L93" s="0" t="s">
        <v>228</v>
      </c>
      <c r="M93" s="0" t="s">
        <v>228</v>
      </c>
      <c r="N93" s="0" t="s">
        <v>228</v>
      </c>
      <c r="O93" s="0" t="s">
        <v>228</v>
      </c>
      <c r="P93" s="0" t="s">
        <v>228</v>
      </c>
      <c r="Q93" s="0" t="s">
        <v>228</v>
      </c>
      <c r="R93" s="0" t="s">
        <v>3648</v>
      </c>
      <c r="S93" s="0" t="s">
        <v>228</v>
      </c>
      <c r="T93" s="0" t="s">
        <v>228</v>
      </c>
      <c r="U93" s="0" t="s">
        <v>101</v>
      </c>
      <c r="V93" s="0" t="s">
        <v>228</v>
      </c>
      <c r="W93" s="0" t="s">
        <v>228</v>
      </c>
      <c r="X93" s="0" t="s">
        <v>3557</v>
      </c>
      <c r="Y93" s="0" t="s">
        <v>228</v>
      </c>
      <c r="Z93" s="0" t="s">
        <v>160</v>
      </c>
      <c r="AA93" s="0" t="s">
        <v>151</v>
      </c>
      <c r="AB93" s="0" t="s">
        <v>151</v>
      </c>
      <c r="AC93" s="0" t="s">
        <v>2317</v>
      </c>
      <c r="AD93" s="0" t="s">
        <v>2317</v>
      </c>
      <c r="AE93" s="0" t="s">
        <v>2318</v>
      </c>
      <c r="AF93" s="0" t="s">
        <v>3768</v>
      </c>
      <c r="AG93" s="0" t="s">
        <v>3769</v>
      </c>
      <c r="AH93" s="0" t="s">
        <v>3747</v>
      </c>
      <c r="AI93" s="0" t="s">
        <v>4096</v>
      </c>
      <c r="AJ93" s="0" t="s">
        <v>3652</v>
      </c>
      <c r="AK93" s="0" t="s">
        <v>3749</v>
      </c>
      <c r="AL93" s="0" t="s">
        <v>3581</v>
      </c>
      <c r="AM93" s="0" t="s">
        <v>3565</v>
      </c>
      <c r="AN93" s="0" t="s">
        <v>3620</v>
      </c>
      <c r="AO93" s="0" t="s">
        <v>3757</v>
      </c>
      <c r="AP93" s="0" t="s">
        <v>228</v>
      </c>
      <c r="AQ93" s="0" t="s">
        <v>228</v>
      </c>
      <c r="AR93" s="0" t="s">
        <v>228</v>
      </c>
      <c r="AS93" s="0" t="s">
        <v>228</v>
      </c>
      <c r="AT93" s="0" t="s">
        <v>228</v>
      </c>
      <c r="AU93" s="0" t="s">
        <v>228</v>
      </c>
      <c r="AV93" s="0" t="s">
        <v>228</v>
      </c>
      <c r="AW93" s="0" t="s">
        <v>228</v>
      </c>
      <c r="AX93" s="0" t="s">
        <v>228</v>
      </c>
      <c r="AY93" s="0" t="s">
        <v>228</v>
      </c>
      <c r="AZ93" s="0" t="s">
        <v>228</v>
      </c>
      <c r="BA93" s="0" t="s">
        <v>228</v>
      </c>
      <c r="BB93" s="0" t="s">
        <v>228</v>
      </c>
      <c r="BC93" s="0" t="s">
        <v>228</v>
      </c>
      <c r="BD93" s="0" t="s">
        <v>228</v>
      </c>
      <c r="BE93" s="0" t="s">
        <v>228</v>
      </c>
      <c r="BF93" s="0" t="s">
        <v>228</v>
      </c>
      <c r="BG93" s="0" t="s">
        <v>228</v>
      </c>
      <c r="BH93" s="0" t="s">
        <v>228</v>
      </c>
      <c r="BI93" s="0" t="s">
        <v>228</v>
      </c>
      <c r="BJ93" s="0" t="s">
        <v>228</v>
      </c>
      <c r="BK93" s="0" t="s">
        <v>228</v>
      </c>
      <c r="BL93" s="0" t="s">
        <v>228</v>
      </c>
      <c r="BM93" s="0" t="s">
        <v>228</v>
      </c>
      <c r="BN93" s="0" t="s">
        <v>228</v>
      </c>
      <c r="BO93" s="0" t="s">
        <v>228</v>
      </c>
      <c r="BP93" s="0" t="s">
        <v>228</v>
      </c>
      <c r="BQ93" s="0" t="s">
        <v>228</v>
      </c>
      <c r="BR93" s="0" t="s">
        <v>228</v>
      </c>
      <c r="BS93" s="0" t="s">
        <v>228</v>
      </c>
      <c r="BT93" s="0" t="s">
        <v>228</v>
      </c>
      <c r="BU93" s="0" t="s">
        <v>228</v>
      </c>
      <c r="BV93" s="0" t="s">
        <v>228</v>
      </c>
      <c r="BW93" s="0" t="s">
        <v>228</v>
      </c>
      <c r="BX93" s="0" t="s">
        <v>228</v>
      </c>
      <c r="BY93" s="0" t="s">
        <v>228</v>
      </c>
      <c r="BZ93" s="0" t="s">
        <v>228</v>
      </c>
      <c r="CA93" s="0" t="s">
        <v>228</v>
      </c>
      <c r="CB93" s="0" t="s">
        <v>228</v>
      </c>
      <c r="CC93" s="0" t="s">
        <v>228</v>
      </c>
      <c r="CD93" s="0" t="s">
        <v>228</v>
      </c>
      <c r="CE93" s="0" t="s">
        <v>228</v>
      </c>
      <c r="CF93" s="0" t="s">
        <v>228</v>
      </c>
      <c r="CG93" s="0" t="s">
        <v>228</v>
      </c>
      <c r="CH93" s="0" t="s">
        <v>228</v>
      </c>
      <c r="CI93" s="0" t="s">
        <v>228</v>
      </c>
      <c r="CJ93" s="0" t="s">
        <v>228</v>
      </c>
      <c r="CK93" s="0" t="s">
        <v>228</v>
      </c>
      <c r="CL93" s="0" t="s">
        <v>228</v>
      </c>
      <c r="CM93" s="0" t="s">
        <v>228</v>
      </c>
      <c r="CN93" s="0" t="s">
        <v>228</v>
      </c>
      <c r="CO93" s="0" t="s">
        <v>228</v>
      </c>
      <c r="CP93" s="0" t="s">
        <v>228</v>
      </c>
      <c r="CQ93" s="0" t="s">
        <v>228</v>
      </c>
      <c r="CR93" s="0" t="s">
        <v>228</v>
      </c>
      <c r="CS93" s="0" t="s">
        <v>228</v>
      </c>
      <c r="CT93" s="0" t="s">
        <v>3568</v>
      </c>
      <c r="CU93" s="0" t="s">
        <v>3569</v>
      </c>
      <c r="CV93" s="0" t="s">
        <v>418</v>
      </c>
      <c r="CW93" s="0" t="s">
        <v>3622</v>
      </c>
      <c r="CX93" s="0" t="s">
        <v>419</v>
      </c>
      <c r="CY93" s="0" t="s">
        <v>418</v>
      </c>
      <c r="CZ93" s="0" t="s">
        <v>3623</v>
      </c>
      <c r="DA93" s="0" t="s">
        <v>3624</v>
      </c>
      <c r="DB93" s="0" t="s">
        <v>3622</v>
      </c>
      <c r="DC93" s="0" t="s">
        <v>362</v>
      </c>
      <c r="DD93" s="0" t="s">
        <v>3572</v>
      </c>
      <c r="DE93" s="0" t="s">
        <v>4097</v>
      </c>
    </row>
    <row customHeight="1" ht="11.25">
      <c r="A94" s="1353" t="s">
        <v>228</v>
      </c>
      <c r="B94" s="0" t="s">
        <v>228</v>
      </c>
      <c r="C94" s="0" t="s">
        <v>228</v>
      </c>
      <c r="D94" s="0" t="s">
        <v>228</v>
      </c>
      <c r="E94" s="0" t="s">
        <v>228</v>
      </c>
      <c r="F94" s="0" t="s">
        <v>228</v>
      </c>
      <c r="G94" s="0" t="s">
        <v>228</v>
      </c>
      <c r="H94" s="0" t="s">
        <v>228</v>
      </c>
      <c r="I94" s="0" t="s">
        <v>3555</v>
      </c>
      <c r="J94" s="0" t="s">
        <v>228</v>
      </c>
      <c r="K94" s="0" t="s">
        <v>228</v>
      </c>
      <c r="L94" s="0" t="s">
        <v>228</v>
      </c>
      <c r="M94" s="0" t="s">
        <v>228</v>
      </c>
      <c r="N94" s="0" t="s">
        <v>228</v>
      </c>
      <c r="O94" s="0" t="s">
        <v>228</v>
      </c>
      <c r="P94" s="0" t="s">
        <v>228</v>
      </c>
      <c r="Q94" s="0" t="s">
        <v>228</v>
      </c>
      <c r="R94" s="0" t="s">
        <v>4098</v>
      </c>
      <c r="S94" s="0" t="s">
        <v>228</v>
      </c>
      <c r="T94" s="0" t="s">
        <v>228</v>
      </c>
      <c r="U94" s="0" t="s">
        <v>101</v>
      </c>
      <c r="V94" s="0" t="s">
        <v>228</v>
      </c>
      <c r="W94" s="0" t="s">
        <v>228</v>
      </c>
      <c r="X94" s="0" t="s">
        <v>3557</v>
      </c>
      <c r="Y94" s="0" t="s">
        <v>228</v>
      </c>
      <c r="Z94" s="0" t="s">
        <v>160</v>
      </c>
      <c r="AA94" s="0" t="s">
        <v>151</v>
      </c>
      <c r="AB94" s="0" t="s">
        <v>151</v>
      </c>
      <c r="AC94" s="0" t="s">
        <v>2715</v>
      </c>
      <c r="AD94" s="0" t="s">
        <v>2715</v>
      </c>
      <c r="AE94" s="0" t="s">
        <v>2716</v>
      </c>
      <c r="AF94" s="0" t="s">
        <v>3594</v>
      </c>
      <c r="AG94" s="0" t="s">
        <v>3595</v>
      </c>
      <c r="AH94" s="0" t="s">
        <v>3642</v>
      </c>
      <c r="AI94" s="0" t="s">
        <v>3643</v>
      </c>
      <c r="AJ94" s="0" t="s">
        <v>4099</v>
      </c>
      <c r="AK94" s="0" t="s">
        <v>4100</v>
      </c>
      <c r="AL94" s="0" t="s">
        <v>3681</v>
      </c>
      <c r="AM94" s="0" t="s">
        <v>3565</v>
      </c>
      <c r="AN94" s="0" t="s">
        <v>3600</v>
      </c>
      <c r="AO94" s="0" t="s">
        <v>4101</v>
      </c>
      <c r="AP94" s="0" t="s">
        <v>228</v>
      </c>
      <c r="AQ94" s="0" t="s">
        <v>228</v>
      </c>
      <c r="AR94" s="0" t="s">
        <v>228</v>
      </c>
      <c r="AS94" s="0" t="s">
        <v>228</v>
      </c>
      <c r="AT94" s="0" t="s">
        <v>228</v>
      </c>
      <c r="AU94" s="0" t="s">
        <v>228</v>
      </c>
      <c r="AV94" s="0" t="s">
        <v>228</v>
      </c>
      <c r="AW94" s="0" t="s">
        <v>228</v>
      </c>
      <c r="AX94" s="0" t="s">
        <v>228</v>
      </c>
      <c r="AY94" s="0" t="s">
        <v>228</v>
      </c>
      <c r="AZ94" s="0" t="s">
        <v>228</v>
      </c>
      <c r="BA94" s="0" t="s">
        <v>228</v>
      </c>
      <c r="BB94" s="0" t="s">
        <v>228</v>
      </c>
      <c r="BC94" s="0" t="s">
        <v>228</v>
      </c>
      <c r="BD94" s="0" t="s">
        <v>228</v>
      </c>
      <c r="BE94" s="0" t="s">
        <v>228</v>
      </c>
      <c r="BF94" s="0" t="s">
        <v>228</v>
      </c>
      <c r="BG94" s="0" t="s">
        <v>228</v>
      </c>
      <c r="BH94" s="0" t="s">
        <v>228</v>
      </c>
      <c r="BI94" s="0" t="s">
        <v>228</v>
      </c>
      <c r="BJ94" s="0" t="s">
        <v>228</v>
      </c>
      <c r="BK94" s="0" t="s">
        <v>228</v>
      </c>
      <c r="BL94" s="0" t="s">
        <v>228</v>
      </c>
      <c r="BM94" s="0" t="s">
        <v>228</v>
      </c>
      <c r="BN94" s="0" t="s">
        <v>228</v>
      </c>
      <c r="BO94" s="0" t="s">
        <v>228</v>
      </c>
      <c r="BP94" s="0" t="s">
        <v>228</v>
      </c>
      <c r="BQ94" s="0" t="s">
        <v>228</v>
      </c>
      <c r="BR94" s="0" t="s">
        <v>228</v>
      </c>
      <c r="BS94" s="0" t="s">
        <v>228</v>
      </c>
      <c r="BT94" s="0" t="s">
        <v>228</v>
      </c>
      <c r="BU94" s="0" t="s">
        <v>228</v>
      </c>
      <c r="BV94" s="0" t="s">
        <v>228</v>
      </c>
      <c r="BW94" s="0" t="s">
        <v>228</v>
      </c>
      <c r="BX94" s="0" t="s">
        <v>228</v>
      </c>
      <c r="BY94" s="0" t="s">
        <v>228</v>
      </c>
      <c r="BZ94" s="0" t="s">
        <v>228</v>
      </c>
      <c r="CA94" s="0" t="s">
        <v>228</v>
      </c>
      <c r="CB94" s="0" t="s">
        <v>228</v>
      </c>
      <c r="CC94" s="0" t="s">
        <v>228</v>
      </c>
      <c r="CD94" s="0" t="s">
        <v>228</v>
      </c>
      <c r="CE94" s="0" t="s">
        <v>228</v>
      </c>
      <c r="CF94" s="0" t="s">
        <v>228</v>
      </c>
      <c r="CG94" s="0" t="s">
        <v>228</v>
      </c>
      <c r="CH94" s="0" t="s">
        <v>228</v>
      </c>
      <c r="CI94" s="0" t="s">
        <v>228</v>
      </c>
      <c r="CJ94" s="0" t="s">
        <v>228</v>
      </c>
      <c r="CK94" s="0" t="s">
        <v>228</v>
      </c>
      <c r="CL94" s="0" t="s">
        <v>228</v>
      </c>
      <c r="CM94" s="0" t="s">
        <v>228</v>
      </c>
      <c r="CN94" s="0" t="s">
        <v>228</v>
      </c>
      <c r="CO94" s="0" t="s">
        <v>228</v>
      </c>
      <c r="CP94" s="0" t="s">
        <v>228</v>
      </c>
      <c r="CQ94" s="0" t="s">
        <v>228</v>
      </c>
      <c r="CR94" s="0" t="s">
        <v>228</v>
      </c>
      <c r="CS94" s="0" t="s">
        <v>228</v>
      </c>
      <c r="CT94" s="0" t="s">
        <v>3568</v>
      </c>
      <c r="CU94" s="0" t="s">
        <v>3569</v>
      </c>
      <c r="CV94" s="0" t="s">
        <v>418</v>
      </c>
      <c r="CW94" s="0" t="s">
        <v>3602</v>
      </c>
      <c r="CX94" s="0" t="s">
        <v>3603</v>
      </c>
      <c r="CY94" s="0" t="s">
        <v>418</v>
      </c>
      <c r="CZ94" s="0" t="s">
        <v>504</v>
      </c>
      <c r="DA94" s="0" t="s">
        <v>3604</v>
      </c>
      <c r="DB94" s="0" t="s">
        <v>3602</v>
      </c>
      <c r="DC94" s="0" t="s">
        <v>362</v>
      </c>
      <c r="DD94" s="0" t="s">
        <v>3572</v>
      </c>
      <c r="DE94" s="0" t="s">
        <v>3647</v>
      </c>
    </row>
    <row customHeight="1" ht="11.25">
      <c r="A95" s="1353" t="s">
        <v>228</v>
      </c>
      <c r="B95" s="0" t="s">
        <v>228</v>
      </c>
      <c r="C95" s="0" t="s">
        <v>228</v>
      </c>
      <c r="D95" s="0" t="s">
        <v>228</v>
      </c>
      <c r="E95" s="0" t="s">
        <v>228</v>
      </c>
      <c r="F95" s="0" t="s">
        <v>228</v>
      </c>
      <c r="G95" s="0" t="s">
        <v>228</v>
      </c>
      <c r="H95" s="0" t="s">
        <v>228</v>
      </c>
      <c r="I95" s="0" t="s">
        <v>3555</v>
      </c>
      <c r="J95" s="0" t="s">
        <v>228</v>
      </c>
      <c r="K95" s="0" t="s">
        <v>228</v>
      </c>
      <c r="L95" s="0" t="s">
        <v>228</v>
      </c>
      <c r="M95" s="0" t="s">
        <v>228</v>
      </c>
      <c r="N95" s="0" t="s">
        <v>228</v>
      </c>
      <c r="O95" s="0" t="s">
        <v>228</v>
      </c>
      <c r="P95" s="0" t="s">
        <v>228</v>
      </c>
      <c r="Q95" s="0" t="s">
        <v>228</v>
      </c>
      <c r="R95" s="0" t="s">
        <v>4102</v>
      </c>
      <c r="S95" s="0" t="s">
        <v>228</v>
      </c>
      <c r="T95" s="0" t="s">
        <v>228</v>
      </c>
      <c r="U95" s="0" t="s">
        <v>101</v>
      </c>
      <c r="V95" s="0" t="s">
        <v>228</v>
      </c>
      <c r="W95" s="0" t="s">
        <v>228</v>
      </c>
      <c r="X95" s="0" t="s">
        <v>3661</v>
      </c>
      <c r="Y95" s="0" t="s">
        <v>228</v>
      </c>
      <c r="Z95" s="0" t="s">
        <v>151</v>
      </c>
      <c r="AA95" s="0" t="s">
        <v>151</v>
      </c>
      <c r="AB95" s="0" t="s">
        <v>160</v>
      </c>
      <c r="AC95" s="0" t="s">
        <v>2317</v>
      </c>
      <c r="AD95" s="0" t="s">
        <v>2317</v>
      </c>
      <c r="AE95" s="0" t="s">
        <v>2318</v>
      </c>
      <c r="AF95" s="0" t="s">
        <v>3768</v>
      </c>
      <c r="AG95" s="0" t="s">
        <v>3769</v>
      </c>
      <c r="AH95" s="0" t="s">
        <v>3651</v>
      </c>
      <c r="AI95" s="0" t="s">
        <v>3651</v>
      </c>
      <c r="AJ95" s="0" t="s">
        <v>228</v>
      </c>
      <c r="AK95" s="0" t="s">
        <v>228</v>
      </c>
      <c r="AL95" s="0" t="s">
        <v>228</v>
      </c>
      <c r="AM95" s="0" t="s">
        <v>228</v>
      </c>
      <c r="AN95" s="0" t="s">
        <v>228</v>
      </c>
      <c r="AO95" s="0" t="s">
        <v>228</v>
      </c>
      <c r="AP95" s="0" t="s">
        <v>228</v>
      </c>
      <c r="AQ95" s="0" t="s">
        <v>228</v>
      </c>
      <c r="AR95" s="0" t="s">
        <v>228</v>
      </c>
      <c r="AS95" s="0" t="s">
        <v>228</v>
      </c>
      <c r="AT95" s="0" t="s">
        <v>228</v>
      </c>
      <c r="AU95" s="0" t="s">
        <v>228</v>
      </c>
      <c r="AV95" s="0" t="s">
        <v>228</v>
      </c>
      <c r="AW95" s="0" t="s">
        <v>228</v>
      </c>
      <c r="AX95" s="0" t="s">
        <v>228</v>
      </c>
      <c r="AY95" s="0" t="s">
        <v>228</v>
      </c>
      <c r="AZ95" s="0" t="s">
        <v>228</v>
      </c>
      <c r="BA95" s="0" t="s">
        <v>228</v>
      </c>
      <c r="BB95" s="0" t="s">
        <v>228</v>
      </c>
      <c r="BC95" s="0" t="s">
        <v>228</v>
      </c>
      <c r="BD95" s="0" t="s">
        <v>228</v>
      </c>
      <c r="BE95" s="0" t="s">
        <v>3652</v>
      </c>
      <c r="BF95" s="0" t="s">
        <v>3749</v>
      </c>
      <c r="BG95" s="0" t="s">
        <v>111</v>
      </c>
      <c r="BH95" s="0" t="s">
        <v>3665</v>
      </c>
      <c r="BI95" s="0" t="s">
        <v>122</v>
      </c>
      <c r="BJ95" s="0" t="s">
        <v>228</v>
      </c>
      <c r="BK95" s="0" t="s">
        <v>3684</v>
      </c>
      <c r="BL95" s="0" t="s">
        <v>2317</v>
      </c>
      <c r="BM95" s="0" t="s">
        <v>2317</v>
      </c>
      <c r="BN95" s="0" t="s">
        <v>3740</v>
      </c>
      <c r="BO95" s="0" t="s">
        <v>3768</v>
      </c>
      <c r="BP95" s="0" t="s">
        <v>4103</v>
      </c>
      <c r="BQ95" s="0" t="s">
        <v>3651</v>
      </c>
      <c r="BR95" s="0" t="s">
        <v>3651</v>
      </c>
      <c r="BS95" s="0" t="s">
        <v>228</v>
      </c>
      <c r="BT95" s="0" t="s">
        <v>3727</v>
      </c>
      <c r="BU95" s="0" t="s">
        <v>4104</v>
      </c>
      <c r="BV95" s="0" t="s">
        <v>4104</v>
      </c>
      <c r="BW95" s="0" t="s">
        <v>3674</v>
      </c>
      <c r="BX95" s="0" t="s">
        <v>3674</v>
      </c>
      <c r="BY95" s="0" t="s">
        <v>3674</v>
      </c>
      <c r="BZ95" s="0" t="s">
        <v>3674</v>
      </c>
      <c r="CA95" s="0" t="s">
        <v>3674</v>
      </c>
      <c r="CB95" s="0" t="s">
        <v>228</v>
      </c>
      <c r="CC95" s="0" t="s">
        <v>228</v>
      </c>
      <c r="CD95" s="0" t="s">
        <v>228</v>
      </c>
      <c r="CE95" s="0" t="s">
        <v>228</v>
      </c>
      <c r="CF95" s="0" t="s">
        <v>228</v>
      </c>
      <c r="CG95" s="0" t="s">
        <v>3674</v>
      </c>
      <c r="CH95" s="0" t="s">
        <v>228</v>
      </c>
      <c r="CI95" s="0" t="s">
        <v>228</v>
      </c>
      <c r="CJ95" s="0" t="s">
        <v>228</v>
      </c>
      <c r="CK95" s="0" t="s">
        <v>228</v>
      </c>
      <c r="CL95" s="0" t="s">
        <v>228</v>
      </c>
      <c r="CM95" s="0" t="s">
        <v>4104</v>
      </c>
      <c r="CN95" s="0" t="s">
        <v>4104</v>
      </c>
      <c r="CO95" s="0" t="s">
        <v>228</v>
      </c>
      <c r="CP95" s="0" t="s">
        <v>228</v>
      </c>
      <c r="CQ95" s="0" t="s">
        <v>228</v>
      </c>
      <c r="CR95" s="0" t="s">
        <v>228</v>
      </c>
      <c r="CS95" s="0" t="s">
        <v>3743</v>
      </c>
      <c r="CT95" s="0" t="s">
        <v>3568</v>
      </c>
      <c r="CU95" s="0" t="s">
        <v>3569</v>
      </c>
      <c r="CV95" s="0" t="s">
        <v>418</v>
      </c>
      <c r="CW95" s="0" t="s">
        <v>3622</v>
      </c>
      <c r="CX95" s="0" t="s">
        <v>419</v>
      </c>
      <c r="CY95" s="0" t="s">
        <v>418</v>
      </c>
      <c r="CZ95" s="0" t="s">
        <v>3623</v>
      </c>
      <c r="DA95" s="0" t="s">
        <v>3624</v>
      </c>
      <c r="DB95" s="0" t="s">
        <v>3622</v>
      </c>
      <c r="DC95" s="0" t="s">
        <v>362</v>
      </c>
      <c r="DD95" s="0" t="s">
        <v>3572</v>
      </c>
      <c r="DE95" s="0" t="s">
        <v>4105</v>
      </c>
    </row>
    <row customHeight="1" ht="11.25">
      <c r="A96" s="1353" t="s">
        <v>228</v>
      </c>
      <c r="B96" s="0" t="s">
        <v>228</v>
      </c>
      <c r="C96" s="0" t="s">
        <v>228</v>
      </c>
      <c r="D96" s="0" t="s">
        <v>228</v>
      </c>
      <c r="E96" s="0" t="s">
        <v>228</v>
      </c>
      <c r="F96" s="0" t="s">
        <v>228</v>
      </c>
      <c r="G96" s="0" t="s">
        <v>228</v>
      </c>
      <c r="H96" s="0" t="s">
        <v>228</v>
      </c>
      <c r="I96" s="0" t="s">
        <v>3555</v>
      </c>
      <c r="J96" s="0" t="s">
        <v>228</v>
      </c>
      <c r="K96" s="0" t="s">
        <v>228</v>
      </c>
      <c r="L96" s="0" t="s">
        <v>228</v>
      </c>
      <c r="M96" s="0" t="s">
        <v>228</v>
      </c>
      <c r="N96" s="0" t="s">
        <v>228</v>
      </c>
      <c r="O96" s="0" t="s">
        <v>228</v>
      </c>
      <c r="P96" s="0" t="s">
        <v>228</v>
      </c>
      <c r="Q96" s="0" t="s">
        <v>228</v>
      </c>
      <c r="R96" s="0" t="s">
        <v>4106</v>
      </c>
      <c r="S96" s="0" t="s">
        <v>228</v>
      </c>
      <c r="T96" s="0" t="s">
        <v>228</v>
      </c>
      <c r="U96" s="0" t="s">
        <v>101</v>
      </c>
      <c r="V96" s="0" t="s">
        <v>228</v>
      </c>
      <c r="W96" s="0" t="s">
        <v>228</v>
      </c>
      <c r="X96" s="0" t="s">
        <v>3661</v>
      </c>
      <c r="Y96" s="0" t="s">
        <v>228</v>
      </c>
      <c r="Z96" s="0" t="s">
        <v>151</v>
      </c>
      <c r="AA96" s="0" t="s">
        <v>151</v>
      </c>
      <c r="AB96" s="0" t="s">
        <v>160</v>
      </c>
      <c r="AC96" s="0" t="s">
        <v>2315</v>
      </c>
      <c r="AD96" s="0" t="s">
        <v>2315</v>
      </c>
      <c r="AE96" s="0" t="s">
        <v>2316</v>
      </c>
      <c r="AF96" s="0" t="s">
        <v>3820</v>
      </c>
      <c r="AG96" s="0" t="s">
        <v>3821</v>
      </c>
      <c r="AH96" s="0" t="s">
        <v>3651</v>
      </c>
      <c r="AI96" s="0" t="s">
        <v>3651</v>
      </c>
      <c r="AJ96" s="0" t="s">
        <v>228</v>
      </c>
      <c r="AK96" s="0" t="s">
        <v>228</v>
      </c>
      <c r="AL96" s="0" t="s">
        <v>228</v>
      </c>
      <c r="AM96" s="0" t="s">
        <v>228</v>
      </c>
      <c r="AN96" s="0" t="s">
        <v>228</v>
      </c>
      <c r="AO96" s="0" t="s">
        <v>228</v>
      </c>
      <c r="AP96" s="0" t="s">
        <v>228</v>
      </c>
      <c r="AQ96" s="0" t="s">
        <v>228</v>
      </c>
      <c r="AR96" s="0" t="s">
        <v>228</v>
      </c>
      <c r="AS96" s="0" t="s">
        <v>228</v>
      </c>
      <c r="AT96" s="0" t="s">
        <v>228</v>
      </c>
      <c r="AU96" s="0" t="s">
        <v>228</v>
      </c>
      <c r="AV96" s="0" t="s">
        <v>228</v>
      </c>
      <c r="AW96" s="0" t="s">
        <v>228</v>
      </c>
      <c r="AX96" s="0" t="s">
        <v>228</v>
      </c>
      <c r="AY96" s="0" t="s">
        <v>228</v>
      </c>
      <c r="AZ96" s="0" t="s">
        <v>228</v>
      </c>
      <c r="BA96" s="0" t="s">
        <v>228</v>
      </c>
      <c r="BB96" s="0" t="s">
        <v>228</v>
      </c>
      <c r="BC96" s="0" t="s">
        <v>228</v>
      </c>
      <c r="BD96" s="0" t="s">
        <v>228</v>
      </c>
      <c r="BE96" s="0" t="s">
        <v>3652</v>
      </c>
      <c r="BF96" s="0" t="s">
        <v>3822</v>
      </c>
      <c r="BG96" s="0" t="s">
        <v>111</v>
      </c>
      <c r="BH96" s="0" t="s">
        <v>3665</v>
      </c>
      <c r="BI96" s="0" t="s">
        <v>122</v>
      </c>
      <c r="BJ96" s="0" t="s">
        <v>228</v>
      </c>
      <c r="BK96" s="0" t="s">
        <v>3684</v>
      </c>
      <c r="BL96" s="0" t="s">
        <v>2315</v>
      </c>
      <c r="BM96" s="0" t="s">
        <v>2315</v>
      </c>
      <c r="BN96" s="0" t="s">
        <v>3875</v>
      </c>
      <c r="BO96" s="0" t="s">
        <v>3820</v>
      </c>
      <c r="BP96" s="0" t="s">
        <v>4107</v>
      </c>
      <c r="BQ96" s="0" t="s">
        <v>3651</v>
      </c>
      <c r="BR96" s="0" t="s">
        <v>3651</v>
      </c>
      <c r="BS96" s="0" t="s">
        <v>228</v>
      </c>
      <c r="BT96" s="0" t="s">
        <v>3727</v>
      </c>
      <c r="BU96" s="0" t="s">
        <v>4108</v>
      </c>
      <c r="BV96" s="0" t="s">
        <v>4108</v>
      </c>
      <c r="BW96" s="0" t="s">
        <v>3674</v>
      </c>
      <c r="BX96" s="0" t="s">
        <v>3674</v>
      </c>
      <c r="BY96" s="0" t="s">
        <v>3674</v>
      </c>
      <c r="BZ96" s="0" t="s">
        <v>3674</v>
      </c>
      <c r="CA96" s="0" t="s">
        <v>3674</v>
      </c>
      <c r="CB96" s="0" t="s">
        <v>228</v>
      </c>
      <c r="CC96" s="0" t="s">
        <v>228</v>
      </c>
      <c r="CD96" s="0" t="s">
        <v>228</v>
      </c>
      <c r="CE96" s="0" t="s">
        <v>228</v>
      </c>
      <c r="CF96" s="0" t="s">
        <v>228</v>
      </c>
      <c r="CG96" s="0" t="s">
        <v>3674</v>
      </c>
      <c r="CH96" s="0" t="s">
        <v>228</v>
      </c>
      <c r="CI96" s="0" t="s">
        <v>228</v>
      </c>
      <c r="CJ96" s="0" t="s">
        <v>228</v>
      </c>
      <c r="CK96" s="0" t="s">
        <v>228</v>
      </c>
      <c r="CL96" s="0" t="s">
        <v>228</v>
      </c>
      <c r="CM96" s="0" t="s">
        <v>4108</v>
      </c>
      <c r="CN96" s="0" t="s">
        <v>4108</v>
      </c>
      <c r="CO96" s="0" t="s">
        <v>228</v>
      </c>
      <c r="CP96" s="0" t="s">
        <v>228</v>
      </c>
      <c r="CQ96" s="0" t="s">
        <v>228</v>
      </c>
      <c r="CR96" s="0" t="s">
        <v>228</v>
      </c>
      <c r="CS96" s="0" t="s">
        <v>3563</v>
      </c>
      <c r="CT96" s="0" t="s">
        <v>3568</v>
      </c>
      <c r="CU96" s="0" t="s">
        <v>3569</v>
      </c>
      <c r="CV96" s="0" t="s">
        <v>418</v>
      </c>
      <c r="CW96" s="0" t="s">
        <v>3656</v>
      </c>
      <c r="CX96" s="0" t="s">
        <v>419</v>
      </c>
      <c r="CY96" s="0" t="s">
        <v>418</v>
      </c>
      <c r="CZ96" s="0" t="s">
        <v>3657</v>
      </c>
      <c r="DA96" s="0" t="s">
        <v>3658</v>
      </c>
      <c r="DB96" s="0" t="s">
        <v>3656</v>
      </c>
      <c r="DC96" s="0" t="s">
        <v>362</v>
      </c>
      <c r="DD96" s="0" t="s">
        <v>3572</v>
      </c>
      <c r="DE96" s="0" t="s">
        <v>3824</v>
      </c>
    </row>
    <row customHeight="1" ht="11.25">
      <c r="A97" s="1353" t="s">
        <v>228</v>
      </c>
      <c r="B97" s="0" t="s">
        <v>228</v>
      </c>
      <c r="C97" s="0" t="s">
        <v>228</v>
      </c>
      <c r="D97" s="0" t="s">
        <v>228</v>
      </c>
      <c r="E97" s="0" t="s">
        <v>228</v>
      </c>
      <c r="F97" s="0" t="s">
        <v>228</v>
      </c>
      <c r="G97" s="0" t="s">
        <v>228</v>
      </c>
      <c r="H97" s="0" t="s">
        <v>228</v>
      </c>
      <c r="I97" s="0" t="s">
        <v>3555</v>
      </c>
      <c r="J97" s="0" t="s">
        <v>228</v>
      </c>
      <c r="K97" s="0" t="s">
        <v>228</v>
      </c>
      <c r="L97" s="0" t="s">
        <v>228</v>
      </c>
      <c r="M97" s="0" t="s">
        <v>228</v>
      </c>
      <c r="N97" s="0" t="s">
        <v>228</v>
      </c>
      <c r="O97" s="0" t="s">
        <v>228</v>
      </c>
      <c r="P97" s="0" t="s">
        <v>228</v>
      </c>
      <c r="Q97" s="0" t="s">
        <v>228</v>
      </c>
      <c r="R97" s="0" t="s">
        <v>3648</v>
      </c>
      <c r="S97" s="0" t="s">
        <v>228</v>
      </c>
      <c r="T97" s="0" t="s">
        <v>228</v>
      </c>
      <c r="U97" s="0" t="s">
        <v>101</v>
      </c>
      <c r="V97" s="0" t="s">
        <v>228</v>
      </c>
      <c r="W97" s="0" t="s">
        <v>228</v>
      </c>
      <c r="X97" s="0" t="s">
        <v>3557</v>
      </c>
      <c r="Y97" s="0" t="s">
        <v>228</v>
      </c>
      <c r="Z97" s="0" t="s">
        <v>160</v>
      </c>
      <c r="AA97" s="0" t="s">
        <v>151</v>
      </c>
      <c r="AB97" s="0" t="s">
        <v>151</v>
      </c>
      <c r="AC97" s="0" t="s">
        <v>2315</v>
      </c>
      <c r="AD97" s="0" t="s">
        <v>2315</v>
      </c>
      <c r="AE97" s="0" t="s">
        <v>2316</v>
      </c>
      <c r="AF97" s="0" t="s">
        <v>4109</v>
      </c>
      <c r="AG97" s="0" t="s">
        <v>4110</v>
      </c>
      <c r="AH97" s="0" t="s">
        <v>3651</v>
      </c>
      <c r="AI97" s="0" t="s">
        <v>3651</v>
      </c>
      <c r="AJ97" s="0" t="s">
        <v>3652</v>
      </c>
      <c r="AK97" s="0" t="s">
        <v>4111</v>
      </c>
      <c r="AL97" s="0" t="s">
        <v>3581</v>
      </c>
      <c r="AM97" s="0" t="s">
        <v>3565</v>
      </c>
      <c r="AN97" s="0" t="s">
        <v>3654</v>
      </c>
      <c r="AO97" s="0" t="s">
        <v>3701</v>
      </c>
      <c r="AP97" s="0" t="s">
        <v>228</v>
      </c>
      <c r="AQ97" s="0" t="s">
        <v>228</v>
      </c>
      <c r="AR97" s="0" t="s">
        <v>228</v>
      </c>
      <c r="AS97" s="0" t="s">
        <v>228</v>
      </c>
      <c r="AT97" s="0" t="s">
        <v>228</v>
      </c>
      <c r="AU97" s="0" t="s">
        <v>228</v>
      </c>
      <c r="AV97" s="0" t="s">
        <v>228</v>
      </c>
      <c r="AW97" s="0" t="s">
        <v>228</v>
      </c>
      <c r="AX97" s="0" t="s">
        <v>228</v>
      </c>
      <c r="AY97" s="0" t="s">
        <v>228</v>
      </c>
      <c r="AZ97" s="0" t="s">
        <v>228</v>
      </c>
      <c r="BA97" s="0" t="s">
        <v>228</v>
      </c>
      <c r="BB97" s="0" t="s">
        <v>228</v>
      </c>
      <c r="BC97" s="0" t="s">
        <v>228</v>
      </c>
      <c r="BD97" s="0" t="s">
        <v>228</v>
      </c>
      <c r="BE97" s="0" t="s">
        <v>228</v>
      </c>
      <c r="BF97" s="0" t="s">
        <v>228</v>
      </c>
      <c r="BG97" s="0" t="s">
        <v>228</v>
      </c>
      <c r="BH97" s="0" t="s">
        <v>228</v>
      </c>
      <c r="BI97" s="0" t="s">
        <v>228</v>
      </c>
      <c r="BJ97" s="0" t="s">
        <v>228</v>
      </c>
      <c r="BK97" s="0" t="s">
        <v>228</v>
      </c>
      <c r="BL97" s="0" t="s">
        <v>228</v>
      </c>
      <c r="BM97" s="0" t="s">
        <v>228</v>
      </c>
      <c r="BN97" s="0" t="s">
        <v>228</v>
      </c>
      <c r="BO97" s="0" t="s">
        <v>228</v>
      </c>
      <c r="BP97" s="0" t="s">
        <v>228</v>
      </c>
      <c r="BQ97" s="0" t="s">
        <v>228</v>
      </c>
      <c r="BR97" s="0" t="s">
        <v>228</v>
      </c>
      <c r="BS97" s="0" t="s">
        <v>228</v>
      </c>
      <c r="BT97" s="0" t="s">
        <v>228</v>
      </c>
      <c r="BU97" s="0" t="s">
        <v>228</v>
      </c>
      <c r="BV97" s="0" t="s">
        <v>228</v>
      </c>
      <c r="BW97" s="0" t="s">
        <v>228</v>
      </c>
      <c r="BX97" s="0" t="s">
        <v>228</v>
      </c>
      <c r="BY97" s="0" t="s">
        <v>228</v>
      </c>
      <c r="BZ97" s="0" t="s">
        <v>228</v>
      </c>
      <c r="CA97" s="0" t="s">
        <v>228</v>
      </c>
      <c r="CB97" s="0" t="s">
        <v>228</v>
      </c>
      <c r="CC97" s="0" t="s">
        <v>228</v>
      </c>
      <c r="CD97" s="0" t="s">
        <v>228</v>
      </c>
      <c r="CE97" s="0" t="s">
        <v>228</v>
      </c>
      <c r="CF97" s="0" t="s">
        <v>228</v>
      </c>
      <c r="CG97" s="0" t="s">
        <v>228</v>
      </c>
      <c r="CH97" s="0" t="s">
        <v>228</v>
      </c>
      <c r="CI97" s="0" t="s">
        <v>228</v>
      </c>
      <c r="CJ97" s="0" t="s">
        <v>228</v>
      </c>
      <c r="CK97" s="0" t="s">
        <v>228</v>
      </c>
      <c r="CL97" s="0" t="s">
        <v>228</v>
      </c>
      <c r="CM97" s="0" t="s">
        <v>228</v>
      </c>
      <c r="CN97" s="0" t="s">
        <v>228</v>
      </c>
      <c r="CO97" s="0" t="s">
        <v>228</v>
      </c>
      <c r="CP97" s="0" t="s">
        <v>228</v>
      </c>
      <c r="CQ97" s="0" t="s">
        <v>228</v>
      </c>
      <c r="CR97" s="0" t="s">
        <v>228</v>
      </c>
      <c r="CS97" s="0" t="s">
        <v>228</v>
      </c>
      <c r="CT97" s="0" t="s">
        <v>3568</v>
      </c>
      <c r="CU97" s="0" t="s">
        <v>3569</v>
      </c>
      <c r="CV97" s="0" t="s">
        <v>418</v>
      </c>
      <c r="CW97" s="0" t="s">
        <v>3656</v>
      </c>
      <c r="CX97" s="0" t="s">
        <v>419</v>
      </c>
      <c r="CY97" s="0" t="s">
        <v>418</v>
      </c>
      <c r="CZ97" s="0" t="s">
        <v>3657</v>
      </c>
      <c r="DA97" s="0" t="s">
        <v>3658</v>
      </c>
      <c r="DB97" s="0" t="s">
        <v>3656</v>
      </c>
      <c r="DC97" s="0" t="s">
        <v>362</v>
      </c>
      <c r="DD97" s="0" t="s">
        <v>3572</v>
      </c>
      <c r="DE97" s="0" t="s">
        <v>4112</v>
      </c>
    </row>
    <row customHeight="1" ht="11.25">
      <c r="A98" s="1353" t="s">
        <v>228</v>
      </c>
      <c r="B98" s="0" t="s">
        <v>228</v>
      </c>
      <c r="C98" s="0" t="s">
        <v>228</v>
      </c>
      <c r="D98" s="0" t="s">
        <v>228</v>
      </c>
      <c r="E98" s="0" t="s">
        <v>228</v>
      </c>
      <c r="F98" s="0" t="s">
        <v>228</v>
      </c>
      <c r="G98" s="0" t="s">
        <v>228</v>
      </c>
      <c r="H98" s="0" t="s">
        <v>228</v>
      </c>
      <c r="I98" s="0" t="s">
        <v>3555</v>
      </c>
      <c r="J98" s="0" t="s">
        <v>228</v>
      </c>
      <c r="K98" s="0" t="s">
        <v>228</v>
      </c>
      <c r="L98" s="0" t="s">
        <v>228</v>
      </c>
      <c r="M98" s="0" t="s">
        <v>228</v>
      </c>
      <c r="N98" s="0" t="s">
        <v>228</v>
      </c>
      <c r="O98" s="0" t="s">
        <v>228</v>
      </c>
      <c r="P98" s="0" t="s">
        <v>228</v>
      </c>
      <c r="Q98" s="0" t="s">
        <v>228</v>
      </c>
      <c r="R98" s="0" t="s">
        <v>3782</v>
      </c>
      <c r="S98" s="0" t="s">
        <v>228</v>
      </c>
      <c r="T98" s="0" t="s">
        <v>228</v>
      </c>
      <c r="U98" s="0" t="s">
        <v>101</v>
      </c>
      <c r="V98" s="0" t="s">
        <v>228</v>
      </c>
      <c r="W98" s="0" t="s">
        <v>228</v>
      </c>
      <c r="X98" s="0" t="s">
        <v>3661</v>
      </c>
      <c r="Y98" s="0" t="s">
        <v>228</v>
      </c>
      <c r="Z98" s="0" t="s">
        <v>151</v>
      </c>
      <c r="AA98" s="0" t="s">
        <v>151</v>
      </c>
      <c r="AB98" s="0" t="s">
        <v>160</v>
      </c>
      <c r="AC98" s="0" t="s">
        <v>2311</v>
      </c>
      <c r="AD98" s="0" t="s">
        <v>2311</v>
      </c>
      <c r="AE98" s="0" t="s">
        <v>2312</v>
      </c>
      <c r="AF98" s="0" t="s">
        <v>3691</v>
      </c>
      <c r="AG98" s="0" t="s">
        <v>3692</v>
      </c>
      <c r="AH98" s="0" t="s">
        <v>3691</v>
      </c>
      <c r="AI98" s="0" t="s">
        <v>3721</v>
      </c>
      <c r="AJ98" s="0" t="s">
        <v>228</v>
      </c>
      <c r="AK98" s="0" t="s">
        <v>228</v>
      </c>
      <c r="AL98" s="0" t="s">
        <v>228</v>
      </c>
      <c r="AM98" s="0" t="s">
        <v>228</v>
      </c>
      <c r="AN98" s="0" t="s">
        <v>228</v>
      </c>
      <c r="AO98" s="0" t="s">
        <v>228</v>
      </c>
      <c r="AP98" s="0" t="s">
        <v>228</v>
      </c>
      <c r="AQ98" s="0" t="s">
        <v>228</v>
      </c>
      <c r="AR98" s="0" t="s">
        <v>228</v>
      </c>
      <c r="AS98" s="0" t="s">
        <v>228</v>
      </c>
      <c r="AT98" s="0" t="s">
        <v>228</v>
      </c>
      <c r="AU98" s="0" t="s">
        <v>228</v>
      </c>
      <c r="AV98" s="0" t="s">
        <v>228</v>
      </c>
      <c r="AW98" s="0" t="s">
        <v>228</v>
      </c>
      <c r="AX98" s="0" t="s">
        <v>228</v>
      </c>
      <c r="AY98" s="0" t="s">
        <v>228</v>
      </c>
      <c r="AZ98" s="0" t="s">
        <v>228</v>
      </c>
      <c r="BA98" s="0" t="s">
        <v>228</v>
      </c>
      <c r="BB98" s="0" t="s">
        <v>228</v>
      </c>
      <c r="BC98" s="0" t="s">
        <v>228</v>
      </c>
      <c r="BD98" s="0" t="s">
        <v>228</v>
      </c>
      <c r="BE98" s="0" t="s">
        <v>3722</v>
      </c>
      <c r="BF98" s="0" t="s">
        <v>3722</v>
      </c>
      <c r="BG98" s="0" t="s">
        <v>111</v>
      </c>
      <c r="BH98" s="0" t="s">
        <v>3665</v>
      </c>
      <c r="BI98" s="0" t="s">
        <v>122</v>
      </c>
      <c r="BJ98" s="0" t="s">
        <v>228</v>
      </c>
      <c r="BK98" s="0" t="s">
        <v>3684</v>
      </c>
      <c r="BL98" s="0" t="s">
        <v>2311</v>
      </c>
      <c r="BM98" s="0" t="s">
        <v>2311</v>
      </c>
      <c r="BN98" s="0" t="s">
        <v>3723</v>
      </c>
      <c r="BO98" s="0" t="s">
        <v>3691</v>
      </c>
      <c r="BP98" s="0" t="s">
        <v>4113</v>
      </c>
      <c r="BQ98" s="0" t="s">
        <v>3577</v>
      </c>
      <c r="BR98" s="0" t="s">
        <v>3694</v>
      </c>
      <c r="BS98" s="0" t="s">
        <v>228</v>
      </c>
      <c r="BT98" s="0" t="s">
        <v>3727</v>
      </c>
      <c r="BU98" s="0" t="s">
        <v>4114</v>
      </c>
      <c r="BV98" s="0" t="s">
        <v>4114</v>
      </c>
      <c r="BW98" s="0" t="s">
        <v>3674</v>
      </c>
      <c r="BX98" s="0" t="s">
        <v>3674</v>
      </c>
      <c r="BY98" s="0" t="s">
        <v>3674</v>
      </c>
      <c r="BZ98" s="0" t="s">
        <v>3674</v>
      </c>
      <c r="CA98" s="0" t="s">
        <v>3674</v>
      </c>
      <c r="CB98" s="0" t="s">
        <v>228</v>
      </c>
      <c r="CC98" s="0" t="s">
        <v>228</v>
      </c>
      <c r="CD98" s="0" t="s">
        <v>228</v>
      </c>
      <c r="CE98" s="0" t="s">
        <v>228</v>
      </c>
      <c r="CF98" s="0" t="s">
        <v>228</v>
      </c>
      <c r="CG98" s="0" t="s">
        <v>3674</v>
      </c>
      <c r="CH98" s="0" t="s">
        <v>228</v>
      </c>
      <c r="CI98" s="0" t="s">
        <v>228</v>
      </c>
      <c r="CJ98" s="0" t="s">
        <v>228</v>
      </c>
      <c r="CK98" s="0" t="s">
        <v>228</v>
      </c>
      <c r="CL98" s="0" t="s">
        <v>228</v>
      </c>
      <c r="CM98" s="0" t="s">
        <v>4114</v>
      </c>
      <c r="CN98" s="0" t="s">
        <v>4114</v>
      </c>
      <c r="CO98" s="0" t="s">
        <v>228</v>
      </c>
      <c r="CP98" s="0" t="s">
        <v>228</v>
      </c>
      <c r="CQ98" s="0" t="s">
        <v>228</v>
      </c>
      <c r="CR98" s="0" t="s">
        <v>228</v>
      </c>
      <c r="CS98" s="0" t="s">
        <v>3582</v>
      </c>
      <c r="CT98" s="0" t="s">
        <v>3568</v>
      </c>
      <c r="CU98" s="0" t="s">
        <v>3569</v>
      </c>
      <c r="CV98" s="0" t="s">
        <v>418</v>
      </c>
      <c r="CW98" s="0" t="s">
        <v>3584</v>
      </c>
      <c r="CX98" s="0" t="s">
        <v>419</v>
      </c>
      <c r="CY98" s="0" t="s">
        <v>418</v>
      </c>
      <c r="CZ98" s="0" t="s">
        <v>3585</v>
      </c>
      <c r="DA98" s="0" t="s">
        <v>3586</v>
      </c>
      <c r="DB98" s="0" t="s">
        <v>3584</v>
      </c>
      <c r="DC98" s="0" t="s">
        <v>362</v>
      </c>
      <c r="DD98" s="0" t="s">
        <v>3572</v>
      </c>
      <c r="DE98" s="0" t="s">
        <v>4115</v>
      </c>
    </row>
    <row customHeight="1" ht="11.25">
      <c r="A99" s="1353" t="s">
        <v>228</v>
      </c>
      <c r="B99" s="0" t="s">
        <v>228</v>
      </c>
      <c r="C99" s="0" t="s">
        <v>228</v>
      </c>
      <c r="D99" s="0" t="s">
        <v>228</v>
      </c>
      <c r="E99" s="0" t="s">
        <v>228</v>
      </c>
      <c r="F99" s="0" t="s">
        <v>228</v>
      </c>
      <c r="G99" s="0" t="s">
        <v>228</v>
      </c>
      <c r="H99" s="0" t="s">
        <v>228</v>
      </c>
      <c r="I99" s="0" t="s">
        <v>3555</v>
      </c>
      <c r="J99" s="0" t="s">
        <v>228</v>
      </c>
      <c r="K99" s="0" t="s">
        <v>228</v>
      </c>
      <c r="L99" s="0" t="s">
        <v>228</v>
      </c>
      <c r="M99" s="0" t="s">
        <v>228</v>
      </c>
      <c r="N99" s="0" t="s">
        <v>228</v>
      </c>
      <c r="O99" s="0" t="s">
        <v>228</v>
      </c>
      <c r="P99" s="0" t="s">
        <v>228</v>
      </c>
      <c r="Q99" s="0" t="s">
        <v>228</v>
      </c>
      <c r="R99" s="0" t="s">
        <v>3782</v>
      </c>
      <c r="S99" s="0" t="s">
        <v>228</v>
      </c>
      <c r="T99" s="0" t="s">
        <v>228</v>
      </c>
      <c r="U99" s="0" t="s">
        <v>101</v>
      </c>
      <c r="V99" s="0" t="s">
        <v>228</v>
      </c>
      <c r="W99" s="0" t="s">
        <v>228</v>
      </c>
      <c r="X99" s="0" t="s">
        <v>3661</v>
      </c>
      <c r="Y99" s="0" t="s">
        <v>228</v>
      </c>
      <c r="Z99" s="0" t="s">
        <v>151</v>
      </c>
      <c r="AA99" s="0" t="s">
        <v>151</v>
      </c>
      <c r="AB99" s="0" t="s">
        <v>160</v>
      </c>
      <c r="AC99" s="0" t="s">
        <v>2311</v>
      </c>
      <c r="AD99" s="0" t="s">
        <v>2311</v>
      </c>
      <c r="AE99" s="0" t="s">
        <v>2312</v>
      </c>
      <c r="AF99" s="0" t="s">
        <v>4116</v>
      </c>
      <c r="AG99" s="0" t="s">
        <v>4117</v>
      </c>
      <c r="AH99" s="0" t="s">
        <v>4116</v>
      </c>
      <c r="AI99" s="0" t="s">
        <v>3721</v>
      </c>
      <c r="AJ99" s="0" t="s">
        <v>228</v>
      </c>
      <c r="AK99" s="0" t="s">
        <v>228</v>
      </c>
      <c r="AL99" s="0" t="s">
        <v>228</v>
      </c>
      <c r="AM99" s="0" t="s">
        <v>228</v>
      </c>
      <c r="AN99" s="0" t="s">
        <v>228</v>
      </c>
      <c r="AO99" s="0" t="s">
        <v>228</v>
      </c>
      <c r="AP99" s="0" t="s">
        <v>228</v>
      </c>
      <c r="AQ99" s="0" t="s">
        <v>228</v>
      </c>
      <c r="AR99" s="0" t="s">
        <v>228</v>
      </c>
      <c r="AS99" s="0" t="s">
        <v>228</v>
      </c>
      <c r="AT99" s="0" t="s">
        <v>228</v>
      </c>
      <c r="AU99" s="0" t="s">
        <v>228</v>
      </c>
      <c r="AV99" s="0" t="s">
        <v>228</v>
      </c>
      <c r="AW99" s="0" t="s">
        <v>228</v>
      </c>
      <c r="AX99" s="0" t="s">
        <v>228</v>
      </c>
      <c r="AY99" s="0" t="s">
        <v>228</v>
      </c>
      <c r="AZ99" s="0" t="s">
        <v>228</v>
      </c>
      <c r="BA99" s="0" t="s">
        <v>228</v>
      </c>
      <c r="BB99" s="0" t="s">
        <v>228</v>
      </c>
      <c r="BC99" s="0" t="s">
        <v>228</v>
      </c>
      <c r="BD99" s="0" t="s">
        <v>228</v>
      </c>
      <c r="BE99" s="0" t="s">
        <v>3722</v>
      </c>
      <c r="BF99" s="0" t="s">
        <v>3722</v>
      </c>
      <c r="BG99" s="0" t="s">
        <v>111</v>
      </c>
      <c r="BH99" s="0" t="s">
        <v>3665</v>
      </c>
      <c r="BI99" s="0" t="s">
        <v>122</v>
      </c>
      <c r="BJ99" s="0" t="s">
        <v>228</v>
      </c>
      <c r="BK99" s="0" t="s">
        <v>4118</v>
      </c>
      <c r="BL99" s="0" t="s">
        <v>2311</v>
      </c>
      <c r="BM99" s="0" t="s">
        <v>2311</v>
      </c>
      <c r="BN99" s="0" t="s">
        <v>3723</v>
      </c>
      <c r="BO99" s="0" t="s">
        <v>4116</v>
      </c>
      <c r="BP99" s="0" t="s">
        <v>4119</v>
      </c>
      <c r="BQ99" s="0" t="s">
        <v>4120</v>
      </c>
      <c r="BR99" s="0" t="s">
        <v>4121</v>
      </c>
      <c r="BS99" s="0" t="s">
        <v>228</v>
      </c>
      <c r="BT99" s="0" t="s">
        <v>3727</v>
      </c>
      <c r="BU99" s="0" t="s">
        <v>4122</v>
      </c>
      <c r="BV99" s="0" t="s">
        <v>4122</v>
      </c>
      <c r="BW99" s="0" t="s">
        <v>3674</v>
      </c>
      <c r="BX99" s="0" t="s">
        <v>3674</v>
      </c>
      <c r="BY99" s="0" t="s">
        <v>3674</v>
      </c>
      <c r="BZ99" s="0" t="s">
        <v>3674</v>
      </c>
      <c r="CA99" s="0" t="s">
        <v>3674</v>
      </c>
      <c r="CB99" s="0" t="s">
        <v>228</v>
      </c>
      <c r="CC99" s="0" t="s">
        <v>228</v>
      </c>
      <c r="CD99" s="0" t="s">
        <v>228</v>
      </c>
      <c r="CE99" s="0" t="s">
        <v>228</v>
      </c>
      <c r="CF99" s="0" t="s">
        <v>228</v>
      </c>
      <c r="CG99" s="0" t="s">
        <v>3674</v>
      </c>
      <c r="CH99" s="0" t="s">
        <v>228</v>
      </c>
      <c r="CI99" s="0" t="s">
        <v>228</v>
      </c>
      <c r="CJ99" s="0" t="s">
        <v>228</v>
      </c>
      <c r="CK99" s="0" t="s">
        <v>228</v>
      </c>
      <c r="CL99" s="0" t="s">
        <v>228</v>
      </c>
      <c r="CM99" s="0" t="s">
        <v>4122</v>
      </c>
      <c r="CN99" s="0" t="s">
        <v>4122</v>
      </c>
      <c r="CO99" s="0" t="s">
        <v>228</v>
      </c>
      <c r="CP99" s="0" t="s">
        <v>228</v>
      </c>
      <c r="CQ99" s="0" t="s">
        <v>228</v>
      </c>
      <c r="CR99" s="0" t="s">
        <v>228</v>
      </c>
      <c r="CS99" s="0" t="s">
        <v>3582</v>
      </c>
      <c r="CT99" s="0" t="s">
        <v>3568</v>
      </c>
      <c r="CU99" s="0" t="s">
        <v>3569</v>
      </c>
      <c r="CV99" s="0" t="s">
        <v>418</v>
      </c>
      <c r="CW99" s="0" t="s">
        <v>3584</v>
      </c>
      <c r="CX99" s="0" t="s">
        <v>419</v>
      </c>
      <c r="CY99" s="0" t="s">
        <v>418</v>
      </c>
      <c r="CZ99" s="0" t="s">
        <v>3585</v>
      </c>
      <c r="DA99" s="0" t="s">
        <v>3586</v>
      </c>
      <c r="DB99" s="0" t="s">
        <v>3584</v>
      </c>
      <c r="DC99" s="0" t="s">
        <v>362</v>
      </c>
      <c r="DD99" s="0" t="s">
        <v>3572</v>
      </c>
      <c r="DE99" s="0" t="s">
        <v>4123</v>
      </c>
    </row>
    <row customHeight="1" ht="11.25">
      <c r="A100" s="1353" t="s">
        <v>228</v>
      </c>
      <c r="B100" s="0" t="s">
        <v>228</v>
      </c>
      <c r="C100" s="0" t="s">
        <v>228</v>
      </c>
      <c r="D100" s="0" t="s">
        <v>228</v>
      </c>
      <c r="E100" s="0" t="s">
        <v>228</v>
      </c>
      <c r="F100" s="0" t="s">
        <v>228</v>
      </c>
      <c r="G100" s="0" t="s">
        <v>228</v>
      </c>
      <c r="H100" s="0" t="s">
        <v>228</v>
      </c>
      <c r="I100" s="0" t="s">
        <v>3555</v>
      </c>
      <c r="J100" s="0" t="s">
        <v>228</v>
      </c>
      <c r="K100" s="0" t="s">
        <v>228</v>
      </c>
      <c r="L100" s="0" t="s">
        <v>228</v>
      </c>
      <c r="M100" s="0" t="s">
        <v>228</v>
      </c>
      <c r="N100" s="0" t="s">
        <v>228</v>
      </c>
      <c r="O100" s="0" t="s">
        <v>228</v>
      </c>
      <c r="P100" s="0" t="s">
        <v>228</v>
      </c>
      <c r="Q100" s="0" t="s">
        <v>228</v>
      </c>
      <c r="R100" s="0" t="s">
        <v>4124</v>
      </c>
      <c r="S100" s="0" t="s">
        <v>228</v>
      </c>
      <c r="T100" s="0" t="s">
        <v>228</v>
      </c>
      <c r="U100" s="0" t="s">
        <v>101</v>
      </c>
      <c r="V100" s="0" t="s">
        <v>228</v>
      </c>
      <c r="W100" s="0" t="s">
        <v>228</v>
      </c>
      <c r="X100" s="0" t="s">
        <v>3661</v>
      </c>
      <c r="Y100" s="0" t="s">
        <v>228</v>
      </c>
      <c r="Z100" s="0" t="s">
        <v>151</v>
      </c>
      <c r="AA100" s="0" t="s">
        <v>151</v>
      </c>
      <c r="AB100" s="0" t="s">
        <v>160</v>
      </c>
      <c r="AC100" s="0" t="s">
        <v>2317</v>
      </c>
      <c r="AD100" s="0" t="s">
        <v>2317</v>
      </c>
      <c r="AE100" s="0" t="s">
        <v>2318</v>
      </c>
      <c r="AF100" s="0" t="s">
        <v>3804</v>
      </c>
      <c r="AG100" s="0" t="s">
        <v>3805</v>
      </c>
      <c r="AH100" s="0" t="s">
        <v>3651</v>
      </c>
      <c r="AI100" s="0" t="s">
        <v>3651</v>
      </c>
      <c r="AJ100" s="0" t="s">
        <v>228</v>
      </c>
      <c r="AK100" s="0" t="s">
        <v>228</v>
      </c>
      <c r="AL100" s="0" t="s">
        <v>228</v>
      </c>
      <c r="AM100" s="0" t="s">
        <v>228</v>
      </c>
      <c r="AN100" s="0" t="s">
        <v>228</v>
      </c>
      <c r="AO100" s="0" t="s">
        <v>228</v>
      </c>
      <c r="AP100" s="0" t="s">
        <v>228</v>
      </c>
      <c r="AQ100" s="0" t="s">
        <v>228</v>
      </c>
      <c r="AR100" s="0" t="s">
        <v>228</v>
      </c>
      <c r="AS100" s="0" t="s">
        <v>228</v>
      </c>
      <c r="AT100" s="0" t="s">
        <v>228</v>
      </c>
      <c r="AU100" s="0" t="s">
        <v>228</v>
      </c>
      <c r="AV100" s="0" t="s">
        <v>228</v>
      </c>
      <c r="AW100" s="0" t="s">
        <v>228</v>
      </c>
      <c r="AX100" s="0" t="s">
        <v>228</v>
      </c>
      <c r="AY100" s="0" t="s">
        <v>228</v>
      </c>
      <c r="AZ100" s="0" t="s">
        <v>228</v>
      </c>
      <c r="BA100" s="0" t="s">
        <v>228</v>
      </c>
      <c r="BB100" s="0" t="s">
        <v>228</v>
      </c>
      <c r="BC100" s="0" t="s">
        <v>228</v>
      </c>
      <c r="BD100" s="0" t="s">
        <v>228</v>
      </c>
      <c r="BE100" s="0" t="s">
        <v>3579</v>
      </c>
      <c r="BF100" s="0" t="s">
        <v>3619</v>
      </c>
      <c r="BG100" s="0" t="s">
        <v>111</v>
      </c>
      <c r="BH100" s="0" t="s">
        <v>3665</v>
      </c>
      <c r="BI100" s="0" t="s">
        <v>122</v>
      </c>
      <c r="BJ100" s="0" t="s">
        <v>228</v>
      </c>
      <c r="BK100" s="0" t="s">
        <v>3684</v>
      </c>
      <c r="BL100" s="0" t="s">
        <v>2317</v>
      </c>
      <c r="BM100" s="0" t="s">
        <v>2317</v>
      </c>
      <c r="BN100" s="0" t="s">
        <v>3740</v>
      </c>
      <c r="BO100" s="0" t="s">
        <v>3804</v>
      </c>
      <c r="BP100" s="0" t="s">
        <v>4125</v>
      </c>
      <c r="BQ100" s="0" t="s">
        <v>3651</v>
      </c>
      <c r="BR100" s="0" t="s">
        <v>3651</v>
      </c>
      <c r="BS100" s="0" t="s">
        <v>228</v>
      </c>
      <c r="BT100" s="0" t="s">
        <v>3727</v>
      </c>
      <c r="BU100" s="0" t="s">
        <v>4126</v>
      </c>
      <c r="BV100" s="0" t="s">
        <v>4126</v>
      </c>
      <c r="BW100" s="0" t="s">
        <v>3674</v>
      </c>
      <c r="BX100" s="0" t="s">
        <v>3674</v>
      </c>
      <c r="BY100" s="0" t="s">
        <v>3674</v>
      </c>
      <c r="BZ100" s="0" t="s">
        <v>3674</v>
      </c>
      <c r="CA100" s="0" t="s">
        <v>3674</v>
      </c>
      <c r="CB100" s="0" t="s">
        <v>228</v>
      </c>
      <c r="CC100" s="0" t="s">
        <v>228</v>
      </c>
      <c r="CD100" s="0" t="s">
        <v>228</v>
      </c>
      <c r="CE100" s="0" t="s">
        <v>228</v>
      </c>
      <c r="CF100" s="0" t="s">
        <v>228</v>
      </c>
      <c r="CG100" s="0" t="s">
        <v>3674</v>
      </c>
      <c r="CH100" s="0" t="s">
        <v>228</v>
      </c>
      <c r="CI100" s="0" t="s">
        <v>228</v>
      </c>
      <c r="CJ100" s="0" t="s">
        <v>228</v>
      </c>
      <c r="CK100" s="0" t="s">
        <v>228</v>
      </c>
      <c r="CL100" s="0" t="s">
        <v>228</v>
      </c>
      <c r="CM100" s="0" t="s">
        <v>4126</v>
      </c>
      <c r="CN100" s="0" t="s">
        <v>4126</v>
      </c>
      <c r="CO100" s="0" t="s">
        <v>228</v>
      </c>
      <c r="CP100" s="0" t="s">
        <v>228</v>
      </c>
      <c r="CQ100" s="0" t="s">
        <v>228</v>
      </c>
      <c r="CR100" s="0" t="s">
        <v>228</v>
      </c>
      <c r="CS100" s="0" t="s">
        <v>3743</v>
      </c>
      <c r="CT100" s="0" t="s">
        <v>3568</v>
      </c>
      <c r="CU100" s="0" t="s">
        <v>3569</v>
      </c>
      <c r="CV100" s="0" t="s">
        <v>418</v>
      </c>
      <c r="CW100" s="0" t="s">
        <v>3622</v>
      </c>
      <c r="CX100" s="0" t="s">
        <v>419</v>
      </c>
      <c r="CY100" s="0" t="s">
        <v>418</v>
      </c>
      <c r="CZ100" s="0" t="s">
        <v>3623</v>
      </c>
      <c r="DA100" s="0" t="s">
        <v>3624</v>
      </c>
      <c r="DB100" s="0" t="s">
        <v>3622</v>
      </c>
      <c r="DC100" s="0" t="s">
        <v>362</v>
      </c>
      <c r="DD100" s="0" t="s">
        <v>3572</v>
      </c>
      <c r="DE100" s="0" t="s">
        <v>4127</v>
      </c>
    </row>
    <row customHeight="1" ht="11.25">
      <c r="A101" s="1353" t="s">
        <v>228</v>
      </c>
      <c r="B101" s="0" t="s">
        <v>228</v>
      </c>
      <c r="C101" s="0" t="s">
        <v>228</v>
      </c>
      <c r="D101" s="0" t="s">
        <v>228</v>
      </c>
      <c r="E101" s="0" t="s">
        <v>228</v>
      </c>
      <c r="F101" s="0" t="s">
        <v>228</v>
      </c>
      <c r="G101" s="0" t="s">
        <v>228</v>
      </c>
      <c r="H101" s="0" t="s">
        <v>228</v>
      </c>
      <c r="I101" s="0" t="s">
        <v>3555</v>
      </c>
      <c r="J101" s="0" t="s">
        <v>228</v>
      </c>
      <c r="K101" s="0" t="s">
        <v>228</v>
      </c>
      <c r="L101" s="0" t="s">
        <v>228</v>
      </c>
      <c r="M101" s="0" t="s">
        <v>228</v>
      </c>
      <c r="N101" s="0" t="s">
        <v>228</v>
      </c>
      <c r="O101" s="0" t="s">
        <v>228</v>
      </c>
      <c r="P101" s="0" t="s">
        <v>228</v>
      </c>
      <c r="Q101" s="0" t="s">
        <v>228</v>
      </c>
      <c r="R101" s="0" t="s">
        <v>4128</v>
      </c>
      <c r="S101" s="0" t="s">
        <v>228</v>
      </c>
      <c r="T101" s="0" t="s">
        <v>228</v>
      </c>
      <c r="U101" s="0" t="s">
        <v>101</v>
      </c>
      <c r="V101" s="0" t="s">
        <v>228</v>
      </c>
      <c r="W101" s="0" t="s">
        <v>228</v>
      </c>
      <c r="X101" s="0" t="s">
        <v>3557</v>
      </c>
      <c r="Y101" s="0" t="s">
        <v>228</v>
      </c>
      <c r="Z101" s="0" t="s">
        <v>160</v>
      </c>
      <c r="AA101" s="0" t="s">
        <v>151</v>
      </c>
      <c r="AB101" s="0" t="s">
        <v>151</v>
      </c>
      <c r="AC101" s="0" t="s">
        <v>2715</v>
      </c>
      <c r="AD101" s="0" t="s">
        <v>2715</v>
      </c>
      <c r="AE101" s="0" t="s">
        <v>2716</v>
      </c>
      <c r="AF101" s="0" t="s">
        <v>3594</v>
      </c>
      <c r="AG101" s="0" t="s">
        <v>3595</v>
      </c>
      <c r="AH101" s="0" t="s">
        <v>3642</v>
      </c>
      <c r="AI101" s="0" t="s">
        <v>3643</v>
      </c>
      <c r="AJ101" s="0" t="s">
        <v>4129</v>
      </c>
      <c r="AK101" s="0" t="s">
        <v>4130</v>
      </c>
      <c r="AL101" s="0" t="s">
        <v>3681</v>
      </c>
      <c r="AM101" s="0" t="s">
        <v>3565</v>
      </c>
      <c r="AN101" s="0" t="s">
        <v>4131</v>
      </c>
      <c r="AO101" s="0" t="s">
        <v>4132</v>
      </c>
      <c r="AP101" s="0" t="s">
        <v>228</v>
      </c>
      <c r="AQ101" s="0" t="s">
        <v>228</v>
      </c>
      <c r="AR101" s="0" t="s">
        <v>228</v>
      </c>
      <c r="AS101" s="0" t="s">
        <v>228</v>
      </c>
      <c r="AT101" s="0" t="s">
        <v>228</v>
      </c>
      <c r="AU101" s="0" t="s">
        <v>228</v>
      </c>
      <c r="AV101" s="0" t="s">
        <v>228</v>
      </c>
      <c r="AW101" s="0" t="s">
        <v>228</v>
      </c>
      <c r="AX101" s="0" t="s">
        <v>228</v>
      </c>
      <c r="AY101" s="0" t="s">
        <v>228</v>
      </c>
      <c r="AZ101" s="0" t="s">
        <v>228</v>
      </c>
      <c r="BA101" s="0" t="s">
        <v>228</v>
      </c>
      <c r="BB101" s="0" t="s">
        <v>228</v>
      </c>
      <c r="BC101" s="0" t="s">
        <v>228</v>
      </c>
      <c r="BD101" s="0" t="s">
        <v>228</v>
      </c>
      <c r="BE101" s="0" t="s">
        <v>228</v>
      </c>
      <c r="BF101" s="0" t="s">
        <v>228</v>
      </c>
      <c r="BG101" s="0" t="s">
        <v>228</v>
      </c>
      <c r="BH101" s="0" t="s">
        <v>228</v>
      </c>
      <c r="BI101" s="0" t="s">
        <v>228</v>
      </c>
      <c r="BJ101" s="0" t="s">
        <v>228</v>
      </c>
      <c r="BK101" s="0" t="s">
        <v>228</v>
      </c>
      <c r="BL101" s="0" t="s">
        <v>228</v>
      </c>
      <c r="BM101" s="0" t="s">
        <v>228</v>
      </c>
      <c r="BN101" s="0" t="s">
        <v>228</v>
      </c>
      <c r="BO101" s="0" t="s">
        <v>228</v>
      </c>
      <c r="BP101" s="0" t="s">
        <v>228</v>
      </c>
      <c r="BQ101" s="0" t="s">
        <v>228</v>
      </c>
      <c r="BR101" s="0" t="s">
        <v>228</v>
      </c>
      <c r="BS101" s="0" t="s">
        <v>228</v>
      </c>
      <c r="BT101" s="0" t="s">
        <v>228</v>
      </c>
      <c r="BU101" s="0" t="s">
        <v>228</v>
      </c>
      <c r="BV101" s="0" t="s">
        <v>228</v>
      </c>
      <c r="BW101" s="0" t="s">
        <v>228</v>
      </c>
      <c r="BX101" s="0" t="s">
        <v>228</v>
      </c>
      <c r="BY101" s="0" t="s">
        <v>228</v>
      </c>
      <c r="BZ101" s="0" t="s">
        <v>228</v>
      </c>
      <c r="CA101" s="0" t="s">
        <v>228</v>
      </c>
      <c r="CB101" s="0" t="s">
        <v>228</v>
      </c>
      <c r="CC101" s="0" t="s">
        <v>228</v>
      </c>
      <c r="CD101" s="0" t="s">
        <v>228</v>
      </c>
      <c r="CE101" s="0" t="s">
        <v>228</v>
      </c>
      <c r="CF101" s="0" t="s">
        <v>228</v>
      </c>
      <c r="CG101" s="0" t="s">
        <v>228</v>
      </c>
      <c r="CH101" s="0" t="s">
        <v>228</v>
      </c>
      <c r="CI101" s="0" t="s">
        <v>228</v>
      </c>
      <c r="CJ101" s="0" t="s">
        <v>228</v>
      </c>
      <c r="CK101" s="0" t="s">
        <v>228</v>
      </c>
      <c r="CL101" s="0" t="s">
        <v>228</v>
      </c>
      <c r="CM101" s="0" t="s">
        <v>228</v>
      </c>
      <c r="CN101" s="0" t="s">
        <v>228</v>
      </c>
      <c r="CO101" s="0" t="s">
        <v>228</v>
      </c>
      <c r="CP101" s="0" t="s">
        <v>228</v>
      </c>
      <c r="CQ101" s="0" t="s">
        <v>228</v>
      </c>
      <c r="CR101" s="0" t="s">
        <v>228</v>
      </c>
      <c r="CS101" s="0" t="s">
        <v>228</v>
      </c>
      <c r="CT101" s="0" t="s">
        <v>3568</v>
      </c>
      <c r="CU101" s="0" t="s">
        <v>3569</v>
      </c>
      <c r="CV101" s="0" t="s">
        <v>418</v>
      </c>
      <c r="CW101" s="0" t="s">
        <v>3602</v>
      </c>
      <c r="CX101" s="0" t="s">
        <v>3603</v>
      </c>
      <c r="CY101" s="0" t="s">
        <v>418</v>
      </c>
      <c r="CZ101" s="0" t="s">
        <v>504</v>
      </c>
      <c r="DA101" s="0" t="s">
        <v>3604</v>
      </c>
      <c r="DB101" s="0" t="s">
        <v>3602</v>
      </c>
      <c r="DC101" s="0" t="s">
        <v>362</v>
      </c>
      <c r="DD101" s="0" t="s">
        <v>3572</v>
      </c>
      <c r="DE101" s="0" t="s">
        <v>3647</v>
      </c>
    </row>
    <row customHeight="1" ht="11.25">
      <c r="A102" s="1353" t="s">
        <v>228</v>
      </c>
      <c r="B102" s="0" t="s">
        <v>228</v>
      </c>
      <c r="C102" s="0" t="s">
        <v>228</v>
      </c>
      <c r="D102" s="0" t="s">
        <v>228</v>
      </c>
      <c r="E102" s="0" t="s">
        <v>228</v>
      </c>
      <c r="F102" s="0" t="s">
        <v>228</v>
      </c>
      <c r="G102" s="0" t="s">
        <v>228</v>
      </c>
      <c r="H102" s="0" t="s">
        <v>228</v>
      </c>
      <c r="I102" s="0" t="s">
        <v>3555</v>
      </c>
      <c r="J102" s="0" t="s">
        <v>228</v>
      </c>
      <c r="K102" s="0" t="s">
        <v>228</v>
      </c>
      <c r="L102" s="0" t="s">
        <v>228</v>
      </c>
      <c r="M102" s="0" t="s">
        <v>228</v>
      </c>
      <c r="N102" s="0" t="s">
        <v>228</v>
      </c>
      <c r="O102" s="0" t="s">
        <v>228</v>
      </c>
      <c r="P102" s="0" t="s">
        <v>228</v>
      </c>
      <c r="Q102" s="0" t="s">
        <v>228</v>
      </c>
      <c r="R102" s="0" t="s">
        <v>3648</v>
      </c>
      <c r="S102" s="0" t="s">
        <v>228</v>
      </c>
      <c r="T102" s="0" t="s">
        <v>228</v>
      </c>
      <c r="U102" s="0" t="s">
        <v>101</v>
      </c>
      <c r="V102" s="0" t="s">
        <v>228</v>
      </c>
      <c r="W102" s="0" t="s">
        <v>228</v>
      </c>
      <c r="X102" s="0" t="s">
        <v>3557</v>
      </c>
      <c r="Y102" s="0" t="s">
        <v>228</v>
      </c>
      <c r="Z102" s="0" t="s">
        <v>160</v>
      </c>
      <c r="AA102" s="0" t="s">
        <v>151</v>
      </c>
      <c r="AB102" s="0" t="s">
        <v>151</v>
      </c>
      <c r="AC102" s="0" t="s">
        <v>2317</v>
      </c>
      <c r="AD102" s="0" t="s">
        <v>2317</v>
      </c>
      <c r="AE102" s="0" t="s">
        <v>2318</v>
      </c>
      <c r="AF102" s="0" t="s">
        <v>4133</v>
      </c>
      <c r="AG102" s="0" t="s">
        <v>4134</v>
      </c>
      <c r="AH102" s="0" t="s">
        <v>4135</v>
      </c>
      <c r="AI102" s="0" t="s">
        <v>4136</v>
      </c>
      <c r="AJ102" s="0" t="s">
        <v>3627</v>
      </c>
      <c r="AK102" s="0" t="s">
        <v>3749</v>
      </c>
      <c r="AL102" s="0" t="s">
        <v>3581</v>
      </c>
      <c r="AM102" s="0" t="s">
        <v>3565</v>
      </c>
      <c r="AN102" s="0" t="s">
        <v>3628</v>
      </c>
      <c r="AO102" s="0" t="s">
        <v>3829</v>
      </c>
      <c r="AP102" s="0" t="s">
        <v>228</v>
      </c>
      <c r="AQ102" s="0" t="s">
        <v>228</v>
      </c>
      <c r="AR102" s="0" t="s">
        <v>228</v>
      </c>
      <c r="AS102" s="0" t="s">
        <v>228</v>
      </c>
      <c r="AT102" s="0" t="s">
        <v>228</v>
      </c>
      <c r="AU102" s="0" t="s">
        <v>228</v>
      </c>
      <c r="AV102" s="0" t="s">
        <v>228</v>
      </c>
      <c r="AW102" s="0" t="s">
        <v>228</v>
      </c>
      <c r="AX102" s="0" t="s">
        <v>228</v>
      </c>
      <c r="AY102" s="0" t="s">
        <v>228</v>
      </c>
      <c r="AZ102" s="0" t="s">
        <v>228</v>
      </c>
      <c r="BA102" s="0" t="s">
        <v>228</v>
      </c>
      <c r="BB102" s="0" t="s">
        <v>228</v>
      </c>
      <c r="BC102" s="0" t="s">
        <v>228</v>
      </c>
      <c r="BD102" s="0" t="s">
        <v>228</v>
      </c>
      <c r="BE102" s="0" t="s">
        <v>228</v>
      </c>
      <c r="BF102" s="0" t="s">
        <v>228</v>
      </c>
      <c r="BG102" s="0" t="s">
        <v>228</v>
      </c>
      <c r="BH102" s="0" t="s">
        <v>228</v>
      </c>
      <c r="BI102" s="0" t="s">
        <v>228</v>
      </c>
      <c r="BJ102" s="0" t="s">
        <v>228</v>
      </c>
      <c r="BK102" s="0" t="s">
        <v>228</v>
      </c>
      <c r="BL102" s="0" t="s">
        <v>228</v>
      </c>
      <c r="BM102" s="0" t="s">
        <v>228</v>
      </c>
      <c r="BN102" s="0" t="s">
        <v>228</v>
      </c>
      <c r="BO102" s="0" t="s">
        <v>228</v>
      </c>
      <c r="BP102" s="0" t="s">
        <v>228</v>
      </c>
      <c r="BQ102" s="0" t="s">
        <v>228</v>
      </c>
      <c r="BR102" s="0" t="s">
        <v>228</v>
      </c>
      <c r="BS102" s="0" t="s">
        <v>228</v>
      </c>
      <c r="BT102" s="0" t="s">
        <v>228</v>
      </c>
      <c r="BU102" s="0" t="s">
        <v>228</v>
      </c>
      <c r="BV102" s="0" t="s">
        <v>228</v>
      </c>
      <c r="BW102" s="0" t="s">
        <v>228</v>
      </c>
      <c r="BX102" s="0" t="s">
        <v>228</v>
      </c>
      <c r="BY102" s="0" t="s">
        <v>228</v>
      </c>
      <c r="BZ102" s="0" t="s">
        <v>228</v>
      </c>
      <c r="CA102" s="0" t="s">
        <v>228</v>
      </c>
      <c r="CB102" s="0" t="s">
        <v>228</v>
      </c>
      <c r="CC102" s="0" t="s">
        <v>228</v>
      </c>
      <c r="CD102" s="0" t="s">
        <v>228</v>
      </c>
      <c r="CE102" s="0" t="s">
        <v>228</v>
      </c>
      <c r="CF102" s="0" t="s">
        <v>228</v>
      </c>
      <c r="CG102" s="0" t="s">
        <v>228</v>
      </c>
      <c r="CH102" s="0" t="s">
        <v>228</v>
      </c>
      <c r="CI102" s="0" t="s">
        <v>228</v>
      </c>
      <c r="CJ102" s="0" t="s">
        <v>228</v>
      </c>
      <c r="CK102" s="0" t="s">
        <v>228</v>
      </c>
      <c r="CL102" s="0" t="s">
        <v>228</v>
      </c>
      <c r="CM102" s="0" t="s">
        <v>228</v>
      </c>
      <c r="CN102" s="0" t="s">
        <v>228</v>
      </c>
      <c r="CO102" s="0" t="s">
        <v>228</v>
      </c>
      <c r="CP102" s="0" t="s">
        <v>228</v>
      </c>
      <c r="CQ102" s="0" t="s">
        <v>228</v>
      </c>
      <c r="CR102" s="0" t="s">
        <v>228</v>
      </c>
      <c r="CS102" s="0" t="s">
        <v>228</v>
      </c>
      <c r="CT102" s="0" t="s">
        <v>3568</v>
      </c>
      <c r="CU102" s="0" t="s">
        <v>3569</v>
      </c>
      <c r="CV102" s="0" t="s">
        <v>418</v>
      </c>
      <c r="CW102" s="0" t="s">
        <v>3622</v>
      </c>
      <c r="CX102" s="0" t="s">
        <v>419</v>
      </c>
      <c r="CY102" s="0" t="s">
        <v>418</v>
      </c>
      <c r="CZ102" s="0" t="s">
        <v>3623</v>
      </c>
      <c r="DA102" s="0" t="s">
        <v>3624</v>
      </c>
      <c r="DB102" s="0" t="s">
        <v>3622</v>
      </c>
      <c r="DC102" s="0" t="s">
        <v>362</v>
      </c>
      <c r="DD102" s="0" t="s">
        <v>3572</v>
      </c>
      <c r="DE102" s="0" t="s">
        <v>4137</v>
      </c>
    </row>
    <row customHeight="1" ht="11.25">
      <c r="A103" s="1353" t="s">
        <v>228</v>
      </c>
      <c r="B103" s="0" t="s">
        <v>228</v>
      </c>
      <c r="C103" s="0" t="s">
        <v>228</v>
      </c>
      <c r="D103" s="0" t="s">
        <v>228</v>
      </c>
      <c r="E103" s="0" t="s">
        <v>228</v>
      </c>
      <c r="F103" s="0" t="s">
        <v>228</v>
      </c>
      <c r="G103" s="0" t="s">
        <v>228</v>
      </c>
      <c r="H103" s="0" t="s">
        <v>228</v>
      </c>
      <c r="I103" s="0" t="s">
        <v>3555</v>
      </c>
      <c r="J103" s="0" t="s">
        <v>228</v>
      </c>
      <c r="K103" s="0" t="s">
        <v>228</v>
      </c>
      <c r="L103" s="0" t="s">
        <v>228</v>
      </c>
      <c r="M103" s="0" t="s">
        <v>228</v>
      </c>
      <c r="N103" s="0" t="s">
        <v>228</v>
      </c>
      <c r="O103" s="0" t="s">
        <v>228</v>
      </c>
      <c r="P103" s="0" t="s">
        <v>228</v>
      </c>
      <c r="Q103" s="0" t="s">
        <v>228</v>
      </c>
      <c r="R103" s="0" t="s">
        <v>4138</v>
      </c>
      <c r="S103" s="0" t="s">
        <v>228</v>
      </c>
      <c r="T103" s="0" t="s">
        <v>228</v>
      </c>
      <c r="U103" s="0" t="s">
        <v>101</v>
      </c>
      <c r="V103" s="0" t="s">
        <v>228</v>
      </c>
      <c r="W103" s="0" t="s">
        <v>228</v>
      </c>
      <c r="X103" s="0" t="s">
        <v>3661</v>
      </c>
      <c r="Y103" s="0" t="s">
        <v>228</v>
      </c>
      <c r="Z103" s="0" t="s">
        <v>151</v>
      </c>
      <c r="AA103" s="0" t="s">
        <v>151</v>
      </c>
      <c r="AB103" s="0" t="s">
        <v>160</v>
      </c>
      <c r="AC103" s="0" t="s">
        <v>2317</v>
      </c>
      <c r="AD103" s="0" t="s">
        <v>2317</v>
      </c>
      <c r="AE103" s="0" t="s">
        <v>2318</v>
      </c>
      <c r="AF103" s="0" t="s">
        <v>4133</v>
      </c>
      <c r="AG103" s="0" t="s">
        <v>4134</v>
      </c>
      <c r="AH103" s="0" t="s">
        <v>3651</v>
      </c>
      <c r="AI103" s="0" t="s">
        <v>3651</v>
      </c>
      <c r="AJ103" s="0" t="s">
        <v>228</v>
      </c>
      <c r="AK103" s="0" t="s">
        <v>228</v>
      </c>
      <c r="AL103" s="0" t="s">
        <v>228</v>
      </c>
      <c r="AM103" s="0" t="s">
        <v>228</v>
      </c>
      <c r="AN103" s="0" t="s">
        <v>228</v>
      </c>
      <c r="AO103" s="0" t="s">
        <v>228</v>
      </c>
      <c r="AP103" s="0" t="s">
        <v>228</v>
      </c>
      <c r="AQ103" s="0" t="s">
        <v>228</v>
      </c>
      <c r="AR103" s="0" t="s">
        <v>228</v>
      </c>
      <c r="AS103" s="0" t="s">
        <v>228</v>
      </c>
      <c r="AT103" s="0" t="s">
        <v>228</v>
      </c>
      <c r="AU103" s="0" t="s">
        <v>228</v>
      </c>
      <c r="AV103" s="0" t="s">
        <v>228</v>
      </c>
      <c r="AW103" s="0" t="s">
        <v>228</v>
      </c>
      <c r="AX103" s="0" t="s">
        <v>228</v>
      </c>
      <c r="AY103" s="0" t="s">
        <v>228</v>
      </c>
      <c r="AZ103" s="0" t="s">
        <v>228</v>
      </c>
      <c r="BA103" s="0" t="s">
        <v>228</v>
      </c>
      <c r="BB103" s="0" t="s">
        <v>228</v>
      </c>
      <c r="BC103" s="0" t="s">
        <v>228</v>
      </c>
      <c r="BD103" s="0" t="s">
        <v>228</v>
      </c>
      <c r="BE103" s="0" t="s">
        <v>3627</v>
      </c>
      <c r="BF103" s="0" t="s">
        <v>3749</v>
      </c>
      <c r="BG103" s="0" t="s">
        <v>111</v>
      </c>
      <c r="BH103" s="0" t="s">
        <v>3665</v>
      </c>
      <c r="BI103" s="0" t="s">
        <v>122</v>
      </c>
      <c r="BJ103" s="0" t="s">
        <v>228</v>
      </c>
      <c r="BK103" s="0" t="s">
        <v>3684</v>
      </c>
      <c r="BL103" s="0" t="s">
        <v>2317</v>
      </c>
      <c r="BM103" s="0" t="s">
        <v>2317</v>
      </c>
      <c r="BN103" s="0" t="s">
        <v>3740</v>
      </c>
      <c r="BO103" s="0" t="s">
        <v>4133</v>
      </c>
      <c r="BP103" s="0" t="s">
        <v>4139</v>
      </c>
      <c r="BQ103" s="0" t="s">
        <v>3651</v>
      </c>
      <c r="BR103" s="0" t="s">
        <v>3651</v>
      </c>
      <c r="BS103" s="0" t="s">
        <v>228</v>
      </c>
      <c r="BT103" s="0" t="s">
        <v>3727</v>
      </c>
      <c r="BU103" s="0" t="s">
        <v>4140</v>
      </c>
      <c r="BV103" s="0" t="s">
        <v>4140</v>
      </c>
      <c r="BW103" s="0" t="s">
        <v>3674</v>
      </c>
      <c r="BX103" s="0" t="s">
        <v>3674</v>
      </c>
      <c r="BY103" s="0" t="s">
        <v>3674</v>
      </c>
      <c r="BZ103" s="0" t="s">
        <v>3674</v>
      </c>
      <c r="CA103" s="0" t="s">
        <v>3674</v>
      </c>
      <c r="CB103" s="0" t="s">
        <v>228</v>
      </c>
      <c r="CC103" s="0" t="s">
        <v>228</v>
      </c>
      <c r="CD103" s="0" t="s">
        <v>228</v>
      </c>
      <c r="CE103" s="0" t="s">
        <v>228</v>
      </c>
      <c r="CF103" s="0" t="s">
        <v>228</v>
      </c>
      <c r="CG103" s="0" t="s">
        <v>3674</v>
      </c>
      <c r="CH103" s="0" t="s">
        <v>228</v>
      </c>
      <c r="CI103" s="0" t="s">
        <v>228</v>
      </c>
      <c r="CJ103" s="0" t="s">
        <v>228</v>
      </c>
      <c r="CK103" s="0" t="s">
        <v>228</v>
      </c>
      <c r="CL103" s="0" t="s">
        <v>228</v>
      </c>
      <c r="CM103" s="0" t="s">
        <v>4140</v>
      </c>
      <c r="CN103" s="0" t="s">
        <v>4140</v>
      </c>
      <c r="CO103" s="0" t="s">
        <v>228</v>
      </c>
      <c r="CP103" s="0" t="s">
        <v>228</v>
      </c>
      <c r="CQ103" s="0" t="s">
        <v>228</v>
      </c>
      <c r="CR103" s="0" t="s">
        <v>228</v>
      </c>
      <c r="CS103" s="0" t="s">
        <v>3743</v>
      </c>
      <c r="CT103" s="0" t="s">
        <v>3568</v>
      </c>
      <c r="CU103" s="0" t="s">
        <v>3569</v>
      </c>
      <c r="CV103" s="0" t="s">
        <v>418</v>
      </c>
      <c r="CW103" s="0" t="s">
        <v>3622</v>
      </c>
      <c r="CX103" s="0" t="s">
        <v>419</v>
      </c>
      <c r="CY103" s="0" t="s">
        <v>418</v>
      </c>
      <c r="CZ103" s="0" t="s">
        <v>3623</v>
      </c>
      <c r="DA103" s="0" t="s">
        <v>3624</v>
      </c>
      <c r="DB103" s="0" t="s">
        <v>3622</v>
      </c>
      <c r="DC103" s="0" t="s">
        <v>362</v>
      </c>
      <c r="DD103" s="0" t="s">
        <v>3572</v>
      </c>
      <c r="DE103" s="0" t="s">
        <v>4141</v>
      </c>
    </row>
    <row customHeight="1" ht="11.25">
      <c r="A104" s="1353" t="s">
        <v>228</v>
      </c>
      <c r="B104" s="0" t="s">
        <v>228</v>
      </c>
      <c r="C104" s="0" t="s">
        <v>228</v>
      </c>
      <c r="D104" s="0" t="s">
        <v>228</v>
      </c>
      <c r="E104" s="0" t="s">
        <v>228</v>
      </c>
      <c r="F104" s="0" t="s">
        <v>228</v>
      </c>
      <c r="G104" s="0" t="s">
        <v>228</v>
      </c>
      <c r="H104" s="0" t="s">
        <v>228</v>
      </c>
      <c r="I104" s="0" t="s">
        <v>3555</v>
      </c>
      <c r="J104" s="0" t="s">
        <v>228</v>
      </c>
      <c r="K104" s="0" t="s">
        <v>228</v>
      </c>
      <c r="L104" s="0" t="s">
        <v>228</v>
      </c>
      <c r="M104" s="0" t="s">
        <v>228</v>
      </c>
      <c r="N104" s="0" t="s">
        <v>228</v>
      </c>
      <c r="O104" s="0" t="s">
        <v>228</v>
      </c>
      <c r="P104" s="0" t="s">
        <v>228</v>
      </c>
      <c r="Q104" s="0" t="s">
        <v>228</v>
      </c>
      <c r="R104" s="0" t="s">
        <v>4142</v>
      </c>
      <c r="S104" s="0" t="s">
        <v>228</v>
      </c>
      <c r="T104" s="0" t="s">
        <v>228</v>
      </c>
      <c r="U104" s="0" t="s">
        <v>101</v>
      </c>
      <c r="V104" s="0" t="s">
        <v>228</v>
      </c>
      <c r="W104" s="0" t="s">
        <v>228</v>
      </c>
      <c r="X104" s="0" t="s">
        <v>3557</v>
      </c>
      <c r="Y104" s="0" t="s">
        <v>228</v>
      </c>
      <c r="Z104" s="0" t="s">
        <v>160</v>
      </c>
      <c r="AA104" s="0" t="s">
        <v>151</v>
      </c>
      <c r="AB104" s="0" t="s">
        <v>151</v>
      </c>
      <c r="AC104" s="0" t="s">
        <v>2715</v>
      </c>
      <c r="AD104" s="0" t="s">
        <v>2715</v>
      </c>
      <c r="AE104" s="0" t="s">
        <v>2716</v>
      </c>
      <c r="AF104" s="0" t="s">
        <v>3594</v>
      </c>
      <c r="AG104" s="0" t="s">
        <v>3595</v>
      </c>
      <c r="AH104" s="0" t="s">
        <v>4080</v>
      </c>
      <c r="AI104" s="0" t="s">
        <v>3608</v>
      </c>
      <c r="AJ104" s="0" t="s">
        <v>4143</v>
      </c>
      <c r="AK104" s="0" t="s">
        <v>4081</v>
      </c>
      <c r="AL104" s="0" t="s">
        <v>3681</v>
      </c>
      <c r="AM104" s="0" t="s">
        <v>3565</v>
      </c>
      <c r="AN104" s="0" t="s">
        <v>3654</v>
      </c>
      <c r="AO104" s="0" t="s">
        <v>4144</v>
      </c>
      <c r="AP104" s="0" t="s">
        <v>228</v>
      </c>
      <c r="AQ104" s="0" t="s">
        <v>228</v>
      </c>
      <c r="AR104" s="0" t="s">
        <v>228</v>
      </c>
      <c r="AS104" s="0" t="s">
        <v>228</v>
      </c>
      <c r="AT104" s="0" t="s">
        <v>228</v>
      </c>
      <c r="AU104" s="0" t="s">
        <v>228</v>
      </c>
      <c r="AV104" s="0" t="s">
        <v>228</v>
      </c>
      <c r="AW104" s="0" t="s">
        <v>228</v>
      </c>
      <c r="AX104" s="0" t="s">
        <v>228</v>
      </c>
      <c r="AY104" s="0" t="s">
        <v>228</v>
      </c>
      <c r="AZ104" s="0" t="s">
        <v>228</v>
      </c>
      <c r="BA104" s="0" t="s">
        <v>228</v>
      </c>
      <c r="BB104" s="0" t="s">
        <v>228</v>
      </c>
      <c r="BC104" s="0" t="s">
        <v>228</v>
      </c>
      <c r="BD104" s="0" t="s">
        <v>228</v>
      </c>
      <c r="BE104" s="0" t="s">
        <v>228</v>
      </c>
      <c r="BF104" s="0" t="s">
        <v>228</v>
      </c>
      <c r="BG104" s="0" t="s">
        <v>228</v>
      </c>
      <c r="BH104" s="0" t="s">
        <v>228</v>
      </c>
      <c r="BI104" s="0" t="s">
        <v>228</v>
      </c>
      <c r="BJ104" s="0" t="s">
        <v>228</v>
      </c>
      <c r="BK104" s="0" t="s">
        <v>228</v>
      </c>
      <c r="BL104" s="0" t="s">
        <v>228</v>
      </c>
      <c r="BM104" s="0" t="s">
        <v>228</v>
      </c>
      <c r="BN104" s="0" t="s">
        <v>228</v>
      </c>
      <c r="BO104" s="0" t="s">
        <v>228</v>
      </c>
      <c r="BP104" s="0" t="s">
        <v>228</v>
      </c>
      <c r="BQ104" s="0" t="s">
        <v>228</v>
      </c>
      <c r="BR104" s="0" t="s">
        <v>228</v>
      </c>
      <c r="BS104" s="0" t="s">
        <v>228</v>
      </c>
      <c r="BT104" s="0" t="s">
        <v>228</v>
      </c>
      <c r="BU104" s="0" t="s">
        <v>228</v>
      </c>
      <c r="BV104" s="0" t="s">
        <v>228</v>
      </c>
      <c r="BW104" s="0" t="s">
        <v>228</v>
      </c>
      <c r="BX104" s="0" t="s">
        <v>228</v>
      </c>
      <c r="BY104" s="0" t="s">
        <v>228</v>
      </c>
      <c r="BZ104" s="0" t="s">
        <v>228</v>
      </c>
      <c r="CA104" s="0" t="s">
        <v>228</v>
      </c>
      <c r="CB104" s="0" t="s">
        <v>228</v>
      </c>
      <c r="CC104" s="0" t="s">
        <v>228</v>
      </c>
      <c r="CD104" s="0" t="s">
        <v>228</v>
      </c>
      <c r="CE104" s="0" t="s">
        <v>228</v>
      </c>
      <c r="CF104" s="0" t="s">
        <v>228</v>
      </c>
      <c r="CG104" s="0" t="s">
        <v>228</v>
      </c>
      <c r="CH104" s="0" t="s">
        <v>228</v>
      </c>
      <c r="CI104" s="0" t="s">
        <v>228</v>
      </c>
      <c r="CJ104" s="0" t="s">
        <v>228</v>
      </c>
      <c r="CK104" s="0" t="s">
        <v>228</v>
      </c>
      <c r="CL104" s="0" t="s">
        <v>228</v>
      </c>
      <c r="CM104" s="0" t="s">
        <v>228</v>
      </c>
      <c r="CN104" s="0" t="s">
        <v>228</v>
      </c>
      <c r="CO104" s="0" t="s">
        <v>228</v>
      </c>
      <c r="CP104" s="0" t="s">
        <v>228</v>
      </c>
      <c r="CQ104" s="0" t="s">
        <v>228</v>
      </c>
      <c r="CR104" s="0" t="s">
        <v>228</v>
      </c>
      <c r="CS104" s="0" t="s">
        <v>228</v>
      </c>
      <c r="CT104" s="0" t="s">
        <v>3568</v>
      </c>
      <c r="CU104" s="0" t="s">
        <v>3569</v>
      </c>
      <c r="CV104" s="0" t="s">
        <v>418</v>
      </c>
      <c r="CW104" s="0" t="s">
        <v>3602</v>
      </c>
      <c r="CX104" s="0" t="s">
        <v>3603</v>
      </c>
      <c r="CY104" s="0" t="s">
        <v>418</v>
      </c>
      <c r="CZ104" s="0" t="s">
        <v>504</v>
      </c>
      <c r="DA104" s="0" t="s">
        <v>3604</v>
      </c>
      <c r="DB104" s="0" t="s">
        <v>3602</v>
      </c>
      <c r="DC104" s="0" t="s">
        <v>362</v>
      </c>
      <c r="DD104" s="0" t="s">
        <v>3572</v>
      </c>
      <c r="DE104" s="0" t="s">
        <v>4083</v>
      </c>
    </row>
    <row customHeight="1" ht="11.25">
      <c r="A105" s="1353" t="s">
        <v>228</v>
      </c>
      <c r="B105" s="0" t="s">
        <v>228</v>
      </c>
      <c r="C105" s="0" t="s">
        <v>228</v>
      </c>
      <c r="D105" s="0" t="s">
        <v>228</v>
      </c>
      <c r="E105" s="0" t="s">
        <v>228</v>
      </c>
      <c r="F105" s="0" t="s">
        <v>228</v>
      </c>
      <c r="G105" s="0" t="s">
        <v>228</v>
      </c>
      <c r="H105" s="0" t="s">
        <v>228</v>
      </c>
      <c r="I105" s="0" t="s">
        <v>3555</v>
      </c>
      <c r="J105" s="0" t="s">
        <v>228</v>
      </c>
      <c r="K105" s="0" t="s">
        <v>228</v>
      </c>
      <c r="L105" s="0" t="s">
        <v>228</v>
      </c>
      <c r="M105" s="0" t="s">
        <v>228</v>
      </c>
      <c r="N105" s="0" t="s">
        <v>228</v>
      </c>
      <c r="O105" s="0" t="s">
        <v>228</v>
      </c>
      <c r="P105" s="0" t="s">
        <v>228</v>
      </c>
      <c r="Q105" s="0" t="s">
        <v>228</v>
      </c>
      <c r="R105" s="0" t="s">
        <v>4145</v>
      </c>
      <c r="S105" s="0" t="s">
        <v>228</v>
      </c>
      <c r="T105" s="0" t="s">
        <v>228</v>
      </c>
      <c r="U105" s="0" t="s">
        <v>101</v>
      </c>
      <c r="V105" s="0" t="s">
        <v>228</v>
      </c>
      <c r="W105" s="0" t="s">
        <v>228</v>
      </c>
      <c r="X105" s="0" t="s">
        <v>3661</v>
      </c>
      <c r="Y105" s="0" t="s">
        <v>228</v>
      </c>
      <c r="Z105" s="0" t="s">
        <v>151</v>
      </c>
      <c r="AA105" s="0" t="s">
        <v>151</v>
      </c>
      <c r="AB105" s="0" t="s">
        <v>160</v>
      </c>
      <c r="AC105" s="0" t="s">
        <v>2721</v>
      </c>
      <c r="AD105" s="0" t="s">
        <v>2721</v>
      </c>
      <c r="AE105" s="0" t="s">
        <v>2722</v>
      </c>
      <c r="AF105" s="0" t="s">
        <v>4024</v>
      </c>
      <c r="AG105" s="0" t="s">
        <v>4025</v>
      </c>
      <c r="AH105" s="0" t="s">
        <v>4146</v>
      </c>
      <c r="AI105" s="0" t="s">
        <v>151</v>
      </c>
      <c r="AJ105" s="0" t="s">
        <v>228</v>
      </c>
      <c r="AK105" s="0" t="s">
        <v>228</v>
      </c>
      <c r="AL105" s="0" t="s">
        <v>228</v>
      </c>
      <c r="AM105" s="0" t="s">
        <v>228</v>
      </c>
      <c r="AN105" s="0" t="s">
        <v>228</v>
      </c>
      <c r="AO105" s="0" t="s">
        <v>228</v>
      </c>
      <c r="AP105" s="0" t="s">
        <v>228</v>
      </c>
      <c r="AQ105" s="0" t="s">
        <v>228</v>
      </c>
      <c r="AR105" s="0" t="s">
        <v>228</v>
      </c>
      <c r="AS105" s="0" t="s">
        <v>228</v>
      </c>
      <c r="AT105" s="0" t="s">
        <v>228</v>
      </c>
      <c r="AU105" s="0" t="s">
        <v>228</v>
      </c>
      <c r="AV105" s="0" t="s">
        <v>228</v>
      </c>
      <c r="AW105" s="0" t="s">
        <v>228</v>
      </c>
      <c r="AX105" s="0" t="s">
        <v>228</v>
      </c>
      <c r="AY105" s="0" t="s">
        <v>228</v>
      </c>
      <c r="AZ105" s="0" t="s">
        <v>228</v>
      </c>
      <c r="BA105" s="0" t="s">
        <v>228</v>
      </c>
      <c r="BB105" s="0" t="s">
        <v>228</v>
      </c>
      <c r="BC105" s="0" t="s">
        <v>228</v>
      </c>
      <c r="BD105" s="0" t="s">
        <v>228</v>
      </c>
      <c r="BE105" s="0" t="s">
        <v>4027</v>
      </c>
      <c r="BF105" s="0" t="s">
        <v>4147</v>
      </c>
      <c r="BG105" s="0" t="s">
        <v>111</v>
      </c>
      <c r="BH105" s="0" t="s">
        <v>3665</v>
      </c>
      <c r="BI105" s="0" t="s">
        <v>122</v>
      </c>
      <c r="BJ105" s="0" t="s">
        <v>228</v>
      </c>
      <c r="BK105" s="0" t="s">
        <v>4148</v>
      </c>
      <c r="BL105" s="0" t="s">
        <v>2721</v>
      </c>
      <c r="BM105" s="0" t="s">
        <v>2721</v>
      </c>
      <c r="BN105" s="0" t="s">
        <v>4149</v>
      </c>
      <c r="BO105" s="0" t="s">
        <v>4024</v>
      </c>
      <c r="BP105" s="0" t="s">
        <v>4150</v>
      </c>
      <c r="BQ105" s="0" t="s">
        <v>4151</v>
      </c>
      <c r="BR105" s="0" t="s">
        <v>151</v>
      </c>
      <c r="BS105" s="0" t="s">
        <v>228</v>
      </c>
      <c r="BT105" s="0" t="s">
        <v>3670</v>
      </c>
      <c r="BU105" s="0" t="s">
        <v>4152</v>
      </c>
      <c r="BV105" s="0" t="s">
        <v>4153</v>
      </c>
      <c r="BW105" s="0" t="s">
        <v>4154</v>
      </c>
      <c r="BX105" s="0" t="s">
        <v>3674</v>
      </c>
      <c r="BY105" s="0" t="s">
        <v>3674</v>
      </c>
      <c r="BZ105" s="0" t="s">
        <v>3674</v>
      </c>
      <c r="CA105" s="0" t="s">
        <v>3674</v>
      </c>
      <c r="CB105" s="0" t="s">
        <v>3674</v>
      </c>
      <c r="CC105" s="0" t="s">
        <v>3674</v>
      </c>
      <c r="CD105" s="0" t="s">
        <v>3674</v>
      </c>
      <c r="CE105" s="0" t="s">
        <v>3674</v>
      </c>
      <c r="CF105" s="0" t="s">
        <v>3674</v>
      </c>
      <c r="CG105" s="0" t="s">
        <v>3674</v>
      </c>
      <c r="CH105" s="0" t="s">
        <v>3674</v>
      </c>
      <c r="CI105" s="0" t="s">
        <v>3674</v>
      </c>
      <c r="CJ105" s="0" t="s">
        <v>3674</v>
      </c>
      <c r="CK105" s="0" t="s">
        <v>3674</v>
      </c>
      <c r="CL105" s="0" t="s">
        <v>3674</v>
      </c>
      <c r="CM105" s="0" t="s">
        <v>4152</v>
      </c>
      <c r="CN105" s="0" t="s">
        <v>4153</v>
      </c>
      <c r="CO105" s="0" t="s">
        <v>4154</v>
      </c>
      <c r="CP105" s="0" t="s">
        <v>3674</v>
      </c>
      <c r="CQ105" s="0" t="s">
        <v>3674</v>
      </c>
      <c r="CR105" s="0" t="s">
        <v>3674</v>
      </c>
      <c r="CS105" s="0" t="s">
        <v>4155</v>
      </c>
      <c r="CT105" s="0" t="s">
        <v>3568</v>
      </c>
      <c r="CU105" s="0" t="s">
        <v>3569</v>
      </c>
      <c r="CV105" s="0" t="s">
        <v>4030</v>
      </c>
      <c r="CW105" s="0" t="s">
        <v>4031</v>
      </c>
      <c r="CX105" s="0" t="s">
        <v>3603</v>
      </c>
      <c r="CY105" s="0" t="s">
        <v>4030</v>
      </c>
      <c r="CZ105" s="0" t="s">
        <v>3608</v>
      </c>
      <c r="DA105" s="0" t="s">
        <v>4032</v>
      </c>
      <c r="DB105" s="0" t="s">
        <v>3676</v>
      </c>
      <c r="DC105" s="0" t="s">
        <v>362</v>
      </c>
      <c r="DD105" s="0" t="s">
        <v>3572</v>
      </c>
      <c r="DE105" s="0" t="s">
        <v>4156</v>
      </c>
    </row>
    <row customHeight="1" ht="11.25">
      <c r="A106" s="1353" t="s">
        <v>228</v>
      </c>
      <c r="B106" s="0" t="s">
        <v>228</v>
      </c>
      <c r="C106" s="0" t="s">
        <v>228</v>
      </c>
      <c r="D106" s="0" t="s">
        <v>228</v>
      </c>
      <c r="E106" s="0" t="s">
        <v>228</v>
      </c>
      <c r="F106" s="0" t="s">
        <v>228</v>
      </c>
      <c r="G106" s="0" t="s">
        <v>228</v>
      </c>
      <c r="H106" s="0" t="s">
        <v>228</v>
      </c>
      <c r="I106" s="0" t="s">
        <v>3555</v>
      </c>
      <c r="J106" s="0" t="s">
        <v>228</v>
      </c>
      <c r="K106" s="0" t="s">
        <v>228</v>
      </c>
      <c r="L106" s="0" t="s">
        <v>228</v>
      </c>
      <c r="M106" s="0" t="s">
        <v>228</v>
      </c>
      <c r="N106" s="0" t="s">
        <v>228</v>
      </c>
      <c r="O106" s="0" t="s">
        <v>228</v>
      </c>
      <c r="P106" s="0" t="s">
        <v>228</v>
      </c>
      <c r="Q106" s="0" t="s">
        <v>228</v>
      </c>
      <c r="R106" s="0" t="s">
        <v>3684</v>
      </c>
      <c r="S106" s="0" t="s">
        <v>228</v>
      </c>
      <c r="T106" s="0" t="s">
        <v>228</v>
      </c>
      <c r="U106" s="0" t="s">
        <v>101</v>
      </c>
      <c r="V106" s="0" t="s">
        <v>228</v>
      </c>
      <c r="W106" s="0" t="s">
        <v>228</v>
      </c>
      <c r="X106" s="0" t="s">
        <v>3557</v>
      </c>
      <c r="Y106" s="0" t="s">
        <v>228</v>
      </c>
      <c r="Z106" s="0" t="s">
        <v>160</v>
      </c>
      <c r="AA106" s="0" t="s">
        <v>151</v>
      </c>
      <c r="AB106" s="0" t="s">
        <v>151</v>
      </c>
      <c r="AC106" s="0" t="s">
        <v>2311</v>
      </c>
      <c r="AD106" s="0" t="s">
        <v>2311</v>
      </c>
      <c r="AE106" s="0" t="s">
        <v>2312</v>
      </c>
      <c r="AF106" s="0" t="s">
        <v>3719</v>
      </c>
      <c r="AG106" s="0" t="s">
        <v>3720</v>
      </c>
      <c r="AH106" s="0" t="s">
        <v>3725</v>
      </c>
      <c r="AI106" s="0" t="s">
        <v>3726</v>
      </c>
      <c r="AJ106" s="0" t="s">
        <v>3579</v>
      </c>
      <c r="AK106" s="0" t="s">
        <v>3580</v>
      </c>
      <c r="AL106" s="0" t="s">
        <v>3581</v>
      </c>
      <c r="AM106" s="0" t="s">
        <v>3565</v>
      </c>
      <c r="AN106" s="0" t="s">
        <v>3582</v>
      </c>
      <c r="AO106" s="0" t="s">
        <v>4157</v>
      </c>
      <c r="AP106" s="0" t="s">
        <v>228</v>
      </c>
      <c r="AQ106" s="0" t="s">
        <v>228</v>
      </c>
      <c r="AR106" s="0" t="s">
        <v>228</v>
      </c>
      <c r="AS106" s="0" t="s">
        <v>228</v>
      </c>
      <c r="AT106" s="0" t="s">
        <v>228</v>
      </c>
      <c r="AU106" s="0" t="s">
        <v>228</v>
      </c>
      <c r="AV106" s="0" t="s">
        <v>228</v>
      </c>
      <c r="AW106" s="0" t="s">
        <v>228</v>
      </c>
      <c r="AX106" s="0" t="s">
        <v>228</v>
      </c>
      <c r="AY106" s="0" t="s">
        <v>228</v>
      </c>
      <c r="AZ106" s="0" t="s">
        <v>228</v>
      </c>
      <c r="BA106" s="0" t="s">
        <v>228</v>
      </c>
      <c r="BB106" s="0" t="s">
        <v>228</v>
      </c>
      <c r="BC106" s="0" t="s">
        <v>228</v>
      </c>
      <c r="BD106" s="0" t="s">
        <v>228</v>
      </c>
      <c r="BE106" s="0" t="s">
        <v>228</v>
      </c>
      <c r="BF106" s="0" t="s">
        <v>228</v>
      </c>
      <c r="BG106" s="0" t="s">
        <v>228</v>
      </c>
      <c r="BH106" s="0" t="s">
        <v>228</v>
      </c>
      <c r="BI106" s="0" t="s">
        <v>228</v>
      </c>
      <c r="BJ106" s="0" t="s">
        <v>228</v>
      </c>
      <c r="BK106" s="0" t="s">
        <v>228</v>
      </c>
      <c r="BL106" s="0" t="s">
        <v>228</v>
      </c>
      <c r="BM106" s="0" t="s">
        <v>228</v>
      </c>
      <c r="BN106" s="0" t="s">
        <v>228</v>
      </c>
      <c r="BO106" s="0" t="s">
        <v>228</v>
      </c>
      <c r="BP106" s="0" t="s">
        <v>228</v>
      </c>
      <c r="BQ106" s="0" t="s">
        <v>228</v>
      </c>
      <c r="BR106" s="0" t="s">
        <v>228</v>
      </c>
      <c r="BS106" s="0" t="s">
        <v>228</v>
      </c>
      <c r="BT106" s="0" t="s">
        <v>228</v>
      </c>
      <c r="BU106" s="0" t="s">
        <v>228</v>
      </c>
      <c r="BV106" s="0" t="s">
        <v>228</v>
      </c>
      <c r="BW106" s="0" t="s">
        <v>228</v>
      </c>
      <c r="BX106" s="0" t="s">
        <v>228</v>
      </c>
      <c r="BY106" s="0" t="s">
        <v>228</v>
      </c>
      <c r="BZ106" s="0" t="s">
        <v>228</v>
      </c>
      <c r="CA106" s="0" t="s">
        <v>228</v>
      </c>
      <c r="CB106" s="0" t="s">
        <v>228</v>
      </c>
      <c r="CC106" s="0" t="s">
        <v>228</v>
      </c>
      <c r="CD106" s="0" t="s">
        <v>228</v>
      </c>
      <c r="CE106" s="0" t="s">
        <v>228</v>
      </c>
      <c r="CF106" s="0" t="s">
        <v>228</v>
      </c>
      <c r="CG106" s="0" t="s">
        <v>228</v>
      </c>
      <c r="CH106" s="0" t="s">
        <v>228</v>
      </c>
      <c r="CI106" s="0" t="s">
        <v>228</v>
      </c>
      <c r="CJ106" s="0" t="s">
        <v>228</v>
      </c>
      <c r="CK106" s="0" t="s">
        <v>228</v>
      </c>
      <c r="CL106" s="0" t="s">
        <v>228</v>
      </c>
      <c r="CM106" s="0" t="s">
        <v>228</v>
      </c>
      <c r="CN106" s="0" t="s">
        <v>228</v>
      </c>
      <c r="CO106" s="0" t="s">
        <v>228</v>
      </c>
      <c r="CP106" s="0" t="s">
        <v>228</v>
      </c>
      <c r="CQ106" s="0" t="s">
        <v>228</v>
      </c>
      <c r="CR106" s="0" t="s">
        <v>228</v>
      </c>
      <c r="CS106" s="0" t="s">
        <v>228</v>
      </c>
      <c r="CT106" s="0" t="s">
        <v>3568</v>
      </c>
      <c r="CU106" s="0" t="s">
        <v>3569</v>
      </c>
      <c r="CV106" s="0" t="s">
        <v>418</v>
      </c>
      <c r="CW106" s="0" t="s">
        <v>3584</v>
      </c>
      <c r="CX106" s="0" t="s">
        <v>419</v>
      </c>
      <c r="CY106" s="0" t="s">
        <v>418</v>
      </c>
      <c r="CZ106" s="0" t="s">
        <v>3585</v>
      </c>
      <c r="DA106" s="0" t="s">
        <v>3586</v>
      </c>
      <c r="DB106" s="0" t="s">
        <v>3584</v>
      </c>
      <c r="DC106" s="0" t="s">
        <v>362</v>
      </c>
      <c r="DD106" s="0" t="s">
        <v>3572</v>
      </c>
      <c r="DE106" s="0" t="s">
        <v>4158</v>
      </c>
    </row>
    <row customHeight="1" ht="11.25">
      <c r="A107" s="1353" t="s">
        <v>228</v>
      </c>
      <c r="B107" s="0" t="s">
        <v>228</v>
      </c>
      <c r="C107" s="0" t="s">
        <v>228</v>
      </c>
      <c r="D107" s="0" t="s">
        <v>228</v>
      </c>
      <c r="E107" s="0" t="s">
        <v>228</v>
      </c>
      <c r="F107" s="0" t="s">
        <v>228</v>
      </c>
      <c r="G107" s="0" t="s">
        <v>228</v>
      </c>
      <c r="H107" s="0" t="s">
        <v>228</v>
      </c>
      <c r="I107" s="0" t="s">
        <v>3555</v>
      </c>
      <c r="J107" s="0" t="s">
        <v>228</v>
      </c>
      <c r="K107" s="0" t="s">
        <v>228</v>
      </c>
      <c r="L107" s="0" t="s">
        <v>228</v>
      </c>
      <c r="M107" s="0" t="s">
        <v>228</v>
      </c>
      <c r="N107" s="0" t="s">
        <v>228</v>
      </c>
      <c r="O107" s="0" t="s">
        <v>228</v>
      </c>
      <c r="P107" s="0" t="s">
        <v>228</v>
      </c>
      <c r="Q107" s="0" t="s">
        <v>228</v>
      </c>
      <c r="R107" s="0" t="s">
        <v>3718</v>
      </c>
      <c r="S107" s="0" t="s">
        <v>228</v>
      </c>
      <c r="T107" s="0" t="s">
        <v>228</v>
      </c>
      <c r="U107" s="0" t="s">
        <v>101</v>
      </c>
      <c r="V107" s="0" t="s">
        <v>228</v>
      </c>
      <c r="W107" s="0" t="s">
        <v>228</v>
      </c>
      <c r="X107" s="0" t="s">
        <v>3661</v>
      </c>
      <c r="Y107" s="0" t="s">
        <v>228</v>
      </c>
      <c r="Z107" s="0" t="s">
        <v>151</v>
      </c>
      <c r="AA107" s="0" t="s">
        <v>151</v>
      </c>
      <c r="AB107" s="0" t="s">
        <v>160</v>
      </c>
      <c r="AC107" s="0" t="s">
        <v>2311</v>
      </c>
      <c r="AD107" s="0" t="s">
        <v>2311</v>
      </c>
      <c r="AE107" s="0" t="s">
        <v>2312</v>
      </c>
      <c r="AF107" s="0" t="s">
        <v>3685</v>
      </c>
      <c r="AG107" s="0" t="s">
        <v>3686</v>
      </c>
      <c r="AH107" s="0" t="s">
        <v>3685</v>
      </c>
      <c r="AI107" s="0" t="s">
        <v>3721</v>
      </c>
      <c r="AJ107" s="0" t="s">
        <v>228</v>
      </c>
      <c r="AK107" s="0" t="s">
        <v>228</v>
      </c>
      <c r="AL107" s="0" t="s">
        <v>228</v>
      </c>
      <c r="AM107" s="0" t="s">
        <v>228</v>
      </c>
      <c r="AN107" s="0" t="s">
        <v>228</v>
      </c>
      <c r="AO107" s="0" t="s">
        <v>228</v>
      </c>
      <c r="AP107" s="0" t="s">
        <v>228</v>
      </c>
      <c r="AQ107" s="0" t="s">
        <v>228</v>
      </c>
      <c r="AR107" s="0" t="s">
        <v>228</v>
      </c>
      <c r="AS107" s="0" t="s">
        <v>228</v>
      </c>
      <c r="AT107" s="0" t="s">
        <v>228</v>
      </c>
      <c r="AU107" s="0" t="s">
        <v>228</v>
      </c>
      <c r="AV107" s="0" t="s">
        <v>228</v>
      </c>
      <c r="AW107" s="0" t="s">
        <v>228</v>
      </c>
      <c r="AX107" s="0" t="s">
        <v>228</v>
      </c>
      <c r="AY107" s="0" t="s">
        <v>228</v>
      </c>
      <c r="AZ107" s="0" t="s">
        <v>228</v>
      </c>
      <c r="BA107" s="0" t="s">
        <v>228</v>
      </c>
      <c r="BB107" s="0" t="s">
        <v>228</v>
      </c>
      <c r="BC107" s="0" t="s">
        <v>228</v>
      </c>
      <c r="BD107" s="0" t="s">
        <v>228</v>
      </c>
      <c r="BE107" s="0" t="s">
        <v>3722</v>
      </c>
      <c r="BF107" s="0" t="s">
        <v>3722</v>
      </c>
      <c r="BG107" s="0" t="s">
        <v>111</v>
      </c>
      <c r="BH107" s="0" t="s">
        <v>3665</v>
      </c>
      <c r="BI107" s="0" t="s">
        <v>122</v>
      </c>
      <c r="BJ107" s="0" t="s">
        <v>228</v>
      </c>
      <c r="BK107" s="0" t="s">
        <v>3684</v>
      </c>
      <c r="BL107" s="0" t="s">
        <v>2311</v>
      </c>
      <c r="BM107" s="0" t="s">
        <v>2311</v>
      </c>
      <c r="BN107" s="0" t="s">
        <v>3723</v>
      </c>
      <c r="BO107" s="0" t="s">
        <v>3685</v>
      </c>
      <c r="BP107" s="0" t="s">
        <v>4159</v>
      </c>
      <c r="BQ107" s="0" t="s">
        <v>4160</v>
      </c>
      <c r="BR107" s="0" t="s">
        <v>3688</v>
      </c>
      <c r="BS107" s="0" t="s">
        <v>228</v>
      </c>
      <c r="BT107" s="0" t="s">
        <v>3727</v>
      </c>
      <c r="BU107" s="0" t="s">
        <v>4161</v>
      </c>
      <c r="BV107" s="0" t="s">
        <v>4161</v>
      </c>
      <c r="BW107" s="0" t="s">
        <v>3674</v>
      </c>
      <c r="BX107" s="0" t="s">
        <v>3674</v>
      </c>
      <c r="BY107" s="0" t="s">
        <v>3674</v>
      </c>
      <c r="BZ107" s="0" t="s">
        <v>3674</v>
      </c>
      <c r="CA107" s="0" t="s">
        <v>3674</v>
      </c>
      <c r="CB107" s="0" t="s">
        <v>228</v>
      </c>
      <c r="CC107" s="0" t="s">
        <v>228</v>
      </c>
      <c r="CD107" s="0" t="s">
        <v>228</v>
      </c>
      <c r="CE107" s="0" t="s">
        <v>228</v>
      </c>
      <c r="CF107" s="0" t="s">
        <v>228</v>
      </c>
      <c r="CG107" s="0" t="s">
        <v>3674</v>
      </c>
      <c r="CH107" s="0" t="s">
        <v>228</v>
      </c>
      <c r="CI107" s="0" t="s">
        <v>228</v>
      </c>
      <c r="CJ107" s="0" t="s">
        <v>228</v>
      </c>
      <c r="CK107" s="0" t="s">
        <v>228</v>
      </c>
      <c r="CL107" s="0" t="s">
        <v>228</v>
      </c>
      <c r="CM107" s="0" t="s">
        <v>4161</v>
      </c>
      <c r="CN107" s="0" t="s">
        <v>4161</v>
      </c>
      <c r="CO107" s="0" t="s">
        <v>228</v>
      </c>
      <c r="CP107" s="0" t="s">
        <v>228</v>
      </c>
      <c r="CQ107" s="0" t="s">
        <v>228</v>
      </c>
      <c r="CR107" s="0" t="s">
        <v>228</v>
      </c>
      <c r="CS107" s="0" t="s">
        <v>3582</v>
      </c>
      <c r="CT107" s="0" t="s">
        <v>3568</v>
      </c>
      <c r="CU107" s="0" t="s">
        <v>3569</v>
      </c>
      <c r="CV107" s="0" t="s">
        <v>418</v>
      </c>
      <c r="CW107" s="0" t="s">
        <v>3584</v>
      </c>
      <c r="CX107" s="0" t="s">
        <v>419</v>
      </c>
      <c r="CY107" s="0" t="s">
        <v>418</v>
      </c>
      <c r="CZ107" s="0" t="s">
        <v>3585</v>
      </c>
      <c r="DA107" s="0" t="s">
        <v>3586</v>
      </c>
      <c r="DB107" s="0" t="s">
        <v>3584</v>
      </c>
      <c r="DC107" s="0" t="s">
        <v>362</v>
      </c>
      <c r="DD107" s="0" t="s">
        <v>3572</v>
      </c>
      <c r="DE107" s="0" t="s">
        <v>4162</v>
      </c>
    </row>
    <row customHeight="1" ht="11.25">
      <c r="A108" s="1353" t="s">
        <v>228</v>
      </c>
      <c r="B108" s="0" t="s">
        <v>228</v>
      </c>
      <c r="C108" s="0" t="s">
        <v>228</v>
      </c>
      <c r="D108" s="0" t="s">
        <v>228</v>
      </c>
      <c r="E108" s="0" t="s">
        <v>228</v>
      </c>
      <c r="F108" s="0" t="s">
        <v>228</v>
      </c>
      <c r="G108" s="0" t="s">
        <v>228</v>
      </c>
      <c r="H108" s="0" t="s">
        <v>228</v>
      </c>
      <c r="I108" s="0" t="s">
        <v>3555</v>
      </c>
      <c r="J108" s="0" t="s">
        <v>228</v>
      </c>
      <c r="K108" s="0" t="s">
        <v>228</v>
      </c>
      <c r="L108" s="0" t="s">
        <v>228</v>
      </c>
      <c r="M108" s="0" t="s">
        <v>228</v>
      </c>
      <c r="N108" s="0" t="s">
        <v>228</v>
      </c>
      <c r="O108" s="0" t="s">
        <v>228</v>
      </c>
      <c r="P108" s="0" t="s">
        <v>228</v>
      </c>
      <c r="Q108" s="0" t="s">
        <v>228</v>
      </c>
      <c r="R108" s="0" t="s">
        <v>3648</v>
      </c>
      <c r="S108" s="0" t="s">
        <v>228</v>
      </c>
      <c r="T108" s="0" t="s">
        <v>228</v>
      </c>
      <c r="U108" s="0" t="s">
        <v>101</v>
      </c>
      <c r="V108" s="0" t="s">
        <v>228</v>
      </c>
      <c r="W108" s="0" t="s">
        <v>228</v>
      </c>
      <c r="X108" s="0" t="s">
        <v>3557</v>
      </c>
      <c r="Y108" s="0" t="s">
        <v>228</v>
      </c>
      <c r="Z108" s="0" t="s">
        <v>160</v>
      </c>
      <c r="AA108" s="0" t="s">
        <v>151</v>
      </c>
      <c r="AB108" s="0" t="s">
        <v>151</v>
      </c>
      <c r="AC108" s="0" t="s">
        <v>2317</v>
      </c>
      <c r="AD108" s="0" t="s">
        <v>2317</v>
      </c>
      <c r="AE108" s="0" t="s">
        <v>2318</v>
      </c>
      <c r="AF108" s="0" t="s">
        <v>3826</v>
      </c>
      <c r="AG108" s="0" t="s">
        <v>3827</v>
      </c>
      <c r="AH108" s="0" t="s">
        <v>4163</v>
      </c>
      <c r="AI108" s="0" t="s">
        <v>3726</v>
      </c>
      <c r="AJ108" s="0" t="s">
        <v>3652</v>
      </c>
      <c r="AK108" s="0" t="s">
        <v>3619</v>
      </c>
      <c r="AL108" s="0" t="s">
        <v>3581</v>
      </c>
      <c r="AM108" s="0" t="s">
        <v>3565</v>
      </c>
      <c r="AN108" s="0" t="s">
        <v>3620</v>
      </c>
      <c r="AO108" s="0" t="s">
        <v>3695</v>
      </c>
      <c r="AP108" s="0" t="s">
        <v>228</v>
      </c>
      <c r="AQ108" s="0" t="s">
        <v>228</v>
      </c>
      <c r="AR108" s="0" t="s">
        <v>228</v>
      </c>
      <c r="AS108" s="0" t="s">
        <v>228</v>
      </c>
      <c r="AT108" s="0" t="s">
        <v>228</v>
      </c>
      <c r="AU108" s="0" t="s">
        <v>228</v>
      </c>
      <c r="AV108" s="0" t="s">
        <v>228</v>
      </c>
      <c r="AW108" s="0" t="s">
        <v>228</v>
      </c>
      <c r="AX108" s="0" t="s">
        <v>228</v>
      </c>
      <c r="AY108" s="0" t="s">
        <v>228</v>
      </c>
      <c r="AZ108" s="0" t="s">
        <v>228</v>
      </c>
      <c r="BA108" s="0" t="s">
        <v>228</v>
      </c>
      <c r="BB108" s="0" t="s">
        <v>228</v>
      </c>
      <c r="BC108" s="0" t="s">
        <v>228</v>
      </c>
      <c r="BD108" s="0" t="s">
        <v>228</v>
      </c>
      <c r="BE108" s="0" t="s">
        <v>228</v>
      </c>
      <c r="BF108" s="0" t="s">
        <v>228</v>
      </c>
      <c r="BG108" s="0" t="s">
        <v>228</v>
      </c>
      <c r="BH108" s="0" t="s">
        <v>228</v>
      </c>
      <c r="BI108" s="0" t="s">
        <v>228</v>
      </c>
      <c r="BJ108" s="0" t="s">
        <v>228</v>
      </c>
      <c r="BK108" s="0" t="s">
        <v>228</v>
      </c>
      <c r="BL108" s="0" t="s">
        <v>228</v>
      </c>
      <c r="BM108" s="0" t="s">
        <v>228</v>
      </c>
      <c r="BN108" s="0" t="s">
        <v>228</v>
      </c>
      <c r="BO108" s="0" t="s">
        <v>228</v>
      </c>
      <c r="BP108" s="0" t="s">
        <v>228</v>
      </c>
      <c r="BQ108" s="0" t="s">
        <v>228</v>
      </c>
      <c r="BR108" s="0" t="s">
        <v>228</v>
      </c>
      <c r="BS108" s="0" t="s">
        <v>228</v>
      </c>
      <c r="BT108" s="0" t="s">
        <v>228</v>
      </c>
      <c r="BU108" s="0" t="s">
        <v>228</v>
      </c>
      <c r="BV108" s="0" t="s">
        <v>228</v>
      </c>
      <c r="BW108" s="0" t="s">
        <v>228</v>
      </c>
      <c r="BX108" s="0" t="s">
        <v>228</v>
      </c>
      <c r="BY108" s="0" t="s">
        <v>228</v>
      </c>
      <c r="BZ108" s="0" t="s">
        <v>228</v>
      </c>
      <c r="CA108" s="0" t="s">
        <v>228</v>
      </c>
      <c r="CB108" s="0" t="s">
        <v>228</v>
      </c>
      <c r="CC108" s="0" t="s">
        <v>228</v>
      </c>
      <c r="CD108" s="0" t="s">
        <v>228</v>
      </c>
      <c r="CE108" s="0" t="s">
        <v>228</v>
      </c>
      <c r="CF108" s="0" t="s">
        <v>228</v>
      </c>
      <c r="CG108" s="0" t="s">
        <v>228</v>
      </c>
      <c r="CH108" s="0" t="s">
        <v>228</v>
      </c>
      <c r="CI108" s="0" t="s">
        <v>228</v>
      </c>
      <c r="CJ108" s="0" t="s">
        <v>228</v>
      </c>
      <c r="CK108" s="0" t="s">
        <v>228</v>
      </c>
      <c r="CL108" s="0" t="s">
        <v>228</v>
      </c>
      <c r="CM108" s="0" t="s">
        <v>228</v>
      </c>
      <c r="CN108" s="0" t="s">
        <v>228</v>
      </c>
      <c r="CO108" s="0" t="s">
        <v>228</v>
      </c>
      <c r="CP108" s="0" t="s">
        <v>228</v>
      </c>
      <c r="CQ108" s="0" t="s">
        <v>228</v>
      </c>
      <c r="CR108" s="0" t="s">
        <v>228</v>
      </c>
      <c r="CS108" s="0" t="s">
        <v>228</v>
      </c>
      <c r="CT108" s="0" t="s">
        <v>3568</v>
      </c>
      <c r="CU108" s="0" t="s">
        <v>3569</v>
      </c>
      <c r="CV108" s="0" t="s">
        <v>418</v>
      </c>
      <c r="CW108" s="0" t="s">
        <v>3622</v>
      </c>
      <c r="CX108" s="0" t="s">
        <v>419</v>
      </c>
      <c r="CY108" s="0" t="s">
        <v>418</v>
      </c>
      <c r="CZ108" s="0" t="s">
        <v>3623</v>
      </c>
      <c r="DA108" s="0" t="s">
        <v>4164</v>
      </c>
      <c r="DB108" s="0" t="s">
        <v>3622</v>
      </c>
      <c r="DC108" s="0" t="s">
        <v>362</v>
      </c>
      <c r="DD108" s="0" t="s">
        <v>3572</v>
      </c>
      <c r="DE108" s="0" t="s">
        <v>4165</v>
      </c>
    </row>
    <row customHeight="1" ht="11.25">
      <c r="A109" s="1353" t="s">
        <v>228</v>
      </c>
      <c r="B109" s="0" t="s">
        <v>228</v>
      </c>
      <c r="C109" s="0" t="s">
        <v>228</v>
      </c>
      <c r="D109" s="0" t="s">
        <v>228</v>
      </c>
      <c r="E109" s="0" t="s">
        <v>228</v>
      </c>
      <c r="F109" s="0" t="s">
        <v>228</v>
      </c>
      <c r="G109" s="0" t="s">
        <v>228</v>
      </c>
      <c r="H109" s="0" t="s">
        <v>228</v>
      </c>
      <c r="I109" s="0" t="s">
        <v>3555</v>
      </c>
      <c r="J109" s="0" t="s">
        <v>228</v>
      </c>
      <c r="K109" s="0" t="s">
        <v>228</v>
      </c>
      <c r="L109" s="0" t="s">
        <v>228</v>
      </c>
      <c r="M109" s="0" t="s">
        <v>228</v>
      </c>
      <c r="N109" s="0" t="s">
        <v>228</v>
      </c>
      <c r="O109" s="0" t="s">
        <v>228</v>
      </c>
      <c r="P109" s="0" t="s">
        <v>228</v>
      </c>
      <c r="Q109" s="0" t="s">
        <v>228</v>
      </c>
      <c r="R109" s="0" t="s">
        <v>3588</v>
      </c>
      <c r="S109" s="0" t="s">
        <v>228</v>
      </c>
      <c r="T109" s="0" t="s">
        <v>228</v>
      </c>
      <c r="U109" s="0" t="s">
        <v>101</v>
      </c>
      <c r="V109" s="0" t="s">
        <v>228</v>
      </c>
      <c r="W109" s="0" t="s">
        <v>228</v>
      </c>
      <c r="X109" s="0" t="s">
        <v>3557</v>
      </c>
      <c r="Y109" s="0" t="s">
        <v>228</v>
      </c>
      <c r="Z109" s="0" t="s">
        <v>160</v>
      </c>
      <c r="AA109" s="0" t="s">
        <v>151</v>
      </c>
      <c r="AB109" s="0" t="s">
        <v>151</v>
      </c>
      <c r="AC109" s="0" t="s">
        <v>2317</v>
      </c>
      <c r="AD109" s="0" t="s">
        <v>2317</v>
      </c>
      <c r="AE109" s="0" t="s">
        <v>2318</v>
      </c>
      <c r="AF109" s="0" t="s">
        <v>3826</v>
      </c>
      <c r="AG109" s="0" t="s">
        <v>3827</v>
      </c>
      <c r="AH109" s="0" t="s">
        <v>4166</v>
      </c>
      <c r="AI109" s="0" t="s">
        <v>4167</v>
      </c>
      <c r="AJ109" s="0" t="s">
        <v>3652</v>
      </c>
      <c r="AK109" s="0" t="s">
        <v>3619</v>
      </c>
      <c r="AL109" s="0" t="s">
        <v>3581</v>
      </c>
      <c r="AM109" s="0" t="s">
        <v>3565</v>
      </c>
      <c r="AN109" s="0" t="s">
        <v>3563</v>
      </c>
      <c r="AO109" s="0" t="s">
        <v>4168</v>
      </c>
      <c r="AP109" s="0" t="s">
        <v>228</v>
      </c>
      <c r="AQ109" s="0" t="s">
        <v>228</v>
      </c>
      <c r="AR109" s="0" t="s">
        <v>228</v>
      </c>
      <c r="AS109" s="0" t="s">
        <v>228</v>
      </c>
      <c r="AT109" s="0" t="s">
        <v>228</v>
      </c>
      <c r="AU109" s="0" t="s">
        <v>228</v>
      </c>
      <c r="AV109" s="0" t="s">
        <v>228</v>
      </c>
      <c r="AW109" s="0" t="s">
        <v>228</v>
      </c>
      <c r="AX109" s="0" t="s">
        <v>228</v>
      </c>
      <c r="AY109" s="0" t="s">
        <v>228</v>
      </c>
      <c r="AZ109" s="0" t="s">
        <v>228</v>
      </c>
      <c r="BA109" s="0" t="s">
        <v>228</v>
      </c>
      <c r="BB109" s="0" t="s">
        <v>228</v>
      </c>
      <c r="BC109" s="0" t="s">
        <v>228</v>
      </c>
      <c r="BD109" s="0" t="s">
        <v>228</v>
      </c>
      <c r="BE109" s="0" t="s">
        <v>228</v>
      </c>
      <c r="BF109" s="0" t="s">
        <v>228</v>
      </c>
      <c r="BG109" s="0" t="s">
        <v>228</v>
      </c>
      <c r="BH109" s="0" t="s">
        <v>228</v>
      </c>
      <c r="BI109" s="0" t="s">
        <v>228</v>
      </c>
      <c r="BJ109" s="0" t="s">
        <v>228</v>
      </c>
      <c r="BK109" s="0" t="s">
        <v>228</v>
      </c>
      <c r="BL109" s="0" t="s">
        <v>228</v>
      </c>
      <c r="BM109" s="0" t="s">
        <v>228</v>
      </c>
      <c r="BN109" s="0" t="s">
        <v>228</v>
      </c>
      <c r="BO109" s="0" t="s">
        <v>228</v>
      </c>
      <c r="BP109" s="0" t="s">
        <v>228</v>
      </c>
      <c r="BQ109" s="0" t="s">
        <v>228</v>
      </c>
      <c r="BR109" s="0" t="s">
        <v>228</v>
      </c>
      <c r="BS109" s="0" t="s">
        <v>228</v>
      </c>
      <c r="BT109" s="0" t="s">
        <v>228</v>
      </c>
      <c r="BU109" s="0" t="s">
        <v>228</v>
      </c>
      <c r="BV109" s="0" t="s">
        <v>228</v>
      </c>
      <c r="BW109" s="0" t="s">
        <v>228</v>
      </c>
      <c r="BX109" s="0" t="s">
        <v>228</v>
      </c>
      <c r="BY109" s="0" t="s">
        <v>228</v>
      </c>
      <c r="BZ109" s="0" t="s">
        <v>228</v>
      </c>
      <c r="CA109" s="0" t="s">
        <v>228</v>
      </c>
      <c r="CB109" s="0" t="s">
        <v>228</v>
      </c>
      <c r="CC109" s="0" t="s">
        <v>228</v>
      </c>
      <c r="CD109" s="0" t="s">
        <v>228</v>
      </c>
      <c r="CE109" s="0" t="s">
        <v>228</v>
      </c>
      <c r="CF109" s="0" t="s">
        <v>228</v>
      </c>
      <c r="CG109" s="0" t="s">
        <v>228</v>
      </c>
      <c r="CH109" s="0" t="s">
        <v>228</v>
      </c>
      <c r="CI109" s="0" t="s">
        <v>228</v>
      </c>
      <c r="CJ109" s="0" t="s">
        <v>228</v>
      </c>
      <c r="CK109" s="0" t="s">
        <v>228</v>
      </c>
      <c r="CL109" s="0" t="s">
        <v>228</v>
      </c>
      <c r="CM109" s="0" t="s">
        <v>228</v>
      </c>
      <c r="CN109" s="0" t="s">
        <v>228</v>
      </c>
      <c r="CO109" s="0" t="s">
        <v>228</v>
      </c>
      <c r="CP109" s="0" t="s">
        <v>228</v>
      </c>
      <c r="CQ109" s="0" t="s">
        <v>228</v>
      </c>
      <c r="CR109" s="0" t="s">
        <v>228</v>
      </c>
      <c r="CS109" s="0" t="s">
        <v>228</v>
      </c>
      <c r="CT109" s="0" t="s">
        <v>3568</v>
      </c>
      <c r="CU109" s="0" t="s">
        <v>3569</v>
      </c>
      <c r="CV109" s="0" t="s">
        <v>418</v>
      </c>
      <c r="CW109" s="0" t="s">
        <v>3622</v>
      </c>
      <c r="CX109" s="0" t="s">
        <v>419</v>
      </c>
      <c r="CY109" s="0" t="s">
        <v>418</v>
      </c>
      <c r="CZ109" s="0" t="s">
        <v>3623</v>
      </c>
      <c r="DA109" s="0" t="s">
        <v>4164</v>
      </c>
      <c r="DB109" s="0" t="s">
        <v>3622</v>
      </c>
      <c r="DC109" s="0" t="s">
        <v>362</v>
      </c>
      <c r="DD109" s="0" t="s">
        <v>3572</v>
      </c>
      <c r="DE109" s="0" t="s">
        <v>4169</v>
      </c>
    </row>
    <row customHeight="1" ht="11.25">
      <c r="A110" s="1353" t="s">
        <v>228</v>
      </c>
      <c r="B110" s="0" t="s">
        <v>228</v>
      </c>
      <c r="C110" s="0" t="s">
        <v>228</v>
      </c>
      <c r="D110" s="0" t="s">
        <v>228</v>
      </c>
      <c r="E110" s="0" t="s">
        <v>228</v>
      </c>
      <c r="F110" s="0" t="s">
        <v>228</v>
      </c>
      <c r="G110" s="0" t="s">
        <v>228</v>
      </c>
      <c r="H110" s="0" t="s">
        <v>228</v>
      </c>
      <c r="I110" s="0" t="s">
        <v>3555</v>
      </c>
      <c r="J110" s="0" t="s">
        <v>228</v>
      </c>
      <c r="K110" s="0" t="s">
        <v>228</v>
      </c>
      <c r="L110" s="0" t="s">
        <v>228</v>
      </c>
      <c r="M110" s="0" t="s">
        <v>228</v>
      </c>
      <c r="N110" s="0" t="s">
        <v>228</v>
      </c>
      <c r="O110" s="0" t="s">
        <v>228</v>
      </c>
      <c r="P110" s="0" t="s">
        <v>228</v>
      </c>
      <c r="Q110" s="0" t="s">
        <v>228</v>
      </c>
      <c r="R110" s="0" t="s">
        <v>3648</v>
      </c>
      <c r="S110" s="0" t="s">
        <v>228</v>
      </c>
      <c r="T110" s="0" t="s">
        <v>228</v>
      </c>
      <c r="U110" s="0" t="s">
        <v>101</v>
      </c>
      <c r="V110" s="0" t="s">
        <v>228</v>
      </c>
      <c r="W110" s="0" t="s">
        <v>228</v>
      </c>
      <c r="X110" s="0" t="s">
        <v>3557</v>
      </c>
      <c r="Y110" s="0" t="s">
        <v>228</v>
      </c>
      <c r="Z110" s="0" t="s">
        <v>160</v>
      </c>
      <c r="AA110" s="0" t="s">
        <v>151</v>
      </c>
      <c r="AB110" s="0" t="s">
        <v>151</v>
      </c>
      <c r="AC110" s="0" t="s">
        <v>2317</v>
      </c>
      <c r="AD110" s="0" t="s">
        <v>2317</v>
      </c>
      <c r="AE110" s="0" t="s">
        <v>2318</v>
      </c>
      <c r="AF110" s="0" t="s">
        <v>3826</v>
      </c>
      <c r="AG110" s="0" t="s">
        <v>3827</v>
      </c>
      <c r="AH110" s="0" t="s">
        <v>4170</v>
      </c>
      <c r="AI110" s="0" t="s">
        <v>4171</v>
      </c>
      <c r="AJ110" s="0" t="s">
        <v>3652</v>
      </c>
      <c r="AK110" s="0" t="s">
        <v>3619</v>
      </c>
      <c r="AL110" s="0" t="s">
        <v>3581</v>
      </c>
      <c r="AM110" s="0" t="s">
        <v>3565</v>
      </c>
      <c r="AN110" s="0" t="s">
        <v>3628</v>
      </c>
      <c r="AO110" s="0" t="s">
        <v>3829</v>
      </c>
      <c r="AP110" s="0" t="s">
        <v>228</v>
      </c>
      <c r="AQ110" s="0" t="s">
        <v>228</v>
      </c>
      <c r="AR110" s="0" t="s">
        <v>228</v>
      </c>
      <c r="AS110" s="0" t="s">
        <v>228</v>
      </c>
      <c r="AT110" s="0" t="s">
        <v>228</v>
      </c>
      <c r="AU110" s="0" t="s">
        <v>228</v>
      </c>
      <c r="AV110" s="0" t="s">
        <v>228</v>
      </c>
      <c r="AW110" s="0" t="s">
        <v>228</v>
      </c>
      <c r="AX110" s="0" t="s">
        <v>228</v>
      </c>
      <c r="AY110" s="0" t="s">
        <v>228</v>
      </c>
      <c r="AZ110" s="0" t="s">
        <v>228</v>
      </c>
      <c r="BA110" s="0" t="s">
        <v>228</v>
      </c>
      <c r="BB110" s="0" t="s">
        <v>228</v>
      </c>
      <c r="BC110" s="0" t="s">
        <v>228</v>
      </c>
      <c r="BD110" s="0" t="s">
        <v>228</v>
      </c>
      <c r="BE110" s="0" t="s">
        <v>228</v>
      </c>
      <c r="BF110" s="0" t="s">
        <v>228</v>
      </c>
      <c r="BG110" s="0" t="s">
        <v>228</v>
      </c>
      <c r="BH110" s="0" t="s">
        <v>228</v>
      </c>
      <c r="BI110" s="0" t="s">
        <v>228</v>
      </c>
      <c r="BJ110" s="0" t="s">
        <v>228</v>
      </c>
      <c r="BK110" s="0" t="s">
        <v>228</v>
      </c>
      <c r="BL110" s="0" t="s">
        <v>228</v>
      </c>
      <c r="BM110" s="0" t="s">
        <v>228</v>
      </c>
      <c r="BN110" s="0" t="s">
        <v>228</v>
      </c>
      <c r="BO110" s="0" t="s">
        <v>228</v>
      </c>
      <c r="BP110" s="0" t="s">
        <v>228</v>
      </c>
      <c r="BQ110" s="0" t="s">
        <v>228</v>
      </c>
      <c r="BR110" s="0" t="s">
        <v>228</v>
      </c>
      <c r="BS110" s="0" t="s">
        <v>228</v>
      </c>
      <c r="BT110" s="0" t="s">
        <v>228</v>
      </c>
      <c r="BU110" s="0" t="s">
        <v>228</v>
      </c>
      <c r="BV110" s="0" t="s">
        <v>228</v>
      </c>
      <c r="BW110" s="0" t="s">
        <v>228</v>
      </c>
      <c r="BX110" s="0" t="s">
        <v>228</v>
      </c>
      <c r="BY110" s="0" t="s">
        <v>228</v>
      </c>
      <c r="BZ110" s="0" t="s">
        <v>228</v>
      </c>
      <c r="CA110" s="0" t="s">
        <v>228</v>
      </c>
      <c r="CB110" s="0" t="s">
        <v>228</v>
      </c>
      <c r="CC110" s="0" t="s">
        <v>228</v>
      </c>
      <c r="CD110" s="0" t="s">
        <v>228</v>
      </c>
      <c r="CE110" s="0" t="s">
        <v>228</v>
      </c>
      <c r="CF110" s="0" t="s">
        <v>228</v>
      </c>
      <c r="CG110" s="0" t="s">
        <v>228</v>
      </c>
      <c r="CH110" s="0" t="s">
        <v>228</v>
      </c>
      <c r="CI110" s="0" t="s">
        <v>228</v>
      </c>
      <c r="CJ110" s="0" t="s">
        <v>228</v>
      </c>
      <c r="CK110" s="0" t="s">
        <v>228</v>
      </c>
      <c r="CL110" s="0" t="s">
        <v>228</v>
      </c>
      <c r="CM110" s="0" t="s">
        <v>228</v>
      </c>
      <c r="CN110" s="0" t="s">
        <v>228</v>
      </c>
      <c r="CO110" s="0" t="s">
        <v>228</v>
      </c>
      <c r="CP110" s="0" t="s">
        <v>228</v>
      </c>
      <c r="CQ110" s="0" t="s">
        <v>228</v>
      </c>
      <c r="CR110" s="0" t="s">
        <v>228</v>
      </c>
      <c r="CS110" s="0" t="s">
        <v>228</v>
      </c>
      <c r="CT110" s="0" t="s">
        <v>3568</v>
      </c>
      <c r="CU110" s="0" t="s">
        <v>3569</v>
      </c>
      <c r="CV110" s="0" t="s">
        <v>418</v>
      </c>
      <c r="CW110" s="0" t="s">
        <v>3622</v>
      </c>
      <c r="CX110" s="0" t="s">
        <v>419</v>
      </c>
      <c r="CY110" s="0" t="s">
        <v>418</v>
      </c>
      <c r="CZ110" s="0" t="s">
        <v>3623</v>
      </c>
      <c r="DA110" s="0" t="s">
        <v>3624</v>
      </c>
      <c r="DB110" s="0" t="s">
        <v>3622</v>
      </c>
      <c r="DC110" s="0" t="s">
        <v>362</v>
      </c>
      <c r="DD110" s="0" t="s">
        <v>3572</v>
      </c>
      <c r="DE110" s="0" t="s">
        <v>4172</v>
      </c>
    </row>
    <row customHeight="1" ht="11.25">
      <c r="A111" s="1353" t="s">
        <v>228</v>
      </c>
      <c r="B111" s="0" t="s">
        <v>228</v>
      </c>
      <c r="C111" s="0" t="s">
        <v>228</v>
      </c>
      <c r="D111" s="0" t="s">
        <v>228</v>
      </c>
      <c r="E111" s="0" t="s">
        <v>228</v>
      </c>
      <c r="F111" s="0" t="s">
        <v>228</v>
      </c>
      <c r="G111" s="0" t="s">
        <v>228</v>
      </c>
      <c r="H111" s="0" t="s">
        <v>228</v>
      </c>
      <c r="I111" s="0" t="s">
        <v>3555</v>
      </c>
      <c r="J111" s="0" t="s">
        <v>228</v>
      </c>
      <c r="K111" s="0" t="s">
        <v>228</v>
      </c>
      <c r="L111" s="0" t="s">
        <v>228</v>
      </c>
      <c r="M111" s="0" t="s">
        <v>228</v>
      </c>
      <c r="N111" s="0" t="s">
        <v>228</v>
      </c>
      <c r="O111" s="0" t="s">
        <v>228</v>
      </c>
      <c r="P111" s="0" t="s">
        <v>228</v>
      </c>
      <c r="Q111" s="0" t="s">
        <v>228</v>
      </c>
      <c r="R111" s="0" t="s">
        <v>4173</v>
      </c>
      <c r="S111" s="0" t="s">
        <v>228</v>
      </c>
      <c r="T111" s="0" t="s">
        <v>228</v>
      </c>
      <c r="U111" s="0" t="s">
        <v>101</v>
      </c>
      <c r="V111" s="0" t="s">
        <v>228</v>
      </c>
      <c r="W111" s="0" t="s">
        <v>228</v>
      </c>
      <c r="X111" s="0" t="s">
        <v>3661</v>
      </c>
      <c r="Y111" s="0" t="s">
        <v>228</v>
      </c>
      <c r="Z111" s="0" t="s">
        <v>151</v>
      </c>
      <c r="AA111" s="0" t="s">
        <v>151</v>
      </c>
      <c r="AB111" s="0" t="s">
        <v>160</v>
      </c>
      <c r="AC111" s="0" t="s">
        <v>2315</v>
      </c>
      <c r="AD111" s="0" t="s">
        <v>2315</v>
      </c>
      <c r="AE111" s="0" t="s">
        <v>2316</v>
      </c>
      <c r="AF111" s="0" t="s">
        <v>3887</v>
      </c>
      <c r="AG111" s="0" t="s">
        <v>3888</v>
      </c>
      <c r="AH111" s="0" t="s">
        <v>3651</v>
      </c>
      <c r="AI111" s="0" t="s">
        <v>3651</v>
      </c>
      <c r="AJ111" s="0" t="s">
        <v>228</v>
      </c>
      <c r="AK111" s="0" t="s">
        <v>228</v>
      </c>
      <c r="AL111" s="0" t="s">
        <v>228</v>
      </c>
      <c r="AM111" s="0" t="s">
        <v>228</v>
      </c>
      <c r="AN111" s="0" t="s">
        <v>228</v>
      </c>
      <c r="AO111" s="0" t="s">
        <v>228</v>
      </c>
      <c r="AP111" s="0" t="s">
        <v>228</v>
      </c>
      <c r="AQ111" s="0" t="s">
        <v>228</v>
      </c>
      <c r="AR111" s="0" t="s">
        <v>228</v>
      </c>
      <c r="AS111" s="0" t="s">
        <v>228</v>
      </c>
      <c r="AT111" s="0" t="s">
        <v>228</v>
      </c>
      <c r="AU111" s="0" t="s">
        <v>228</v>
      </c>
      <c r="AV111" s="0" t="s">
        <v>228</v>
      </c>
      <c r="AW111" s="0" t="s">
        <v>228</v>
      </c>
      <c r="AX111" s="0" t="s">
        <v>228</v>
      </c>
      <c r="AY111" s="0" t="s">
        <v>228</v>
      </c>
      <c r="AZ111" s="0" t="s">
        <v>228</v>
      </c>
      <c r="BA111" s="0" t="s">
        <v>228</v>
      </c>
      <c r="BB111" s="0" t="s">
        <v>228</v>
      </c>
      <c r="BC111" s="0" t="s">
        <v>228</v>
      </c>
      <c r="BD111" s="0" t="s">
        <v>228</v>
      </c>
      <c r="BE111" s="0" t="s">
        <v>4075</v>
      </c>
      <c r="BF111" s="0" t="s">
        <v>4174</v>
      </c>
      <c r="BG111" s="0" t="s">
        <v>111</v>
      </c>
      <c r="BH111" s="0" t="s">
        <v>3665</v>
      </c>
      <c r="BI111" s="0" t="s">
        <v>122</v>
      </c>
      <c r="BJ111" s="0" t="s">
        <v>228</v>
      </c>
      <c r="BK111" s="0" t="s">
        <v>3684</v>
      </c>
      <c r="BL111" s="0" t="s">
        <v>2315</v>
      </c>
      <c r="BM111" s="0" t="s">
        <v>2315</v>
      </c>
      <c r="BN111" s="0" t="s">
        <v>3875</v>
      </c>
      <c r="BO111" s="0" t="s">
        <v>3887</v>
      </c>
      <c r="BP111" s="0" t="s">
        <v>4175</v>
      </c>
      <c r="BQ111" s="0" t="s">
        <v>3651</v>
      </c>
      <c r="BR111" s="0" t="s">
        <v>3651</v>
      </c>
      <c r="BS111" s="0" t="s">
        <v>228</v>
      </c>
      <c r="BT111" s="0" t="s">
        <v>3727</v>
      </c>
      <c r="BU111" s="0" t="s">
        <v>4176</v>
      </c>
      <c r="BV111" s="0" t="s">
        <v>4176</v>
      </c>
      <c r="BW111" s="0" t="s">
        <v>3674</v>
      </c>
      <c r="BX111" s="0" t="s">
        <v>3674</v>
      </c>
      <c r="BY111" s="0" t="s">
        <v>3674</v>
      </c>
      <c r="BZ111" s="0" t="s">
        <v>3674</v>
      </c>
      <c r="CA111" s="0" t="s">
        <v>3674</v>
      </c>
      <c r="CB111" s="0" t="s">
        <v>228</v>
      </c>
      <c r="CC111" s="0" t="s">
        <v>228</v>
      </c>
      <c r="CD111" s="0" t="s">
        <v>228</v>
      </c>
      <c r="CE111" s="0" t="s">
        <v>228</v>
      </c>
      <c r="CF111" s="0" t="s">
        <v>228</v>
      </c>
      <c r="CG111" s="0" t="s">
        <v>3674</v>
      </c>
      <c r="CH111" s="0" t="s">
        <v>228</v>
      </c>
      <c r="CI111" s="0" t="s">
        <v>228</v>
      </c>
      <c r="CJ111" s="0" t="s">
        <v>228</v>
      </c>
      <c r="CK111" s="0" t="s">
        <v>228</v>
      </c>
      <c r="CL111" s="0" t="s">
        <v>228</v>
      </c>
      <c r="CM111" s="0" t="s">
        <v>4176</v>
      </c>
      <c r="CN111" s="0" t="s">
        <v>4176</v>
      </c>
      <c r="CO111" s="0" t="s">
        <v>228</v>
      </c>
      <c r="CP111" s="0" t="s">
        <v>228</v>
      </c>
      <c r="CQ111" s="0" t="s">
        <v>228</v>
      </c>
      <c r="CR111" s="0" t="s">
        <v>228</v>
      </c>
      <c r="CS111" s="0" t="s">
        <v>3563</v>
      </c>
      <c r="CT111" s="0" t="s">
        <v>3568</v>
      </c>
      <c r="CU111" s="0" t="s">
        <v>3569</v>
      </c>
      <c r="CV111" s="0" t="s">
        <v>418</v>
      </c>
      <c r="CW111" s="0" t="s">
        <v>3656</v>
      </c>
      <c r="CX111" s="0" t="s">
        <v>419</v>
      </c>
      <c r="CY111" s="0" t="s">
        <v>418</v>
      </c>
      <c r="CZ111" s="0" t="s">
        <v>3657</v>
      </c>
      <c r="DA111" s="0" t="s">
        <v>3658</v>
      </c>
      <c r="DB111" s="0" t="s">
        <v>3656</v>
      </c>
      <c r="DC111" s="0" t="s">
        <v>362</v>
      </c>
      <c r="DD111" s="0" t="s">
        <v>3572</v>
      </c>
      <c r="DE111" s="0" t="s">
        <v>4177</v>
      </c>
    </row>
    <row customHeight="1" ht="11.25">
      <c r="A112" s="1353" t="s">
        <v>228</v>
      </c>
      <c r="B112" s="0" t="s">
        <v>228</v>
      </c>
      <c r="C112" s="0" t="s">
        <v>228</v>
      </c>
      <c r="D112" s="0" t="s">
        <v>228</v>
      </c>
      <c r="E112" s="0" t="s">
        <v>228</v>
      </c>
      <c r="F112" s="0" t="s">
        <v>228</v>
      </c>
      <c r="G112" s="0" t="s">
        <v>228</v>
      </c>
      <c r="H112" s="0" t="s">
        <v>228</v>
      </c>
      <c r="I112" s="0" t="s">
        <v>3555</v>
      </c>
      <c r="J112" s="0" t="s">
        <v>228</v>
      </c>
      <c r="K112" s="0" t="s">
        <v>228</v>
      </c>
      <c r="L112" s="0" t="s">
        <v>228</v>
      </c>
      <c r="M112" s="0" t="s">
        <v>228</v>
      </c>
      <c r="N112" s="0" t="s">
        <v>228</v>
      </c>
      <c r="O112" s="0" t="s">
        <v>228</v>
      </c>
      <c r="P112" s="0" t="s">
        <v>228</v>
      </c>
      <c r="Q112" s="0" t="s">
        <v>228</v>
      </c>
      <c r="R112" s="0" t="s">
        <v>3648</v>
      </c>
      <c r="S112" s="0" t="s">
        <v>228</v>
      </c>
      <c r="T112" s="0" t="s">
        <v>228</v>
      </c>
      <c r="U112" s="0" t="s">
        <v>101</v>
      </c>
      <c r="V112" s="0" t="s">
        <v>228</v>
      </c>
      <c r="W112" s="0" t="s">
        <v>228</v>
      </c>
      <c r="X112" s="0" t="s">
        <v>3557</v>
      </c>
      <c r="Y112" s="0" t="s">
        <v>228</v>
      </c>
      <c r="Z112" s="0" t="s">
        <v>160</v>
      </c>
      <c r="AA112" s="0" t="s">
        <v>151</v>
      </c>
      <c r="AB112" s="0" t="s">
        <v>151</v>
      </c>
      <c r="AC112" s="0" t="s">
        <v>2315</v>
      </c>
      <c r="AD112" s="0" t="s">
        <v>2315</v>
      </c>
      <c r="AE112" s="0" t="s">
        <v>2316</v>
      </c>
      <c r="AF112" s="0" t="s">
        <v>4178</v>
      </c>
      <c r="AG112" s="0" t="s">
        <v>4179</v>
      </c>
      <c r="AH112" s="0" t="s">
        <v>4180</v>
      </c>
      <c r="AI112" s="0" t="s">
        <v>3651</v>
      </c>
      <c r="AJ112" s="0" t="s">
        <v>3652</v>
      </c>
      <c r="AK112" s="0" t="s">
        <v>3891</v>
      </c>
      <c r="AL112" s="0" t="s">
        <v>3581</v>
      </c>
      <c r="AM112" s="0" t="s">
        <v>3565</v>
      </c>
      <c r="AN112" s="0" t="s">
        <v>3654</v>
      </c>
      <c r="AO112" s="0" t="s">
        <v>3823</v>
      </c>
      <c r="AP112" s="0" t="s">
        <v>228</v>
      </c>
      <c r="AQ112" s="0" t="s">
        <v>228</v>
      </c>
      <c r="AR112" s="0" t="s">
        <v>228</v>
      </c>
      <c r="AS112" s="0" t="s">
        <v>228</v>
      </c>
      <c r="AT112" s="0" t="s">
        <v>228</v>
      </c>
      <c r="AU112" s="0" t="s">
        <v>228</v>
      </c>
      <c r="AV112" s="0" t="s">
        <v>228</v>
      </c>
      <c r="AW112" s="0" t="s">
        <v>228</v>
      </c>
      <c r="AX112" s="0" t="s">
        <v>228</v>
      </c>
      <c r="AY112" s="0" t="s">
        <v>228</v>
      </c>
      <c r="AZ112" s="0" t="s">
        <v>228</v>
      </c>
      <c r="BA112" s="0" t="s">
        <v>228</v>
      </c>
      <c r="BB112" s="0" t="s">
        <v>228</v>
      </c>
      <c r="BC112" s="0" t="s">
        <v>228</v>
      </c>
      <c r="BD112" s="0" t="s">
        <v>228</v>
      </c>
      <c r="BE112" s="0" t="s">
        <v>228</v>
      </c>
      <c r="BF112" s="0" t="s">
        <v>228</v>
      </c>
      <c r="BG112" s="0" t="s">
        <v>228</v>
      </c>
      <c r="BH112" s="0" t="s">
        <v>228</v>
      </c>
      <c r="BI112" s="0" t="s">
        <v>228</v>
      </c>
      <c r="BJ112" s="0" t="s">
        <v>228</v>
      </c>
      <c r="BK112" s="0" t="s">
        <v>228</v>
      </c>
      <c r="BL112" s="0" t="s">
        <v>228</v>
      </c>
      <c r="BM112" s="0" t="s">
        <v>228</v>
      </c>
      <c r="BN112" s="0" t="s">
        <v>228</v>
      </c>
      <c r="BO112" s="0" t="s">
        <v>228</v>
      </c>
      <c r="BP112" s="0" t="s">
        <v>228</v>
      </c>
      <c r="BQ112" s="0" t="s">
        <v>228</v>
      </c>
      <c r="BR112" s="0" t="s">
        <v>228</v>
      </c>
      <c r="BS112" s="0" t="s">
        <v>228</v>
      </c>
      <c r="BT112" s="0" t="s">
        <v>228</v>
      </c>
      <c r="BU112" s="0" t="s">
        <v>228</v>
      </c>
      <c r="BV112" s="0" t="s">
        <v>228</v>
      </c>
      <c r="BW112" s="0" t="s">
        <v>228</v>
      </c>
      <c r="BX112" s="0" t="s">
        <v>228</v>
      </c>
      <c r="BY112" s="0" t="s">
        <v>228</v>
      </c>
      <c r="BZ112" s="0" t="s">
        <v>228</v>
      </c>
      <c r="CA112" s="0" t="s">
        <v>228</v>
      </c>
      <c r="CB112" s="0" t="s">
        <v>228</v>
      </c>
      <c r="CC112" s="0" t="s">
        <v>228</v>
      </c>
      <c r="CD112" s="0" t="s">
        <v>228</v>
      </c>
      <c r="CE112" s="0" t="s">
        <v>228</v>
      </c>
      <c r="CF112" s="0" t="s">
        <v>228</v>
      </c>
      <c r="CG112" s="0" t="s">
        <v>228</v>
      </c>
      <c r="CH112" s="0" t="s">
        <v>228</v>
      </c>
      <c r="CI112" s="0" t="s">
        <v>228</v>
      </c>
      <c r="CJ112" s="0" t="s">
        <v>228</v>
      </c>
      <c r="CK112" s="0" t="s">
        <v>228</v>
      </c>
      <c r="CL112" s="0" t="s">
        <v>228</v>
      </c>
      <c r="CM112" s="0" t="s">
        <v>228</v>
      </c>
      <c r="CN112" s="0" t="s">
        <v>228</v>
      </c>
      <c r="CO112" s="0" t="s">
        <v>228</v>
      </c>
      <c r="CP112" s="0" t="s">
        <v>228</v>
      </c>
      <c r="CQ112" s="0" t="s">
        <v>228</v>
      </c>
      <c r="CR112" s="0" t="s">
        <v>228</v>
      </c>
      <c r="CS112" s="0" t="s">
        <v>228</v>
      </c>
      <c r="CT112" s="0" t="s">
        <v>3568</v>
      </c>
      <c r="CU112" s="0" t="s">
        <v>3569</v>
      </c>
      <c r="CV112" s="0" t="s">
        <v>418</v>
      </c>
      <c r="CW112" s="0" t="s">
        <v>3656</v>
      </c>
      <c r="CX112" s="0" t="s">
        <v>419</v>
      </c>
      <c r="CY112" s="0" t="s">
        <v>418</v>
      </c>
      <c r="CZ112" s="0" t="s">
        <v>3657</v>
      </c>
      <c r="DA112" s="0" t="s">
        <v>3658</v>
      </c>
      <c r="DB112" s="0" t="s">
        <v>3656</v>
      </c>
      <c r="DC112" s="0" t="s">
        <v>362</v>
      </c>
      <c r="DD112" s="0" t="s">
        <v>3572</v>
      </c>
      <c r="DE112" s="0" t="s">
        <v>4181</v>
      </c>
    </row>
    <row customHeight="1" ht="11.25">
      <c r="A113" s="1353" t="s">
        <v>228</v>
      </c>
      <c r="B113" s="0" t="s">
        <v>228</v>
      </c>
      <c r="C113" s="0" t="s">
        <v>228</v>
      </c>
      <c r="D113" s="0" t="s">
        <v>228</v>
      </c>
      <c r="E113" s="0" t="s">
        <v>228</v>
      </c>
      <c r="F113" s="0" t="s">
        <v>228</v>
      </c>
      <c r="G113" s="0" t="s">
        <v>228</v>
      </c>
      <c r="H113" s="0" t="s">
        <v>228</v>
      </c>
      <c r="I113" s="0" t="s">
        <v>3555</v>
      </c>
      <c r="J113" s="0" t="s">
        <v>228</v>
      </c>
      <c r="K113" s="0" t="s">
        <v>228</v>
      </c>
      <c r="L113" s="0" t="s">
        <v>228</v>
      </c>
      <c r="M113" s="0" t="s">
        <v>228</v>
      </c>
      <c r="N113" s="0" t="s">
        <v>228</v>
      </c>
      <c r="O113" s="0" t="s">
        <v>228</v>
      </c>
      <c r="P113" s="0" t="s">
        <v>228</v>
      </c>
      <c r="Q113" s="0" t="s">
        <v>228</v>
      </c>
      <c r="R113" s="0" t="s">
        <v>3648</v>
      </c>
      <c r="S113" s="0" t="s">
        <v>228</v>
      </c>
      <c r="T113" s="0" t="s">
        <v>228</v>
      </c>
      <c r="U113" s="0" t="s">
        <v>101</v>
      </c>
      <c r="V113" s="0" t="s">
        <v>228</v>
      </c>
      <c r="W113" s="0" t="s">
        <v>228</v>
      </c>
      <c r="X113" s="0" t="s">
        <v>3557</v>
      </c>
      <c r="Y113" s="0" t="s">
        <v>228</v>
      </c>
      <c r="Z113" s="0" t="s">
        <v>160</v>
      </c>
      <c r="AA113" s="0" t="s">
        <v>151</v>
      </c>
      <c r="AB113" s="0" t="s">
        <v>151</v>
      </c>
      <c r="AC113" s="0" t="s">
        <v>2315</v>
      </c>
      <c r="AD113" s="0" t="s">
        <v>2315</v>
      </c>
      <c r="AE113" s="0" t="s">
        <v>2316</v>
      </c>
      <c r="AF113" s="0" t="s">
        <v>4178</v>
      </c>
      <c r="AG113" s="0" t="s">
        <v>4179</v>
      </c>
      <c r="AH113" s="0" t="s">
        <v>4182</v>
      </c>
      <c r="AI113" s="0" t="s">
        <v>3651</v>
      </c>
      <c r="AJ113" s="0" t="s">
        <v>3652</v>
      </c>
      <c r="AK113" s="0" t="s">
        <v>4183</v>
      </c>
      <c r="AL113" s="0" t="s">
        <v>3581</v>
      </c>
      <c r="AM113" s="0" t="s">
        <v>3565</v>
      </c>
      <c r="AN113" s="0" t="s">
        <v>3654</v>
      </c>
      <c r="AO113" s="0" t="s">
        <v>4184</v>
      </c>
      <c r="AP113" s="0" t="s">
        <v>228</v>
      </c>
      <c r="AQ113" s="0" t="s">
        <v>228</v>
      </c>
      <c r="AR113" s="0" t="s">
        <v>228</v>
      </c>
      <c r="AS113" s="0" t="s">
        <v>228</v>
      </c>
      <c r="AT113" s="0" t="s">
        <v>228</v>
      </c>
      <c r="AU113" s="0" t="s">
        <v>228</v>
      </c>
      <c r="AV113" s="0" t="s">
        <v>228</v>
      </c>
      <c r="AW113" s="0" t="s">
        <v>228</v>
      </c>
      <c r="AX113" s="0" t="s">
        <v>228</v>
      </c>
      <c r="AY113" s="0" t="s">
        <v>228</v>
      </c>
      <c r="AZ113" s="0" t="s">
        <v>228</v>
      </c>
      <c r="BA113" s="0" t="s">
        <v>228</v>
      </c>
      <c r="BB113" s="0" t="s">
        <v>228</v>
      </c>
      <c r="BC113" s="0" t="s">
        <v>228</v>
      </c>
      <c r="BD113" s="0" t="s">
        <v>228</v>
      </c>
      <c r="BE113" s="0" t="s">
        <v>228</v>
      </c>
      <c r="BF113" s="0" t="s">
        <v>228</v>
      </c>
      <c r="BG113" s="0" t="s">
        <v>228</v>
      </c>
      <c r="BH113" s="0" t="s">
        <v>228</v>
      </c>
      <c r="BI113" s="0" t="s">
        <v>228</v>
      </c>
      <c r="BJ113" s="0" t="s">
        <v>228</v>
      </c>
      <c r="BK113" s="0" t="s">
        <v>228</v>
      </c>
      <c r="BL113" s="0" t="s">
        <v>228</v>
      </c>
      <c r="BM113" s="0" t="s">
        <v>228</v>
      </c>
      <c r="BN113" s="0" t="s">
        <v>228</v>
      </c>
      <c r="BO113" s="0" t="s">
        <v>228</v>
      </c>
      <c r="BP113" s="0" t="s">
        <v>228</v>
      </c>
      <c r="BQ113" s="0" t="s">
        <v>228</v>
      </c>
      <c r="BR113" s="0" t="s">
        <v>228</v>
      </c>
      <c r="BS113" s="0" t="s">
        <v>228</v>
      </c>
      <c r="BT113" s="0" t="s">
        <v>228</v>
      </c>
      <c r="BU113" s="0" t="s">
        <v>228</v>
      </c>
      <c r="BV113" s="0" t="s">
        <v>228</v>
      </c>
      <c r="BW113" s="0" t="s">
        <v>228</v>
      </c>
      <c r="BX113" s="0" t="s">
        <v>228</v>
      </c>
      <c r="BY113" s="0" t="s">
        <v>228</v>
      </c>
      <c r="BZ113" s="0" t="s">
        <v>228</v>
      </c>
      <c r="CA113" s="0" t="s">
        <v>228</v>
      </c>
      <c r="CB113" s="0" t="s">
        <v>228</v>
      </c>
      <c r="CC113" s="0" t="s">
        <v>228</v>
      </c>
      <c r="CD113" s="0" t="s">
        <v>228</v>
      </c>
      <c r="CE113" s="0" t="s">
        <v>228</v>
      </c>
      <c r="CF113" s="0" t="s">
        <v>228</v>
      </c>
      <c r="CG113" s="0" t="s">
        <v>228</v>
      </c>
      <c r="CH113" s="0" t="s">
        <v>228</v>
      </c>
      <c r="CI113" s="0" t="s">
        <v>228</v>
      </c>
      <c r="CJ113" s="0" t="s">
        <v>228</v>
      </c>
      <c r="CK113" s="0" t="s">
        <v>228</v>
      </c>
      <c r="CL113" s="0" t="s">
        <v>228</v>
      </c>
      <c r="CM113" s="0" t="s">
        <v>228</v>
      </c>
      <c r="CN113" s="0" t="s">
        <v>228</v>
      </c>
      <c r="CO113" s="0" t="s">
        <v>228</v>
      </c>
      <c r="CP113" s="0" t="s">
        <v>228</v>
      </c>
      <c r="CQ113" s="0" t="s">
        <v>228</v>
      </c>
      <c r="CR113" s="0" t="s">
        <v>228</v>
      </c>
      <c r="CS113" s="0" t="s">
        <v>228</v>
      </c>
      <c r="CT113" s="0" t="s">
        <v>3568</v>
      </c>
      <c r="CU113" s="0" t="s">
        <v>3569</v>
      </c>
      <c r="CV113" s="0" t="s">
        <v>418</v>
      </c>
      <c r="CW113" s="0" t="s">
        <v>3656</v>
      </c>
      <c r="CX113" s="0" t="s">
        <v>419</v>
      </c>
      <c r="CY113" s="0" t="s">
        <v>418</v>
      </c>
      <c r="CZ113" s="0" t="s">
        <v>3657</v>
      </c>
      <c r="DA113" s="0" t="s">
        <v>3658</v>
      </c>
      <c r="DB113" s="0" t="s">
        <v>3656</v>
      </c>
      <c r="DC113" s="0" t="s">
        <v>362</v>
      </c>
      <c r="DD113" s="0" t="s">
        <v>3572</v>
      </c>
      <c r="DE113" s="0" t="s">
        <v>4185</v>
      </c>
    </row>
    <row customHeight="1" ht="11.25">
      <c r="A114" s="1353" t="s">
        <v>228</v>
      </c>
      <c r="B114" s="0" t="s">
        <v>228</v>
      </c>
      <c r="C114" s="0" t="s">
        <v>228</v>
      </c>
      <c r="D114" s="0" t="s">
        <v>228</v>
      </c>
      <c r="E114" s="0" t="s">
        <v>228</v>
      </c>
      <c r="F114" s="0" t="s">
        <v>228</v>
      </c>
      <c r="G114" s="0" t="s">
        <v>228</v>
      </c>
      <c r="H114" s="0" t="s">
        <v>228</v>
      </c>
      <c r="I114" s="0" t="s">
        <v>3555</v>
      </c>
      <c r="J114" s="0" t="s">
        <v>228</v>
      </c>
      <c r="K114" s="0" t="s">
        <v>228</v>
      </c>
      <c r="L114" s="0" t="s">
        <v>228</v>
      </c>
      <c r="M114" s="0" t="s">
        <v>228</v>
      </c>
      <c r="N114" s="0" t="s">
        <v>228</v>
      </c>
      <c r="O114" s="0" t="s">
        <v>228</v>
      </c>
      <c r="P114" s="0" t="s">
        <v>228</v>
      </c>
      <c r="Q114" s="0" t="s">
        <v>228</v>
      </c>
      <c r="R114" s="0" t="s">
        <v>4186</v>
      </c>
      <c r="S114" s="0" t="s">
        <v>228</v>
      </c>
      <c r="T114" s="0" t="s">
        <v>228</v>
      </c>
      <c r="U114" s="0" t="s">
        <v>101</v>
      </c>
      <c r="V114" s="0" t="s">
        <v>228</v>
      </c>
      <c r="W114" s="0" t="s">
        <v>228</v>
      </c>
      <c r="X114" s="0" t="s">
        <v>3557</v>
      </c>
      <c r="Y114" s="0" t="s">
        <v>228</v>
      </c>
      <c r="Z114" s="0" t="s">
        <v>160</v>
      </c>
      <c r="AA114" s="0" t="s">
        <v>151</v>
      </c>
      <c r="AB114" s="0" t="s">
        <v>151</v>
      </c>
      <c r="AC114" s="0" t="s">
        <v>2290</v>
      </c>
      <c r="AD114" s="0" t="s">
        <v>2290</v>
      </c>
      <c r="AE114" s="0" t="s">
        <v>2292</v>
      </c>
      <c r="AF114" s="0" t="s">
        <v>3558</v>
      </c>
      <c r="AG114" s="0" t="s">
        <v>3559</v>
      </c>
      <c r="AH114" s="0" t="s">
        <v>4187</v>
      </c>
      <c r="AI114" s="0" t="s">
        <v>3608</v>
      </c>
      <c r="AJ114" s="0" t="s">
        <v>4188</v>
      </c>
      <c r="AK114" s="0" t="s">
        <v>3674</v>
      </c>
      <c r="AL114" s="0" t="s">
        <v>3681</v>
      </c>
      <c r="AM114" s="0" t="s">
        <v>3565</v>
      </c>
      <c r="AN114" s="0" t="s">
        <v>4189</v>
      </c>
      <c r="AO114" s="0" t="s">
        <v>4190</v>
      </c>
      <c r="AP114" s="0" t="s">
        <v>228</v>
      </c>
      <c r="AQ114" s="0" t="s">
        <v>228</v>
      </c>
      <c r="AR114" s="0" t="s">
        <v>228</v>
      </c>
      <c r="AS114" s="0" t="s">
        <v>228</v>
      </c>
      <c r="AT114" s="0" t="s">
        <v>228</v>
      </c>
      <c r="AU114" s="0" t="s">
        <v>228</v>
      </c>
      <c r="AV114" s="0" t="s">
        <v>228</v>
      </c>
      <c r="AW114" s="0" t="s">
        <v>228</v>
      </c>
      <c r="AX114" s="0" t="s">
        <v>228</v>
      </c>
      <c r="AY114" s="0" t="s">
        <v>228</v>
      </c>
      <c r="AZ114" s="0" t="s">
        <v>228</v>
      </c>
      <c r="BA114" s="0" t="s">
        <v>228</v>
      </c>
      <c r="BB114" s="0" t="s">
        <v>228</v>
      </c>
      <c r="BC114" s="0" t="s">
        <v>228</v>
      </c>
      <c r="BD114" s="0" t="s">
        <v>228</v>
      </c>
      <c r="BE114" s="0" t="s">
        <v>228</v>
      </c>
      <c r="BF114" s="0" t="s">
        <v>228</v>
      </c>
      <c r="BG114" s="0" t="s">
        <v>228</v>
      </c>
      <c r="BH114" s="0" t="s">
        <v>228</v>
      </c>
      <c r="BI114" s="0" t="s">
        <v>228</v>
      </c>
      <c r="BJ114" s="0" t="s">
        <v>228</v>
      </c>
      <c r="BK114" s="0" t="s">
        <v>228</v>
      </c>
      <c r="BL114" s="0" t="s">
        <v>228</v>
      </c>
      <c r="BM114" s="0" t="s">
        <v>228</v>
      </c>
      <c r="BN114" s="0" t="s">
        <v>228</v>
      </c>
      <c r="BO114" s="0" t="s">
        <v>228</v>
      </c>
      <c r="BP114" s="0" t="s">
        <v>228</v>
      </c>
      <c r="BQ114" s="0" t="s">
        <v>228</v>
      </c>
      <c r="BR114" s="0" t="s">
        <v>228</v>
      </c>
      <c r="BS114" s="0" t="s">
        <v>228</v>
      </c>
      <c r="BT114" s="0" t="s">
        <v>228</v>
      </c>
      <c r="BU114" s="0" t="s">
        <v>228</v>
      </c>
      <c r="BV114" s="0" t="s">
        <v>228</v>
      </c>
      <c r="BW114" s="0" t="s">
        <v>228</v>
      </c>
      <c r="BX114" s="0" t="s">
        <v>228</v>
      </c>
      <c r="BY114" s="0" t="s">
        <v>228</v>
      </c>
      <c r="BZ114" s="0" t="s">
        <v>228</v>
      </c>
      <c r="CA114" s="0" t="s">
        <v>228</v>
      </c>
      <c r="CB114" s="0" t="s">
        <v>228</v>
      </c>
      <c r="CC114" s="0" t="s">
        <v>228</v>
      </c>
      <c r="CD114" s="0" t="s">
        <v>228</v>
      </c>
      <c r="CE114" s="0" t="s">
        <v>228</v>
      </c>
      <c r="CF114" s="0" t="s">
        <v>228</v>
      </c>
      <c r="CG114" s="0" t="s">
        <v>228</v>
      </c>
      <c r="CH114" s="0" t="s">
        <v>228</v>
      </c>
      <c r="CI114" s="0" t="s">
        <v>228</v>
      </c>
      <c r="CJ114" s="0" t="s">
        <v>228</v>
      </c>
      <c r="CK114" s="0" t="s">
        <v>228</v>
      </c>
      <c r="CL114" s="0" t="s">
        <v>228</v>
      </c>
      <c r="CM114" s="0" t="s">
        <v>228</v>
      </c>
      <c r="CN114" s="0" t="s">
        <v>228</v>
      </c>
      <c r="CO114" s="0" t="s">
        <v>228</v>
      </c>
      <c r="CP114" s="0" t="s">
        <v>228</v>
      </c>
      <c r="CQ114" s="0" t="s">
        <v>228</v>
      </c>
      <c r="CR114" s="0" t="s">
        <v>228</v>
      </c>
      <c r="CS114" s="0" t="s">
        <v>228</v>
      </c>
      <c r="CT114" s="0" t="s">
        <v>3568</v>
      </c>
      <c r="CU114" s="0" t="s">
        <v>3569</v>
      </c>
      <c r="CV114" s="0" t="s">
        <v>418</v>
      </c>
      <c r="CW114" s="0" t="s">
        <v>3570</v>
      </c>
      <c r="CX114" s="0" t="s">
        <v>419</v>
      </c>
      <c r="CY114" s="0" t="s">
        <v>418</v>
      </c>
      <c r="CZ114" s="0" t="s">
        <v>3571</v>
      </c>
      <c r="DA114" s="0" t="s">
        <v>420</v>
      </c>
      <c r="DB114" s="0" t="s">
        <v>3570</v>
      </c>
      <c r="DC114" s="0" t="s">
        <v>362</v>
      </c>
      <c r="DD114" s="0" t="s">
        <v>3572</v>
      </c>
      <c r="DE114" s="0" t="s">
        <v>4191</v>
      </c>
    </row>
    <row customHeight="1" ht="11.25">
      <c r="A115" s="1353" t="s">
        <v>228</v>
      </c>
      <c r="B115" s="0" t="s">
        <v>228</v>
      </c>
      <c r="C115" s="0" t="s">
        <v>228</v>
      </c>
      <c r="D115" s="0" t="s">
        <v>228</v>
      </c>
      <c r="E115" s="0" t="s">
        <v>228</v>
      </c>
      <c r="F115" s="0" t="s">
        <v>228</v>
      </c>
      <c r="G115" s="0" t="s">
        <v>228</v>
      </c>
      <c r="H115" s="0" t="s">
        <v>228</v>
      </c>
      <c r="I115" s="0" t="s">
        <v>3555</v>
      </c>
      <c r="J115" s="0" t="s">
        <v>228</v>
      </c>
      <c r="K115" s="0" t="s">
        <v>228</v>
      </c>
      <c r="L115" s="0" t="s">
        <v>228</v>
      </c>
      <c r="M115" s="0" t="s">
        <v>228</v>
      </c>
      <c r="N115" s="0" t="s">
        <v>228</v>
      </c>
      <c r="O115" s="0" t="s">
        <v>228</v>
      </c>
      <c r="P115" s="0" t="s">
        <v>228</v>
      </c>
      <c r="Q115" s="0" t="s">
        <v>228</v>
      </c>
      <c r="R115" s="0" t="s">
        <v>4192</v>
      </c>
      <c r="S115" s="0" t="s">
        <v>228</v>
      </c>
      <c r="T115" s="0" t="s">
        <v>228</v>
      </c>
      <c r="U115" s="0" t="s">
        <v>101</v>
      </c>
      <c r="V115" s="0" t="s">
        <v>228</v>
      </c>
      <c r="W115" s="0" t="s">
        <v>228</v>
      </c>
      <c r="X115" s="0" t="s">
        <v>3557</v>
      </c>
      <c r="Y115" s="0" t="s">
        <v>228</v>
      </c>
      <c r="Z115" s="0" t="s">
        <v>160</v>
      </c>
      <c r="AA115" s="0" t="s">
        <v>151</v>
      </c>
      <c r="AB115" s="0" t="s">
        <v>151</v>
      </c>
      <c r="AC115" s="0" t="s">
        <v>2290</v>
      </c>
      <c r="AD115" s="0" t="s">
        <v>2290</v>
      </c>
      <c r="AE115" s="0" t="s">
        <v>2292</v>
      </c>
      <c r="AF115" s="0" t="s">
        <v>3558</v>
      </c>
      <c r="AG115" s="0" t="s">
        <v>3559</v>
      </c>
      <c r="AH115" s="0" t="s">
        <v>4193</v>
      </c>
      <c r="AI115" s="0" t="s">
        <v>3608</v>
      </c>
      <c r="AJ115" s="0" t="s">
        <v>4188</v>
      </c>
      <c r="AK115" s="0" t="s">
        <v>3674</v>
      </c>
      <c r="AL115" s="0" t="s">
        <v>3681</v>
      </c>
      <c r="AM115" s="0" t="s">
        <v>3565</v>
      </c>
      <c r="AN115" s="0" t="s">
        <v>4189</v>
      </c>
      <c r="AO115" s="0" t="s">
        <v>4194</v>
      </c>
      <c r="AP115" s="0" t="s">
        <v>228</v>
      </c>
      <c r="AQ115" s="0" t="s">
        <v>228</v>
      </c>
      <c r="AR115" s="0" t="s">
        <v>228</v>
      </c>
      <c r="AS115" s="0" t="s">
        <v>228</v>
      </c>
      <c r="AT115" s="0" t="s">
        <v>228</v>
      </c>
      <c r="AU115" s="0" t="s">
        <v>228</v>
      </c>
      <c r="AV115" s="0" t="s">
        <v>228</v>
      </c>
      <c r="AW115" s="0" t="s">
        <v>228</v>
      </c>
      <c r="AX115" s="0" t="s">
        <v>228</v>
      </c>
      <c r="AY115" s="0" t="s">
        <v>228</v>
      </c>
      <c r="AZ115" s="0" t="s">
        <v>228</v>
      </c>
      <c r="BA115" s="0" t="s">
        <v>228</v>
      </c>
      <c r="BB115" s="0" t="s">
        <v>228</v>
      </c>
      <c r="BC115" s="0" t="s">
        <v>228</v>
      </c>
      <c r="BD115" s="0" t="s">
        <v>228</v>
      </c>
      <c r="BE115" s="0" t="s">
        <v>228</v>
      </c>
      <c r="BF115" s="0" t="s">
        <v>228</v>
      </c>
      <c r="BG115" s="0" t="s">
        <v>228</v>
      </c>
      <c r="BH115" s="0" t="s">
        <v>228</v>
      </c>
      <c r="BI115" s="0" t="s">
        <v>228</v>
      </c>
      <c r="BJ115" s="0" t="s">
        <v>228</v>
      </c>
      <c r="BK115" s="0" t="s">
        <v>228</v>
      </c>
      <c r="BL115" s="0" t="s">
        <v>228</v>
      </c>
      <c r="BM115" s="0" t="s">
        <v>228</v>
      </c>
      <c r="BN115" s="0" t="s">
        <v>228</v>
      </c>
      <c r="BO115" s="0" t="s">
        <v>228</v>
      </c>
      <c r="BP115" s="0" t="s">
        <v>228</v>
      </c>
      <c r="BQ115" s="0" t="s">
        <v>228</v>
      </c>
      <c r="BR115" s="0" t="s">
        <v>228</v>
      </c>
      <c r="BS115" s="0" t="s">
        <v>228</v>
      </c>
      <c r="BT115" s="0" t="s">
        <v>228</v>
      </c>
      <c r="BU115" s="0" t="s">
        <v>228</v>
      </c>
      <c r="BV115" s="0" t="s">
        <v>228</v>
      </c>
      <c r="BW115" s="0" t="s">
        <v>228</v>
      </c>
      <c r="BX115" s="0" t="s">
        <v>228</v>
      </c>
      <c r="BY115" s="0" t="s">
        <v>228</v>
      </c>
      <c r="BZ115" s="0" t="s">
        <v>228</v>
      </c>
      <c r="CA115" s="0" t="s">
        <v>228</v>
      </c>
      <c r="CB115" s="0" t="s">
        <v>228</v>
      </c>
      <c r="CC115" s="0" t="s">
        <v>228</v>
      </c>
      <c r="CD115" s="0" t="s">
        <v>228</v>
      </c>
      <c r="CE115" s="0" t="s">
        <v>228</v>
      </c>
      <c r="CF115" s="0" t="s">
        <v>228</v>
      </c>
      <c r="CG115" s="0" t="s">
        <v>228</v>
      </c>
      <c r="CH115" s="0" t="s">
        <v>228</v>
      </c>
      <c r="CI115" s="0" t="s">
        <v>228</v>
      </c>
      <c r="CJ115" s="0" t="s">
        <v>228</v>
      </c>
      <c r="CK115" s="0" t="s">
        <v>228</v>
      </c>
      <c r="CL115" s="0" t="s">
        <v>228</v>
      </c>
      <c r="CM115" s="0" t="s">
        <v>228</v>
      </c>
      <c r="CN115" s="0" t="s">
        <v>228</v>
      </c>
      <c r="CO115" s="0" t="s">
        <v>228</v>
      </c>
      <c r="CP115" s="0" t="s">
        <v>228</v>
      </c>
      <c r="CQ115" s="0" t="s">
        <v>228</v>
      </c>
      <c r="CR115" s="0" t="s">
        <v>228</v>
      </c>
      <c r="CS115" s="0" t="s">
        <v>228</v>
      </c>
      <c r="CT115" s="0" t="s">
        <v>3568</v>
      </c>
      <c r="CU115" s="0" t="s">
        <v>3569</v>
      </c>
      <c r="CV115" s="0" t="s">
        <v>418</v>
      </c>
      <c r="CW115" s="0" t="s">
        <v>3570</v>
      </c>
      <c r="CX115" s="0" t="s">
        <v>419</v>
      </c>
      <c r="CY115" s="0" t="s">
        <v>418</v>
      </c>
      <c r="CZ115" s="0" t="s">
        <v>3571</v>
      </c>
      <c r="DA115" s="0" t="s">
        <v>420</v>
      </c>
      <c r="DB115" s="0" t="s">
        <v>3570</v>
      </c>
      <c r="DC115" s="0" t="s">
        <v>362</v>
      </c>
      <c r="DD115" s="0" t="s">
        <v>3572</v>
      </c>
      <c r="DE115" s="0" t="s">
        <v>4195</v>
      </c>
    </row>
    <row customHeight="1" ht="11.25">
      <c r="A116" s="1353" t="s">
        <v>228</v>
      </c>
      <c r="B116" s="0" t="s">
        <v>228</v>
      </c>
      <c r="C116" s="0" t="s">
        <v>228</v>
      </c>
      <c r="D116" s="0" t="s">
        <v>228</v>
      </c>
      <c r="E116" s="0" t="s">
        <v>228</v>
      </c>
      <c r="F116" s="0" t="s">
        <v>228</v>
      </c>
      <c r="G116" s="0" t="s">
        <v>228</v>
      </c>
      <c r="H116" s="0" t="s">
        <v>228</v>
      </c>
      <c r="I116" s="0" t="s">
        <v>3555</v>
      </c>
      <c r="J116" s="0" t="s">
        <v>228</v>
      </c>
      <c r="K116" s="0" t="s">
        <v>228</v>
      </c>
      <c r="L116" s="0" t="s">
        <v>228</v>
      </c>
      <c r="M116" s="0" t="s">
        <v>228</v>
      </c>
      <c r="N116" s="0" t="s">
        <v>228</v>
      </c>
      <c r="O116" s="0" t="s">
        <v>228</v>
      </c>
      <c r="P116" s="0" t="s">
        <v>228</v>
      </c>
      <c r="Q116" s="0" t="s">
        <v>228</v>
      </c>
      <c r="R116" s="0" t="s">
        <v>3684</v>
      </c>
      <c r="S116" s="0" t="s">
        <v>228</v>
      </c>
      <c r="T116" s="0" t="s">
        <v>228</v>
      </c>
      <c r="U116" s="0" t="s">
        <v>101</v>
      </c>
      <c r="V116" s="0" t="s">
        <v>228</v>
      </c>
      <c r="W116" s="0" t="s">
        <v>228</v>
      </c>
      <c r="X116" s="0" t="s">
        <v>3557</v>
      </c>
      <c r="Y116" s="0" t="s">
        <v>228</v>
      </c>
      <c r="Z116" s="0" t="s">
        <v>160</v>
      </c>
      <c r="AA116" s="0" t="s">
        <v>151</v>
      </c>
      <c r="AB116" s="0" t="s">
        <v>151</v>
      </c>
      <c r="AC116" s="0" t="s">
        <v>2311</v>
      </c>
      <c r="AD116" s="0" t="s">
        <v>2311</v>
      </c>
      <c r="AE116" s="0" t="s">
        <v>2312</v>
      </c>
      <c r="AF116" s="0" t="s">
        <v>3996</v>
      </c>
      <c r="AG116" s="0" t="s">
        <v>3997</v>
      </c>
      <c r="AH116" s="0" t="s">
        <v>3589</v>
      </c>
      <c r="AI116" s="0" t="s">
        <v>1701</v>
      </c>
      <c r="AJ116" s="0" t="s">
        <v>3579</v>
      </c>
      <c r="AK116" s="0" t="s">
        <v>3580</v>
      </c>
      <c r="AL116" s="0" t="s">
        <v>4196</v>
      </c>
      <c r="AM116" s="0" t="s">
        <v>3565</v>
      </c>
      <c r="AN116" s="0" t="s">
        <v>3582</v>
      </c>
      <c r="AO116" s="0" t="s">
        <v>3845</v>
      </c>
      <c r="AP116" s="0" t="s">
        <v>228</v>
      </c>
      <c r="AQ116" s="0" t="s">
        <v>228</v>
      </c>
      <c r="AR116" s="0" t="s">
        <v>228</v>
      </c>
      <c r="AS116" s="0" t="s">
        <v>228</v>
      </c>
      <c r="AT116" s="0" t="s">
        <v>228</v>
      </c>
      <c r="AU116" s="0" t="s">
        <v>228</v>
      </c>
      <c r="AV116" s="0" t="s">
        <v>228</v>
      </c>
      <c r="AW116" s="0" t="s">
        <v>228</v>
      </c>
      <c r="AX116" s="0" t="s">
        <v>228</v>
      </c>
      <c r="AY116" s="0" t="s">
        <v>228</v>
      </c>
      <c r="AZ116" s="0" t="s">
        <v>228</v>
      </c>
      <c r="BA116" s="0" t="s">
        <v>228</v>
      </c>
      <c r="BB116" s="0" t="s">
        <v>228</v>
      </c>
      <c r="BC116" s="0" t="s">
        <v>228</v>
      </c>
      <c r="BD116" s="0" t="s">
        <v>228</v>
      </c>
      <c r="BE116" s="0" t="s">
        <v>228</v>
      </c>
      <c r="BF116" s="0" t="s">
        <v>228</v>
      </c>
      <c r="BG116" s="0" t="s">
        <v>228</v>
      </c>
      <c r="BH116" s="0" t="s">
        <v>228</v>
      </c>
      <c r="BI116" s="0" t="s">
        <v>228</v>
      </c>
      <c r="BJ116" s="0" t="s">
        <v>228</v>
      </c>
      <c r="BK116" s="0" t="s">
        <v>228</v>
      </c>
      <c r="BL116" s="0" t="s">
        <v>228</v>
      </c>
      <c r="BM116" s="0" t="s">
        <v>228</v>
      </c>
      <c r="BN116" s="0" t="s">
        <v>228</v>
      </c>
      <c r="BO116" s="0" t="s">
        <v>228</v>
      </c>
      <c r="BP116" s="0" t="s">
        <v>228</v>
      </c>
      <c r="BQ116" s="0" t="s">
        <v>228</v>
      </c>
      <c r="BR116" s="0" t="s">
        <v>228</v>
      </c>
      <c r="BS116" s="0" t="s">
        <v>228</v>
      </c>
      <c r="BT116" s="0" t="s">
        <v>228</v>
      </c>
      <c r="BU116" s="0" t="s">
        <v>228</v>
      </c>
      <c r="BV116" s="0" t="s">
        <v>228</v>
      </c>
      <c r="BW116" s="0" t="s">
        <v>228</v>
      </c>
      <c r="BX116" s="0" t="s">
        <v>228</v>
      </c>
      <c r="BY116" s="0" t="s">
        <v>228</v>
      </c>
      <c r="BZ116" s="0" t="s">
        <v>228</v>
      </c>
      <c r="CA116" s="0" t="s">
        <v>228</v>
      </c>
      <c r="CB116" s="0" t="s">
        <v>228</v>
      </c>
      <c r="CC116" s="0" t="s">
        <v>228</v>
      </c>
      <c r="CD116" s="0" t="s">
        <v>228</v>
      </c>
      <c r="CE116" s="0" t="s">
        <v>228</v>
      </c>
      <c r="CF116" s="0" t="s">
        <v>228</v>
      </c>
      <c r="CG116" s="0" t="s">
        <v>228</v>
      </c>
      <c r="CH116" s="0" t="s">
        <v>228</v>
      </c>
      <c r="CI116" s="0" t="s">
        <v>228</v>
      </c>
      <c r="CJ116" s="0" t="s">
        <v>228</v>
      </c>
      <c r="CK116" s="0" t="s">
        <v>228</v>
      </c>
      <c r="CL116" s="0" t="s">
        <v>228</v>
      </c>
      <c r="CM116" s="0" t="s">
        <v>228</v>
      </c>
      <c r="CN116" s="0" t="s">
        <v>228</v>
      </c>
      <c r="CO116" s="0" t="s">
        <v>228</v>
      </c>
      <c r="CP116" s="0" t="s">
        <v>228</v>
      </c>
      <c r="CQ116" s="0" t="s">
        <v>228</v>
      </c>
      <c r="CR116" s="0" t="s">
        <v>228</v>
      </c>
      <c r="CS116" s="0" t="s">
        <v>228</v>
      </c>
      <c r="CT116" s="0" t="s">
        <v>3568</v>
      </c>
      <c r="CU116" s="0" t="s">
        <v>3569</v>
      </c>
      <c r="CV116" s="0" t="s">
        <v>418</v>
      </c>
      <c r="CW116" s="0" t="s">
        <v>3584</v>
      </c>
      <c r="CX116" s="0" t="s">
        <v>419</v>
      </c>
      <c r="CY116" s="0" t="s">
        <v>418</v>
      </c>
      <c r="CZ116" s="0" t="s">
        <v>3585</v>
      </c>
      <c r="DA116" s="0" t="s">
        <v>3586</v>
      </c>
      <c r="DB116" s="0" t="s">
        <v>3584</v>
      </c>
      <c r="DC116" s="0" t="s">
        <v>362</v>
      </c>
      <c r="DD116" s="0" t="s">
        <v>3572</v>
      </c>
      <c r="DE116" s="0" t="s">
        <v>4197</v>
      </c>
    </row>
    <row customHeight="1" ht="11.25">
      <c r="A117" s="1353" t="s">
        <v>228</v>
      </c>
      <c r="B117" s="0" t="s">
        <v>228</v>
      </c>
      <c r="C117" s="0" t="s">
        <v>228</v>
      </c>
      <c r="D117" s="0" t="s">
        <v>228</v>
      </c>
      <c r="E117" s="0" t="s">
        <v>228</v>
      </c>
      <c r="F117" s="0" t="s">
        <v>228</v>
      </c>
      <c r="G117" s="0" t="s">
        <v>228</v>
      </c>
      <c r="H117" s="0" t="s">
        <v>228</v>
      </c>
      <c r="I117" s="0" t="s">
        <v>3555</v>
      </c>
      <c r="J117" s="0" t="s">
        <v>228</v>
      </c>
      <c r="K117" s="0" t="s">
        <v>228</v>
      </c>
      <c r="L117" s="0" t="s">
        <v>228</v>
      </c>
      <c r="M117" s="0" t="s">
        <v>228</v>
      </c>
      <c r="N117" s="0" t="s">
        <v>228</v>
      </c>
      <c r="O117" s="0" t="s">
        <v>228</v>
      </c>
      <c r="P117" s="0" t="s">
        <v>228</v>
      </c>
      <c r="Q117" s="0" t="s">
        <v>228</v>
      </c>
      <c r="R117" s="0" t="s">
        <v>3684</v>
      </c>
      <c r="S117" s="0" t="s">
        <v>228</v>
      </c>
      <c r="T117" s="0" t="s">
        <v>228</v>
      </c>
      <c r="U117" s="0" t="s">
        <v>101</v>
      </c>
      <c r="V117" s="0" t="s">
        <v>228</v>
      </c>
      <c r="W117" s="0" t="s">
        <v>228</v>
      </c>
      <c r="X117" s="0" t="s">
        <v>3557</v>
      </c>
      <c r="Y117" s="0" t="s">
        <v>228</v>
      </c>
      <c r="Z117" s="0" t="s">
        <v>160</v>
      </c>
      <c r="AA117" s="0" t="s">
        <v>151</v>
      </c>
      <c r="AB117" s="0" t="s">
        <v>151</v>
      </c>
      <c r="AC117" s="0" t="s">
        <v>2311</v>
      </c>
      <c r="AD117" s="0" t="s">
        <v>2311</v>
      </c>
      <c r="AE117" s="0" t="s">
        <v>2312</v>
      </c>
      <c r="AF117" s="0" t="s">
        <v>3996</v>
      </c>
      <c r="AG117" s="0" t="s">
        <v>3997</v>
      </c>
      <c r="AH117" s="0" t="s">
        <v>3589</v>
      </c>
      <c r="AI117" s="0" t="s">
        <v>4198</v>
      </c>
      <c r="AJ117" s="0" t="s">
        <v>3579</v>
      </c>
      <c r="AK117" s="0" t="s">
        <v>3580</v>
      </c>
      <c r="AL117" s="0" t="s">
        <v>4196</v>
      </c>
      <c r="AM117" s="0" t="s">
        <v>3565</v>
      </c>
      <c r="AN117" s="0" t="s">
        <v>3582</v>
      </c>
      <c r="AO117" s="0" t="s">
        <v>3845</v>
      </c>
      <c r="AP117" s="0" t="s">
        <v>228</v>
      </c>
      <c r="AQ117" s="0" t="s">
        <v>228</v>
      </c>
      <c r="AR117" s="0" t="s">
        <v>228</v>
      </c>
      <c r="AS117" s="0" t="s">
        <v>228</v>
      </c>
      <c r="AT117" s="0" t="s">
        <v>228</v>
      </c>
      <c r="AU117" s="0" t="s">
        <v>228</v>
      </c>
      <c r="AV117" s="0" t="s">
        <v>228</v>
      </c>
      <c r="AW117" s="0" t="s">
        <v>228</v>
      </c>
      <c r="AX117" s="0" t="s">
        <v>228</v>
      </c>
      <c r="AY117" s="0" t="s">
        <v>228</v>
      </c>
      <c r="AZ117" s="0" t="s">
        <v>228</v>
      </c>
      <c r="BA117" s="0" t="s">
        <v>228</v>
      </c>
      <c r="BB117" s="0" t="s">
        <v>228</v>
      </c>
      <c r="BC117" s="0" t="s">
        <v>228</v>
      </c>
      <c r="BD117" s="0" t="s">
        <v>228</v>
      </c>
      <c r="BE117" s="0" t="s">
        <v>228</v>
      </c>
      <c r="BF117" s="0" t="s">
        <v>228</v>
      </c>
      <c r="BG117" s="0" t="s">
        <v>228</v>
      </c>
      <c r="BH117" s="0" t="s">
        <v>228</v>
      </c>
      <c r="BI117" s="0" t="s">
        <v>228</v>
      </c>
      <c r="BJ117" s="0" t="s">
        <v>228</v>
      </c>
      <c r="BK117" s="0" t="s">
        <v>228</v>
      </c>
      <c r="BL117" s="0" t="s">
        <v>228</v>
      </c>
      <c r="BM117" s="0" t="s">
        <v>228</v>
      </c>
      <c r="BN117" s="0" t="s">
        <v>228</v>
      </c>
      <c r="BO117" s="0" t="s">
        <v>228</v>
      </c>
      <c r="BP117" s="0" t="s">
        <v>228</v>
      </c>
      <c r="BQ117" s="0" t="s">
        <v>228</v>
      </c>
      <c r="BR117" s="0" t="s">
        <v>228</v>
      </c>
      <c r="BS117" s="0" t="s">
        <v>228</v>
      </c>
      <c r="BT117" s="0" t="s">
        <v>228</v>
      </c>
      <c r="BU117" s="0" t="s">
        <v>228</v>
      </c>
      <c r="BV117" s="0" t="s">
        <v>228</v>
      </c>
      <c r="BW117" s="0" t="s">
        <v>228</v>
      </c>
      <c r="BX117" s="0" t="s">
        <v>228</v>
      </c>
      <c r="BY117" s="0" t="s">
        <v>228</v>
      </c>
      <c r="BZ117" s="0" t="s">
        <v>228</v>
      </c>
      <c r="CA117" s="0" t="s">
        <v>228</v>
      </c>
      <c r="CB117" s="0" t="s">
        <v>228</v>
      </c>
      <c r="CC117" s="0" t="s">
        <v>228</v>
      </c>
      <c r="CD117" s="0" t="s">
        <v>228</v>
      </c>
      <c r="CE117" s="0" t="s">
        <v>228</v>
      </c>
      <c r="CF117" s="0" t="s">
        <v>228</v>
      </c>
      <c r="CG117" s="0" t="s">
        <v>228</v>
      </c>
      <c r="CH117" s="0" t="s">
        <v>228</v>
      </c>
      <c r="CI117" s="0" t="s">
        <v>228</v>
      </c>
      <c r="CJ117" s="0" t="s">
        <v>228</v>
      </c>
      <c r="CK117" s="0" t="s">
        <v>228</v>
      </c>
      <c r="CL117" s="0" t="s">
        <v>228</v>
      </c>
      <c r="CM117" s="0" t="s">
        <v>228</v>
      </c>
      <c r="CN117" s="0" t="s">
        <v>228</v>
      </c>
      <c r="CO117" s="0" t="s">
        <v>228</v>
      </c>
      <c r="CP117" s="0" t="s">
        <v>228</v>
      </c>
      <c r="CQ117" s="0" t="s">
        <v>228</v>
      </c>
      <c r="CR117" s="0" t="s">
        <v>228</v>
      </c>
      <c r="CS117" s="0" t="s">
        <v>228</v>
      </c>
      <c r="CT117" s="0" t="s">
        <v>3568</v>
      </c>
      <c r="CU117" s="0" t="s">
        <v>3569</v>
      </c>
      <c r="CV117" s="0" t="s">
        <v>418</v>
      </c>
      <c r="CW117" s="0" t="s">
        <v>3584</v>
      </c>
      <c r="CX117" s="0" t="s">
        <v>419</v>
      </c>
      <c r="CY117" s="0" t="s">
        <v>418</v>
      </c>
      <c r="CZ117" s="0" t="s">
        <v>3585</v>
      </c>
      <c r="DA117" s="0" t="s">
        <v>3586</v>
      </c>
      <c r="DB117" s="0" t="s">
        <v>3584</v>
      </c>
      <c r="DC117" s="0" t="s">
        <v>362</v>
      </c>
      <c r="DD117" s="0" t="s">
        <v>3572</v>
      </c>
      <c r="DE117" s="0" t="s">
        <v>4199</v>
      </c>
    </row>
    <row customHeight="1" ht="11.25">
      <c r="A118" s="1353" t="s">
        <v>228</v>
      </c>
      <c r="B118" s="0" t="s">
        <v>228</v>
      </c>
      <c r="C118" s="0" t="s">
        <v>228</v>
      </c>
      <c r="D118" s="0" t="s">
        <v>228</v>
      </c>
      <c r="E118" s="0" t="s">
        <v>228</v>
      </c>
      <c r="F118" s="0" t="s">
        <v>228</v>
      </c>
      <c r="G118" s="0" t="s">
        <v>228</v>
      </c>
      <c r="H118" s="0" t="s">
        <v>228</v>
      </c>
      <c r="I118" s="0" t="s">
        <v>3555</v>
      </c>
      <c r="J118" s="0" t="s">
        <v>228</v>
      </c>
      <c r="K118" s="0" t="s">
        <v>228</v>
      </c>
      <c r="L118" s="0" t="s">
        <v>228</v>
      </c>
      <c r="M118" s="0" t="s">
        <v>228</v>
      </c>
      <c r="N118" s="0" t="s">
        <v>228</v>
      </c>
      <c r="O118" s="0" t="s">
        <v>228</v>
      </c>
      <c r="P118" s="0" t="s">
        <v>228</v>
      </c>
      <c r="Q118" s="0" t="s">
        <v>228</v>
      </c>
      <c r="R118" s="0" t="s">
        <v>3648</v>
      </c>
      <c r="S118" s="0" t="s">
        <v>228</v>
      </c>
      <c r="T118" s="0" t="s">
        <v>228</v>
      </c>
      <c r="U118" s="0" t="s">
        <v>101</v>
      </c>
      <c r="V118" s="0" t="s">
        <v>228</v>
      </c>
      <c r="W118" s="0" t="s">
        <v>228</v>
      </c>
      <c r="X118" s="0" t="s">
        <v>3557</v>
      </c>
      <c r="Y118" s="0" t="s">
        <v>228</v>
      </c>
      <c r="Z118" s="0" t="s">
        <v>160</v>
      </c>
      <c r="AA118" s="0" t="s">
        <v>151</v>
      </c>
      <c r="AB118" s="0" t="s">
        <v>151</v>
      </c>
      <c r="AC118" s="0" t="s">
        <v>2317</v>
      </c>
      <c r="AD118" s="0" t="s">
        <v>2317</v>
      </c>
      <c r="AE118" s="0" t="s">
        <v>2318</v>
      </c>
      <c r="AF118" s="0" t="s">
        <v>4200</v>
      </c>
      <c r="AG118" s="0" t="s">
        <v>4201</v>
      </c>
      <c r="AH118" s="0" t="s">
        <v>3851</v>
      </c>
      <c r="AI118" s="0" t="s">
        <v>3807</v>
      </c>
      <c r="AJ118" s="0" t="s">
        <v>3627</v>
      </c>
      <c r="AK118" s="0" t="s">
        <v>3749</v>
      </c>
      <c r="AL118" s="0" t="s">
        <v>3581</v>
      </c>
      <c r="AM118" s="0" t="s">
        <v>3565</v>
      </c>
      <c r="AN118" s="0" t="s">
        <v>3628</v>
      </c>
      <c r="AO118" s="0" t="s">
        <v>3829</v>
      </c>
      <c r="AP118" s="0" t="s">
        <v>228</v>
      </c>
      <c r="AQ118" s="0" t="s">
        <v>228</v>
      </c>
      <c r="AR118" s="0" t="s">
        <v>228</v>
      </c>
      <c r="AS118" s="0" t="s">
        <v>228</v>
      </c>
      <c r="AT118" s="0" t="s">
        <v>228</v>
      </c>
      <c r="AU118" s="0" t="s">
        <v>228</v>
      </c>
      <c r="AV118" s="0" t="s">
        <v>228</v>
      </c>
      <c r="AW118" s="0" t="s">
        <v>228</v>
      </c>
      <c r="AX118" s="0" t="s">
        <v>228</v>
      </c>
      <c r="AY118" s="0" t="s">
        <v>228</v>
      </c>
      <c r="AZ118" s="0" t="s">
        <v>228</v>
      </c>
      <c r="BA118" s="0" t="s">
        <v>228</v>
      </c>
      <c r="BB118" s="0" t="s">
        <v>228</v>
      </c>
      <c r="BC118" s="0" t="s">
        <v>228</v>
      </c>
      <c r="BD118" s="0" t="s">
        <v>228</v>
      </c>
      <c r="BE118" s="0" t="s">
        <v>228</v>
      </c>
      <c r="BF118" s="0" t="s">
        <v>228</v>
      </c>
      <c r="BG118" s="0" t="s">
        <v>228</v>
      </c>
      <c r="BH118" s="0" t="s">
        <v>228</v>
      </c>
      <c r="BI118" s="0" t="s">
        <v>228</v>
      </c>
      <c r="BJ118" s="0" t="s">
        <v>228</v>
      </c>
      <c r="BK118" s="0" t="s">
        <v>228</v>
      </c>
      <c r="BL118" s="0" t="s">
        <v>228</v>
      </c>
      <c r="BM118" s="0" t="s">
        <v>228</v>
      </c>
      <c r="BN118" s="0" t="s">
        <v>228</v>
      </c>
      <c r="BO118" s="0" t="s">
        <v>228</v>
      </c>
      <c r="BP118" s="0" t="s">
        <v>228</v>
      </c>
      <c r="BQ118" s="0" t="s">
        <v>228</v>
      </c>
      <c r="BR118" s="0" t="s">
        <v>228</v>
      </c>
      <c r="BS118" s="0" t="s">
        <v>228</v>
      </c>
      <c r="BT118" s="0" t="s">
        <v>228</v>
      </c>
      <c r="BU118" s="0" t="s">
        <v>228</v>
      </c>
      <c r="BV118" s="0" t="s">
        <v>228</v>
      </c>
      <c r="BW118" s="0" t="s">
        <v>228</v>
      </c>
      <c r="BX118" s="0" t="s">
        <v>228</v>
      </c>
      <c r="BY118" s="0" t="s">
        <v>228</v>
      </c>
      <c r="BZ118" s="0" t="s">
        <v>228</v>
      </c>
      <c r="CA118" s="0" t="s">
        <v>228</v>
      </c>
      <c r="CB118" s="0" t="s">
        <v>228</v>
      </c>
      <c r="CC118" s="0" t="s">
        <v>228</v>
      </c>
      <c r="CD118" s="0" t="s">
        <v>228</v>
      </c>
      <c r="CE118" s="0" t="s">
        <v>228</v>
      </c>
      <c r="CF118" s="0" t="s">
        <v>228</v>
      </c>
      <c r="CG118" s="0" t="s">
        <v>228</v>
      </c>
      <c r="CH118" s="0" t="s">
        <v>228</v>
      </c>
      <c r="CI118" s="0" t="s">
        <v>228</v>
      </c>
      <c r="CJ118" s="0" t="s">
        <v>228</v>
      </c>
      <c r="CK118" s="0" t="s">
        <v>228</v>
      </c>
      <c r="CL118" s="0" t="s">
        <v>228</v>
      </c>
      <c r="CM118" s="0" t="s">
        <v>228</v>
      </c>
      <c r="CN118" s="0" t="s">
        <v>228</v>
      </c>
      <c r="CO118" s="0" t="s">
        <v>228</v>
      </c>
      <c r="CP118" s="0" t="s">
        <v>228</v>
      </c>
      <c r="CQ118" s="0" t="s">
        <v>228</v>
      </c>
      <c r="CR118" s="0" t="s">
        <v>228</v>
      </c>
      <c r="CS118" s="0" t="s">
        <v>228</v>
      </c>
      <c r="CT118" s="0" t="s">
        <v>3568</v>
      </c>
      <c r="CU118" s="0" t="s">
        <v>3569</v>
      </c>
      <c r="CV118" s="0" t="s">
        <v>418</v>
      </c>
      <c r="CW118" s="0" t="s">
        <v>3622</v>
      </c>
      <c r="CX118" s="0" t="s">
        <v>419</v>
      </c>
      <c r="CY118" s="0" t="s">
        <v>418</v>
      </c>
      <c r="CZ118" s="0" t="s">
        <v>3623</v>
      </c>
      <c r="DA118" s="0" t="s">
        <v>3624</v>
      </c>
      <c r="DB118" s="0" t="s">
        <v>3622</v>
      </c>
      <c r="DC118" s="0" t="s">
        <v>362</v>
      </c>
      <c r="DD118" s="0" t="s">
        <v>3572</v>
      </c>
      <c r="DE118" s="0" t="s">
        <v>4202</v>
      </c>
    </row>
    <row customHeight="1" ht="11.25">
      <c r="A119" s="1353" t="s">
        <v>228</v>
      </c>
      <c r="B119" s="0" t="s">
        <v>228</v>
      </c>
      <c r="C119" s="0" t="s">
        <v>228</v>
      </c>
      <c r="D119" s="0" t="s">
        <v>228</v>
      </c>
      <c r="E119" s="0" t="s">
        <v>228</v>
      </c>
      <c r="F119" s="0" t="s">
        <v>228</v>
      </c>
      <c r="G119" s="0" t="s">
        <v>228</v>
      </c>
      <c r="H119" s="0" t="s">
        <v>228</v>
      </c>
      <c r="I119" s="0" t="s">
        <v>3555</v>
      </c>
      <c r="J119" s="0" t="s">
        <v>228</v>
      </c>
      <c r="K119" s="0" t="s">
        <v>228</v>
      </c>
      <c r="L119" s="0" t="s">
        <v>228</v>
      </c>
      <c r="M119" s="0" t="s">
        <v>228</v>
      </c>
      <c r="N119" s="0" t="s">
        <v>228</v>
      </c>
      <c r="O119" s="0" t="s">
        <v>228</v>
      </c>
      <c r="P119" s="0" t="s">
        <v>228</v>
      </c>
      <c r="Q119" s="0" t="s">
        <v>228</v>
      </c>
      <c r="R119" s="0" t="s">
        <v>3648</v>
      </c>
      <c r="S119" s="0" t="s">
        <v>228</v>
      </c>
      <c r="T119" s="0" t="s">
        <v>228</v>
      </c>
      <c r="U119" s="0" t="s">
        <v>101</v>
      </c>
      <c r="V119" s="0" t="s">
        <v>228</v>
      </c>
      <c r="W119" s="0" t="s">
        <v>228</v>
      </c>
      <c r="X119" s="0" t="s">
        <v>3557</v>
      </c>
      <c r="Y119" s="0" t="s">
        <v>228</v>
      </c>
      <c r="Z119" s="0" t="s">
        <v>160</v>
      </c>
      <c r="AA119" s="0" t="s">
        <v>151</v>
      </c>
      <c r="AB119" s="0" t="s">
        <v>151</v>
      </c>
      <c r="AC119" s="0" t="s">
        <v>2317</v>
      </c>
      <c r="AD119" s="0" t="s">
        <v>2317</v>
      </c>
      <c r="AE119" s="0" t="s">
        <v>2318</v>
      </c>
      <c r="AF119" s="0" t="s">
        <v>3923</v>
      </c>
      <c r="AG119" s="0" t="s">
        <v>3924</v>
      </c>
      <c r="AH119" s="0" t="s">
        <v>4203</v>
      </c>
      <c r="AI119" s="0" t="s">
        <v>3811</v>
      </c>
      <c r="AJ119" s="0" t="s">
        <v>3579</v>
      </c>
      <c r="AK119" s="0" t="s">
        <v>3619</v>
      </c>
      <c r="AL119" s="0" t="s">
        <v>3581</v>
      </c>
      <c r="AM119" s="0" t="s">
        <v>3565</v>
      </c>
      <c r="AN119" s="0" t="s">
        <v>3620</v>
      </c>
      <c r="AO119" s="0" t="s">
        <v>3583</v>
      </c>
      <c r="AP119" s="0" t="s">
        <v>228</v>
      </c>
      <c r="AQ119" s="0" t="s">
        <v>228</v>
      </c>
      <c r="AR119" s="0" t="s">
        <v>228</v>
      </c>
      <c r="AS119" s="0" t="s">
        <v>228</v>
      </c>
      <c r="AT119" s="0" t="s">
        <v>228</v>
      </c>
      <c r="AU119" s="0" t="s">
        <v>228</v>
      </c>
      <c r="AV119" s="0" t="s">
        <v>228</v>
      </c>
      <c r="AW119" s="0" t="s">
        <v>228</v>
      </c>
      <c r="AX119" s="0" t="s">
        <v>228</v>
      </c>
      <c r="AY119" s="0" t="s">
        <v>228</v>
      </c>
      <c r="AZ119" s="0" t="s">
        <v>228</v>
      </c>
      <c r="BA119" s="0" t="s">
        <v>228</v>
      </c>
      <c r="BB119" s="0" t="s">
        <v>228</v>
      </c>
      <c r="BC119" s="0" t="s">
        <v>228</v>
      </c>
      <c r="BD119" s="0" t="s">
        <v>228</v>
      </c>
      <c r="BE119" s="0" t="s">
        <v>228</v>
      </c>
      <c r="BF119" s="0" t="s">
        <v>228</v>
      </c>
      <c r="BG119" s="0" t="s">
        <v>228</v>
      </c>
      <c r="BH119" s="0" t="s">
        <v>228</v>
      </c>
      <c r="BI119" s="0" t="s">
        <v>228</v>
      </c>
      <c r="BJ119" s="0" t="s">
        <v>228</v>
      </c>
      <c r="BK119" s="0" t="s">
        <v>228</v>
      </c>
      <c r="BL119" s="0" t="s">
        <v>228</v>
      </c>
      <c r="BM119" s="0" t="s">
        <v>228</v>
      </c>
      <c r="BN119" s="0" t="s">
        <v>228</v>
      </c>
      <c r="BO119" s="0" t="s">
        <v>228</v>
      </c>
      <c r="BP119" s="0" t="s">
        <v>228</v>
      </c>
      <c r="BQ119" s="0" t="s">
        <v>228</v>
      </c>
      <c r="BR119" s="0" t="s">
        <v>228</v>
      </c>
      <c r="BS119" s="0" t="s">
        <v>228</v>
      </c>
      <c r="BT119" s="0" t="s">
        <v>228</v>
      </c>
      <c r="BU119" s="0" t="s">
        <v>228</v>
      </c>
      <c r="BV119" s="0" t="s">
        <v>228</v>
      </c>
      <c r="BW119" s="0" t="s">
        <v>228</v>
      </c>
      <c r="BX119" s="0" t="s">
        <v>228</v>
      </c>
      <c r="BY119" s="0" t="s">
        <v>228</v>
      </c>
      <c r="BZ119" s="0" t="s">
        <v>228</v>
      </c>
      <c r="CA119" s="0" t="s">
        <v>228</v>
      </c>
      <c r="CB119" s="0" t="s">
        <v>228</v>
      </c>
      <c r="CC119" s="0" t="s">
        <v>228</v>
      </c>
      <c r="CD119" s="0" t="s">
        <v>228</v>
      </c>
      <c r="CE119" s="0" t="s">
        <v>228</v>
      </c>
      <c r="CF119" s="0" t="s">
        <v>228</v>
      </c>
      <c r="CG119" s="0" t="s">
        <v>228</v>
      </c>
      <c r="CH119" s="0" t="s">
        <v>228</v>
      </c>
      <c r="CI119" s="0" t="s">
        <v>228</v>
      </c>
      <c r="CJ119" s="0" t="s">
        <v>228</v>
      </c>
      <c r="CK119" s="0" t="s">
        <v>228</v>
      </c>
      <c r="CL119" s="0" t="s">
        <v>228</v>
      </c>
      <c r="CM119" s="0" t="s">
        <v>228</v>
      </c>
      <c r="CN119" s="0" t="s">
        <v>228</v>
      </c>
      <c r="CO119" s="0" t="s">
        <v>228</v>
      </c>
      <c r="CP119" s="0" t="s">
        <v>228</v>
      </c>
      <c r="CQ119" s="0" t="s">
        <v>228</v>
      </c>
      <c r="CR119" s="0" t="s">
        <v>228</v>
      </c>
      <c r="CS119" s="0" t="s">
        <v>228</v>
      </c>
      <c r="CT119" s="0" t="s">
        <v>3568</v>
      </c>
      <c r="CU119" s="0" t="s">
        <v>3569</v>
      </c>
      <c r="CV119" s="0" t="s">
        <v>418</v>
      </c>
      <c r="CW119" s="0" t="s">
        <v>3622</v>
      </c>
      <c r="CX119" s="0" t="s">
        <v>419</v>
      </c>
      <c r="CY119" s="0" t="s">
        <v>418</v>
      </c>
      <c r="CZ119" s="0" t="s">
        <v>3623</v>
      </c>
      <c r="DA119" s="0" t="s">
        <v>3624</v>
      </c>
      <c r="DB119" s="0" t="s">
        <v>3622</v>
      </c>
      <c r="DC119" s="0" t="s">
        <v>362</v>
      </c>
      <c r="DD119" s="0" t="s">
        <v>3572</v>
      </c>
      <c r="DE119" s="0" t="s">
        <v>4204</v>
      </c>
    </row>
    <row customHeight="1" ht="11.25">
      <c r="A120" s="1353" t="s">
        <v>228</v>
      </c>
      <c r="B120" s="0" t="s">
        <v>228</v>
      </c>
      <c r="C120" s="0" t="s">
        <v>228</v>
      </c>
      <c r="D120" s="0" t="s">
        <v>228</v>
      </c>
      <c r="E120" s="0" t="s">
        <v>228</v>
      </c>
      <c r="F120" s="0" t="s">
        <v>228</v>
      </c>
      <c r="G120" s="0" t="s">
        <v>228</v>
      </c>
      <c r="H120" s="0" t="s">
        <v>228</v>
      </c>
      <c r="I120" s="0" t="s">
        <v>3555</v>
      </c>
      <c r="J120" s="0" t="s">
        <v>228</v>
      </c>
      <c r="K120" s="0" t="s">
        <v>228</v>
      </c>
      <c r="L120" s="0" t="s">
        <v>228</v>
      </c>
      <c r="M120" s="0" t="s">
        <v>228</v>
      </c>
      <c r="N120" s="0" t="s">
        <v>228</v>
      </c>
      <c r="O120" s="0" t="s">
        <v>228</v>
      </c>
      <c r="P120" s="0" t="s">
        <v>228</v>
      </c>
      <c r="Q120" s="0" t="s">
        <v>228</v>
      </c>
      <c r="R120" s="0" t="s">
        <v>3648</v>
      </c>
      <c r="S120" s="0" t="s">
        <v>228</v>
      </c>
      <c r="T120" s="0" t="s">
        <v>228</v>
      </c>
      <c r="U120" s="0" t="s">
        <v>101</v>
      </c>
      <c r="V120" s="0" t="s">
        <v>228</v>
      </c>
      <c r="W120" s="0" t="s">
        <v>228</v>
      </c>
      <c r="X120" s="0" t="s">
        <v>3557</v>
      </c>
      <c r="Y120" s="0" t="s">
        <v>228</v>
      </c>
      <c r="Z120" s="0" t="s">
        <v>160</v>
      </c>
      <c r="AA120" s="0" t="s">
        <v>151</v>
      </c>
      <c r="AB120" s="0" t="s">
        <v>151</v>
      </c>
      <c r="AC120" s="0" t="s">
        <v>2317</v>
      </c>
      <c r="AD120" s="0" t="s">
        <v>2317</v>
      </c>
      <c r="AE120" s="0" t="s">
        <v>2318</v>
      </c>
      <c r="AF120" s="0" t="s">
        <v>3738</v>
      </c>
      <c r="AG120" s="0" t="s">
        <v>3739</v>
      </c>
      <c r="AH120" s="0" t="s">
        <v>3617</v>
      </c>
      <c r="AI120" s="0" t="s">
        <v>4205</v>
      </c>
      <c r="AJ120" s="0" t="s">
        <v>3579</v>
      </c>
      <c r="AK120" s="0" t="s">
        <v>3749</v>
      </c>
      <c r="AL120" s="0" t="s">
        <v>3581</v>
      </c>
      <c r="AM120" s="0" t="s">
        <v>3565</v>
      </c>
      <c r="AN120" s="0" t="s">
        <v>3620</v>
      </c>
      <c r="AO120" s="0" t="s">
        <v>3591</v>
      </c>
      <c r="AP120" s="0" t="s">
        <v>228</v>
      </c>
      <c r="AQ120" s="0" t="s">
        <v>228</v>
      </c>
      <c r="AR120" s="0" t="s">
        <v>228</v>
      </c>
      <c r="AS120" s="0" t="s">
        <v>228</v>
      </c>
      <c r="AT120" s="0" t="s">
        <v>228</v>
      </c>
      <c r="AU120" s="0" t="s">
        <v>228</v>
      </c>
      <c r="AV120" s="0" t="s">
        <v>228</v>
      </c>
      <c r="AW120" s="0" t="s">
        <v>228</v>
      </c>
      <c r="AX120" s="0" t="s">
        <v>228</v>
      </c>
      <c r="AY120" s="0" t="s">
        <v>228</v>
      </c>
      <c r="AZ120" s="0" t="s">
        <v>228</v>
      </c>
      <c r="BA120" s="0" t="s">
        <v>228</v>
      </c>
      <c r="BB120" s="0" t="s">
        <v>228</v>
      </c>
      <c r="BC120" s="0" t="s">
        <v>228</v>
      </c>
      <c r="BD120" s="0" t="s">
        <v>228</v>
      </c>
      <c r="BE120" s="0" t="s">
        <v>228</v>
      </c>
      <c r="BF120" s="0" t="s">
        <v>228</v>
      </c>
      <c r="BG120" s="0" t="s">
        <v>228</v>
      </c>
      <c r="BH120" s="0" t="s">
        <v>228</v>
      </c>
      <c r="BI120" s="0" t="s">
        <v>228</v>
      </c>
      <c r="BJ120" s="0" t="s">
        <v>228</v>
      </c>
      <c r="BK120" s="0" t="s">
        <v>228</v>
      </c>
      <c r="BL120" s="0" t="s">
        <v>228</v>
      </c>
      <c r="BM120" s="0" t="s">
        <v>228</v>
      </c>
      <c r="BN120" s="0" t="s">
        <v>228</v>
      </c>
      <c r="BO120" s="0" t="s">
        <v>228</v>
      </c>
      <c r="BP120" s="0" t="s">
        <v>228</v>
      </c>
      <c r="BQ120" s="0" t="s">
        <v>228</v>
      </c>
      <c r="BR120" s="0" t="s">
        <v>228</v>
      </c>
      <c r="BS120" s="0" t="s">
        <v>228</v>
      </c>
      <c r="BT120" s="0" t="s">
        <v>228</v>
      </c>
      <c r="BU120" s="0" t="s">
        <v>228</v>
      </c>
      <c r="BV120" s="0" t="s">
        <v>228</v>
      </c>
      <c r="BW120" s="0" t="s">
        <v>228</v>
      </c>
      <c r="BX120" s="0" t="s">
        <v>228</v>
      </c>
      <c r="BY120" s="0" t="s">
        <v>228</v>
      </c>
      <c r="BZ120" s="0" t="s">
        <v>228</v>
      </c>
      <c r="CA120" s="0" t="s">
        <v>228</v>
      </c>
      <c r="CB120" s="0" t="s">
        <v>228</v>
      </c>
      <c r="CC120" s="0" t="s">
        <v>228</v>
      </c>
      <c r="CD120" s="0" t="s">
        <v>228</v>
      </c>
      <c r="CE120" s="0" t="s">
        <v>228</v>
      </c>
      <c r="CF120" s="0" t="s">
        <v>228</v>
      </c>
      <c r="CG120" s="0" t="s">
        <v>228</v>
      </c>
      <c r="CH120" s="0" t="s">
        <v>228</v>
      </c>
      <c r="CI120" s="0" t="s">
        <v>228</v>
      </c>
      <c r="CJ120" s="0" t="s">
        <v>228</v>
      </c>
      <c r="CK120" s="0" t="s">
        <v>228</v>
      </c>
      <c r="CL120" s="0" t="s">
        <v>228</v>
      </c>
      <c r="CM120" s="0" t="s">
        <v>228</v>
      </c>
      <c r="CN120" s="0" t="s">
        <v>228</v>
      </c>
      <c r="CO120" s="0" t="s">
        <v>228</v>
      </c>
      <c r="CP120" s="0" t="s">
        <v>228</v>
      </c>
      <c r="CQ120" s="0" t="s">
        <v>228</v>
      </c>
      <c r="CR120" s="0" t="s">
        <v>228</v>
      </c>
      <c r="CS120" s="0" t="s">
        <v>228</v>
      </c>
      <c r="CT120" s="0" t="s">
        <v>3568</v>
      </c>
      <c r="CU120" s="0" t="s">
        <v>3569</v>
      </c>
      <c r="CV120" s="0" t="s">
        <v>418</v>
      </c>
      <c r="CW120" s="0" t="s">
        <v>3622</v>
      </c>
      <c r="CX120" s="0" t="s">
        <v>419</v>
      </c>
      <c r="CY120" s="0" t="s">
        <v>418</v>
      </c>
      <c r="CZ120" s="0" t="s">
        <v>3623</v>
      </c>
      <c r="DA120" s="0" t="s">
        <v>3624</v>
      </c>
      <c r="DB120" s="0" t="s">
        <v>3622</v>
      </c>
      <c r="DC120" s="0" t="s">
        <v>362</v>
      </c>
      <c r="DD120" s="0" t="s">
        <v>3572</v>
      </c>
      <c r="DE120" s="0" t="s">
        <v>4206</v>
      </c>
    </row>
    <row customHeight="1" ht="11.25">
      <c r="A121" s="1353" t="s">
        <v>228</v>
      </c>
      <c r="B121" s="0" t="s">
        <v>228</v>
      </c>
      <c r="C121" s="0" t="s">
        <v>228</v>
      </c>
      <c r="D121" s="0" t="s">
        <v>228</v>
      </c>
      <c r="E121" s="0" t="s">
        <v>228</v>
      </c>
      <c r="F121" s="0" t="s">
        <v>228</v>
      </c>
      <c r="G121" s="0" t="s">
        <v>228</v>
      </c>
      <c r="H121" s="0" t="s">
        <v>228</v>
      </c>
      <c r="I121" s="0" t="s">
        <v>3555</v>
      </c>
      <c r="J121" s="0" t="s">
        <v>228</v>
      </c>
      <c r="K121" s="0" t="s">
        <v>228</v>
      </c>
      <c r="L121" s="0" t="s">
        <v>228</v>
      </c>
      <c r="M121" s="0" t="s">
        <v>228</v>
      </c>
      <c r="N121" s="0" t="s">
        <v>228</v>
      </c>
      <c r="O121" s="0" t="s">
        <v>228</v>
      </c>
      <c r="P121" s="0" t="s">
        <v>228</v>
      </c>
      <c r="Q121" s="0" t="s">
        <v>228</v>
      </c>
      <c r="R121" s="0" t="s">
        <v>3648</v>
      </c>
      <c r="S121" s="0" t="s">
        <v>228</v>
      </c>
      <c r="T121" s="0" t="s">
        <v>228</v>
      </c>
      <c r="U121" s="0" t="s">
        <v>101</v>
      </c>
      <c r="V121" s="0" t="s">
        <v>228</v>
      </c>
      <c r="W121" s="0" t="s">
        <v>228</v>
      </c>
      <c r="X121" s="0" t="s">
        <v>3557</v>
      </c>
      <c r="Y121" s="0" t="s">
        <v>228</v>
      </c>
      <c r="Z121" s="0" t="s">
        <v>160</v>
      </c>
      <c r="AA121" s="0" t="s">
        <v>151</v>
      </c>
      <c r="AB121" s="0" t="s">
        <v>151</v>
      </c>
      <c r="AC121" s="0" t="s">
        <v>2317</v>
      </c>
      <c r="AD121" s="0" t="s">
        <v>2317</v>
      </c>
      <c r="AE121" s="0" t="s">
        <v>2318</v>
      </c>
      <c r="AF121" s="0" t="s">
        <v>3907</v>
      </c>
      <c r="AG121" s="0" t="s">
        <v>3908</v>
      </c>
      <c r="AH121" s="0" t="s">
        <v>4207</v>
      </c>
      <c r="AI121" s="0" t="s">
        <v>3807</v>
      </c>
      <c r="AJ121" s="0" t="s">
        <v>3579</v>
      </c>
      <c r="AK121" s="0" t="s">
        <v>3822</v>
      </c>
      <c r="AL121" s="0" t="s">
        <v>3581</v>
      </c>
      <c r="AM121" s="0" t="s">
        <v>3565</v>
      </c>
      <c r="AN121" s="0" t="s">
        <v>3628</v>
      </c>
      <c r="AO121" s="0" t="s">
        <v>3956</v>
      </c>
      <c r="AP121" s="0" t="s">
        <v>228</v>
      </c>
      <c r="AQ121" s="0" t="s">
        <v>228</v>
      </c>
      <c r="AR121" s="0" t="s">
        <v>228</v>
      </c>
      <c r="AS121" s="0" t="s">
        <v>228</v>
      </c>
      <c r="AT121" s="0" t="s">
        <v>228</v>
      </c>
      <c r="AU121" s="0" t="s">
        <v>228</v>
      </c>
      <c r="AV121" s="0" t="s">
        <v>228</v>
      </c>
      <c r="AW121" s="0" t="s">
        <v>228</v>
      </c>
      <c r="AX121" s="0" t="s">
        <v>228</v>
      </c>
      <c r="AY121" s="0" t="s">
        <v>228</v>
      </c>
      <c r="AZ121" s="0" t="s">
        <v>228</v>
      </c>
      <c r="BA121" s="0" t="s">
        <v>228</v>
      </c>
      <c r="BB121" s="0" t="s">
        <v>228</v>
      </c>
      <c r="BC121" s="0" t="s">
        <v>228</v>
      </c>
      <c r="BD121" s="0" t="s">
        <v>228</v>
      </c>
      <c r="BE121" s="0" t="s">
        <v>228</v>
      </c>
      <c r="BF121" s="0" t="s">
        <v>228</v>
      </c>
      <c r="BG121" s="0" t="s">
        <v>228</v>
      </c>
      <c r="BH121" s="0" t="s">
        <v>228</v>
      </c>
      <c r="BI121" s="0" t="s">
        <v>228</v>
      </c>
      <c r="BJ121" s="0" t="s">
        <v>228</v>
      </c>
      <c r="BK121" s="0" t="s">
        <v>228</v>
      </c>
      <c r="BL121" s="0" t="s">
        <v>228</v>
      </c>
      <c r="BM121" s="0" t="s">
        <v>228</v>
      </c>
      <c r="BN121" s="0" t="s">
        <v>228</v>
      </c>
      <c r="BO121" s="0" t="s">
        <v>228</v>
      </c>
      <c r="BP121" s="0" t="s">
        <v>228</v>
      </c>
      <c r="BQ121" s="0" t="s">
        <v>228</v>
      </c>
      <c r="BR121" s="0" t="s">
        <v>228</v>
      </c>
      <c r="BS121" s="0" t="s">
        <v>228</v>
      </c>
      <c r="BT121" s="0" t="s">
        <v>228</v>
      </c>
      <c r="BU121" s="0" t="s">
        <v>228</v>
      </c>
      <c r="BV121" s="0" t="s">
        <v>228</v>
      </c>
      <c r="BW121" s="0" t="s">
        <v>228</v>
      </c>
      <c r="BX121" s="0" t="s">
        <v>228</v>
      </c>
      <c r="BY121" s="0" t="s">
        <v>228</v>
      </c>
      <c r="BZ121" s="0" t="s">
        <v>228</v>
      </c>
      <c r="CA121" s="0" t="s">
        <v>228</v>
      </c>
      <c r="CB121" s="0" t="s">
        <v>228</v>
      </c>
      <c r="CC121" s="0" t="s">
        <v>228</v>
      </c>
      <c r="CD121" s="0" t="s">
        <v>228</v>
      </c>
      <c r="CE121" s="0" t="s">
        <v>228</v>
      </c>
      <c r="CF121" s="0" t="s">
        <v>228</v>
      </c>
      <c r="CG121" s="0" t="s">
        <v>228</v>
      </c>
      <c r="CH121" s="0" t="s">
        <v>228</v>
      </c>
      <c r="CI121" s="0" t="s">
        <v>228</v>
      </c>
      <c r="CJ121" s="0" t="s">
        <v>228</v>
      </c>
      <c r="CK121" s="0" t="s">
        <v>228</v>
      </c>
      <c r="CL121" s="0" t="s">
        <v>228</v>
      </c>
      <c r="CM121" s="0" t="s">
        <v>228</v>
      </c>
      <c r="CN121" s="0" t="s">
        <v>228</v>
      </c>
      <c r="CO121" s="0" t="s">
        <v>228</v>
      </c>
      <c r="CP121" s="0" t="s">
        <v>228</v>
      </c>
      <c r="CQ121" s="0" t="s">
        <v>228</v>
      </c>
      <c r="CR121" s="0" t="s">
        <v>228</v>
      </c>
      <c r="CS121" s="0" t="s">
        <v>228</v>
      </c>
      <c r="CT121" s="0" t="s">
        <v>3568</v>
      </c>
      <c r="CU121" s="0" t="s">
        <v>3569</v>
      </c>
      <c r="CV121" s="0" t="s">
        <v>418</v>
      </c>
      <c r="CW121" s="0" t="s">
        <v>3622</v>
      </c>
      <c r="CX121" s="0" t="s">
        <v>419</v>
      </c>
      <c r="CY121" s="0" t="s">
        <v>418</v>
      </c>
      <c r="CZ121" s="0" t="s">
        <v>3623</v>
      </c>
      <c r="DA121" s="0" t="s">
        <v>3624</v>
      </c>
      <c r="DB121" s="0" t="s">
        <v>3622</v>
      </c>
      <c r="DC121" s="0" t="s">
        <v>362</v>
      </c>
      <c r="DD121" s="0" t="s">
        <v>3572</v>
      </c>
      <c r="DE121" s="0" t="s">
        <v>4208</v>
      </c>
    </row>
    <row customHeight="1" ht="11.25">
      <c r="A122" s="1353" t="s">
        <v>228</v>
      </c>
      <c r="B122" s="0" t="s">
        <v>228</v>
      </c>
      <c r="C122" s="0" t="s">
        <v>228</v>
      </c>
      <c r="D122" s="0" t="s">
        <v>228</v>
      </c>
      <c r="E122" s="0" t="s">
        <v>228</v>
      </c>
      <c r="F122" s="0" t="s">
        <v>228</v>
      </c>
      <c r="G122" s="0" t="s">
        <v>228</v>
      </c>
      <c r="H122" s="0" t="s">
        <v>228</v>
      </c>
      <c r="I122" s="0" t="s">
        <v>3555</v>
      </c>
      <c r="J122" s="0" t="s">
        <v>228</v>
      </c>
      <c r="K122" s="0" t="s">
        <v>228</v>
      </c>
      <c r="L122" s="0" t="s">
        <v>228</v>
      </c>
      <c r="M122" s="0" t="s">
        <v>228</v>
      </c>
      <c r="N122" s="0" t="s">
        <v>228</v>
      </c>
      <c r="O122" s="0" t="s">
        <v>228</v>
      </c>
      <c r="P122" s="0" t="s">
        <v>228</v>
      </c>
      <c r="Q122" s="0" t="s">
        <v>228</v>
      </c>
      <c r="R122" s="0" t="s">
        <v>4209</v>
      </c>
      <c r="S122" s="0" t="s">
        <v>228</v>
      </c>
      <c r="T122" s="0" t="s">
        <v>228</v>
      </c>
      <c r="U122" s="0" t="s">
        <v>101</v>
      </c>
      <c r="V122" s="0" t="s">
        <v>228</v>
      </c>
      <c r="W122" s="0" t="s">
        <v>228</v>
      </c>
      <c r="X122" s="0" t="s">
        <v>3557</v>
      </c>
      <c r="Y122" s="0" t="s">
        <v>228</v>
      </c>
      <c r="Z122" s="0" t="s">
        <v>160</v>
      </c>
      <c r="AA122" s="0" t="s">
        <v>151</v>
      </c>
      <c r="AB122" s="0" t="s">
        <v>151</v>
      </c>
      <c r="AC122" s="0" t="s">
        <v>2715</v>
      </c>
      <c r="AD122" s="0" t="s">
        <v>2715</v>
      </c>
      <c r="AE122" s="0" t="s">
        <v>2716</v>
      </c>
      <c r="AF122" s="0" t="s">
        <v>3594</v>
      </c>
      <c r="AG122" s="0" t="s">
        <v>3595</v>
      </c>
      <c r="AH122" s="0" t="s">
        <v>4210</v>
      </c>
      <c r="AI122" s="0" t="s">
        <v>3608</v>
      </c>
      <c r="AJ122" s="0" t="s">
        <v>3663</v>
      </c>
      <c r="AK122" s="0" t="s">
        <v>4211</v>
      </c>
      <c r="AL122" s="0" t="s">
        <v>3564</v>
      </c>
      <c r="AM122" s="0" t="s">
        <v>3565</v>
      </c>
      <c r="AN122" s="0" t="s">
        <v>3972</v>
      </c>
      <c r="AO122" s="0" t="s">
        <v>4212</v>
      </c>
      <c r="AP122" s="0" t="s">
        <v>228</v>
      </c>
      <c r="AQ122" s="0" t="s">
        <v>228</v>
      </c>
      <c r="AR122" s="0" t="s">
        <v>228</v>
      </c>
      <c r="AS122" s="0" t="s">
        <v>228</v>
      </c>
      <c r="AT122" s="0" t="s">
        <v>228</v>
      </c>
      <c r="AU122" s="0" t="s">
        <v>228</v>
      </c>
      <c r="AV122" s="0" t="s">
        <v>228</v>
      </c>
      <c r="AW122" s="0" t="s">
        <v>228</v>
      </c>
      <c r="AX122" s="0" t="s">
        <v>228</v>
      </c>
      <c r="AY122" s="0" t="s">
        <v>228</v>
      </c>
      <c r="AZ122" s="0" t="s">
        <v>228</v>
      </c>
      <c r="BA122" s="0" t="s">
        <v>228</v>
      </c>
      <c r="BB122" s="0" t="s">
        <v>228</v>
      </c>
      <c r="BC122" s="0" t="s">
        <v>228</v>
      </c>
      <c r="BD122" s="0" t="s">
        <v>228</v>
      </c>
      <c r="BE122" s="0" t="s">
        <v>228</v>
      </c>
      <c r="BF122" s="0" t="s">
        <v>228</v>
      </c>
      <c r="BG122" s="0" t="s">
        <v>228</v>
      </c>
      <c r="BH122" s="0" t="s">
        <v>228</v>
      </c>
      <c r="BI122" s="0" t="s">
        <v>228</v>
      </c>
      <c r="BJ122" s="0" t="s">
        <v>228</v>
      </c>
      <c r="BK122" s="0" t="s">
        <v>228</v>
      </c>
      <c r="BL122" s="0" t="s">
        <v>228</v>
      </c>
      <c r="BM122" s="0" t="s">
        <v>228</v>
      </c>
      <c r="BN122" s="0" t="s">
        <v>228</v>
      </c>
      <c r="BO122" s="0" t="s">
        <v>228</v>
      </c>
      <c r="BP122" s="0" t="s">
        <v>228</v>
      </c>
      <c r="BQ122" s="0" t="s">
        <v>228</v>
      </c>
      <c r="BR122" s="0" t="s">
        <v>228</v>
      </c>
      <c r="BS122" s="0" t="s">
        <v>228</v>
      </c>
      <c r="BT122" s="0" t="s">
        <v>228</v>
      </c>
      <c r="BU122" s="0" t="s">
        <v>228</v>
      </c>
      <c r="BV122" s="0" t="s">
        <v>228</v>
      </c>
      <c r="BW122" s="0" t="s">
        <v>228</v>
      </c>
      <c r="BX122" s="0" t="s">
        <v>228</v>
      </c>
      <c r="BY122" s="0" t="s">
        <v>228</v>
      </c>
      <c r="BZ122" s="0" t="s">
        <v>228</v>
      </c>
      <c r="CA122" s="0" t="s">
        <v>228</v>
      </c>
      <c r="CB122" s="0" t="s">
        <v>228</v>
      </c>
      <c r="CC122" s="0" t="s">
        <v>228</v>
      </c>
      <c r="CD122" s="0" t="s">
        <v>228</v>
      </c>
      <c r="CE122" s="0" t="s">
        <v>228</v>
      </c>
      <c r="CF122" s="0" t="s">
        <v>228</v>
      </c>
      <c r="CG122" s="0" t="s">
        <v>228</v>
      </c>
      <c r="CH122" s="0" t="s">
        <v>228</v>
      </c>
      <c r="CI122" s="0" t="s">
        <v>228</v>
      </c>
      <c r="CJ122" s="0" t="s">
        <v>228</v>
      </c>
      <c r="CK122" s="0" t="s">
        <v>228</v>
      </c>
      <c r="CL122" s="0" t="s">
        <v>228</v>
      </c>
      <c r="CM122" s="0" t="s">
        <v>228</v>
      </c>
      <c r="CN122" s="0" t="s">
        <v>228</v>
      </c>
      <c r="CO122" s="0" t="s">
        <v>228</v>
      </c>
      <c r="CP122" s="0" t="s">
        <v>228</v>
      </c>
      <c r="CQ122" s="0" t="s">
        <v>228</v>
      </c>
      <c r="CR122" s="0" t="s">
        <v>228</v>
      </c>
      <c r="CS122" s="0" t="s">
        <v>228</v>
      </c>
      <c r="CT122" s="0" t="s">
        <v>3568</v>
      </c>
      <c r="CU122" s="0" t="s">
        <v>3569</v>
      </c>
      <c r="CV122" s="0" t="s">
        <v>418</v>
      </c>
      <c r="CW122" s="0" t="s">
        <v>3602</v>
      </c>
      <c r="CX122" s="0" t="s">
        <v>3603</v>
      </c>
      <c r="CY122" s="0" t="s">
        <v>418</v>
      </c>
      <c r="CZ122" s="0" t="s">
        <v>504</v>
      </c>
      <c r="DA122" s="0" t="s">
        <v>3604</v>
      </c>
      <c r="DB122" s="0" t="s">
        <v>3602</v>
      </c>
      <c r="DC122" s="0" t="s">
        <v>362</v>
      </c>
      <c r="DD122" s="0" t="s">
        <v>3572</v>
      </c>
      <c r="DE122" s="0" t="s">
        <v>4213</v>
      </c>
    </row>
    <row customHeight="1" ht="11.25">
      <c r="A123" s="1353" t="s">
        <v>228</v>
      </c>
      <c r="B123" s="0" t="s">
        <v>228</v>
      </c>
      <c r="C123" s="0" t="s">
        <v>228</v>
      </c>
      <c r="D123" s="0" t="s">
        <v>228</v>
      </c>
      <c r="E123" s="0" t="s">
        <v>228</v>
      </c>
      <c r="F123" s="0" t="s">
        <v>228</v>
      </c>
      <c r="G123" s="0" t="s">
        <v>228</v>
      </c>
      <c r="H123" s="0" t="s">
        <v>228</v>
      </c>
      <c r="I123" s="0" t="s">
        <v>3555</v>
      </c>
      <c r="J123" s="0" t="s">
        <v>228</v>
      </c>
      <c r="K123" s="0" t="s">
        <v>228</v>
      </c>
      <c r="L123" s="0" t="s">
        <v>228</v>
      </c>
      <c r="M123" s="0" t="s">
        <v>228</v>
      </c>
      <c r="N123" s="0" t="s">
        <v>228</v>
      </c>
      <c r="O123" s="0" t="s">
        <v>228</v>
      </c>
      <c r="P123" s="0" t="s">
        <v>228</v>
      </c>
      <c r="Q123" s="0" t="s">
        <v>228</v>
      </c>
      <c r="R123" s="0" t="s">
        <v>3648</v>
      </c>
      <c r="S123" s="0" t="s">
        <v>228</v>
      </c>
      <c r="T123" s="0" t="s">
        <v>228</v>
      </c>
      <c r="U123" s="0" t="s">
        <v>101</v>
      </c>
      <c r="V123" s="0" t="s">
        <v>228</v>
      </c>
      <c r="W123" s="0" t="s">
        <v>228</v>
      </c>
      <c r="X123" s="0" t="s">
        <v>3557</v>
      </c>
      <c r="Y123" s="0" t="s">
        <v>228</v>
      </c>
      <c r="Z123" s="0" t="s">
        <v>160</v>
      </c>
      <c r="AA123" s="0" t="s">
        <v>151</v>
      </c>
      <c r="AB123" s="0" t="s">
        <v>151</v>
      </c>
      <c r="AC123" s="0" t="s">
        <v>2315</v>
      </c>
      <c r="AD123" s="0" t="s">
        <v>2315</v>
      </c>
      <c r="AE123" s="0" t="s">
        <v>2316</v>
      </c>
      <c r="AF123" s="0" t="s">
        <v>3931</v>
      </c>
      <c r="AG123" s="0" t="s">
        <v>3932</v>
      </c>
      <c r="AH123" s="0" t="s">
        <v>4214</v>
      </c>
      <c r="AI123" s="0" t="s">
        <v>4215</v>
      </c>
      <c r="AJ123" s="0" t="s">
        <v>3652</v>
      </c>
      <c r="AK123" s="0" t="s">
        <v>3891</v>
      </c>
      <c r="AL123" s="0" t="s">
        <v>3581</v>
      </c>
      <c r="AM123" s="0" t="s">
        <v>3565</v>
      </c>
      <c r="AN123" s="0" t="s">
        <v>3654</v>
      </c>
      <c r="AO123" s="0" t="s">
        <v>3845</v>
      </c>
      <c r="AP123" s="0" t="s">
        <v>228</v>
      </c>
      <c r="AQ123" s="0" t="s">
        <v>228</v>
      </c>
      <c r="AR123" s="0" t="s">
        <v>228</v>
      </c>
      <c r="AS123" s="0" t="s">
        <v>228</v>
      </c>
      <c r="AT123" s="0" t="s">
        <v>228</v>
      </c>
      <c r="AU123" s="0" t="s">
        <v>228</v>
      </c>
      <c r="AV123" s="0" t="s">
        <v>228</v>
      </c>
      <c r="AW123" s="0" t="s">
        <v>228</v>
      </c>
      <c r="AX123" s="0" t="s">
        <v>228</v>
      </c>
      <c r="AY123" s="0" t="s">
        <v>228</v>
      </c>
      <c r="AZ123" s="0" t="s">
        <v>228</v>
      </c>
      <c r="BA123" s="0" t="s">
        <v>228</v>
      </c>
      <c r="BB123" s="0" t="s">
        <v>228</v>
      </c>
      <c r="BC123" s="0" t="s">
        <v>228</v>
      </c>
      <c r="BD123" s="0" t="s">
        <v>228</v>
      </c>
      <c r="BE123" s="0" t="s">
        <v>228</v>
      </c>
      <c r="BF123" s="0" t="s">
        <v>228</v>
      </c>
      <c r="BG123" s="0" t="s">
        <v>228</v>
      </c>
      <c r="BH123" s="0" t="s">
        <v>228</v>
      </c>
      <c r="BI123" s="0" t="s">
        <v>228</v>
      </c>
      <c r="BJ123" s="0" t="s">
        <v>228</v>
      </c>
      <c r="BK123" s="0" t="s">
        <v>228</v>
      </c>
      <c r="BL123" s="0" t="s">
        <v>228</v>
      </c>
      <c r="BM123" s="0" t="s">
        <v>228</v>
      </c>
      <c r="BN123" s="0" t="s">
        <v>228</v>
      </c>
      <c r="BO123" s="0" t="s">
        <v>228</v>
      </c>
      <c r="BP123" s="0" t="s">
        <v>228</v>
      </c>
      <c r="BQ123" s="0" t="s">
        <v>228</v>
      </c>
      <c r="BR123" s="0" t="s">
        <v>228</v>
      </c>
      <c r="BS123" s="0" t="s">
        <v>228</v>
      </c>
      <c r="BT123" s="0" t="s">
        <v>228</v>
      </c>
      <c r="BU123" s="0" t="s">
        <v>228</v>
      </c>
      <c r="BV123" s="0" t="s">
        <v>228</v>
      </c>
      <c r="BW123" s="0" t="s">
        <v>228</v>
      </c>
      <c r="BX123" s="0" t="s">
        <v>228</v>
      </c>
      <c r="BY123" s="0" t="s">
        <v>228</v>
      </c>
      <c r="BZ123" s="0" t="s">
        <v>228</v>
      </c>
      <c r="CA123" s="0" t="s">
        <v>228</v>
      </c>
      <c r="CB123" s="0" t="s">
        <v>228</v>
      </c>
      <c r="CC123" s="0" t="s">
        <v>228</v>
      </c>
      <c r="CD123" s="0" t="s">
        <v>228</v>
      </c>
      <c r="CE123" s="0" t="s">
        <v>228</v>
      </c>
      <c r="CF123" s="0" t="s">
        <v>228</v>
      </c>
      <c r="CG123" s="0" t="s">
        <v>228</v>
      </c>
      <c r="CH123" s="0" t="s">
        <v>228</v>
      </c>
      <c r="CI123" s="0" t="s">
        <v>228</v>
      </c>
      <c r="CJ123" s="0" t="s">
        <v>228</v>
      </c>
      <c r="CK123" s="0" t="s">
        <v>228</v>
      </c>
      <c r="CL123" s="0" t="s">
        <v>228</v>
      </c>
      <c r="CM123" s="0" t="s">
        <v>228</v>
      </c>
      <c r="CN123" s="0" t="s">
        <v>228</v>
      </c>
      <c r="CO123" s="0" t="s">
        <v>228</v>
      </c>
      <c r="CP123" s="0" t="s">
        <v>228</v>
      </c>
      <c r="CQ123" s="0" t="s">
        <v>228</v>
      </c>
      <c r="CR123" s="0" t="s">
        <v>228</v>
      </c>
      <c r="CS123" s="0" t="s">
        <v>228</v>
      </c>
      <c r="CT123" s="0" t="s">
        <v>3568</v>
      </c>
      <c r="CU123" s="0" t="s">
        <v>3569</v>
      </c>
      <c r="CV123" s="0" t="s">
        <v>418</v>
      </c>
      <c r="CW123" s="0" t="s">
        <v>3656</v>
      </c>
      <c r="CX123" s="0" t="s">
        <v>419</v>
      </c>
      <c r="CY123" s="0" t="s">
        <v>418</v>
      </c>
      <c r="CZ123" s="0" t="s">
        <v>3657</v>
      </c>
      <c r="DA123" s="0" t="s">
        <v>3658</v>
      </c>
      <c r="DB123" s="0" t="s">
        <v>3656</v>
      </c>
      <c r="DC123" s="0" t="s">
        <v>362</v>
      </c>
      <c r="DD123" s="0" t="s">
        <v>3572</v>
      </c>
      <c r="DE123" s="0" t="s">
        <v>4216</v>
      </c>
    </row>
    <row customHeight="1" ht="11.25">
      <c r="A124" s="1353" t="s">
        <v>228</v>
      </c>
      <c r="B124" s="0" t="s">
        <v>228</v>
      </c>
      <c r="C124" s="0" t="s">
        <v>228</v>
      </c>
      <c r="D124" s="0" t="s">
        <v>228</v>
      </c>
      <c r="E124" s="0" t="s">
        <v>228</v>
      </c>
      <c r="F124" s="0" t="s">
        <v>228</v>
      </c>
      <c r="G124" s="0" t="s">
        <v>228</v>
      </c>
      <c r="H124" s="0" t="s">
        <v>228</v>
      </c>
      <c r="I124" s="0" t="s">
        <v>3555</v>
      </c>
      <c r="J124" s="0" t="s">
        <v>228</v>
      </c>
      <c r="K124" s="0" t="s">
        <v>228</v>
      </c>
      <c r="L124" s="0" t="s">
        <v>228</v>
      </c>
      <c r="M124" s="0" t="s">
        <v>228</v>
      </c>
      <c r="N124" s="0" t="s">
        <v>228</v>
      </c>
      <c r="O124" s="0" t="s">
        <v>228</v>
      </c>
      <c r="P124" s="0" t="s">
        <v>228</v>
      </c>
      <c r="Q124" s="0" t="s">
        <v>228</v>
      </c>
      <c r="R124" s="0" t="s">
        <v>4217</v>
      </c>
      <c r="S124" s="0" t="s">
        <v>228</v>
      </c>
      <c r="T124" s="0" t="s">
        <v>228</v>
      </c>
      <c r="U124" s="0" t="s">
        <v>101</v>
      </c>
      <c r="V124" s="0" t="s">
        <v>228</v>
      </c>
      <c r="W124" s="0" t="s">
        <v>228</v>
      </c>
      <c r="X124" s="0" t="s">
        <v>3661</v>
      </c>
      <c r="Y124" s="0" t="s">
        <v>228</v>
      </c>
      <c r="Z124" s="0" t="s">
        <v>151</v>
      </c>
      <c r="AA124" s="0" t="s">
        <v>151</v>
      </c>
      <c r="AB124" s="0" t="s">
        <v>160</v>
      </c>
      <c r="AC124" s="0" t="s">
        <v>2315</v>
      </c>
      <c r="AD124" s="0" t="s">
        <v>2315</v>
      </c>
      <c r="AE124" s="0" t="s">
        <v>2316</v>
      </c>
      <c r="AF124" s="0" t="s">
        <v>3931</v>
      </c>
      <c r="AG124" s="0" t="s">
        <v>3932</v>
      </c>
      <c r="AH124" s="0" t="s">
        <v>3651</v>
      </c>
      <c r="AI124" s="0" t="s">
        <v>3651</v>
      </c>
      <c r="AJ124" s="0" t="s">
        <v>228</v>
      </c>
      <c r="AK124" s="0" t="s">
        <v>228</v>
      </c>
      <c r="AL124" s="0" t="s">
        <v>228</v>
      </c>
      <c r="AM124" s="0" t="s">
        <v>228</v>
      </c>
      <c r="AN124" s="0" t="s">
        <v>228</v>
      </c>
      <c r="AO124" s="0" t="s">
        <v>228</v>
      </c>
      <c r="AP124" s="0" t="s">
        <v>228</v>
      </c>
      <c r="AQ124" s="0" t="s">
        <v>228</v>
      </c>
      <c r="AR124" s="0" t="s">
        <v>228</v>
      </c>
      <c r="AS124" s="0" t="s">
        <v>228</v>
      </c>
      <c r="AT124" s="0" t="s">
        <v>228</v>
      </c>
      <c r="AU124" s="0" t="s">
        <v>228</v>
      </c>
      <c r="AV124" s="0" t="s">
        <v>228</v>
      </c>
      <c r="AW124" s="0" t="s">
        <v>228</v>
      </c>
      <c r="AX124" s="0" t="s">
        <v>228</v>
      </c>
      <c r="AY124" s="0" t="s">
        <v>228</v>
      </c>
      <c r="AZ124" s="0" t="s">
        <v>228</v>
      </c>
      <c r="BA124" s="0" t="s">
        <v>228</v>
      </c>
      <c r="BB124" s="0" t="s">
        <v>228</v>
      </c>
      <c r="BC124" s="0" t="s">
        <v>228</v>
      </c>
      <c r="BD124" s="0" t="s">
        <v>228</v>
      </c>
      <c r="BE124" s="0" t="s">
        <v>4075</v>
      </c>
      <c r="BF124" s="0" t="s">
        <v>4218</v>
      </c>
      <c r="BG124" s="0" t="s">
        <v>111</v>
      </c>
      <c r="BH124" s="0" t="s">
        <v>3665</v>
      </c>
      <c r="BI124" s="0" t="s">
        <v>122</v>
      </c>
      <c r="BJ124" s="0" t="s">
        <v>228</v>
      </c>
      <c r="BK124" s="0" t="s">
        <v>3684</v>
      </c>
      <c r="BL124" s="0" t="s">
        <v>2315</v>
      </c>
      <c r="BM124" s="0" t="s">
        <v>2315</v>
      </c>
      <c r="BN124" s="0" t="s">
        <v>3875</v>
      </c>
      <c r="BO124" s="0" t="s">
        <v>3931</v>
      </c>
      <c r="BP124" s="0" t="s">
        <v>4219</v>
      </c>
      <c r="BQ124" s="0" t="s">
        <v>3651</v>
      </c>
      <c r="BR124" s="0" t="s">
        <v>3651</v>
      </c>
      <c r="BS124" s="0" t="s">
        <v>228</v>
      </c>
      <c r="BT124" s="0" t="s">
        <v>3727</v>
      </c>
      <c r="BU124" s="0" t="s">
        <v>4220</v>
      </c>
      <c r="BV124" s="0" t="s">
        <v>4220</v>
      </c>
      <c r="BW124" s="0" t="s">
        <v>3674</v>
      </c>
      <c r="BX124" s="0" t="s">
        <v>3674</v>
      </c>
      <c r="BY124" s="0" t="s">
        <v>3674</v>
      </c>
      <c r="BZ124" s="0" t="s">
        <v>3674</v>
      </c>
      <c r="CA124" s="0" t="s">
        <v>3674</v>
      </c>
      <c r="CB124" s="0" t="s">
        <v>228</v>
      </c>
      <c r="CC124" s="0" t="s">
        <v>228</v>
      </c>
      <c r="CD124" s="0" t="s">
        <v>228</v>
      </c>
      <c r="CE124" s="0" t="s">
        <v>228</v>
      </c>
      <c r="CF124" s="0" t="s">
        <v>228</v>
      </c>
      <c r="CG124" s="0" t="s">
        <v>3674</v>
      </c>
      <c r="CH124" s="0" t="s">
        <v>228</v>
      </c>
      <c r="CI124" s="0" t="s">
        <v>228</v>
      </c>
      <c r="CJ124" s="0" t="s">
        <v>228</v>
      </c>
      <c r="CK124" s="0" t="s">
        <v>228</v>
      </c>
      <c r="CL124" s="0" t="s">
        <v>228</v>
      </c>
      <c r="CM124" s="0" t="s">
        <v>4220</v>
      </c>
      <c r="CN124" s="0" t="s">
        <v>4220</v>
      </c>
      <c r="CO124" s="0" t="s">
        <v>228</v>
      </c>
      <c r="CP124" s="0" t="s">
        <v>228</v>
      </c>
      <c r="CQ124" s="0" t="s">
        <v>228</v>
      </c>
      <c r="CR124" s="0" t="s">
        <v>228</v>
      </c>
      <c r="CS124" s="0" t="s">
        <v>3563</v>
      </c>
      <c r="CT124" s="0" t="s">
        <v>3568</v>
      </c>
      <c r="CU124" s="0" t="s">
        <v>3569</v>
      </c>
      <c r="CV124" s="0" t="s">
        <v>418</v>
      </c>
      <c r="CW124" s="0" t="s">
        <v>3656</v>
      </c>
      <c r="CX124" s="0" t="s">
        <v>419</v>
      </c>
      <c r="CY124" s="0" t="s">
        <v>418</v>
      </c>
      <c r="CZ124" s="0" t="s">
        <v>3657</v>
      </c>
      <c r="DA124" s="0" t="s">
        <v>3658</v>
      </c>
      <c r="DB124" s="0" t="s">
        <v>3656</v>
      </c>
      <c r="DC124" s="0" t="s">
        <v>362</v>
      </c>
      <c r="DD124" s="0" t="s">
        <v>3572</v>
      </c>
      <c r="DE124" s="0" t="s">
        <v>4221</v>
      </c>
    </row>
    <row customHeight="1" ht="11.25">
      <c r="A125" s="1353" t="s">
        <v>228</v>
      </c>
      <c r="B125" s="0" t="s">
        <v>228</v>
      </c>
      <c r="C125" s="0" t="s">
        <v>228</v>
      </c>
      <c r="D125" s="0" t="s">
        <v>228</v>
      </c>
      <c r="E125" s="0" t="s">
        <v>228</v>
      </c>
      <c r="F125" s="0" t="s">
        <v>228</v>
      </c>
      <c r="G125" s="0" t="s">
        <v>228</v>
      </c>
      <c r="H125" s="0" t="s">
        <v>228</v>
      </c>
      <c r="I125" s="0" t="s">
        <v>3555</v>
      </c>
      <c r="J125" s="0" t="s">
        <v>228</v>
      </c>
      <c r="K125" s="0" t="s">
        <v>228</v>
      </c>
      <c r="L125" s="0" t="s">
        <v>228</v>
      </c>
      <c r="M125" s="0" t="s">
        <v>228</v>
      </c>
      <c r="N125" s="0" t="s">
        <v>228</v>
      </c>
      <c r="O125" s="0" t="s">
        <v>228</v>
      </c>
      <c r="P125" s="0" t="s">
        <v>228</v>
      </c>
      <c r="Q125" s="0" t="s">
        <v>228</v>
      </c>
      <c r="R125" s="0" t="s">
        <v>3648</v>
      </c>
      <c r="S125" s="0" t="s">
        <v>228</v>
      </c>
      <c r="T125" s="0" t="s">
        <v>228</v>
      </c>
      <c r="U125" s="0" t="s">
        <v>101</v>
      </c>
      <c r="V125" s="0" t="s">
        <v>228</v>
      </c>
      <c r="W125" s="0" t="s">
        <v>228</v>
      </c>
      <c r="X125" s="0" t="s">
        <v>3557</v>
      </c>
      <c r="Y125" s="0" t="s">
        <v>228</v>
      </c>
      <c r="Z125" s="0" t="s">
        <v>160</v>
      </c>
      <c r="AA125" s="0" t="s">
        <v>151</v>
      </c>
      <c r="AB125" s="0" t="s">
        <v>151</v>
      </c>
      <c r="AC125" s="0" t="s">
        <v>2315</v>
      </c>
      <c r="AD125" s="0" t="s">
        <v>2315</v>
      </c>
      <c r="AE125" s="0" t="s">
        <v>2316</v>
      </c>
      <c r="AF125" s="0" t="s">
        <v>4222</v>
      </c>
      <c r="AG125" s="0" t="s">
        <v>4223</v>
      </c>
      <c r="AH125" s="0" t="s">
        <v>4224</v>
      </c>
      <c r="AI125" s="0" t="s">
        <v>485</v>
      </c>
      <c r="AJ125" s="0" t="s">
        <v>3652</v>
      </c>
      <c r="AK125" s="0" t="s">
        <v>4218</v>
      </c>
      <c r="AL125" s="0" t="s">
        <v>3581</v>
      </c>
      <c r="AM125" s="0" t="s">
        <v>3565</v>
      </c>
      <c r="AN125" s="0" t="s">
        <v>3654</v>
      </c>
      <c r="AO125" s="0" t="s">
        <v>3934</v>
      </c>
      <c r="AP125" s="0" t="s">
        <v>228</v>
      </c>
      <c r="AQ125" s="0" t="s">
        <v>228</v>
      </c>
      <c r="AR125" s="0" t="s">
        <v>228</v>
      </c>
      <c r="AS125" s="0" t="s">
        <v>228</v>
      </c>
      <c r="AT125" s="0" t="s">
        <v>228</v>
      </c>
      <c r="AU125" s="0" t="s">
        <v>228</v>
      </c>
      <c r="AV125" s="0" t="s">
        <v>228</v>
      </c>
      <c r="AW125" s="0" t="s">
        <v>228</v>
      </c>
      <c r="AX125" s="0" t="s">
        <v>228</v>
      </c>
      <c r="AY125" s="0" t="s">
        <v>228</v>
      </c>
      <c r="AZ125" s="0" t="s">
        <v>228</v>
      </c>
      <c r="BA125" s="0" t="s">
        <v>228</v>
      </c>
      <c r="BB125" s="0" t="s">
        <v>228</v>
      </c>
      <c r="BC125" s="0" t="s">
        <v>228</v>
      </c>
      <c r="BD125" s="0" t="s">
        <v>228</v>
      </c>
      <c r="BE125" s="0" t="s">
        <v>228</v>
      </c>
      <c r="BF125" s="0" t="s">
        <v>228</v>
      </c>
      <c r="BG125" s="0" t="s">
        <v>228</v>
      </c>
      <c r="BH125" s="0" t="s">
        <v>228</v>
      </c>
      <c r="BI125" s="0" t="s">
        <v>228</v>
      </c>
      <c r="BJ125" s="0" t="s">
        <v>228</v>
      </c>
      <c r="BK125" s="0" t="s">
        <v>228</v>
      </c>
      <c r="BL125" s="0" t="s">
        <v>228</v>
      </c>
      <c r="BM125" s="0" t="s">
        <v>228</v>
      </c>
      <c r="BN125" s="0" t="s">
        <v>228</v>
      </c>
      <c r="BO125" s="0" t="s">
        <v>228</v>
      </c>
      <c r="BP125" s="0" t="s">
        <v>228</v>
      </c>
      <c r="BQ125" s="0" t="s">
        <v>228</v>
      </c>
      <c r="BR125" s="0" t="s">
        <v>228</v>
      </c>
      <c r="BS125" s="0" t="s">
        <v>228</v>
      </c>
      <c r="BT125" s="0" t="s">
        <v>228</v>
      </c>
      <c r="BU125" s="0" t="s">
        <v>228</v>
      </c>
      <c r="BV125" s="0" t="s">
        <v>228</v>
      </c>
      <c r="BW125" s="0" t="s">
        <v>228</v>
      </c>
      <c r="BX125" s="0" t="s">
        <v>228</v>
      </c>
      <c r="BY125" s="0" t="s">
        <v>228</v>
      </c>
      <c r="BZ125" s="0" t="s">
        <v>228</v>
      </c>
      <c r="CA125" s="0" t="s">
        <v>228</v>
      </c>
      <c r="CB125" s="0" t="s">
        <v>228</v>
      </c>
      <c r="CC125" s="0" t="s">
        <v>228</v>
      </c>
      <c r="CD125" s="0" t="s">
        <v>228</v>
      </c>
      <c r="CE125" s="0" t="s">
        <v>228</v>
      </c>
      <c r="CF125" s="0" t="s">
        <v>228</v>
      </c>
      <c r="CG125" s="0" t="s">
        <v>228</v>
      </c>
      <c r="CH125" s="0" t="s">
        <v>228</v>
      </c>
      <c r="CI125" s="0" t="s">
        <v>228</v>
      </c>
      <c r="CJ125" s="0" t="s">
        <v>228</v>
      </c>
      <c r="CK125" s="0" t="s">
        <v>228</v>
      </c>
      <c r="CL125" s="0" t="s">
        <v>228</v>
      </c>
      <c r="CM125" s="0" t="s">
        <v>228</v>
      </c>
      <c r="CN125" s="0" t="s">
        <v>228</v>
      </c>
      <c r="CO125" s="0" t="s">
        <v>228</v>
      </c>
      <c r="CP125" s="0" t="s">
        <v>228</v>
      </c>
      <c r="CQ125" s="0" t="s">
        <v>228</v>
      </c>
      <c r="CR125" s="0" t="s">
        <v>228</v>
      </c>
      <c r="CS125" s="0" t="s">
        <v>228</v>
      </c>
      <c r="CT125" s="0" t="s">
        <v>3568</v>
      </c>
      <c r="CU125" s="0" t="s">
        <v>3569</v>
      </c>
      <c r="CV125" s="0" t="s">
        <v>418</v>
      </c>
      <c r="CW125" s="0" t="s">
        <v>3656</v>
      </c>
      <c r="CX125" s="0" t="s">
        <v>419</v>
      </c>
      <c r="CY125" s="0" t="s">
        <v>418</v>
      </c>
      <c r="CZ125" s="0" t="s">
        <v>3657</v>
      </c>
      <c r="DA125" s="0" t="s">
        <v>3658</v>
      </c>
      <c r="DB125" s="0" t="s">
        <v>3656</v>
      </c>
      <c r="DC125" s="0" t="s">
        <v>362</v>
      </c>
      <c r="DD125" s="0" t="s">
        <v>3572</v>
      </c>
      <c r="DE125" s="0" t="s">
        <v>4225</v>
      </c>
    </row>
    <row customHeight="1" ht="11.25">
      <c r="A126" s="1353" t="s">
        <v>228</v>
      </c>
      <c r="B126" s="0" t="s">
        <v>228</v>
      </c>
      <c r="C126" s="0" t="s">
        <v>228</v>
      </c>
      <c r="D126" s="0" t="s">
        <v>228</v>
      </c>
      <c r="E126" s="0" t="s">
        <v>228</v>
      </c>
      <c r="F126" s="0" t="s">
        <v>228</v>
      </c>
      <c r="G126" s="0" t="s">
        <v>228</v>
      </c>
      <c r="H126" s="0" t="s">
        <v>228</v>
      </c>
      <c r="I126" s="0" t="s">
        <v>3555</v>
      </c>
      <c r="J126" s="0" t="s">
        <v>228</v>
      </c>
      <c r="K126" s="0" t="s">
        <v>228</v>
      </c>
      <c r="L126" s="0" t="s">
        <v>228</v>
      </c>
      <c r="M126" s="0" t="s">
        <v>228</v>
      </c>
      <c r="N126" s="0" t="s">
        <v>228</v>
      </c>
      <c r="O126" s="0" t="s">
        <v>228</v>
      </c>
      <c r="P126" s="0" t="s">
        <v>228</v>
      </c>
      <c r="Q126" s="0" t="s">
        <v>228</v>
      </c>
      <c r="R126" s="0" t="s">
        <v>4226</v>
      </c>
      <c r="S126" s="0" t="s">
        <v>228</v>
      </c>
      <c r="T126" s="0" t="s">
        <v>228</v>
      </c>
      <c r="U126" s="0" t="s">
        <v>101</v>
      </c>
      <c r="V126" s="0" t="s">
        <v>228</v>
      </c>
      <c r="W126" s="0" t="s">
        <v>228</v>
      </c>
      <c r="X126" s="0" t="s">
        <v>3557</v>
      </c>
      <c r="Y126" s="0" t="s">
        <v>228</v>
      </c>
      <c r="Z126" s="0" t="s">
        <v>160</v>
      </c>
      <c r="AA126" s="0" t="s">
        <v>151</v>
      </c>
      <c r="AB126" s="0" t="s">
        <v>151</v>
      </c>
      <c r="AC126" s="0" t="s">
        <v>2715</v>
      </c>
      <c r="AD126" s="0" t="s">
        <v>2715</v>
      </c>
      <c r="AE126" s="0" t="s">
        <v>2716</v>
      </c>
      <c r="AF126" s="0" t="s">
        <v>3594</v>
      </c>
      <c r="AG126" s="0" t="s">
        <v>3595</v>
      </c>
      <c r="AH126" s="0" t="s">
        <v>4227</v>
      </c>
      <c r="AI126" s="0" t="s">
        <v>4228</v>
      </c>
      <c r="AJ126" s="0" t="s">
        <v>3951</v>
      </c>
      <c r="AK126" s="0" t="s">
        <v>4229</v>
      </c>
      <c r="AL126" s="0" t="s">
        <v>3599</v>
      </c>
      <c r="AM126" s="0" t="s">
        <v>3565</v>
      </c>
      <c r="AN126" s="0" t="s">
        <v>4230</v>
      </c>
      <c r="AO126" s="0" t="s">
        <v>4231</v>
      </c>
      <c r="AP126" s="0" t="s">
        <v>228</v>
      </c>
      <c r="AQ126" s="0" t="s">
        <v>228</v>
      </c>
      <c r="AR126" s="0" t="s">
        <v>228</v>
      </c>
      <c r="AS126" s="0" t="s">
        <v>228</v>
      </c>
      <c r="AT126" s="0" t="s">
        <v>228</v>
      </c>
      <c r="AU126" s="0" t="s">
        <v>228</v>
      </c>
      <c r="AV126" s="0" t="s">
        <v>228</v>
      </c>
      <c r="AW126" s="0" t="s">
        <v>228</v>
      </c>
      <c r="AX126" s="0" t="s">
        <v>228</v>
      </c>
      <c r="AY126" s="0" t="s">
        <v>228</v>
      </c>
      <c r="AZ126" s="0" t="s">
        <v>228</v>
      </c>
      <c r="BA126" s="0" t="s">
        <v>228</v>
      </c>
      <c r="BB126" s="0" t="s">
        <v>228</v>
      </c>
      <c r="BC126" s="0" t="s">
        <v>228</v>
      </c>
      <c r="BD126" s="0" t="s">
        <v>228</v>
      </c>
      <c r="BE126" s="0" t="s">
        <v>228</v>
      </c>
      <c r="BF126" s="0" t="s">
        <v>228</v>
      </c>
      <c r="BG126" s="0" t="s">
        <v>228</v>
      </c>
      <c r="BH126" s="0" t="s">
        <v>228</v>
      </c>
      <c r="BI126" s="0" t="s">
        <v>228</v>
      </c>
      <c r="BJ126" s="0" t="s">
        <v>228</v>
      </c>
      <c r="BK126" s="0" t="s">
        <v>228</v>
      </c>
      <c r="BL126" s="0" t="s">
        <v>228</v>
      </c>
      <c r="BM126" s="0" t="s">
        <v>228</v>
      </c>
      <c r="BN126" s="0" t="s">
        <v>228</v>
      </c>
      <c r="BO126" s="0" t="s">
        <v>228</v>
      </c>
      <c r="BP126" s="0" t="s">
        <v>228</v>
      </c>
      <c r="BQ126" s="0" t="s">
        <v>228</v>
      </c>
      <c r="BR126" s="0" t="s">
        <v>228</v>
      </c>
      <c r="BS126" s="0" t="s">
        <v>228</v>
      </c>
      <c r="BT126" s="0" t="s">
        <v>228</v>
      </c>
      <c r="BU126" s="0" t="s">
        <v>228</v>
      </c>
      <c r="BV126" s="0" t="s">
        <v>228</v>
      </c>
      <c r="BW126" s="0" t="s">
        <v>228</v>
      </c>
      <c r="BX126" s="0" t="s">
        <v>228</v>
      </c>
      <c r="BY126" s="0" t="s">
        <v>228</v>
      </c>
      <c r="BZ126" s="0" t="s">
        <v>228</v>
      </c>
      <c r="CA126" s="0" t="s">
        <v>228</v>
      </c>
      <c r="CB126" s="0" t="s">
        <v>228</v>
      </c>
      <c r="CC126" s="0" t="s">
        <v>228</v>
      </c>
      <c r="CD126" s="0" t="s">
        <v>228</v>
      </c>
      <c r="CE126" s="0" t="s">
        <v>228</v>
      </c>
      <c r="CF126" s="0" t="s">
        <v>228</v>
      </c>
      <c r="CG126" s="0" t="s">
        <v>228</v>
      </c>
      <c r="CH126" s="0" t="s">
        <v>228</v>
      </c>
      <c r="CI126" s="0" t="s">
        <v>228</v>
      </c>
      <c r="CJ126" s="0" t="s">
        <v>228</v>
      </c>
      <c r="CK126" s="0" t="s">
        <v>228</v>
      </c>
      <c r="CL126" s="0" t="s">
        <v>228</v>
      </c>
      <c r="CM126" s="0" t="s">
        <v>228</v>
      </c>
      <c r="CN126" s="0" t="s">
        <v>228</v>
      </c>
      <c r="CO126" s="0" t="s">
        <v>228</v>
      </c>
      <c r="CP126" s="0" t="s">
        <v>228</v>
      </c>
      <c r="CQ126" s="0" t="s">
        <v>228</v>
      </c>
      <c r="CR126" s="0" t="s">
        <v>228</v>
      </c>
      <c r="CS126" s="0" t="s">
        <v>228</v>
      </c>
      <c r="CT126" s="0" t="s">
        <v>3568</v>
      </c>
      <c r="CU126" s="0" t="s">
        <v>3569</v>
      </c>
      <c r="CV126" s="0" t="s">
        <v>418</v>
      </c>
      <c r="CW126" s="0" t="s">
        <v>3602</v>
      </c>
      <c r="CX126" s="0" t="s">
        <v>3603</v>
      </c>
      <c r="CY126" s="0" t="s">
        <v>418</v>
      </c>
      <c r="CZ126" s="0" t="s">
        <v>504</v>
      </c>
      <c r="DA126" s="0" t="s">
        <v>3604</v>
      </c>
      <c r="DB126" s="0" t="s">
        <v>3602</v>
      </c>
      <c r="DC126" s="0" t="s">
        <v>362</v>
      </c>
      <c r="DD126" s="0" t="s">
        <v>3572</v>
      </c>
      <c r="DE126" s="0" t="s">
        <v>4232</v>
      </c>
    </row>
    <row customHeight="1" ht="11.25">
      <c r="A127" s="1353" t="s">
        <v>228</v>
      </c>
      <c r="B127" s="0" t="s">
        <v>228</v>
      </c>
      <c r="C127" s="0" t="s">
        <v>228</v>
      </c>
      <c r="D127" s="0" t="s">
        <v>228</v>
      </c>
      <c r="E127" s="0" t="s">
        <v>228</v>
      </c>
      <c r="F127" s="0" t="s">
        <v>228</v>
      </c>
      <c r="G127" s="0" t="s">
        <v>228</v>
      </c>
      <c r="H127" s="0" t="s">
        <v>228</v>
      </c>
      <c r="I127" s="0" t="s">
        <v>3555</v>
      </c>
      <c r="J127" s="0" t="s">
        <v>228</v>
      </c>
      <c r="K127" s="0" t="s">
        <v>228</v>
      </c>
      <c r="L127" s="0" t="s">
        <v>228</v>
      </c>
      <c r="M127" s="0" t="s">
        <v>228</v>
      </c>
      <c r="N127" s="0" t="s">
        <v>228</v>
      </c>
      <c r="O127" s="0" t="s">
        <v>228</v>
      </c>
      <c r="P127" s="0" t="s">
        <v>228</v>
      </c>
      <c r="Q127" s="0" t="s">
        <v>228</v>
      </c>
      <c r="R127" s="0" t="s">
        <v>4233</v>
      </c>
      <c r="S127" s="0" t="s">
        <v>228</v>
      </c>
      <c r="T127" s="0" t="s">
        <v>228</v>
      </c>
      <c r="U127" s="0" t="s">
        <v>101</v>
      </c>
      <c r="V127" s="0" t="s">
        <v>228</v>
      </c>
      <c r="W127" s="0" t="s">
        <v>228</v>
      </c>
      <c r="X127" s="0" t="s">
        <v>3661</v>
      </c>
      <c r="Y127" s="0" t="s">
        <v>228</v>
      </c>
      <c r="Z127" s="0" t="s">
        <v>151</v>
      </c>
      <c r="AA127" s="0" t="s">
        <v>151</v>
      </c>
      <c r="AB127" s="0" t="s">
        <v>160</v>
      </c>
      <c r="AC127" s="0" t="s">
        <v>2317</v>
      </c>
      <c r="AD127" s="0" t="s">
        <v>2317</v>
      </c>
      <c r="AE127" s="0" t="s">
        <v>2318</v>
      </c>
      <c r="AF127" s="0" t="s">
        <v>3849</v>
      </c>
      <c r="AG127" s="0" t="s">
        <v>3850</v>
      </c>
      <c r="AH127" s="0" t="s">
        <v>3651</v>
      </c>
      <c r="AI127" s="0" t="s">
        <v>3651</v>
      </c>
      <c r="AJ127" s="0" t="s">
        <v>228</v>
      </c>
      <c r="AK127" s="0" t="s">
        <v>228</v>
      </c>
      <c r="AL127" s="0" t="s">
        <v>228</v>
      </c>
      <c r="AM127" s="0" t="s">
        <v>228</v>
      </c>
      <c r="AN127" s="0" t="s">
        <v>228</v>
      </c>
      <c r="AO127" s="0" t="s">
        <v>228</v>
      </c>
      <c r="AP127" s="0" t="s">
        <v>228</v>
      </c>
      <c r="AQ127" s="0" t="s">
        <v>228</v>
      </c>
      <c r="AR127" s="0" t="s">
        <v>228</v>
      </c>
      <c r="AS127" s="0" t="s">
        <v>228</v>
      </c>
      <c r="AT127" s="0" t="s">
        <v>228</v>
      </c>
      <c r="AU127" s="0" t="s">
        <v>228</v>
      </c>
      <c r="AV127" s="0" t="s">
        <v>228</v>
      </c>
      <c r="AW127" s="0" t="s">
        <v>228</v>
      </c>
      <c r="AX127" s="0" t="s">
        <v>228</v>
      </c>
      <c r="AY127" s="0" t="s">
        <v>228</v>
      </c>
      <c r="AZ127" s="0" t="s">
        <v>228</v>
      </c>
      <c r="BA127" s="0" t="s">
        <v>228</v>
      </c>
      <c r="BB127" s="0" t="s">
        <v>228</v>
      </c>
      <c r="BC127" s="0" t="s">
        <v>228</v>
      </c>
      <c r="BD127" s="0" t="s">
        <v>228</v>
      </c>
      <c r="BE127" s="0" t="s">
        <v>3627</v>
      </c>
      <c r="BF127" s="0" t="s">
        <v>3619</v>
      </c>
      <c r="BG127" s="0" t="s">
        <v>111</v>
      </c>
      <c r="BH127" s="0" t="s">
        <v>3665</v>
      </c>
      <c r="BI127" s="0" t="s">
        <v>122</v>
      </c>
      <c r="BJ127" s="0" t="s">
        <v>228</v>
      </c>
      <c r="BK127" s="0" t="s">
        <v>3684</v>
      </c>
      <c r="BL127" s="0" t="s">
        <v>2317</v>
      </c>
      <c r="BM127" s="0" t="s">
        <v>2317</v>
      </c>
      <c r="BN127" s="0" t="s">
        <v>3740</v>
      </c>
      <c r="BO127" s="0" t="s">
        <v>3849</v>
      </c>
      <c r="BP127" s="0" t="s">
        <v>4234</v>
      </c>
      <c r="BQ127" s="0" t="s">
        <v>3651</v>
      </c>
      <c r="BR127" s="0" t="s">
        <v>3651</v>
      </c>
      <c r="BS127" s="0" t="s">
        <v>228</v>
      </c>
      <c r="BT127" s="0" t="s">
        <v>3727</v>
      </c>
      <c r="BU127" s="0" t="s">
        <v>4235</v>
      </c>
      <c r="BV127" s="0" t="s">
        <v>4235</v>
      </c>
      <c r="BW127" s="0" t="s">
        <v>3674</v>
      </c>
      <c r="BX127" s="0" t="s">
        <v>3674</v>
      </c>
      <c r="BY127" s="0" t="s">
        <v>3674</v>
      </c>
      <c r="BZ127" s="0" t="s">
        <v>3674</v>
      </c>
      <c r="CA127" s="0" t="s">
        <v>3674</v>
      </c>
      <c r="CB127" s="0" t="s">
        <v>228</v>
      </c>
      <c r="CC127" s="0" t="s">
        <v>228</v>
      </c>
      <c r="CD127" s="0" t="s">
        <v>228</v>
      </c>
      <c r="CE127" s="0" t="s">
        <v>228</v>
      </c>
      <c r="CF127" s="0" t="s">
        <v>228</v>
      </c>
      <c r="CG127" s="0" t="s">
        <v>3674</v>
      </c>
      <c r="CH127" s="0" t="s">
        <v>228</v>
      </c>
      <c r="CI127" s="0" t="s">
        <v>228</v>
      </c>
      <c r="CJ127" s="0" t="s">
        <v>228</v>
      </c>
      <c r="CK127" s="0" t="s">
        <v>228</v>
      </c>
      <c r="CL127" s="0" t="s">
        <v>228</v>
      </c>
      <c r="CM127" s="0" t="s">
        <v>4235</v>
      </c>
      <c r="CN127" s="0" t="s">
        <v>4235</v>
      </c>
      <c r="CO127" s="0" t="s">
        <v>228</v>
      </c>
      <c r="CP127" s="0" t="s">
        <v>228</v>
      </c>
      <c r="CQ127" s="0" t="s">
        <v>228</v>
      </c>
      <c r="CR127" s="0" t="s">
        <v>228</v>
      </c>
      <c r="CS127" s="0" t="s">
        <v>3743</v>
      </c>
      <c r="CT127" s="0" t="s">
        <v>3568</v>
      </c>
      <c r="CU127" s="0" t="s">
        <v>3569</v>
      </c>
      <c r="CV127" s="0" t="s">
        <v>418</v>
      </c>
      <c r="CW127" s="0" t="s">
        <v>3622</v>
      </c>
      <c r="CX127" s="0" t="s">
        <v>419</v>
      </c>
      <c r="CY127" s="0" t="s">
        <v>418</v>
      </c>
      <c r="CZ127" s="0" t="s">
        <v>3623</v>
      </c>
      <c r="DA127" s="0" t="s">
        <v>3624</v>
      </c>
      <c r="DB127" s="0" t="s">
        <v>3622</v>
      </c>
      <c r="DC127" s="0" t="s">
        <v>362</v>
      </c>
      <c r="DD127" s="0" t="s">
        <v>3572</v>
      </c>
      <c r="DE127" s="0" t="s">
        <v>4236</v>
      </c>
    </row>
    <row customHeight="1" ht="11.25">
      <c r="A128" s="1353" t="s">
        <v>228</v>
      </c>
      <c r="B128" s="0" t="s">
        <v>228</v>
      </c>
      <c r="C128" s="0" t="s">
        <v>228</v>
      </c>
      <c r="D128" s="0" t="s">
        <v>228</v>
      </c>
      <c r="E128" s="0" t="s">
        <v>228</v>
      </c>
      <c r="F128" s="0" t="s">
        <v>228</v>
      </c>
      <c r="G128" s="0" t="s">
        <v>228</v>
      </c>
      <c r="H128" s="0" t="s">
        <v>228</v>
      </c>
      <c r="I128" s="0" t="s">
        <v>3555</v>
      </c>
      <c r="J128" s="0" t="s">
        <v>228</v>
      </c>
      <c r="K128" s="0" t="s">
        <v>228</v>
      </c>
      <c r="L128" s="0" t="s">
        <v>228</v>
      </c>
      <c r="M128" s="0" t="s">
        <v>228</v>
      </c>
      <c r="N128" s="0" t="s">
        <v>228</v>
      </c>
      <c r="O128" s="0" t="s">
        <v>228</v>
      </c>
      <c r="P128" s="0" t="s">
        <v>228</v>
      </c>
      <c r="Q128" s="0" t="s">
        <v>228</v>
      </c>
      <c r="R128" s="0" t="s">
        <v>4237</v>
      </c>
      <c r="S128" s="0" t="s">
        <v>228</v>
      </c>
      <c r="T128" s="0" t="s">
        <v>228</v>
      </c>
      <c r="U128" s="0" t="s">
        <v>101</v>
      </c>
      <c r="V128" s="0" t="s">
        <v>228</v>
      </c>
      <c r="W128" s="0" t="s">
        <v>228</v>
      </c>
      <c r="X128" s="0" t="s">
        <v>3661</v>
      </c>
      <c r="Y128" s="0" t="s">
        <v>228</v>
      </c>
      <c r="Z128" s="0" t="s">
        <v>151</v>
      </c>
      <c r="AA128" s="0" t="s">
        <v>151</v>
      </c>
      <c r="AB128" s="0" t="s">
        <v>160</v>
      </c>
      <c r="AC128" s="0" t="s">
        <v>2317</v>
      </c>
      <c r="AD128" s="0" t="s">
        <v>2317</v>
      </c>
      <c r="AE128" s="0" t="s">
        <v>2318</v>
      </c>
      <c r="AF128" s="0" t="s">
        <v>3849</v>
      </c>
      <c r="AG128" s="0" t="s">
        <v>3850</v>
      </c>
      <c r="AH128" s="0" t="s">
        <v>3651</v>
      </c>
      <c r="AI128" s="0" t="s">
        <v>3651</v>
      </c>
      <c r="AJ128" s="0" t="s">
        <v>228</v>
      </c>
      <c r="AK128" s="0" t="s">
        <v>228</v>
      </c>
      <c r="AL128" s="0" t="s">
        <v>228</v>
      </c>
      <c r="AM128" s="0" t="s">
        <v>228</v>
      </c>
      <c r="AN128" s="0" t="s">
        <v>228</v>
      </c>
      <c r="AO128" s="0" t="s">
        <v>228</v>
      </c>
      <c r="AP128" s="0" t="s">
        <v>228</v>
      </c>
      <c r="AQ128" s="0" t="s">
        <v>228</v>
      </c>
      <c r="AR128" s="0" t="s">
        <v>228</v>
      </c>
      <c r="AS128" s="0" t="s">
        <v>228</v>
      </c>
      <c r="AT128" s="0" t="s">
        <v>228</v>
      </c>
      <c r="AU128" s="0" t="s">
        <v>228</v>
      </c>
      <c r="AV128" s="0" t="s">
        <v>228</v>
      </c>
      <c r="AW128" s="0" t="s">
        <v>228</v>
      </c>
      <c r="AX128" s="0" t="s">
        <v>228</v>
      </c>
      <c r="AY128" s="0" t="s">
        <v>228</v>
      </c>
      <c r="AZ128" s="0" t="s">
        <v>228</v>
      </c>
      <c r="BA128" s="0" t="s">
        <v>228</v>
      </c>
      <c r="BB128" s="0" t="s">
        <v>228</v>
      </c>
      <c r="BC128" s="0" t="s">
        <v>228</v>
      </c>
      <c r="BD128" s="0" t="s">
        <v>228</v>
      </c>
      <c r="BE128" s="0" t="s">
        <v>3627</v>
      </c>
      <c r="BF128" s="0" t="s">
        <v>3619</v>
      </c>
      <c r="BG128" s="0" t="s">
        <v>111</v>
      </c>
      <c r="BH128" s="0" t="s">
        <v>3665</v>
      </c>
      <c r="BI128" s="0" t="s">
        <v>122</v>
      </c>
      <c r="BJ128" s="0" t="s">
        <v>228</v>
      </c>
      <c r="BK128" s="0" t="s">
        <v>3684</v>
      </c>
      <c r="BL128" s="0" t="s">
        <v>2317</v>
      </c>
      <c r="BM128" s="0" t="s">
        <v>2317</v>
      </c>
      <c r="BN128" s="0" t="s">
        <v>3740</v>
      </c>
      <c r="BO128" s="0" t="s">
        <v>3849</v>
      </c>
      <c r="BP128" s="0" t="s">
        <v>4234</v>
      </c>
      <c r="BQ128" s="0" t="s">
        <v>3651</v>
      </c>
      <c r="BR128" s="0" t="s">
        <v>3651</v>
      </c>
      <c r="BS128" s="0" t="s">
        <v>228</v>
      </c>
      <c r="BT128" s="0" t="s">
        <v>4238</v>
      </c>
      <c r="BU128" s="0" t="s">
        <v>4239</v>
      </c>
      <c r="BV128" s="0" t="s">
        <v>4239</v>
      </c>
      <c r="BW128" s="0" t="s">
        <v>3674</v>
      </c>
      <c r="BX128" s="0" t="s">
        <v>3674</v>
      </c>
      <c r="BY128" s="0" t="s">
        <v>3674</v>
      </c>
      <c r="BZ128" s="0" t="s">
        <v>3674</v>
      </c>
      <c r="CA128" s="0" t="s">
        <v>3674</v>
      </c>
      <c r="CB128" s="0" t="s">
        <v>228</v>
      </c>
      <c r="CC128" s="0" t="s">
        <v>228</v>
      </c>
      <c r="CD128" s="0" t="s">
        <v>228</v>
      </c>
      <c r="CE128" s="0" t="s">
        <v>228</v>
      </c>
      <c r="CF128" s="0" t="s">
        <v>228</v>
      </c>
      <c r="CG128" s="0" t="s">
        <v>3674</v>
      </c>
      <c r="CH128" s="0" t="s">
        <v>228</v>
      </c>
      <c r="CI128" s="0" t="s">
        <v>228</v>
      </c>
      <c r="CJ128" s="0" t="s">
        <v>228</v>
      </c>
      <c r="CK128" s="0" t="s">
        <v>228</v>
      </c>
      <c r="CL128" s="0" t="s">
        <v>228</v>
      </c>
      <c r="CM128" s="0" t="s">
        <v>4239</v>
      </c>
      <c r="CN128" s="0" t="s">
        <v>4239</v>
      </c>
      <c r="CO128" s="0" t="s">
        <v>228</v>
      </c>
      <c r="CP128" s="0" t="s">
        <v>228</v>
      </c>
      <c r="CQ128" s="0" t="s">
        <v>228</v>
      </c>
      <c r="CR128" s="0" t="s">
        <v>228</v>
      </c>
      <c r="CS128" s="0" t="s">
        <v>3743</v>
      </c>
      <c r="CT128" s="0" t="s">
        <v>3568</v>
      </c>
      <c r="CU128" s="0" t="s">
        <v>3569</v>
      </c>
      <c r="CV128" s="0" t="s">
        <v>418</v>
      </c>
      <c r="CW128" s="0" t="s">
        <v>3622</v>
      </c>
      <c r="CX128" s="0" t="s">
        <v>419</v>
      </c>
      <c r="CY128" s="0" t="s">
        <v>418</v>
      </c>
      <c r="CZ128" s="0" t="s">
        <v>3623</v>
      </c>
      <c r="DA128" s="0" t="s">
        <v>3624</v>
      </c>
      <c r="DB128" s="0" t="s">
        <v>3622</v>
      </c>
      <c r="DC128" s="0" t="s">
        <v>362</v>
      </c>
      <c r="DD128" s="0" t="s">
        <v>3572</v>
      </c>
      <c r="DE128" s="0" t="s">
        <v>4236</v>
      </c>
    </row>
    <row customHeight="1" ht="11.25">
      <c r="A129" s="1353" t="s">
        <v>228</v>
      </c>
      <c r="B129" s="0" t="s">
        <v>228</v>
      </c>
      <c r="C129" s="0" t="s">
        <v>228</v>
      </c>
      <c r="D129" s="0" t="s">
        <v>228</v>
      </c>
      <c r="E129" s="0" t="s">
        <v>228</v>
      </c>
      <c r="F129" s="0" t="s">
        <v>228</v>
      </c>
      <c r="G129" s="0" t="s">
        <v>228</v>
      </c>
      <c r="H129" s="0" t="s">
        <v>228</v>
      </c>
      <c r="I129" s="0" t="s">
        <v>3555</v>
      </c>
      <c r="J129" s="0" t="s">
        <v>228</v>
      </c>
      <c r="K129" s="0" t="s">
        <v>228</v>
      </c>
      <c r="L129" s="0" t="s">
        <v>228</v>
      </c>
      <c r="M129" s="0" t="s">
        <v>228</v>
      </c>
      <c r="N129" s="0" t="s">
        <v>228</v>
      </c>
      <c r="O129" s="0" t="s">
        <v>228</v>
      </c>
      <c r="P129" s="0" t="s">
        <v>228</v>
      </c>
      <c r="Q129" s="0" t="s">
        <v>228</v>
      </c>
      <c r="R129" s="0" t="s">
        <v>4240</v>
      </c>
      <c r="S129" s="0" t="s">
        <v>228</v>
      </c>
      <c r="T129" s="0" t="s">
        <v>228</v>
      </c>
      <c r="U129" s="0" t="s">
        <v>101</v>
      </c>
      <c r="V129" s="0" t="s">
        <v>228</v>
      </c>
      <c r="W129" s="0" t="s">
        <v>228</v>
      </c>
      <c r="X129" s="0" t="s">
        <v>3661</v>
      </c>
      <c r="Y129" s="0" t="s">
        <v>228</v>
      </c>
      <c r="Z129" s="0" t="s">
        <v>151</v>
      </c>
      <c r="AA129" s="0" t="s">
        <v>151</v>
      </c>
      <c r="AB129" s="0" t="s">
        <v>160</v>
      </c>
      <c r="AC129" s="0" t="s">
        <v>2317</v>
      </c>
      <c r="AD129" s="0" t="s">
        <v>2317</v>
      </c>
      <c r="AE129" s="0" t="s">
        <v>2318</v>
      </c>
      <c r="AF129" s="0" t="s">
        <v>3849</v>
      </c>
      <c r="AG129" s="0" t="s">
        <v>3850</v>
      </c>
      <c r="AH129" s="0" t="s">
        <v>4241</v>
      </c>
      <c r="AI129" s="0" t="s">
        <v>4242</v>
      </c>
      <c r="AJ129" s="0" t="s">
        <v>228</v>
      </c>
      <c r="AK129" s="0" t="s">
        <v>228</v>
      </c>
      <c r="AL129" s="0" t="s">
        <v>228</v>
      </c>
      <c r="AM129" s="0" t="s">
        <v>228</v>
      </c>
      <c r="AN129" s="0" t="s">
        <v>228</v>
      </c>
      <c r="AO129" s="0" t="s">
        <v>228</v>
      </c>
      <c r="AP129" s="0" t="s">
        <v>228</v>
      </c>
      <c r="AQ129" s="0" t="s">
        <v>228</v>
      </c>
      <c r="AR129" s="0" t="s">
        <v>228</v>
      </c>
      <c r="AS129" s="0" t="s">
        <v>228</v>
      </c>
      <c r="AT129" s="0" t="s">
        <v>228</v>
      </c>
      <c r="AU129" s="0" t="s">
        <v>228</v>
      </c>
      <c r="AV129" s="0" t="s">
        <v>228</v>
      </c>
      <c r="AW129" s="0" t="s">
        <v>228</v>
      </c>
      <c r="AX129" s="0" t="s">
        <v>228</v>
      </c>
      <c r="AY129" s="0" t="s">
        <v>228</v>
      </c>
      <c r="AZ129" s="0" t="s">
        <v>228</v>
      </c>
      <c r="BA129" s="0" t="s">
        <v>228</v>
      </c>
      <c r="BB129" s="0" t="s">
        <v>228</v>
      </c>
      <c r="BC129" s="0" t="s">
        <v>228</v>
      </c>
      <c r="BD129" s="0" t="s">
        <v>228</v>
      </c>
      <c r="BE129" s="0" t="s">
        <v>3627</v>
      </c>
      <c r="BF129" s="0" t="s">
        <v>3619</v>
      </c>
      <c r="BG129" s="0" t="s">
        <v>111</v>
      </c>
      <c r="BH129" s="0" t="s">
        <v>3665</v>
      </c>
      <c r="BI129" s="0" t="s">
        <v>122</v>
      </c>
      <c r="BJ129" s="0" t="s">
        <v>228</v>
      </c>
      <c r="BK129" s="0" t="s">
        <v>3684</v>
      </c>
      <c r="BL129" s="0" t="s">
        <v>2317</v>
      </c>
      <c r="BM129" s="0" t="s">
        <v>2317</v>
      </c>
      <c r="BN129" s="0" t="s">
        <v>3740</v>
      </c>
      <c r="BO129" s="0" t="s">
        <v>3849</v>
      </c>
      <c r="BP129" s="0" t="s">
        <v>4234</v>
      </c>
      <c r="BQ129" s="0" t="s">
        <v>4241</v>
      </c>
      <c r="BR129" s="0" t="s">
        <v>4242</v>
      </c>
      <c r="BS129" s="0" t="s">
        <v>228</v>
      </c>
      <c r="BT129" s="0" t="s">
        <v>4238</v>
      </c>
      <c r="BU129" s="0" t="s">
        <v>4243</v>
      </c>
      <c r="BV129" s="0" t="s">
        <v>4243</v>
      </c>
      <c r="BW129" s="0" t="s">
        <v>3674</v>
      </c>
      <c r="BX129" s="0" t="s">
        <v>3674</v>
      </c>
      <c r="BY129" s="0" t="s">
        <v>3674</v>
      </c>
      <c r="BZ129" s="0" t="s">
        <v>3674</v>
      </c>
      <c r="CA129" s="0" t="s">
        <v>3674</v>
      </c>
      <c r="CB129" s="0" t="s">
        <v>228</v>
      </c>
      <c r="CC129" s="0" t="s">
        <v>228</v>
      </c>
      <c r="CD129" s="0" t="s">
        <v>228</v>
      </c>
      <c r="CE129" s="0" t="s">
        <v>228</v>
      </c>
      <c r="CF129" s="0" t="s">
        <v>228</v>
      </c>
      <c r="CG129" s="0" t="s">
        <v>3674</v>
      </c>
      <c r="CH129" s="0" t="s">
        <v>228</v>
      </c>
      <c r="CI129" s="0" t="s">
        <v>228</v>
      </c>
      <c r="CJ129" s="0" t="s">
        <v>228</v>
      </c>
      <c r="CK129" s="0" t="s">
        <v>228</v>
      </c>
      <c r="CL129" s="0" t="s">
        <v>228</v>
      </c>
      <c r="CM129" s="0" t="s">
        <v>4243</v>
      </c>
      <c r="CN129" s="0" t="s">
        <v>4243</v>
      </c>
      <c r="CO129" s="0" t="s">
        <v>228</v>
      </c>
      <c r="CP129" s="0" t="s">
        <v>228</v>
      </c>
      <c r="CQ129" s="0" t="s">
        <v>228</v>
      </c>
      <c r="CR129" s="0" t="s">
        <v>228</v>
      </c>
      <c r="CS129" s="0" t="s">
        <v>3743</v>
      </c>
      <c r="CT129" s="0" t="s">
        <v>3568</v>
      </c>
      <c r="CU129" s="0" t="s">
        <v>3569</v>
      </c>
      <c r="CV129" s="0" t="s">
        <v>418</v>
      </c>
      <c r="CW129" s="0" t="s">
        <v>3622</v>
      </c>
      <c r="CX129" s="0" t="s">
        <v>419</v>
      </c>
      <c r="CY129" s="0" t="s">
        <v>418</v>
      </c>
      <c r="CZ129" s="0" t="s">
        <v>3623</v>
      </c>
      <c r="DA129" s="0" t="s">
        <v>3624</v>
      </c>
      <c r="DB129" s="0" t="s">
        <v>3622</v>
      </c>
      <c r="DC129" s="0" t="s">
        <v>362</v>
      </c>
      <c r="DD129" s="0" t="s">
        <v>3572</v>
      </c>
      <c r="DE129" s="0" t="s">
        <v>4244</v>
      </c>
    </row>
    <row customHeight="1" ht="11.25">
      <c r="A130" s="1353" t="s">
        <v>228</v>
      </c>
      <c r="B130" s="0" t="s">
        <v>228</v>
      </c>
      <c r="C130" s="0" t="s">
        <v>228</v>
      </c>
      <c r="D130" s="0" t="s">
        <v>228</v>
      </c>
      <c r="E130" s="0" t="s">
        <v>228</v>
      </c>
      <c r="F130" s="0" t="s">
        <v>228</v>
      </c>
      <c r="G130" s="0" t="s">
        <v>228</v>
      </c>
      <c r="H130" s="0" t="s">
        <v>228</v>
      </c>
      <c r="I130" s="0" t="s">
        <v>3555</v>
      </c>
      <c r="J130" s="0" t="s">
        <v>228</v>
      </c>
      <c r="K130" s="0" t="s">
        <v>228</v>
      </c>
      <c r="L130" s="0" t="s">
        <v>228</v>
      </c>
      <c r="M130" s="0" t="s">
        <v>228</v>
      </c>
      <c r="N130" s="0" t="s">
        <v>228</v>
      </c>
      <c r="O130" s="0" t="s">
        <v>228</v>
      </c>
      <c r="P130" s="0" t="s">
        <v>228</v>
      </c>
      <c r="Q130" s="0" t="s">
        <v>228</v>
      </c>
      <c r="R130" s="0" t="s">
        <v>3648</v>
      </c>
      <c r="S130" s="0" t="s">
        <v>228</v>
      </c>
      <c r="T130" s="0" t="s">
        <v>228</v>
      </c>
      <c r="U130" s="0" t="s">
        <v>101</v>
      </c>
      <c r="V130" s="0" t="s">
        <v>228</v>
      </c>
      <c r="W130" s="0" t="s">
        <v>228</v>
      </c>
      <c r="X130" s="0" t="s">
        <v>3557</v>
      </c>
      <c r="Y130" s="0" t="s">
        <v>228</v>
      </c>
      <c r="Z130" s="0" t="s">
        <v>160</v>
      </c>
      <c r="AA130" s="0" t="s">
        <v>151</v>
      </c>
      <c r="AB130" s="0" t="s">
        <v>151</v>
      </c>
      <c r="AC130" s="0" t="s">
        <v>2317</v>
      </c>
      <c r="AD130" s="0" t="s">
        <v>2317</v>
      </c>
      <c r="AE130" s="0" t="s">
        <v>2318</v>
      </c>
      <c r="AF130" s="0" t="s">
        <v>4245</v>
      </c>
      <c r="AG130" s="0" t="s">
        <v>4246</v>
      </c>
      <c r="AH130" s="0" t="s">
        <v>3761</v>
      </c>
      <c r="AI130" s="0" t="s">
        <v>3626</v>
      </c>
      <c r="AJ130" s="0" t="s">
        <v>3579</v>
      </c>
      <c r="AK130" s="0" t="s">
        <v>3619</v>
      </c>
      <c r="AL130" s="0" t="s">
        <v>3581</v>
      </c>
      <c r="AM130" s="0" t="s">
        <v>3565</v>
      </c>
      <c r="AN130" s="0" t="s">
        <v>3628</v>
      </c>
      <c r="AO130" s="0" t="s">
        <v>3863</v>
      </c>
      <c r="AP130" s="0" t="s">
        <v>228</v>
      </c>
      <c r="AQ130" s="0" t="s">
        <v>228</v>
      </c>
      <c r="AR130" s="0" t="s">
        <v>228</v>
      </c>
      <c r="AS130" s="0" t="s">
        <v>228</v>
      </c>
      <c r="AT130" s="0" t="s">
        <v>228</v>
      </c>
      <c r="AU130" s="0" t="s">
        <v>228</v>
      </c>
      <c r="AV130" s="0" t="s">
        <v>228</v>
      </c>
      <c r="AW130" s="0" t="s">
        <v>228</v>
      </c>
      <c r="AX130" s="0" t="s">
        <v>228</v>
      </c>
      <c r="AY130" s="0" t="s">
        <v>228</v>
      </c>
      <c r="AZ130" s="0" t="s">
        <v>228</v>
      </c>
      <c r="BA130" s="0" t="s">
        <v>228</v>
      </c>
      <c r="BB130" s="0" t="s">
        <v>228</v>
      </c>
      <c r="BC130" s="0" t="s">
        <v>228</v>
      </c>
      <c r="BD130" s="0" t="s">
        <v>228</v>
      </c>
      <c r="BE130" s="0" t="s">
        <v>228</v>
      </c>
      <c r="BF130" s="0" t="s">
        <v>228</v>
      </c>
      <c r="BG130" s="0" t="s">
        <v>228</v>
      </c>
      <c r="BH130" s="0" t="s">
        <v>228</v>
      </c>
      <c r="BI130" s="0" t="s">
        <v>228</v>
      </c>
      <c r="BJ130" s="0" t="s">
        <v>228</v>
      </c>
      <c r="BK130" s="0" t="s">
        <v>228</v>
      </c>
      <c r="BL130" s="0" t="s">
        <v>228</v>
      </c>
      <c r="BM130" s="0" t="s">
        <v>228</v>
      </c>
      <c r="BN130" s="0" t="s">
        <v>228</v>
      </c>
      <c r="BO130" s="0" t="s">
        <v>228</v>
      </c>
      <c r="BP130" s="0" t="s">
        <v>228</v>
      </c>
      <c r="BQ130" s="0" t="s">
        <v>228</v>
      </c>
      <c r="BR130" s="0" t="s">
        <v>228</v>
      </c>
      <c r="BS130" s="0" t="s">
        <v>228</v>
      </c>
      <c r="BT130" s="0" t="s">
        <v>228</v>
      </c>
      <c r="BU130" s="0" t="s">
        <v>228</v>
      </c>
      <c r="BV130" s="0" t="s">
        <v>228</v>
      </c>
      <c r="BW130" s="0" t="s">
        <v>228</v>
      </c>
      <c r="BX130" s="0" t="s">
        <v>228</v>
      </c>
      <c r="BY130" s="0" t="s">
        <v>228</v>
      </c>
      <c r="BZ130" s="0" t="s">
        <v>228</v>
      </c>
      <c r="CA130" s="0" t="s">
        <v>228</v>
      </c>
      <c r="CB130" s="0" t="s">
        <v>228</v>
      </c>
      <c r="CC130" s="0" t="s">
        <v>228</v>
      </c>
      <c r="CD130" s="0" t="s">
        <v>228</v>
      </c>
      <c r="CE130" s="0" t="s">
        <v>228</v>
      </c>
      <c r="CF130" s="0" t="s">
        <v>228</v>
      </c>
      <c r="CG130" s="0" t="s">
        <v>228</v>
      </c>
      <c r="CH130" s="0" t="s">
        <v>228</v>
      </c>
      <c r="CI130" s="0" t="s">
        <v>228</v>
      </c>
      <c r="CJ130" s="0" t="s">
        <v>228</v>
      </c>
      <c r="CK130" s="0" t="s">
        <v>228</v>
      </c>
      <c r="CL130" s="0" t="s">
        <v>228</v>
      </c>
      <c r="CM130" s="0" t="s">
        <v>228</v>
      </c>
      <c r="CN130" s="0" t="s">
        <v>228</v>
      </c>
      <c r="CO130" s="0" t="s">
        <v>228</v>
      </c>
      <c r="CP130" s="0" t="s">
        <v>228</v>
      </c>
      <c r="CQ130" s="0" t="s">
        <v>228</v>
      </c>
      <c r="CR130" s="0" t="s">
        <v>228</v>
      </c>
      <c r="CS130" s="0" t="s">
        <v>228</v>
      </c>
      <c r="CT130" s="0" t="s">
        <v>3568</v>
      </c>
      <c r="CU130" s="0" t="s">
        <v>3569</v>
      </c>
      <c r="CV130" s="0" t="s">
        <v>418</v>
      </c>
      <c r="CW130" s="0" t="s">
        <v>3622</v>
      </c>
      <c r="CX130" s="0" t="s">
        <v>419</v>
      </c>
      <c r="CY130" s="0" t="s">
        <v>418</v>
      </c>
      <c r="CZ130" s="0" t="s">
        <v>3623</v>
      </c>
      <c r="DA130" s="0" t="s">
        <v>3624</v>
      </c>
      <c r="DB130" s="0" t="s">
        <v>3622</v>
      </c>
      <c r="DC130" s="0" t="s">
        <v>362</v>
      </c>
      <c r="DD130" s="0" t="s">
        <v>3572</v>
      </c>
      <c r="DE130" s="0" t="s">
        <v>4247</v>
      </c>
    </row>
    <row customHeight="1" ht="11.25">
      <c r="A131" s="1353" t="s">
        <v>228</v>
      </c>
      <c r="B131" s="0" t="s">
        <v>228</v>
      </c>
      <c r="C131" s="0" t="s">
        <v>228</v>
      </c>
      <c r="D131" s="0" t="s">
        <v>228</v>
      </c>
      <c r="E131" s="0" t="s">
        <v>228</v>
      </c>
      <c r="F131" s="0" t="s">
        <v>228</v>
      </c>
      <c r="G131" s="0" t="s">
        <v>228</v>
      </c>
      <c r="H131" s="0" t="s">
        <v>228</v>
      </c>
      <c r="I131" s="0" t="s">
        <v>3555</v>
      </c>
      <c r="J131" s="0" t="s">
        <v>228</v>
      </c>
      <c r="K131" s="0" t="s">
        <v>228</v>
      </c>
      <c r="L131" s="0" t="s">
        <v>228</v>
      </c>
      <c r="M131" s="0" t="s">
        <v>228</v>
      </c>
      <c r="N131" s="0" t="s">
        <v>228</v>
      </c>
      <c r="O131" s="0" t="s">
        <v>228</v>
      </c>
      <c r="P131" s="0" t="s">
        <v>228</v>
      </c>
      <c r="Q131" s="0" t="s">
        <v>228</v>
      </c>
      <c r="R131" s="0" t="s">
        <v>4248</v>
      </c>
      <c r="S131" s="0" t="s">
        <v>228</v>
      </c>
      <c r="T131" s="0" t="s">
        <v>228</v>
      </c>
      <c r="U131" s="0" t="s">
        <v>101</v>
      </c>
      <c r="V131" s="0" t="s">
        <v>228</v>
      </c>
      <c r="W131" s="0" t="s">
        <v>228</v>
      </c>
      <c r="X131" s="0" t="s">
        <v>3988</v>
      </c>
      <c r="Y131" s="0" t="s">
        <v>228</v>
      </c>
      <c r="Z131" s="0" t="s">
        <v>151</v>
      </c>
      <c r="AA131" s="0" t="s">
        <v>160</v>
      </c>
      <c r="AB131" s="0" t="s">
        <v>151</v>
      </c>
      <c r="AC131" s="0" t="s">
        <v>2315</v>
      </c>
      <c r="AD131" s="0" t="s">
        <v>2315</v>
      </c>
      <c r="AE131" s="0" t="s">
        <v>2316</v>
      </c>
      <c r="AF131" s="0" t="s">
        <v>4058</v>
      </c>
      <c r="AG131" s="0" t="s">
        <v>4059</v>
      </c>
      <c r="AH131" s="0" t="s">
        <v>4055</v>
      </c>
      <c r="AI131" s="0" t="s">
        <v>281</v>
      </c>
      <c r="AJ131" s="0" t="s">
        <v>228</v>
      </c>
      <c r="AK131" s="0" t="s">
        <v>228</v>
      </c>
      <c r="AL131" s="0" t="s">
        <v>228</v>
      </c>
      <c r="AM131" s="0" t="s">
        <v>228</v>
      </c>
      <c r="AN131" s="0" t="s">
        <v>228</v>
      </c>
      <c r="AO131" s="0" t="s">
        <v>228</v>
      </c>
      <c r="AP131" s="0" t="s">
        <v>3562</v>
      </c>
      <c r="AQ131" s="0" t="s">
        <v>3562</v>
      </c>
      <c r="AR131" s="0" t="s">
        <v>111</v>
      </c>
      <c r="AS131" s="0" t="s">
        <v>3665</v>
      </c>
      <c r="AT131" s="0" t="s">
        <v>122</v>
      </c>
      <c r="AU131" s="0" t="s">
        <v>228</v>
      </c>
      <c r="AV131" s="0" t="s">
        <v>4248</v>
      </c>
      <c r="AW131" s="0" t="s">
        <v>2315</v>
      </c>
      <c r="AX131" s="0" t="s">
        <v>2315</v>
      </c>
      <c r="AY131" s="0" t="s">
        <v>3875</v>
      </c>
      <c r="AZ131" s="0" t="s">
        <v>4058</v>
      </c>
      <c r="BA131" s="0" t="s">
        <v>4249</v>
      </c>
      <c r="BB131" s="0" t="s">
        <v>3651</v>
      </c>
      <c r="BC131" s="0" t="s">
        <v>3651</v>
      </c>
      <c r="BD131" s="0" t="s">
        <v>3582</v>
      </c>
      <c r="BE131" s="0" t="s">
        <v>228</v>
      </c>
      <c r="BF131" s="0" t="s">
        <v>228</v>
      </c>
      <c r="BG131" s="0" t="s">
        <v>228</v>
      </c>
      <c r="BH131" s="0" t="s">
        <v>228</v>
      </c>
      <c r="BI131" s="0" t="s">
        <v>228</v>
      </c>
      <c r="BJ131" s="0" t="s">
        <v>228</v>
      </c>
      <c r="BK131" s="0" t="s">
        <v>228</v>
      </c>
      <c r="BL131" s="0" t="s">
        <v>228</v>
      </c>
      <c r="BM131" s="0" t="s">
        <v>228</v>
      </c>
      <c r="BN131" s="0" t="s">
        <v>228</v>
      </c>
      <c r="BO131" s="0" t="s">
        <v>228</v>
      </c>
      <c r="BP131" s="0" t="s">
        <v>228</v>
      </c>
      <c r="BQ131" s="0" t="s">
        <v>228</v>
      </c>
      <c r="BR131" s="0" t="s">
        <v>228</v>
      </c>
      <c r="BS131" s="0" t="s">
        <v>228</v>
      </c>
      <c r="BT131" s="0" t="s">
        <v>228</v>
      </c>
      <c r="BU131" s="0" t="s">
        <v>228</v>
      </c>
      <c r="BV131" s="0" t="s">
        <v>228</v>
      </c>
      <c r="BW131" s="0" t="s">
        <v>228</v>
      </c>
      <c r="BX131" s="0" t="s">
        <v>228</v>
      </c>
      <c r="BY131" s="0" t="s">
        <v>228</v>
      </c>
      <c r="BZ131" s="0" t="s">
        <v>228</v>
      </c>
      <c r="CA131" s="0" t="s">
        <v>228</v>
      </c>
      <c r="CB131" s="0" t="s">
        <v>228</v>
      </c>
      <c r="CC131" s="0" t="s">
        <v>228</v>
      </c>
      <c r="CD131" s="0" t="s">
        <v>228</v>
      </c>
      <c r="CE131" s="0" t="s">
        <v>228</v>
      </c>
      <c r="CF131" s="0" t="s">
        <v>228</v>
      </c>
      <c r="CG131" s="0" t="s">
        <v>228</v>
      </c>
      <c r="CH131" s="0" t="s">
        <v>228</v>
      </c>
      <c r="CI131" s="0" t="s">
        <v>228</v>
      </c>
      <c r="CJ131" s="0" t="s">
        <v>228</v>
      </c>
      <c r="CK131" s="0" t="s">
        <v>228</v>
      </c>
      <c r="CL131" s="0" t="s">
        <v>228</v>
      </c>
      <c r="CM131" s="0" t="s">
        <v>228</v>
      </c>
      <c r="CN131" s="0" t="s">
        <v>228</v>
      </c>
      <c r="CO131" s="0" t="s">
        <v>228</v>
      </c>
      <c r="CP131" s="0" t="s">
        <v>228</v>
      </c>
      <c r="CQ131" s="0" t="s">
        <v>228</v>
      </c>
      <c r="CR131" s="0" t="s">
        <v>228</v>
      </c>
      <c r="CS131" s="0" t="s">
        <v>228</v>
      </c>
      <c r="CT131" s="0" t="s">
        <v>3568</v>
      </c>
      <c r="CU131" s="0" t="s">
        <v>3569</v>
      </c>
      <c r="CV131" s="0" t="s">
        <v>418</v>
      </c>
      <c r="CW131" s="0" t="s">
        <v>3656</v>
      </c>
      <c r="CX131" s="0" t="s">
        <v>419</v>
      </c>
      <c r="CY131" s="0" t="s">
        <v>418</v>
      </c>
      <c r="CZ131" s="0" t="s">
        <v>3657</v>
      </c>
      <c r="DA131" s="0" t="s">
        <v>3658</v>
      </c>
      <c r="DB131" s="0" t="s">
        <v>3656</v>
      </c>
      <c r="DC131" s="0" t="s">
        <v>362</v>
      </c>
      <c r="DD131" s="0" t="s">
        <v>3572</v>
      </c>
      <c r="DE131" s="0" t="s">
        <v>4061</v>
      </c>
    </row>
    <row customHeight="1" ht="11.25">
      <c r="A132" s="1353" t="s">
        <v>228</v>
      </c>
      <c r="B132" s="0" t="s">
        <v>228</v>
      </c>
      <c r="C132" s="0" t="s">
        <v>228</v>
      </c>
      <c r="D132" s="0" t="s">
        <v>228</v>
      </c>
      <c r="E132" s="0" t="s">
        <v>228</v>
      </c>
      <c r="F132" s="0" t="s">
        <v>228</v>
      </c>
      <c r="G132" s="0" t="s">
        <v>228</v>
      </c>
      <c r="H132" s="0" t="s">
        <v>228</v>
      </c>
      <c r="I132" s="0" t="s">
        <v>3555</v>
      </c>
      <c r="J132" s="0" t="s">
        <v>228</v>
      </c>
      <c r="K132" s="0" t="s">
        <v>228</v>
      </c>
      <c r="L132" s="0" t="s">
        <v>228</v>
      </c>
      <c r="M132" s="0" t="s">
        <v>228</v>
      </c>
      <c r="N132" s="0" t="s">
        <v>228</v>
      </c>
      <c r="O132" s="0" t="s">
        <v>228</v>
      </c>
      <c r="P132" s="0" t="s">
        <v>228</v>
      </c>
      <c r="Q132" s="0" t="s">
        <v>228</v>
      </c>
      <c r="R132" s="0" t="s">
        <v>4250</v>
      </c>
      <c r="S132" s="0" t="s">
        <v>228</v>
      </c>
      <c r="T132" s="0" t="s">
        <v>228</v>
      </c>
      <c r="U132" s="0" t="s">
        <v>101</v>
      </c>
      <c r="V132" s="0" t="s">
        <v>228</v>
      </c>
      <c r="W132" s="0" t="s">
        <v>228</v>
      </c>
      <c r="X132" s="0" t="s">
        <v>3557</v>
      </c>
      <c r="Y132" s="0" t="s">
        <v>228</v>
      </c>
      <c r="Z132" s="0" t="s">
        <v>160</v>
      </c>
      <c r="AA132" s="0" t="s">
        <v>151</v>
      </c>
      <c r="AB132" s="0" t="s">
        <v>151</v>
      </c>
      <c r="AC132" s="0" t="s">
        <v>2715</v>
      </c>
      <c r="AD132" s="0" t="s">
        <v>2715</v>
      </c>
      <c r="AE132" s="0" t="s">
        <v>2716</v>
      </c>
      <c r="AF132" s="0" t="s">
        <v>3594</v>
      </c>
      <c r="AG132" s="0" t="s">
        <v>3595</v>
      </c>
      <c r="AH132" s="0" t="s">
        <v>4251</v>
      </c>
      <c r="AI132" s="0" t="s">
        <v>4252</v>
      </c>
      <c r="AJ132" s="0" t="s">
        <v>3985</v>
      </c>
      <c r="AK132" s="0" t="s">
        <v>4253</v>
      </c>
      <c r="AL132" s="0" t="s">
        <v>3564</v>
      </c>
      <c r="AM132" s="0" t="s">
        <v>3565</v>
      </c>
      <c r="AN132" s="0" t="s">
        <v>4254</v>
      </c>
      <c r="AO132" s="0" t="s">
        <v>4255</v>
      </c>
      <c r="AP132" s="0" t="s">
        <v>228</v>
      </c>
      <c r="AQ132" s="0" t="s">
        <v>228</v>
      </c>
      <c r="AR132" s="0" t="s">
        <v>228</v>
      </c>
      <c r="AS132" s="0" t="s">
        <v>228</v>
      </c>
      <c r="AT132" s="0" t="s">
        <v>228</v>
      </c>
      <c r="AU132" s="0" t="s">
        <v>228</v>
      </c>
      <c r="AV132" s="0" t="s">
        <v>228</v>
      </c>
      <c r="AW132" s="0" t="s">
        <v>228</v>
      </c>
      <c r="AX132" s="0" t="s">
        <v>228</v>
      </c>
      <c r="AY132" s="0" t="s">
        <v>228</v>
      </c>
      <c r="AZ132" s="0" t="s">
        <v>228</v>
      </c>
      <c r="BA132" s="0" t="s">
        <v>228</v>
      </c>
      <c r="BB132" s="0" t="s">
        <v>228</v>
      </c>
      <c r="BC132" s="0" t="s">
        <v>228</v>
      </c>
      <c r="BD132" s="0" t="s">
        <v>228</v>
      </c>
      <c r="BE132" s="0" t="s">
        <v>228</v>
      </c>
      <c r="BF132" s="0" t="s">
        <v>228</v>
      </c>
      <c r="BG132" s="0" t="s">
        <v>228</v>
      </c>
      <c r="BH132" s="0" t="s">
        <v>228</v>
      </c>
      <c r="BI132" s="0" t="s">
        <v>228</v>
      </c>
      <c r="BJ132" s="0" t="s">
        <v>228</v>
      </c>
      <c r="BK132" s="0" t="s">
        <v>228</v>
      </c>
      <c r="BL132" s="0" t="s">
        <v>228</v>
      </c>
      <c r="BM132" s="0" t="s">
        <v>228</v>
      </c>
      <c r="BN132" s="0" t="s">
        <v>228</v>
      </c>
      <c r="BO132" s="0" t="s">
        <v>228</v>
      </c>
      <c r="BP132" s="0" t="s">
        <v>228</v>
      </c>
      <c r="BQ132" s="0" t="s">
        <v>228</v>
      </c>
      <c r="BR132" s="0" t="s">
        <v>228</v>
      </c>
      <c r="BS132" s="0" t="s">
        <v>228</v>
      </c>
      <c r="BT132" s="0" t="s">
        <v>228</v>
      </c>
      <c r="BU132" s="0" t="s">
        <v>228</v>
      </c>
      <c r="BV132" s="0" t="s">
        <v>228</v>
      </c>
      <c r="BW132" s="0" t="s">
        <v>228</v>
      </c>
      <c r="BX132" s="0" t="s">
        <v>228</v>
      </c>
      <c r="BY132" s="0" t="s">
        <v>228</v>
      </c>
      <c r="BZ132" s="0" t="s">
        <v>228</v>
      </c>
      <c r="CA132" s="0" t="s">
        <v>228</v>
      </c>
      <c r="CB132" s="0" t="s">
        <v>228</v>
      </c>
      <c r="CC132" s="0" t="s">
        <v>228</v>
      </c>
      <c r="CD132" s="0" t="s">
        <v>228</v>
      </c>
      <c r="CE132" s="0" t="s">
        <v>228</v>
      </c>
      <c r="CF132" s="0" t="s">
        <v>228</v>
      </c>
      <c r="CG132" s="0" t="s">
        <v>228</v>
      </c>
      <c r="CH132" s="0" t="s">
        <v>228</v>
      </c>
      <c r="CI132" s="0" t="s">
        <v>228</v>
      </c>
      <c r="CJ132" s="0" t="s">
        <v>228</v>
      </c>
      <c r="CK132" s="0" t="s">
        <v>228</v>
      </c>
      <c r="CL132" s="0" t="s">
        <v>228</v>
      </c>
      <c r="CM132" s="0" t="s">
        <v>228</v>
      </c>
      <c r="CN132" s="0" t="s">
        <v>228</v>
      </c>
      <c r="CO132" s="0" t="s">
        <v>228</v>
      </c>
      <c r="CP132" s="0" t="s">
        <v>228</v>
      </c>
      <c r="CQ132" s="0" t="s">
        <v>228</v>
      </c>
      <c r="CR132" s="0" t="s">
        <v>228</v>
      </c>
      <c r="CS132" s="0" t="s">
        <v>228</v>
      </c>
      <c r="CT132" s="0" t="s">
        <v>3568</v>
      </c>
      <c r="CU132" s="0" t="s">
        <v>3569</v>
      </c>
      <c r="CV132" s="0" t="s">
        <v>418</v>
      </c>
      <c r="CW132" s="0" t="s">
        <v>3602</v>
      </c>
      <c r="CX132" s="0" t="s">
        <v>3603</v>
      </c>
      <c r="CY132" s="0" t="s">
        <v>418</v>
      </c>
      <c r="CZ132" s="0" t="s">
        <v>504</v>
      </c>
      <c r="DA132" s="0" t="s">
        <v>3604</v>
      </c>
      <c r="DB132" s="0" t="s">
        <v>3602</v>
      </c>
      <c r="DC132" s="0" t="s">
        <v>362</v>
      </c>
      <c r="DD132" s="0" t="s">
        <v>3572</v>
      </c>
      <c r="DE132" s="0" t="s">
        <v>4256</v>
      </c>
    </row>
    <row customHeight="1" ht="11.25">
      <c r="A133" s="1353" t="s">
        <v>228</v>
      </c>
      <c r="B133" s="0" t="s">
        <v>228</v>
      </c>
      <c r="C133" s="0" t="s">
        <v>228</v>
      </c>
      <c r="D133" s="0" t="s">
        <v>228</v>
      </c>
      <c r="E133" s="0" t="s">
        <v>228</v>
      </c>
      <c r="F133" s="0" t="s">
        <v>228</v>
      </c>
      <c r="G133" s="0" t="s">
        <v>228</v>
      </c>
      <c r="H133" s="0" t="s">
        <v>228</v>
      </c>
      <c r="I133" s="0" t="s">
        <v>3555</v>
      </c>
      <c r="J133" s="0" t="s">
        <v>228</v>
      </c>
      <c r="K133" s="0" t="s">
        <v>228</v>
      </c>
      <c r="L133" s="0" t="s">
        <v>228</v>
      </c>
      <c r="M133" s="0" t="s">
        <v>228</v>
      </c>
      <c r="N133" s="0" t="s">
        <v>228</v>
      </c>
      <c r="O133" s="0" t="s">
        <v>228</v>
      </c>
      <c r="P133" s="0" t="s">
        <v>228</v>
      </c>
      <c r="Q133" s="0" t="s">
        <v>228</v>
      </c>
      <c r="R133" s="0" t="s">
        <v>3684</v>
      </c>
      <c r="S133" s="0" t="s">
        <v>228</v>
      </c>
      <c r="T133" s="0" t="s">
        <v>228</v>
      </c>
      <c r="U133" s="0" t="s">
        <v>101</v>
      </c>
      <c r="V133" s="0" t="s">
        <v>228</v>
      </c>
      <c r="W133" s="0" t="s">
        <v>228</v>
      </c>
      <c r="X133" s="0" t="s">
        <v>3557</v>
      </c>
      <c r="Y133" s="0" t="s">
        <v>228</v>
      </c>
      <c r="Z133" s="0" t="s">
        <v>160</v>
      </c>
      <c r="AA133" s="0" t="s">
        <v>151</v>
      </c>
      <c r="AB133" s="0" t="s">
        <v>151</v>
      </c>
      <c r="AC133" s="0" t="s">
        <v>2311</v>
      </c>
      <c r="AD133" s="0" t="s">
        <v>2311</v>
      </c>
      <c r="AE133" s="0" t="s">
        <v>2312</v>
      </c>
      <c r="AF133" s="0" t="s">
        <v>3996</v>
      </c>
      <c r="AG133" s="0" t="s">
        <v>3997</v>
      </c>
      <c r="AH133" s="0" t="s">
        <v>3589</v>
      </c>
      <c r="AI133" s="0" t="s">
        <v>4257</v>
      </c>
      <c r="AJ133" s="0" t="s">
        <v>3579</v>
      </c>
      <c r="AK133" s="0" t="s">
        <v>3580</v>
      </c>
      <c r="AL133" s="0" t="s">
        <v>4196</v>
      </c>
      <c r="AM133" s="0" t="s">
        <v>3565</v>
      </c>
      <c r="AN133" s="0" t="s">
        <v>3582</v>
      </c>
      <c r="AO133" s="0" t="s">
        <v>3845</v>
      </c>
      <c r="AP133" s="0" t="s">
        <v>228</v>
      </c>
      <c r="AQ133" s="0" t="s">
        <v>228</v>
      </c>
      <c r="AR133" s="0" t="s">
        <v>228</v>
      </c>
      <c r="AS133" s="0" t="s">
        <v>228</v>
      </c>
      <c r="AT133" s="0" t="s">
        <v>228</v>
      </c>
      <c r="AU133" s="0" t="s">
        <v>228</v>
      </c>
      <c r="AV133" s="0" t="s">
        <v>228</v>
      </c>
      <c r="AW133" s="0" t="s">
        <v>228</v>
      </c>
      <c r="AX133" s="0" t="s">
        <v>228</v>
      </c>
      <c r="AY133" s="0" t="s">
        <v>228</v>
      </c>
      <c r="AZ133" s="0" t="s">
        <v>228</v>
      </c>
      <c r="BA133" s="0" t="s">
        <v>228</v>
      </c>
      <c r="BB133" s="0" t="s">
        <v>228</v>
      </c>
      <c r="BC133" s="0" t="s">
        <v>228</v>
      </c>
      <c r="BD133" s="0" t="s">
        <v>228</v>
      </c>
      <c r="BE133" s="0" t="s">
        <v>228</v>
      </c>
      <c r="BF133" s="0" t="s">
        <v>228</v>
      </c>
      <c r="BG133" s="0" t="s">
        <v>228</v>
      </c>
      <c r="BH133" s="0" t="s">
        <v>228</v>
      </c>
      <c r="BI133" s="0" t="s">
        <v>228</v>
      </c>
      <c r="BJ133" s="0" t="s">
        <v>228</v>
      </c>
      <c r="BK133" s="0" t="s">
        <v>228</v>
      </c>
      <c r="BL133" s="0" t="s">
        <v>228</v>
      </c>
      <c r="BM133" s="0" t="s">
        <v>228</v>
      </c>
      <c r="BN133" s="0" t="s">
        <v>228</v>
      </c>
      <c r="BO133" s="0" t="s">
        <v>228</v>
      </c>
      <c r="BP133" s="0" t="s">
        <v>228</v>
      </c>
      <c r="BQ133" s="0" t="s">
        <v>228</v>
      </c>
      <c r="BR133" s="0" t="s">
        <v>228</v>
      </c>
      <c r="BS133" s="0" t="s">
        <v>228</v>
      </c>
      <c r="BT133" s="0" t="s">
        <v>228</v>
      </c>
      <c r="BU133" s="0" t="s">
        <v>228</v>
      </c>
      <c r="BV133" s="0" t="s">
        <v>228</v>
      </c>
      <c r="BW133" s="0" t="s">
        <v>228</v>
      </c>
      <c r="BX133" s="0" t="s">
        <v>228</v>
      </c>
      <c r="BY133" s="0" t="s">
        <v>228</v>
      </c>
      <c r="BZ133" s="0" t="s">
        <v>228</v>
      </c>
      <c r="CA133" s="0" t="s">
        <v>228</v>
      </c>
      <c r="CB133" s="0" t="s">
        <v>228</v>
      </c>
      <c r="CC133" s="0" t="s">
        <v>228</v>
      </c>
      <c r="CD133" s="0" t="s">
        <v>228</v>
      </c>
      <c r="CE133" s="0" t="s">
        <v>228</v>
      </c>
      <c r="CF133" s="0" t="s">
        <v>228</v>
      </c>
      <c r="CG133" s="0" t="s">
        <v>228</v>
      </c>
      <c r="CH133" s="0" t="s">
        <v>228</v>
      </c>
      <c r="CI133" s="0" t="s">
        <v>228</v>
      </c>
      <c r="CJ133" s="0" t="s">
        <v>228</v>
      </c>
      <c r="CK133" s="0" t="s">
        <v>228</v>
      </c>
      <c r="CL133" s="0" t="s">
        <v>228</v>
      </c>
      <c r="CM133" s="0" t="s">
        <v>228</v>
      </c>
      <c r="CN133" s="0" t="s">
        <v>228</v>
      </c>
      <c r="CO133" s="0" t="s">
        <v>228</v>
      </c>
      <c r="CP133" s="0" t="s">
        <v>228</v>
      </c>
      <c r="CQ133" s="0" t="s">
        <v>228</v>
      </c>
      <c r="CR133" s="0" t="s">
        <v>228</v>
      </c>
      <c r="CS133" s="0" t="s">
        <v>228</v>
      </c>
      <c r="CT133" s="0" t="s">
        <v>3568</v>
      </c>
      <c r="CU133" s="0" t="s">
        <v>3569</v>
      </c>
      <c r="CV133" s="0" t="s">
        <v>418</v>
      </c>
      <c r="CW133" s="0" t="s">
        <v>3584</v>
      </c>
      <c r="CX133" s="0" t="s">
        <v>419</v>
      </c>
      <c r="CY133" s="0" t="s">
        <v>418</v>
      </c>
      <c r="CZ133" s="0" t="s">
        <v>3585</v>
      </c>
      <c r="DA133" s="0" t="s">
        <v>3586</v>
      </c>
      <c r="DB133" s="0" t="s">
        <v>3584</v>
      </c>
      <c r="DC133" s="0" t="s">
        <v>362</v>
      </c>
      <c r="DD133" s="0" t="s">
        <v>3572</v>
      </c>
      <c r="DE133" s="0" t="s">
        <v>4258</v>
      </c>
    </row>
    <row customHeight="1" ht="11.25">
      <c r="A134" s="1353" t="s">
        <v>228</v>
      </c>
      <c r="B134" s="0" t="s">
        <v>228</v>
      </c>
      <c r="C134" s="0" t="s">
        <v>228</v>
      </c>
      <c r="D134" s="0" t="s">
        <v>228</v>
      </c>
      <c r="E134" s="0" t="s">
        <v>228</v>
      </c>
      <c r="F134" s="0" t="s">
        <v>228</v>
      </c>
      <c r="G134" s="0" t="s">
        <v>228</v>
      </c>
      <c r="H134" s="0" t="s">
        <v>228</v>
      </c>
      <c r="I134" s="0" t="s">
        <v>3555</v>
      </c>
      <c r="J134" s="0" t="s">
        <v>228</v>
      </c>
      <c r="K134" s="0" t="s">
        <v>228</v>
      </c>
      <c r="L134" s="0" t="s">
        <v>228</v>
      </c>
      <c r="M134" s="0" t="s">
        <v>228</v>
      </c>
      <c r="N134" s="0" t="s">
        <v>228</v>
      </c>
      <c r="O134" s="0" t="s">
        <v>228</v>
      </c>
      <c r="P134" s="0" t="s">
        <v>228</v>
      </c>
      <c r="Q134" s="0" t="s">
        <v>228</v>
      </c>
      <c r="R134" s="0" t="s">
        <v>4259</v>
      </c>
      <c r="S134" s="0" t="s">
        <v>228</v>
      </c>
      <c r="T134" s="0" t="s">
        <v>228</v>
      </c>
      <c r="U134" s="0" t="s">
        <v>101</v>
      </c>
      <c r="V134" s="0" t="s">
        <v>228</v>
      </c>
      <c r="W134" s="0" t="s">
        <v>228</v>
      </c>
      <c r="X134" s="0" t="s">
        <v>3557</v>
      </c>
      <c r="Y134" s="0" t="s">
        <v>228</v>
      </c>
      <c r="Z134" s="0" t="s">
        <v>160</v>
      </c>
      <c r="AA134" s="0" t="s">
        <v>151</v>
      </c>
      <c r="AB134" s="0" t="s">
        <v>151</v>
      </c>
      <c r="AC134" s="0" t="s">
        <v>2715</v>
      </c>
      <c r="AD134" s="0" t="s">
        <v>2715</v>
      </c>
      <c r="AE134" s="0" t="s">
        <v>2716</v>
      </c>
      <c r="AF134" s="0" t="s">
        <v>3594</v>
      </c>
      <c r="AG134" s="0" t="s">
        <v>3595</v>
      </c>
      <c r="AH134" s="0" t="s">
        <v>4260</v>
      </c>
      <c r="AI134" s="0" t="s">
        <v>4261</v>
      </c>
      <c r="AJ134" s="0" t="s">
        <v>3793</v>
      </c>
      <c r="AK134" s="0" t="s">
        <v>4262</v>
      </c>
      <c r="AL134" s="0" t="s">
        <v>3564</v>
      </c>
      <c r="AM134" s="0" t="s">
        <v>3565</v>
      </c>
      <c r="AN134" s="0" t="s">
        <v>4263</v>
      </c>
      <c r="AO134" s="0" t="s">
        <v>4264</v>
      </c>
      <c r="AP134" s="0" t="s">
        <v>228</v>
      </c>
      <c r="AQ134" s="0" t="s">
        <v>228</v>
      </c>
      <c r="AR134" s="0" t="s">
        <v>228</v>
      </c>
      <c r="AS134" s="0" t="s">
        <v>228</v>
      </c>
      <c r="AT134" s="0" t="s">
        <v>228</v>
      </c>
      <c r="AU134" s="0" t="s">
        <v>228</v>
      </c>
      <c r="AV134" s="0" t="s">
        <v>228</v>
      </c>
      <c r="AW134" s="0" t="s">
        <v>228</v>
      </c>
      <c r="AX134" s="0" t="s">
        <v>228</v>
      </c>
      <c r="AY134" s="0" t="s">
        <v>228</v>
      </c>
      <c r="AZ134" s="0" t="s">
        <v>228</v>
      </c>
      <c r="BA134" s="0" t="s">
        <v>228</v>
      </c>
      <c r="BB134" s="0" t="s">
        <v>228</v>
      </c>
      <c r="BC134" s="0" t="s">
        <v>228</v>
      </c>
      <c r="BD134" s="0" t="s">
        <v>228</v>
      </c>
      <c r="BE134" s="0" t="s">
        <v>228</v>
      </c>
      <c r="BF134" s="0" t="s">
        <v>228</v>
      </c>
      <c r="BG134" s="0" t="s">
        <v>228</v>
      </c>
      <c r="BH134" s="0" t="s">
        <v>228</v>
      </c>
      <c r="BI134" s="0" t="s">
        <v>228</v>
      </c>
      <c r="BJ134" s="0" t="s">
        <v>228</v>
      </c>
      <c r="BK134" s="0" t="s">
        <v>228</v>
      </c>
      <c r="BL134" s="0" t="s">
        <v>228</v>
      </c>
      <c r="BM134" s="0" t="s">
        <v>228</v>
      </c>
      <c r="BN134" s="0" t="s">
        <v>228</v>
      </c>
      <c r="BO134" s="0" t="s">
        <v>228</v>
      </c>
      <c r="BP134" s="0" t="s">
        <v>228</v>
      </c>
      <c r="BQ134" s="0" t="s">
        <v>228</v>
      </c>
      <c r="BR134" s="0" t="s">
        <v>228</v>
      </c>
      <c r="BS134" s="0" t="s">
        <v>228</v>
      </c>
      <c r="BT134" s="0" t="s">
        <v>228</v>
      </c>
      <c r="BU134" s="0" t="s">
        <v>228</v>
      </c>
      <c r="BV134" s="0" t="s">
        <v>228</v>
      </c>
      <c r="BW134" s="0" t="s">
        <v>228</v>
      </c>
      <c r="BX134" s="0" t="s">
        <v>228</v>
      </c>
      <c r="BY134" s="0" t="s">
        <v>228</v>
      </c>
      <c r="BZ134" s="0" t="s">
        <v>228</v>
      </c>
      <c r="CA134" s="0" t="s">
        <v>228</v>
      </c>
      <c r="CB134" s="0" t="s">
        <v>228</v>
      </c>
      <c r="CC134" s="0" t="s">
        <v>228</v>
      </c>
      <c r="CD134" s="0" t="s">
        <v>228</v>
      </c>
      <c r="CE134" s="0" t="s">
        <v>228</v>
      </c>
      <c r="CF134" s="0" t="s">
        <v>228</v>
      </c>
      <c r="CG134" s="0" t="s">
        <v>228</v>
      </c>
      <c r="CH134" s="0" t="s">
        <v>228</v>
      </c>
      <c r="CI134" s="0" t="s">
        <v>228</v>
      </c>
      <c r="CJ134" s="0" t="s">
        <v>228</v>
      </c>
      <c r="CK134" s="0" t="s">
        <v>228</v>
      </c>
      <c r="CL134" s="0" t="s">
        <v>228</v>
      </c>
      <c r="CM134" s="0" t="s">
        <v>228</v>
      </c>
      <c r="CN134" s="0" t="s">
        <v>228</v>
      </c>
      <c r="CO134" s="0" t="s">
        <v>228</v>
      </c>
      <c r="CP134" s="0" t="s">
        <v>228</v>
      </c>
      <c r="CQ134" s="0" t="s">
        <v>228</v>
      </c>
      <c r="CR134" s="0" t="s">
        <v>228</v>
      </c>
      <c r="CS134" s="0" t="s">
        <v>228</v>
      </c>
      <c r="CT134" s="0" t="s">
        <v>3568</v>
      </c>
      <c r="CU134" s="0" t="s">
        <v>3569</v>
      </c>
      <c r="CV134" s="0" t="s">
        <v>418</v>
      </c>
      <c r="CW134" s="0" t="s">
        <v>3602</v>
      </c>
      <c r="CX134" s="0" t="s">
        <v>3603</v>
      </c>
      <c r="CY134" s="0" t="s">
        <v>418</v>
      </c>
      <c r="CZ134" s="0" t="s">
        <v>504</v>
      </c>
      <c r="DA134" s="0" t="s">
        <v>3604</v>
      </c>
      <c r="DB134" s="0" t="s">
        <v>3602</v>
      </c>
      <c r="DC134" s="0" t="s">
        <v>362</v>
      </c>
      <c r="DD134" s="0" t="s">
        <v>3572</v>
      </c>
      <c r="DE134" s="0" t="s">
        <v>4265</v>
      </c>
    </row>
    <row customHeight="1" ht="11.25">
      <c r="A135" s="1353" t="s">
        <v>228</v>
      </c>
      <c r="B135" s="0" t="s">
        <v>228</v>
      </c>
      <c r="C135" s="0" t="s">
        <v>228</v>
      </c>
      <c r="D135" s="0" t="s">
        <v>228</v>
      </c>
      <c r="E135" s="0" t="s">
        <v>228</v>
      </c>
      <c r="F135" s="0" t="s">
        <v>228</v>
      </c>
      <c r="G135" s="0" t="s">
        <v>228</v>
      </c>
      <c r="H135" s="0" t="s">
        <v>228</v>
      </c>
      <c r="I135" s="0" t="s">
        <v>3555</v>
      </c>
      <c r="J135" s="0" t="s">
        <v>228</v>
      </c>
      <c r="K135" s="0" t="s">
        <v>228</v>
      </c>
      <c r="L135" s="0" t="s">
        <v>228</v>
      </c>
      <c r="M135" s="0" t="s">
        <v>228</v>
      </c>
      <c r="N135" s="0" t="s">
        <v>228</v>
      </c>
      <c r="O135" s="0" t="s">
        <v>228</v>
      </c>
      <c r="P135" s="0" t="s">
        <v>228</v>
      </c>
      <c r="Q135" s="0" t="s">
        <v>228</v>
      </c>
      <c r="R135" s="0" t="s">
        <v>4266</v>
      </c>
      <c r="S135" s="0" t="s">
        <v>228</v>
      </c>
      <c r="T135" s="0" t="s">
        <v>228</v>
      </c>
      <c r="U135" s="0" t="s">
        <v>101</v>
      </c>
      <c r="V135" s="0" t="s">
        <v>228</v>
      </c>
      <c r="W135" s="0" t="s">
        <v>228</v>
      </c>
      <c r="X135" s="0" t="s">
        <v>3661</v>
      </c>
      <c r="Y135" s="0" t="s">
        <v>228</v>
      </c>
      <c r="Z135" s="0" t="s">
        <v>151</v>
      </c>
      <c r="AA135" s="0" t="s">
        <v>151</v>
      </c>
      <c r="AB135" s="0" t="s">
        <v>160</v>
      </c>
      <c r="AC135" s="0" t="s">
        <v>2317</v>
      </c>
      <c r="AD135" s="0" t="s">
        <v>2317</v>
      </c>
      <c r="AE135" s="0" t="s">
        <v>2318</v>
      </c>
      <c r="AF135" s="0" t="s">
        <v>3615</v>
      </c>
      <c r="AG135" s="0" t="s">
        <v>3616</v>
      </c>
      <c r="AH135" s="0" t="s">
        <v>3651</v>
      </c>
      <c r="AI135" s="0" t="s">
        <v>3651</v>
      </c>
      <c r="AJ135" s="0" t="s">
        <v>228</v>
      </c>
      <c r="AK135" s="0" t="s">
        <v>228</v>
      </c>
      <c r="AL135" s="0" t="s">
        <v>228</v>
      </c>
      <c r="AM135" s="0" t="s">
        <v>228</v>
      </c>
      <c r="AN135" s="0" t="s">
        <v>228</v>
      </c>
      <c r="AO135" s="0" t="s">
        <v>228</v>
      </c>
      <c r="AP135" s="0" t="s">
        <v>228</v>
      </c>
      <c r="AQ135" s="0" t="s">
        <v>228</v>
      </c>
      <c r="AR135" s="0" t="s">
        <v>228</v>
      </c>
      <c r="AS135" s="0" t="s">
        <v>228</v>
      </c>
      <c r="AT135" s="0" t="s">
        <v>228</v>
      </c>
      <c r="AU135" s="0" t="s">
        <v>228</v>
      </c>
      <c r="AV135" s="0" t="s">
        <v>228</v>
      </c>
      <c r="AW135" s="0" t="s">
        <v>228</v>
      </c>
      <c r="AX135" s="0" t="s">
        <v>228</v>
      </c>
      <c r="AY135" s="0" t="s">
        <v>228</v>
      </c>
      <c r="AZ135" s="0" t="s">
        <v>228</v>
      </c>
      <c r="BA135" s="0" t="s">
        <v>228</v>
      </c>
      <c r="BB135" s="0" t="s">
        <v>228</v>
      </c>
      <c r="BC135" s="0" t="s">
        <v>228</v>
      </c>
      <c r="BD135" s="0" t="s">
        <v>228</v>
      </c>
      <c r="BE135" s="0" t="s">
        <v>3579</v>
      </c>
      <c r="BF135" s="0" t="s">
        <v>3619</v>
      </c>
      <c r="BG135" s="0" t="s">
        <v>111</v>
      </c>
      <c r="BH135" s="0" t="s">
        <v>3665</v>
      </c>
      <c r="BI135" s="0" t="s">
        <v>122</v>
      </c>
      <c r="BJ135" s="0" t="s">
        <v>228</v>
      </c>
      <c r="BK135" s="0" t="s">
        <v>3684</v>
      </c>
      <c r="BL135" s="0" t="s">
        <v>2317</v>
      </c>
      <c r="BM135" s="0" t="s">
        <v>2317</v>
      </c>
      <c r="BN135" s="0" t="s">
        <v>3740</v>
      </c>
      <c r="BO135" s="0" t="s">
        <v>3615</v>
      </c>
      <c r="BP135" s="0" t="s">
        <v>4267</v>
      </c>
      <c r="BQ135" s="0" t="s">
        <v>3651</v>
      </c>
      <c r="BR135" s="0" t="s">
        <v>3651</v>
      </c>
      <c r="BS135" s="0" t="s">
        <v>228</v>
      </c>
      <c r="BT135" s="0" t="s">
        <v>3727</v>
      </c>
      <c r="BU135" s="0" t="s">
        <v>4268</v>
      </c>
      <c r="BV135" s="0" t="s">
        <v>4268</v>
      </c>
      <c r="BW135" s="0" t="s">
        <v>3674</v>
      </c>
      <c r="BX135" s="0" t="s">
        <v>3674</v>
      </c>
      <c r="BY135" s="0" t="s">
        <v>3674</v>
      </c>
      <c r="BZ135" s="0" t="s">
        <v>3674</v>
      </c>
      <c r="CA135" s="0" t="s">
        <v>3674</v>
      </c>
      <c r="CB135" s="0" t="s">
        <v>228</v>
      </c>
      <c r="CC135" s="0" t="s">
        <v>228</v>
      </c>
      <c r="CD135" s="0" t="s">
        <v>228</v>
      </c>
      <c r="CE135" s="0" t="s">
        <v>228</v>
      </c>
      <c r="CF135" s="0" t="s">
        <v>228</v>
      </c>
      <c r="CG135" s="0" t="s">
        <v>3674</v>
      </c>
      <c r="CH135" s="0" t="s">
        <v>228</v>
      </c>
      <c r="CI135" s="0" t="s">
        <v>228</v>
      </c>
      <c r="CJ135" s="0" t="s">
        <v>228</v>
      </c>
      <c r="CK135" s="0" t="s">
        <v>228</v>
      </c>
      <c r="CL135" s="0" t="s">
        <v>228</v>
      </c>
      <c r="CM135" s="0" t="s">
        <v>4268</v>
      </c>
      <c r="CN135" s="0" t="s">
        <v>4268</v>
      </c>
      <c r="CO135" s="0" t="s">
        <v>228</v>
      </c>
      <c r="CP135" s="0" t="s">
        <v>228</v>
      </c>
      <c r="CQ135" s="0" t="s">
        <v>228</v>
      </c>
      <c r="CR135" s="0" t="s">
        <v>228</v>
      </c>
      <c r="CS135" s="0" t="s">
        <v>3743</v>
      </c>
      <c r="CT135" s="0" t="s">
        <v>3568</v>
      </c>
      <c r="CU135" s="0" t="s">
        <v>3569</v>
      </c>
      <c r="CV135" s="0" t="s">
        <v>418</v>
      </c>
      <c r="CW135" s="0" t="s">
        <v>3622</v>
      </c>
      <c r="CX135" s="0" t="s">
        <v>419</v>
      </c>
      <c r="CY135" s="0" t="s">
        <v>418</v>
      </c>
      <c r="CZ135" s="0" t="s">
        <v>3623</v>
      </c>
      <c r="DA135" s="0" t="s">
        <v>3624</v>
      </c>
      <c r="DB135" s="0" t="s">
        <v>3622</v>
      </c>
      <c r="DC135" s="0" t="s">
        <v>362</v>
      </c>
      <c r="DD135" s="0" t="s">
        <v>3572</v>
      </c>
      <c r="DE135" s="0" t="s">
        <v>4269</v>
      </c>
    </row>
    <row customHeight="1" ht="11.25">
      <c r="A136" s="1353" t="s">
        <v>228</v>
      </c>
      <c r="B136" s="0" t="s">
        <v>228</v>
      </c>
      <c r="C136" s="0" t="s">
        <v>228</v>
      </c>
      <c r="D136" s="0" t="s">
        <v>228</v>
      </c>
      <c r="E136" s="0" t="s">
        <v>228</v>
      </c>
      <c r="F136" s="0" t="s">
        <v>228</v>
      </c>
      <c r="G136" s="0" t="s">
        <v>228</v>
      </c>
      <c r="H136" s="0" t="s">
        <v>228</v>
      </c>
      <c r="I136" s="0" t="s">
        <v>3555</v>
      </c>
      <c r="J136" s="0" t="s">
        <v>228</v>
      </c>
      <c r="K136" s="0" t="s">
        <v>228</v>
      </c>
      <c r="L136" s="0" t="s">
        <v>228</v>
      </c>
      <c r="M136" s="0" t="s">
        <v>228</v>
      </c>
      <c r="N136" s="0" t="s">
        <v>228</v>
      </c>
      <c r="O136" s="0" t="s">
        <v>228</v>
      </c>
      <c r="P136" s="0" t="s">
        <v>228</v>
      </c>
      <c r="Q136" s="0" t="s">
        <v>228</v>
      </c>
      <c r="R136" s="0" t="s">
        <v>4270</v>
      </c>
      <c r="S136" s="0" t="s">
        <v>228</v>
      </c>
      <c r="T136" s="0" t="s">
        <v>228</v>
      </c>
      <c r="U136" s="0" t="s">
        <v>101</v>
      </c>
      <c r="V136" s="0" t="s">
        <v>228</v>
      </c>
      <c r="W136" s="0" t="s">
        <v>228</v>
      </c>
      <c r="X136" s="0" t="s">
        <v>3557</v>
      </c>
      <c r="Y136" s="0" t="s">
        <v>228</v>
      </c>
      <c r="Z136" s="0" t="s">
        <v>160</v>
      </c>
      <c r="AA136" s="0" t="s">
        <v>151</v>
      </c>
      <c r="AB136" s="0" t="s">
        <v>151</v>
      </c>
      <c r="AC136" s="0" t="s">
        <v>2317</v>
      </c>
      <c r="AD136" s="0" t="s">
        <v>2317</v>
      </c>
      <c r="AE136" s="0" t="s">
        <v>2318</v>
      </c>
      <c r="AF136" s="0" t="s">
        <v>4271</v>
      </c>
      <c r="AG136" s="0" t="s">
        <v>4272</v>
      </c>
      <c r="AH136" s="0" t="s">
        <v>3747</v>
      </c>
      <c r="AI136" s="0" t="s">
        <v>4273</v>
      </c>
      <c r="AJ136" s="0" t="s">
        <v>3627</v>
      </c>
      <c r="AK136" s="0" t="s">
        <v>3749</v>
      </c>
      <c r="AL136" s="0" t="s">
        <v>3581</v>
      </c>
      <c r="AM136" s="0" t="s">
        <v>3565</v>
      </c>
      <c r="AN136" s="0" t="s">
        <v>3620</v>
      </c>
      <c r="AO136" s="0" t="s">
        <v>3583</v>
      </c>
      <c r="AP136" s="0" t="s">
        <v>228</v>
      </c>
      <c r="AQ136" s="0" t="s">
        <v>228</v>
      </c>
      <c r="AR136" s="0" t="s">
        <v>228</v>
      </c>
      <c r="AS136" s="0" t="s">
        <v>228</v>
      </c>
      <c r="AT136" s="0" t="s">
        <v>228</v>
      </c>
      <c r="AU136" s="0" t="s">
        <v>228</v>
      </c>
      <c r="AV136" s="0" t="s">
        <v>228</v>
      </c>
      <c r="AW136" s="0" t="s">
        <v>228</v>
      </c>
      <c r="AX136" s="0" t="s">
        <v>228</v>
      </c>
      <c r="AY136" s="0" t="s">
        <v>228</v>
      </c>
      <c r="AZ136" s="0" t="s">
        <v>228</v>
      </c>
      <c r="BA136" s="0" t="s">
        <v>228</v>
      </c>
      <c r="BB136" s="0" t="s">
        <v>228</v>
      </c>
      <c r="BC136" s="0" t="s">
        <v>228</v>
      </c>
      <c r="BD136" s="0" t="s">
        <v>228</v>
      </c>
      <c r="BE136" s="0" t="s">
        <v>228</v>
      </c>
      <c r="BF136" s="0" t="s">
        <v>228</v>
      </c>
      <c r="BG136" s="0" t="s">
        <v>228</v>
      </c>
      <c r="BH136" s="0" t="s">
        <v>228</v>
      </c>
      <c r="BI136" s="0" t="s">
        <v>228</v>
      </c>
      <c r="BJ136" s="0" t="s">
        <v>228</v>
      </c>
      <c r="BK136" s="0" t="s">
        <v>228</v>
      </c>
      <c r="BL136" s="0" t="s">
        <v>228</v>
      </c>
      <c r="BM136" s="0" t="s">
        <v>228</v>
      </c>
      <c r="BN136" s="0" t="s">
        <v>228</v>
      </c>
      <c r="BO136" s="0" t="s">
        <v>228</v>
      </c>
      <c r="BP136" s="0" t="s">
        <v>228</v>
      </c>
      <c r="BQ136" s="0" t="s">
        <v>228</v>
      </c>
      <c r="BR136" s="0" t="s">
        <v>228</v>
      </c>
      <c r="BS136" s="0" t="s">
        <v>228</v>
      </c>
      <c r="BT136" s="0" t="s">
        <v>228</v>
      </c>
      <c r="BU136" s="0" t="s">
        <v>228</v>
      </c>
      <c r="BV136" s="0" t="s">
        <v>228</v>
      </c>
      <c r="BW136" s="0" t="s">
        <v>228</v>
      </c>
      <c r="BX136" s="0" t="s">
        <v>228</v>
      </c>
      <c r="BY136" s="0" t="s">
        <v>228</v>
      </c>
      <c r="BZ136" s="0" t="s">
        <v>228</v>
      </c>
      <c r="CA136" s="0" t="s">
        <v>228</v>
      </c>
      <c r="CB136" s="0" t="s">
        <v>228</v>
      </c>
      <c r="CC136" s="0" t="s">
        <v>228</v>
      </c>
      <c r="CD136" s="0" t="s">
        <v>228</v>
      </c>
      <c r="CE136" s="0" t="s">
        <v>228</v>
      </c>
      <c r="CF136" s="0" t="s">
        <v>228</v>
      </c>
      <c r="CG136" s="0" t="s">
        <v>228</v>
      </c>
      <c r="CH136" s="0" t="s">
        <v>228</v>
      </c>
      <c r="CI136" s="0" t="s">
        <v>228</v>
      </c>
      <c r="CJ136" s="0" t="s">
        <v>228</v>
      </c>
      <c r="CK136" s="0" t="s">
        <v>228</v>
      </c>
      <c r="CL136" s="0" t="s">
        <v>228</v>
      </c>
      <c r="CM136" s="0" t="s">
        <v>228</v>
      </c>
      <c r="CN136" s="0" t="s">
        <v>228</v>
      </c>
      <c r="CO136" s="0" t="s">
        <v>228</v>
      </c>
      <c r="CP136" s="0" t="s">
        <v>228</v>
      </c>
      <c r="CQ136" s="0" t="s">
        <v>228</v>
      </c>
      <c r="CR136" s="0" t="s">
        <v>228</v>
      </c>
      <c r="CS136" s="0" t="s">
        <v>228</v>
      </c>
      <c r="CT136" s="0" t="s">
        <v>3568</v>
      </c>
      <c r="CU136" s="0" t="s">
        <v>3569</v>
      </c>
      <c r="CV136" s="0" t="s">
        <v>418</v>
      </c>
      <c r="CW136" s="0" t="s">
        <v>3622</v>
      </c>
      <c r="CX136" s="0" t="s">
        <v>419</v>
      </c>
      <c r="CY136" s="0" t="s">
        <v>418</v>
      </c>
      <c r="CZ136" s="0" t="s">
        <v>3623</v>
      </c>
      <c r="DA136" s="0" t="s">
        <v>3624</v>
      </c>
      <c r="DB136" s="0" t="s">
        <v>3622</v>
      </c>
      <c r="DC136" s="0" t="s">
        <v>362</v>
      </c>
      <c r="DD136" s="0" t="s">
        <v>3572</v>
      </c>
      <c r="DE136" s="0" t="s">
        <v>4274</v>
      </c>
    </row>
    <row customHeight="1" ht="11.25">
      <c r="A137" s="1353" t="s">
        <v>228</v>
      </c>
      <c r="B137" s="0" t="s">
        <v>228</v>
      </c>
      <c r="C137" s="0" t="s">
        <v>228</v>
      </c>
      <c r="D137" s="0" t="s">
        <v>228</v>
      </c>
      <c r="E137" s="0" t="s">
        <v>228</v>
      </c>
      <c r="F137" s="0" t="s">
        <v>228</v>
      </c>
      <c r="G137" s="0" t="s">
        <v>228</v>
      </c>
      <c r="H137" s="0" t="s">
        <v>228</v>
      </c>
      <c r="I137" s="0" t="s">
        <v>3555</v>
      </c>
      <c r="J137" s="0" t="s">
        <v>228</v>
      </c>
      <c r="K137" s="0" t="s">
        <v>228</v>
      </c>
      <c r="L137" s="0" t="s">
        <v>228</v>
      </c>
      <c r="M137" s="0" t="s">
        <v>228</v>
      </c>
      <c r="N137" s="0" t="s">
        <v>228</v>
      </c>
      <c r="O137" s="0" t="s">
        <v>228</v>
      </c>
      <c r="P137" s="0" t="s">
        <v>228</v>
      </c>
      <c r="Q137" s="0" t="s">
        <v>228</v>
      </c>
      <c r="R137" s="0" t="s">
        <v>4275</v>
      </c>
      <c r="S137" s="0" t="s">
        <v>228</v>
      </c>
      <c r="T137" s="0" t="s">
        <v>228</v>
      </c>
      <c r="U137" s="0" t="s">
        <v>101</v>
      </c>
      <c r="V137" s="0" t="s">
        <v>228</v>
      </c>
      <c r="W137" s="0" t="s">
        <v>228</v>
      </c>
      <c r="X137" s="0" t="s">
        <v>3557</v>
      </c>
      <c r="Y137" s="0" t="s">
        <v>228</v>
      </c>
      <c r="Z137" s="0" t="s">
        <v>160</v>
      </c>
      <c r="AA137" s="0" t="s">
        <v>151</v>
      </c>
      <c r="AB137" s="0" t="s">
        <v>151</v>
      </c>
      <c r="AC137" s="0" t="s">
        <v>2317</v>
      </c>
      <c r="AD137" s="0" t="s">
        <v>2317</v>
      </c>
      <c r="AE137" s="0" t="s">
        <v>2318</v>
      </c>
      <c r="AF137" s="0" t="s">
        <v>4271</v>
      </c>
      <c r="AG137" s="0" t="s">
        <v>4272</v>
      </c>
      <c r="AH137" s="0" t="s">
        <v>4055</v>
      </c>
      <c r="AI137" s="0" t="s">
        <v>4276</v>
      </c>
      <c r="AJ137" s="0" t="s">
        <v>3579</v>
      </c>
      <c r="AK137" s="0" t="s">
        <v>3619</v>
      </c>
      <c r="AL137" s="0" t="s">
        <v>3581</v>
      </c>
      <c r="AM137" s="0" t="s">
        <v>3565</v>
      </c>
      <c r="AN137" s="0" t="s">
        <v>3620</v>
      </c>
      <c r="AO137" s="0" t="s">
        <v>4277</v>
      </c>
      <c r="AP137" s="0" t="s">
        <v>228</v>
      </c>
      <c r="AQ137" s="0" t="s">
        <v>228</v>
      </c>
      <c r="AR137" s="0" t="s">
        <v>228</v>
      </c>
      <c r="AS137" s="0" t="s">
        <v>228</v>
      </c>
      <c r="AT137" s="0" t="s">
        <v>228</v>
      </c>
      <c r="AU137" s="0" t="s">
        <v>228</v>
      </c>
      <c r="AV137" s="0" t="s">
        <v>228</v>
      </c>
      <c r="AW137" s="0" t="s">
        <v>228</v>
      </c>
      <c r="AX137" s="0" t="s">
        <v>228</v>
      </c>
      <c r="AY137" s="0" t="s">
        <v>228</v>
      </c>
      <c r="AZ137" s="0" t="s">
        <v>228</v>
      </c>
      <c r="BA137" s="0" t="s">
        <v>228</v>
      </c>
      <c r="BB137" s="0" t="s">
        <v>228</v>
      </c>
      <c r="BC137" s="0" t="s">
        <v>228</v>
      </c>
      <c r="BD137" s="0" t="s">
        <v>228</v>
      </c>
      <c r="BE137" s="0" t="s">
        <v>228</v>
      </c>
      <c r="BF137" s="0" t="s">
        <v>228</v>
      </c>
      <c r="BG137" s="0" t="s">
        <v>228</v>
      </c>
      <c r="BH137" s="0" t="s">
        <v>228</v>
      </c>
      <c r="BI137" s="0" t="s">
        <v>228</v>
      </c>
      <c r="BJ137" s="0" t="s">
        <v>228</v>
      </c>
      <c r="BK137" s="0" t="s">
        <v>228</v>
      </c>
      <c r="BL137" s="0" t="s">
        <v>228</v>
      </c>
      <c r="BM137" s="0" t="s">
        <v>228</v>
      </c>
      <c r="BN137" s="0" t="s">
        <v>228</v>
      </c>
      <c r="BO137" s="0" t="s">
        <v>228</v>
      </c>
      <c r="BP137" s="0" t="s">
        <v>228</v>
      </c>
      <c r="BQ137" s="0" t="s">
        <v>228</v>
      </c>
      <c r="BR137" s="0" t="s">
        <v>228</v>
      </c>
      <c r="BS137" s="0" t="s">
        <v>228</v>
      </c>
      <c r="BT137" s="0" t="s">
        <v>228</v>
      </c>
      <c r="BU137" s="0" t="s">
        <v>228</v>
      </c>
      <c r="BV137" s="0" t="s">
        <v>228</v>
      </c>
      <c r="BW137" s="0" t="s">
        <v>228</v>
      </c>
      <c r="BX137" s="0" t="s">
        <v>228</v>
      </c>
      <c r="BY137" s="0" t="s">
        <v>228</v>
      </c>
      <c r="BZ137" s="0" t="s">
        <v>228</v>
      </c>
      <c r="CA137" s="0" t="s">
        <v>228</v>
      </c>
      <c r="CB137" s="0" t="s">
        <v>228</v>
      </c>
      <c r="CC137" s="0" t="s">
        <v>228</v>
      </c>
      <c r="CD137" s="0" t="s">
        <v>228</v>
      </c>
      <c r="CE137" s="0" t="s">
        <v>228</v>
      </c>
      <c r="CF137" s="0" t="s">
        <v>228</v>
      </c>
      <c r="CG137" s="0" t="s">
        <v>228</v>
      </c>
      <c r="CH137" s="0" t="s">
        <v>228</v>
      </c>
      <c r="CI137" s="0" t="s">
        <v>228</v>
      </c>
      <c r="CJ137" s="0" t="s">
        <v>228</v>
      </c>
      <c r="CK137" s="0" t="s">
        <v>228</v>
      </c>
      <c r="CL137" s="0" t="s">
        <v>228</v>
      </c>
      <c r="CM137" s="0" t="s">
        <v>228</v>
      </c>
      <c r="CN137" s="0" t="s">
        <v>228</v>
      </c>
      <c r="CO137" s="0" t="s">
        <v>228</v>
      </c>
      <c r="CP137" s="0" t="s">
        <v>228</v>
      </c>
      <c r="CQ137" s="0" t="s">
        <v>228</v>
      </c>
      <c r="CR137" s="0" t="s">
        <v>228</v>
      </c>
      <c r="CS137" s="0" t="s">
        <v>228</v>
      </c>
      <c r="CT137" s="0" t="s">
        <v>3568</v>
      </c>
      <c r="CU137" s="0" t="s">
        <v>3569</v>
      </c>
      <c r="CV137" s="0" t="s">
        <v>418</v>
      </c>
      <c r="CW137" s="0" t="s">
        <v>3622</v>
      </c>
      <c r="CX137" s="0" t="s">
        <v>419</v>
      </c>
      <c r="CY137" s="0" t="s">
        <v>418</v>
      </c>
      <c r="CZ137" s="0" t="s">
        <v>3623</v>
      </c>
      <c r="DA137" s="0" t="s">
        <v>3624</v>
      </c>
      <c r="DB137" s="0" t="s">
        <v>3622</v>
      </c>
      <c r="DC137" s="0" t="s">
        <v>362</v>
      </c>
      <c r="DD137" s="0" t="s">
        <v>3572</v>
      </c>
      <c r="DE137" s="0" t="s">
        <v>4278</v>
      </c>
    </row>
    <row customHeight="1" ht="11.25">
      <c r="A138" s="1353" t="s">
        <v>228</v>
      </c>
      <c r="B138" s="0" t="s">
        <v>228</v>
      </c>
      <c r="C138" s="0" t="s">
        <v>228</v>
      </c>
      <c r="D138" s="0" t="s">
        <v>228</v>
      </c>
      <c r="E138" s="0" t="s">
        <v>228</v>
      </c>
      <c r="F138" s="0" t="s">
        <v>228</v>
      </c>
      <c r="G138" s="0" t="s">
        <v>228</v>
      </c>
      <c r="H138" s="0" t="s">
        <v>228</v>
      </c>
      <c r="I138" s="0" t="s">
        <v>3555</v>
      </c>
      <c r="J138" s="0" t="s">
        <v>228</v>
      </c>
      <c r="K138" s="0" t="s">
        <v>228</v>
      </c>
      <c r="L138" s="0" t="s">
        <v>228</v>
      </c>
      <c r="M138" s="0" t="s">
        <v>228</v>
      </c>
      <c r="N138" s="0" t="s">
        <v>228</v>
      </c>
      <c r="O138" s="0" t="s">
        <v>228</v>
      </c>
      <c r="P138" s="0" t="s">
        <v>228</v>
      </c>
      <c r="Q138" s="0" t="s">
        <v>228</v>
      </c>
      <c r="R138" s="0" t="s">
        <v>4279</v>
      </c>
      <c r="S138" s="0" t="s">
        <v>228</v>
      </c>
      <c r="T138" s="0" t="s">
        <v>228</v>
      </c>
      <c r="U138" s="0" t="s">
        <v>101</v>
      </c>
      <c r="V138" s="0" t="s">
        <v>228</v>
      </c>
      <c r="W138" s="0" t="s">
        <v>228</v>
      </c>
      <c r="X138" s="0" t="s">
        <v>3661</v>
      </c>
      <c r="Y138" s="0" t="s">
        <v>228</v>
      </c>
      <c r="Z138" s="0" t="s">
        <v>151</v>
      </c>
      <c r="AA138" s="0" t="s">
        <v>151</v>
      </c>
      <c r="AB138" s="0" t="s">
        <v>160</v>
      </c>
      <c r="AC138" s="0" t="s">
        <v>2317</v>
      </c>
      <c r="AD138" s="0" t="s">
        <v>2317</v>
      </c>
      <c r="AE138" s="0" t="s">
        <v>2318</v>
      </c>
      <c r="AF138" s="0" t="s">
        <v>4088</v>
      </c>
      <c r="AG138" s="0" t="s">
        <v>4089</v>
      </c>
      <c r="AH138" s="0" t="s">
        <v>3651</v>
      </c>
      <c r="AI138" s="0" t="s">
        <v>3651</v>
      </c>
      <c r="AJ138" s="0" t="s">
        <v>228</v>
      </c>
      <c r="AK138" s="0" t="s">
        <v>228</v>
      </c>
      <c r="AL138" s="0" t="s">
        <v>228</v>
      </c>
      <c r="AM138" s="0" t="s">
        <v>228</v>
      </c>
      <c r="AN138" s="0" t="s">
        <v>228</v>
      </c>
      <c r="AO138" s="0" t="s">
        <v>228</v>
      </c>
      <c r="AP138" s="0" t="s">
        <v>228</v>
      </c>
      <c r="AQ138" s="0" t="s">
        <v>228</v>
      </c>
      <c r="AR138" s="0" t="s">
        <v>228</v>
      </c>
      <c r="AS138" s="0" t="s">
        <v>228</v>
      </c>
      <c r="AT138" s="0" t="s">
        <v>228</v>
      </c>
      <c r="AU138" s="0" t="s">
        <v>228</v>
      </c>
      <c r="AV138" s="0" t="s">
        <v>228</v>
      </c>
      <c r="AW138" s="0" t="s">
        <v>228</v>
      </c>
      <c r="AX138" s="0" t="s">
        <v>228</v>
      </c>
      <c r="AY138" s="0" t="s">
        <v>228</v>
      </c>
      <c r="AZ138" s="0" t="s">
        <v>228</v>
      </c>
      <c r="BA138" s="0" t="s">
        <v>228</v>
      </c>
      <c r="BB138" s="0" t="s">
        <v>228</v>
      </c>
      <c r="BC138" s="0" t="s">
        <v>228</v>
      </c>
      <c r="BD138" s="0" t="s">
        <v>228</v>
      </c>
      <c r="BE138" s="0" t="s">
        <v>3627</v>
      </c>
      <c r="BF138" s="0" t="s">
        <v>3619</v>
      </c>
      <c r="BG138" s="0" t="s">
        <v>111</v>
      </c>
      <c r="BH138" s="0" t="s">
        <v>3665</v>
      </c>
      <c r="BI138" s="0" t="s">
        <v>122</v>
      </c>
      <c r="BJ138" s="0" t="s">
        <v>228</v>
      </c>
      <c r="BK138" s="0" t="s">
        <v>3684</v>
      </c>
      <c r="BL138" s="0" t="s">
        <v>2317</v>
      </c>
      <c r="BM138" s="0" t="s">
        <v>2317</v>
      </c>
      <c r="BN138" s="0" t="s">
        <v>3740</v>
      </c>
      <c r="BO138" s="0" t="s">
        <v>4088</v>
      </c>
      <c r="BP138" s="0" t="s">
        <v>4280</v>
      </c>
      <c r="BQ138" s="0" t="s">
        <v>3651</v>
      </c>
      <c r="BR138" s="0" t="s">
        <v>3651</v>
      </c>
      <c r="BS138" s="0" t="s">
        <v>228</v>
      </c>
      <c r="BT138" s="0" t="s">
        <v>3727</v>
      </c>
      <c r="BU138" s="0" t="s">
        <v>4281</v>
      </c>
      <c r="BV138" s="0" t="s">
        <v>4281</v>
      </c>
      <c r="BW138" s="0" t="s">
        <v>3674</v>
      </c>
      <c r="BX138" s="0" t="s">
        <v>3674</v>
      </c>
      <c r="BY138" s="0" t="s">
        <v>3674</v>
      </c>
      <c r="BZ138" s="0" t="s">
        <v>3674</v>
      </c>
      <c r="CA138" s="0" t="s">
        <v>3674</v>
      </c>
      <c r="CB138" s="0" t="s">
        <v>228</v>
      </c>
      <c r="CC138" s="0" t="s">
        <v>228</v>
      </c>
      <c r="CD138" s="0" t="s">
        <v>228</v>
      </c>
      <c r="CE138" s="0" t="s">
        <v>228</v>
      </c>
      <c r="CF138" s="0" t="s">
        <v>228</v>
      </c>
      <c r="CG138" s="0" t="s">
        <v>3674</v>
      </c>
      <c r="CH138" s="0" t="s">
        <v>228</v>
      </c>
      <c r="CI138" s="0" t="s">
        <v>228</v>
      </c>
      <c r="CJ138" s="0" t="s">
        <v>228</v>
      </c>
      <c r="CK138" s="0" t="s">
        <v>228</v>
      </c>
      <c r="CL138" s="0" t="s">
        <v>228</v>
      </c>
      <c r="CM138" s="0" t="s">
        <v>4281</v>
      </c>
      <c r="CN138" s="0" t="s">
        <v>4281</v>
      </c>
      <c r="CO138" s="0" t="s">
        <v>228</v>
      </c>
      <c r="CP138" s="0" t="s">
        <v>228</v>
      </c>
      <c r="CQ138" s="0" t="s">
        <v>228</v>
      </c>
      <c r="CR138" s="0" t="s">
        <v>228</v>
      </c>
      <c r="CS138" s="0" t="s">
        <v>3743</v>
      </c>
      <c r="CT138" s="0" t="s">
        <v>3568</v>
      </c>
      <c r="CU138" s="0" t="s">
        <v>3569</v>
      </c>
      <c r="CV138" s="0" t="s">
        <v>418</v>
      </c>
      <c r="CW138" s="0" t="s">
        <v>3622</v>
      </c>
      <c r="CX138" s="0" t="s">
        <v>419</v>
      </c>
      <c r="CY138" s="0" t="s">
        <v>418</v>
      </c>
      <c r="CZ138" s="0" t="s">
        <v>3623</v>
      </c>
      <c r="DA138" s="0" t="s">
        <v>3624</v>
      </c>
      <c r="DB138" s="0" t="s">
        <v>3622</v>
      </c>
      <c r="DC138" s="0" t="s">
        <v>362</v>
      </c>
      <c r="DD138" s="0" t="s">
        <v>3572</v>
      </c>
      <c r="DE138" s="0" t="s">
        <v>4282</v>
      </c>
    </row>
    <row customHeight="1" ht="11.25">
      <c r="A139" s="1353" t="s">
        <v>228</v>
      </c>
      <c r="B139" s="0" t="s">
        <v>228</v>
      </c>
      <c r="C139" s="0" t="s">
        <v>228</v>
      </c>
      <c r="D139" s="0" t="s">
        <v>228</v>
      </c>
      <c r="E139" s="0" t="s">
        <v>228</v>
      </c>
      <c r="F139" s="0" t="s">
        <v>228</v>
      </c>
      <c r="G139" s="0" t="s">
        <v>228</v>
      </c>
      <c r="H139" s="0" t="s">
        <v>228</v>
      </c>
      <c r="I139" s="0" t="s">
        <v>3555</v>
      </c>
      <c r="J139" s="0" t="s">
        <v>228</v>
      </c>
      <c r="K139" s="0" t="s">
        <v>228</v>
      </c>
      <c r="L139" s="0" t="s">
        <v>228</v>
      </c>
      <c r="M139" s="0" t="s">
        <v>228</v>
      </c>
      <c r="N139" s="0" t="s">
        <v>228</v>
      </c>
      <c r="O139" s="0" t="s">
        <v>228</v>
      </c>
      <c r="P139" s="0" t="s">
        <v>228</v>
      </c>
      <c r="Q139" s="0" t="s">
        <v>228</v>
      </c>
      <c r="R139" s="0" t="s">
        <v>3648</v>
      </c>
      <c r="S139" s="0" t="s">
        <v>228</v>
      </c>
      <c r="T139" s="0" t="s">
        <v>228</v>
      </c>
      <c r="U139" s="0" t="s">
        <v>101</v>
      </c>
      <c r="V139" s="0" t="s">
        <v>228</v>
      </c>
      <c r="W139" s="0" t="s">
        <v>228</v>
      </c>
      <c r="X139" s="0" t="s">
        <v>3557</v>
      </c>
      <c r="Y139" s="0" t="s">
        <v>228</v>
      </c>
      <c r="Z139" s="0" t="s">
        <v>160</v>
      </c>
      <c r="AA139" s="0" t="s">
        <v>151</v>
      </c>
      <c r="AB139" s="0" t="s">
        <v>151</v>
      </c>
      <c r="AC139" s="0" t="s">
        <v>2317</v>
      </c>
      <c r="AD139" s="0" t="s">
        <v>2317</v>
      </c>
      <c r="AE139" s="0" t="s">
        <v>2318</v>
      </c>
      <c r="AF139" s="0" t="s">
        <v>4283</v>
      </c>
      <c r="AG139" s="0" t="s">
        <v>4284</v>
      </c>
      <c r="AH139" s="0" t="s">
        <v>4285</v>
      </c>
      <c r="AI139" s="0" t="s">
        <v>4286</v>
      </c>
      <c r="AJ139" s="0" t="s">
        <v>4287</v>
      </c>
      <c r="AK139" s="0" t="s">
        <v>3853</v>
      </c>
      <c r="AL139" s="0" t="s">
        <v>3581</v>
      </c>
      <c r="AM139" s="0" t="s">
        <v>3565</v>
      </c>
      <c r="AN139" s="0" t="s">
        <v>3628</v>
      </c>
      <c r="AO139" s="0" t="s">
        <v>3946</v>
      </c>
      <c r="AP139" s="0" t="s">
        <v>228</v>
      </c>
      <c r="AQ139" s="0" t="s">
        <v>228</v>
      </c>
      <c r="AR139" s="0" t="s">
        <v>228</v>
      </c>
      <c r="AS139" s="0" t="s">
        <v>228</v>
      </c>
      <c r="AT139" s="0" t="s">
        <v>228</v>
      </c>
      <c r="AU139" s="0" t="s">
        <v>228</v>
      </c>
      <c r="AV139" s="0" t="s">
        <v>228</v>
      </c>
      <c r="AW139" s="0" t="s">
        <v>228</v>
      </c>
      <c r="AX139" s="0" t="s">
        <v>228</v>
      </c>
      <c r="AY139" s="0" t="s">
        <v>228</v>
      </c>
      <c r="AZ139" s="0" t="s">
        <v>228</v>
      </c>
      <c r="BA139" s="0" t="s">
        <v>228</v>
      </c>
      <c r="BB139" s="0" t="s">
        <v>228</v>
      </c>
      <c r="BC139" s="0" t="s">
        <v>228</v>
      </c>
      <c r="BD139" s="0" t="s">
        <v>228</v>
      </c>
      <c r="BE139" s="0" t="s">
        <v>228</v>
      </c>
      <c r="BF139" s="0" t="s">
        <v>228</v>
      </c>
      <c r="BG139" s="0" t="s">
        <v>228</v>
      </c>
      <c r="BH139" s="0" t="s">
        <v>228</v>
      </c>
      <c r="BI139" s="0" t="s">
        <v>228</v>
      </c>
      <c r="BJ139" s="0" t="s">
        <v>228</v>
      </c>
      <c r="BK139" s="0" t="s">
        <v>228</v>
      </c>
      <c r="BL139" s="0" t="s">
        <v>228</v>
      </c>
      <c r="BM139" s="0" t="s">
        <v>228</v>
      </c>
      <c r="BN139" s="0" t="s">
        <v>228</v>
      </c>
      <c r="BO139" s="0" t="s">
        <v>228</v>
      </c>
      <c r="BP139" s="0" t="s">
        <v>228</v>
      </c>
      <c r="BQ139" s="0" t="s">
        <v>228</v>
      </c>
      <c r="BR139" s="0" t="s">
        <v>228</v>
      </c>
      <c r="BS139" s="0" t="s">
        <v>228</v>
      </c>
      <c r="BT139" s="0" t="s">
        <v>228</v>
      </c>
      <c r="BU139" s="0" t="s">
        <v>228</v>
      </c>
      <c r="BV139" s="0" t="s">
        <v>228</v>
      </c>
      <c r="BW139" s="0" t="s">
        <v>228</v>
      </c>
      <c r="BX139" s="0" t="s">
        <v>228</v>
      </c>
      <c r="BY139" s="0" t="s">
        <v>228</v>
      </c>
      <c r="BZ139" s="0" t="s">
        <v>228</v>
      </c>
      <c r="CA139" s="0" t="s">
        <v>228</v>
      </c>
      <c r="CB139" s="0" t="s">
        <v>228</v>
      </c>
      <c r="CC139" s="0" t="s">
        <v>228</v>
      </c>
      <c r="CD139" s="0" t="s">
        <v>228</v>
      </c>
      <c r="CE139" s="0" t="s">
        <v>228</v>
      </c>
      <c r="CF139" s="0" t="s">
        <v>228</v>
      </c>
      <c r="CG139" s="0" t="s">
        <v>228</v>
      </c>
      <c r="CH139" s="0" t="s">
        <v>228</v>
      </c>
      <c r="CI139" s="0" t="s">
        <v>228</v>
      </c>
      <c r="CJ139" s="0" t="s">
        <v>228</v>
      </c>
      <c r="CK139" s="0" t="s">
        <v>228</v>
      </c>
      <c r="CL139" s="0" t="s">
        <v>228</v>
      </c>
      <c r="CM139" s="0" t="s">
        <v>228</v>
      </c>
      <c r="CN139" s="0" t="s">
        <v>228</v>
      </c>
      <c r="CO139" s="0" t="s">
        <v>228</v>
      </c>
      <c r="CP139" s="0" t="s">
        <v>228</v>
      </c>
      <c r="CQ139" s="0" t="s">
        <v>228</v>
      </c>
      <c r="CR139" s="0" t="s">
        <v>228</v>
      </c>
      <c r="CS139" s="0" t="s">
        <v>228</v>
      </c>
      <c r="CT139" s="0" t="s">
        <v>3568</v>
      </c>
      <c r="CU139" s="0" t="s">
        <v>3569</v>
      </c>
      <c r="CV139" s="0" t="s">
        <v>418</v>
      </c>
      <c r="CW139" s="0" t="s">
        <v>3622</v>
      </c>
      <c r="CX139" s="0" t="s">
        <v>419</v>
      </c>
      <c r="CY139" s="0" t="s">
        <v>418</v>
      </c>
      <c r="CZ139" s="0" t="s">
        <v>3623</v>
      </c>
      <c r="DA139" s="0" t="s">
        <v>3624</v>
      </c>
      <c r="DB139" s="0" t="s">
        <v>3622</v>
      </c>
      <c r="DC139" s="0" t="s">
        <v>362</v>
      </c>
      <c r="DD139" s="0" t="s">
        <v>3572</v>
      </c>
      <c r="DE139" s="0" t="s">
        <v>4288</v>
      </c>
    </row>
    <row customHeight="1" ht="11.25">
      <c r="A140" s="1353" t="s">
        <v>228</v>
      </c>
      <c r="B140" s="0" t="s">
        <v>228</v>
      </c>
      <c r="C140" s="0" t="s">
        <v>228</v>
      </c>
      <c r="D140" s="0" t="s">
        <v>228</v>
      </c>
      <c r="E140" s="0" t="s">
        <v>228</v>
      </c>
      <c r="F140" s="0" t="s">
        <v>228</v>
      </c>
      <c r="G140" s="0" t="s">
        <v>228</v>
      </c>
      <c r="H140" s="0" t="s">
        <v>228</v>
      </c>
      <c r="I140" s="0" t="s">
        <v>3555</v>
      </c>
      <c r="J140" s="0" t="s">
        <v>228</v>
      </c>
      <c r="K140" s="0" t="s">
        <v>228</v>
      </c>
      <c r="L140" s="0" t="s">
        <v>228</v>
      </c>
      <c r="M140" s="0" t="s">
        <v>228</v>
      </c>
      <c r="N140" s="0" t="s">
        <v>228</v>
      </c>
      <c r="O140" s="0" t="s">
        <v>228</v>
      </c>
      <c r="P140" s="0" t="s">
        <v>228</v>
      </c>
      <c r="Q140" s="0" t="s">
        <v>228</v>
      </c>
      <c r="R140" s="0" t="s">
        <v>4289</v>
      </c>
      <c r="S140" s="0" t="s">
        <v>228</v>
      </c>
      <c r="T140" s="0" t="s">
        <v>228</v>
      </c>
      <c r="U140" s="0" t="s">
        <v>101</v>
      </c>
      <c r="V140" s="0" t="s">
        <v>228</v>
      </c>
      <c r="W140" s="0" t="s">
        <v>228</v>
      </c>
      <c r="X140" s="0" t="s">
        <v>3557</v>
      </c>
      <c r="Y140" s="0" t="s">
        <v>228</v>
      </c>
      <c r="Z140" s="0" t="s">
        <v>160</v>
      </c>
      <c r="AA140" s="0" t="s">
        <v>151</v>
      </c>
      <c r="AB140" s="0" t="s">
        <v>151</v>
      </c>
      <c r="AC140" s="0" t="s">
        <v>2721</v>
      </c>
      <c r="AD140" s="0" t="s">
        <v>2721</v>
      </c>
      <c r="AE140" s="0" t="s">
        <v>2722</v>
      </c>
      <c r="AF140" s="0" t="s">
        <v>4024</v>
      </c>
      <c r="AG140" s="0" t="s">
        <v>4025</v>
      </c>
      <c r="AH140" s="0" t="s">
        <v>4146</v>
      </c>
      <c r="AI140" s="0" t="s">
        <v>151</v>
      </c>
      <c r="AJ140" s="0" t="s">
        <v>4290</v>
      </c>
      <c r="AK140" s="0" t="s">
        <v>4291</v>
      </c>
      <c r="AL140" s="0" t="s">
        <v>4292</v>
      </c>
      <c r="AM140" s="0" t="s">
        <v>3565</v>
      </c>
      <c r="AN140" s="0" t="s">
        <v>4293</v>
      </c>
      <c r="AO140" s="0" t="s">
        <v>4294</v>
      </c>
      <c r="AP140" s="0" t="s">
        <v>228</v>
      </c>
      <c r="AQ140" s="0" t="s">
        <v>228</v>
      </c>
      <c r="AR140" s="0" t="s">
        <v>228</v>
      </c>
      <c r="AS140" s="0" t="s">
        <v>228</v>
      </c>
      <c r="AT140" s="0" t="s">
        <v>228</v>
      </c>
      <c r="AU140" s="0" t="s">
        <v>228</v>
      </c>
      <c r="AV140" s="0" t="s">
        <v>228</v>
      </c>
      <c r="AW140" s="0" t="s">
        <v>228</v>
      </c>
      <c r="AX140" s="0" t="s">
        <v>228</v>
      </c>
      <c r="AY140" s="0" t="s">
        <v>228</v>
      </c>
      <c r="AZ140" s="0" t="s">
        <v>228</v>
      </c>
      <c r="BA140" s="0" t="s">
        <v>228</v>
      </c>
      <c r="BB140" s="0" t="s">
        <v>228</v>
      </c>
      <c r="BC140" s="0" t="s">
        <v>228</v>
      </c>
      <c r="BD140" s="0" t="s">
        <v>228</v>
      </c>
      <c r="BE140" s="0" t="s">
        <v>228</v>
      </c>
      <c r="BF140" s="0" t="s">
        <v>228</v>
      </c>
      <c r="BG140" s="0" t="s">
        <v>228</v>
      </c>
      <c r="BH140" s="0" t="s">
        <v>228</v>
      </c>
      <c r="BI140" s="0" t="s">
        <v>228</v>
      </c>
      <c r="BJ140" s="0" t="s">
        <v>228</v>
      </c>
      <c r="BK140" s="0" t="s">
        <v>228</v>
      </c>
      <c r="BL140" s="0" t="s">
        <v>228</v>
      </c>
      <c r="BM140" s="0" t="s">
        <v>228</v>
      </c>
      <c r="BN140" s="0" t="s">
        <v>228</v>
      </c>
      <c r="BO140" s="0" t="s">
        <v>228</v>
      </c>
      <c r="BP140" s="0" t="s">
        <v>228</v>
      </c>
      <c r="BQ140" s="0" t="s">
        <v>228</v>
      </c>
      <c r="BR140" s="0" t="s">
        <v>228</v>
      </c>
      <c r="BS140" s="0" t="s">
        <v>228</v>
      </c>
      <c r="BT140" s="0" t="s">
        <v>228</v>
      </c>
      <c r="BU140" s="0" t="s">
        <v>228</v>
      </c>
      <c r="BV140" s="0" t="s">
        <v>228</v>
      </c>
      <c r="BW140" s="0" t="s">
        <v>228</v>
      </c>
      <c r="BX140" s="0" t="s">
        <v>228</v>
      </c>
      <c r="BY140" s="0" t="s">
        <v>228</v>
      </c>
      <c r="BZ140" s="0" t="s">
        <v>228</v>
      </c>
      <c r="CA140" s="0" t="s">
        <v>228</v>
      </c>
      <c r="CB140" s="0" t="s">
        <v>228</v>
      </c>
      <c r="CC140" s="0" t="s">
        <v>228</v>
      </c>
      <c r="CD140" s="0" t="s">
        <v>228</v>
      </c>
      <c r="CE140" s="0" t="s">
        <v>228</v>
      </c>
      <c r="CF140" s="0" t="s">
        <v>228</v>
      </c>
      <c r="CG140" s="0" t="s">
        <v>228</v>
      </c>
      <c r="CH140" s="0" t="s">
        <v>228</v>
      </c>
      <c r="CI140" s="0" t="s">
        <v>228</v>
      </c>
      <c r="CJ140" s="0" t="s">
        <v>228</v>
      </c>
      <c r="CK140" s="0" t="s">
        <v>228</v>
      </c>
      <c r="CL140" s="0" t="s">
        <v>228</v>
      </c>
      <c r="CM140" s="0" t="s">
        <v>228</v>
      </c>
      <c r="CN140" s="0" t="s">
        <v>228</v>
      </c>
      <c r="CO140" s="0" t="s">
        <v>228</v>
      </c>
      <c r="CP140" s="0" t="s">
        <v>228</v>
      </c>
      <c r="CQ140" s="0" t="s">
        <v>228</v>
      </c>
      <c r="CR140" s="0" t="s">
        <v>228</v>
      </c>
      <c r="CS140" s="0" t="s">
        <v>228</v>
      </c>
      <c r="CT140" s="0" t="s">
        <v>3568</v>
      </c>
      <c r="CU140" s="0" t="s">
        <v>3569</v>
      </c>
      <c r="CV140" s="0" t="s">
        <v>4030</v>
      </c>
      <c r="CW140" s="0" t="s">
        <v>4031</v>
      </c>
      <c r="CX140" s="0" t="s">
        <v>3603</v>
      </c>
      <c r="CY140" s="0" t="s">
        <v>4030</v>
      </c>
      <c r="CZ140" s="0" t="s">
        <v>3608</v>
      </c>
      <c r="DA140" s="0" t="s">
        <v>4032</v>
      </c>
      <c r="DB140" s="0" t="s">
        <v>3676</v>
      </c>
      <c r="DC140" s="0" t="s">
        <v>362</v>
      </c>
      <c r="DD140" s="0" t="s">
        <v>3572</v>
      </c>
      <c r="DE140" s="0" t="s">
        <v>4156</v>
      </c>
    </row>
    <row customHeight="1" ht="11.25">
      <c r="A141" s="1353" t="s">
        <v>228</v>
      </c>
      <c r="B141" s="0" t="s">
        <v>228</v>
      </c>
      <c r="C141" s="0" t="s">
        <v>228</v>
      </c>
      <c r="D141" s="0" t="s">
        <v>228</v>
      </c>
      <c r="E141" s="0" t="s">
        <v>228</v>
      </c>
      <c r="F141" s="0" t="s">
        <v>228</v>
      </c>
      <c r="G141" s="0" t="s">
        <v>228</v>
      </c>
      <c r="H141" s="0" t="s">
        <v>228</v>
      </c>
      <c r="I141" s="0" t="s">
        <v>3555</v>
      </c>
      <c r="J141" s="0" t="s">
        <v>228</v>
      </c>
      <c r="K141" s="0" t="s">
        <v>228</v>
      </c>
      <c r="L141" s="0" t="s">
        <v>228</v>
      </c>
      <c r="M141" s="0" t="s">
        <v>228</v>
      </c>
      <c r="N141" s="0" t="s">
        <v>228</v>
      </c>
      <c r="O141" s="0" t="s">
        <v>228</v>
      </c>
      <c r="P141" s="0" t="s">
        <v>228</v>
      </c>
      <c r="Q141" s="0" t="s">
        <v>228</v>
      </c>
      <c r="R141" s="0" t="s">
        <v>4295</v>
      </c>
      <c r="S141" s="0" t="s">
        <v>228</v>
      </c>
      <c r="T141" s="0" t="s">
        <v>228</v>
      </c>
      <c r="U141" s="0" t="s">
        <v>101</v>
      </c>
      <c r="V141" s="0" t="s">
        <v>228</v>
      </c>
      <c r="W141" s="0" t="s">
        <v>228</v>
      </c>
      <c r="X141" s="0" t="s">
        <v>3557</v>
      </c>
      <c r="Y141" s="0" t="s">
        <v>228</v>
      </c>
      <c r="Z141" s="0" t="s">
        <v>160</v>
      </c>
      <c r="AA141" s="0" t="s">
        <v>151</v>
      </c>
      <c r="AB141" s="0" t="s">
        <v>151</v>
      </c>
      <c r="AC141" s="0" t="s">
        <v>2721</v>
      </c>
      <c r="AD141" s="0" t="s">
        <v>2721</v>
      </c>
      <c r="AE141" s="0" t="s">
        <v>2722</v>
      </c>
      <c r="AF141" s="0" t="s">
        <v>4024</v>
      </c>
      <c r="AG141" s="0" t="s">
        <v>4025</v>
      </c>
      <c r="AH141" s="0" t="s">
        <v>4146</v>
      </c>
      <c r="AI141" s="0" t="s">
        <v>151</v>
      </c>
      <c r="AJ141" s="0" t="s">
        <v>4027</v>
      </c>
      <c r="AK141" s="0" t="s">
        <v>4296</v>
      </c>
      <c r="AL141" s="0" t="s">
        <v>3646</v>
      </c>
      <c r="AM141" s="0" t="s">
        <v>3565</v>
      </c>
      <c r="AN141" s="0" t="s">
        <v>4297</v>
      </c>
      <c r="AO141" s="0" t="s">
        <v>4298</v>
      </c>
      <c r="AP141" s="0" t="s">
        <v>228</v>
      </c>
      <c r="AQ141" s="0" t="s">
        <v>228</v>
      </c>
      <c r="AR141" s="0" t="s">
        <v>228</v>
      </c>
      <c r="AS141" s="0" t="s">
        <v>228</v>
      </c>
      <c r="AT141" s="0" t="s">
        <v>228</v>
      </c>
      <c r="AU141" s="0" t="s">
        <v>228</v>
      </c>
      <c r="AV141" s="0" t="s">
        <v>228</v>
      </c>
      <c r="AW141" s="0" t="s">
        <v>228</v>
      </c>
      <c r="AX141" s="0" t="s">
        <v>228</v>
      </c>
      <c r="AY141" s="0" t="s">
        <v>228</v>
      </c>
      <c r="AZ141" s="0" t="s">
        <v>228</v>
      </c>
      <c r="BA141" s="0" t="s">
        <v>228</v>
      </c>
      <c r="BB141" s="0" t="s">
        <v>228</v>
      </c>
      <c r="BC141" s="0" t="s">
        <v>228</v>
      </c>
      <c r="BD141" s="0" t="s">
        <v>228</v>
      </c>
      <c r="BE141" s="0" t="s">
        <v>228</v>
      </c>
      <c r="BF141" s="0" t="s">
        <v>228</v>
      </c>
      <c r="BG141" s="0" t="s">
        <v>228</v>
      </c>
      <c r="BH141" s="0" t="s">
        <v>228</v>
      </c>
      <c r="BI141" s="0" t="s">
        <v>228</v>
      </c>
      <c r="BJ141" s="0" t="s">
        <v>228</v>
      </c>
      <c r="BK141" s="0" t="s">
        <v>228</v>
      </c>
      <c r="BL141" s="0" t="s">
        <v>228</v>
      </c>
      <c r="BM141" s="0" t="s">
        <v>228</v>
      </c>
      <c r="BN141" s="0" t="s">
        <v>228</v>
      </c>
      <c r="BO141" s="0" t="s">
        <v>228</v>
      </c>
      <c r="BP141" s="0" t="s">
        <v>228</v>
      </c>
      <c r="BQ141" s="0" t="s">
        <v>228</v>
      </c>
      <c r="BR141" s="0" t="s">
        <v>228</v>
      </c>
      <c r="BS141" s="0" t="s">
        <v>228</v>
      </c>
      <c r="BT141" s="0" t="s">
        <v>228</v>
      </c>
      <c r="BU141" s="0" t="s">
        <v>228</v>
      </c>
      <c r="BV141" s="0" t="s">
        <v>228</v>
      </c>
      <c r="BW141" s="0" t="s">
        <v>228</v>
      </c>
      <c r="BX141" s="0" t="s">
        <v>228</v>
      </c>
      <c r="BY141" s="0" t="s">
        <v>228</v>
      </c>
      <c r="BZ141" s="0" t="s">
        <v>228</v>
      </c>
      <c r="CA141" s="0" t="s">
        <v>228</v>
      </c>
      <c r="CB141" s="0" t="s">
        <v>228</v>
      </c>
      <c r="CC141" s="0" t="s">
        <v>228</v>
      </c>
      <c r="CD141" s="0" t="s">
        <v>228</v>
      </c>
      <c r="CE141" s="0" t="s">
        <v>228</v>
      </c>
      <c r="CF141" s="0" t="s">
        <v>228</v>
      </c>
      <c r="CG141" s="0" t="s">
        <v>228</v>
      </c>
      <c r="CH141" s="0" t="s">
        <v>228</v>
      </c>
      <c r="CI141" s="0" t="s">
        <v>228</v>
      </c>
      <c r="CJ141" s="0" t="s">
        <v>228</v>
      </c>
      <c r="CK141" s="0" t="s">
        <v>228</v>
      </c>
      <c r="CL141" s="0" t="s">
        <v>228</v>
      </c>
      <c r="CM141" s="0" t="s">
        <v>228</v>
      </c>
      <c r="CN141" s="0" t="s">
        <v>228</v>
      </c>
      <c r="CO141" s="0" t="s">
        <v>228</v>
      </c>
      <c r="CP141" s="0" t="s">
        <v>228</v>
      </c>
      <c r="CQ141" s="0" t="s">
        <v>228</v>
      </c>
      <c r="CR141" s="0" t="s">
        <v>228</v>
      </c>
      <c r="CS141" s="0" t="s">
        <v>228</v>
      </c>
      <c r="CT141" s="0" t="s">
        <v>3568</v>
      </c>
      <c r="CU141" s="0" t="s">
        <v>3569</v>
      </c>
      <c r="CV141" s="0" t="s">
        <v>4030</v>
      </c>
      <c r="CW141" s="0" t="s">
        <v>4031</v>
      </c>
      <c r="CX141" s="0" t="s">
        <v>3603</v>
      </c>
      <c r="CY141" s="0" t="s">
        <v>4030</v>
      </c>
      <c r="CZ141" s="0" t="s">
        <v>3608</v>
      </c>
      <c r="DA141" s="0" t="s">
        <v>4032</v>
      </c>
      <c r="DB141" s="0" t="s">
        <v>3676</v>
      </c>
      <c r="DC141" s="0" t="s">
        <v>362</v>
      </c>
      <c r="DD141" s="0" t="s">
        <v>3572</v>
      </c>
      <c r="DE141" s="0" t="s">
        <v>4156</v>
      </c>
    </row>
    <row customHeight="1" ht="11.25">
      <c r="A142" s="1353" t="s">
        <v>228</v>
      </c>
      <c r="B142" s="0" t="s">
        <v>228</v>
      </c>
      <c r="C142" s="0" t="s">
        <v>228</v>
      </c>
      <c r="D142" s="0" t="s">
        <v>228</v>
      </c>
      <c r="E142" s="0" t="s">
        <v>228</v>
      </c>
      <c r="F142" s="0" t="s">
        <v>228</v>
      </c>
      <c r="G142" s="0" t="s">
        <v>228</v>
      </c>
      <c r="H142" s="0" t="s">
        <v>228</v>
      </c>
      <c r="I142" s="0" t="s">
        <v>3555</v>
      </c>
      <c r="J142" s="0" t="s">
        <v>228</v>
      </c>
      <c r="K142" s="0" t="s">
        <v>228</v>
      </c>
      <c r="L142" s="0" t="s">
        <v>228</v>
      </c>
      <c r="M142" s="0" t="s">
        <v>228</v>
      </c>
      <c r="N142" s="0" t="s">
        <v>228</v>
      </c>
      <c r="O142" s="0" t="s">
        <v>228</v>
      </c>
      <c r="P142" s="0" t="s">
        <v>228</v>
      </c>
      <c r="Q142" s="0" t="s">
        <v>228</v>
      </c>
      <c r="R142" s="0" t="s">
        <v>4299</v>
      </c>
      <c r="S142" s="0" t="s">
        <v>228</v>
      </c>
      <c r="T142" s="0" t="s">
        <v>228</v>
      </c>
      <c r="U142" s="0" t="s">
        <v>101</v>
      </c>
      <c r="V142" s="0" t="s">
        <v>228</v>
      </c>
      <c r="W142" s="0" t="s">
        <v>228</v>
      </c>
      <c r="X142" s="0" t="s">
        <v>3557</v>
      </c>
      <c r="Y142" s="0" t="s">
        <v>228</v>
      </c>
      <c r="Z142" s="0" t="s">
        <v>160</v>
      </c>
      <c r="AA142" s="0" t="s">
        <v>151</v>
      </c>
      <c r="AB142" s="0" t="s">
        <v>151</v>
      </c>
      <c r="AC142" s="0" t="s">
        <v>2721</v>
      </c>
      <c r="AD142" s="0" t="s">
        <v>2721</v>
      </c>
      <c r="AE142" s="0" t="s">
        <v>2722</v>
      </c>
      <c r="AF142" s="0" t="s">
        <v>4024</v>
      </c>
      <c r="AG142" s="0" t="s">
        <v>4025</v>
      </c>
      <c r="AH142" s="0" t="s">
        <v>4300</v>
      </c>
      <c r="AI142" s="0" t="s">
        <v>151</v>
      </c>
      <c r="AJ142" s="0" t="s">
        <v>3620</v>
      </c>
      <c r="AK142" s="0" t="s">
        <v>4301</v>
      </c>
      <c r="AL142" s="0" t="s">
        <v>3646</v>
      </c>
      <c r="AM142" s="0" t="s">
        <v>3565</v>
      </c>
      <c r="AN142" s="0" t="s">
        <v>3743</v>
      </c>
      <c r="AO142" s="0" t="s">
        <v>4302</v>
      </c>
      <c r="AP142" s="0" t="s">
        <v>228</v>
      </c>
      <c r="AQ142" s="0" t="s">
        <v>228</v>
      </c>
      <c r="AR142" s="0" t="s">
        <v>228</v>
      </c>
      <c r="AS142" s="0" t="s">
        <v>228</v>
      </c>
      <c r="AT142" s="0" t="s">
        <v>228</v>
      </c>
      <c r="AU142" s="0" t="s">
        <v>228</v>
      </c>
      <c r="AV142" s="0" t="s">
        <v>228</v>
      </c>
      <c r="AW142" s="0" t="s">
        <v>228</v>
      </c>
      <c r="AX142" s="0" t="s">
        <v>228</v>
      </c>
      <c r="AY142" s="0" t="s">
        <v>228</v>
      </c>
      <c r="AZ142" s="0" t="s">
        <v>228</v>
      </c>
      <c r="BA142" s="0" t="s">
        <v>228</v>
      </c>
      <c r="BB142" s="0" t="s">
        <v>228</v>
      </c>
      <c r="BC142" s="0" t="s">
        <v>228</v>
      </c>
      <c r="BD142" s="0" t="s">
        <v>228</v>
      </c>
      <c r="BE142" s="0" t="s">
        <v>228</v>
      </c>
      <c r="BF142" s="0" t="s">
        <v>228</v>
      </c>
      <c r="BG142" s="0" t="s">
        <v>228</v>
      </c>
      <c r="BH142" s="0" t="s">
        <v>228</v>
      </c>
      <c r="BI142" s="0" t="s">
        <v>228</v>
      </c>
      <c r="BJ142" s="0" t="s">
        <v>228</v>
      </c>
      <c r="BK142" s="0" t="s">
        <v>228</v>
      </c>
      <c r="BL142" s="0" t="s">
        <v>228</v>
      </c>
      <c r="BM142" s="0" t="s">
        <v>228</v>
      </c>
      <c r="BN142" s="0" t="s">
        <v>228</v>
      </c>
      <c r="BO142" s="0" t="s">
        <v>228</v>
      </c>
      <c r="BP142" s="0" t="s">
        <v>228</v>
      </c>
      <c r="BQ142" s="0" t="s">
        <v>228</v>
      </c>
      <c r="BR142" s="0" t="s">
        <v>228</v>
      </c>
      <c r="BS142" s="0" t="s">
        <v>228</v>
      </c>
      <c r="BT142" s="0" t="s">
        <v>228</v>
      </c>
      <c r="BU142" s="0" t="s">
        <v>228</v>
      </c>
      <c r="BV142" s="0" t="s">
        <v>228</v>
      </c>
      <c r="BW142" s="0" t="s">
        <v>228</v>
      </c>
      <c r="BX142" s="0" t="s">
        <v>228</v>
      </c>
      <c r="BY142" s="0" t="s">
        <v>228</v>
      </c>
      <c r="BZ142" s="0" t="s">
        <v>228</v>
      </c>
      <c r="CA142" s="0" t="s">
        <v>228</v>
      </c>
      <c r="CB142" s="0" t="s">
        <v>228</v>
      </c>
      <c r="CC142" s="0" t="s">
        <v>228</v>
      </c>
      <c r="CD142" s="0" t="s">
        <v>228</v>
      </c>
      <c r="CE142" s="0" t="s">
        <v>228</v>
      </c>
      <c r="CF142" s="0" t="s">
        <v>228</v>
      </c>
      <c r="CG142" s="0" t="s">
        <v>228</v>
      </c>
      <c r="CH142" s="0" t="s">
        <v>228</v>
      </c>
      <c r="CI142" s="0" t="s">
        <v>228</v>
      </c>
      <c r="CJ142" s="0" t="s">
        <v>228</v>
      </c>
      <c r="CK142" s="0" t="s">
        <v>228</v>
      </c>
      <c r="CL142" s="0" t="s">
        <v>228</v>
      </c>
      <c r="CM142" s="0" t="s">
        <v>228</v>
      </c>
      <c r="CN142" s="0" t="s">
        <v>228</v>
      </c>
      <c r="CO142" s="0" t="s">
        <v>228</v>
      </c>
      <c r="CP142" s="0" t="s">
        <v>228</v>
      </c>
      <c r="CQ142" s="0" t="s">
        <v>228</v>
      </c>
      <c r="CR142" s="0" t="s">
        <v>228</v>
      </c>
      <c r="CS142" s="0" t="s">
        <v>228</v>
      </c>
      <c r="CT142" s="0" t="s">
        <v>3568</v>
      </c>
      <c r="CU142" s="0" t="s">
        <v>3569</v>
      </c>
      <c r="CV142" s="0" t="s">
        <v>4030</v>
      </c>
      <c r="CW142" s="0" t="s">
        <v>4031</v>
      </c>
      <c r="CX142" s="0" t="s">
        <v>3603</v>
      </c>
      <c r="CY142" s="0" t="s">
        <v>4030</v>
      </c>
      <c r="CZ142" s="0" t="s">
        <v>3608</v>
      </c>
      <c r="DA142" s="0" t="s">
        <v>4032</v>
      </c>
      <c r="DB142" s="0" t="s">
        <v>3676</v>
      </c>
      <c r="DC142" s="0" t="s">
        <v>362</v>
      </c>
      <c r="DD142" s="0" t="s">
        <v>3572</v>
      </c>
      <c r="DE142" s="0" t="s">
        <v>4303</v>
      </c>
    </row>
    <row customHeight="1" ht="11.25">
      <c r="A143" s="1353" t="s">
        <v>228</v>
      </c>
      <c r="B143" s="0" t="s">
        <v>228</v>
      </c>
      <c r="C143" s="0" t="s">
        <v>228</v>
      </c>
      <c r="D143" s="0" t="s">
        <v>228</v>
      </c>
      <c r="E143" s="0" t="s">
        <v>228</v>
      </c>
      <c r="F143" s="0" t="s">
        <v>228</v>
      </c>
      <c r="G143" s="0" t="s">
        <v>228</v>
      </c>
      <c r="H143" s="0" t="s">
        <v>228</v>
      </c>
      <c r="I143" s="0" t="s">
        <v>3555</v>
      </c>
      <c r="J143" s="0" t="s">
        <v>228</v>
      </c>
      <c r="K143" s="0" t="s">
        <v>228</v>
      </c>
      <c r="L143" s="0" t="s">
        <v>228</v>
      </c>
      <c r="M143" s="0" t="s">
        <v>228</v>
      </c>
      <c r="N143" s="0" t="s">
        <v>228</v>
      </c>
      <c r="O143" s="0" t="s">
        <v>228</v>
      </c>
      <c r="P143" s="0" t="s">
        <v>228</v>
      </c>
      <c r="Q143" s="0" t="s">
        <v>228</v>
      </c>
      <c r="R143" s="0" t="s">
        <v>4304</v>
      </c>
      <c r="S143" s="0" t="s">
        <v>228</v>
      </c>
      <c r="T143" s="0" t="s">
        <v>228</v>
      </c>
      <c r="U143" s="0" t="s">
        <v>101</v>
      </c>
      <c r="V143" s="0" t="s">
        <v>228</v>
      </c>
      <c r="W143" s="0" t="s">
        <v>228</v>
      </c>
      <c r="X143" s="0" t="s">
        <v>3557</v>
      </c>
      <c r="Y143" s="0" t="s">
        <v>228</v>
      </c>
      <c r="Z143" s="0" t="s">
        <v>160</v>
      </c>
      <c r="AA143" s="0" t="s">
        <v>151</v>
      </c>
      <c r="AB143" s="0" t="s">
        <v>151</v>
      </c>
      <c r="AC143" s="0" t="s">
        <v>2721</v>
      </c>
      <c r="AD143" s="0" t="s">
        <v>2721</v>
      </c>
      <c r="AE143" s="0" t="s">
        <v>2722</v>
      </c>
      <c r="AF143" s="0" t="s">
        <v>4024</v>
      </c>
      <c r="AG143" s="0" t="s">
        <v>4025</v>
      </c>
      <c r="AH143" s="0" t="s">
        <v>4305</v>
      </c>
      <c r="AI143" s="0" t="s">
        <v>151</v>
      </c>
      <c r="AJ143" s="0" t="s">
        <v>3620</v>
      </c>
      <c r="AK143" s="0" t="s">
        <v>4306</v>
      </c>
      <c r="AL143" s="0" t="s">
        <v>3646</v>
      </c>
      <c r="AM143" s="0" t="s">
        <v>3565</v>
      </c>
      <c r="AN143" s="0" t="s">
        <v>3743</v>
      </c>
      <c r="AO143" s="0" t="s">
        <v>4307</v>
      </c>
      <c r="AP143" s="0" t="s">
        <v>228</v>
      </c>
      <c r="AQ143" s="0" t="s">
        <v>228</v>
      </c>
      <c r="AR143" s="0" t="s">
        <v>228</v>
      </c>
      <c r="AS143" s="0" t="s">
        <v>228</v>
      </c>
      <c r="AT143" s="0" t="s">
        <v>228</v>
      </c>
      <c r="AU143" s="0" t="s">
        <v>228</v>
      </c>
      <c r="AV143" s="0" t="s">
        <v>228</v>
      </c>
      <c r="AW143" s="0" t="s">
        <v>228</v>
      </c>
      <c r="AX143" s="0" t="s">
        <v>228</v>
      </c>
      <c r="AY143" s="0" t="s">
        <v>228</v>
      </c>
      <c r="AZ143" s="0" t="s">
        <v>228</v>
      </c>
      <c r="BA143" s="0" t="s">
        <v>228</v>
      </c>
      <c r="BB143" s="0" t="s">
        <v>228</v>
      </c>
      <c r="BC143" s="0" t="s">
        <v>228</v>
      </c>
      <c r="BD143" s="0" t="s">
        <v>228</v>
      </c>
      <c r="BE143" s="0" t="s">
        <v>228</v>
      </c>
      <c r="BF143" s="0" t="s">
        <v>228</v>
      </c>
      <c r="BG143" s="0" t="s">
        <v>228</v>
      </c>
      <c r="BH143" s="0" t="s">
        <v>228</v>
      </c>
      <c r="BI143" s="0" t="s">
        <v>228</v>
      </c>
      <c r="BJ143" s="0" t="s">
        <v>228</v>
      </c>
      <c r="BK143" s="0" t="s">
        <v>228</v>
      </c>
      <c r="BL143" s="0" t="s">
        <v>228</v>
      </c>
      <c r="BM143" s="0" t="s">
        <v>228</v>
      </c>
      <c r="BN143" s="0" t="s">
        <v>228</v>
      </c>
      <c r="BO143" s="0" t="s">
        <v>228</v>
      </c>
      <c r="BP143" s="0" t="s">
        <v>228</v>
      </c>
      <c r="BQ143" s="0" t="s">
        <v>228</v>
      </c>
      <c r="BR143" s="0" t="s">
        <v>228</v>
      </c>
      <c r="BS143" s="0" t="s">
        <v>228</v>
      </c>
      <c r="BT143" s="0" t="s">
        <v>228</v>
      </c>
      <c r="BU143" s="0" t="s">
        <v>228</v>
      </c>
      <c r="BV143" s="0" t="s">
        <v>228</v>
      </c>
      <c r="BW143" s="0" t="s">
        <v>228</v>
      </c>
      <c r="BX143" s="0" t="s">
        <v>228</v>
      </c>
      <c r="BY143" s="0" t="s">
        <v>228</v>
      </c>
      <c r="BZ143" s="0" t="s">
        <v>228</v>
      </c>
      <c r="CA143" s="0" t="s">
        <v>228</v>
      </c>
      <c r="CB143" s="0" t="s">
        <v>228</v>
      </c>
      <c r="CC143" s="0" t="s">
        <v>228</v>
      </c>
      <c r="CD143" s="0" t="s">
        <v>228</v>
      </c>
      <c r="CE143" s="0" t="s">
        <v>228</v>
      </c>
      <c r="CF143" s="0" t="s">
        <v>228</v>
      </c>
      <c r="CG143" s="0" t="s">
        <v>228</v>
      </c>
      <c r="CH143" s="0" t="s">
        <v>228</v>
      </c>
      <c r="CI143" s="0" t="s">
        <v>228</v>
      </c>
      <c r="CJ143" s="0" t="s">
        <v>228</v>
      </c>
      <c r="CK143" s="0" t="s">
        <v>228</v>
      </c>
      <c r="CL143" s="0" t="s">
        <v>228</v>
      </c>
      <c r="CM143" s="0" t="s">
        <v>228</v>
      </c>
      <c r="CN143" s="0" t="s">
        <v>228</v>
      </c>
      <c r="CO143" s="0" t="s">
        <v>228</v>
      </c>
      <c r="CP143" s="0" t="s">
        <v>228</v>
      </c>
      <c r="CQ143" s="0" t="s">
        <v>228</v>
      </c>
      <c r="CR143" s="0" t="s">
        <v>228</v>
      </c>
      <c r="CS143" s="0" t="s">
        <v>228</v>
      </c>
      <c r="CT143" s="0" t="s">
        <v>3568</v>
      </c>
      <c r="CU143" s="0" t="s">
        <v>3569</v>
      </c>
      <c r="CV143" s="0" t="s">
        <v>4030</v>
      </c>
      <c r="CW143" s="0" t="s">
        <v>4031</v>
      </c>
      <c r="CX143" s="0" t="s">
        <v>3603</v>
      </c>
      <c r="CY143" s="0" t="s">
        <v>4030</v>
      </c>
      <c r="CZ143" s="0" t="s">
        <v>3608</v>
      </c>
      <c r="DA143" s="0" t="s">
        <v>4032</v>
      </c>
      <c r="DB143" s="0" t="s">
        <v>3676</v>
      </c>
      <c r="DC143" s="0" t="s">
        <v>362</v>
      </c>
      <c r="DD143" s="0" t="s">
        <v>3572</v>
      </c>
      <c r="DE143" s="0" t="s">
        <v>4308</v>
      </c>
    </row>
    <row customHeight="1" ht="11.25">
      <c r="A144" s="1353" t="s">
        <v>228</v>
      </c>
      <c r="B144" s="0" t="s">
        <v>228</v>
      </c>
      <c r="C144" s="0" t="s">
        <v>228</v>
      </c>
      <c r="D144" s="0" t="s">
        <v>228</v>
      </c>
      <c r="E144" s="0" t="s">
        <v>228</v>
      </c>
      <c r="F144" s="0" t="s">
        <v>228</v>
      </c>
      <c r="G144" s="0" t="s">
        <v>228</v>
      </c>
      <c r="H144" s="0" t="s">
        <v>228</v>
      </c>
      <c r="I144" s="0" t="s">
        <v>3555</v>
      </c>
      <c r="J144" s="0" t="s">
        <v>228</v>
      </c>
      <c r="K144" s="0" t="s">
        <v>228</v>
      </c>
      <c r="L144" s="0" t="s">
        <v>228</v>
      </c>
      <c r="M144" s="0" t="s">
        <v>228</v>
      </c>
      <c r="N144" s="0" t="s">
        <v>228</v>
      </c>
      <c r="O144" s="0" t="s">
        <v>228</v>
      </c>
      <c r="P144" s="0" t="s">
        <v>228</v>
      </c>
      <c r="Q144" s="0" t="s">
        <v>228</v>
      </c>
      <c r="R144" s="0" t="s">
        <v>4309</v>
      </c>
      <c r="S144" s="0" t="s">
        <v>228</v>
      </c>
      <c r="T144" s="0" t="s">
        <v>228</v>
      </c>
      <c r="U144" s="0" t="s">
        <v>101</v>
      </c>
      <c r="V144" s="0" t="s">
        <v>228</v>
      </c>
      <c r="W144" s="0" t="s">
        <v>228</v>
      </c>
      <c r="X144" s="0" t="s">
        <v>3661</v>
      </c>
      <c r="Y144" s="0" t="s">
        <v>228</v>
      </c>
      <c r="Z144" s="0" t="s">
        <v>151</v>
      </c>
      <c r="AA144" s="0" t="s">
        <v>151</v>
      </c>
      <c r="AB144" s="0" t="s">
        <v>160</v>
      </c>
      <c r="AC144" s="0" t="s">
        <v>2311</v>
      </c>
      <c r="AD144" s="0" t="s">
        <v>2311</v>
      </c>
      <c r="AE144" s="0" t="s">
        <v>2312</v>
      </c>
      <c r="AF144" s="0" t="s">
        <v>4034</v>
      </c>
      <c r="AG144" s="0" t="s">
        <v>4035</v>
      </c>
      <c r="AH144" s="0" t="s">
        <v>4034</v>
      </c>
      <c r="AI144" s="0" t="s">
        <v>3721</v>
      </c>
      <c r="AJ144" s="0" t="s">
        <v>228</v>
      </c>
      <c r="AK144" s="0" t="s">
        <v>228</v>
      </c>
      <c r="AL144" s="0" t="s">
        <v>228</v>
      </c>
      <c r="AM144" s="0" t="s">
        <v>228</v>
      </c>
      <c r="AN144" s="0" t="s">
        <v>228</v>
      </c>
      <c r="AO144" s="0" t="s">
        <v>228</v>
      </c>
      <c r="AP144" s="0" t="s">
        <v>228</v>
      </c>
      <c r="AQ144" s="0" t="s">
        <v>228</v>
      </c>
      <c r="AR144" s="0" t="s">
        <v>228</v>
      </c>
      <c r="AS144" s="0" t="s">
        <v>228</v>
      </c>
      <c r="AT144" s="0" t="s">
        <v>228</v>
      </c>
      <c r="AU144" s="0" t="s">
        <v>228</v>
      </c>
      <c r="AV144" s="0" t="s">
        <v>228</v>
      </c>
      <c r="AW144" s="0" t="s">
        <v>228</v>
      </c>
      <c r="AX144" s="0" t="s">
        <v>228</v>
      </c>
      <c r="AY144" s="0" t="s">
        <v>228</v>
      </c>
      <c r="AZ144" s="0" t="s">
        <v>228</v>
      </c>
      <c r="BA144" s="0" t="s">
        <v>228</v>
      </c>
      <c r="BB144" s="0" t="s">
        <v>228</v>
      </c>
      <c r="BC144" s="0" t="s">
        <v>228</v>
      </c>
      <c r="BD144" s="0" t="s">
        <v>228</v>
      </c>
      <c r="BE144" s="0" t="s">
        <v>3722</v>
      </c>
      <c r="BF144" s="0" t="s">
        <v>3722</v>
      </c>
      <c r="BG144" s="0" t="s">
        <v>111</v>
      </c>
      <c r="BH144" s="0" t="s">
        <v>3665</v>
      </c>
      <c r="BI144" s="0" t="s">
        <v>122</v>
      </c>
      <c r="BJ144" s="0" t="s">
        <v>228</v>
      </c>
      <c r="BK144" s="0" t="s">
        <v>3684</v>
      </c>
      <c r="BL144" s="0" t="s">
        <v>2311</v>
      </c>
      <c r="BM144" s="0" t="s">
        <v>2311</v>
      </c>
      <c r="BN144" s="0" t="s">
        <v>3723</v>
      </c>
      <c r="BO144" s="0" t="s">
        <v>4034</v>
      </c>
      <c r="BP144" s="0" t="s">
        <v>4038</v>
      </c>
      <c r="BQ144" s="0" t="s">
        <v>4310</v>
      </c>
      <c r="BR144" s="0" t="s">
        <v>4311</v>
      </c>
      <c r="BS144" s="0" t="s">
        <v>228</v>
      </c>
      <c r="BT144" s="0" t="s">
        <v>3727</v>
      </c>
      <c r="BU144" s="0" t="s">
        <v>4312</v>
      </c>
      <c r="BV144" s="0" t="s">
        <v>4312</v>
      </c>
      <c r="BW144" s="0" t="s">
        <v>3674</v>
      </c>
      <c r="BX144" s="0" t="s">
        <v>3674</v>
      </c>
      <c r="BY144" s="0" t="s">
        <v>3674</v>
      </c>
      <c r="BZ144" s="0" t="s">
        <v>3674</v>
      </c>
      <c r="CA144" s="0" t="s">
        <v>3674</v>
      </c>
      <c r="CB144" s="0" t="s">
        <v>228</v>
      </c>
      <c r="CC144" s="0" t="s">
        <v>228</v>
      </c>
      <c r="CD144" s="0" t="s">
        <v>228</v>
      </c>
      <c r="CE144" s="0" t="s">
        <v>228</v>
      </c>
      <c r="CF144" s="0" t="s">
        <v>228</v>
      </c>
      <c r="CG144" s="0" t="s">
        <v>3674</v>
      </c>
      <c r="CH144" s="0" t="s">
        <v>228</v>
      </c>
      <c r="CI144" s="0" t="s">
        <v>228</v>
      </c>
      <c r="CJ144" s="0" t="s">
        <v>228</v>
      </c>
      <c r="CK144" s="0" t="s">
        <v>228</v>
      </c>
      <c r="CL144" s="0" t="s">
        <v>228</v>
      </c>
      <c r="CM144" s="0" t="s">
        <v>4312</v>
      </c>
      <c r="CN144" s="0" t="s">
        <v>4312</v>
      </c>
      <c r="CO144" s="0" t="s">
        <v>228</v>
      </c>
      <c r="CP144" s="0" t="s">
        <v>228</v>
      </c>
      <c r="CQ144" s="0" t="s">
        <v>228</v>
      </c>
      <c r="CR144" s="0" t="s">
        <v>228</v>
      </c>
      <c r="CS144" s="0" t="s">
        <v>3582</v>
      </c>
      <c r="CT144" s="0" t="s">
        <v>3568</v>
      </c>
      <c r="CU144" s="0" t="s">
        <v>3569</v>
      </c>
      <c r="CV144" s="0" t="s">
        <v>418</v>
      </c>
      <c r="CW144" s="0" t="s">
        <v>3584</v>
      </c>
      <c r="CX144" s="0" t="s">
        <v>419</v>
      </c>
      <c r="CY144" s="0" t="s">
        <v>418</v>
      </c>
      <c r="CZ144" s="0" t="s">
        <v>3585</v>
      </c>
      <c r="DA144" s="0" t="s">
        <v>3586</v>
      </c>
      <c r="DB144" s="0" t="s">
        <v>3584</v>
      </c>
      <c r="DC144" s="0" t="s">
        <v>362</v>
      </c>
      <c r="DD144" s="0" t="s">
        <v>3572</v>
      </c>
      <c r="DE144" s="0" t="s">
        <v>4043</v>
      </c>
    </row>
    <row customHeight="1" ht="11.25">
      <c r="A145" s="1353" t="s">
        <v>228</v>
      </c>
      <c r="B145" s="0" t="s">
        <v>228</v>
      </c>
      <c r="C145" s="0" t="s">
        <v>228</v>
      </c>
      <c r="D145" s="0" t="s">
        <v>228</v>
      </c>
      <c r="E145" s="0" t="s">
        <v>228</v>
      </c>
      <c r="F145" s="0" t="s">
        <v>228</v>
      </c>
      <c r="G145" s="0" t="s">
        <v>228</v>
      </c>
      <c r="H145" s="0" t="s">
        <v>228</v>
      </c>
      <c r="I145" s="0" t="s">
        <v>3555</v>
      </c>
      <c r="J145" s="0" t="s">
        <v>228</v>
      </c>
      <c r="K145" s="0" t="s">
        <v>228</v>
      </c>
      <c r="L145" s="0" t="s">
        <v>228</v>
      </c>
      <c r="M145" s="0" t="s">
        <v>228</v>
      </c>
      <c r="N145" s="0" t="s">
        <v>228</v>
      </c>
      <c r="O145" s="0" t="s">
        <v>228</v>
      </c>
      <c r="P145" s="0" t="s">
        <v>228</v>
      </c>
      <c r="Q145" s="0" t="s">
        <v>228</v>
      </c>
      <c r="R145" s="0" t="s">
        <v>3718</v>
      </c>
      <c r="S145" s="0" t="s">
        <v>228</v>
      </c>
      <c r="T145" s="0" t="s">
        <v>228</v>
      </c>
      <c r="U145" s="0" t="s">
        <v>101</v>
      </c>
      <c r="V145" s="0" t="s">
        <v>228</v>
      </c>
      <c r="W145" s="0" t="s">
        <v>228</v>
      </c>
      <c r="X145" s="0" t="s">
        <v>3661</v>
      </c>
      <c r="Y145" s="0" t="s">
        <v>228</v>
      </c>
      <c r="Z145" s="0" t="s">
        <v>151</v>
      </c>
      <c r="AA145" s="0" t="s">
        <v>151</v>
      </c>
      <c r="AB145" s="0" t="s">
        <v>160</v>
      </c>
      <c r="AC145" s="0" t="s">
        <v>2311</v>
      </c>
      <c r="AD145" s="0" t="s">
        <v>2311</v>
      </c>
      <c r="AE145" s="0" t="s">
        <v>2312</v>
      </c>
      <c r="AF145" s="0" t="s">
        <v>4313</v>
      </c>
      <c r="AG145" s="0" t="s">
        <v>4314</v>
      </c>
      <c r="AH145" s="0" t="s">
        <v>4313</v>
      </c>
      <c r="AI145" s="0" t="s">
        <v>3721</v>
      </c>
      <c r="AJ145" s="0" t="s">
        <v>228</v>
      </c>
      <c r="AK145" s="0" t="s">
        <v>228</v>
      </c>
      <c r="AL145" s="0" t="s">
        <v>228</v>
      </c>
      <c r="AM145" s="0" t="s">
        <v>228</v>
      </c>
      <c r="AN145" s="0" t="s">
        <v>228</v>
      </c>
      <c r="AO145" s="0" t="s">
        <v>228</v>
      </c>
      <c r="AP145" s="0" t="s">
        <v>228</v>
      </c>
      <c r="AQ145" s="0" t="s">
        <v>228</v>
      </c>
      <c r="AR145" s="0" t="s">
        <v>228</v>
      </c>
      <c r="AS145" s="0" t="s">
        <v>228</v>
      </c>
      <c r="AT145" s="0" t="s">
        <v>228</v>
      </c>
      <c r="AU145" s="0" t="s">
        <v>228</v>
      </c>
      <c r="AV145" s="0" t="s">
        <v>228</v>
      </c>
      <c r="AW145" s="0" t="s">
        <v>228</v>
      </c>
      <c r="AX145" s="0" t="s">
        <v>228</v>
      </c>
      <c r="AY145" s="0" t="s">
        <v>228</v>
      </c>
      <c r="AZ145" s="0" t="s">
        <v>228</v>
      </c>
      <c r="BA145" s="0" t="s">
        <v>228</v>
      </c>
      <c r="BB145" s="0" t="s">
        <v>228</v>
      </c>
      <c r="BC145" s="0" t="s">
        <v>228</v>
      </c>
      <c r="BD145" s="0" t="s">
        <v>228</v>
      </c>
      <c r="BE145" s="0" t="s">
        <v>3722</v>
      </c>
      <c r="BF145" s="0" t="s">
        <v>3722</v>
      </c>
      <c r="BG145" s="0" t="s">
        <v>111</v>
      </c>
      <c r="BH145" s="0" t="s">
        <v>3665</v>
      </c>
      <c r="BI145" s="0" t="s">
        <v>122</v>
      </c>
      <c r="BJ145" s="0" t="s">
        <v>228</v>
      </c>
      <c r="BK145" s="0" t="s">
        <v>3684</v>
      </c>
      <c r="BL145" s="0" t="s">
        <v>2311</v>
      </c>
      <c r="BM145" s="0" t="s">
        <v>2311</v>
      </c>
      <c r="BN145" s="0" t="s">
        <v>3723</v>
      </c>
      <c r="BO145" s="0" t="s">
        <v>4313</v>
      </c>
      <c r="BP145" s="0" t="s">
        <v>4315</v>
      </c>
      <c r="BQ145" s="0" t="s">
        <v>4316</v>
      </c>
      <c r="BR145" s="0" t="s">
        <v>4273</v>
      </c>
      <c r="BS145" s="0" t="s">
        <v>228</v>
      </c>
      <c r="BT145" s="0" t="s">
        <v>3727</v>
      </c>
      <c r="BU145" s="0" t="s">
        <v>4317</v>
      </c>
      <c r="BV145" s="0" t="s">
        <v>4317</v>
      </c>
      <c r="BW145" s="0" t="s">
        <v>3674</v>
      </c>
      <c r="BX145" s="0" t="s">
        <v>3674</v>
      </c>
      <c r="BY145" s="0" t="s">
        <v>3674</v>
      </c>
      <c r="BZ145" s="0" t="s">
        <v>3674</v>
      </c>
      <c r="CA145" s="0" t="s">
        <v>3674</v>
      </c>
      <c r="CB145" s="0" t="s">
        <v>228</v>
      </c>
      <c r="CC145" s="0" t="s">
        <v>228</v>
      </c>
      <c r="CD145" s="0" t="s">
        <v>228</v>
      </c>
      <c r="CE145" s="0" t="s">
        <v>228</v>
      </c>
      <c r="CF145" s="0" t="s">
        <v>228</v>
      </c>
      <c r="CG145" s="0" t="s">
        <v>3674</v>
      </c>
      <c r="CH145" s="0" t="s">
        <v>228</v>
      </c>
      <c r="CI145" s="0" t="s">
        <v>228</v>
      </c>
      <c r="CJ145" s="0" t="s">
        <v>228</v>
      </c>
      <c r="CK145" s="0" t="s">
        <v>228</v>
      </c>
      <c r="CL145" s="0" t="s">
        <v>228</v>
      </c>
      <c r="CM145" s="0" t="s">
        <v>4317</v>
      </c>
      <c r="CN145" s="0" t="s">
        <v>4317</v>
      </c>
      <c r="CO145" s="0" t="s">
        <v>228</v>
      </c>
      <c r="CP145" s="0" t="s">
        <v>228</v>
      </c>
      <c r="CQ145" s="0" t="s">
        <v>228</v>
      </c>
      <c r="CR145" s="0" t="s">
        <v>228</v>
      </c>
      <c r="CS145" s="0" t="s">
        <v>3582</v>
      </c>
      <c r="CT145" s="0" t="s">
        <v>3568</v>
      </c>
      <c r="CU145" s="0" t="s">
        <v>3569</v>
      </c>
      <c r="CV145" s="0" t="s">
        <v>418</v>
      </c>
      <c r="CW145" s="0" t="s">
        <v>3584</v>
      </c>
      <c r="CX145" s="0" t="s">
        <v>419</v>
      </c>
      <c r="CY145" s="0" t="s">
        <v>418</v>
      </c>
      <c r="CZ145" s="0" t="s">
        <v>3585</v>
      </c>
      <c r="DA145" s="0" t="s">
        <v>3586</v>
      </c>
      <c r="DB145" s="0" t="s">
        <v>3584</v>
      </c>
      <c r="DC145" s="0" t="s">
        <v>362</v>
      </c>
      <c r="DD145" s="0" t="s">
        <v>3572</v>
      </c>
      <c r="DE145" s="0" t="s">
        <v>4318</v>
      </c>
    </row>
    <row customHeight="1" ht="11.25">
      <c r="A146" s="1353" t="s">
        <v>228</v>
      </c>
      <c r="B146" s="0" t="s">
        <v>228</v>
      </c>
      <c r="C146" s="0" t="s">
        <v>228</v>
      </c>
      <c r="D146" s="0" t="s">
        <v>228</v>
      </c>
      <c r="E146" s="0" t="s">
        <v>228</v>
      </c>
      <c r="F146" s="0" t="s">
        <v>228</v>
      </c>
      <c r="G146" s="0" t="s">
        <v>228</v>
      </c>
      <c r="H146" s="0" t="s">
        <v>228</v>
      </c>
      <c r="I146" s="0" t="s">
        <v>3555</v>
      </c>
      <c r="J146" s="0" t="s">
        <v>228</v>
      </c>
      <c r="K146" s="0" t="s">
        <v>228</v>
      </c>
      <c r="L146" s="0" t="s">
        <v>228</v>
      </c>
      <c r="M146" s="0" t="s">
        <v>228</v>
      </c>
      <c r="N146" s="0" t="s">
        <v>228</v>
      </c>
      <c r="O146" s="0" t="s">
        <v>228</v>
      </c>
      <c r="P146" s="0" t="s">
        <v>228</v>
      </c>
      <c r="Q146" s="0" t="s">
        <v>228</v>
      </c>
      <c r="R146" s="0" t="s">
        <v>3684</v>
      </c>
      <c r="S146" s="0" t="s">
        <v>228</v>
      </c>
      <c r="T146" s="0" t="s">
        <v>228</v>
      </c>
      <c r="U146" s="0" t="s">
        <v>101</v>
      </c>
      <c r="V146" s="0" t="s">
        <v>228</v>
      </c>
      <c r="W146" s="0" t="s">
        <v>228</v>
      </c>
      <c r="X146" s="0" t="s">
        <v>3557</v>
      </c>
      <c r="Y146" s="0" t="s">
        <v>228</v>
      </c>
      <c r="Z146" s="0" t="s">
        <v>160</v>
      </c>
      <c r="AA146" s="0" t="s">
        <v>151</v>
      </c>
      <c r="AB146" s="0" t="s">
        <v>151</v>
      </c>
      <c r="AC146" s="0" t="s">
        <v>2311</v>
      </c>
      <c r="AD146" s="0" t="s">
        <v>2311</v>
      </c>
      <c r="AE146" s="0" t="s">
        <v>2312</v>
      </c>
      <c r="AF146" s="0" t="s">
        <v>4034</v>
      </c>
      <c r="AG146" s="0" t="s">
        <v>4035</v>
      </c>
      <c r="AH146" s="0" t="s">
        <v>3642</v>
      </c>
      <c r="AI146" s="0" t="s">
        <v>559</v>
      </c>
      <c r="AJ146" s="0" t="s">
        <v>3579</v>
      </c>
      <c r="AK146" s="0" t="s">
        <v>3579</v>
      </c>
      <c r="AL146" s="0" t="s">
        <v>3681</v>
      </c>
      <c r="AM146" s="0" t="s">
        <v>3565</v>
      </c>
      <c r="AN146" s="0" t="s">
        <v>3582</v>
      </c>
      <c r="AO146" s="0" t="s">
        <v>3689</v>
      </c>
      <c r="AP146" s="0" t="s">
        <v>228</v>
      </c>
      <c r="AQ146" s="0" t="s">
        <v>228</v>
      </c>
      <c r="AR146" s="0" t="s">
        <v>228</v>
      </c>
      <c r="AS146" s="0" t="s">
        <v>228</v>
      </c>
      <c r="AT146" s="0" t="s">
        <v>228</v>
      </c>
      <c r="AU146" s="0" t="s">
        <v>228</v>
      </c>
      <c r="AV146" s="0" t="s">
        <v>228</v>
      </c>
      <c r="AW146" s="0" t="s">
        <v>228</v>
      </c>
      <c r="AX146" s="0" t="s">
        <v>228</v>
      </c>
      <c r="AY146" s="0" t="s">
        <v>228</v>
      </c>
      <c r="AZ146" s="0" t="s">
        <v>228</v>
      </c>
      <c r="BA146" s="0" t="s">
        <v>228</v>
      </c>
      <c r="BB146" s="0" t="s">
        <v>228</v>
      </c>
      <c r="BC146" s="0" t="s">
        <v>228</v>
      </c>
      <c r="BD146" s="0" t="s">
        <v>228</v>
      </c>
      <c r="BE146" s="0" t="s">
        <v>228</v>
      </c>
      <c r="BF146" s="0" t="s">
        <v>228</v>
      </c>
      <c r="BG146" s="0" t="s">
        <v>228</v>
      </c>
      <c r="BH146" s="0" t="s">
        <v>228</v>
      </c>
      <c r="BI146" s="0" t="s">
        <v>228</v>
      </c>
      <c r="BJ146" s="0" t="s">
        <v>228</v>
      </c>
      <c r="BK146" s="0" t="s">
        <v>228</v>
      </c>
      <c r="BL146" s="0" t="s">
        <v>228</v>
      </c>
      <c r="BM146" s="0" t="s">
        <v>228</v>
      </c>
      <c r="BN146" s="0" t="s">
        <v>228</v>
      </c>
      <c r="BO146" s="0" t="s">
        <v>228</v>
      </c>
      <c r="BP146" s="0" t="s">
        <v>228</v>
      </c>
      <c r="BQ146" s="0" t="s">
        <v>228</v>
      </c>
      <c r="BR146" s="0" t="s">
        <v>228</v>
      </c>
      <c r="BS146" s="0" t="s">
        <v>228</v>
      </c>
      <c r="BT146" s="0" t="s">
        <v>228</v>
      </c>
      <c r="BU146" s="0" t="s">
        <v>228</v>
      </c>
      <c r="BV146" s="0" t="s">
        <v>228</v>
      </c>
      <c r="BW146" s="0" t="s">
        <v>228</v>
      </c>
      <c r="BX146" s="0" t="s">
        <v>228</v>
      </c>
      <c r="BY146" s="0" t="s">
        <v>228</v>
      </c>
      <c r="BZ146" s="0" t="s">
        <v>228</v>
      </c>
      <c r="CA146" s="0" t="s">
        <v>228</v>
      </c>
      <c r="CB146" s="0" t="s">
        <v>228</v>
      </c>
      <c r="CC146" s="0" t="s">
        <v>228</v>
      </c>
      <c r="CD146" s="0" t="s">
        <v>228</v>
      </c>
      <c r="CE146" s="0" t="s">
        <v>228</v>
      </c>
      <c r="CF146" s="0" t="s">
        <v>228</v>
      </c>
      <c r="CG146" s="0" t="s">
        <v>228</v>
      </c>
      <c r="CH146" s="0" t="s">
        <v>228</v>
      </c>
      <c r="CI146" s="0" t="s">
        <v>228</v>
      </c>
      <c r="CJ146" s="0" t="s">
        <v>228</v>
      </c>
      <c r="CK146" s="0" t="s">
        <v>228</v>
      </c>
      <c r="CL146" s="0" t="s">
        <v>228</v>
      </c>
      <c r="CM146" s="0" t="s">
        <v>228</v>
      </c>
      <c r="CN146" s="0" t="s">
        <v>228</v>
      </c>
      <c r="CO146" s="0" t="s">
        <v>228</v>
      </c>
      <c r="CP146" s="0" t="s">
        <v>228</v>
      </c>
      <c r="CQ146" s="0" t="s">
        <v>228</v>
      </c>
      <c r="CR146" s="0" t="s">
        <v>228</v>
      </c>
      <c r="CS146" s="0" t="s">
        <v>228</v>
      </c>
      <c r="CT146" s="0" t="s">
        <v>3568</v>
      </c>
      <c r="CU146" s="0" t="s">
        <v>3569</v>
      </c>
      <c r="CV146" s="0" t="s">
        <v>418</v>
      </c>
      <c r="CW146" s="0" t="s">
        <v>3584</v>
      </c>
      <c r="CX146" s="0" t="s">
        <v>419</v>
      </c>
      <c r="CY146" s="0" t="s">
        <v>418</v>
      </c>
      <c r="CZ146" s="0" t="s">
        <v>3585</v>
      </c>
      <c r="DA146" s="0" t="s">
        <v>3586</v>
      </c>
      <c r="DB146" s="0" t="s">
        <v>3584</v>
      </c>
      <c r="DC146" s="0" t="s">
        <v>362</v>
      </c>
      <c r="DD146" s="0" t="s">
        <v>3572</v>
      </c>
      <c r="DE146" s="0" t="s">
        <v>4319</v>
      </c>
    </row>
    <row customHeight="1" ht="11.25">
      <c r="A147" s="1353" t="s">
        <v>228</v>
      </c>
      <c r="B147" s="0" t="s">
        <v>228</v>
      </c>
      <c r="C147" s="0" t="s">
        <v>228</v>
      </c>
      <c r="D147" s="0" t="s">
        <v>228</v>
      </c>
      <c r="E147" s="0" t="s">
        <v>228</v>
      </c>
      <c r="F147" s="0" t="s">
        <v>228</v>
      </c>
      <c r="G147" s="0" t="s">
        <v>228</v>
      </c>
      <c r="H147" s="0" t="s">
        <v>228</v>
      </c>
      <c r="I147" s="0" t="s">
        <v>3555</v>
      </c>
      <c r="J147" s="0" t="s">
        <v>228</v>
      </c>
      <c r="K147" s="0" t="s">
        <v>228</v>
      </c>
      <c r="L147" s="0" t="s">
        <v>228</v>
      </c>
      <c r="M147" s="0" t="s">
        <v>228</v>
      </c>
      <c r="N147" s="0" t="s">
        <v>228</v>
      </c>
      <c r="O147" s="0" t="s">
        <v>228</v>
      </c>
      <c r="P147" s="0" t="s">
        <v>228</v>
      </c>
      <c r="Q147" s="0" t="s">
        <v>228</v>
      </c>
      <c r="R147" s="0" t="s">
        <v>3574</v>
      </c>
      <c r="S147" s="0" t="s">
        <v>228</v>
      </c>
      <c r="T147" s="0" t="s">
        <v>228</v>
      </c>
      <c r="U147" s="0" t="s">
        <v>101</v>
      </c>
      <c r="V147" s="0" t="s">
        <v>228</v>
      </c>
      <c r="W147" s="0" t="s">
        <v>228</v>
      </c>
      <c r="X147" s="0" t="s">
        <v>3557</v>
      </c>
      <c r="Y147" s="0" t="s">
        <v>228</v>
      </c>
      <c r="Z147" s="0" t="s">
        <v>160</v>
      </c>
      <c r="AA147" s="0" t="s">
        <v>151</v>
      </c>
      <c r="AB147" s="0" t="s">
        <v>151</v>
      </c>
      <c r="AC147" s="0" t="s">
        <v>2311</v>
      </c>
      <c r="AD147" s="0" t="s">
        <v>2311</v>
      </c>
      <c r="AE147" s="0" t="s">
        <v>2312</v>
      </c>
      <c r="AF147" s="0" t="s">
        <v>4034</v>
      </c>
      <c r="AG147" s="0" t="s">
        <v>4035</v>
      </c>
      <c r="AH147" s="0" t="s">
        <v>4039</v>
      </c>
      <c r="AI147" s="0" t="s">
        <v>3578</v>
      </c>
      <c r="AJ147" s="0" t="s">
        <v>3579</v>
      </c>
      <c r="AK147" s="0" t="s">
        <v>3579</v>
      </c>
      <c r="AL147" s="0" t="s">
        <v>3681</v>
      </c>
      <c r="AM147" s="0" t="s">
        <v>3565</v>
      </c>
      <c r="AN147" s="0" t="s">
        <v>3582</v>
      </c>
      <c r="AO147" s="0" t="s">
        <v>3583</v>
      </c>
      <c r="AP147" s="0" t="s">
        <v>228</v>
      </c>
      <c r="AQ147" s="0" t="s">
        <v>228</v>
      </c>
      <c r="AR147" s="0" t="s">
        <v>228</v>
      </c>
      <c r="AS147" s="0" t="s">
        <v>228</v>
      </c>
      <c r="AT147" s="0" t="s">
        <v>228</v>
      </c>
      <c r="AU147" s="0" t="s">
        <v>228</v>
      </c>
      <c r="AV147" s="0" t="s">
        <v>228</v>
      </c>
      <c r="AW147" s="0" t="s">
        <v>228</v>
      </c>
      <c r="AX147" s="0" t="s">
        <v>228</v>
      </c>
      <c r="AY147" s="0" t="s">
        <v>228</v>
      </c>
      <c r="AZ147" s="0" t="s">
        <v>228</v>
      </c>
      <c r="BA147" s="0" t="s">
        <v>228</v>
      </c>
      <c r="BB147" s="0" t="s">
        <v>228</v>
      </c>
      <c r="BC147" s="0" t="s">
        <v>228</v>
      </c>
      <c r="BD147" s="0" t="s">
        <v>228</v>
      </c>
      <c r="BE147" s="0" t="s">
        <v>228</v>
      </c>
      <c r="BF147" s="0" t="s">
        <v>228</v>
      </c>
      <c r="BG147" s="0" t="s">
        <v>228</v>
      </c>
      <c r="BH147" s="0" t="s">
        <v>228</v>
      </c>
      <c r="BI147" s="0" t="s">
        <v>228</v>
      </c>
      <c r="BJ147" s="0" t="s">
        <v>228</v>
      </c>
      <c r="BK147" s="0" t="s">
        <v>228</v>
      </c>
      <c r="BL147" s="0" t="s">
        <v>228</v>
      </c>
      <c r="BM147" s="0" t="s">
        <v>228</v>
      </c>
      <c r="BN147" s="0" t="s">
        <v>228</v>
      </c>
      <c r="BO147" s="0" t="s">
        <v>228</v>
      </c>
      <c r="BP147" s="0" t="s">
        <v>228</v>
      </c>
      <c r="BQ147" s="0" t="s">
        <v>228</v>
      </c>
      <c r="BR147" s="0" t="s">
        <v>228</v>
      </c>
      <c r="BS147" s="0" t="s">
        <v>228</v>
      </c>
      <c r="BT147" s="0" t="s">
        <v>228</v>
      </c>
      <c r="BU147" s="0" t="s">
        <v>228</v>
      </c>
      <c r="BV147" s="0" t="s">
        <v>228</v>
      </c>
      <c r="BW147" s="0" t="s">
        <v>228</v>
      </c>
      <c r="BX147" s="0" t="s">
        <v>228</v>
      </c>
      <c r="BY147" s="0" t="s">
        <v>228</v>
      </c>
      <c r="BZ147" s="0" t="s">
        <v>228</v>
      </c>
      <c r="CA147" s="0" t="s">
        <v>228</v>
      </c>
      <c r="CB147" s="0" t="s">
        <v>228</v>
      </c>
      <c r="CC147" s="0" t="s">
        <v>228</v>
      </c>
      <c r="CD147" s="0" t="s">
        <v>228</v>
      </c>
      <c r="CE147" s="0" t="s">
        <v>228</v>
      </c>
      <c r="CF147" s="0" t="s">
        <v>228</v>
      </c>
      <c r="CG147" s="0" t="s">
        <v>228</v>
      </c>
      <c r="CH147" s="0" t="s">
        <v>228</v>
      </c>
      <c r="CI147" s="0" t="s">
        <v>228</v>
      </c>
      <c r="CJ147" s="0" t="s">
        <v>228</v>
      </c>
      <c r="CK147" s="0" t="s">
        <v>228</v>
      </c>
      <c r="CL147" s="0" t="s">
        <v>228</v>
      </c>
      <c r="CM147" s="0" t="s">
        <v>228</v>
      </c>
      <c r="CN147" s="0" t="s">
        <v>228</v>
      </c>
      <c r="CO147" s="0" t="s">
        <v>228</v>
      </c>
      <c r="CP147" s="0" t="s">
        <v>228</v>
      </c>
      <c r="CQ147" s="0" t="s">
        <v>228</v>
      </c>
      <c r="CR147" s="0" t="s">
        <v>228</v>
      </c>
      <c r="CS147" s="0" t="s">
        <v>228</v>
      </c>
      <c r="CT147" s="0" t="s">
        <v>3568</v>
      </c>
      <c r="CU147" s="0" t="s">
        <v>3569</v>
      </c>
      <c r="CV147" s="0" t="s">
        <v>418</v>
      </c>
      <c r="CW147" s="0" t="s">
        <v>3584</v>
      </c>
      <c r="CX147" s="0" t="s">
        <v>419</v>
      </c>
      <c r="CY147" s="0" t="s">
        <v>418</v>
      </c>
      <c r="CZ147" s="0" t="s">
        <v>3585</v>
      </c>
      <c r="DA147" s="0" t="s">
        <v>3586</v>
      </c>
      <c r="DB147" s="0" t="s">
        <v>3584</v>
      </c>
      <c r="DC147" s="0" t="s">
        <v>362</v>
      </c>
      <c r="DD147" s="0" t="s">
        <v>3572</v>
      </c>
      <c r="DE147" s="0" t="s">
        <v>4320</v>
      </c>
    </row>
    <row customHeight="1" ht="11.25">
      <c r="A148" s="1353" t="s">
        <v>228</v>
      </c>
      <c r="B148" s="0" t="s">
        <v>228</v>
      </c>
      <c r="C148" s="0" t="s">
        <v>228</v>
      </c>
      <c r="D148" s="0" t="s">
        <v>228</v>
      </c>
      <c r="E148" s="0" t="s">
        <v>228</v>
      </c>
      <c r="F148" s="0" t="s">
        <v>228</v>
      </c>
      <c r="G148" s="0" t="s">
        <v>228</v>
      </c>
      <c r="H148" s="0" t="s">
        <v>228</v>
      </c>
      <c r="I148" s="0" t="s">
        <v>3555</v>
      </c>
      <c r="J148" s="0" t="s">
        <v>228</v>
      </c>
      <c r="K148" s="0" t="s">
        <v>228</v>
      </c>
      <c r="L148" s="0" t="s">
        <v>228</v>
      </c>
      <c r="M148" s="0" t="s">
        <v>228</v>
      </c>
      <c r="N148" s="0" t="s">
        <v>228</v>
      </c>
      <c r="O148" s="0" t="s">
        <v>228</v>
      </c>
      <c r="P148" s="0" t="s">
        <v>228</v>
      </c>
      <c r="Q148" s="0" t="s">
        <v>228</v>
      </c>
      <c r="R148" s="0" t="s">
        <v>4321</v>
      </c>
      <c r="S148" s="0" t="s">
        <v>228</v>
      </c>
      <c r="T148" s="0" t="s">
        <v>228</v>
      </c>
      <c r="U148" s="0" t="s">
        <v>101</v>
      </c>
      <c r="V148" s="0" t="s">
        <v>228</v>
      </c>
      <c r="W148" s="0" t="s">
        <v>228</v>
      </c>
      <c r="X148" s="0" t="s">
        <v>3661</v>
      </c>
      <c r="Y148" s="0" t="s">
        <v>228</v>
      </c>
      <c r="Z148" s="0" t="s">
        <v>151</v>
      </c>
      <c r="AA148" s="0" t="s">
        <v>151</v>
      </c>
      <c r="AB148" s="0" t="s">
        <v>160</v>
      </c>
      <c r="AC148" s="0" t="s">
        <v>2315</v>
      </c>
      <c r="AD148" s="0" t="s">
        <v>2315</v>
      </c>
      <c r="AE148" s="0" t="s">
        <v>2316</v>
      </c>
      <c r="AF148" s="0" t="s">
        <v>4058</v>
      </c>
      <c r="AG148" s="0" t="s">
        <v>4059</v>
      </c>
      <c r="AH148" s="0" t="s">
        <v>3651</v>
      </c>
      <c r="AI148" s="0" t="s">
        <v>3651</v>
      </c>
      <c r="AJ148" s="0" t="s">
        <v>228</v>
      </c>
      <c r="AK148" s="0" t="s">
        <v>228</v>
      </c>
      <c r="AL148" s="0" t="s">
        <v>228</v>
      </c>
      <c r="AM148" s="0" t="s">
        <v>228</v>
      </c>
      <c r="AN148" s="0" t="s">
        <v>228</v>
      </c>
      <c r="AO148" s="0" t="s">
        <v>228</v>
      </c>
      <c r="AP148" s="0" t="s">
        <v>228</v>
      </c>
      <c r="AQ148" s="0" t="s">
        <v>228</v>
      </c>
      <c r="AR148" s="0" t="s">
        <v>228</v>
      </c>
      <c r="AS148" s="0" t="s">
        <v>228</v>
      </c>
      <c r="AT148" s="0" t="s">
        <v>228</v>
      </c>
      <c r="AU148" s="0" t="s">
        <v>228</v>
      </c>
      <c r="AV148" s="0" t="s">
        <v>228</v>
      </c>
      <c r="AW148" s="0" t="s">
        <v>228</v>
      </c>
      <c r="AX148" s="0" t="s">
        <v>228</v>
      </c>
      <c r="AY148" s="0" t="s">
        <v>228</v>
      </c>
      <c r="AZ148" s="0" t="s">
        <v>228</v>
      </c>
      <c r="BA148" s="0" t="s">
        <v>228</v>
      </c>
      <c r="BB148" s="0" t="s">
        <v>228</v>
      </c>
      <c r="BC148" s="0" t="s">
        <v>228</v>
      </c>
      <c r="BD148" s="0" t="s">
        <v>228</v>
      </c>
      <c r="BE148" s="0" t="s">
        <v>3562</v>
      </c>
      <c r="BF148" s="0" t="s">
        <v>3562</v>
      </c>
      <c r="BG148" s="0" t="s">
        <v>111</v>
      </c>
      <c r="BH148" s="0" t="s">
        <v>3665</v>
      </c>
      <c r="BI148" s="0" t="s">
        <v>122</v>
      </c>
      <c r="BJ148" s="0" t="s">
        <v>228</v>
      </c>
      <c r="BK148" s="0" t="s">
        <v>4057</v>
      </c>
      <c r="BL148" s="0" t="s">
        <v>2315</v>
      </c>
      <c r="BM148" s="0" t="s">
        <v>2315</v>
      </c>
      <c r="BN148" s="0" t="s">
        <v>3875</v>
      </c>
      <c r="BO148" s="0" t="s">
        <v>4058</v>
      </c>
      <c r="BP148" s="0" t="s">
        <v>4249</v>
      </c>
      <c r="BQ148" s="0" t="s">
        <v>3651</v>
      </c>
      <c r="BR148" s="0" t="s">
        <v>3651</v>
      </c>
      <c r="BS148" s="0" t="s">
        <v>228</v>
      </c>
      <c r="BT148" s="0" t="s">
        <v>3727</v>
      </c>
      <c r="BU148" s="0" t="s">
        <v>4322</v>
      </c>
      <c r="BV148" s="0" t="s">
        <v>4322</v>
      </c>
      <c r="BW148" s="0" t="s">
        <v>3674</v>
      </c>
      <c r="BX148" s="0" t="s">
        <v>3674</v>
      </c>
      <c r="BY148" s="0" t="s">
        <v>3674</v>
      </c>
      <c r="BZ148" s="0" t="s">
        <v>3674</v>
      </c>
      <c r="CA148" s="0" t="s">
        <v>3674</v>
      </c>
      <c r="CB148" s="0" t="s">
        <v>228</v>
      </c>
      <c r="CC148" s="0" t="s">
        <v>228</v>
      </c>
      <c r="CD148" s="0" t="s">
        <v>228</v>
      </c>
      <c r="CE148" s="0" t="s">
        <v>228</v>
      </c>
      <c r="CF148" s="0" t="s">
        <v>228</v>
      </c>
      <c r="CG148" s="0" t="s">
        <v>3674</v>
      </c>
      <c r="CH148" s="0" t="s">
        <v>228</v>
      </c>
      <c r="CI148" s="0" t="s">
        <v>228</v>
      </c>
      <c r="CJ148" s="0" t="s">
        <v>228</v>
      </c>
      <c r="CK148" s="0" t="s">
        <v>228</v>
      </c>
      <c r="CL148" s="0" t="s">
        <v>228</v>
      </c>
      <c r="CM148" s="0" t="s">
        <v>4322</v>
      </c>
      <c r="CN148" s="0" t="s">
        <v>4322</v>
      </c>
      <c r="CO148" s="0" t="s">
        <v>228</v>
      </c>
      <c r="CP148" s="0" t="s">
        <v>228</v>
      </c>
      <c r="CQ148" s="0" t="s">
        <v>228</v>
      </c>
      <c r="CR148" s="0" t="s">
        <v>228</v>
      </c>
      <c r="CS148" s="0" t="s">
        <v>3563</v>
      </c>
      <c r="CT148" s="0" t="s">
        <v>3568</v>
      </c>
      <c r="CU148" s="0" t="s">
        <v>3569</v>
      </c>
      <c r="CV148" s="0" t="s">
        <v>418</v>
      </c>
      <c r="CW148" s="0" t="s">
        <v>3656</v>
      </c>
      <c r="CX148" s="0" t="s">
        <v>419</v>
      </c>
      <c r="CY148" s="0" t="s">
        <v>418</v>
      </c>
      <c r="CZ148" s="0" t="s">
        <v>3657</v>
      </c>
      <c r="DA148" s="0" t="s">
        <v>3658</v>
      </c>
      <c r="DB148" s="0" t="s">
        <v>3656</v>
      </c>
      <c r="DC148" s="0" t="s">
        <v>362</v>
      </c>
      <c r="DD148" s="0" t="s">
        <v>3572</v>
      </c>
      <c r="DE148" s="0" t="s">
        <v>4323</v>
      </c>
    </row>
    <row customHeight="1" ht="11.25">
      <c r="A149" s="1353" t="s">
        <v>228</v>
      </c>
      <c r="B149" s="0" t="s">
        <v>228</v>
      </c>
      <c r="C149" s="0" t="s">
        <v>228</v>
      </c>
      <c r="D149" s="0" t="s">
        <v>228</v>
      </c>
      <c r="E149" s="0" t="s">
        <v>228</v>
      </c>
      <c r="F149" s="0" t="s">
        <v>228</v>
      </c>
      <c r="G149" s="0" t="s">
        <v>228</v>
      </c>
      <c r="H149" s="0" t="s">
        <v>228</v>
      </c>
      <c r="I149" s="0" t="s">
        <v>3555</v>
      </c>
      <c r="J149" s="0" t="s">
        <v>228</v>
      </c>
      <c r="K149" s="0" t="s">
        <v>228</v>
      </c>
      <c r="L149" s="0" t="s">
        <v>228</v>
      </c>
      <c r="M149" s="0" t="s">
        <v>228</v>
      </c>
      <c r="N149" s="0" t="s">
        <v>228</v>
      </c>
      <c r="O149" s="0" t="s">
        <v>228</v>
      </c>
      <c r="P149" s="0" t="s">
        <v>228</v>
      </c>
      <c r="Q149" s="0" t="s">
        <v>228</v>
      </c>
      <c r="R149" s="0" t="s">
        <v>3648</v>
      </c>
      <c r="S149" s="0" t="s">
        <v>228</v>
      </c>
      <c r="T149" s="0" t="s">
        <v>228</v>
      </c>
      <c r="U149" s="0" t="s">
        <v>101</v>
      </c>
      <c r="V149" s="0" t="s">
        <v>228</v>
      </c>
      <c r="W149" s="0" t="s">
        <v>228</v>
      </c>
      <c r="X149" s="0" t="s">
        <v>3557</v>
      </c>
      <c r="Y149" s="0" t="s">
        <v>228</v>
      </c>
      <c r="Z149" s="0" t="s">
        <v>160</v>
      </c>
      <c r="AA149" s="0" t="s">
        <v>151</v>
      </c>
      <c r="AB149" s="0" t="s">
        <v>151</v>
      </c>
      <c r="AC149" s="0" t="s">
        <v>2315</v>
      </c>
      <c r="AD149" s="0" t="s">
        <v>2315</v>
      </c>
      <c r="AE149" s="0" t="s">
        <v>2316</v>
      </c>
      <c r="AF149" s="0" t="s">
        <v>4324</v>
      </c>
      <c r="AG149" s="0" t="s">
        <v>4325</v>
      </c>
      <c r="AH149" s="0" t="s">
        <v>4326</v>
      </c>
      <c r="AI149" s="0" t="s">
        <v>3651</v>
      </c>
      <c r="AJ149" s="0" t="s">
        <v>3652</v>
      </c>
      <c r="AK149" s="0" t="s">
        <v>4218</v>
      </c>
      <c r="AL149" s="0" t="s">
        <v>3581</v>
      </c>
      <c r="AM149" s="0" t="s">
        <v>3565</v>
      </c>
      <c r="AN149" s="0" t="s">
        <v>3654</v>
      </c>
      <c r="AO149" s="0" t="s">
        <v>3854</v>
      </c>
      <c r="AP149" s="0" t="s">
        <v>228</v>
      </c>
      <c r="AQ149" s="0" t="s">
        <v>228</v>
      </c>
      <c r="AR149" s="0" t="s">
        <v>228</v>
      </c>
      <c r="AS149" s="0" t="s">
        <v>228</v>
      </c>
      <c r="AT149" s="0" t="s">
        <v>228</v>
      </c>
      <c r="AU149" s="0" t="s">
        <v>228</v>
      </c>
      <c r="AV149" s="0" t="s">
        <v>228</v>
      </c>
      <c r="AW149" s="0" t="s">
        <v>228</v>
      </c>
      <c r="AX149" s="0" t="s">
        <v>228</v>
      </c>
      <c r="AY149" s="0" t="s">
        <v>228</v>
      </c>
      <c r="AZ149" s="0" t="s">
        <v>228</v>
      </c>
      <c r="BA149" s="0" t="s">
        <v>228</v>
      </c>
      <c r="BB149" s="0" t="s">
        <v>228</v>
      </c>
      <c r="BC149" s="0" t="s">
        <v>228</v>
      </c>
      <c r="BD149" s="0" t="s">
        <v>228</v>
      </c>
      <c r="BE149" s="0" t="s">
        <v>228</v>
      </c>
      <c r="BF149" s="0" t="s">
        <v>228</v>
      </c>
      <c r="BG149" s="0" t="s">
        <v>228</v>
      </c>
      <c r="BH149" s="0" t="s">
        <v>228</v>
      </c>
      <c r="BI149" s="0" t="s">
        <v>228</v>
      </c>
      <c r="BJ149" s="0" t="s">
        <v>228</v>
      </c>
      <c r="BK149" s="0" t="s">
        <v>228</v>
      </c>
      <c r="BL149" s="0" t="s">
        <v>228</v>
      </c>
      <c r="BM149" s="0" t="s">
        <v>228</v>
      </c>
      <c r="BN149" s="0" t="s">
        <v>228</v>
      </c>
      <c r="BO149" s="0" t="s">
        <v>228</v>
      </c>
      <c r="BP149" s="0" t="s">
        <v>228</v>
      </c>
      <c r="BQ149" s="0" t="s">
        <v>228</v>
      </c>
      <c r="BR149" s="0" t="s">
        <v>228</v>
      </c>
      <c r="BS149" s="0" t="s">
        <v>228</v>
      </c>
      <c r="BT149" s="0" t="s">
        <v>228</v>
      </c>
      <c r="BU149" s="0" t="s">
        <v>228</v>
      </c>
      <c r="BV149" s="0" t="s">
        <v>228</v>
      </c>
      <c r="BW149" s="0" t="s">
        <v>228</v>
      </c>
      <c r="BX149" s="0" t="s">
        <v>228</v>
      </c>
      <c r="BY149" s="0" t="s">
        <v>228</v>
      </c>
      <c r="BZ149" s="0" t="s">
        <v>228</v>
      </c>
      <c r="CA149" s="0" t="s">
        <v>228</v>
      </c>
      <c r="CB149" s="0" t="s">
        <v>228</v>
      </c>
      <c r="CC149" s="0" t="s">
        <v>228</v>
      </c>
      <c r="CD149" s="0" t="s">
        <v>228</v>
      </c>
      <c r="CE149" s="0" t="s">
        <v>228</v>
      </c>
      <c r="CF149" s="0" t="s">
        <v>228</v>
      </c>
      <c r="CG149" s="0" t="s">
        <v>228</v>
      </c>
      <c r="CH149" s="0" t="s">
        <v>228</v>
      </c>
      <c r="CI149" s="0" t="s">
        <v>228</v>
      </c>
      <c r="CJ149" s="0" t="s">
        <v>228</v>
      </c>
      <c r="CK149" s="0" t="s">
        <v>228</v>
      </c>
      <c r="CL149" s="0" t="s">
        <v>228</v>
      </c>
      <c r="CM149" s="0" t="s">
        <v>228</v>
      </c>
      <c r="CN149" s="0" t="s">
        <v>228</v>
      </c>
      <c r="CO149" s="0" t="s">
        <v>228</v>
      </c>
      <c r="CP149" s="0" t="s">
        <v>228</v>
      </c>
      <c r="CQ149" s="0" t="s">
        <v>228</v>
      </c>
      <c r="CR149" s="0" t="s">
        <v>228</v>
      </c>
      <c r="CS149" s="0" t="s">
        <v>228</v>
      </c>
      <c r="CT149" s="0" t="s">
        <v>3568</v>
      </c>
      <c r="CU149" s="0" t="s">
        <v>3569</v>
      </c>
      <c r="CV149" s="0" t="s">
        <v>418</v>
      </c>
      <c r="CW149" s="0" t="s">
        <v>3656</v>
      </c>
      <c r="CX149" s="0" t="s">
        <v>419</v>
      </c>
      <c r="CY149" s="0" t="s">
        <v>418</v>
      </c>
      <c r="CZ149" s="0" t="s">
        <v>3657</v>
      </c>
      <c r="DA149" s="0" t="s">
        <v>3658</v>
      </c>
      <c r="DB149" s="0" t="s">
        <v>3656</v>
      </c>
      <c r="DC149" s="0" t="s">
        <v>362</v>
      </c>
      <c r="DD149" s="0" t="s">
        <v>3572</v>
      </c>
      <c r="DE149" s="0" t="s">
        <v>4327</v>
      </c>
    </row>
    <row customHeight="1" ht="11.25">
      <c r="A150" s="1353" t="s">
        <v>228</v>
      </c>
      <c r="B150" s="0" t="s">
        <v>228</v>
      </c>
      <c r="C150" s="0" t="s">
        <v>228</v>
      </c>
      <c r="D150" s="0" t="s">
        <v>228</v>
      </c>
      <c r="E150" s="0" t="s">
        <v>228</v>
      </c>
      <c r="F150" s="0" t="s">
        <v>228</v>
      </c>
      <c r="G150" s="0" t="s">
        <v>228</v>
      </c>
      <c r="H150" s="0" t="s">
        <v>228</v>
      </c>
      <c r="I150" s="0" t="s">
        <v>3555</v>
      </c>
      <c r="J150" s="0" t="s">
        <v>228</v>
      </c>
      <c r="K150" s="0" t="s">
        <v>228</v>
      </c>
      <c r="L150" s="0" t="s">
        <v>228</v>
      </c>
      <c r="M150" s="0" t="s">
        <v>228</v>
      </c>
      <c r="N150" s="0" t="s">
        <v>228</v>
      </c>
      <c r="O150" s="0" t="s">
        <v>228</v>
      </c>
      <c r="P150" s="0" t="s">
        <v>228</v>
      </c>
      <c r="Q150" s="0" t="s">
        <v>228</v>
      </c>
      <c r="R150" s="0" t="s">
        <v>4328</v>
      </c>
      <c r="S150" s="0" t="s">
        <v>228</v>
      </c>
      <c r="T150" s="0" t="s">
        <v>228</v>
      </c>
      <c r="U150" s="0" t="s">
        <v>101</v>
      </c>
      <c r="V150" s="0" t="s">
        <v>228</v>
      </c>
      <c r="W150" s="0" t="s">
        <v>228</v>
      </c>
      <c r="X150" s="0" t="s">
        <v>3661</v>
      </c>
      <c r="Y150" s="0" t="s">
        <v>228</v>
      </c>
      <c r="Z150" s="0" t="s">
        <v>151</v>
      </c>
      <c r="AA150" s="0" t="s">
        <v>151</v>
      </c>
      <c r="AB150" s="0" t="s">
        <v>160</v>
      </c>
      <c r="AC150" s="0" t="s">
        <v>2315</v>
      </c>
      <c r="AD150" s="0" t="s">
        <v>2315</v>
      </c>
      <c r="AE150" s="0" t="s">
        <v>2316</v>
      </c>
      <c r="AF150" s="0" t="s">
        <v>4324</v>
      </c>
      <c r="AG150" s="0" t="s">
        <v>4325</v>
      </c>
      <c r="AH150" s="0" t="s">
        <v>3651</v>
      </c>
      <c r="AI150" s="0" t="s">
        <v>3651</v>
      </c>
      <c r="AJ150" s="0" t="s">
        <v>228</v>
      </c>
      <c r="AK150" s="0" t="s">
        <v>228</v>
      </c>
      <c r="AL150" s="0" t="s">
        <v>228</v>
      </c>
      <c r="AM150" s="0" t="s">
        <v>228</v>
      </c>
      <c r="AN150" s="0" t="s">
        <v>228</v>
      </c>
      <c r="AO150" s="0" t="s">
        <v>228</v>
      </c>
      <c r="AP150" s="0" t="s">
        <v>228</v>
      </c>
      <c r="AQ150" s="0" t="s">
        <v>228</v>
      </c>
      <c r="AR150" s="0" t="s">
        <v>228</v>
      </c>
      <c r="AS150" s="0" t="s">
        <v>228</v>
      </c>
      <c r="AT150" s="0" t="s">
        <v>228</v>
      </c>
      <c r="AU150" s="0" t="s">
        <v>228</v>
      </c>
      <c r="AV150" s="0" t="s">
        <v>228</v>
      </c>
      <c r="AW150" s="0" t="s">
        <v>228</v>
      </c>
      <c r="AX150" s="0" t="s">
        <v>228</v>
      </c>
      <c r="AY150" s="0" t="s">
        <v>228</v>
      </c>
      <c r="AZ150" s="0" t="s">
        <v>228</v>
      </c>
      <c r="BA150" s="0" t="s">
        <v>228</v>
      </c>
      <c r="BB150" s="0" t="s">
        <v>228</v>
      </c>
      <c r="BC150" s="0" t="s">
        <v>228</v>
      </c>
      <c r="BD150" s="0" t="s">
        <v>228</v>
      </c>
      <c r="BE150" s="0" t="s">
        <v>3652</v>
      </c>
      <c r="BF150" s="0" t="s">
        <v>4218</v>
      </c>
      <c r="BG150" s="0" t="s">
        <v>111</v>
      </c>
      <c r="BH150" s="0" t="s">
        <v>3665</v>
      </c>
      <c r="BI150" s="0" t="s">
        <v>122</v>
      </c>
      <c r="BJ150" s="0" t="s">
        <v>228</v>
      </c>
      <c r="BK150" s="0" t="s">
        <v>3684</v>
      </c>
      <c r="BL150" s="0" t="s">
        <v>2315</v>
      </c>
      <c r="BM150" s="0" t="s">
        <v>2315</v>
      </c>
      <c r="BN150" s="0" t="s">
        <v>3875</v>
      </c>
      <c r="BO150" s="0" t="s">
        <v>4324</v>
      </c>
      <c r="BP150" s="0" t="s">
        <v>4329</v>
      </c>
      <c r="BQ150" s="0" t="s">
        <v>3651</v>
      </c>
      <c r="BR150" s="0" t="s">
        <v>3651</v>
      </c>
      <c r="BS150" s="0" t="s">
        <v>228</v>
      </c>
      <c r="BT150" s="0" t="s">
        <v>3727</v>
      </c>
      <c r="BU150" s="0" t="s">
        <v>4330</v>
      </c>
      <c r="BV150" s="0" t="s">
        <v>4330</v>
      </c>
      <c r="BW150" s="0" t="s">
        <v>3674</v>
      </c>
      <c r="BX150" s="0" t="s">
        <v>3674</v>
      </c>
      <c r="BY150" s="0" t="s">
        <v>3674</v>
      </c>
      <c r="BZ150" s="0" t="s">
        <v>3674</v>
      </c>
      <c r="CA150" s="0" t="s">
        <v>3674</v>
      </c>
      <c r="CB150" s="0" t="s">
        <v>228</v>
      </c>
      <c r="CC150" s="0" t="s">
        <v>228</v>
      </c>
      <c r="CD150" s="0" t="s">
        <v>228</v>
      </c>
      <c r="CE150" s="0" t="s">
        <v>228</v>
      </c>
      <c r="CF150" s="0" t="s">
        <v>228</v>
      </c>
      <c r="CG150" s="0" t="s">
        <v>3674</v>
      </c>
      <c r="CH150" s="0" t="s">
        <v>228</v>
      </c>
      <c r="CI150" s="0" t="s">
        <v>228</v>
      </c>
      <c r="CJ150" s="0" t="s">
        <v>228</v>
      </c>
      <c r="CK150" s="0" t="s">
        <v>228</v>
      </c>
      <c r="CL150" s="0" t="s">
        <v>228</v>
      </c>
      <c r="CM150" s="0" t="s">
        <v>4330</v>
      </c>
      <c r="CN150" s="0" t="s">
        <v>4330</v>
      </c>
      <c r="CO150" s="0" t="s">
        <v>228</v>
      </c>
      <c r="CP150" s="0" t="s">
        <v>228</v>
      </c>
      <c r="CQ150" s="0" t="s">
        <v>228</v>
      </c>
      <c r="CR150" s="0" t="s">
        <v>228</v>
      </c>
      <c r="CS150" s="0" t="s">
        <v>3563</v>
      </c>
      <c r="CT150" s="0" t="s">
        <v>3568</v>
      </c>
      <c r="CU150" s="0" t="s">
        <v>3569</v>
      </c>
      <c r="CV150" s="0" t="s">
        <v>418</v>
      </c>
      <c r="CW150" s="0" t="s">
        <v>3656</v>
      </c>
      <c r="CX150" s="0" t="s">
        <v>419</v>
      </c>
      <c r="CY150" s="0" t="s">
        <v>418</v>
      </c>
      <c r="CZ150" s="0" t="s">
        <v>3657</v>
      </c>
      <c r="DA150" s="0" t="s">
        <v>3658</v>
      </c>
      <c r="DB150" s="0" t="s">
        <v>3656</v>
      </c>
      <c r="DC150" s="0" t="s">
        <v>362</v>
      </c>
      <c r="DD150" s="0" t="s">
        <v>3572</v>
      </c>
      <c r="DE150" s="0" t="s">
        <v>4331</v>
      </c>
    </row>
    <row customHeight="1" ht="11.25">
      <c r="A151" s="1353" t="s">
        <v>228</v>
      </c>
      <c r="B151" s="0" t="s">
        <v>228</v>
      </c>
      <c r="C151" s="0" t="s">
        <v>228</v>
      </c>
      <c r="D151" s="0" t="s">
        <v>228</v>
      </c>
      <c r="E151" s="0" t="s">
        <v>228</v>
      </c>
      <c r="F151" s="0" t="s">
        <v>228</v>
      </c>
      <c r="G151" s="0" t="s">
        <v>228</v>
      </c>
      <c r="H151" s="0" t="s">
        <v>228</v>
      </c>
      <c r="I151" s="0" t="s">
        <v>3555</v>
      </c>
      <c r="J151" s="0" t="s">
        <v>228</v>
      </c>
      <c r="K151" s="0" t="s">
        <v>228</v>
      </c>
      <c r="L151" s="0" t="s">
        <v>228</v>
      </c>
      <c r="M151" s="0" t="s">
        <v>228</v>
      </c>
      <c r="N151" s="0" t="s">
        <v>228</v>
      </c>
      <c r="O151" s="0" t="s">
        <v>228</v>
      </c>
      <c r="P151" s="0" t="s">
        <v>228</v>
      </c>
      <c r="Q151" s="0" t="s">
        <v>228</v>
      </c>
      <c r="R151" s="0" t="s">
        <v>3648</v>
      </c>
      <c r="S151" s="0" t="s">
        <v>228</v>
      </c>
      <c r="T151" s="0" t="s">
        <v>228</v>
      </c>
      <c r="U151" s="0" t="s">
        <v>101</v>
      </c>
      <c r="V151" s="0" t="s">
        <v>228</v>
      </c>
      <c r="W151" s="0" t="s">
        <v>228</v>
      </c>
      <c r="X151" s="0" t="s">
        <v>3557</v>
      </c>
      <c r="Y151" s="0" t="s">
        <v>228</v>
      </c>
      <c r="Z151" s="0" t="s">
        <v>160</v>
      </c>
      <c r="AA151" s="0" t="s">
        <v>151</v>
      </c>
      <c r="AB151" s="0" t="s">
        <v>151</v>
      </c>
      <c r="AC151" s="0" t="s">
        <v>2315</v>
      </c>
      <c r="AD151" s="0" t="s">
        <v>2315</v>
      </c>
      <c r="AE151" s="0" t="s">
        <v>2316</v>
      </c>
      <c r="AF151" s="0" t="s">
        <v>4332</v>
      </c>
      <c r="AG151" s="0" t="s">
        <v>4333</v>
      </c>
      <c r="AH151" s="0" t="s">
        <v>4067</v>
      </c>
      <c r="AI151" s="0" t="s">
        <v>4334</v>
      </c>
      <c r="AJ151" s="0" t="s">
        <v>3652</v>
      </c>
      <c r="AK151" s="0" t="s">
        <v>4183</v>
      </c>
      <c r="AL151" s="0" t="s">
        <v>3581</v>
      </c>
      <c r="AM151" s="0" t="s">
        <v>3565</v>
      </c>
      <c r="AN151" s="0" t="s">
        <v>3654</v>
      </c>
      <c r="AO151" s="0" t="s">
        <v>3701</v>
      </c>
      <c r="AP151" s="0" t="s">
        <v>228</v>
      </c>
      <c r="AQ151" s="0" t="s">
        <v>228</v>
      </c>
      <c r="AR151" s="0" t="s">
        <v>228</v>
      </c>
      <c r="AS151" s="0" t="s">
        <v>228</v>
      </c>
      <c r="AT151" s="0" t="s">
        <v>228</v>
      </c>
      <c r="AU151" s="0" t="s">
        <v>228</v>
      </c>
      <c r="AV151" s="0" t="s">
        <v>228</v>
      </c>
      <c r="AW151" s="0" t="s">
        <v>228</v>
      </c>
      <c r="AX151" s="0" t="s">
        <v>228</v>
      </c>
      <c r="AY151" s="0" t="s">
        <v>228</v>
      </c>
      <c r="AZ151" s="0" t="s">
        <v>228</v>
      </c>
      <c r="BA151" s="0" t="s">
        <v>228</v>
      </c>
      <c r="BB151" s="0" t="s">
        <v>228</v>
      </c>
      <c r="BC151" s="0" t="s">
        <v>228</v>
      </c>
      <c r="BD151" s="0" t="s">
        <v>228</v>
      </c>
      <c r="BE151" s="0" t="s">
        <v>228</v>
      </c>
      <c r="BF151" s="0" t="s">
        <v>228</v>
      </c>
      <c r="BG151" s="0" t="s">
        <v>228</v>
      </c>
      <c r="BH151" s="0" t="s">
        <v>228</v>
      </c>
      <c r="BI151" s="0" t="s">
        <v>228</v>
      </c>
      <c r="BJ151" s="0" t="s">
        <v>228</v>
      </c>
      <c r="BK151" s="0" t="s">
        <v>228</v>
      </c>
      <c r="BL151" s="0" t="s">
        <v>228</v>
      </c>
      <c r="BM151" s="0" t="s">
        <v>228</v>
      </c>
      <c r="BN151" s="0" t="s">
        <v>228</v>
      </c>
      <c r="BO151" s="0" t="s">
        <v>228</v>
      </c>
      <c r="BP151" s="0" t="s">
        <v>228</v>
      </c>
      <c r="BQ151" s="0" t="s">
        <v>228</v>
      </c>
      <c r="BR151" s="0" t="s">
        <v>228</v>
      </c>
      <c r="BS151" s="0" t="s">
        <v>228</v>
      </c>
      <c r="BT151" s="0" t="s">
        <v>228</v>
      </c>
      <c r="BU151" s="0" t="s">
        <v>228</v>
      </c>
      <c r="BV151" s="0" t="s">
        <v>228</v>
      </c>
      <c r="BW151" s="0" t="s">
        <v>228</v>
      </c>
      <c r="BX151" s="0" t="s">
        <v>228</v>
      </c>
      <c r="BY151" s="0" t="s">
        <v>228</v>
      </c>
      <c r="BZ151" s="0" t="s">
        <v>228</v>
      </c>
      <c r="CA151" s="0" t="s">
        <v>228</v>
      </c>
      <c r="CB151" s="0" t="s">
        <v>228</v>
      </c>
      <c r="CC151" s="0" t="s">
        <v>228</v>
      </c>
      <c r="CD151" s="0" t="s">
        <v>228</v>
      </c>
      <c r="CE151" s="0" t="s">
        <v>228</v>
      </c>
      <c r="CF151" s="0" t="s">
        <v>228</v>
      </c>
      <c r="CG151" s="0" t="s">
        <v>228</v>
      </c>
      <c r="CH151" s="0" t="s">
        <v>228</v>
      </c>
      <c r="CI151" s="0" t="s">
        <v>228</v>
      </c>
      <c r="CJ151" s="0" t="s">
        <v>228</v>
      </c>
      <c r="CK151" s="0" t="s">
        <v>228</v>
      </c>
      <c r="CL151" s="0" t="s">
        <v>228</v>
      </c>
      <c r="CM151" s="0" t="s">
        <v>228</v>
      </c>
      <c r="CN151" s="0" t="s">
        <v>228</v>
      </c>
      <c r="CO151" s="0" t="s">
        <v>228</v>
      </c>
      <c r="CP151" s="0" t="s">
        <v>228</v>
      </c>
      <c r="CQ151" s="0" t="s">
        <v>228</v>
      </c>
      <c r="CR151" s="0" t="s">
        <v>228</v>
      </c>
      <c r="CS151" s="0" t="s">
        <v>228</v>
      </c>
      <c r="CT151" s="0" t="s">
        <v>3568</v>
      </c>
      <c r="CU151" s="0" t="s">
        <v>3569</v>
      </c>
      <c r="CV151" s="0" t="s">
        <v>418</v>
      </c>
      <c r="CW151" s="0" t="s">
        <v>3656</v>
      </c>
      <c r="CX151" s="0" t="s">
        <v>419</v>
      </c>
      <c r="CY151" s="0" t="s">
        <v>418</v>
      </c>
      <c r="CZ151" s="0" t="s">
        <v>3657</v>
      </c>
      <c r="DA151" s="0" t="s">
        <v>3658</v>
      </c>
      <c r="DB151" s="0" t="s">
        <v>3656</v>
      </c>
      <c r="DC151" s="0" t="s">
        <v>362</v>
      </c>
      <c r="DD151" s="0" t="s">
        <v>3572</v>
      </c>
      <c r="DE151" s="0" t="s">
        <v>4335</v>
      </c>
    </row>
    <row customHeight="1" ht="11.25">
      <c r="A152" s="1353" t="s">
        <v>228</v>
      </c>
      <c r="B152" s="0" t="s">
        <v>228</v>
      </c>
      <c r="C152" s="0" t="s">
        <v>228</v>
      </c>
      <c r="D152" s="0" t="s">
        <v>228</v>
      </c>
      <c r="E152" s="0" t="s">
        <v>228</v>
      </c>
      <c r="F152" s="0" t="s">
        <v>228</v>
      </c>
      <c r="G152" s="0" t="s">
        <v>228</v>
      </c>
      <c r="H152" s="0" t="s">
        <v>228</v>
      </c>
      <c r="I152" s="0" t="s">
        <v>3555</v>
      </c>
      <c r="J152" s="0" t="s">
        <v>228</v>
      </c>
      <c r="K152" s="0" t="s">
        <v>228</v>
      </c>
      <c r="L152" s="0" t="s">
        <v>228</v>
      </c>
      <c r="M152" s="0" t="s">
        <v>228</v>
      </c>
      <c r="N152" s="0" t="s">
        <v>228</v>
      </c>
      <c r="O152" s="0" t="s">
        <v>228</v>
      </c>
      <c r="P152" s="0" t="s">
        <v>228</v>
      </c>
      <c r="Q152" s="0" t="s">
        <v>228</v>
      </c>
      <c r="R152" s="0" t="s">
        <v>4336</v>
      </c>
      <c r="S152" s="0" t="s">
        <v>228</v>
      </c>
      <c r="T152" s="0" t="s">
        <v>228</v>
      </c>
      <c r="U152" s="0" t="s">
        <v>101</v>
      </c>
      <c r="V152" s="0" t="s">
        <v>228</v>
      </c>
      <c r="W152" s="0" t="s">
        <v>228</v>
      </c>
      <c r="X152" s="0" t="s">
        <v>3661</v>
      </c>
      <c r="Y152" s="0" t="s">
        <v>228</v>
      </c>
      <c r="Z152" s="0" t="s">
        <v>151</v>
      </c>
      <c r="AA152" s="0" t="s">
        <v>151</v>
      </c>
      <c r="AB152" s="0" t="s">
        <v>160</v>
      </c>
      <c r="AC152" s="0" t="s">
        <v>2721</v>
      </c>
      <c r="AD152" s="0" t="s">
        <v>2721</v>
      </c>
      <c r="AE152" s="0" t="s">
        <v>2722</v>
      </c>
      <c r="AF152" s="0" t="s">
        <v>4024</v>
      </c>
      <c r="AG152" s="0" t="s">
        <v>4025</v>
      </c>
      <c r="AH152" s="0" t="s">
        <v>4146</v>
      </c>
      <c r="AI152" s="0" t="s">
        <v>151</v>
      </c>
      <c r="AJ152" s="0" t="s">
        <v>228</v>
      </c>
      <c r="AK152" s="0" t="s">
        <v>228</v>
      </c>
      <c r="AL152" s="0" t="s">
        <v>228</v>
      </c>
      <c r="AM152" s="0" t="s">
        <v>228</v>
      </c>
      <c r="AN152" s="0" t="s">
        <v>228</v>
      </c>
      <c r="AO152" s="0" t="s">
        <v>228</v>
      </c>
      <c r="AP152" s="0" t="s">
        <v>228</v>
      </c>
      <c r="AQ152" s="0" t="s">
        <v>228</v>
      </c>
      <c r="AR152" s="0" t="s">
        <v>228</v>
      </c>
      <c r="AS152" s="0" t="s">
        <v>228</v>
      </c>
      <c r="AT152" s="0" t="s">
        <v>228</v>
      </c>
      <c r="AU152" s="0" t="s">
        <v>228</v>
      </c>
      <c r="AV152" s="0" t="s">
        <v>228</v>
      </c>
      <c r="AW152" s="0" t="s">
        <v>228</v>
      </c>
      <c r="AX152" s="0" t="s">
        <v>228</v>
      </c>
      <c r="AY152" s="0" t="s">
        <v>228</v>
      </c>
      <c r="AZ152" s="0" t="s">
        <v>228</v>
      </c>
      <c r="BA152" s="0" t="s">
        <v>228</v>
      </c>
      <c r="BB152" s="0" t="s">
        <v>228</v>
      </c>
      <c r="BC152" s="0" t="s">
        <v>228</v>
      </c>
      <c r="BD152" s="0" t="s">
        <v>228</v>
      </c>
      <c r="BE152" s="0" t="s">
        <v>4337</v>
      </c>
      <c r="BF152" s="0" t="s">
        <v>4338</v>
      </c>
      <c r="BG152" s="0" t="s">
        <v>111</v>
      </c>
      <c r="BH152" s="0" t="s">
        <v>3665</v>
      </c>
      <c r="BI152" s="0" t="s">
        <v>122</v>
      </c>
      <c r="BJ152" s="0" t="s">
        <v>228</v>
      </c>
      <c r="BK152" s="0" t="s">
        <v>4339</v>
      </c>
      <c r="BL152" s="0" t="s">
        <v>2721</v>
      </c>
      <c r="BM152" s="0" t="s">
        <v>2721</v>
      </c>
      <c r="BN152" s="0" t="s">
        <v>4149</v>
      </c>
      <c r="BO152" s="0" t="s">
        <v>4024</v>
      </c>
      <c r="BP152" s="0" t="s">
        <v>4150</v>
      </c>
      <c r="BQ152" s="0" t="s">
        <v>4340</v>
      </c>
      <c r="BR152" s="0" t="s">
        <v>151</v>
      </c>
      <c r="BS152" s="0" t="s">
        <v>228</v>
      </c>
      <c r="BT152" s="0" t="s">
        <v>3670</v>
      </c>
      <c r="BU152" s="0" t="s">
        <v>4341</v>
      </c>
      <c r="BV152" s="0" t="s">
        <v>4341</v>
      </c>
      <c r="BW152" s="0" t="s">
        <v>3674</v>
      </c>
      <c r="BX152" s="0" t="s">
        <v>3674</v>
      </c>
      <c r="BY152" s="0" t="s">
        <v>3674</v>
      </c>
      <c r="BZ152" s="0" t="s">
        <v>3674</v>
      </c>
      <c r="CA152" s="0" t="s">
        <v>3674</v>
      </c>
      <c r="CB152" s="0" t="s">
        <v>3674</v>
      </c>
      <c r="CC152" s="0" t="s">
        <v>3674</v>
      </c>
      <c r="CD152" s="0" t="s">
        <v>3674</v>
      </c>
      <c r="CE152" s="0" t="s">
        <v>3674</v>
      </c>
      <c r="CF152" s="0" t="s">
        <v>3674</v>
      </c>
      <c r="CG152" s="0" t="s">
        <v>3674</v>
      </c>
      <c r="CH152" s="0" t="s">
        <v>3674</v>
      </c>
      <c r="CI152" s="0" t="s">
        <v>3674</v>
      </c>
      <c r="CJ152" s="0" t="s">
        <v>3674</v>
      </c>
      <c r="CK152" s="0" t="s">
        <v>3674</v>
      </c>
      <c r="CL152" s="0" t="s">
        <v>3674</v>
      </c>
      <c r="CM152" s="0" t="s">
        <v>4341</v>
      </c>
      <c r="CN152" s="0" t="s">
        <v>4341</v>
      </c>
      <c r="CO152" s="0" t="s">
        <v>3674</v>
      </c>
      <c r="CP152" s="0" t="s">
        <v>3674</v>
      </c>
      <c r="CQ152" s="0" t="s">
        <v>3674</v>
      </c>
      <c r="CR152" s="0" t="s">
        <v>3674</v>
      </c>
      <c r="CS152" s="0" t="s">
        <v>4342</v>
      </c>
      <c r="CT152" s="0" t="s">
        <v>3568</v>
      </c>
      <c r="CU152" s="0" t="s">
        <v>3569</v>
      </c>
      <c r="CV152" s="0" t="s">
        <v>4030</v>
      </c>
      <c r="CW152" s="0" t="s">
        <v>4031</v>
      </c>
      <c r="CX152" s="0" t="s">
        <v>3603</v>
      </c>
      <c r="CY152" s="0" t="s">
        <v>4030</v>
      </c>
      <c r="CZ152" s="0" t="s">
        <v>3608</v>
      </c>
      <c r="DA152" s="0" t="s">
        <v>4032</v>
      </c>
      <c r="DB152" s="0" t="s">
        <v>3676</v>
      </c>
      <c r="DC152" s="0" t="s">
        <v>362</v>
      </c>
      <c r="DD152" s="0" t="s">
        <v>3572</v>
      </c>
      <c r="DE152" s="0" t="s">
        <v>4156</v>
      </c>
    </row>
    <row customHeight="1" ht="11.25">
      <c r="A153" s="1353" t="s">
        <v>228</v>
      </c>
      <c r="B153" s="0" t="s">
        <v>228</v>
      </c>
      <c r="C153" s="0" t="s">
        <v>228</v>
      </c>
      <c r="D153" s="0" t="s">
        <v>228</v>
      </c>
      <c r="E153" s="0" t="s">
        <v>228</v>
      </c>
      <c r="F153" s="0" t="s">
        <v>228</v>
      </c>
      <c r="G153" s="0" t="s">
        <v>228</v>
      </c>
      <c r="H153" s="0" t="s">
        <v>228</v>
      </c>
      <c r="I153" s="0" t="s">
        <v>3555</v>
      </c>
      <c r="J153" s="0" t="s">
        <v>228</v>
      </c>
      <c r="K153" s="0" t="s">
        <v>228</v>
      </c>
      <c r="L153" s="0" t="s">
        <v>228</v>
      </c>
      <c r="M153" s="0" t="s">
        <v>228</v>
      </c>
      <c r="N153" s="0" t="s">
        <v>228</v>
      </c>
      <c r="O153" s="0" t="s">
        <v>228</v>
      </c>
      <c r="P153" s="0" t="s">
        <v>228</v>
      </c>
      <c r="Q153" s="0" t="s">
        <v>228</v>
      </c>
      <c r="R153" s="0" t="s">
        <v>3648</v>
      </c>
      <c r="S153" s="0" t="s">
        <v>228</v>
      </c>
      <c r="T153" s="0" t="s">
        <v>228</v>
      </c>
      <c r="U153" s="0" t="s">
        <v>101</v>
      </c>
      <c r="V153" s="0" t="s">
        <v>228</v>
      </c>
      <c r="W153" s="0" t="s">
        <v>228</v>
      </c>
      <c r="X153" s="0" t="s">
        <v>3557</v>
      </c>
      <c r="Y153" s="0" t="s">
        <v>228</v>
      </c>
      <c r="Z153" s="0" t="s">
        <v>160</v>
      </c>
      <c r="AA153" s="0" t="s">
        <v>151</v>
      </c>
      <c r="AB153" s="0" t="s">
        <v>151</v>
      </c>
      <c r="AC153" s="0" t="s">
        <v>2315</v>
      </c>
      <c r="AD153" s="0" t="s">
        <v>2315</v>
      </c>
      <c r="AE153" s="0" t="s">
        <v>2316</v>
      </c>
      <c r="AF153" s="0" t="s">
        <v>4343</v>
      </c>
      <c r="AG153" s="0" t="s">
        <v>4344</v>
      </c>
      <c r="AH153" s="0" t="s">
        <v>4345</v>
      </c>
      <c r="AI153" s="0" t="s">
        <v>4346</v>
      </c>
      <c r="AJ153" s="0" t="s">
        <v>3652</v>
      </c>
      <c r="AK153" s="0" t="s">
        <v>4347</v>
      </c>
      <c r="AL153" s="0" t="s">
        <v>3581</v>
      </c>
      <c r="AM153" s="0" t="s">
        <v>3565</v>
      </c>
      <c r="AN153" s="0" t="s">
        <v>3654</v>
      </c>
      <c r="AO153" s="0" t="s">
        <v>3712</v>
      </c>
      <c r="AP153" s="0" t="s">
        <v>228</v>
      </c>
      <c r="AQ153" s="0" t="s">
        <v>228</v>
      </c>
      <c r="AR153" s="0" t="s">
        <v>228</v>
      </c>
      <c r="AS153" s="0" t="s">
        <v>228</v>
      </c>
      <c r="AT153" s="0" t="s">
        <v>228</v>
      </c>
      <c r="AU153" s="0" t="s">
        <v>228</v>
      </c>
      <c r="AV153" s="0" t="s">
        <v>228</v>
      </c>
      <c r="AW153" s="0" t="s">
        <v>228</v>
      </c>
      <c r="AX153" s="0" t="s">
        <v>228</v>
      </c>
      <c r="AY153" s="0" t="s">
        <v>228</v>
      </c>
      <c r="AZ153" s="0" t="s">
        <v>228</v>
      </c>
      <c r="BA153" s="0" t="s">
        <v>228</v>
      </c>
      <c r="BB153" s="0" t="s">
        <v>228</v>
      </c>
      <c r="BC153" s="0" t="s">
        <v>228</v>
      </c>
      <c r="BD153" s="0" t="s">
        <v>228</v>
      </c>
      <c r="BE153" s="0" t="s">
        <v>228</v>
      </c>
      <c r="BF153" s="0" t="s">
        <v>228</v>
      </c>
      <c r="BG153" s="0" t="s">
        <v>228</v>
      </c>
      <c r="BH153" s="0" t="s">
        <v>228</v>
      </c>
      <c r="BI153" s="0" t="s">
        <v>228</v>
      </c>
      <c r="BJ153" s="0" t="s">
        <v>228</v>
      </c>
      <c r="BK153" s="0" t="s">
        <v>228</v>
      </c>
      <c r="BL153" s="0" t="s">
        <v>228</v>
      </c>
      <c r="BM153" s="0" t="s">
        <v>228</v>
      </c>
      <c r="BN153" s="0" t="s">
        <v>228</v>
      </c>
      <c r="BO153" s="0" t="s">
        <v>228</v>
      </c>
      <c r="BP153" s="0" t="s">
        <v>228</v>
      </c>
      <c r="BQ153" s="0" t="s">
        <v>228</v>
      </c>
      <c r="BR153" s="0" t="s">
        <v>228</v>
      </c>
      <c r="BS153" s="0" t="s">
        <v>228</v>
      </c>
      <c r="BT153" s="0" t="s">
        <v>228</v>
      </c>
      <c r="BU153" s="0" t="s">
        <v>228</v>
      </c>
      <c r="BV153" s="0" t="s">
        <v>228</v>
      </c>
      <c r="BW153" s="0" t="s">
        <v>228</v>
      </c>
      <c r="BX153" s="0" t="s">
        <v>228</v>
      </c>
      <c r="BY153" s="0" t="s">
        <v>228</v>
      </c>
      <c r="BZ153" s="0" t="s">
        <v>228</v>
      </c>
      <c r="CA153" s="0" t="s">
        <v>228</v>
      </c>
      <c r="CB153" s="0" t="s">
        <v>228</v>
      </c>
      <c r="CC153" s="0" t="s">
        <v>228</v>
      </c>
      <c r="CD153" s="0" t="s">
        <v>228</v>
      </c>
      <c r="CE153" s="0" t="s">
        <v>228</v>
      </c>
      <c r="CF153" s="0" t="s">
        <v>228</v>
      </c>
      <c r="CG153" s="0" t="s">
        <v>228</v>
      </c>
      <c r="CH153" s="0" t="s">
        <v>228</v>
      </c>
      <c r="CI153" s="0" t="s">
        <v>228</v>
      </c>
      <c r="CJ153" s="0" t="s">
        <v>228</v>
      </c>
      <c r="CK153" s="0" t="s">
        <v>228</v>
      </c>
      <c r="CL153" s="0" t="s">
        <v>228</v>
      </c>
      <c r="CM153" s="0" t="s">
        <v>228</v>
      </c>
      <c r="CN153" s="0" t="s">
        <v>228</v>
      </c>
      <c r="CO153" s="0" t="s">
        <v>228</v>
      </c>
      <c r="CP153" s="0" t="s">
        <v>228</v>
      </c>
      <c r="CQ153" s="0" t="s">
        <v>228</v>
      </c>
      <c r="CR153" s="0" t="s">
        <v>228</v>
      </c>
      <c r="CS153" s="0" t="s">
        <v>228</v>
      </c>
      <c r="CT153" s="0" t="s">
        <v>3568</v>
      </c>
      <c r="CU153" s="0" t="s">
        <v>3569</v>
      </c>
      <c r="CV153" s="0" t="s">
        <v>418</v>
      </c>
      <c r="CW153" s="0" t="s">
        <v>3656</v>
      </c>
      <c r="CX153" s="0" t="s">
        <v>419</v>
      </c>
      <c r="CY153" s="0" t="s">
        <v>418</v>
      </c>
      <c r="CZ153" s="0" t="s">
        <v>3657</v>
      </c>
      <c r="DA153" s="0" t="s">
        <v>3658</v>
      </c>
      <c r="DB153" s="0" t="s">
        <v>3656</v>
      </c>
      <c r="DC153" s="0" t="s">
        <v>362</v>
      </c>
      <c r="DD153" s="0" t="s">
        <v>3572</v>
      </c>
      <c r="DE153" s="0" t="s">
        <v>4348</v>
      </c>
    </row>
    <row customHeight="1" ht="11.25">
      <c r="A154" s="1353" t="s">
        <v>228</v>
      </c>
      <c r="B154" s="0" t="s">
        <v>228</v>
      </c>
      <c r="C154" s="0" t="s">
        <v>228</v>
      </c>
      <c r="D154" s="0" t="s">
        <v>228</v>
      </c>
      <c r="E154" s="0" t="s">
        <v>228</v>
      </c>
      <c r="F154" s="0" t="s">
        <v>228</v>
      </c>
      <c r="G154" s="0" t="s">
        <v>228</v>
      </c>
      <c r="H154" s="0" t="s">
        <v>228</v>
      </c>
      <c r="I154" s="0" t="s">
        <v>3555</v>
      </c>
      <c r="J154" s="0" t="s">
        <v>228</v>
      </c>
      <c r="K154" s="0" t="s">
        <v>228</v>
      </c>
      <c r="L154" s="0" t="s">
        <v>228</v>
      </c>
      <c r="M154" s="0" t="s">
        <v>228</v>
      </c>
      <c r="N154" s="0" t="s">
        <v>228</v>
      </c>
      <c r="O154" s="0" t="s">
        <v>228</v>
      </c>
      <c r="P154" s="0" t="s">
        <v>228</v>
      </c>
      <c r="Q154" s="0" t="s">
        <v>228</v>
      </c>
      <c r="R154" s="0" t="s">
        <v>4349</v>
      </c>
      <c r="S154" s="0" t="s">
        <v>228</v>
      </c>
      <c r="T154" s="0" t="s">
        <v>228</v>
      </c>
      <c r="U154" s="0" t="s">
        <v>101</v>
      </c>
      <c r="V154" s="0" t="s">
        <v>228</v>
      </c>
      <c r="W154" s="0" t="s">
        <v>228</v>
      </c>
      <c r="X154" s="0" t="s">
        <v>3988</v>
      </c>
      <c r="Y154" s="0" t="s">
        <v>228</v>
      </c>
      <c r="Z154" s="0" t="s">
        <v>151</v>
      </c>
      <c r="AA154" s="0" t="s">
        <v>160</v>
      </c>
      <c r="AB154" s="0" t="s">
        <v>151</v>
      </c>
      <c r="AC154" s="0" t="s">
        <v>2721</v>
      </c>
      <c r="AD154" s="0" t="s">
        <v>2721</v>
      </c>
      <c r="AE154" s="0" t="s">
        <v>2722</v>
      </c>
      <c r="AF154" s="0" t="s">
        <v>4024</v>
      </c>
      <c r="AG154" s="0" t="s">
        <v>4025</v>
      </c>
      <c r="AH154" s="0" t="s">
        <v>4146</v>
      </c>
      <c r="AI154" s="0" t="s">
        <v>151</v>
      </c>
      <c r="AJ154" s="0" t="s">
        <v>228</v>
      </c>
      <c r="AK154" s="0" t="s">
        <v>228</v>
      </c>
      <c r="AL154" s="0" t="s">
        <v>228</v>
      </c>
      <c r="AM154" s="0" t="s">
        <v>228</v>
      </c>
      <c r="AN154" s="0" t="s">
        <v>228</v>
      </c>
      <c r="AO154" s="0" t="s">
        <v>228</v>
      </c>
      <c r="AP154" s="0" t="s">
        <v>4350</v>
      </c>
      <c r="AQ154" s="0" t="s">
        <v>4351</v>
      </c>
      <c r="AR154" s="0" t="s">
        <v>111</v>
      </c>
      <c r="AS154" s="0" t="s">
        <v>3665</v>
      </c>
      <c r="AT154" s="0" t="s">
        <v>122</v>
      </c>
      <c r="AU154" s="0" t="s">
        <v>228</v>
      </c>
      <c r="AV154" s="0" t="s">
        <v>4352</v>
      </c>
      <c r="AW154" s="0" t="s">
        <v>2721</v>
      </c>
      <c r="AX154" s="0" t="s">
        <v>2721</v>
      </c>
      <c r="AY154" s="0" t="s">
        <v>4149</v>
      </c>
      <c r="AZ154" s="0" t="s">
        <v>4024</v>
      </c>
      <c r="BA154" s="0" t="s">
        <v>4150</v>
      </c>
      <c r="BB154" s="0" t="s">
        <v>4146</v>
      </c>
      <c r="BC154" s="0" t="s">
        <v>151</v>
      </c>
      <c r="BD154" s="0" t="s">
        <v>4337</v>
      </c>
      <c r="BE154" s="0" t="s">
        <v>228</v>
      </c>
      <c r="BF154" s="0" t="s">
        <v>228</v>
      </c>
      <c r="BG154" s="0" t="s">
        <v>228</v>
      </c>
      <c r="BH154" s="0" t="s">
        <v>228</v>
      </c>
      <c r="BI154" s="0" t="s">
        <v>228</v>
      </c>
      <c r="BJ154" s="0" t="s">
        <v>228</v>
      </c>
      <c r="BK154" s="0" t="s">
        <v>228</v>
      </c>
      <c r="BL154" s="0" t="s">
        <v>228</v>
      </c>
      <c r="BM154" s="0" t="s">
        <v>228</v>
      </c>
      <c r="BN154" s="0" t="s">
        <v>228</v>
      </c>
      <c r="BO154" s="0" t="s">
        <v>228</v>
      </c>
      <c r="BP154" s="0" t="s">
        <v>228</v>
      </c>
      <c r="BQ154" s="0" t="s">
        <v>228</v>
      </c>
      <c r="BR154" s="0" t="s">
        <v>228</v>
      </c>
      <c r="BS154" s="0" t="s">
        <v>228</v>
      </c>
      <c r="BT154" s="0" t="s">
        <v>228</v>
      </c>
      <c r="BU154" s="0" t="s">
        <v>228</v>
      </c>
      <c r="BV154" s="0" t="s">
        <v>228</v>
      </c>
      <c r="BW154" s="0" t="s">
        <v>228</v>
      </c>
      <c r="BX154" s="0" t="s">
        <v>228</v>
      </c>
      <c r="BY154" s="0" t="s">
        <v>228</v>
      </c>
      <c r="BZ154" s="0" t="s">
        <v>228</v>
      </c>
      <c r="CA154" s="0" t="s">
        <v>228</v>
      </c>
      <c r="CB154" s="0" t="s">
        <v>228</v>
      </c>
      <c r="CC154" s="0" t="s">
        <v>228</v>
      </c>
      <c r="CD154" s="0" t="s">
        <v>228</v>
      </c>
      <c r="CE154" s="0" t="s">
        <v>228</v>
      </c>
      <c r="CF154" s="0" t="s">
        <v>228</v>
      </c>
      <c r="CG154" s="0" t="s">
        <v>228</v>
      </c>
      <c r="CH154" s="0" t="s">
        <v>228</v>
      </c>
      <c r="CI154" s="0" t="s">
        <v>228</v>
      </c>
      <c r="CJ154" s="0" t="s">
        <v>228</v>
      </c>
      <c r="CK154" s="0" t="s">
        <v>228</v>
      </c>
      <c r="CL154" s="0" t="s">
        <v>228</v>
      </c>
      <c r="CM154" s="0" t="s">
        <v>228</v>
      </c>
      <c r="CN154" s="0" t="s">
        <v>228</v>
      </c>
      <c r="CO154" s="0" t="s">
        <v>228</v>
      </c>
      <c r="CP154" s="0" t="s">
        <v>228</v>
      </c>
      <c r="CQ154" s="0" t="s">
        <v>228</v>
      </c>
      <c r="CR154" s="0" t="s">
        <v>228</v>
      </c>
      <c r="CS154" s="0" t="s">
        <v>228</v>
      </c>
      <c r="CT154" s="0" t="s">
        <v>3568</v>
      </c>
      <c r="CU154" s="0" t="s">
        <v>3569</v>
      </c>
      <c r="CV154" s="0" t="s">
        <v>4030</v>
      </c>
      <c r="CW154" s="0" t="s">
        <v>4031</v>
      </c>
      <c r="CX154" s="0" t="s">
        <v>3603</v>
      </c>
      <c r="CY154" s="0" t="s">
        <v>4030</v>
      </c>
      <c r="CZ154" s="0" t="s">
        <v>3608</v>
      </c>
      <c r="DA154" s="0" t="s">
        <v>4032</v>
      </c>
      <c r="DB154" s="0" t="s">
        <v>3676</v>
      </c>
      <c r="DC154" s="0" t="s">
        <v>362</v>
      </c>
      <c r="DD154" s="0" t="s">
        <v>3572</v>
      </c>
      <c r="DE154" s="0" t="s">
        <v>4156</v>
      </c>
    </row>
    <row customHeight="1" ht="11.25">
      <c r="A155" s="1353" t="s">
        <v>228</v>
      </c>
      <c r="B155" s="0" t="s">
        <v>228</v>
      </c>
      <c r="C155" s="0" t="s">
        <v>228</v>
      </c>
      <c r="D155" s="0" t="s">
        <v>228</v>
      </c>
      <c r="E155" s="0" t="s">
        <v>228</v>
      </c>
      <c r="F155" s="0" t="s">
        <v>228</v>
      </c>
      <c r="G155" s="0" t="s">
        <v>228</v>
      </c>
      <c r="H155" s="0" t="s">
        <v>228</v>
      </c>
      <c r="I155" s="0" t="s">
        <v>3555</v>
      </c>
      <c r="J155" s="0" t="s">
        <v>228</v>
      </c>
      <c r="K155" s="0" t="s">
        <v>228</v>
      </c>
      <c r="L155" s="0" t="s">
        <v>228</v>
      </c>
      <c r="M155" s="0" t="s">
        <v>228</v>
      </c>
      <c r="N155" s="0" t="s">
        <v>228</v>
      </c>
      <c r="O155" s="0" t="s">
        <v>228</v>
      </c>
      <c r="P155" s="0" t="s">
        <v>228</v>
      </c>
      <c r="Q155" s="0" t="s">
        <v>228</v>
      </c>
      <c r="R155" s="0" t="s">
        <v>4353</v>
      </c>
      <c r="S155" s="0" t="s">
        <v>228</v>
      </c>
      <c r="T155" s="0" t="s">
        <v>228</v>
      </c>
      <c r="U155" s="0" t="s">
        <v>101</v>
      </c>
      <c r="V155" s="0" t="s">
        <v>228</v>
      </c>
      <c r="W155" s="0" t="s">
        <v>228</v>
      </c>
      <c r="X155" s="0" t="s">
        <v>3557</v>
      </c>
      <c r="Y155" s="0" t="s">
        <v>228</v>
      </c>
      <c r="Z155" s="0" t="s">
        <v>160</v>
      </c>
      <c r="AA155" s="0" t="s">
        <v>151</v>
      </c>
      <c r="AB155" s="0" t="s">
        <v>151</v>
      </c>
      <c r="AC155" s="0" t="s">
        <v>2311</v>
      </c>
      <c r="AD155" s="0" t="s">
        <v>2311</v>
      </c>
      <c r="AE155" s="0" t="s">
        <v>2312</v>
      </c>
      <c r="AF155" s="0" t="s">
        <v>3685</v>
      </c>
      <c r="AG155" s="0" t="s">
        <v>3686</v>
      </c>
      <c r="AH155" s="0" t="s">
        <v>3577</v>
      </c>
      <c r="AI155" s="0" t="s">
        <v>4354</v>
      </c>
      <c r="AJ155" s="0" t="s">
        <v>4355</v>
      </c>
      <c r="AK155" s="0" t="s">
        <v>3808</v>
      </c>
      <c r="AL155" s="0" t="s">
        <v>3581</v>
      </c>
      <c r="AM155" s="0" t="s">
        <v>3565</v>
      </c>
      <c r="AN155" s="0" t="s">
        <v>3582</v>
      </c>
      <c r="AO155" s="0" t="s">
        <v>3689</v>
      </c>
      <c r="AP155" s="0" t="s">
        <v>228</v>
      </c>
      <c r="AQ155" s="0" t="s">
        <v>228</v>
      </c>
      <c r="AR155" s="0" t="s">
        <v>228</v>
      </c>
      <c r="AS155" s="0" t="s">
        <v>228</v>
      </c>
      <c r="AT155" s="0" t="s">
        <v>228</v>
      </c>
      <c r="AU155" s="0" t="s">
        <v>228</v>
      </c>
      <c r="AV155" s="0" t="s">
        <v>228</v>
      </c>
      <c r="AW155" s="0" t="s">
        <v>228</v>
      </c>
      <c r="AX155" s="0" t="s">
        <v>228</v>
      </c>
      <c r="AY155" s="0" t="s">
        <v>228</v>
      </c>
      <c r="AZ155" s="0" t="s">
        <v>228</v>
      </c>
      <c r="BA155" s="0" t="s">
        <v>228</v>
      </c>
      <c r="BB155" s="0" t="s">
        <v>228</v>
      </c>
      <c r="BC155" s="0" t="s">
        <v>228</v>
      </c>
      <c r="BD155" s="0" t="s">
        <v>228</v>
      </c>
      <c r="BE155" s="0" t="s">
        <v>228</v>
      </c>
      <c r="BF155" s="0" t="s">
        <v>228</v>
      </c>
      <c r="BG155" s="0" t="s">
        <v>228</v>
      </c>
      <c r="BH155" s="0" t="s">
        <v>228</v>
      </c>
      <c r="BI155" s="0" t="s">
        <v>228</v>
      </c>
      <c r="BJ155" s="0" t="s">
        <v>228</v>
      </c>
      <c r="BK155" s="0" t="s">
        <v>228</v>
      </c>
      <c r="BL155" s="0" t="s">
        <v>228</v>
      </c>
      <c r="BM155" s="0" t="s">
        <v>228</v>
      </c>
      <c r="BN155" s="0" t="s">
        <v>228</v>
      </c>
      <c r="BO155" s="0" t="s">
        <v>228</v>
      </c>
      <c r="BP155" s="0" t="s">
        <v>228</v>
      </c>
      <c r="BQ155" s="0" t="s">
        <v>228</v>
      </c>
      <c r="BR155" s="0" t="s">
        <v>228</v>
      </c>
      <c r="BS155" s="0" t="s">
        <v>228</v>
      </c>
      <c r="BT155" s="0" t="s">
        <v>228</v>
      </c>
      <c r="BU155" s="0" t="s">
        <v>228</v>
      </c>
      <c r="BV155" s="0" t="s">
        <v>228</v>
      </c>
      <c r="BW155" s="0" t="s">
        <v>228</v>
      </c>
      <c r="BX155" s="0" t="s">
        <v>228</v>
      </c>
      <c r="BY155" s="0" t="s">
        <v>228</v>
      </c>
      <c r="BZ155" s="0" t="s">
        <v>228</v>
      </c>
      <c r="CA155" s="0" t="s">
        <v>228</v>
      </c>
      <c r="CB155" s="0" t="s">
        <v>228</v>
      </c>
      <c r="CC155" s="0" t="s">
        <v>228</v>
      </c>
      <c r="CD155" s="0" t="s">
        <v>228</v>
      </c>
      <c r="CE155" s="0" t="s">
        <v>228</v>
      </c>
      <c r="CF155" s="0" t="s">
        <v>228</v>
      </c>
      <c r="CG155" s="0" t="s">
        <v>228</v>
      </c>
      <c r="CH155" s="0" t="s">
        <v>228</v>
      </c>
      <c r="CI155" s="0" t="s">
        <v>228</v>
      </c>
      <c r="CJ155" s="0" t="s">
        <v>228</v>
      </c>
      <c r="CK155" s="0" t="s">
        <v>228</v>
      </c>
      <c r="CL155" s="0" t="s">
        <v>228</v>
      </c>
      <c r="CM155" s="0" t="s">
        <v>228</v>
      </c>
      <c r="CN155" s="0" t="s">
        <v>228</v>
      </c>
      <c r="CO155" s="0" t="s">
        <v>228</v>
      </c>
      <c r="CP155" s="0" t="s">
        <v>228</v>
      </c>
      <c r="CQ155" s="0" t="s">
        <v>228</v>
      </c>
      <c r="CR155" s="0" t="s">
        <v>228</v>
      </c>
      <c r="CS155" s="0" t="s">
        <v>228</v>
      </c>
      <c r="CT155" s="0" t="s">
        <v>3568</v>
      </c>
      <c r="CU155" s="0" t="s">
        <v>3569</v>
      </c>
      <c r="CV155" s="0" t="s">
        <v>418</v>
      </c>
      <c r="CW155" s="0" t="s">
        <v>3584</v>
      </c>
      <c r="CX155" s="0" t="s">
        <v>419</v>
      </c>
      <c r="CY155" s="0" t="s">
        <v>418</v>
      </c>
      <c r="CZ155" s="0" t="s">
        <v>3585</v>
      </c>
      <c r="DA155" s="0" t="s">
        <v>3586</v>
      </c>
      <c r="DB155" s="0" t="s">
        <v>3584</v>
      </c>
      <c r="DC155" s="0" t="s">
        <v>362</v>
      </c>
      <c r="DD155" s="0" t="s">
        <v>3572</v>
      </c>
      <c r="DE155" s="0" t="s">
        <v>4356</v>
      </c>
    </row>
    <row customHeight="1" ht="11.25">
      <c r="A156" s="1353" t="s">
        <v>228</v>
      </c>
      <c r="B156" s="0" t="s">
        <v>228</v>
      </c>
      <c r="C156" s="0" t="s">
        <v>228</v>
      </c>
      <c r="D156" s="0" t="s">
        <v>228</v>
      </c>
      <c r="E156" s="0" t="s">
        <v>228</v>
      </c>
      <c r="F156" s="0" t="s">
        <v>228</v>
      </c>
      <c r="G156" s="0" t="s">
        <v>228</v>
      </c>
      <c r="H156" s="0" t="s">
        <v>228</v>
      </c>
      <c r="I156" s="0" t="s">
        <v>3555</v>
      </c>
      <c r="J156" s="0" t="s">
        <v>228</v>
      </c>
      <c r="K156" s="0" t="s">
        <v>228</v>
      </c>
      <c r="L156" s="0" t="s">
        <v>228</v>
      </c>
      <c r="M156" s="0" t="s">
        <v>228</v>
      </c>
      <c r="N156" s="0" t="s">
        <v>228</v>
      </c>
      <c r="O156" s="0" t="s">
        <v>228</v>
      </c>
      <c r="P156" s="0" t="s">
        <v>228</v>
      </c>
      <c r="Q156" s="0" t="s">
        <v>228</v>
      </c>
      <c r="R156" s="0" t="s">
        <v>4357</v>
      </c>
      <c r="S156" s="0" t="s">
        <v>228</v>
      </c>
      <c r="T156" s="0" t="s">
        <v>228</v>
      </c>
      <c r="U156" s="0" t="s">
        <v>101</v>
      </c>
      <c r="V156" s="0" t="s">
        <v>228</v>
      </c>
      <c r="W156" s="0" t="s">
        <v>228</v>
      </c>
      <c r="X156" s="0" t="s">
        <v>3661</v>
      </c>
      <c r="Y156" s="0" t="s">
        <v>228</v>
      </c>
      <c r="Z156" s="0" t="s">
        <v>151</v>
      </c>
      <c r="AA156" s="0" t="s">
        <v>151</v>
      </c>
      <c r="AB156" s="0" t="s">
        <v>160</v>
      </c>
      <c r="AC156" s="0" t="s">
        <v>2317</v>
      </c>
      <c r="AD156" s="0" t="s">
        <v>2317</v>
      </c>
      <c r="AE156" s="0" t="s">
        <v>2318</v>
      </c>
      <c r="AF156" s="0" t="s">
        <v>4283</v>
      </c>
      <c r="AG156" s="0" t="s">
        <v>4284</v>
      </c>
      <c r="AH156" s="0" t="s">
        <v>3651</v>
      </c>
      <c r="AI156" s="0" t="s">
        <v>3651</v>
      </c>
      <c r="AJ156" s="0" t="s">
        <v>228</v>
      </c>
      <c r="AK156" s="0" t="s">
        <v>228</v>
      </c>
      <c r="AL156" s="0" t="s">
        <v>228</v>
      </c>
      <c r="AM156" s="0" t="s">
        <v>228</v>
      </c>
      <c r="AN156" s="0" t="s">
        <v>228</v>
      </c>
      <c r="AO156" s="0" t="s">
        <v>228</v>
      </c>
      <c r="AP156" s="0" t="s">
        <v>228</v>
      </c>
      <c r="AQ156" s="0" t="s">
        <v>228</v>
      </c>
      <c r="AR156" s="0" t="s">
        <v>228</v>
      </c>
      <c r="AS156" s="0" t="s">
        <v>228</v>
      </c>
      <c r="AT156" s="0" t="s">
        <v>228</v>
      </c>
      <c r="AU156" s="0" t="s">
        <v>228</v>
      </c>
      <c r="AV156" s="0" t="s">
        <v>228</v>
      </c>
      <c r="AW156" s="0" t="s">
        <v>228</v>
      </c>
      <c r="AX156" s="0" t="s">
        <v>228</v>
      </c>
      <c r="AY156" s="0" t="s">
        <v>228</v>
      </c>
      <c r="AZ156" s="0" t="s">
        <v>228</v>
      </c>
      <c r="BA156" s="0" t="s">
        <v>228</v>
      </c>
      <c r="BB156" s="0" t="s">
        <v>228</v>
      </c>
      <c r="BC156" s="0" t="s">
        <v>228</v>
      </c>
      <c r="BD156" s="0" t="s">
        <v>228</v>
      </c>
      <c r="BE156" s="0" t="s">
        <v>3627</v>
      </c>
      <c r="BF156" s="0" t="s">
        <v>3749</v>
      </c>
      <c r="BG156" s="0" t="s">
        <v>111</v>
      </c>
      <c r="BH156" s="0" t="s">
        <v>3665</v>
      </c>
      <c r="BI156" s="0" t="s">
        <v>122</v>
      </c>
      <c r="BJ156" s="0" t="s">
        <v>228</v>
      </c>
      <c r="BK156" s="0" t="s">
        <v>3684</v>
      </c>
      <c r="BL156" s="0" t="s">
        <v>2317</v>
      </c>
      <c r="BM156" s="0" t="s">
        <v>2317</v>
      </c>
      <c r="BN156" s="0" t="s">
        <v>3740</v>
      </c>
      <c r="BO156" s="0" t="s">
        <v>4283</v>
      </c>
      <c r="BP156" s="0" t="s">
        <v>4358</v>
      </c>
      <c r="BQ156" s="0" t="s">
        <v>3651</v>
      </c>
      <c r="BR156" s="0" t="s">
        <v>3651</v>
      </c>
      <c r="BS156" s="0" t="s">
        <v>228</v>
      </c>
      <c r="BT156" s="0" t="s">
        <v>3727</v>
      </c>
      <c r="BU156" s="0" t="s">
        <v>4359</v>
      </c>
      <c r="BV156" s="0" t="s">
        <v>4359</v>
      </c>
      <c r="BW156" s="0" t="s">
        <v>3674</v>
      </c>
      <c r="BX156" s="0" t="s">
        <v>3674</v>
      </c>
      <c r="BY156" s="0" t="s">
        <v>3674</v>
      </c>
      <c r="BZ156" s="0" t="s">
        <v>3674</v>
      </c>
      <c r="CA156" s="0" t="s">
        <v>3674</v>
      </c>
      <c r="CB156" s="0" t="s">
        <v>228</v>
      </c>
      <c r="CC156" s="0" t="s">
        <v>228</v>
      </c>
      <c r="CD156" s="0" t="s">
        <v>228</v>
      </c>
      <c r="CE156" s="0" t="s">
        <v>228</v>
      </c>
      <c r="CF156" s="0" t="s">
        <v>228</v>
      </c>
      <c r="CG156" s="0" t="s">
        <v>3674</v>
      </c>
      <c r="CH156" s="0" t="s">
        <v>228</v>
      </c>
      <c r="CI156" s="0" t="s">
        <v>228</v>
      </c>
      <c r="CJ156" s="0" t="s">
        <v>228</v>
      </c>
      <c r="CK156" s="0" t="s">
        <v>228</v>
      </c>
      <c r="CL156" s="0" t="s">
        <v>228</v>
      </c>
      <c r="CM156" s="0" t="s">
        <v>4359</v>
      </c>
      <c r="CN156" s="0" t="s">
        <v>4359</v>
      </c>
      <c r="CO156" s="0" t="s">
        <v>228</v>
      </c>
      <c r="CP156" s="0" t="s">
        <v>228</v>
      </c>
      <c r="CQ156" s="0" t="s">
        <v>228</v>
      </c>
      <c r="CR156" s="0" t="s">
        <v>228</v>
      </c>
      <c r="CS156" s="0" t="s">
        <v>3743</v>
      </c>
      <c r="CT156" s="0" t="s">
        <v>3568</v>
      </c>
      <c r="CU156" s="0" t="s">
        <v>3569</v>
      </c>
      <c r="CV156" s="0" t="s">
        <v>418</v>
      </c>
      <c r="CW156" s="0" t="s">
        <v>3622</v>
      </c>
      <c r="CX156" s="0" t="s">
        <v>419</v>
      </c>
      <c r="CY156" s="0" t="s">
        <v>418</v>
      </c>
      <c r="CZ156" s="0" t="s">
        <v>3623</v>
      </c>
      <c r="DA156" s="0" t="s">
        <v>3624</v>
      </c>
      <c r="DB156" s="0" t="s">
        <v>3622</v>
      </c>
      <c r="DC156" s="0" t="s">
        <v>362</v>
      </c>
      <c r="DD156" s="0" t="s">
        <v>3572</v>
      </c>
      <c r="DE156" s="0" t="s">
        <v>4360</v>
      </c>
    </row>
    <row customHeight="1" ht="11.25">
      <c r="A157" s="1353" t="s">
        <v>228</v>
      </c>
      <c r="B157" s="0" t="s">
        <v>228</v>
      </c>
      <c r="C157" s="0" t="s">
        <v>228</v>
      </c>
      <c r="D157" s="0" t="s">
        <v>228</v>
      </c>
      <c r="E157" s="0" t="s">
        <v>228</v>
      </c>
      <c r="F157" s="0" t="s">
        <v>228</v>
      </c>
      <c r="G157" s="0" t="s">
        <v>228</v>
      </c>
      <c r="H157" s="0" t="s">
        <v>228</v>
      </c>
      <c r="I157" s="0" t="s">
        <v>3555</v>
      </c>
      <c r="J157" s="0" t="s">
        <v>228</v>
      </c>
      <c r="K157" s="0" t="s">
        <v>228</v>
      </c>
      <c r="L157" s="0" t="s">
        <v>228</v>
      </c>
      <c r="M157" s="0" t="s">
        <v>228</v>
      </c>
      <c r="N157" s="0" t="s">
        <v>228</v>
      </c>
      <c r="O157" s="0" t="s">
        <v>228</v>
      </c>
      <c r="P157" s="0" t="s">
        <v>228</v>
      </c>
      <c r="Q157" s="0" t="s">
        <v>228</v>
      </c>
      <c r="R157" s="0" t="s">
        <v>4361</v>
      </c>
      <c r="S157" s="0" t="s">
        <v>228</v>
      </c>
      <c r="T157" s="0" t="s">
        <v>228</v>
      </c>
      <c r="U157" s="0" t="s">
        <v>101</v>
      </c>
      <c r="V157" s="0" t="s">
        <v>228</v>
      </c>
      <c r="W157" s="0" t="s">
        <v>228</v>
      </c>
      <c r="X157" s="0" t="s">
        <v>3557</v>
      </c>
      <c r="Y157" s="0" t="s">
        <v>228</v>
      </c>
      <c r="Z157" s="0" t="s">
        <v>160</v>
      </c>
      <c r="AA157" s="0" t="s">
        <v>151</v>
      </c>
      <c r="AB157" s="0" t="s">
        <v>151</v>
      </c>
      <c r="AC157" s="0" t="s">
        <v>2715</v>
      </c>
      <c r="AD157" s="0" t="s">
        <v>2715</v>
      </c>
      <c r="AE157" s="0" t="s">
        <v>2716</v>
      </c>
      <c r="AF157" s="0" t="s">
        <v>3594</v>
      </c>
      <c r="AG157" s="0" t="s">
        <v>3595</v>
      </c>
      <c r="AH157" s="0" t="s">
        <v>4362</v>
      </c>
      <c r="AI157" s="0" t="s">
        <v>3608</v>
      </c>
      <c r="AJ157" s="0" t="s">
        <v>3858</v>
      </c>
      <c r="AK157" s="0" t="s">
        <v>4363</v>
      </c>
      <c r="AL157" s="0" t="s">
        <v>3599</v>
      </c>
      <c r="AM157" s="0" t="s">
        <v>3565</v>
      </c>
      <c r="AN157" s="0" t="s">
        <v>4364</v>
      </c>
      <c r="AO157" s="0" t="s">
        <v>4365</v>
      </c>
      <c r="AP157" s="0" t="s">
        <v>228</v>
      </c>
      <c r="AQ157" s="0" t="s">
        <v>228</v>
      </c>
      <c r="AR157" s="0" t="s">
        <v>228</v>
      </c>
      <c r="AS157" s="0" t="s">
        <v>228</v>
      </c>
      <c r="AT157" s="0" t="s">
        <v>228</v>
      </c>
      <c r="AU157" s="0" t="s">
        <v>228</v>
      </c>
      <c r="AV157" s="0" t="s">
        <v>228</v>
      </c>
      <c r="AW157" s="0" t="s">
        <v>228</v>
      </c>
      <c r="AX157" s="0" t="s">
        <v>228</v>
      </c>
      <c r="AY157" s="0" t="s">
        <v>228</v>
      </c>
      <c r="AZ157" s="0" t="s">
        <v>228</v>
      </c>
      <c r="BA157" s="0" t="s">
        <v>228</v>
      </c>
      <c r="BB157" s="0" t="s">
        <v>228</v>
      </c>
      <c r="BC157" s="0" t="s">
        <v>228</v>
      </c>
      <c r="BD157" s="0" t="s">
        <v>228</v>
      </c>
      <c r="BE157" s="0" t="s">
        <v>228</v>
      </c>
      <c r="BF157" s="0" t="s">
        <v>228</v>
      </c>
      <c r="BG157" s="0" t="s">
        <v>228</v>
      </c>
      <c r="BH157" s="0" t="s">
        <v>228</v>
      </c>
      <c r="BI157" s="0" t="s">
        <v>228</v>
      </c>
      <c r="BJ157" s="0" t="s">
        <v>228</v>
      </c>
      <c r="BK157" s="0" t="s">
        <v>228</v>
      </c>
      <c r="BL157" s="0" t="s">
        <v>228</v>
      </c>
      <c r="BM157" s="0" t="s">
        <v>228</v>
      </c>
      <c r="BN157" s="0" t="s">
        <v>228</v>
      </c>
      <c r="BO157" s="0" t="s">
        <v>228</v>
      </c>
      <c r="BP157" s="0" t="s">
        <v>228</v>
      </c>
      <c r="BQ157" s="0" t="s">
        <v>228</v>
      </c>
      <c r="BR157" s="0" t="s">
        <v>228</v>
      </c>
      <c r="BS157" s="0" t="s">
        <v>228</v>
      </c>
      <c r="BT157" s="0" t="s">
        <v>228</v>
      </c>
      <c r="BU157" s="0" t="s">
        <v>228</v>
      </c>
      <c r="BV157" s="0" t="s">
        <v>228</v>
      </c>
      <c r="BW157" s="0" t="s">
        <v>228</v>
      </c>
      <c r="BX157" s="0" t="s">
        <v>228</v>
      </c>
      <c r="BY157" s="0" t="s">
        <v>228</v>
      </c>
      <c r="BZ157" s="0" t="s">
        <v>228</v>
      </c>
      <c r="CA157" s="0" t="s">
        <v>228</v>
      </c>
      <c r="CB157" s="0" t="s">
        <v>228</v>
      </c>
      <c r="CC157" s="0" t="s">
        <v>228</v>
      </c>
      <c r="CD157" s="0" t="s">
        <v>228</v>
      </c>
      <c r="CE157" s="0" t="s">
        <v>228</v>
      </c>
      <c r="CF157" s="0" t="s">
        <v>228</v>
      </c>
      <c r="CG157" s="0" t="s">
        <v>228</v>
      </c>
      <c r="CH157" s="0" t="s">
        <v>228</v>
      </c>
      <c r="CI157" s="0" t="s">
        <v>228</v>
      </c>
      <c r="CJ157" s="0" t="s">
        <v>228</v>
      </c>
      <c r="CK157" s="0" t="s">
        <v>228</v>
      </c>
      <c r="CL157" s="0" t="s">
        <v>228</v>
      </c>
      <c r="CM157" s="0" t="s">
        <v>228</v>
      </c>
      <c r="CN157" s="0" t="s">
        <v>228</v>
      </c>
      <c r="CO157" s="0" t="s">
        <v>228</v>
      </c>
      <c r="CP157" s="0" t="s">
        <v>228</v>
      </c>
      <c r="CQ157" s="0" t="s">
        <v>228</v>
      </c>
      <c r="CR157" s="0" t="s">
        <v>228</v>
      </c>
      <c r="CS157" s="0" t="s">
        <v>228</v>
      </c>
      <c r="CT157" s="0" t="s">
        <v>3568</v>
      </c>
      <c r="CU157" s="0" t="s">
        <v>3569</v>
      </c>
      <c r="CV157" s="0" t="s">
        <v>418</v>
      </c>
      <c r="CW157" s="0" t="s">
        <v>3602</v>
      </c>
      <c r="CX157" s="0" t="s">
        <v>3603</v>
      </c>
      <c r="CY157" s="0" t="s">
        <v>418</v>
      </c>
      <c r="CZ157" s="0" t="s">
        <v>504</v>
      </c>
      <c r="DA157" s="0" t="s">
        <v>3604</v>
      </c>
      <c r="DB157" s="0" t="s">
        <v>3602</v>
      </c>
      <c r="DC157" s="0" t="s">
        <v>362</v>
      </c>
      <c r="DD157" s="0" t="s">
        <v>3572</v>
      </c>
      <c r="DE157" s="0" t="s">
        <v>4366</v>
      </c>
    </row>
    <row customHeight="1" ht="11.25">
      <c r="A158" s="1353" t="s">
        <v>228</v>
      </c>
      <c r="B158" s="0" t="s">
        <v>228</v>
      </c>
      <c r="C158" s="0" t="s">
        <v>228</v>
      </c>
      <c r="D158" s="0" t="s">
        <v>228</v>
      </c>
      <c r="E158" s="0" t="s">
        <v>228</v>
      </c>
      <c r="F158" s="0" t="s">
        <v>228</v>
      </c>
      <c r="G158" s="0" t="s">
        <v>228</v>
      </c>
      <c r="H158" s="0" t="s">
        <v>228</v>
      </c>
      <c r="I158" s="0" t="s">
        <v>3555</v>
      </c>
      <c r="J158" s="0" t="s">
        <v>228</v>
      </c>
      <c r="K158" s="0" t="s">
        <v>228</v>
      </c>
      <c r="L158" s="0" t="s">
        <v>228</v>
      </c>
      <c r="M158" s="0" t="s">
        <v>228</v>
      </c>
      <c r="N158" s="0" t="s">
        <v>228</v>
      </c>
      <c r="O158" s="0" t="s">
        <v>228</v>
      </c>
      <c r="P158" s="0" t="s">
        <v>228</v>
      </c>
      <c r="Q158" s="0" t="s">
        <v>228</v>
      </c>
      <c r="R158" s="0" t="s">
        <v>4367</v>
      </c>
      <c r="S158" s="0" t="s">
        <v>228</v>
      </c>
      <c r="T158" s="0" t="s">
        <v>228</v>
      </c>
      <c r="U158" s="0" t="s">
        <v>101</v>
      </c>
      <c r="V158" s="0" t="s">
        <v>228</v>
      </c>
      <c r="W158" s="0" t="s">
        <v>228</v>
      </c>
      <c r="X158" s="0" t="s">
        <v>3557</v>
      </c>
      <c r="Y158" s="0" t="s">
        <v>228</v>
      </c>
      <c r="Z158" s="0" t="s">
        <v>160</v>
      </c>
      <c r="AA158" s="0" t="s">
        <v>151</v>
      </c>
      <c r="AB158" s="0" t="s">
        <v>151</v>
      </c>
      <c r="AC158" s="0" t="s">
        <v>2715</v>
      </c>
      <c r="AD158" s="0" t="s">
        <v>2715</v>
      </c>
      <c r="AE158" s="0" t="s">
        <v>2716</v>
      </c>
      <c r="AF158" s="0" t="s">
        <v>3594</v>
      </c>
      <c r="AG158" s="0" t="s">
        <v>3595</v>
      </c>
      <c r="AH158" s="0" t="s">
        <v>4368</v>
      </c>
      <c r="AI158" s="0" t="s">
        <v>489</v>
      </c>
      <c r="AJ158" s="0" t="s">
        <v>3636</v>
      </c>
      <c r="AK158" s="0" t="s">
        <v>4369</v>
      </c>
      <c r="AL158" s="0" t="s">
        <v>3599</v>
      </c>
      <c r="AM158" s="0" t="s">
        <v>3565</v>
      </c>
      <c r="AN158" s="0" t="s">
        <v>4370</v>
      </c>
      <c r="AO158" s="0" t="s">
        <v>4371</v>
      </c>
      <c r="AP158" s="0" t="s">
        <v>228</v>
      </c>
      <c r="AQ158" s="0" t="s">
        <v>228</v>
      </c>
      <c r="AR158" s="0" t="s">
        <v>228</v>
      </c>
      <c r="AS158" s="0" t="s">
        <v>228</v>
      </c>
      <c r="AT158" s="0" t="s">
        <v>228</v>
      </c>
      <c r="AU158" s="0" t="s">
        <v>228</v>
      </c>
      <c r="AV158" s="0" t="s">
        <v>228</v>
      </c>
      <c r="AW158" s="0" t="s">
        <v>228</v>
      </c>
      <c r="AX158" s="0" t="s">
        <v>228</v>
      </c>
      <c r="AY158" s="0" t="s">
        <v>228</v>
      </c>
      <c r="AZ158" s="0" t="s">
        <v>228</v>
      </c>
      <c r="BA158" s="0" t="s">
        <v>228</v>
      </c>
      <c r="BB158" s="0" t="s">
        <v>228</v>
      </c>
      <c r="BC158" s="0" t="s">
        <v>228</v>
      </c>
      <c r="BD158" s="0" t="s">
        <v>228</v>
      </c>
      <c r="BE158" s="0" t="s">
        <v>228</v>
      </c>
      <c r="BF158" s="0" t="s">
        <v>228</v>
      </c>
      <c r="BG158" s="0" t="s">
        <v>228</v>
      </c>
      <c r="BH158" s="0" t="s">
        <v>228</v>
      </c>
      <c r="BI158" s="0" t="s">
        <v>228</v>
      </c>
      <c r="BJ158" s="0" t="s">
        <v>228</v>
      </c>
      <c r="BK158" s="0" t="s">
        <v>228</v>
      </c>
      <c r="BL158" s="0" t="s">
        <v>228</v>
      </c>
      <c r="BM158" s="0" t="s">
        <v>228</v>
      </c>
      <c r="BN158" s="0" t="s">
        <v>228</v>
      </c>
      <c r="BO158" s="0" t="s">
        <v>228</v>
      </c>
      <c r="BP158" s="0" t="s">
        <v>228</v>
      </c>
      <c r="BQ158" s="0" t="s">
        <v>228</v>
      </c>
      <c r="BR158" s="0" t="s">
        <v>228</v>
      </c>
      <c r="BS158" s="0" t="s">
        <v>228</v>
      </c>
      <c r="BT158" s="0" t="s">
        <v>228</v>
      </c>
      <c r="BU158" s="0" t="s">
        <v>228</v>
      </c>
      <c r="BV158" s="0" t="s">
        <v>228</v>
      </c>
      <c r="BW158" s="0" t="s">
        <v>228</v>
      </c>
      <c r="BX158" s="0" t="s">
        <v>228</v>
      </c>
      <c r="BY158" s="0" t="s">
        <v>228</v>
      </c>
      <c r="BZ158" s="0" t="s">
        <v>228</v>
      </c>
      <c r="CA158" s="0" t="s">
        <v>228</v>
      </c>
      <c r="CB158" s="0" t="s">
        <v>228</v>
      </c>
      <c r="CC158" s="0" t="s">
        <v>228</v>
      </c>
      <c r="CD158" s="0" t="s">
        <v>228</v>
      </c>
      <c r="CE158" s="0" t="s">
        <v>228</v>
      </c>
      <c r="CF158" s="0" t="s">
        <v>228</v>
      </c>
      <c r="CG158" s="0" t="s">
        <v>228</v>
      </c>
      <c r="CH158" s="0" t="s">
        <v>228</v>
      </c>
      <c r="CI158" s="0" t="s">
        <v>228</v>
      </c>
      <c r="CJ158" s="0" t="s">
        <v>228</v>
      </c>
      <c r="CK158" s="0" t="s">
        <v>228</v>
      </c>
      <c r="CL158" s="0" t="s">
        <v>228</v>
      </c>
      <c r="CM158" s="0" t="s">
        <v>228</v>
      </c>
      <c r="CN158" s="0" t="s">
        <v>228</v>
      </c>
      <c r="CO158" s="0" t="s">
        <v>228</v>
      </c>
      <c r="CP158" s="0" t="s">
        <v>228</v>
      </c>
      <c r="CQ158" s="0" t="s">
        <v>228</v>
      </c>
      <c r="CR158" s="0" t="s">
        <v>228</v>
      </c>
      <c r="CS158" s="0" t="s">
        <v>228</v>
      </c>
      <c r="CT158" s="0" t="s">
        <v>3568</v>
      </c>
      <c r="CU158" s="0" t="s">
        <v>3569</v>
      </c>
      <c r="CV158" s="0" t="s">
        <v>418</v>
      </c>
      <c r="CW158" s="0" t="s">
        <v>3602</v>
      </c>
      <c r="CX158" s="0" t="s">
        <v>3603</v>
      </c>
      <c r="CY158" s="0" t="s">
        <v>418</v>
      </c>
      <c r="CZ158" s="0" t="s">
        <v>504</v>
      </c>
      <c r="DA158" s="0" t="s">
        <v>3604</v>
      </c>
      <c r="DB158" s="0" t="s">
        <v>3602</v>
      </c>
      <c r="DC158" s="0" t="s">
        <v>362</v>
      </c>
      <c r="DD158" s="0" t="s">
        <v>3572</v>
      </c>
      <c r="DE158" s="0" t="s">
        <v>4372</v>
      </c>
    </row>
    <row customHeight="1" ht="11.25">
      <c r="A159" s="1353" t="s">
        <v>228</v>
      </c>
      <c r="B159" s="0" t="s">
        <v>228</v>
      </c>
      <c r="C159" s="0" t="s">
        <v>228</v>
      </c>
      <c r="D159" s="0" t="s">
        <v>228</v>
      </c>
      <c r="E159" s="0" t="s">
        <v>228</v>
      </c>
      <c r="F159" s="0" t="s">
        <v>228</v>
      </c>
      <c r="G159" s="0" t="s">
        <v>228</v>
      </c>
      <c r="H159" s="0" t="s">
        <v>228</v>
      </c>
      <c r="I159" s="0" t="s">
        <v>3555</v>
      </c>
      <c r="J159" s="0" t="s">
        <v>228</v>
      </c>
      <c r="K159" s="0" t="s">
        <v>228</v>
      </c>
      <c r="L159" s="0" t="s">
        <v>228</v>
      </c>
      <c r="M159" s="0" t="s">
        <v>228</v>
      </c>
      <c r="N159" s="0" t="s">
        <v>228</v>
      </c>
      <c r="O159" s="0" t="s">
        <v>228</v>
      </c>
      <c r="P159" s="0" t="s">
        <v>228</v>
      </c>
      <c r="Q159" s="0" t="s">
        <v>228</v>
      </c>
      <c r="R159" s="0" t="s">
        <v>4373</v>
      </c>
      <c r="S159" s="0" t="s">
        <v>228</v>
      </c>
      <c r="T159" s="0" t="s">
        <v>228</v>
      </c>
      <c r="U159" s="0" t="s">
        <v>101</v>
      </c>
      <c r="V159" s="0" t="s">
        <v>228</v>
      </c>
      <c r="W159" s="0" t="s">
        <v>228</v>
      </c>
      <c r="X159" s="0" t="s">
        <v>3661</v>
      </c>
      <c r="Y159" s="0" t="s">
        <v>228</v>
      </c>
      <c r="Z159" s="0" t="s">
        <v>151</v>
      </c>
      <c r="AA159" s="0" t="s">
        <v>151</v>
      </c>
      <c r="AB159" s="0" t="s">
        <v>160</v>
      </c>
      <c r="AC159" s="0" t="s">
        <v>2315</v>
      </c>
      <c r="AD159" s="0" t="s">
        <v>2315</v>
      </c>
      <c r="AE159" s="0" t="s">
        <v>2316</v>
      </c>
      <c r="AF159" s="0" t="s">
        <v>4109</v>
      </c>
      <c r="AG159" s="0" t="s">
        <v>4110</v>
      </c>
      <c r="AH159" s="0" t="s">
        <v>3651</v>
      </c>
      <c r="AI159" s="0" t="s">
        <v>3651</v>
      </c>
      <c r="AJ159" s="0" t="s">
        <v>228</v>
      </c>
      <c r="AK159" s="0" t="s">
        <v>228</v>
      </c>
      <c r="AL159" s="0" t="s">
        <v>228</v>
      </c>
      <c r="AM159" s="0" t="s">
        <v>228</v>
      </c>
      <c r="AN159" s="0" t="s">
        <v>228</v>
      </c>
      <c r="AO159" s="0" t="s">
        <v>228</v>
      </c>
      <c r="AP159" s="0" t="s">
        <v>228</v>
      </c>
      <c r="AQ159" s="0" t="s">
        <v>228</v>
      </c>
      <c r="AR159" s="0" t="s">
        <v>228</v>
      </c>
      <c r="AS159" s="0" t="s">
        <v>228</v>
      </c>
      <c r="AT159" s="0" t="s">
        <v>228</v>
      </c>
      <c r="AU159" s="0" t="s">
        <v>228</v>
      </c>
      <c r="AV159" s="0" t="s">
        <v>228</v>
      </c>
      <c r="AW159" s="0" t="s">
        <v>228</v>
      </c>
      <c r="AX159" s="0" t="s">
        <v>228</v>
      </c>
      <c r="AY159" s="0" t="s">
        <v>228</v>
      </c>
      <c r="AZ159" s="0" t="s">
        <v>228</v>
      </c>
      <c r="BA159" s="0" t="s">
        <v>228</v>
      </c>
      <c r="BB159" s="0" t="s">
        <v>228</v>
      </c>
      <c r="BC159" s="0" t="s">
        <v>228</v>
      </c>
      <c r="BD159" s="0" t="s">
        <v>228</v>
      </c>
      <c r="BE159" s="0" t="s">
        <v>3652</v>
      </c>
      <c r="BF159" s="0" t="s">
        <v>4111</v>
      </c>
      <c r="BG159" s="0" t="s">
        <v>111</v>
      </c>
      <c r="BH159" s="0" t="s">
        <v>3665</v>
      </c>
      <c r="BI159" s="0" t="s">
        <v>122</v>
      </c>
      <c r="BJ159" s="0" t="s">
        <v>228</v>
      </c>
      <c r="BK159" s="0" t="s">
        <v>3684</v>
      </c>
      <c r="BL159" s="0" t="s">
        <v>2315</v>
      </c>
      <c r="BM159" s="0" t="s">
        <v>2315</v>
      </c>
      <c r="BN159" s="0" t="s">
        <v>3875</v>
      </c>
      <c r="BO159" s="0" t="s">
        <v>4109</v>
      </c>
      <c r="BP159" s="0" t="s">
        <v>4374</v>
      </c>
      <c r="BQ159" s="0" t="s">
        <v>3651</v>
      </c>
      <c r="BR159" s="0" t="s">
        <v>3651</v>
      </c>
      <c r="BS159" s="0" t="s">
        <v>228</v>
      </c>
      <c r="BT159" s="0" t="s">
        <v>3727</v>
      </c>
      <c r="BU159" s="0" t="s">
        <v>4375</v>
      </c>
      <c r="BV159" s="0" t="s">
        <v>4375</v>
      </c>
      <c r="BW159" s="0" t="s">
        <v>3674</v>
      </c>
      <c r="BX159" s="0" t="s">
        <v>3674</v>
      </c>
      <c r="BY159" s="0" t="s">
        <v>3674</v>
      </c>
      <c r="BZ159" s="0" t="s">
        <v>3674</v>
      </c>
      <c r="CA159" s="0" t="s">
        <v>3674</v>
      </c>
      <c r="CB159" s="0" t="s">
        <v>228</v>
      </c>
      <c r="CC159" s="0" t="s">
        <v>228</v>
      </c>
      <c r="CD159" s="0" t="s">
        <v>228</v>
      </c>
      <c r="CE159" s="0" t="s">
        <v>228</v>
      </c>
      <c r="CF159" s="0" t="s">
        <v>228</v>
      </c>
      <c r="CG159" s="0" t="s">
        <v>3674</v>
      </c>
      <c r="CH159" s="0" t="s">
        <v>228</v>
      </c>
      <c r="CI159" s="0" t="s">
        <v>228</v>
      </c>
      <c r="CJ159" s="0" t="s">
        <v>228</v>
      </c>
      <c r="CK159" s="0" t="s">
        <v>228</v>
      </c>
      <c r="CL159" s="0" t="s">
        <v>228</v>
      </c>
      <c r="CM159" s="0" t="s">
        <v>4375</v>
      </c>
      <c r="CN159" s="0" t="s">
        <v>4375</v>
      </c>
      <c r="CO159" s="0" t="s">
        <v>228</v>
      </c>
      <c r="CP159" s="0" t="s">
        <v>228</v>
      </c>
      <c r="CQ159" s="0" t="s">
        <v>228</v>
      </c>
      <c r="CR159" s="0" t="s">
        <v>228</v>
      </c>
      <c r="CS159" s="0" t="s">
        <v>3628</v>
      </c>
      <c r="CT159" s="0" t="s">
        <v>3568</v>
      </c>
      <c r="CU159" s="0" t="s">
        <v>3569</v>
      </c>
      <c r="CV159" s="0" t="s">
        <v>418</v>
      </c>
      <c r="CW159" s="0" t="s">
        <v>3656</v>
      </c>
      <c r="CX159" s="0" t="s">
        <v>419</v>
      </c>
      <c r="CY159" s="0" t="s">
        <v>418</v>
      </c>
      <c r="CZ159" s="0" t="s">
        <v>3657</v>
      </c>
      <c r="DA159" s="0" t="s">
        <v>3658</v>
      </c>
      <c r="DB159" s="0" t="s">
        <v>3656</v>
      </c>
      <c r="DC159" s="0" t="s">
        <v>362</v>
      </c>
      <c r="DD159" s="0" t="s">
        <v>3572</v>
      </c>
      <c r="DE159" s="0" t="s">
        <v>4112</v>
      </c>
    </row>
    <row customHeight="1" ht="11.25">
      <c r="A160" s="1353" t="s">
        <v>228</v>
      </c>
      <c r="B160" s="0" t="s">
        <v>228</v>
      </c>
      <c r="C160" s="0" t="s">
        <v>228</v>
      </c>
      <c r="D160" s="0" t="s">
        <v>228</v>
      </c>
      <c r="E160" s="0" t="s">
        <v>228</v>
      </c>
      <c r="F160" s="0" t="s">
        <v>228</v>
      </c>
      <c r="G160" s="0" t="s">
        <v>228</v>
      </c>
      <c r="H160" s="0" t="s">
        <v>228</v>
      </c>
      <c r="I160" s="0" t="s">
        <v>3555</v>
      </c>
      <c r="J160" s="0" t="s">
        <v>228</v>
      </c>
      <c r="K160" s="0" t="s">
        <v>228</v>
      </c>
      <c r="L160" s="0" t="s">
        <v>228</v>
      </c>
      <c r="M160" s="0" t="s">
        <v>228</v>
      </c>
      <c r="N160" s="0" t="s">
        <v>228</v>
      </c>
      <c r="O160" s="0" t="s">
        <v>228</v>
      </c>
      <c r="P160" s="0" t="s">
        <v>228</v>
      </c>
      <c r="Q160" s="0" t="s">
        <v>228</v>
      </c>
      <c r="R160" s="0" t="s">
        <v>4376</v>
      </c>
      <c r="S160" s="0" t="s">
        <v>228</v>
      </c>
      <c r="T160" s="0" t="s">
        <v>228</v>
      </c>
      <c r="U160" s="0" t="s">
        <v>101</v>
      </c>
      <c r="V160" s="0" t="s">
        <v>228</v>
      </c>
      <c r="W160" s="0" t="s">
        <v>228</v>
      </c>
      <c r="X160" s="0" t="s">
        <v>3661</v>
      </c>
      <c r="Y160" s="0" t="s">
        <v>228</v>
      </c>
      <c r="Z160" s="0" t="s">
        <v>151</v>
      </c>
      <c r="AA160" s="0" t="s">
        <v>151</v>
      </c>
      <c r="AB160" s="0" t="s">
        <v>160</v>
      </c>
      <c r="AC160" s="0" t="s">
        <v>2315</v>
      </c>
      <c r="AD160" s="0" t="s">
        <v>2315</v>
      </c>
      <c r="AE160" s="0" t="s">
        <v>2316</v>
      </c>
      <c r="AF160" s="0" t="s">
        <v>4178</v>
      </c>
      <c r="AG160" s="0" t="s">
        <v>4179</v>
      </c>
      <c r="AH160" s="0" t="s">
        <v>3651</v>
      </c>
      <c r="AI160" s="0" t="s">
        <v>3651</v>
      </c>
      <c r="AJ160" s="0" t="s">
        <v>228</v>
      </c>
      <c r="AK160" s="0" t="s">
        <v>228</v>
      </c>
      <c r="AL160" s="0" t="s">
        <v>228</v>
      </c>
      <c r="AM160" s="0" t="s">
        <v>228</v>
      </c>
      <c r="AN160" s="0" t="s">
        <v>228</v>
      </c>
      <c r="AO160" s="0" t="s">
        <v>228</v>
      </c>
      <c r="AP160" s="0" t="s">
        <v>228</v>
      </c>
      <c r="AQ160" s="0" t="s">
        <v>228</v>
      </c>
      <c r="AR160" s="0" t="s">
        <v>228</v>
      </c>
      <c r="AS160" s="0" t="s">
        <v>228</v>
      </c>
      <c r="AT160" s="0" t="s">
        <v>228</v>
      </c>
      <c r="AU160" s="0" t="s">
        <v>228</v>
      </c>
      <c r="AV160" s="0" t="s">
        <v>228</v>
      </c>
      <c r="AW160" s="0" t="s">
        <v>228</v>
      </c>
      <c r="AX160" s="0" t="s">
        <v>228</v>
      </c>
      <c r="AY160" s="0" t="s">
        <v>228</v>
      </c>
      <c r="AZ160" s="0" t="s">
        <v>228</v>
      </c>
      <c r="BA160" s="0" t="s">
        <v>228</v>
      </c>
      <c r="BB160" s="0" t="s">
        <v>228</v>
      </c>
      <c r="BC160" s="0" t="s">
        <v>228</v>
      </c>
      <c r="BD160" s="0" t="s">
        <v>228</v>
      </c>
      <c r="BE160" s="0" t="s">
        <v>4075</v>
      </c>
      <c r="BF160" s="0" t="s">
        <v>3874</v>
      </c>
      <c r="BG160" s="0" t="s">
        <v>111</v>
      </c>
      <c r="BH160" s="0" t="s">
        <v>3665</v>
      </c>
      <c r="BI160" s="0" t="s">
        <v>122</v>
      </c>
      <c r="BJ160" s="0" t="s">
        <v>228</v>
      </c>
      <c r="BK160" s="0" t="s">
        <v>3684</v>
      </c>
      <c r="BL160" s="0" t="s">
        <v>2315</v>
      </c>
      <c r="BM160" s="0" t="s">
        <v>2315</v>
      </c>
      <c r="BN160" s="0" t="s">
        <v>3875</v>
      </c>
      <c r="BO160" s="0" t="s">
        <v>4178</v>
      </c>
      <c r="BP160" s="0" t="s">
        <v>4377</v>
      </c>
      <c r="BQ160" s="0" t="s">
        <v>3651</v>
      </c>
      <c r="BR160" s="0" t="s">
        <v>3651</v>
      </c>
      <c r="BS160" s="0" t="s">
        <v>228</v>
      </c>
      <c r="BT160" s="0" t="s">
        <v>3727</v>
      </c>
      <c r="BU160" s="0" t="s">
        <v>4378</v>
      </c>
      <c r="BV160" s="0" t="s">
        <v>4378</v>
      </c>
      <c r="BW160" s="0" t="s">
        <v>3674</v>
      </c>
      <c r="BX160" s="0" t="s">
        <v>3674</v>
      </c>
      <c r="BY160" s="0" t="s">
        <v>3674</v>
      </c>
      <c r="BZ160" s="0" t="s">
        <v>3674</v>
      </c>
      <c r="CA160" s="0" t="s">
        <v>3674</v>
      </c>
      <c r="CB160" s="0" t="s">
        <v>228</v>
      </c>
      <c r="CC160" s="0" t="s">
        <v>228</v>
      </c>
      <c r="CD160" s="0" t="s">
        <v>228</v>
      </c>
      <c r="CE160" s="0" t="s">
        <v>228</v>
      </c>
      <c r="CF160" s="0" t="s">
        <v>228</v>
      </c>
      <c r="CG160" s="0" t="s">
        <v>3674</v>
      </c>
      <c r="CH160" s="0" t="s">
        <v>228</v>
      </c>
      <c r="CI160" s="0" t="s">
        <v>228</v>
      </c>
      <c r="CJ160" s="0" t="s">
        <v>228</v>
      </c>
      <c r="CK160" s="0" t="s">
        <v>228</v>
      </c>
      <c r="CL160" s="0" t="s">
        <v>228</v>
      </c>
      <c r="CM160" s="0" t="s">
        <v>4378</v>
      </c>
      <c r="CN160" s="0" t="s">
        <v>4378</v>
      </c>
      <c r="CO160" s="0" t="s">
        <v>228</v>
      </c>
      <c r="CP160" s="0" t="s">
        <v>228</v>
      </c>
      <c r="CQ160" s="0" t="s">
        <v>228</v>
      </c>
      <c r="CR160" s="0" t="s">
        <v>228</v>
      </c>
      <c r="CS160" s="0" t="s">
        <v>3654</v>
      </c>
      <c r="CT160" s="0" t="s">
        <v>3568</v>
      </c>
      <c r="CU160" s="0" t="s">
        <v>3569</v>
      </c>
      <c r="CV160" s="0" t="s">
        <v>418</v>
      </c>
      <c r="CW160" s="0" t="s">
        <v>3656</v>
      </c>
      <c r="CX160" s="0" t="s">
        <v>419</v>
      </c>
      <c r="CY160" s="0" t="s">
        <v>418</v>
      </c>
      <c r="CZ160" s="0" t="s">
        <v>3657</v>
      </c>
      <c r="DA160" s="0" t="s">
        <v>3658</v>
      </c>
      <c r="DB160" s="0" t="s">
        <v>3656</v>
      </c>
      <c r="DC160" s="0" t="s">
        <v>362</v>
      </c>
      <c r="DD160" s="0" t="s">
        <v>3572</v>
      </c>
      <c r="DE160" s="0" t="s">
        <v>4379</v>
      </c>
    </row>
    <row customHeight="1" ht="11.25">
      <c r="A161" s="1353" t="s">
        <v>228</v>
      </c>
      <c r="B161" s="0" t="s">
        <v>228</v>
      </c>
      <c r="C161" s="0" t="s">
        <v>228</v>
      </c>
      <c r="D161" s="0" t="s">
        <v>228</v>
      </c>
      <c r="E161" s="0" t="s">
        <v>228</v>
      </c>
      <c r="F161" s="0" t="s">
        <v>228</v>
      </c>
      <c r="G161" s="0" t="s">
        <v>228</v>
      </c>
      <c r="H161" s="0" t="s">
        <v>228</v>
      </c>
      <c r="I161" s="0" t="s">
        <v>3555</v>
      </c>
      <c r="J161" s="0" t="s">
        <v>228</v>
      </c>
      <c r="K161" s="0" t="s">
        <v>228</v>
      </c>
      <c r="L161" s="0" t="s">
        <v>228</v>
      </c>
      <c r="M161" s="0" t="s">
        <v>228</v>
      </c>
      <c r="N161" s="0" t="s">
        <v>228</v>
      </c>
      <c r="O161" s="0" t="s">
        <v>228</v>
      </c>
      <c r="P161" s="0" t="s">
        <v>228</v>
      </c>
      <c r="Q161" s="0" t="s">
        <v>228</v>
      </c>
      <c r="R161" s="0" t="s">
        <v>3648</v>
      </c>
      <c r="S161" s="0" t="s">
        <v>228</v>
      </c>
      <c r="T161" s="0" t="s">
        <v>228</v>
      </c>
      <c r="U161" s="0" t="s">
        <v>101</v>
      </c>
      <c r="V161" s="0" t="s">
        <v>228</v>
      </c>
      <c r="W161" s="0" t="s">
        <v>228</v>
      </c>
      <c r="X161" s="0" t="s">
        <v>3557</v>
      </c>
      <c r="Y161" s="0" t="s">
        <v>228</v>
      </c>
      <c r="Z161" s="0" t="s">
        <v>160</v>
      </c>
      <c r="AA161" s="0" t="s">
        <v>151</v>
      </c>
      <c r="AB161" s="0" t="s">
        <v>151</v>
      </c>
      <c r="AC161" s="0" t="s">
        <v>2315</v>
      </c>
      <c r="AD161" s="0" t="s">
        <v>2315</v>
      </c>
      <c r="AE161" s="0" t="s">
        <v>2316</v>
      </c>
      <c r="AF161" s="0" t="s">
        <v>4380</v>
      </c>
      <c r="AG161" s="0" t="s">
        <v>4381</v>
      </c>
      <c r="AH161" s="0" t="s">
        <v>4067</v>
      </c>
      <c r="AI161" s="0" t="s">
        <v>4382</v>
      </c>
      <c r="AJ161" s="0" t="s">
        <v>3652</v>
      </c>
      <c r="AK161" s="0" t="s">
        <v>4383</v>
      </c>
      <c r="AL161" s="0" t="s">
        <v>3581</v>
      </c>
      <c r="AM161" s="0" t="s">
        <v>3565</v>
      </c>
      <c r="AN161" s="0" t="s">
        <v>3654</v>
      </c>
      <c r="AO161" s="0" t="s">
        <v>3934</v>
      </c>
      <c r="AP161" s="0" t="s">
        <v>228</v>
      </c>
      <c r="AQ161" s="0" t="s">
        <v>228</v>
      </c>
      <c r="AR161" s="0" t="s">
        <v>228</v>
      </c>
      <c r="AS161" s="0" t="s">
        <v>228</v>
      </c>
      <c r="AT161" s="0" t="s">
        <v>228</v>
      </c>
      <c r="AU161" s="0" t="s">
        <v>228</v>
      </c>
      <c r="AV161" s="0" t="s">
        <v>228</v>
      </c>
      <c r="AW161" s="0" t="s">
        <v>228</v>
      </c>
      <c r="AX161" s="0" t="s">
        <v>228</v>
      </c>
      <c r="AY161" s="0" t="s">
        <v>228</v>
      </c>
      <c r="AZ161" s="0" t="s">
        <v>228</v>
      </c>
      <c r="BA161" s="0" t="s">
        <v>228</v>
      </c>
      <c r="BB161" s="0" t="s">
        <v>228</v>
      </c>
      <c r="BC161" s="0" t="s">
        <v>228</v>
      </c>
      <c r="BD161" s="0" t="s">
        <v>228</v>
      </c>
      <c r="BE161" s="0" t="s">
        <v>228</v>
      </c>
      <c r="BF161" s="0" t="s">
        <v>228</v>
      </c>
      <c r="BG161" s="0" t="s">
        <v>228</v>
      </c>
      <c r="BH161" s="0" t="s">
        <v>228</v>
      </c>
      <c r="BI161" s="0" t="s">
        <v>228</v>
      </c>
      <c r="BJ161" s="0" t="s">
        <v>228</v>
      </c>
      <c r="BK161" s="0" t="s">
        <v>228</v>
      </c>
      <c r="BL161" s="0" t="s">
        <v>228</v>
      </c>
      <c r="BM161" s="0" t="s">
        <v>228</v>
      </c>
      <c r="BN161" s="0" t="s">
        <v>228</v>
      </c>
      <c r="BO161" s="0" t="s">
        <v>228</v>
      </c>
      <c r="BP161" s="0" t="s">
        <v>228</v>
      </c>
      <c r="BQ161" s="0" t="s">
        <v>228</v>
      </c>
      <c r="BR161" s="0" t="s">
        <v>228</v>
      </c>
      <c r="BS161" s="0" t="s">
        <v>228</v>
      </c>
      <c r="BT161" s="0" t="s">
        <v>228</v>
      </c>
      <c r="BU161" s="0" t="s">
        <v>228</v>
      </c>
      <c r="BV161" s="0" t="s">
        <v>228</v>
      </c>
      <c r="BW161" s="0" t="s">
        <v>228</v>
      </c>
      <c r="BX161" s="0" t="s">
        <v>228</v>
      </c>
      <c r="BY161" s="0" t="s">
        <v>228</v>
      </c>
      <c r="BZ161" s="0" t="s">
        <v>228</v>
      </c>
      <c r="CA161" s="0" t="s">
        <v>228</v>
      </c>
      <c r="CB161" s="0" t="s">
        <v>228</v>
      </c>
      <c r="CC161" s="0" t="s">
        <v>228</v>
      </c>
      <c r="CD161" s="0" t="s">
        <v>228</v>
      </c>
      <c r="CE161" s="0" t="s">
        <v>228</v>
      </c>
      <c r="CF161" s="0" t="s">
        <v>228</v>
      </c>
      <c r="CG161" s="0" t="s">
        <v>228</v>
      </c>
      <c r="CH161" s="0" t="s">
        <v>228</v>
      </c>
      <c r="CI161" s="0" t="s">
        <v>228</v>
      </c>
      <c r="CJ161" s="0" t="s">
        <v>228</v>
      </c>
      <c r="CK161" s="0" t="s">
        <v>228</v>
      </c>
      <c r="CL161" s="0" t="s">
        <v>228</v>
      </c>
      <c r="CM161" s="0" t="s">
        <v>228</v>
      </c>
      <c r="CN161" s="0" t="s">
        <v>228</v>
      </c>
      <c r="CO161" s="0" t="s">
        <v>228</v>
      </c>
      <c r="CP161" s="0" t="s">
        <v>228</v>
      </c>
      <c r="CQ161" s="0" t="s">
        <v>228</v>
      </c>
      <c r="CR161" s="0" t="s">
        <v>228</v>
      </c>
      <c r="CS161" s="0" t="s">
        <v>228</v>
      </c>
      <c r="CT161" s="0" t="s">
        <v>3568</v>
      </c>
      <c r="CU161" s="0" t="s">
        <v>3569</v>
      </c>
      <c r="CV161" s="0" t="s">
        <v>418</v>
      </c>
      <c r="CW161" s="0" t="s">
        <v>3656</v>
      </c>
      <c r="CX161" s="0" t="s">
        <v>419</v>
      </c>
      <c r="CY161" s="0" t="s">
        <v>418</v>
      </c>
      <c r="CZ161" s="0" t="s">
        <v>3657</v>
      </c>
      <c r="DA161" s="0" t="s">
        <v>3658</v>
      </c>
      <c r="DB161" s="0" t="s">
        <v>3656</v>
      </c>
      <c r="DC161" s="0" t="s">
        <v>362</v>
      </c>
      <c r="DD161" s="0" t="s">
        <v>3572</v>
      </c>
      <c r="DE161" s="0" t="s">
        <v>4384</v>
      </c>
    </row>
    <row customHeight="1" ht="11.25">
      <c r="A162" s="1353" t="s">
        <v>228</v>
      </c>
      <c r="B162" s="0" t="s">
        <v>228</v>
      </c>
      <c r="C162" s="0" t="s">
        <v>228</v>
      </c>
      <c r="D162" s="0" t="s">
        <v>228</v>
      </c>
      <c r="E162" s="0" t="s">
        <v>228</v>
      </c>
      <c r="F162" s="0" t="s">
        <v>228</v>
      </c>
      <c r="G162" s="0" t="s">
        <v>228</v>
      </c>
      <c r="H162" s="0" t="s">
        <v>228</v>
      </c>
      <c r="I162" s="0" t="s">
        <v>3555</v>
      </c>
      <c r="J162" s="0" t="s">
        <v>228</v>
      </c>
      <c r="K162" s="0" t="s">
        <v>228</v>
      </c>
      <c r="L162" s="0" t="s">
        <v>228</v>
      </c>
      <c r="M162" s="0" t="s">
        <v>228</v>
      </c>
      <c r="N162" s="0" t="s">
        <v>228</v>
      </c>
      <c r="O162" s="0" t="s">
        <v>228</v>
      </c>
      <c r="P162" s="0" t="s">
        <v>228</v>
      </c>
      <c r="Q162" s="0" t="s">
        <v>228</v>
      </c>
      <c r="R162" s="0" t="s">
        <v>4385</v>
      </c>
      <c r="S162" s="0" t="s">
        <v>228</v>
      </c>
      <c r="T162" s="0" t="s">
        <v>228</v>
      </c>
      <c r="U162" s="0" t="s">
        <v>101</v>
      </c>
      <c r="V162" s="0" t="s">
        <v>228</v>
      </c>
      <c r="W162" s="0" t="s">
        <v>228</v>
      </c>
      <c r="X162" s="0" t="s">
        <v>3557</v>
      </c>
      <c r="Y162" s="0" t="s">
        <v>228</v>
      </c>
      <c r="Z162" s="0" t="s">
        <v>160</v>
      </c>
      <c r="AA162" s="0" t="s">
        <v>151</v>
      </c>
      <c r="AB162" s="0" t="s">
        <v>151</v>
      </c>
      <c r="AC162" s="0" t="s">
        <v>2311</v>
      </c>
      <c r="AD162" s="0" t="s">
        <v>2311</v>
      </c>
      <c r="AE162" s="0" t="s">
        <v>2312</v>
      </c>
      <c r="AF162" s="0" t="s">
        <v>4034</v>
      </c>
      <c r="AG162" s="0" t="s">
        <v>4035</v>
      </c>
      <c r="AH162" s="0" t="s">
        <v>4386</v>
      </c>
      <c r="AI162" s="0" t="s">
        <v>4387</v>
      </c>
      <c r="AJ162" s="0" t="s">
        <v>3579</v>
      </c>
      <c r="AK162" s="0" t="s">
        <v>3579</v>
      </c>
      <c r="AL162" s="0" t="s">
        <v>3681</v>
      </c>
      <c r="AM162" s="0" t="s">
        <v>3565</v>
      </c>
      <c r="AN162" s="0" t="s">
        <v>3582</v>
      </c>
      <c r="AO162" s="0" t="s">
        <v>4388</v>
      </c>
      <c r="AP162" s="0" t="s">
        <v>228</v>
      </c>
      <c r="AQ162" s="0" t="s">
        <v>228</v>
      </c>
      <c r="AR162" s="0" t="s">
        <v>228</v>
      </c>
      <c r="AS162" s="0" t="s">
        <v>228</v>
      </c>
      <c r="AT162" s="0" t="s">
        <v>228</v>
      </c>
      <c r="AU162" s="0" t="s">
        <v>228</v>
      </c>
      <c r="AV162" s="0" t="s">
        <v>228</v>
      </c>
      <c r="AW162" s="0" t="s">
        <v>228</v>
      </c>
      <c r="AX162" s="0" t="s">
        <v>228</v>
      </c>
      <c r="AY162" s="0" t="s">
        <v>228</v>
      </c>
      <c r="AZ162" s="0" t="s">
        <v>228</v>
      </c>
      <c r="BA162" s="0" t="s">
        <v>228</v>
      </c>
      <c r="BB162" s="0" t="s">
        <v>228</v>
      </c>
      <c r="BC162" s="0" t="s">
        <v>228</v>
      </c>
      <c r="BD162" s="0" t="s">
        <v>228</v>
      </c>
      <c r="BE162" s="0" t="s">
        <v>228</v>
      </c>
      <c r="BF162" s="0" t="s">
        <v>228</v>
      </c>
      <c r="BG162" s="0" t="s">
        <v>228</v>
      </c>
      <c r="BH162" s="0" t="s">
        <v>228</v>
      </c>
      <c r="BI162" s="0" t="s">
        <v>228</v>
      </c>
      <c r="BJ162" s="0" t="s">
        <v>228</v>
      </c>
      <c r="BK162" s="0" t="s">
        <v>228</v>
      </c>
      <c r="BL162" s="0" t="s">
        <v>228</v>
      </c>
      <c r="BM162" s="0" t="s">
        <v>228</v>
      </c>
      <c r="BN162" s="0" t="s">
        <v>228</v>
      </c>
      <c r="BO162" s="0" t="s">
        <v>228</v>
      </c>
      <c r="BP162" s="0" t="s">
        <v>228</v>
      </c>
      <c r="BQ162" s="0" t="s">
        <v>228</v>
      </c>
      <c r="BR162" s="0" t="s">
        <v>228</v>
      </c>
      <c r="BS162" s="0" t="s">
        <v>228</v>
      </c>
      <c r="BT162" s="0" t="s">
        <v>228</v>
      </c>
      <c r="BU162" s="0" t="s">
        <v>228</v>
      </c>
      <c r="BV162" s="0" t="s">
        <v>228</v>
      </c>
      <c r="BW162" s="0" t="s">
        <v>228</v>
      </c>
      <c r="BX162" s="0" t="s">
        <v>228</v>
      </c>
      <c r="BY162" s="0" t="s">
        <v>228</v>
      </c>
      <c r="BZ162" s="0" t="s">
        <v>228</v>
      </c>
      <c r="CA162" s="0" t="s">
        <v>228</v>
      </c>
      <c r="CB162" s="0" t="s">
        <v>228</v>
      </c>
      <c r="CC162" s="0" t="s">
        <v>228</v>
      </c>
      <c r="CD162" s="0" t="s">
        <v>228</v>
      </c>
      <c r="CE162" s="0" t="s">
        <v>228</v>
      </c>
      <c r="CF162" s="0" t="s">
        <v>228</v>
      </c>
      <c r="CG162" s="0" t="s">
        <v>228</v>
      </c>
      <c r="CH162" s="0" t="s">
        <v>228</v>
      </c>
      <c r="CI162" s="0" t="s">
        <v>228</v>
      </c>
      <c r="CJ162" s="0" t="s">
        <v>228</v>
      </c>
      <c r="CK162" s="0" t="s">
        <v>228</v>
      </c>
      <c r="CL162" s="0" t="s">
        <v>228</v>
      </c>
      <c r="CM162" s="0" t="s">
        <v>228</v>
      </c>
      <c r="CN162" s="0" t="s">
        <v>228</v>
      </c>
      <c r="CO162" s="0" t="s">
        <v>228</v>
      </c>
      <c r="CP162" s="0" t="s">
        <v>228</v>
      </c>
      <c r="CQ162" s="0" t="s">
        <v>228</v>
      </c>
      <c r="CR162" s="0" t="s">
        <v>228</v>
      </c>
      <c r="CS162" s="0" t="s">
        <v>228</v>
      </c>
      <c r="CT162" s="0" t="s">
        <v>3568</v>
      </c>
      <c r="CU162" s="0" t="s">
        <v>3569</v>
      </c>
      <c r="CV162" s="0" t="s">
        <v>418</v>
      </c>
      <c r="CW162" s="0" t="s">
        <v>3584</v>
      </c>
      <c r="CX162" s="0" t="s">
        <v>419</v>
      </c>
      <c r="CY162" s="0" t="s">
        <v>418</v>
      </c>
      <c r="CZ162" s="0" t="s">
        <v>3585</v>
      </c>
      <c r="DA162" s="0" t="s">
        <v>3586</v>
      </c>
      <c r="DB162" s="0" t="s">
        <v>3584</v>
      </c>
      <c r="DC162" s="0" t="s">
        <v>362</v>
      </c>
      <c r="DD162" s="0" t="s">
        <v>3572</v>
      </c>
      <c r="DE162" s="0" t="s">
        <v>4389</v>
      </c>
    </row>
    <row customHeight="1" ht="11.25">
      <c r="A163" s="1353" t="s">
        <v>228</v>
      </c>
      <c r="B163" s="0" t="s">
        <v>228</v>
      </c>
      <c r="C163" s="0" t="s">
        <v>228</v>
      </c>
      <c r="D163" s="0" t="s">
        <v>228</v>
      </c>
      <c r="E163" s="0" t="s">
        <v>228</v>
      </c>
      <c r="F163" s="0" t="s">
        <v>228</v>
      </c>
      <c r="G163" s="0" t="s">
        <v>228</v>
      </c>
      <c r="H163" s="0" t="s">
        <v>228</v>
      </c>
      <c r="I163" s="0" t="s">
        <v>3555</v>
      </c>
      <c r="J163" s="0" t="s">
        <v>228</v>
      </c>
      <c r="K163" s="0" t="s">
        <v>228</v>
      </c>
      <c r="L163" s="0" t="s">
        <v>228</v>
      </c>
      <c r="M163" s="0" t="s">
        <v>228</v>
      </c>
      <c r="N163" s="0" t="s">
        <v>228</v>
      </c>
      <c r="O163" s="0" t="s">
        <v>228</v>
      </c>
      <c r="P163" s="0" t="s">
        <v>228</v>
      </c>
      <c r="Q163" s="0" t="s">
        <v>228</v>
      </c>
      <c r="R163" s="0" t="s">
        <v>4390</v>
      </c>
      <c r="S163" s="0" t="s">
        <v>228</v>
      </c>
      <c r="T163" s="0" t="s">
        <v>228</v>
      </c>
      <c r="U163" s="0" t="s">
        <v>101</v>
      </c>
      <c r="V163" s="0" t="s">
        <v>228</v>
      </c>
      <c r="W163" s="0" t="s">
        <v>228</v>
      </c>
      <c r="X163" s="0" t="s">
        <v>3557</v>
      </c>
      <c r="Y163" s="0" t="s">
        <v>228</v>
      </c>
      <c r="Z163" s="0" t="s">
        <v>160</v>
      </c>
      <c r="AA163" s="0" t="s">
        <v>151</v>
      </c>
      <c r="AB163" s="0" t="s">
        <v>151</v>
      </c>
      <c r="AC163" s="0" t="s">
        <v>2311</v>
      </c>
      <c r="AD163" s="0" t="s">
        <v>2311</v>
      </c>
      <c r="AE163" s="0" t="s">
        <v>2312</v>
      </c>
      <c r="AF163" s="0" t="s">
        <v>4116</v>
      </c>
      <c r="AG163" s="0" t="s">
        <v>4117</v>
      </c>
      <c r="AH163" s="0" t="s">
        <v>4120</v>
      </c>
      <c r="AI163" s="0" t="s">
        <v>4121</v>
      </c>
      <c r="AJ163" s="0" t="s">
        <v>3579</v>
      </c>
      <c r="AK163" s="0" t="s">
        <v>3580</v>
      </c>
      <c r="AL163" s="0" t="s">
        <v>3581</v>
      </c>
      <c r="AM163" s="0" t="s">
        <v>3565</v>
      </c>
      <c r="AN163" s="0" t="s">
        <v>3582</v>
      </c>
      <c r="AO163" s="0" t="s">
        <v>3712</v>
      </c>
      <c r="AP163" s="0" t="s">
        <v>228</v>
      </c>
      <c r="AQ163" s="0" t="s">
        <v>228</v>
      </c>
      <c r="AR163" s="0" t="s">
        <v>228</v>
      </c>
      <c r="AS163" s="0" t="s">
        <v>228</v>
      </c>
      <c r="AT163" s="0" t="s">
        <v>228</v>
      </c>
      <c r="AU163" s="0" t="s">
        <v>228</v>
      </c>
      <c r="AV163" s="0" t="s">
        <v>228</v>
      </c>
      <c r="AW163" s="0" t="s">
        <v>228</v>
      </c>
      <c r="AX163" s="0" t="s">
        <v>228</v>
      </c>
      <c r="AY163" s="0" t="s">
        <v>228</v>
      </c>
      <c r="AZ163" s="0" t="s">
        <v>228</v>
      </c>
      <c r="BA163" s="0" t="s">
        <v>228</v>
      </c>
      <c r="BB163" s="0" t="s">
        <v>228</v>
      </c>
      <c r="BC163" s="0" t="s">
        <v>228</v>
      </c>
      <c r="BD163" s="0" t="s">
        <v>228</v>
      </c>
      <c r="BE163" s="0" t="s">
        <v>228</v>
      </c>
      <c r="BF163" s="0" t="s">
        <v>228</v>
      </c>
      <c r="BG163" s="0" t="s">
        <v>228</v>
      </c>
      <c r="BH163" s="0" t="s">
        <v>228</v>
      </c>
      <c r="BI163" s="0" t="s">
        <v>228</v>
      </c>
      <c r="BJ163" s="0" t="s">
        <v>228</v>
      </c>
      <c r="BK163" s="0" t="s">
        <v>228</v>
      </c>
      <c r="BL163" s="0" t="s">
        <v>228</v>
      </c>
      <c r="BM163" s="0" t="s">
        <v>228</v>
      </c>
      <c r="BN163" s="0" t="s">
        <v>228</v>
      </c>
      <c r="BO163" s="0" t="s">
        <v>228</v>
      </c>
      <c r="BP163" s="0" t="s">
        <v>228</v>
      </c>
      <c r="BQ163" s="0" t="s">
        <v>228</v>
      </c>
      <c r="BR163" s="0" t="s">
        <v>228</v>
      </c>
      <c r="BS163" s="0" t="s">
        <v>228</v>
      </c>
      <c r="BT163" s="0" t="s">
        <v>228</v>
      </c>
      <c r="BU163" s="0" t="s">
        <v>228</v>
      </c>
      <c r="BV163" s="0" t="s">
        <v>228</v>
      </c>
      <c r="BW163" s="0" t="s">
        <v>228</v>
      </c>
      <c r="BX163" s="0" t="s">
        <v>228</v>
      </c>
      <c r="BY163" s="0" t="s">
        <v>228</v>
      </c>
      <c r="BZ163" s="0" t="s">
        <v>228</v>
      </c>
      <c r="CA163" s="0" t="s">
        <v>228</v>
      </c>
      <c r="CB163" s="0" t="s">
        <v>228</v>
      </c>
      <c r="CC163" s="0" t="s">
        <v>228</v>
      </c>
      <c r="CD163" s="0" t="s">
        <v>228</v>
      </c>
      <c r="CE163" s="0" t="s">
        <v>228</v>
      </c>
      <c r="CF163" s="0" t="s">
        <v>228</v>
      </c>
      <c r="CG163" s="0" t="s">
        <v>228</v>
      </c>
      <c r="CH163" s="0" t="s">
        <v>228</v>
      </c>
      <c r="CI163" s="0" t="s">
        <v>228</v>
      </c>
      <c r="CJ163" s="0" t="s">
        <v>228</v>
      </c>
      <c r="CK163" s="0" t="s">
        <v>228</v>
      </c>
      <c r="CL163" s="0" t="s">
        <v>228</v>
      </c>
      <c r="CM163" s="0" t="s">
        <v>228</v>
      </c>
      <c r="CN163" s="0" t="s">
        <v>228</v>
      </c>
      <c r="CO163" s="0" t="s">
        <v>228</v>
      </c>
      <c r="CP163" s="0" t="s">
        <v>228</v>
      </c>
      <c r="CQ163" s="0" t="s">
        <v>228</v>
      </c>
      <c r="CR163" s="0" t="s">
        <v>228</v>
      </c>
      <c r="CS163" s="0" t="s">
        <v>228</v>
      </c>
      <c r="CT163" s="0" t="s">
        <v>3568</v>
      </c>
      <c r="CU163" s="0" t="s">
        <v>3569</v>
      </c>
      <c r="CV163" s="0" t="s">
        <v>418</v>
      </c>
      <c r="CW163" s="0" t="s">
        <v>3584</v>
      </c>
      <c r="CX163" s="0" t="s">
        <v>419</v>
      </c>
      <c r="CY163" s="0" t="s">
        <v>418</v>
      </c>
      <c r="CZ163" s="0" t="s">
        <v>3585</v>
      </c>
      <c r="DA163" s="0" t="s">
        <v>3586</v>
      </c>
      <c r="DB163" s="0" t="s">
        <v>3584</v>
      </c>
      <c r="DC163" s="0" t="s">
        <v>362</v>
      </c>
      <c r="DD163" s="0" t="s">
        <v>3572</v>
      </c>
      <c r="DE163" s="0" t="s">
        <v>4391</v>
      </c>
    </row>
    <row customHeight="1" ht="11.25">
      <c r="A164" s="1353" t="s">
        <v>228</v>
      </c>
      <c r="B164" s="0" t="s">
        <v>228</v>
      </c>
      <c r="C164" s="0" t="s">
        <v>228</v>
      </c>
      <c r="D164" s="0" t="s">
        <v>228</v>
      </c>
      <c r="E164" s="0" t="s">
        <v>228</v>
      </c>
      <c r="F164" s="0" t="s">
        <v>228</v>
      </c>
      <c r="G164" s="0" t="s">
        <v>228</v>
      </c>
      <c r="H164" s="0" t="s">
        <v>228</v>
      </c>
      <c r="I164" s="0" t="s">
        <v>3555</v>
      </c>
      <c r="J164" s="0" t="s">
        <v>228</v>
      </c>
      <c r="K164" s="0" t="s">
        <v>228</v>
      </c>
      <c r="L164" s="0" t="s">
        <v>228</v>
      </c>
      <c r="M164" s="0" t="s">
        <v>228</v>
      </c>
      <c r="N164" s="0" t="s">
        <v>228</v>
      </c>
      <c r="O164" s="0" t="s">
        <v>228</v>
      </c>
      <c r="P164" s="0" t="s">
        <v>228</v>
      </c>
      <c r="Q164" s="0" t="s">
        <v>228</v>
      </c>
      <c r="R164" s="0" t="s">
        <v>4392</v>
      </c>
      <c r="S164" s="0" t="s">
        <v>228</v>
      </c>
      <c r="T164" s="0" t="s">
        <v>228</v>
      </c>
      <c r="U164" s="0" t="s">
        <v>101</v>
      </c>
      <c r="V164" s="0" t="s">
        <v>228</v>
      </c>
      <c r="W164" s="0" t="s">
        <v>228</v>
      </c>
      <c r="X164" s="0" t="s">
        <v>3557</v>
      </c>
      <c r="Y164" s="0" t="s">
        <v>228</v>
      </c>
      <c r="Z164" s="0" t="s">
        <v>160</v>
      </c>
      <c r="AA164" s="0" t="s">
        <v>151</v>
      </c>
      <c r="AB164" s="0" t="s">
        <v>151</v>
      </c>
      <c r="AC164" s="0" t="s">
        <v>2317</v>
      </c>
      <c r="AD164" s="0" t="s">
        <v>2317</v>
      </c>
      <c r="AE164" s="0" t="s">
        <v>2318</v>
      </c>
      <c r="AF164" s="0" t="s">
        <v>3826</v>
      </c>
      <c r="AG164" s="0" t="s">
        <v>3827</v>
      </c>
      <c r="AH164" s="0" t="s">
        <v>3761</v>
      </c>
      <c r="AI164" s="0" t="s">
        <v>4393</v>
      </c>
      <c r="AJ164" s="0" t="s">
        <v>3582</v>
      </c>
      <c r="AK164" s="0" t="s">
        <v>3620</v>
      </c>
      <c r="AL164" s="0" t="s">
        <v>4196</v>
      </c>
      <c r="AM164" s="0" t="s">
        <v>3565</v>
      </c>
      <c r="AN164" s="0" t="s">
        <v>3628</v>
      </c>
      <c r="AO164" s="0" t="s">
        <v>3829</v>
      </c>
      <c r="AP164" s="0" t="s">
        <v>228</v>
      </c>
      <c r="AQ164" s="0" t="s">
        <v>228</v>
      </c>
      <c r="AR164" s="0" t="s">
        <v>228</v>
      </c>
      <c r="AS164" s="0" t="s">
        <v>228</v>
      </c>
      <c r="AT164" s="0" t="s">
        <v>228</v>
      </c>
      <c r="AU164" s="0" t="s">
        <v>228</v>
      </c>
      <c r="AV164" s="0" t="s">
        <v>228</v>
      </c>
      <c r="AW164" s="0" t="s">
        <v>228</v>
      </c>
      <c r="AX164" s="0" t="s">
        <v>228</v>
      </c>
      <c r="AY164" s="0" t="s">
        <v>228</v>
      </c>
      <c r="AZ164" s="0" t="s">
        <v>228</v>
      </c>
      <c r="BA164" s="0" t="s">
        <v>228</v>
      </c>
      <c r="BB164" s="0" t="s">
        <v>228</v>
      </c>
      <c r="BC164" s="0" t="s">
        <v>228</v>
      </c>
      <c r="BD164" s="0" t="s">
        <v>228</v>
      </c>
      <c r="BE164" s="0" t="s">
        <v>228</v>
      </c>
      <c r="BF164" s="0" t="s">
        <v>228</v>
      </c>
      <c r="BG164" s="0" t="s">
        <v>228</v>
      </c>
      <c r="BH164" s="0" t="s">
        <v>228</v>
      </c>
      <c r="BI164" s="0" t="s">
        <v>228</v>
      </c>
      <c r="BJ164" s="0" t="s">
        <v>228</v>
      </c>
      <c r="BK164" s="0" t="s">
        <v>228</v>
      </c>
      <c r="BL164" s="0" t="s">
        <v>228</v>
      </c>
      <c r="BM164" s="0" t="s">
        <v>228</v>
      </c>
      <c r="BN164" s="0" t="s">
        <v>228</v>
      </c>
      <c r="BO164" s="0" t="s">
        <v>228</v>
      </c>
      <c r="BP164" s="0" t="s">
        <v>228</v>
      </c>
      <c r="BQ164" s="0" t="s">
        <v>228</v>
      </c>
      <c r="BR164" s="0" t="s">
        <v>228</v>
      </c>
      <c r="BS164" s="0" t="s">
        <v>228</v>
      </c>
      <c r="BT164" s="0" t="s">
        <v>228</v>
      </c>
      <c r="BU164" s="0" t="s">
        <v>228</v>
      </c>
      <c r="BV164" s="0" t="s">
        <v>228</v>
      </c>
      <c r="BW164" s="0" t="s">
        <v>228</v>
      </c>
      <c r="BX164" s="0" t="s">
        <v>228</v>
      </c>
      <c r="BY164" s="0" t="s">
        <v>228</v>
      </c>
      <c r="BZ164" s="0" t="s">
        <v>228</v>
      </c>
      <c r="CA164" s="0" t="s">
        <v>228</v>
      </c>
      <c r="CB164" s="0" t="s">
        <v>228</v>
      </c>
      <c r="CC164" s="0" t="s">
        <v>228</v>
      </c>
      <c r="CD164" s="0" t="s">
        <v>228</v>
      </c>
      <c r="CE164" s="0" t="s">
        <v>228</v>
      </c>
      <c r="CF164" s="0" t="s">
        <v>228</v>
      </c>
      <c r="CG164" s="0" t="s">
        <v>228</v>
      </c>
      <c r="CH164" s="0" t="s">
        <v>228</v>
      </c>
      <c r="CI164" s="0" t="s">
        <v>228</v>
      </c>
      <c r="CJ164" s="0" t="s">
        <v>228</v>
      </c>
      <c r="CK164" s="0" t="s">
        <v>228</v>
      </c>
      <c r="CL164" s="0" t="s">
        <v>228</v>
      </c>
      <c r="CM164" s="0" t="s">
        <v>228</v>
      </c>
      <c r="CN164" s="0" t="s">
        <v>228</v>
      </c>
      <c r="CO164" s="0" t="s">
        <v>228</v>
      </c>
      <c r="CP164" s="0" t="s">
        <v>228</v>
      </c>
      <c r="CQ164" s="0" t="s">
        <v>228</v>
      </c>
      <c r="CR164" s="0" t="s">
        <v>228</v>
      </c>
      <c r="CS164" s="0" t="s">
        <v>228</v>
      </c>
      <c r="CT164" s="0" t="s">
        <v>3568</v>
      </c>
      <c r="CU164" s="0" t="s">
        <v>3569</v>
      </c>
      <c r="CV164" s="0" t="s">
        <v>418</v>
      </c>
      <c r="CW164" s="0" t="s">
        <v>3622</v>
      </c>
      <c r="CX164" s="0" t="s">
        <v>419</v>
      </c>
      <c r="CY164" s="0" t="s">
        <v>418</v>
      </c>
      <c r="CZ164" s="0" t="s">
        <v>3623</v>
      </c>
      <c r="DA164" s="0" t="s">
        <v>3624</v>
      </c>
      <c r="DB164" s="0" t="s">
        <v>3622</v>
      </c>
      <c r="DC164" s="0" t="s">
        <v>362</v>
      </c>
      <c r="DD164" s="0" t="s">
        <v>3572</v>
      </c>
      <c r="DE164" s="0" t="s">
        <v>4394</v>
      </c>
    </row>
    <row customHeight="1" ht="11.25">
      <c r="A165" s="1353" t="s">
        <v>228</v>
      </c>
      <c r="B165" s="0" t="s">
        <v>228</v>
      </c>
      <c r="C165" s="0" t="s">
        <v>228</v>
      </c>
      <c r="D165" s="0" t="s">
        <v>228</v>
      </c>
      <c r="E165" s="0" t="s">
        <v>228</v>
      </c>
      <c r="F165" s="0" t="s">
        <v>228</v>
      </c>
      <c r="G165" s="0" t="s">
        <v>228</v>
      </c>
      <c r="H165" s="0" t="s">
        <v>228</v>
      </c>
      <c r="I165" s="0" t="s">
        <v>3555</v>
      </c>
      <c r="J165" s="0" t="s">
        <v>228</v>
      </c>
      <c r="K165" s="0" t="s">
        <v>228</v>
      </c>
      <c r="L165" s="0" t="s">
        <v>228</v>
      </c>
      <c r="M165" s="0" t="s">
        <v>228</v>
      </c>
      <c r="N165" s="0" t="s">
        <v>228</v>
      </c>
      <c r="O165" s="0" t="s">
        <v>228</v>
      </c>
      <c r="P165" s="0" t="s">
        <v>228</v>
      </c>
      <c r="Q165" s="0" t="s">
        <v>228</v>
      </c>
      <c r="R165" s="0" t="s">
        <v>3648</v>
      </c>
      <c r="S165" s="0" t="s">
        <v>228</v>
      </c>
      <c r="T165" s="0" t="s">
        <v>228</v>
      </c>
      <c r="U165" s="0" t="s">
        <v>101</v>
      </c>
      <c r="V165" s="0" t="s">
        <v>228</v>
      </c>
      <c r="W165" s="0" t="s">
        <v>228</v>
      </c>
      <c r="X165" s="0" t="s">
        <v>3557</v>
      </c>
      <c r="Y165" s="0" t="s">
        <v>228</v>
      </c>
      <c r="Z165" s="0" t="s">
        <v>160</v>
      </c>
      <c r="AA165" s="0" t="s">
        <v>151</v>
      </c>
      <c r="AB165" s="0" t="s">
        <v>151</v>
      </c>
      <c r="AC165" s="0" t="s">
        <v>2317</v>
      </c>
      <c r="AD165" s="0" t="s">
        <v>2317</v>
      </c>
      <c r="AE165" s="0" t="s">
        <v>2318</v>
      </c>
      <c r="AF165" s="0" t="s">
        <v>3923</v>
      </c>
      <c r="AG165" s="0" t="s">
        <v>3924</v>
      </c>
      <c r="AH165" s="0" t="s">
        <v>4207</v>
      </c>
      <c r="AI165" s="0" t="s">
        <v>330</v>
      </c>
      <c r="AJ165" s="0" t="s">
        <v>3579</v>
      </c>
      <c r="AK165" s="0" t="s">
        <v>3619</v>
      </c>
      <c r="AL165" s="0" t="s">
        <v>3581</v>
      </c>
      <c r="AM165" s="0" t="s">
        <v>3565</v>
      </c>
      <c r="AN165" s="0" t="s">
        <v>3620</v>
      </c>
      <c r="AO165" s="0" t="s">
        <v>3757</v>
      </c>
      <c r="AP165" s="0" t="s">
        <v>228</v>
      </c>
      <c r="AQ165" s="0" t="s">
        <v>228</v>
      </c>
      <c r="AR165" s="0" t="s">
        <v>228</v>
      </c>
      <c r="AS165" s="0" t="s">
        <v>228</v>
      </c>
      <c r="AT165" s="0" t="s">
        <v>228</v>
      </c>
      <c r="AU165" s="0" t="s">
        <v>228</v>
      </c>
      <c r="AV165" s="0" t="s">
        <v>228</v>
      </c>
      <c r="AW165" s="0" t="s">
        <v>228</v>
      </c>
      <c r="AX165" s="0" t="s">
        <v>228</v>
      </c>
      <c r="AY165" s="0" t="s">
        <v>228</v>
      </c>
      <c r="AZ165" s="0" t="s">
        <v>228</v>
      </c>
      <c r="BA165" s="0" t="s">
        <v>228</v>
      </c>
      <c r="BB165" s="0" t="s">
        <v>228</v>
      </c>
      <c r="BC165" s="0" t="s">
        <v>228</v>
      </c>
      <c r="BD165" s="0" t="s">
        <v>228</v>
      </c>
      <c r="BE165" s="0" t="s">
        <v>228</v>
      </c>
      <c r="BF165" s="0" t="s">
        <v>228</v>
      </c>
      <c r="BG165" s="0" t="s">
        <v>228</v>
      </c>
      <c r="BH165" s="0" t="s">
        <v>228</v>
      </c>
      <c r="BI165" s="0" t="s">
        <v>228</v>
      </c>
      <c r="BJ165" s="0" t="s">
        <v>228</v>
      </c>
      <c r="BK165" s="0" t="s">
        <v>228</v>
      </c>
      <c r="BL165" s="0" t="s">
        <v>228</v>
      </c>
      <c r="BM165" s="0" t="s">
        <v>228</v>
      </c>
      <c r="BN165" s="0" t="s">
        <v>228</v>
      </c>
      <c r="BO165" s="0" t="s">
        <v>228</v>
      </c>
      <c r="BP165" s="0" t="s">
        <v>228</v>
      </c>
      <c r="BQ165" s="0" t="s">
        <v>228</v>
      </c>
      <c r="BR165" s="0" t="s">
        <v>228</v>
      </c>
      <c r="BS165" s="0" t="s">
        <v>228</v>
      </c>
      <c r="BT165" s="0" t="s">
        <v>228</v>
      </c>
      <c r="BU165" s="0" t="s">
        <v>228</v>
      </c>
      <c r="BV165" s="0" t="s">
        <v>228</v>
      </c>
      <c r="BW165" s="0" t="s">
        <v>228</v>
      </c>
      <c r="BX165" s="0" t="s">
        <v>228</v>
      </c>
      <c r="BY165" s="0" t="s">
        <v>228</v>
      </c>
      <c r="BZ165" s="0" t="s">
        <v>228</v>
      </c>
      <c r="CA165" s="0" t="s">
        <v>228</v>
      </c>
      <c r="CB165" s="0" t="s">
        <v>228</v>
      </c>
      <c r="CC165" s="0" t="s">
        <v>228</v>
      </c>
      <c r="CD165" s="0" t="s">
        <v>228</v>
      </c>
      <c r="CE165" s="0" t="s">
        <v>228</v>
      </c>
      <c r="CF165" s="0" t="s">
        <v>228</v>
      </c>
      <c r="CG165" s="0" t="s">
        <v>228</v>
      </c>
      <c r="CH165" s="0" t="s">
        <v>228</v>
      </c>
      <c r="CI165" s="0" t="s">
        <v>228</v>
      </c>
      <c r="CJ165" s="0" t="s">
        <v>228</v>
      </c>
      <c r="CK165" s="0" t="s">
        <v>228</v>
      </c>
      <c r="CL165" s="0" t="s">
        <v>228</v>
      </c>
      <c r="CM165" s="0" t="s">
        <v>228</v>
      </c>
      <c r="CN165" s="0" t="s">
        <v>228</v>
      </c>
      <c r="CO165" s="0" t="s">
        <v>228</v>
      </c>
      <c r="CP165" s="0" t="s">
        <v>228</v>
      </c>
      <c r="CQ165" s="0" t="s">
        <v>228</v>
      </c>
      <c r="CR165" s="0" t="s">
        <v>228</v>
      </c>
      <c r="CS165" s="0" t="s">
        <v>228</v>
      </c>
      <c r="CT165" s="0" t="s">
        <v>3568</v>
      </c>
      <c r="CU165" s="0" t="s">
        <v>3569</v>
      </c>
      <c r="CV165" s="0" t="s">
        <v>418</v>
      </c>
      <c r="CW165" s="0" t="s">
        <v>3622</v>
      </c>
      <c r="CX165" s="0" t="s">
        <v>419</v>
      </c>
      <c r="CY165" s="0" t="s">
        <v>418</v>
      </c>
      <c r="CZ165" s="0" t="s">
        <v>3623</v>
      </c>
      <c r="DA165" s="0" t="s">
        <v>3624</v>
      </c>
      <c r="DB165" s="0" t="s">
        <v>3622</v>
      </c>
      <c r="DC165" s="0" t="s">
        <v>362</v>
      </c>
      <c r="DD165" s="0" t="s">
        <v>3572</v>
      </c>
      <c r="DE165" s="0" t="s">
        <v>4395</v>
      </c>
    </row>
    <row customHeight="1" ht="11.25">
      <c r="A166" s="1353" t="s">
        <v>228</v>
      </c>
      <c r="B166" s="0" t="s">
        <v>228</v>
      </c>
      <c r="C166" s="0" t="s">
        <v>228</v>
      </c>
      <c r="D166" s="0" t="s">
        <v>228</v>
      </c>
      <c r="E166" s="0" t="s">
        <v>228</v>
      </c>
      <c r="F166" s="0" t="s">
        <v>228</v>
      </c>
      <c r="G166" s="0" t="s">
        <v>228</v>
      </c>
      <c r="H166" s="0" t="s">
        <v>228</v>
      </c>
      <c r="I166" s="0" t="s">
        <v>3555</v>
      </c>
      <c r="J166" s="0" t="s">
        <v>228</v>
      </c>
      <c r="K166" s="0" t="s">
        <v>228</v>
      </c>
      <c r="L166" s="0" t="s">
        <v>228</v>
      </c>
      <c r="M166" s="0" t="s">
        <v>228</v>
      </c>
      <c r="N166" s="0" t="s">
        <v>228</v>
      </c>
      <c r="O166" s="0" t="s">
        <v>228</v>
      </c>
      <c r="P166" s="0" t="s">
        <v>228</v>
      </c>
      <c r="Q166" s="0" t="s">
        <v>228</v>
      </c>
      <c r="R166" s="0" t="s">
        <v>4396</v>
      </c>
      <c r="S166" s="0" t="s">
        <v>228</v>
      </c>
      <c r="T166" s="0" t="s">
        <v>228</v>
      </c>
      <c r="U166" s="0" t="s">
        <v>101</v>
      </c>
      <c r="V166" s="0" t="s">
        <v>228</v>
      </c>
      <c r="W166" s="0" t="s">
        <v>228</v>
      </c>
      <c r="X166" s="0" t="s">
        <v>3661</v>
      </c>
      <c r="Y166" s="0" t="s">
        <v>228</v>
      </c>
      <c r="Z166" s="0" t="s">
        <v>151</v>
      </c>
      <c r="AA166" s="0" t="s">
        <v>151</v>
      </c>
      <c r="AB166" s="0" t="s">
        <v>160</v>
      </c>
      <c r="AC166" s="0" t="s">
        <v>2317</v>
      </c>
      <c r="AD166" s="0" t="s">
        <v>2317</v>
      </c>
      <c r="AE166" s="0" t="s">
        <v>2318</v>
      </c>
      <c r="AF166" s="0" t="s">
        <v>3923</v>
      </c>
      <c r="AG166" s="0" t="s">
        <v>3924</v>
      </c>
      <c r="AH166" s="0" t="s">
        <v>3651</v>
      </c>
      <c r="AI166" s="0" t="s">
        <v>3651</v>
      </c>
      <c r="AJ166" s="0" t="s">
        <v>228</v>
      </c>
      <c r="AK166" s="0" t="s">
        <v>228</v>
      </c>
      <c r="AL166" s="0" t="s">
        <v>228</v>
      </c>
      <c r="AM166" s="0" t="s">
        <v>228</v>
      </c>
      <c r="AN166" s="0" t="s">
        <v>228</v>
      </c>
      <c r="AO166" s="0" t="s">
        <v>228</v>
      </c>
      <c r="AP166" s="0" t="s">
        <v>228</v>
      </c>
      <c r="AQ166" s="0" t="s">
        <v>228</v>
      </c>
      <c r="AR166" s="0" t="s">
        <v>228</v>
      </c>
      <c r="AS166" s="0" t="s">
        <v>228</v>
      </c>
      <c r="AT166" s="0" t="s">
        <v>228</v>
      </c>
      <c r="AU166" s="0" t="s">
        <v>228</v>
      </c>
      <c r="AV166" s="0" t="s">
        <v>228</v>
      </c>
      <c r="AW166" s="0" t="s">
        <v>228</v>
      </c>
      <c r="AX166" s="0" t="s">
        <v>228</v>
      </c>
      <c r="AY166" s="0" t="s">
        <v>228</v>
      </c>
      <c r="AZ166" s="0" t="s">
        <v>228</v>
      </c>
      <c r="BA166" s="0" t="s">
        <v>228</v>
      </c>
      <c r="BB166" s="0" t="s">
        <v>228</v>
      </c>
      <c r="BC166" s="0" t="s">
        <v>228</v>
      </c>
      <c r="BD166" s="0" t="s">
        <v>228</v>
      </c>
      <c r="BE166" s="0" t="s">
        <v>3579</v>
      </c>
      <c r="BF166" s="0" t="s">
        <v>3619</v>
      </c>
      <c r="BG166" s="0" t="s">
        <v>111</v>
      </c>
      <c r="BH166" s="0" t="s">
        <v>3665</v>
      </c>
      <c r="BI166" s="0" t="s">
        <v>122</v>
      </c>
      <c r="BJ166" s="0" t="s">
        <v>228</v>
      </c>
      <c r="BK166" s="0" t="s">
        <v>3684</v>
      </c>
      <c r="BL166" s="0" t="s">
        <v>2317</v>
      </c>
      <c r="BM166" s="0" t="s">
        <v>2317</v>
      </c>
      <c r="BN166" s="0" t="s">
        <v>3740</v>
      </c>
      <c r="BO166" s="0" t="s">
        <v>3923</v>
      </c>
      <c r="BP166" s="0" t="s">
        <v>4397</v>
      </c>
      <c r="BQ166" s="0" t="s">
        <v>3651</v>
      </c>
      <c r="BR166" s="0" t="s">
        <v>3651</v>
      </c>
      <c r="BS166" s="0" t="s">
        <v>228</v>
      </c>
      <c r="BT166" s="0" t="s">
        <v>3727</v>
      </c>
      <c r="BU166" s="0" t="s">
        <v>4398</v>
      </c>
      <c r="BV166" s="0" t="s">
        <v>4398</v>
      </c>
      <c r="BW166" s="0" t="s">
        <v>3674</v>
      </c>
      <c r="BX166" s="0" t="s">
        <v>3674</v>
      </c>
      <c r="BY166" s="0" t="s">
        <v>3674</v>
      </c>
      <c r="BZ166" s="0" t="s">
        <v>3674</v>
      </c>
      <c r="CA166" s="0" t="s">
        <v>3674</v>
      </c>
      <c r="CB166" s="0" t="s">
        <v>228</v>
      </c>
      <c r="CC166" s="0" t="s">
        <v>228</v>
      </c>
      <c r="CD166" s="0" t="s">
        <v>228</v>
      </c>
      <c r="CE166" s="0" t="s">
        <v>228</v>
      </c>
      <c r="CF166" s="0" t="s">
        <v>228</v>
      </c>
      <c r="CG166" s="0" t="s">
        <v>3674</v>
      </c>
      <c r="CH166" s="0" t="s">
        <v>228</v>
      </c>
      <c r="CI166" s="0" t="s">
        <v>228</v>
      </c>
      <c r="CJ166" s="0" t="s">
        <v>228</v>
      </c>
      <c r="CK166" s="0" t="s">
        <v>228</v>
      </c>
      <c r="CL166" s="0" t="s">
        <v>228</v>
      </c>
      <c r="CM166" s="0" t="s">
        <v>4398</v>
      </c>
      <c r="CN166" s="0" t="s">
        <v>4398</v>
      </c>
      <c r="CO166" s="0" t="s">
        <v>228</v>
      </c>
      <c r="CP166" s="0" t="s">
        <v>228</v>
      </c>
      <c r="CQ166" s="0" t="s">
        <v>228</v>
      </c>
      <c r="CR166" s="0" t="s">
        <v>228</v>
      </c>
      <c r="CS166" s="0" t="s">
        <v>3743</v>
      </c>
      <c r="CT166" s="0" t="s">
        <v>3568</v>
      </c>
      <c r="CU166" s="0" t="s">
        <v>3569</v>
      </c>
      <c r="CV166" s="0" t="s">
        <v>418</v>
      </c>
      <c r="CW166" s="0" t="s">
        <v>3622</v>
      </c>
      <c r="CX166" s="0" t="s">
        <v>419</v>
      </c>
      <c r="CY166" s="0" t="s">
        <v>418</v>
      </c>
      <c r="CZ166" s="0" t="s">
        <v>3623</v>
      </c>
      <c r="DA166" s="0" t="s">
        <v>3624</v>
      </c>
      <c r="DB166" s="0" t="s">
        <v>3622</v>
      </c>
      <c r="DC166" s="0" t="s">
        <v>362</v>
      </c>
      <c r="DD166" s="0" t="s">
        <v>3572</v>
      </c>
      <c r="DE166" s="0" t="s">
        <v>4399</v>
      </c>
    </row>
    <row customHeight="1" ht="11.25">
      <c r="A167" s="1353" t="s">
        <v>228</v>
      </c>
      <c r="B167" s="0" t="s">
        <v>228</v>
      </c>
      <c r="C167" s="0" t="s">
        <v>228</v>
      </c>
      <c r="D167" s="0" t="s">
        <v>228</v>
      </c>
      <c r="E167" s="0" t="s">
        <v>228</v>
      </c>
      <c r="F167" s="0" t="s">
        <v>228</v>
      </c>
      <c r="G167" s="0" t="s">
        <v>228</v>
      </c>
      <c r="H167" s="0" t="s">
        <v>228</v>
      </c>
      <c r="I167" s="0" t="s">
        <v>3555</v>
      </c>
      <c r="J167" s="0" t="s">
        <v>228</v>
      </c>
      <c r="K167" s="0" t="s">
        <v>228</v>
      </c>
      <c r="L167" s="0" t="s">
        <v>228</v>
      </c>
      <c r="M167" s="0" t="s">
        <v>228</v>
      </c>
      <c r="N167" s="0" t="s">
        <v>228</v>
      </c>
      <c r="O167" s="0" t="s">
        <v>228</v>
      </c>
      <c r="P167" s="0" t="s">
        <v>228</v>
      </c>
      <c r="Q167" s="0" t="s">
        <v>228</v>
      </c>
      <c r="R167" s="0" t="s">
        <v>4400</v>
      </c>
      <c r="S167" s="0" t="s">
        <v>228</v>
      </c>
      <c r="T167" s="0" t="s">
        <v>228</v>
      </c>
      <c r="U167" s="0" t="s">
        <v>101</v>
      </c>
      <c r="V167" s="0" t="s">
        <v>228</v>
      </c>
      <c r="W167" s="0" t="s">
        <v>228</v>
      </c>
      <c r="X167" s="0" t="s">
        <v>3557</v>
      </c>
      <c r="Y167" s="0" t="s">
        <v>228</v>
      </c>
      <c r="Z167" s="0" t="s">
        <v>160</v>
      </c>
      <c r="AA167" s="0" t="s">
        <v>151</v>
      </c>
      <c r="AB167" s="0" t="s">
        <v>151</v>
      </c>
      <c r="AC167" s="0" t="s">
        <v>2317</v>
      </c>
      <c r="AD167" s="0" t="s">
        <v>2317</v>
      </c>
      <c r="AE167" s="0" t="s">
        <v>2318</v>
      </c>
      <c r="AF167" s="0" t="s">
        <v>4401</v>
      </c>
      <c r="AG167" s="0" t="s">
        <v>4402</v>
      </c>
      <c r="AH167" s="0" t="s">
        <v>3617</v>
      </c>
      <c r="AI167" s="0" t="s">
        <v>4403</v>
      </c>
      <c r="AJ167" s="0" t="s">
        <v>3579</v>
      </c>
      <c r="AK167" s="0" t="s">
        <v>3853</v>
      </c>
      <c r="AL167" s="0" t="s">
        <v>3581</v>
      </c>
      <c r="AM167" s="0" t="s">
        <v>3565</v>
      </c>
      <c r="AN167" s="0" t="s">
        <v>3620</v>
      </c>
      <c r="AO167" s="0" t="s">
        <v>3583</v>
      </c>
      <c r="AP167" s="0" t="s">
        <v>228</v>
      </c>
      <c r="AQ167" s="0" t="s">
        <v>228</v>
      </c>
      <c r="AR167" s="0" t="s">
        <v>228</v>
      </c>
      <c r="AS167" s="0" t="s">
        <v>228</v>
      </c>
      <c r="AT167" s="0" t="s">
        <v>228</v>
      </c>
      <c r="AU167" s="0" t="s">
        <v>228</v>
      </c>
      <c r="AV167" s="0" t="s">
        <v>228</v>
      </c>
      <c r="AW167" s="0" t="s">
        <v>228</v>
      </c>
      <c r="AX167" s="0" t="s">
        <v>228</v>
      </c>
      <c r="AY167" s="0" t="s">
        <v>228</v>
      </c>
      <c r="AZ167" s="0" t="s">
        <v>228</v>
      </c>
      <c r="BA167" s="0" t="s">
        <v>228</v>
      </c>
      <c r="BB167" s="0" t="s">
        <v>228</v>
      </c>
      <c r="BC167" s="0" t="s">
        <v>228</v>
      </c>
      <c r="BD167" s="0" t="s">
        <v>228</v>
      </c>
      <c r="BE167" s="0" t="s">
        <v>228</v>
      </c>
      <c r="BF167" s="0" t="s">
        <v>228</v>
      </c>
      <c r="BG167" s="0" t="s">
        <v>228</v>
      </c>
      <c r="BH167" s="0" t="s">
        <v>228</v>
      </c>
      <c r="BI167" s="0" t="s">
        <v>228</v>
      </c>
      <c r="BJ167" s="0" t="s">
        <v>228</v>
      </c>
      <c r="BK167" s="0" t="s">
        <v>228</v>
      </c>
      <c r="BL167" s="0" t="s">
        <v>228</v>
      </c>
      <c r="BM167" s="0" t="s">
        <v>228</v>
      </c>
      <c r="BN167" s="0" t="s">
        <v>228</v>
      </c>
      <c r="BO167" s="0" t="s">
        <v>228</v>
      </c>
      <c r="BP167" s="0" t="s">
        <v>228</v>
      </c>
      <c r="BQ167" s="0" t="s">
        <v>228</v>
      </c>
      <c r="BR167" s="0" t="s">
        <v>228</v>
      </c>
      <c r="BS167" s="0" t="s">
        <v>228</v>
      </c>
      <c r="BT167" s="0" t="s">
        <v>228</v>
      </c>
      <c r="BU167" s="0" t="s">
        <v>228</v>
      </c>
      <c r="BV167" s="0" t="s">
        <v>228</v>
      </c>
      <c r="BW167" s="0" t="s">
        <v>228</v>
      </c>
      <c r="BX167" s="0" t="s">
        <v>228</v>
      </c>
      <c r="BY167" s="0" t="s">
        <v>228</v>
      </c>
      <c r="BZ167" s="0" t="s">
        <v>228</v>
      </c>
      <c r="CA167" s="0" t="s">
        <v>228</v>
      </c>
      <c r="CB167" s="0" t="s">
        <v>228</v>
      </c>
      <c r="CC167" s="0" t="s">
        <v>228</v>
      </c>
      <c r="CD167" s="0" t="s">
        <v>228</v>
      </c>
      <c r="CE167" s="0" t="s">
        <v>228</v>
      </c>
      <c r="CF167" s="0" t="s">
        <v>228</v>
      </c>
      <c r="CG167" s="0" t="s">
        <v>228</v>
      </c>
      <c r="CH167" s="0" t="s">
        <v>228</v>
      </c>
      <c r="CI167" s="0" t="s">
        <v>228</v>
      </c>
      <c r="CJ167" s="0" t="s">
        <v>228</v>
      </c>
      <c r="CK167" s="0" t="s">
        <v>228</v>
      </c>
      <c r="CL167" s="0" t="s">
        <v>228</v>
      </c>
      <c r="CM167" s="0" t="s">
        <v>228</v>
      </c>
      <c r="CN167" s="0" t="s">
        <v>228</v>
      </c>
      <c r="CO167" s="0" t="s">
        <v>228</v>
      </c>
      <c r="CP167" s="0" t="s">
        <v>228</v>
      </c>
      <c r="CQ167" s="0" t="s">
        <v>228</v>
      </c>
      <c r="CR167" s="0" t="s">
        <v>228</v>
      </c>
      <c r="CS167" s="0" t="s">
        <v>228</v>
      </c>
      <c r="CT167" s="0" t="s">
        <v>3568</v>
      </c>
      <c r="CU167" s="0" t="s">
        <v>3569</v>
      </c>
      <c r="CV167" s="0" t="s">
        <v>418</v>
      </c>
      <c r="CW167" s="0" t="s">
        <v>3622</v>
      </c>
      <c r="CX167" s="0" t="s">
        <v>419</v>
      </c>
      <c r="CY167" s="0" t="s">
        <v>418</v>
      </c>
      <c r="CZ167" s="0" t="s">
        <v>3623</v>
      </c>
      <c r="DA167" s="0" t="s">
        <v>3624</v>
      </c>
      <c r="DB167" s="0" t="s">
        <v>3622</v>
      </c>
      <c r="DC167" s="0" t="s">
        <v>362</v>
      </c>
      <c r="DD167" s="0" t="s">
        <v>3572</v>
      </c>
      <c r="DE167" s="0" t="s">
        <v>4404</v>
      </c>
    </row>
    <row customHeight="1" ht="11.25">
      <c r="A168" s="1353" t="s">
        <v>228</v>
      </c>
      <c r="B168" s="0" t="s">
        <v>228</v>
      </c>
      <c r="C168" s="0" t="s">
        <v>228</v>
      </c>
      <c r="D168" s="0" t="s">
        <v>228</v>
      </c>
      <c r="E168" s="0" t="s">
        <v>228</v>
      </c>
      <c r="F168" s="0" t="s">
        <v>228</v>
      </c>
      <c r="G168" s="0" t="s">
        <v>228</v>
      </c>
      <c r="H168" s="0" t="s">
        <v>228</v>
      </c>
      <c r="I168" s="0" t="s">
        <v>3555</v>
      </c>
      <c r="J168" s="0" t="s">
        <v>228</v>
      </c>
      <c r="K168" s="0" t="s">
        <v>228</v>
      </c>
      <c r="L168" s="0" t="s">
        <v>228</v>
      </c>
      <c r="M168" s="0" t="s">
        <v>228</v>
      </c>
      <c r="N168" s="0" t="s">
        <v>228</v>
      </c>
      <c r="O168" s="0" t="s">
        <v>228</v>
      </c>
      <c r="P168" s="0" t="s">
        <v>228</v>
      </c>
      <c r="Q168" s="0" t="s">
        <v>228</v>
      </c>
      <c r="R168" s="0" t="s">
        <v>4405</v>
      </c>
      <c r="S168" s="0" t="s">
        <v>228</v>
      </c>
      <c r="T168" s="0" t="s">
        <v>228</v>
      </c>
      <c r="U168" s="0" t="s">
        <v>101</v>
      </c>
      <c r="V168" s="0" t="s">
        <v>228</v>
      </c>
      <c r="W168" s="0" t="s">
        <v>228</v>
      </c>
      <c r="X168" s="0" t="s">
        <v>3661</v>
      </c>
      <c r="Y168" s="0" t="s">
        <v>228</v>
      </c>
      <c r="Z168" s="0" t="s">
        <v>151</v>
      </c>
      <c r="AA168" s="0" t="s">
        <v>151</v>
      </c>
      <c r="AB168" s="0" t="s">
        <v>160</v>
      </c>
      <c r="AC168" s="0" t="s">
        <v>2317</v>
      </c>
      <c r="AD168" s="0" t="s">
        <v>2317</v>
      </c>
      <c r="AE168" s="0" t="s">
        <v>2318</v>
      </c>
      <c r="AF168" s="0" t="s">
        <v>4200</v>
      </c>
      <c r="AG168" s="0" t="s">
        <v>4201</v>
      </c>
      <c r="AH168" s="0" t="s">
        <v>3651</v>
      </c>
      <c r="AI168" s="0" t="s">
        <v>3651</v>
      </c>
      <c r="AJ168" s="0" t="s">
        <v>228</v>
      </c>
      <c r="AK168" s="0" t="s">
        <v>228</v>
      </c>
      <c r="AL168" s="0" t="s">
        <v>228</v>
      </c>
      <c r="AM168" s="0" t="s">
        <v>228</v>
      </c>
      <c r="AN168" s="0" t="s">
        <v>228</v>
      </c>
      <c r="AO168" s="0" t="s">
        <v>228</v>
      </c>
      <c r="AP168" s="0" t="s">
        <v>228</v>
      </c>
      <c r="AQ168" s="0" t="s">
        <v>228</v>
      </c>
      <c r="AR168" s="0" t="s">
        <v>228</v>
      </c>
      <c r="AS168" s="0" t="s">
        <v>228</v>
      </c>
      <c r="AT168" s="0" t="s">
        <v>228</v>
      </c>
      <c r="AU168" s="0" t="s">
        <v>228</v>
      </c>
      <c r="AV168" s="0" t="s">
        <v>228</v>
      </c>
      <c r="AW168" s="0" t="s">
        <v>228</v>
      </c>
      <c r="AX168" s="0" t="s">
        <v>228</v>
      </c>
      <c r="AY168" s="0" t="s">
        <v>228</v>
      </c>
      <c r="AZ168" s="0" t="s">
        <v>228</v>
      </c>
      <c r="BA168" s="0" t="s">
        <v>228</v>
      </c>
      <c r="BB168" s="0" t="s">
        <v>228</v>
      </c>
      <c r="BC168" s="0" t="s">
        <v>228</v>
      </c>
      <c r="BD168" s="0" t="s">
        <v>228</v>
      </c>
      <c r="BE168" s="0" t="s">
        <v>3627</v>
      </c>
      <c r="BF168" s="0" t="s">
        <v>3749</v>
      </c>
      <c r="BG168" s="0" t="s">
        <v>111</v>
      </c>
      <c r="BH168" s="0" t="s">
        <v>3665</v>
      </c>
      <c r="BI168" s="0" t="s">
        <v>122</v>
      </c>
      <c r="BJ168" s="0" t="s">
        <v>228</v>
      </c>
      <c r="BK168" s="0" t="s">
        <v>3684</v>
      </c>
      <c r="BL168" s="0" t="s">
        <v>2317</v>
      </c>
      <c r="BM168" s="0" t="s">
        <v>2317</v>
      </c>
      <c r="BN168" s="0" t="s">
        <v>3740</v>
      </c>
      <c r="BO168" s="0" t="s">
        <v>4200</v>
      </c>
      <c r="BP168" s="0" t="s">
        <v>4406</v>
      </c>
      <c r="BQ168" s="0" t="s">
        <v>3651</v>
      </c>
      <c r="BR168" s="0" t="s">
        <v>3651</v>
      </c>
      <c r="BS168" s="0" t="s">
        <v>228</v>
      </c>
      <c r="BT168" s="0" t="s">
        <v>3727</v>
      </c>
      <c r="BU168" s="0" t="s">
        <v>4407</v>
      </c>
      <c r="BV168" s="0" t="s">
        <v>4407</v>
      </c>
      <c r="BW168" s="0" t="s">
        <v>3674</v>
      </c>
      <c r="BX168" s="0" t="s">
        <v>3674</v>
      </c>
      <c r="BY168" s="0" t="s">
        <v>3674</v>
      </c>
      <c r="BZ168" s="0" t="s">
        <v>3674</v>
      </c>
      <c r="CA168" s="0" t="s">
        <v>3674</v>
      </c>
      <c r="CB168" s="0" t="s">
        <v>228</v>
      </c>
      <c r="CC168" s="0" t="s">
        <v>228</v>
      </c>
      <c r="CD168" s="0" t="s">
        <v>228</v>
      </c>
      <c r="CE168" s="0" t="s">
        <v>228</v>
      </c>
      <c r="CF168" s="0" t="s">
        <v>228</v>
      </c>
      <c r="CG168" s="0" t="s">
        <v>3674</v>
      </c>
      <c r="CH168" s="0" t="s">
        <v>228</v>
      </c>
      <c r="CI168" s="0" t="s">
        <v>228</v>
      </c>
      <c r="CJ168" s="0" t="s">
        <v>228</v>
      </c>
      <c r="CK168" s="0" t="s">
        <v>228</v>
      </c>
      <c r="CL168" s="0" t="s">
        <v>228</v>
      </c>
      <c r="CM168" s="0" t="s">
        <v>4407</v>
      </c>
      <c r="CN168" s="0" t="s">
        <v>4407</v>
      </c>
      <c r="CO168" s="0" t="s">
        <v>228</v>
      </c>
      <c r="CP168" s="0" t="s">
        <v>228</v>
      </c>
      <c r="CQ168" s="0" t="s">
        <v>228</v>
      </c>
      <c r="CR168" s="0" t="s">
        <v>228</v>
      </c>
      <c r="CS168" s="0" t="s">
        <v>3743</v>
      </c>
      <c r="CT168" s="0" t="s">
        <v>3568</v>
      </c>
      <c r="CU168" s="0" t="s">
        <v>3569</v>
      </c>
      <c r="CV168" s="0" t="s">
        <v>418</v>
      </c>
      <c r="CW168" s="0" t="s">
        <v>3622</v>
      </c>
      <c r="CX168" s="0" t="s">
        <v>419</v>
      </c>
      <c r="CY168" s="0" t="s">
        <v>418</v>
      </c>
      <c r="CZ168" s="0" t="s">
        <v>3623</v>
      </c>
      <c r="DA168" s="0" t="s">
        <v>3624</v>
      </c>
      <c r="DB168" s="0" t="s">
        <v>3622</v>
      </c>
      <c r="DC168" s="0" t="s">
        <v>362</v>
      </c>
      <c r="DD168" s="0" t="s">
        <v>3572</v>
      </c>
      <c r="DE168" s="0" t="s">
        <v>4408</v>
      </c>
    </row>
    <row customHeight="1" ht="11.25">
      <c r="A169" s="1353" t="s">
        <v>228</v>
      </c>
      <c r="B169" s="0" t="s">
        <v>228</v>
      </c>
      <c r="C169" s="0" t="s">
        <v>228</v>
      </c>
      <c r="D169" s="0" t="s">
        <v>228</v>
      </c>
      <c r="E169" s="0" t="s">
        <v>228</v>
      </c>
      <c r="F169" s="0" t="s">
        <v>228</v>
      </c>
      <c r="G169" s="0" t="s">
        <v>228</v>
      </c>
      <c r="H169" s="0" t="s">
        <v>228</v>
      </c>
      <c r="I169" s="0" t="s">
        <v>3555</v>
      </c>
      <c r="J169" s="0" t="s">
        <v>228</v>
      </c>
      <c r="K169" s="0" t="s">
        <v>228</v>
      </c>
      <c r="L169" s="0" t="s">
        <v>228</v>
      </c>
      <c r="M169" s="0" t="s">
        <v>228</v>
      </c>
      <c r="N169" s="0" t="s">
        <v>228</v>
      </c>
      <c r="O169" s="0" t="s">
        <v>228</v>
      </c>
      <c r="P169" s="0" t="s">
        <v>228</v>
      </c>
      <c r="Q169" s="0" t="s">
        <v>228</v>
      </c>
      <c r="R169" s="0" t="s">
        <v>4409</v>
      </c>
      <c r="S169" s="0" t="s">
        <v>228</v>
      </c>
      <c r="T169" s="0" t="s">
        <v>228</v>
      </c>
      <c r="U169" s="0" t="s">
        <v>101</v>
      </c>
      <c r="V169" s="0" t="s">
        <v>228</v>
      </c>
      <c r="W169" s="0" t="s">
        <v>228</v>
      </c>
      <c r="X169" s="0" t="s">
        <v>3661</v>
      </c>
      <c r="Y169" s="0" t="s">
        <v>228</v>
      </c>
      <c r="Z169" s="0" t="s">
        <v>151</v>
      </c>
      <c r="AA169" s="0" t="s">
        <v>151</v>
      </c>
      <c r="AB169" s="0" t="s">
        <v>160</v>
      </c>
      <c r="AC169" s="0" t="s">
        <v>2311</v>
      </c>
      <c r="AD169" s="0" t="s">
        <v>2311</v>
      </c>
      <c r="AE169" s="0" t="s">
        <v>2312</v>
      </c>
      <c r="AF169" s="0" t="s">
        <v>4410</v>
      </c>
      <c r="AG169" s="0" t="s">
        <v>4411</v>
      </c>
      <c r="AH169" s="0" t="s">
        <v>4412</v>
      </c>
      <c r="AI169" s="0" t="s">
        <v>4413</v>
      </c>
      <c r="AJ169" s="0" t="s">
        <v>228</v>
      </c>
      <c r="AK169" s="0" t="s">
        <v>228</v>
      </c>
      <c r="AL169" s="0" t="s">
        <v>228</v>
      </c>
      <c r="AM169" s="0" t="s">
        <v>228</v>
      </c>
      <c r="AN169" s="0" t="s">
        <v>228</v>
      </c>
      <c r="AO169" s="0" t="s">
        <v>228</v>
      </c>
      <c r="AP169" s="0" t="s">
        <v>228</v>
      </c>
      <c r="AQ169" s="0" t="s">
        <v>228</v>
      </c>
      <c r="AR169" s="0" t="s">
        <v>228</v>
      </c>
      <c r="AS169" s="0" t="s">
        <v>228</v>
      </c>
      <c r="AT169" s="0" t="s">
        <v>228</v>
      </c>
      <c r="AU169" s="0" t="s">
        <v>228</v>
      </c>
      <c r="AV169" s="0" t="s">
        <v>228</v>
      </c>
      <c r="AW169" s="0" t="s">
        <v>228</v>
      </c>
      <c r="AX169" s="0" t="s">
        <v>228</v>
      </c>
      <c r="AY169" s="0" t="s">
        <v>228</v>
      </c>
      <c r="AZ169" s="0" t="s">
        <v>228</v>
      </c>
      <c r="BA169" s="0" t="s">
        <v>228</v>
      </c>
      <c r="BB169" s="0" t="s">
        <v>228</v>
      </c>
      <c r="BC169" s="0" t="s">
        <v>228</v>
      </c>
      <c r="BD169" s="0" t="s">
        <v>228</v>
      </c>
      <c r="BE169" s="0" t="s">
        <v>3722</v>
      </c>
      <c r="BF169" s="0" t="s">
        <v>3722</v>
      </c>
      <c r="BG169" s="0" t="s">
        <v>111</v>
      </c>
      <c r="BH169" s="0" t="s">
        <v>3665</v>
      </c>
      <c r="BI169" s="0" t="s">
        <v>122</v>
      </c>
      <c r="BJ169" s="0" t="s">
        <v>228</v>
      </c>
      <c r="BK169" s="0" t="s">
        <v>3684</v>
      </c>
      <c r="BL169" s="0" t="s">
        <v>2311</v>
      </c>
      <c r="BM169" s="0" t="s">
        <v>2311</v>
      </c>
      <c r="BN169" s="0" t="s">
        <v>3723</v>
      </c>
      <c r="BO169" s="0" t="s">
        <v>4410</v>
      </c>
      <c r="BP169" s="0" t="s">
        <v>4414</v>
      </c>
      <c r="BQ169" s="0" t="s">
        <v>4415</v>
      </c>
      <c r="BR169" s="0" t="s">
        <v>4416</v>
      </c>
      <c r="BS169" s="0" t="s">
        <v>228</v>
      </c>
      <c r="BT169" s="0" t="s">
        <v>3727</v>
      </c>
      <c r="BU169" s="0" t="s">
        <v>4417</v>
      </c>
      <c r="BV169" s="0" t="s">
        <v>4417</v>
      </c>
      <c r="BW169" s="0" t="s">
        <v>3674</v>
      </c>
      <c r="BX169" s="0" t="s">
        <v>3674</v>
      </c>
      <c r="BY169" s="0" t="s">
        <v>3674</v>
      </c>
      <c r="BZ169" s="0" t="s">
        <v>3674</v>
      </c>
      <c r="CA169" s="0" t="s">
        <v>3674</v>
      </c>
      <c r="CB169" s="0" t="s">
        <v>228</v>
      </c>
      <c r="CC169" s="0" t="s">
        <v>228</v>
      </c>
      <c r="CD169" s="0" t="s">
        <v>228</v>
      </c>
      <c r="CE169" s="0" t="s">
        <v>228</v>
      </c>
      <c r="CF169" s="0" t="s">
        <v>228</v>
      </c>
      <c r="CG169" s="0" t="s">
        <v>3674</v>
      </c>
      <c r="CH169" s="0" t="s">
        <v>228</v>
      </c>
      <c r="CI169" s="0" t="s">
        <v>228</v>
      </c>
      <c r="CJ169" s="0" t="s">
        <v>228</v>
      </c>
      <c r="CK169" s="0" t="s">
        <v>228</v>
      </c>
      <c r="CL169" s="0" t="s">
        <v>228</v>
      </c>
      <c r="CM169" s="0" t="s">
        <v>4417</v>
      </c>
      <c r="CN169" s="0" t="s">
        <v>4417</v>
      </c>
      <c r="CO169" s="0" t="s">
        <v>228</v>
      </c>
      <c r="CP169" s="0" t="s">
        <v>228</v>
      </c>
      <c r="CQ169" s="0" t="s">
        <v>228</v>
      </c>
      <c r="CR169" s="0" t="s">
        <v>228</v>
      </c>
      <c r="CS169" s="0" t="s">
        <v>3582</v>
      </c>
      <c r="CT169" s="0" t="s">
        <v>3568</v>
      </c>
      <c r="CU169" s="0" t="s">
        <v>3569</v>
      </c>
      <c r="CV169" s="0" t="s">
        <v>418</v>
      </c>
      <c r="CW169" s="0" t="s">
        <v>3584</v>
      </c>
      <c r="CX169" s="0" t="s">
        <v>419</v>
      </c>
      <c r="CY169" s="0" t="s">
        <v>418</v>
      </c>
      <c r="CZ169" s="0" t="s">
        <v>3585</v>
      </c>
      <c r="DA169" s="0" t="s">
        <v>3586</v>
      </c>
      <c r="DB169" s="0" t="s">
        <v>3584</v>
      </c>
      <c r="DC169" s="0" t="s">
        <v>362</v>
      </c>
      <c r="DD169" s="0" t="s">
        <v>3572</v>
      </c>
      <c r="DE169" s="0" t="s">
        <v>4418</v>
      </c>
    </row>
    <row customHeight="1" ht="11.25">
      <c r="A170" s="1353" t="s">
        <v>228</v>
      </c>
      <c r="B170" s="0" t="s">
        <v>228</v>
      </c>
      <c r="C170" s="0" t="s">
        <v>228</v>
      </c>
      <c r="D170" s="0" t="s">
        <v>228</v>
      </c>
      <c r="E170" s="0" t="s">
        <v>228</v>
      </c>
      <c r="F170" s="0" t="s">
        <v>228</v>
      </c>
      <c r="G170" s="0" t="s">
        <v>228</v>
      </c>
      <c r="H170" s="0" t="s">
        <v>228</v>
      </c>
      <c r="I170" s="0" t="s">
        <v>3555</v>
      </c>
      <c r="J170" s="0" t="s">
        <v>228</v>
      </c>
      <c r="K170" s="0" t="s">
        <v>228</v>
      </c>
      <c r="L170" s="0" t="s">
        <v>228</v>
      </c>
      <c r="M170" s="0" t="s">
        <v>228</v>
      </c>
      <c r="N170" s="0" t="s">
        <v>228</v>
      </c>
      <c r="O170" s="0" t="s">
        <v>228</v>
      </c>
      <c r="P170" s="0" t="s">
        <v>228</v>
      </c>
      <c r="Q170" s="0" t="s">
        <v>228</v>
      </c>
      <c r="R170" s="0" t="s">
        <v>4419</v>
      </c>
      <c r="S170" s="0" t="s">
        <v>228</v>
      </c>
      <c r="T170" s="0" t="s">
        <v>228</v>
      </c>
      <c r="U170" s="0" t="s">
        <v>101</v>
      </c>
      <c r="V170" s="0" t="s">
        <v>228</v>
      </c>
      <c r="W170" s="0" t="s">
        <v>228</v>
      </c>
      <c r="X170" s="0" t="s">
        <v>3557</v>
      </c>
      <c r="Y170" s="0" t="s">
        <v>228</v>
      </c>
      <c r="Z170" s="0" t="s">
        <v>160</v>
      </c>
      <c r="AA170" s="0" t="s">
        <v>151</v>
      </c>
      <c r="AB170" s="0" t="s">
        <v>151</v>
      </c>
      <c r="AC170" s="0" t="s">
        <v>2715</v>
      </c>
      <c r="AD170" s="0" t="s">
        <v>2715</v>
      </c>
      <c r="AE170" s="0" t="s">
        <v>2716</v>
      </c>
      <c r="AF170" s="0" t="s">
        <v>3594</v>
      </c>
      <c r="AG170" s="0" t="s">
        <v>3595</v>
      </c>
      <c r="AH170" s="0" t="s">
        <v>3704</v>
      </c>
      <c r="AI170" s="0" t="s">
        <v>3608</v>
      </c>
      <c r="AJ170" s="0" t="s">
        <v>3663</v>
      </c>
      <c r="AK170" s="0" t="s">
        <v>4420</v>
      </c>
      <c r="AL170" s="0" t="s">
        <v>3599</v>
      </c>
      <c r="AM170" s="0" t="s">
        <v>3565</v>
      </c>
      <c r="AN170" s="0" t="s">
        <v>4421</v>
      </c>
      <c r="AO170" s="0" t="s">
        <v>4422</v>
      </c>
      <c r="AP170" s="0" t="s">
        <v>228</v>
      </c>
      <c r="AQ170" s="0" t="s">
        <v>228</v>
      </c>
      <c r="AR170" s="0" t="s">
        <v>228</v>
      </c>
      <c r="AS170" s="0" t="s">
        <v>228</v>
      </c>
      <c r="AT170" s="0" t="s">
        <v>228</v>
      </c>
      <c r="AU170" s="0" t="s">
        <v>228</v>
      </c>
      <c r="AV170" s="0" t="s">
        <v>228</v>
      </c>
      <c r="AW170" s="0" t="s">
        <v>228</v>
      </c>
      <c r="AX170" s="0" t="s">
        <v>228</v>
      </c>
      <c r="AY170" s="0" t="s">
        <v>228</v>
      </c>
      <c r="AZ170" s="0" t="s">
        <v>228</v>
      </c>
      <c r="BA170" s="0" t="s">
        <v>228</v>
      </c>
      <c r="BB170" s="0" t="s">
        <v>228</v>
      </c>
      <c r="BC170" s="0" t="s">
        <v>228</v>
      </c>
      <c r="BD170" s="0" t="s">
        <v>228</v>
      </c>
      <c r="BE170" s="0" t="s">
        <v>228</v>
      </c>
      <c r="BF170" s="0" t="s">
        <v>228</v>
      </c>
      <c r="BG170" s="0" t="s">
        <v>228</v>
      </c>
      <c r="BH170" s="0" t="s">
        <v>228</v>
      </c>
      <c r="BI170" s="0" t="s">
        <v>228</v>
      </c>
      <c r="BJ170" s="0" t="s">
        <v>228</v>
      </c>
      <c r="BK170" s="0" t="s">
        <v>228</v>
      </c>
      <c r="BL170" s="0" t="s">
        <v>228</v>
      </c>
      <c r="BM170" s="0" t="s">
        <v>228</v>
      </c>
      <c r="BN170" s="0" t="s">
        <v>228</v>
      </c>
      <c r="BO170" s="0" t="s">
        <v>228</v>
      </c>
      <c r="BP170" s="0" t="s">
        <v>228</v>
      </c>
      <c r="BQ170" s="0" t="s">
        <v>228</v>
      </c>
      <c r="BR170" s="0" t="s">
        <v>228</v>
      </c>
      <c r="BS170" s="0" t="s">
        <v>228</v>
      </c>
      <c r="BT170" s="0" t="s">
        <v>228</v>
      </c>
      <c r="BU170" s="0" t="s">
        <v>228</v>
      </c>
      <c r="BV170" s="0" t="s">
        <v>228</v>
      </c>
      <c r="BW170" s="0" t="s">
        <v>228</v>
      </c>
      <c r="BX170" s="0" t="s">
        <v>228</v>
      </c>
      <c r="BY170" s="0" t="s">
        <v>228</v>
      </c>
      <c r="BZ170" s="0" t="s">
        <v>228</v>
      </c>
      <c r="CA170" s="0" t="s">
        <v>228</v>
      </c>
      <c r="CB170" s="0" t="s">
        <v>228</v>
      </c>
      <c r="CC170" s="0" t="s">
        <v>228</v>
      </c>
      <c r="CD170" s="0" t="s">
        <v>228</v>
      </c>
      <c r="CE170" s="0" t="s">
        <v>228</v>
      </c>
      <c r="CF170" s="0" t="s">
        <v>228</v>
      </c>
      <c r="CG170" s="0" t="s">
        <v>228</v>
      </c>
      <c r="CH170" s="0" t="s">
        <v>228</v>
      </c>
      <c r="CI170" s="0" t="s">
        <v>228</v>
      </c>
      <c r="CJ170" s="0" t="s">
        <v>228</v>
      </c>
      <c r="CK170" s="0" t="s">
        <v>228</v>
      </c>
      <c r="CL170" s="0" t="s">
        <v>228</v>
      </c>
      <c r="CM170" s="0" t="s">
        <v>228</v>
      </c>
      <c r="CN170" s="0" t="s">
        <v>228</v>
      </c>
      <c r="CO170" s="0" t="s">
        <v>228</v>
      </c>
      <c r="CP170" s="0" t="s">
        <v>228</v>
      </c>
      <c r="CQ170" s="0" t="s">
        <v>228</v>
      </c>
      <c r="CR170" s="0" t="s">
        <v>228</v>
      </c>
      <c r="CS170" s="0" t="s">
        <v>228</v>
      </c>
      <c r="CT170" s="0" t="s">
        <v>3568</v>
      </c>
      <c r="CU170" s="0" t="s">
        <v>3569</v>
      </c>
      <c r="CV170" s="0" t="s">
        <v>418</v>
      </c>
      <c r="CW170" s="0" t="s">
        <v>3602</v>
      </c>
      <c r="CX170" s="0" t="s">
        <v>3603</v>
      </c>
      <c r="CY170" s="0" t="s">
        <v>418</v>
      </c>
      <c r="CZ170" s="0" t="s">
        <v>504</v>
      </c>
      <c r="DA170" s="0" t="s">
        <v>3604</v>
      </c>
      <c r="DB170" s="0" t="s">
        <v>3602</v>
      </c>
      <c r="DC170" s="0" t="s">
        <v>362</v>
      </c>
      <c r="DD170" s="0" t="s">
        <v>3572</v>
      </c>
      <c r="DE170" s="0" t="s">
        <v>3707</v>
      </c>
    </row>
    <row customHeight="1" ht="11.25">
      <c r="A171" s="1353" t="s">
        <v>228</v>
      </c>
      <c r="B171" s="0" t="s">
        <v>228</v>
      </c>
      <c r="C171" s="0" t="s">
        <v>228</v>
      </c>
      <c r="D171" s="0" t="s">
        <v>228</v>
      </c>
      <c r="E171" s="0" t="s">
        <v>228</v>
      </c>
      <c r="F171" s="0" t="s">
        <v>228</v>
      </c>
      <c r="G171" s="0" t="s">
        <v>228</v>
      </c>
      <c r="H171" s="0" t="s">
        <v>228</v>
      </c>
      <c r="I171" s="0" t="s">
        <v>3555</v>
      </c>
      <c r="J171" s="0" t="s">
        <v>228</v>
      </c>
      <c r="K171" s="0" t="s">
        <v>228</v>
      </c>
      <c r="L171" s="0" t="s">
        <v>228</v>
      </c>
      <c r="M171" s="0" t="s">
        <v>228</v>
      </c>
      <c r="N171" s="0" t="s">
        <v>228</v>
      </c>
      <c r="O171" s="0" t="s">
        <v>228</v>
      </c>
      <c r="P171" s="0" t="s">
        <v>228</v>
      </c>
      <c r="Q171" s="0" t="s">
        <v>228</v>
      </c>
      <c r="R171" s="0" t="s">
        <v>4409</v>
      </c>
      <c r="S171" s="0" t="s">
        <v>228</v>
      </c>
      <c r="T171" s="0" t="s">
        <v>228</v>
      </c>
      <c r="U171" s="0" t="s">
        <v>101</v>
      </c>
      <c r="V171" s="0" t="s">
        <v>228</v>
      </c>
      <c r="W171" s="0" t="s">
        <v>228</v>
      </c>
      <c r="X171" s="0" t="s">
        <v>3661</v>
      </c>
      <c r="Y171" s="0" t="s">
        <v>228</v>
      </c>
      <c r="Z171" s="0" t="s">
        <v>151</v>
      </c>
      <c r="AA171" s="0" t="s">
        <v>151</v>
      </c>
      <c r="AB171" s="0" t="s">
        <v>160</v>
      </c>
      <c r="AC171" s="0" t="s">
        <v>2311</v>
      </c>
      <c r="AD171" s="0" t="s">
        <v>2311</v>
      </c>
      <c r="AE171" s="0" t="s">
        <v>2312</v>
      </c>
      <c r="AF171" s="0" t="s">
        <v>4423</v>
      </c>
      <c r="AG171" s="0" t="s">
        <v>4424</v>
      </c>
      <c r="AH171" s="0" t="s">
        <v>4425</v>
      </c>
      <c r="AI171" s="0" t="s">
        <v>4426</v>
      </c>
      <c r="AJ171" s="0" t="s">
        <v>228</v>
      </c>
      <c r="AK171" s="0" t="s">
        <v>228</v>
      </c>
      <c r="AL171" s="0" t="s">
        <v>228</v>
      </c>
      <c r="AM171" s="0" t="s">
        <v>228</v>
      </c>
      <c r="AN171" s="0" t="s">
        <v>228</v>
      </c>
      <c r="AO171" s="0" t="s">
        <v>228</v>
      </c>
      <c r="AP171" s="0" t="s">
        <v>228</v>
      </c>
      <c r="AQ171" s="0" t="s">
        <v>228</v>
      </c>
      <c r="AR171" s="0" t="s">
        <v>228</v>
      </c>
      <c r="AS171" s="0" t="s">
        <v>228</v>
      </c>
      <c r="AT171" s="0" t="s">
        <v>228</v>
      </c>
      <c r="AU171" s="0" t="s">
        <v>228</v>
      </c>
      <c r="AV171" s="0" t="s">
        <v>228</v>
      </c>
      <c r="AW171" s="0" t="s">
        <v>228</v>
      </c>
      <c r="AX171" s="0" t="s">
        <v>228</v>
      </c>
      <c r="AY171" s="0" t="s">
        <v>228</v>
      </c>
      <c r="AZ171" s="0" t="s">
        <v>228</v>
      </c>
      <c r="BA171" s="0" t="s">
        <v>228</v>
      </c>
      <c r="BB171" s="0" t="s">
        <v>228</v>
      </c>
      <c r="BC171" s="0" t="s">
        <v>228</v>
      </c>
      <c r="BD171" s="0" t="s">
        <v>228</v>
      </c>
      <c r="BE171" s="0" t="s">
        <v>3722</v>
      </c>
      <c r="BF171" s="0" t="s">
        <v>3722</v>
      </c>
      <c r="BG171" s="0" t="s">
        <v>111</v>
      </c>
      <c r="BH171" s="0" t="s">
        <v>3665</v>
      </c>
      <c r="BI171" s="0" t="s">
        <v>122</v>
      </c>
      <c r="BJ171" s="0" t="s">
        <v>228</v>
      </c>
      <c r="BK171" s="0" t="s">
        <v>3684</v>
      </c>
      <c r="BL171" s="0" t="s">
        <v>2311</v>
      </c>
      <c r="BM171" s="0" t="s">
        <v>2311</v>
      </c>
      <c r="BN171" s="0" t="s">
        <v>3723</v>
      </c>
      <c r="BO171" s="0" t="s">
        <v>4423</v>
      </c>
      <c r="BP171" s="0" t="s">
        <v>4427</v>
      </c>
      <c r="BQ171" s="0" t="s">
        <v>4415</v>
      </c>
      <c r="BR171" s="0" t="s">
        <v>4416</v>
      </c>
      <c r="BS171" s="0" t="s">
        <v>228</v>
      </c>
      <c r="BT171" s="0" t="s">
        <v>3727</v>
      </c>
      <c r="BU171" s="0" t="s">
        <v>4428</v>
      </c>
      <c r="BV171" s="0" t="s">
        <v>4428</v>
      </c>
      <c r="BW171" s="0" t="s">
        <v>3674</v>
      </c>
      <c r="BX171" s="0" t="s">
        <v>3674</v>
      </c>
      <c r="BY171" s="0" t="s">
        <v>3674</v>
      </c>
      <c r="BZ171" s="0" t="s">
        <v>3674</v>
      </c>
      <c r="CA171" s="0" t="s">
        <v>3674</v>
      </c>
      <c r="CB171" s="0" t="s">
        <v>228</v>
      </c>
      <c r="CC171" s="0" t="s">
        <v>228</v>
      </c>
      <c r="CD171" s="0" t="s">
        <v>228</v>
      </c>
      <c r="CE171" s="0" t="s">
        <v>228</v>
      </c>
      <c r="CF171" s="0" t="s">
        <v>228</v>
      </c>
      <c r="CG171" s="0" t="s">
        <v>3674</v>
      </c>
      <c r="CH171" s="0" t="s">
        <v>228</v>
      </c>
      <c r="CI171" s="0" t="s">
        <v>228</v>
      </c>
      <c r="CJ171" s="0" t="s">
        <v>228</v>
      </c>
      <c r="CK171" s="0" t="s">
        <v>228</v>
      </c>
      <c r="CL171" s="0" t="s">
        <v>228</v>
      </c>
      <c r="CM171" s="0" t="s">
        <v>4428</v>
      </c>
      <c r="CN171" s="0" t="s">
        <v>4428</v>
      </c>
      <c r="CO171" s="0" t="s">
        <v>228</v>
      </c>
      <c r="CP171" s="0" t="s">
        <v>228</v>
      </c>
      <c r="CQ171" s="0" t="s">
        <v>228</v>
      </c>
      <c r="CR171" s="0" t="s">
        <v>228</v>
      </c>
      <c r="CS171" s="0" t="s">
        <v>3582</v>
      </c>
      <c r="CT171" s="0" t="s">
        <v>3568</v>
      </c>
      <c r="CU171" s="0" t="s">
        <v>3569</v>
      </c>
      <c r="CV171" s="0" t="s">
        <v>418</v>
      </c>
      <c r="CW171" s="0" t="s">
        <v>3584</v>
      </c>
      <c r="CX171" s="0" t="s">
        <v>419</v>
      </c>
      <c r="CY171" s="0" t="s">
        <v>418</v>
      </c>
      <c r="CZ171" s="0" t="s">
        <v>3585</v>
      </c>
      <c r="DA171" s="0" t="s">
        <v>3586</v>
      </c>
      <c r="DB171" s="0" t="s">
        <v>3584</v>
      </c>
      <c r="DC171" s="0" t="s">
        <v>362</v>
      </c>
      <c r="DD171" s="0" t="s">
        <v>3572</v>
      </c>
      <c r="DE171" s="0" t="s">
        <v>4429</v>
      </c>
    </row>
    <row customHeight="1" ht="11.25">
      <c r="A172" s="1353" t="s">
        <v>228</v>
      </c>
      <c r="B172" s="0" t="s">
        <v>228</v>
      </c>
      <c r="C172" s="0" t="s">
        <v>228</v>
      </c>
      <c r="D172" s="0" t="s">
        <v>228</v>
      </c>
      <c r="E172" s="0" t="s">
        <v>228</v>
      </c>
      <c r="F172" s="0" t="s">
        <v>228</v>
      </c>
      <c r="G172" s="0" t="s">
        <v>228</v>
      </c>
      <c r="H172" s="0" t="s">
        <v>228</v>
      </c>
      <c r="I172" s="0" t="s">
        <v>3555</v>
      </c>
      <c r="J172" s="0" t="s">
        <v>228</v>
      </c>
      <c r="K172" s="0" t="s">
        <v>228</v>
      </c>
      <c r="L172" s="0" t="s">
        <v>228</v>
      </c>
      <c r="M172" s="0" t="s">
        <v>228</v>
      </c>
      <c r="N172" s="0" t="s">
        <v>228</v>
      </c>
      <c r="O172" s="0" t="s">
        <v>228</v>
      </c>
      <c r="P172" s="0" t="s">
        <v>228</v>
      </c>
      <c r="Q172" s="0" t="s">
        <v>228</v>
      </c>
      <c r="R172" s="0" t="s">
        <v>3648</v>
      </c>
      <c r="S172" s="0" t="s">
        <v>228</v>
      </c>
      <c r="T172" s="0" t="s">
        <v>228</v>
      </c>
      <c r="U172" s="0" t="s">
        <v>101</v>
      </c>
      <c r="V172" s="0" t="s">
        <v>228</v>
      </c>
      <c r="W172" s="0" t="s">
        <v>228</v>
      </c>
      <c r="X172" s="0" t="s">
        <v>3557</v>
      </c>
      <c r="Y172" s="0" t="s">
        <v>228</v>
      </c>
      <c r="Z172" s="0" t="s">
        <v>160</v>
      </c>
      <c r="AA172" s="0" t="s">
        <v>151</v>
      </c>
      <c r="AB172" s="0" t="s">
        <v>151</v>
      </c>
      <c r="AC172" s="0" t="s">
        <v>2317</v>
      </c>
      <c r="AD172" s="0" t="s">
        <v>2317</v>
      </c>
      <c r="AE172" s="0" t="s">
        <v>2318</v>
      </c>
      <c r="AF172" s="0" t="s">
        <v>3826</v>
      </c>
      <c r="AG172" s="0" t="s">
        <v>3827</v>
      </c>
      <c r="AH172" s="0" t="s">
        <v>4430</v>
      </c>
      <c r="AI172" s="0" t="s">
        <v>504</v>
      </c>
      <c r="AJ172" s="0" t="s">
        <v>3627</v>
      </c>
      <c r="AK172" s="0" t="s">
        <v>3619</v>
      </c>
      <c r="AL172" s="0" t="s">
        <v>3581</v>
      </c>
      <c r="AM172" s="0" t="s">
        <v>3565</v>
      </c>
      <c r="AN172" s="0" t="s">
        <v>3628</v>
      </c>
      <c r="AO172" s="0" t="s">
        <v>3829</v>
      </c>
      <c r="AP172" s="0" t="s">
        <v>228</v>
      </c>
      <c r="AQ172" s="0" t="s">
        <v>228</v>
      </c>
      <c r="AR172" s="0" t="s">
        <v>228</v>
      </c>
      <c r="AS172" s="0" t="s">
        <v>228</v>
      </c>
      <c r="AT172" s="0" t="s">
        <v>228</v>
      </c>
      <c r="AU172" s="0" t="s">
        <v>228</v>
      </c>
      <c r="AV172" s="0" t="s">
        <v>228</v>
      </c>
      <c r="AW172" s="0" t="s">
        <v>228</v>
      </c>
      <c r="AX172" s="0" t="s">
        <v>228</v>
      </c>
      <c r="AY172" s="0" t="s">
        <v>228</v>
      </c>
      <c r="AZ172" s="0" t="s">
        <v>228</v>
      </c>
      <c r="BA172" s="0" t="s">
        <v>228</v>
      </c>
      <c r="BB172" s="0" t="s">
        <v>228</v>
      </c>
      <c r="BC172" s="0" t="s">
        <v>228</v>
      </c>
      <c r="BD172" s="0" t="s">
        <v>228</v>
      </c>
      <c r="BE172" s="0" t="s">
        <v>228</v>
      </c>
      <c r="BF172" s="0" t="s">
        <v>228</v>
      </c>
      <c r="BG172" s="0" t="s">
        <v>228</v>
      </c>
      <c r="BH172" s="0" t="s">
        <v>228</v>
      </c>
      <c r="BI172" s="0" t="s">
        <v>228</v>
      </c>
      <c r="BJ172" s="0" t="s">
        <v>228</v>
      </c>
      <c r="BK172" s="0" t="s">
        <v>228</v>
      </c>
      <c r="BL172" s="0" t="s">
        <v>228</v>
      </c>
      <c r="BM172" s="0" t="s">
        <v>228</v>
      </c>
      <c r="BN172" s="0" t="s">
        <v>228</v>
      </c>
      <c r="BO172" s="0" t="s">
        <v>228</v>
      </c>
      <c r="BP172" s="0" t="s">
        <v>228</v>
      </c>
      <c r="BQ172" s="0" t="s">
        <v>228</v>
      </c>
      <c r="BR172" s="0" t="s">
        <v>228</v>
      </c>
      <c r="BS172" s="0" t="s">
        <v>228</v>
      </c>
      <c r="BT172" s="0" t="s">
        <v>228</v>
      </c>
      <c r="BU172" s="0" t="s">
        <v>228</v>
      </c>
      <c r="BV172" s="0" t="s">
        <v>228</v>
      </c>
      <c r="BW172" s="0" t="s">
        <v>228</v>
      </c>
      <c r="BX172" s="0" t="s">
        <v>228</v>
      </c>
      <c r="BY172" s="0" t="s">
        <v>228</v>
      </c>
      <c r="BZ172" s="0" t="s">
        <v>228</v>
      </c>
      <c r="CA172" s="0" t="s">
        <v>228</v>
      </c>
      <c r="CB172" s="0" t="s">
        <v>228</v>
      </c>
      <c r="CC172" s="0" t="s">
        <v>228</v>
      </c>
      <c r="CD172" s="0" t="s">
        <v>228</v>
      </c>
      <c r="CE172" s="0" t="s">
        <v>228</v>
      </c>
      <c r="CF172" s="0" t="s">
        <v>228</v>
      </c>
      <c r="CG172" s="0" t="s">
        <v>228</v>
      </c>
      <c r="CH172" s="0" t="s">
        <v>228</v>
      </c>
      <c r="CI172" s="0" t="s">
        <v>228</v>
      </c>
      <c r="CJ172" s="0" t="s">
        <v>228</v>
      </c>
      <c r="CK172" s="0" t="s">
        <v>228</v>
      </c>
      <c r="CL172" s="0" t="s">
        <v>228</v>
      </c>
      <c r="CM172" s="0" t="s">
        <v>228</v>
      </c>
      <c r="CN172" s="0" t="s">
        <v>228</v>
      </c>
      <c r="CO172" s="0" t="s">
        <v>228</v>
      </c>
      <c r="CP172" s="0" t="s">
        <v>228</v>
      </c>
      <c r="CQ172" s="0" t="s">
        <v>228</v>
      </c>
      <c r="CR172" s="0" t="s">
        <v>228</v>
      </c>
      <c r="CS172" s="0" t="s">
        <v>228</v>
      </c>
      <c r="CT172" s="0" t="s">
        <v>3568</v>
      </c>
      <c r="CU172" s="0" t="s">
        <v>3569</v>
      </c>
      <c r="CV172" s="0" t="s">
        <v>418</v>
      </c>
      <c r="CW172" s="0" t="s">
        <v>3622</v>
      </c>
      <c r="CX172" s="0" t="s">
        <v>419</v>
      </c>
      <c r="CY172" s="0" t="s">
        <v>418</v>
      </c>
      <c r="CZ172" s="0" t="s">
        <v>3623</v>
      </c>
      <c r="DA172" s="0" t="s">
        <v>3624</v>
      </c>
      <c r="DB172" s="0" t="s">
        <v>3622</v>
      </c>
      <c r="DC172" s="0" t="s">
        <v>362</v>
      </c>
      <c r="DD172" s="0" t="s">
        <v>3572</v>
      </c>
      <c r="DE172" s="0" t="s">
        <v>4431</v>
      </c>
    </row>
    <row customHeight="1" ht="11.25">
      <c r="A173" s="1353" t="s">
        <v>228</v>
      </c>
      <c r="B173" s="0" t="s">
        <v>228</v>
      </c>
      <c r="C173" s="0" t="s">
        <v>228</v>
      </c>
      <c r="D173" s="0" t="s">
        <v>228</v>
      </c>
      <c r="E173" s="0" t="s">
        <v>228</v>
      </c>
      <c r="F173" s="0" t="s">
        <v>228</v>
      </c>
      <c r="G173" s="0" t="s">
        <v>228</v>
      </c>
      <c r="H173" s="0" t="s">
        <v>228</v>
      </c>
      <c r="I173" s="0" t="s">
        <v>3555</v>
      </c>
      <c r="J173" s="0" t="s">
        <v>228</v>
      </c>
      <c r="K173" s="0" t="s">
        <v>228</v>
      </c>
      <c r="L173" s="0" t="s">
        <v>228</v>
      </c>
      <c r="M173" s="0" t="s">
        <v>228</v>
      </c>
      <c r="N173" s="0" t="s">
        <v>228</v>
      </c>
      <c r="O173" s="0" t="s">
        <v>228</v>
      </c>
      <c r="P173" s="0" t="s">
        <v>228</v>
      </c>
      <c r="Q173" s="0" t="s">
        <v>228</v>
      </c>
      <c r="R173" s="0" t="s">
        <v>3648</v>
      </c>
      <c r="S173" s="0" t="s">
        <v>228</v>
      </c>
      <c r="T173" s="0" t="s">
        <v>228</v>
      </c>
      <c r="U173" s="0" t="s">
        <v>101</v>
      </c>
      <c r="V173" s="0" t="s">
        <v>228</v>
      </c>
      <c r="W173" s="0" t="s">
        <v>228</v>
      </c>
      <c r="X173" s="0" t="s">
        <v>3557</v>
      </c>
      <c r="Y173" s="0" t="s">
        <v>228</v>
      </c>
      <c r="Z173" s="0" t="s">
        <v>160</v>
      </c>
      <c r="AA173" s="0" t="s">
        <v>151</v>
      </c>
      <c r="AB173" s="0" t="s">
        <v>151</v>
      </c>
      <c r="AC173" s="0" t="s">
        <v>2317</v>
      </c>
      <c r="AD173" s="0" t="s">
        <v>2317</v>
      </c>
      <c r="AE173" s="0" t="s">
        <v>2318</v>
      </c>
      <c r="AF173" s="0" t="s">
        <v>3826</v>
      </c>
      <c r="AG173" s="0" t="s">
        <v>3827</v>
      </c>
      <c r="AH173" s="0" t="s">
        <v>4432</v>
      </c>
      <c r="AI173" s="0" t="s">
        <v>4049</v>
      </c>
      <c r="AJ173" s="0" t="s">
        <v>3627</v>
      </c>
      <c r="AK173" s="0" t="s">
        <v>3619</v>
      </c>
      <c r="AL173" s="0" t="s">
        <v>3581</v>
      </c>
      <c r="AM173" s="0" t="s">
        <v>3565</v>
      </c>
      <c r="AN173" s="0" t="s">
        <v>3628</v>
      </c>
      <c r="AO173" s="0" t="s">
        <v>4433</v>
      </c>
      <c r="AP173" s="0" t="s">
        <v>228</v>
      </c>
      <c r="AQ173" s="0" t="s">
        <v>228</v>
      </c>
      <c r="AR173" s="0" t="s">
        <v>228</v>
      </c>
      <c r="AS173" s="0" t="s">
        <v>228</v>
      </c>
      <c r="AT173" s="0" t="s">
        <v>228</v>
      </c>
      <c r="AU173" s="0" t="s">
        <v>228</v>
      </c>
      <c r="AV173" s="0" t="s">
        <v>228</v>
      </c>
      <c r="AW173" s="0" t="s">
        <v>228</v>
      </c>
      <c r="AX173" s="0" t="s">
        <v>228</v>
      </c>
      <c r="AY173" s="0" t="s">
        <v>228</v>
      </c>
      <c r="AZ173" s="0" t="s">
        <v>228</v>
      </c>
      <c r="BA173" s="0" t="s">
        <v>228</v>
      </c>
      <c r="BB173" s="0" t="s">
        <v>228</v>
      </c>
      <c r="BC173" s="0" t="s">
        <v>228</v>
      </c>
      <c r="BD173" s="0" t="s">
        <v>228</v>
      </c>
      <c r="BE173" s="0" t="s">
        <v>228</v>
      </c>
      <c r="BF173" s="0" t="s">
        <v>228</v>
      </c>
      <c r="BG173" s="0" t="s">
        <v>228</v>
      </c>
      <c r="BH173" s="0" t="s">
        <v>228</v>
      </c>
      <c r="BI173" s="0" t="s">
        <v>228</v>
      </c>
      <c r="BJ173" s="0" t="s">
        <v>228</v>
      </c>
      <c r="BK173" s="0" t="s">
        <v>228</v>
      </c>
      <c r="BL173" s="0" t="s">
        <v>228</v>
      </c>
      <c r="BM173" s="0" t="s">
        <v>228</v>
      </c>
      <c r="BN173" s="0" t="s">
        <v>228</v>
      </c>
      <c r="BO173" s="0" t="s">
        <v>228</v>
      </c>
      <c r="BP173" s="0" t="s">
        <v>228</v>
      </c>
      <c r="BQ173" s="0" t="s">
        <v>228</v>
      </c>
      <c r="BR173" s="0" t="s">
        <v>228</v>
      </c>
      <c r="BS173" s="0" t="s">
        <v>228</v>
      </c>
      <c r="BT173" s="0" t="s">
        <v>228</v>
      </c>
      <c r="BU173" s="0" t="s">
        <v>228</v>
      </c>
      <c r="BV173" s="0" t="s">
        <v>228</v>
      </c>
      <c r="BW173" s="0" t="s">
        <v>228</v>
      </c>
      <c r="BX173" s="0" t="s">
        <v>228</v>
      </c>
      <c r="BY173" s="0" t="s">
        <v>228</v>
      </c>
      <c r="BZ173" s="0" t="s">
        <v>228</v>
      </c>
      <c r="CA173" s="0" t="s">
        <v>228</v>
      </c>
      <c r="CB173" s="0" t="s">
        <v>228</v>
      </c>
      <c r="CC173" s="0" t="s">
        <v>228</v>
      </c>
      <c r="CD173" s="0" t="s">
        <v>228</v>
      </c>
      <c r="CE173" s="0" t="s">
        <v>228</v>
      </c>
      <c r="CF173" s="0" t="s">
        <v>228</v>
      </c>
      <c r="CG173" s="0" t="s">
        <v>228</v>
      </c>
      <c r="CH173" s="0" t="s">
        <v>228</v>
      </c>
      <c r="CI173" s="0" t="s">
        <v>228</v>
      </c>
      <c r="CJ173" s="0" t="s">
        <v>228</v>
      </c>
      <c r="CK173" s="0" t="s">
        <v>228</v>
      </c>
      <c r="CL173" s="0" t="s">
        <v>228</v>
      </c>
      <c r="CM173" s="0" t="s">
        <v>228</v>
      </c>
      <c r="CN173" s="0" t="s">
        <v>228</v>
      </c>
      <c r="CO173" s="0" t="s">
        <v>228</v>
      </c>
      <c r="CP173" s="0" t="s">
        <v>228</v>
      </c>
      <c r="CQ173" s="0" t="s">
        <v>228</v>
      </c>
      <c r="CR173" s="0" t="s">
        <v>228</v>
      </c>
      <c r="CS173" s="0" t="s">
        <v>228</v>
      </c>
      <c r="CT173" s="0" t="s">
        <v>3568</v>
      </c>
      <c r="CU173" s="0" t="s">
        <v>3569</v>
      </c>
      <c r="CV173" s="0" t="s">
        <v>418</v>
      </c>
      <c r="CW173" s="0" t="s">
        <v>3622</v>
      </c>
      <c r="CX173" s="0" t="s">
        <v>419</v>
      </c>
      <c r="CY173" s="0" t="s">
        <v>418</v>
      </c>
      <c r="CZ173" s="0" t="s">
        <v>3623</v>
      </c>
      <c r="DA173" s="0" t="s">
        <v>3624</v>
      </c>
      <c r="DB173" s="0" t="s">
        <v>3622</v>
      </c>
      <c r="DC173" s="0" t="s">
        <v>362</v>
      </c>
      <c r="DD173" s="0" t="s">
        <v>3572</v>
      </c>
      <c r="DE173" s="0" t="s">
        <v>4434</v>
      </c>
    </row>
    <row customHeight="1" ht="11.25">
      <c r="A174" s="1353" t="s">
        <v>228</v>
      </c>
      <c r="B174" s="0" t="s">
        <v>228</v>
      </c>
      <c r="C174" s="0" t="s">
        <v>228</v>
      </c>
      <c r="D174" s="0" t="s">
        <v>228</v>
      </c>
      <c r="E174" s="0" t="s">
        <v>228</v>
      </c>
      <c r="F174" s="0" t="s">
        <v>228</v>
      </c>
      <c r="G174" s="0" t="s">
        <v>228</v>
      </c>
      <c r="H174" s="0" t="s">
        <v>228</v>
      </c>
      <c r="I174" s="0" t="s">
        <v>3555</v>
      </c>
      <c r="J174" s="0" t="s">
        <v>228</v>
      </c>
      <c r="K174" s="0" t="s">
        <v>228</v>
      </c>
      <c r="L174" s="0" t="s">
        <v>228</v>
      </c>
      <c r="M174" s="0" t="s">
        <v>228</v>
      </c>
      <c r="N174" s="0" t="s">
        <v>228</v>
      </c>
      <c r="O174" s="0" t="s">
        <v>228</v>
      </c>
      <c r="P174" s="0" t="s">
        <v>228</v>
      </c>
      <c r="Q174" s="0" t="s">
        <v>228</v>
      </c>
      <c r="R174" s="0" t="s">
        <v>4007</v>
      </c>
      <c r="S174" s="0" t="s">
        <v>228</v>
      </c>
      <c r="T174" s="0" t="s">
        <v>228</v>
      </c>
      <c r="U174" s="0" t="s">
        <v>101</v>
      </c>
      <c r="V174" s="0" t="s">
        <v>228</v>
      </c>
      <c r="W174" s="0" t="s">
        <v>228</v>
      </c>
      <c r="X174" s="0" t="s">
        <v>3557</v>
      </c>
      <c r="Y174" s="0" t="s">
        <v>228</v>
      </c>
      <c r="Z174" s="0" t="s">
        <v>160</v>
      </c>
      <c r="AA174" s="0" t="s">
        <v>151</v>
      </c>
      <c r="AB174" s="0" t="s">
        <v>151</v>
      </c>
      <c r="AC174" s="0" t="s">
        <v>2317</v>
      </c>
      <c r="AD174" s="0" t="s">
        <v>2317</v>
      </c>
      <c r="AE174" s="0" t="s">
        <v>2318</v>
      </c>
      <c r="AF174" s="0" t="s">
        <v>3826</v>
      </c>
      <c r="AG174" s="0" t="s">
        <v>3827</v>
      </c>
      <c r="AH174" s="0" t="s">
        <v>4435</v>
      </c>
      <c r="AI174" s="0" t="s">
        <v>3926</v>
      </c>
      <c r="AJ174" s="0" t="s">
        <v>3579</v>
      </c>
      <c r="AK174" s="0" t="s">
        <v>3833</v>
      </c>
      <c r="AL174" s="0" t="s">
        <v>3581</v>
      </c>
      <c r="AM174" s="0" t="s">
        <v>3565</v>
      </c>
      <c r="AN174" s="0" t="s">
        <v>3628</v>
      </c>
      <c r="AO174" s="0" t="s">
        <v>4157</v>
      </c>
      <c r="AP174" s="0" t="s">
        <v>228</v>
      </c>
      <c r="AQ174" s="0" t="s">
        <v>228</v>
      </c>
      <c r="AR174" s="0" t="s">
        <v>228</v>
      </c>
      <c r="AS174" s="0" t="s">
        <v>228</v>
      </c>
      <c r="AT174" s="0" t="s">
        <v>228</v>
      </c>
      <c r="AU174" s="0" t="s">
        <v>228</v>
      </c>
      <c r="AV174" s="0" t="s">
        <v>228</v>
      </c>
      <c r="AW174" s="0" t="s">
        <v>228</v>
      </c>
      <c r="AX174" s="0" t="s">
        <v>228</v>
      </c>
      <c r="AY174" s="0" t="s">
        <v>228</v>
      </c>
      <c r="AZ174" s="0" t="s">
        <v>228</v>
      </c>
      <c r="BA174" s="0" t="s">
        <v>228</v>
      </c>
      <c r="BB174" s="0" t="s">
        <v>228</v>
      </c>
      <c r="BC174" s="0" t="s">
        <v>228</v>
      </c>
      <c r="BD174" s="0" t="s">
        <v>228</v>
      </c>
      <c r="BE174" s="0" t="s">
        <v>228</v>
      </c>
      <c r="BF174" s="0" t="s">
        <v>228</v>
      </c>
      <c r="BG174" s="0" t="s">
        <v>228</v>
      </c>
      <c r="BH174" s="0" t="s">
        <v>228</v>
      </c>
      <c r="BI174" s="0" t="s">
        <v>228</v>
      </c>
      <c r="BJ174" s="0" t="s">
        <v>228</v>
      </c>
      <c r="BK174" s="0" t="s">
        <v>228</v>
      </c>
      <c r="BL174" s="0" t="s">
        <v>228</v>
      </c>
      <c r="BM174" s="0" t="s">
        <v>228</v>
      </c>
      <c r="BN174" s="0" t="s">
        <v>228</v>
      </c>
      <c r="BO174" s="0" t="s">
        <v>228</v>
      </c>
      <c r="BP174" s="0" t="s">
        <v>228</v>
      </c>
      <c r="BQ174" s="0" t="s">
        <v>228</v>
      </c>
      <c r="BR174" s="0" t="s">
        <v>228</v>
      </c>
      <c r="BS174" s="0" t="s">
        <v>228</v>
      </c>
      <c r="BT174" s="0" t="s">
        <v>228</v>
      </c>
      <c r="BU174" s="0" t="s">
        <v>228</v>
      </c>
      <c r="BV174" s="0" t="s">
        <v>228</v>
      </c>
      <c r="BW174" s="0" t="s">
        <v>228</v>
      </c>
      <c r="BX174" s="0" t="s">
        <v>228</v>
      </c>
      <c r="BY174" s="0" t="s">
        <v>228</v>
      </c>
      <c r="BZ174" s="0" t="s">
        <v>228</v>
      </c>
      <c r="CA174" s="0" t="s">
        <v>228</v>
      </c>
      <c r="CB174" s="0" t="s">
        <v>228</v>
      </c>
      <c r="CC174" s="0" t="s">
        <v>228</v>
      </c>
      <c r="CD174" s="0" t="s">
        <v>228</v>
      </c>
      <c r="CE174" s="0" t="s">
        <v>228</v>
      </c>
      <c r="CF174" s="0" t="s">
        <v>228</v>
      </c>
      <c r="CG174" s="0" t="s">
        <v>228</v>
      </c>
      <c r="CH174" s="0" t="s">
        <v>228</v>
      </c>
      <c r="CI174" s="0" t="s">
        <v>228</v>
      </c>
      <c r="CJ174" s="0" t="s">
        <v>228</v>
      </c>
      <c r="CK174" s="0" t="s">
        <v>228</v>
      </c>
      <c r="CL174" s="0" t="s">
        <v>228</v>
      </c>
      <c r="CM174" s="0" t="s">
        <v>228</v>
      </c>
      <c r="CN174" s="0" t="s">
        <v>228</v>
      </c>
      <c r="CO174" s="0" t="s">
        <v>228</v>
      </c>
      <c r="CP174" s="0" t="s">
        <v>228</v>
      </c>
      <c r="CQ174" s="0" t="s">
        <v>228</v>
      </c>
      <c r="CR174" s="0" t="s">
        <v>228</v>
      </c>
      <c r="CS174" s="0" t="s">
        <v>228</v>
      </c>
      <c r="CT174" s="0" t="s">
        <v>3568</v>
      </c>
      <c r="CU174" s="0" t="s">
        <v>3569</v>
      </c>
      <c r="CV174" s="0" t="s">
        <v>418</v>
      </c>
      <c r="CW174" s="0" t="s">
        <v>3622</v>
      </c>
      <c r="CX174" s="0" t="s">
        <v>419</v>
      </c>
      <c r="CY174" s="0" t="s">
        <v>418</v>
      </c>
      <c r="CZ174" s="0" t="s">
        <v>3623</v>
      </c>
      <c r="DA174" s="0" t="s">
        <v>3624</v>
      </c>
      <c r="DB174" s="0" t="s">
        <v>3622</v>
      </c>
      <c r="DC174" s="0" t="s">
        <v>362</v>
      </c>
      <c r="DD174" s="0" t="s">
        <v>3572</v>
      </c>
      <c r="DE174" s="0" t="s">
        <v>4436</v>
      </c>
    </row>
    <row customHeight="1" ht="11.25">
      <c r="A175" s="1353" t="s">
        <v>228</v>
      </c>
      <c r="B175" s="0" t="s">
        <v>228</v>
      </c>
      <c r="C175" s="0" t="s">
        <v>228</v>
      </c>
      <c r="D175" s="0" t="s">
        <v>228</v>
      </c>
      <c r="E175" s="0" t="s">
        <v>228</v>
      </c>
      <c r="F175" s="0" t="s">
        <v>228</v>
      </c>
      <c r="G175" s="0" t="s">
        <v>228</v>
      </c>
      <c r="H175" s="0" t="s">
        <v>228</v>
      </c>
      <c r="I175" s="0" t="s">
        <v>3555</v>
      </c>
      <c r="J175" s="0" t="s">
        <v>228</v>
      </c>
      <c r="K175" s="0" t="s">
        <v>228</v>
      </c>
      <c r="L175" s="0" t="s">
        <v>228</v>
      </c>
      <c r="M175" s="0" t="s">
        <v>228</v>
      </c>
      <c r="N175" s="0" t="s">
        <v>228</v>
      </c>
      <c r="O175" s="0" t="s">
        <v>228</v>
      </c>
      <c r="P175" s="0" t="s">
        <v>228</v>
      </c>
      <c r="Q175" s="0" t="s">
        <v>228</v>
      </c>
      <c r="R175" s="0" t="s">
        <v>3588</v>
      </c>
      <c r="S175" s="0" t="s">
        <v>228</v>
      </c>
      <c r="T175" s="0" t="s">
        <v>228</v>
      </c>
      <c r="U175" s="0" t="s">
        <v>101</v>
      </c>
      <c r="V175" s="0" t="s">
        <v>228</v>
      </c>
      <c r="W175" s="0" t="s">
        <v>228</v>
      </c>
      <c r="X175" s="0" t="s">
        <v>3557</v>
      </c>
      <c r="Y175" s="0" t="s">
        <v>228</v>
      </c>
      <c r="Z175" s="0" t="s">
        <v>160</v>
      </c>
      <c r="AA175" s="0" t="s">
        <v>151</v>
      </c>
      <c r="AB175" s="0" t="s">
        <v>151</v>
      </c>
      <c r="AC175" s="0" t="s">
        <v>2317</v>
      </c>
      <c r="AD175" s="0" t="s">
        <v>2317</v>
      </c>
      <c r="AE175" s="0" t="s">
        <v>2318</v>
      </c>
      <c r="AF175" s="0" t="s">
        <v>4053</v>
      </c>
      <c r="AG175" s="0" t="s">
        <v>4054</v>
      </c>
      <c r="AH175" s="0" t="s">
        <v>4437</v>
      </c>
      <c r="AI175" s="0" t="s">
        <v>3807</v>
      </c>
      <c r="AJ175" s="0" t="s">
        <v>3579</v>
      </c>
      <c r="AK175" s="0" t="s">
        <v>3619</v>
      </c>
      <c r="AL175" s="0" t="s">
        <v>3581</v>
      </c>
      <c r="AM175" s="0" t="s">
        <v>3565</v>
      </c>
      <c r="AN175" s="0" t="s">
        <v>3620</v>
      </c>
      <c r="AO175" s="0" t="s">
        <v>3583</v>
      </c>
      <c r="AP175" s="0" t="s">
        <v>228</v>
      </c>
      <c r="AQ175" s="0" t="s">
        <v>228</v>
      </c>
      <c r="AR175" s="0" t="s">
        <v>228</v>
      </c>
      <c r="AS175" s="0" t="s">
        <v>228</v>
      </c>
      <c r="AT175" s="0" t="s">
        <v>228</v>
      </c>
      <c r="AU175" s="0" t="s">
        <v>228</v>
      </c>
      <c r="AV175" s="0" t="s">
        <v>228</v>
      </c>
      <c r="AW175" s="0" t="s">
        <v>228</v>
      </c>
      <c r="AX175" s="0" t="s">
        <v>228</v>
      </c>
      <c r="AY175" s="0" t="s">
        <v>228</v>
      </c>
      <c r="AZ175" s="0" t="s">
        <v>228</v>
      </c>
      <c r="BA175" s="0" t="s">
        <v>228</v>
      </c>
      <c r="BB175" s="0" t="s">
        <v>228</v>
      </c>
      <c r="BC175" s="0" t="s">
        <v>228</v>
      </c>
      <c r="BD175" s="0" t="s">
        <v>228</v>
      </c>
      <c r="BE175" s="0" t="s">
        <v>228</v>
      </c>
      <c r="BF175" s="0" t="s">
        <v>228</v>
      </c>
      <c r="BG175" s="0" t="s">
        <v>228</v>
      </c>
      <c r="BH175" s="0" t="s">
        <v>228</v>
      </c>
      <c r="BI175" s="0" t="s">
        <v>228</v>
      </c>
      <c r="BJ175" s="0" t="s">
        <v>228</v>
      </c>
      <c r="BK175" s="0" t="s">
        <v>228</v>
      </c>
      <c r="BL175" s="0" t="s">
        <v>228</v>
      </c>
      <c r="BM175" s="0" t="s">
        <v>228</v>
      </c>
      <c r="BN175" s="0" t="s">
        <v>228</v>
      </c>
      <c r="BO175" s="0" t="s">
        <v>228</v>
      </c>
      <c r="BP175" s="0" t="s">
        <v>228</v>
      </c>
      <c r="BQ175" s="0" t="s">
        <v>228</v>
      </c>
      <c r="BR175" s="0" t="s">
        <v>228</v>
      </c>
      <c r="BS175" s="0" t="s">
        <v>228</v>
      </c>
      <c r="BT175" s="0" t="s">
        <v>228</v>
      </c>
      <c r="BU175" s="0" t="s">
        <v>228</v>
      </c>
      <c r="BV175" s="0" t="s">
        <v>228</v>
      </c>
      <c r="BW175" s="0" t="s">
        <v>228</v>
      </c>
      <c r="BX175" s="0" t="s">
        <v>228</v>
      </c>
      <c r="BY175" s="0" t="s">
        <v>228</v>
      </c>
      <c r="BZ175" s="0" t="s">
        <v>228</v>
      </c>
      <c r="CA175" s="0" t="s">
        <v>228</v>
      </c>
      <c r="CB175" s="0" t="s">
        <v>228</v>
      </c>
      <c r="CC175" s="0" t="s">
        <v>228</v>
      </c>
      <c r="CD175" s="0" t="s">
        <v>228</v>
      </c>
      <c r="CE175" s="0" t="s">
        <v>228</v>
      </c>
      <c r="CF175" s="0" t="s">
        <v>228</v>
      </c>
      <c r="CG175" s="0" t="s">
        <v>228</v>
      </c>
      <c r="CH175" s="0" t="s">
        <v>228</v>
      </c>
      <c r="CI175" s="0" t="s">
        <v>228</v>
      </c>
      <c r="CJ175" s="0" t="s">
        <v>228</v>
      </c>
      <c r="CK175" s="0" t="s">
        <v>228</v>
      </c>
      <c r="CL175" s="0" t="s">
        <v>228</v>
      </c>
      <c r="CM175" s="0" t="s">
        <v>228</v>
      </c>
      <c r="CN175" s="0" t="s">
        <v>228</v>
      </c>
      <c r="CO175" s="0" t="s">
        <v>228</v>
      </c>
      <c r="CP175" s="0" t="s">
        <v>228</v>
      </c>
      <c r="CQ175" s="0" t="s">
        <v>228</v>
      </c>
      <c r="CR175" s="0" t="s">
        <v>228</v>
      </c>
      <c r="CS175" s="0" t="s">
        <v>228</v>
      </c>
      <c r="CT175" s="0" t="s">
        <v>3568</v>
      </c>
      <c r="CU175" s="0" t="s">
        <v>3569</v>
      </c>
      <c r="CV175" s="0" t="s">
        <v>418</v>
      </c>
      <c r="CW175" s="0" t="s">
        <v>3622</v>
      </c>
      <c r="CX175" s="0" t="s">
        <v>419</v>
      </c>
      <c r="CY175" s="0" t="s">
        <v>418</v>
      </c>
      <c r="CZ175" s="0" t="s">
        <v>3623</v>
      </c>
      <c r="DA175" s="0" t="s">
        <v>3624</v>
      </c>
      <c r="DB175" s="0" t="s">
        <v>3622</v>
      </c>
      <c r="DC175" s="0" t="s">
        <v>362</v>
      </c>
      <c r="DD175" s="0" t="s">
        <v>3572</v>
      </c>
      <c r="DE175" s="0" t="s">
        <v>4438</v>
      </c>
    </row>
    <row customHeight="1" ht="11.25">
      <c r="A176" s="1353" t="s">
        <v>228</v>
      </c>
      <c r="B176" s="0" t="s">
        <v>228</v>
      </c>
      <c r="C176" s="0" t="s">
        <v>228</v>
      </c>
      <c r="D176" s="0" t="s">
        <v>228</v>
      </c>
      <c r="E176" s="0" t="s">
        <v>228</v>
      </c>
      <c r="F176" s="0" t="s">
        <v>228</v>
      </c>
      <c r="G176" s="0" t="s">
        <v>228</v>
      </c>
      <c r="H176" s="0" t="s">
        <v>228</v>
      </c>
      <c r="I176" s="0" t="s">
        <v>3555</v>
      </c>
      <c r="J176" s="0" t="s">
        <v>228</v>
      </c>
      <c r="K176" s="0" t="s">
        <v>228</v>
      </c>
      <c r="L176" s="0" t="s">
        <v>228</v>
      </c>
      <c r="M176" s="0" t="s">
        <v>228</v>
      </c>
      <c r="N176" s="0" t="s">
        <v>228</v>
      </c>
      <c r="O176" s="0" t="s">
        <v>228</v>
      </c>
      <c r="P176" s="0" t="s">
        <v>228</v>
      </c>
      <c r="Q176" s="0" t="s">
        <v>228</v>
      </c>
      <c r="R176" s="0" t="s">
        <v>4439</v>
      </c>
      <c r="S176" s="0" t="s">
        <v>228</v>
      </c>
      <c r="T176" s="0" t="s">
        <v>228</v>
      </c>
      <c r="U176" s="0" t="s">
        <v>101</v>
      </c>
      <c r="V176" s="0" t="s">
        <v>228</v>
      </c>
      <c r="W176" s="0" t="s">
        <v>228</v>
      </c>
      <c r="X176" s="0" t="s">
        <v>3661</v>
      </c>
      <c r="Y176" s="0" t="s">
        <v>228</v>
      </c>
      <c r="Z176" s="0" t="s">
        <v>151</v>
      </c>
      <c r="AA176" s="0" t="s">
        <v>151</v>
      </c>
      <c r="AB176" s="0" t="s">
        <v>160</v>
      </c>
      <c r="AC176" s="0" t="s">
        <v>2315</v>
      </c>
      <c r="AD176" s="0" t="s">
        <v>2315</v>
      </c>
      <c r="AE176" s="0" t="s">
        <v>2316</v>
      </c>
      <c r="AF176" s="0" t="s">
        <v>4380</v>
      </c>
      <c r="AG176" s="0" t="s">
        <v>4381</v>
      </c>
      <c r="AH176" s="0" t="s">
        <v>3651</v>
      </c>
      <c r="AI176" s="0" t="s">
        <v>3651</v>
      </c>
      <c r="AJ176" s="0" t="s">
        <v>228</v>
      </c>
      <c r="AK176" s="0" t="s">
        <v>228</v>
      </c>
      <c r="AL176" s="0" t="s">
        <v>228</v>
      </c>
      <c r="AM176" s="0" t="s">
        <v>228</v>
      </c>
      <c r="AN176" s="0" t="s">
        <v>228</v>
      </c>
      <c r="AO176" s="0" t="s">
        <v>228</v>
      </c>
      <c r="AP176" s="0" t="s">
        <v>228</v>
      </c>
      <c r="AQ176" s="0" t="s">
        <v>228</v>
      </c>
      <c r="AR176" s="0" t="s">
        <v>228</v>
      </c>
      <c r="AS176" s="0" t="s">
        <v>228</v>
      </c>
      <c r="AT176" s="0" t="s">
        <v>228</v>
      </c>
      <c r="AU176" s="0" t="s">
        <v>228</v>
      </c>
      <c r="AV176" s="0" t="s">
        <v>228</v>
      </c>
      <c r="AW176" s="0" t="s">
        <v>228</v>
      </c>
      <c r="AX176" s="0" t="s">
        <v>228</v>
      </c>
      <c r="AY176" s="0" t="s">
        <v>228</v>
      </c>
      <c r="AZ176" s="0" t="s">
        <v>228</v>
      </c>
      <c r="BA176" s="0" t="s">
        <v>228</v>
      </c>
      <c r="BB176" s="0" t="s">
        <v>228</v>
      </c>
      <c r="BC176" s="0" t="s">
        <v>228</v>
      </c>
      <c r="BD176" s="0" t="s">
        <v>228</v>
      </c>
      <c r="BE176" s="0" t="s">
        <v>3652</v>
      </c>
      <c r="BF176" s="0" t="s">
        <v>4383</v>
      </c>
      <c r="BG176" s="0" t="s">
        <v>111</v>
      </c>
      <c r="BH176" s="0" t="s">
        <v>3665</v>
      </c>
      <c r="BI176" s="0" t="s">
        <v>122</v>
      </c>
      <c r="BJ176" s="0" t="s">
        <v>228</v>
      </c>
      <c r="BK176" s="0" t="s">
        <v>3684</v>
      </c>
      <c r="BL176" s="0" t="s">
        <v>2315</v>
      </c>
      <c r="BM176" s="0" t="s">
        <v>2315</v>
      </c>
      <c r="BN176" s="0" t="s">
        <v>3875</v>
      </c>
      <c r="BO176" s="0" t="s">
        <v>4380</v>
      </c>
      <c r="BP176" s="0" t="s">
        <v>4440</v>
      </c>
      <c r="BQ176" s="0" t="s">
        <v>3651</v>
      </c>
      <c r="BR176" s="0" t="s">
        <v>3651</v>
      </c>
      <c r="BS176" s="0" t="s">
        <v>228</v>
      </c>
      <c r="BT176" s="0" t="s">
        <v>3727</v>
      </c>
      <c r="BU176" s="0" t="s">
        <v>4441</v>
      </c>
      <c r="BV176" s="0" t="s">
        <v>4441</v>
      </c>
      <c r="BW176" s="0" t="s">
        <v>3674</v>
      </c>
      <c r="BX176" s="0" t="s">
        <v>3674</v>
      </c>
      <c r="BY176" s="0" t="s">
        <v>3674</v>
      </c>
      <c r="BZ176" s="0" t="s">
        <v>3674</v>
      </c>
      <c r="CA176" s="0" t="s">
        <v>3674</v>
      </c>
      <c r="CB176" s="0" t="s">
        <v>228</v>
      </c>
      <c r="CC176" s="0" t="s">
        <v>228</v>
      </c>
      <c r="CD176" s="0" t="s">
        <v>228</v>
      </c>
      <c r="CE176" s="0" t="s">
        <v>228</v>
      </c>
      <c r="CF176" s="0" t="s">
        <v>228</v>
      </c>
      <c r="CG176" s="0" t="s">
        <v>3674</v>
      </c>
      <c r="CH176" s="0" t="s">
        <v>228</v>
      </c>
      <c r="CI176" s="0" t="s">
        <v>228</v>
      </c>
      <c r="CJ176" s="0" t="s">
        <v>228</v>
      </c>
      <c r="CK176" s="0" t="s">
        <v>228</v>
      </c>
      <c r="CL176" s="0" t="s">
        <v>228</v>
      </c>
      <c r="CM176" s="0" t="s">
        <v>4441</v>
      </c>
      <c r="CN176" s="0" t="s">
        <v>4441</v>
      </c>
      <c r="CO176" s="0" t="s">
        <v>228</v>
      </c>
      <c r="CP176" s="0" t="s">
        <v>228</v>
      </c>
      <c r="CQ176" s="0" t="s">
        <v>228</v>
      </c>
      <c r="CR176" s="0" t="s">
        <v>228</v>
      </c>
      <c r="CS176" s="0" t="s">
        <v>3563</v>
      </c>
      <c r="CT176" s="0" t="s">
        <v>3568</v>
      </c>
      <c r="CU176" s="0" t="s">
        <v>3569</v>
      </c>
      <c r="CV176" s="0" t="s">
        <v>418</v>
      </c>
      <c r="CW176" s="0" t="s">
        <v>3656</v>
      </c>
      <c r="CX176" s="0" t="s">
        <v>419</v>
      </c>
      <c r="CY176" s="0" t="s">
        <v>418</v>
      </c>
      <c r="CZ176" s="0" t="s">
        <v>3657</v>
      </c>
      <c r="DA176" s="0" t="s">
        <v>3658</v>
      </c>
      <c r="DB176" s="0" t="s">
        <v>3656</v>
      </c>
      <c r="DC176" s="0" t="s">
        <v>362</v>
      </c>
      <c r="DD176" s="0" t="s">
        <v>3572</v>
      </c>
      <c r="DE176" s="0" t="s">
        <v>4442</v>
      </c>
    </row>
    <row customHeight="1" ht="11.25">
      <c r="A177" s="1353" t="s">
        <v>228</v>
      </c>
      <c r="B177" s="0" t="s">
        <v>228</v>
      </c>
      <c r="C177" s="0" t="s">
        <v>228</v>
      </c>
      <c r="D177" s="0" t="s">
        <v>228</v>
      </c>
      <c r="E177" s="0" t="s">
        <v>228</v>
      </c>
      <c r="F177" s="0" t="s">
        <v>228</v>
      </c>
      <c r="G177" s="0" t="s">
        <v>228</v>
      </c>
      <c r="H177" s="0" t="s">
        <v>228</v>
      </c>
      <c r="I177" s="0" t="s">
        <v>3555</v>
      </c>
      <c r="J177" s="0" t="s">
        <v>228</v>
      </c>
      <c r="K177" s="0" t="s">
        <v>228</v>
      </c>
      <c r="L177" s="0" t="s">
        <v>228</v>
      </c>
      <c r="M177" s="0" t="s">
        <v>228</v>
      </c>
      <c r="N177" s="0" t="s">
        <v>228</v>
      </c>
      <c r="O177" s="0" t="s">
        <v>228</v>
      </c>
      <c r="P177" s="0" t="s">
        <v>228</v>
      </c>
      <c r="Q177" s="0" t="s">
        <v>228</v>
      </c>
      <c r="R177" s="0" t="s">
        <v>4443</v>
      </c>
      <c r="S177" s="0" t="s">
        <v>228</v>
      </c>
      <c r="T177" s="0" t="s">
        <v>228</v>
      </c>
      <c r="U177" s="0" t="s">
        <v>101</v>
      </c>
      <c r="V177" s="0" t="s">
        <v>228</v>
      </c>
      <c r="W177" s="0" t="s">
        <v>228</v>
      </c>
      <c r="X177" s="0" t="s">
        <v>3557</v>
      </c>
      <c r="Y177" s="0" t="s">
        <v>228</v>
      </c>
      <c r="Z177" s="0" t="s">
        <v>160</v>
      </c>
      <c r="AA177" s="0" t="s">
        <v>151</v>
      </c>
      <c r="AB177" s="0" t="s">
        <v>151</v>
      </c>
      <c r="AC177" s="0" t="s">
        <v>2290</v>
      </c>
      <c r="AD177" s="0" t="s">
        <v>2290</v>
      </c>
      <c r="AE177" s="0" t="s">
        <v>2292</v>
      </c>
      <c r="AF177" s="0" t="s">
        <v>3558</v>
      </c>
      <c r="AG177" s="0" t="s">
        <v>3559</v>
      </c>
      <c r="AH177" s="0" t="s">
        <v>4444</v>
      </c>
      <c r="AI177" s="0" t="s">
        <v>3608</v>
      </c>
      <c r="AJ177" s="0" t="s">
        <v>4188</v>
      </c>
      <c r="AK177" s="0" t="s">
        <v>3674</v>
      </c>
      <c r="AL177" s="0" t="s">
        <v>3681</v>
      </c>
      <c r="AM177" s="0" t="s">
        <v>3565</v>
      </c>
      <c r="AN177" s="0" t="s">
        <v>4189</v>
      </c>
      <c r="AO177" s="0" t="s">
        <v>4445</v>
      </c>
      <c r="AP177" s="0" t="s">
        <v>228</v>
      </c>
      <c r="AQ177" s="0" t="s">
        <v>228</v>
      </c>
      <c r="AR177" s="0" t="s">
        <v>228</v>
      </c>
      <c r="AS177" s="0" t="s">
        <v>228</v>
      </c>
      <c r="AT177" s="0" t="s">
        <v>228</v>
      </c>
      <c r="AU177" s="0" t="s">
        <v>228</v>
      </c>
      <c r="AV177" s="0" t="s">
        <v>228</v>
      </c>
      <c r="AW177" s="0" t="s">
        <v>228</v>
      </c>
      <c r="AX177" s="0" t="s">
        <v>228</v>
      </c>
      <c r="AY177" s="0" t="s">
        <v>228</v>
      </c>
      <c r="AZ177" s="0" t="s">
        <v>228</v>
      </c>
      <c r="BA177" s="0" t="s">
        <v>228</v>
      </c>
      <c r="BB177" s="0" t="s">
        <v>228</v>
      </c>
      <c r="BC177" s="0" t="s">
        <v>228</v>
      </c>
      <c r="BD177" s="0" t="s">
        <v>228</v>
      </c>
      <c r="BE177" s="0" t="s">
        <v>228</v>
      </c>
      <c r="BF177" s="0" t="s">
        <v>228</v>
      </c>
      <c r="BG177" s="0" t="s">
        <v>228</v>
      </c>
      <c r="BH177" s="0" t="s">
        <v>228</v>
      </c>
      <c r="BI177" s="0" t="s">
        <v>228</v>
      </c>
      <c r="BJ177" s="0" t="s">
        <v>228</v>
      </c>
      <c r="BK177" s="0" t="s">
        <v>228</v>
      </c>
      <c r="BL177" s="0" t="s">
        <v>228</v>
      </c>
      <c r="BM177" s="0" t="s">
        <v>228</v>
      </c>
      <c r="BN177" s="0" t="s">
        <v>228</v>
      </c>
      <c r="BO177" s="0" t="s">
        <v>228</v>
      </c>
      <c r="BP177" s="0" t="s">
        <v>228</v>
      </c>
      <c r="BQ177" s="0" t="s">
        <v>228</v>
      </c>
      <c r="BR177" s="0" t="s">
        <v>228</v>
      </c>
      <c r="BS177" s="0" t="s">
        <v>228</v>
      </c>
      <c r="BT177" s="0" t="s">
        <v>228</v>
      </c>
      <c r="BU177" s="0" t="s">
        <v>228</v>
      </c>
      <c r="BV177" s="0" t="s">
        <v>228</v>
      </c>
      <c r="BW177" s="0" t="s">
        <v>228</v>
      </c>
      <c r="BX177" s="0" t="s">
        <v>228</v>
      </c>
      <c r="BY177" s="0" t="s">
        <v>228</v>
      </c>
      <c r="BZ177" s="0" t="s">
        <v>228</v>
      </c>
      <c r="CA177" s="0" t="s">
        <v>228</v>
      </c>
      <c r="CB177" s="0" t="s">
        <v>228</v>
      </c>
      <c r="CC177" s="0" t="s">
        <v>228</v>
      </c>
      <c r="CD177" s="0" t="s">
        <v>228</v>
      </c>
      <c r="CE177" s="0" t="s">
        <v>228</v>
      </c>
      <c r="CF177" s="0" t="s">
        <v>228</v>
      </c>
      <c r="CG177" s="0" t="s">
        <v>228</v>
      </c>
      <c r="CH177" s="0" t="s">
        <v>228</v>
      </c>
      <c r="CI177" s="0" t="s">
        <v>228</v>
      </c>
      <c r="CJ177" s="0" t="s">
        <v>228</v>
      </c>
      <c r="CK177" s="0" t="s">
        <v>228</v>
      </c>
      <c r="CL177" s="0" t="s">
        <v>228</v>
      </c>
      <c r="CM177" s="0" t="s">
        <v>228</v>
      </c>
      <c r="CN177" s="0" t="s">
        <v>228</v>
      </c>
      <c r="CO177" s="0" t="s">
        <v>228</v>
      </c>
      <c r="CP177" s="0" t="s">
        <v>228</v>
      </c>
      <c r="CQ177" s="0" t="s">
        <v>228</v>
      </c>
      <c r="CR177" s="0" t="s">
        <v>228</v>
      </c>
      <c r="CS177" s="0" t="s">
        <v>228</v>
      </c>
      <c r="CT177" s="0" t="s">
        <v>3568</v>
      </c>
      <c r="CU177" s="0" t="s">
        <v>3569</v>
      </c>
      <c r="CV177" s="0" t="s">
        <v>418</v>
      </c>
      <c r="CW177" s="0" t="s">
        <v>3570</v>
      </c>
      <c r="CX177" s="0" t="s">
        <v>419</v>
      </c>
      <c r="CY177" s="0" t="s">
        <v>418</v>
      </c>
      <c r="CZ177" s="0" t="s">
        <v>3571</v>
      </c>
      <c r="DA177" s="0" t="s">
        <v>420</v>
      </c>
      <c r="DB177" s="0" t="s">
        <v>3570</v>
      </c>
      <c r="DC177" s="0" t="s">
        <v>362</v>
      </c>
      <c r="DD177" s="0" t="s">
        <v>3572</v>
      </c>
      <c r="DE177" s="0" t="s">
        <v>4446</v>
      </c>
    </row>
    <row customHeight="1" ht="11.25">
      <c r="A178" s="1353" t="s">
        <v>228</v>
      </c>
      <c r="B178" s="0" t="s">
        <v>228</v>
      </c>
      <c r="C178" s="0" t="s">
        <v>228</v>
      </c>
      <c r="D178" s="0" t="s">
        <v>228</v>
      </c>
      <c r="E178" s="0" t="s">
        <v>228</v>
      </c>
      <c r="F178" s="0" t="s">
        <v>228</v>
      </c>
      <c r="G178" s="0" t="s">
        <v>228</v>
      </c>
      <c r="H178" s="0" t="s">
        <v>228</v>
      </c>
      <c r="I178" s="0" t="s">
        <v>3555</v>
      </c>
      <c r="J178" s="0" t="s">
        <v>228</v>
      </c>
      <c r="K178" s="0" t="s">
        <v>228</v>
      </c>
      <c r="L178" s="0" t="s">
        <v>228</v>
      </c>
      <c r="M178" s="0" t="s">
        <v>228</v>
      </c>
      <c r="N178" s="0" t="s">
        <v>228</v>
      </c>
      <c r="O178" s="0" t="s">
        <v>228</v>
      </c>
      <c r="P178" s="0" t="s">
        <v>228</v>
      </c>
      <c r="Q178" s="0" t="s">
        <v>228</v>
      </c>
      <c r="R178" s="0" t="s">
        <v>4447</v>
      </c>
      <c r="S178" s="0" t="s">
        <v>228</v>
      </c>
      <c r="T178" s="0" t="s">
        <v>228</v>
      </c>
      <c r="U178" s="0" t="s">
        <v>101</v>
      </c>
      <c r="V178" s="0" t="s">
        <v>228</v>
      </c>
      <c r="W178" s="0" t="s">
        <v>228</v>
      </c>
      <c r="X178" s="0" t="s">
        <v>3557</v>
      </c>
      <c r="Y178" s="0" t="s">
        <v>228</v>
      </c>
      <c r="Z178" s="0" t="s">
        <v>160</v>
      </c>
      <c r="AA178" s="0" t="s">
        <v>151</v>
      </c>
      <c r="AB178" s="0" t="s">
        <v>151</v>
      </c>
      <c r="AC178" s="0" t="s">
        <v>2290</v>
      </c>
      <c r="AD178" s="0" t="s">
        <v>2290</v>
      </c>
      <c r="AE178" s="0" t="s">
        <v>2292</v>
      </c>
      <c r="AF178" s="0" t="s">
        <v>3558</v>
      </c>
      <c r="AG178" s="0" t="s">
        <v>3559</v>
      </c>
      <c r="AH178" s="0" t="s">
        <v>4448</v>
      </c>
      <c r="AI178" s="0" t="s">
        <v>4449</v>
      </c>
      <c r="AJ178" s="0" t="s">
        <v>4188</v>
      </c>
      <c r="AK178" s="0" t="s">
        <v>3674</v>
      </c>
      <c r="AL178" s="0" t="s">
        <v>3681</v>
      </c>
      <c r="AM178" s="0" t="s">
        <v>3565</v>
      </c>
      <c r="AN178" s="0" t="s">
        <v>4189</v>
      </c>
      <c r="AO178" s="0" t="s">
        <v>4450</v>
      </c>
      <c r="AP178" s="0" t="s">
        <v>228</v>
      </c>
      <c r="AQ178" s="0" t="s">
        <v>228</v>
      </c>
      <c r="AR178" s="0" t="s">
        <v>228</v>
      </c>
      <c r="AS178" s="0" t="s">
        <v>228</v>
      </c>
      <c r="AT178" s="0" t="s">
        <v>228</v>
      </c>
      <c r="AU178" s="0" t="s">
        <v>228</v>
      </c>
      <c r="AV178" s="0" t="s">
        <v>228</v>
      </c>
      <c r="AW178" s="0" t="s">
        <v>228</v>
      </c>
      <c r="AX178" s="0" t="s">
        <v>228</v>
      </c>
      <c r="AY178" s="0" t="s">
        <v>228</v>
      </c>
      <c r="AZ178" s="0" t="s">
        <v>228</v>
      </c>
      <c r="BA178" s="0" t="s">
        <v>228</v>
      </c>
      <c r="BB178" s="0" t="s">
        <v>228</v>
      </c>
      <c r="BC178" s="0" t="s">
        <v>228</v>
      </c>
      <c r="BD178" s="0" t="s">
        <v>228</v>
      </c>
      <c r="BE178" s="0" t="s">
        <v>228</v>
      </c>
      <c r="BF178" s="0" t="s">
        <v>228</v>
      </c>
      <c r="BG178" s="0" t="s">
        <v>228</v>
      </c>
      <c r="BH178" s="0" t="s">
        <v>228</v>
      </c>
      <c r="BI178" s="0" t="s">
        <v>228</v>
      </c>
      <c r="BJ178" s="0" t="s">
        <v>228</v>
      </c>
      <c r="BK178" s="0" t="s">
        <v>228</v>
      </c>
      <c r="BL178" s="0" t="s">
        <v>228</v>
      </c>
      <c r="BM178" s="0" t="s">
        <v>228</v>
      </c>
      <c r="BN178" s="0" t="s">
        <v>228</v>
      </c>
      <c r="BO178" s="0" t="s">
        <v>228</v>
      </c>
      <c r="BP178" s="0" t="s">
        <v>228</v>
      </c>
      <c r="BQ178" s="0" t="s">
        <v>228</v>
      </c>
      <c r="BR178" s="0" t="s">
        <v>228</v>
      </c>
      <c r="BS178" s="0" t="s">
        <v>228</v>
      </c>
      <c r="BT178" s="0" t="s">
        <v>228</v>
      </c>
      <c r="BU178" s="0" t="s">
        <v>228</v>
      </c>
      <c r="BV178" s="0" t="s">
        <v>228</v>
      </c>
      <c r="BW178" s="0" t="s">
        <v>228</v>
      </c>
      <c r="BX178" s="0" t="s">
        <v>228</v>
      </c>
      <c r="BY178" s="0" t="s">
        <v>228</v>
      </c>
      <c r="BZ178" s="0" t="s">
        <v>228</v>
      </c>
      <c r="CA178" s="0" t="s">
        <v>228</v>
      </c>
      <c r="CB178" s="0" t="s">
        <v>228</v>
      </c>
      <c r="CC178" s="0" t="s">
        <v>228</v>
      </c>
      <c r="CD178" s="0" t="s">
        <v>228</v>
      </c>
      <c r="CE178" s="0" t="s">
        <v>228</v>
      </c>
      <c r="CF178" s="0" t="s">
        <v>228</v>
      </c>
      <c r="CG178" s="0" t="s">
        <v>228</v>
      </c>
      <c r="CH178" s="0" t="s">
        <v>228</v>
      </c>
      <c r="CI178" s="0" t="s">
        <v>228</v>
      </c>
      <c r="CJ178" s="0" t="s">
        <v>228</v>
      </c>
      <c r="CK178" s="0" t="s">
        <v>228</v>
      </c>
      <c r="CL178" s="0" t="s">
        <v>228</v>
      </c>
      <c r="CM178" s="0" t="s">
        <v>228</v>
      </c>
      <c r="CN178" s="0" t="s">
        <v>228</v>
      </c>
      <c r="CO178" s="0" t="s">
        <v>228</v>
      </c>
      <c r="CP178" s="0" t="s">
        <v>228</v>
      </c>
      <c r="CQ178" s="0" t="s">
        <v>228</v>
      </c>
      <c r="CR178" s="0" t="s">
        <v>228</v>
      </c>
      <c r="CS178" s="0" t="s">
        <v>228</v>
      </c>
      <c r="CT178" s="0" t="s">
        <v>3568</v>
      </c>
      <c r="CU178" s="0" t="s">
        <v>3569</v>
      </c>
      <c r="CV178" s="0" t="s">
        <v>418</v>
      </c>
      <c r="CW178" s="0" t="s">
        <v>3570</v>
      </c>
      <c r="CX178" s="0" t="s">
        <v>419</v>
      </c>
      <c r="CY178" s="0" t="s">
        <v>418</v>
      </c>
      <c r="CZ178" s="0" t="s">
        <v>3571</v>
      </c>
      <c r="DA178" s="0" t="s">
        <v>420</v>
      </c>
      <c r="DB178" s="0" t="s">
        <v>3570</v>
      </c>
      <c r="DC178" s="0" t="s">
        <v>362</v>
      </c>
      <c r="DD178" s="0" t="s">
        <v>3572</v>
      </c>
      <c r="DE178" s="0" t="s">
        <v>4451</v>
      </c>
    </row>
    <row customHeight="1" ht="11.25">
      <c r="A179" s="1353" t="s">
        <v>228</v>
      </c>
      <c r="B179" s="0" t="s">
        <v>228</v>
      </c>
      <c r="C179" s="0" t="s">
        <v>228</v>
      </c>
      <c r="D179" s="0" t="s">
        <v>228</v>
      </c>
      <c r="E179" s="0" t="s">
        <v>228</v>
      </c>
      <c r="F179" s="0" t="s">
        <v>228</v>
      </c>
      <c r="G179" s="0" t="s">
        <v>228</v>
      </c>
      <c r="H179" s="0" t="s">
        <v>228</v>
      </c>
      <c r="I179" s="0" t="s">
        <v>3555</v>
      </c>
      <c r="J179" s="0" t="s">
        <v>228</v>
      </c>
      <c r="K179" s="0" t="s">
        <v>228</v>
      </c>
      <c r="L179" s="0" t="s">
        <v>228</v>
      </c>
      <c r="M179" s="0" t="s">
        <v>228</v>
      </c>
      <c r="N179" s="0" t="s">
        <v>228</v>
      </c>
      <c r="O179" s="0" t="s">
        <v>228</v>
      </c>
      <c r="P179" s="0" t="s">
        <v>228</v>
      </c>
      <c r="Q179" s="0" t="s">
        <v>228</v>
      </c>
      <c r="R179" s="0" t="s">
        <v>4452</v>
      </c>
      <c r="S179" s="0" t="s">
        <v>228</v>
      </c>
      <c r="T179" s="0" t="s">
        <v>228</v>
      </c>
      <c r="U179" s="0" t="s">
        <v>101</v>
      </c>
      <c r="V179" s="0" t="s">
        <v>228</v>
      </c>
      <c r="W179" s="0" t="s">
        <v>228</v>
      </c>
      <c r="X179" s="0" t="s">
        <v>3557</v>
      </c>
      <c r="Y179" s="0" t="s">
        <v>228</v>
      </c>
      <c r="Z179" s="0" t="s">
        <v>160</v>
      </c>
      <c r="AA179" s="0" t="s">
        <v>151</v>
      </c>
      <c r="AB179" s="0" t="s">
        <v>151</v>
      </c>
      <c r="AC179" s="0" t="s">
        <v>2290</v>
      </c>
      <c r="AD179" s="0" t="s">
        <v>2290</v>
      </c>
      <c r="AE179" s="0" t="s">
        <v>2292</v>
      </c>
      <c r="AF179" s="0" t="s">
        <v>4453</v>
      </c>
      <c r="AG179" s="0" t="s">
        <v>4454</v>
      </c>
      <c r="AH179" s="0" t="s">
        <v>4455</v>
      </c>
      <c r="AI179" s="0" t="s">
        <v>4456</v>
      </c>
      <c r="AJ179" s="0" t="s">
        <v>3566</v>
      </c>
      <c r="AK179" s="0" t="s">
        <v>3674</v>
      </c>
      <c r="AL179" s="0" t="s">
        <v>3681</v>
      </c>
      <c r="AM179" s="0" t="s">
        <v>3565</v>
      </c>
      <c r="AN179" s="0" t="s">
        <v>3582</v>
      </c>
      <c r="AO179" s="0" t="s">
        <v>4457</v>
      </c>
      <c r="AP179" s="0" t="s">
        <v>228</v>
      </c>
      <c r="AQ179" s="0" t="s">
        <v>228</v>
      </c>
      <c r="AR179" s="0" t="s">
        <v>228</v>
      </c>
      <c r="AS179" s="0" t="s">
        <v>228</v>
      </c>
      <c r="AT179" s="0" t="s">
        <v>228</v>
      </c>
      <c r="AU179" s="0" t="s">
        <v>228</v>
      </c>
      <c r="AV179" s="0" t="s">
        <v>228</v>
      </c>
      <c r="AW179" s="0" t="s">
        <v>228</v>
      </c>
      <c r="AX179" s="0" t="s">
        <v>228</v>
      </c>
      <c r="AY179" s="0" t="s">
        <v>228</v>
      </c>
      <c r="AZ179" s="0" t="s">
        <v>228</v>
      </c>
      <c r="BA179" s="0" t="s">
        <v>228</v>
      </c>
      <c r="BB179" s="0" t="s">
        <v>228</v>
      </c>
      <c r="BC179" s="0" t="s">
        <v>228</v>
      </c>
      <c r="BD179" s="0" t="s">
        <v>228</v>
      </c>
      <c r="BE179" s="0" t="s">
        <v>228</v>
      </c>
      <c r="BF179" s="0" t="s">
        <v>228</v>
      </c>
      <c r="BG179" s="0" t="s">
        <v>228</v>
      </c>
      <c r="BH179" s="0" t="s">
        <v>228</v>
      </c>
      <c r="BI179" s="0" t="s">
        <v>228</v>
      </c>
      <c r="BJ179" s="0" t="s">
        <v>228</v>
      </c>
      <c r="BK179" s="0" t="s">
        <v>228</v>
      </c>
      <c r="BL179" s="0" t="s">
        <v>228</v>
      </c>
      <c r="BM179" s="0" t="s">
        <v>228</v>
      </c>
      <c r="BN179" s="0" t="s">
        <v>228</v>
      </c>
      <c r="BO179" s="0" t="s">
        <v>228</v>
      </c>
      <c r="BP179" s="0" t="s">
        <v>228</v>
      </c>
      <c r="BQ179" s="0" t="s">
        <v>228</v>
      </c>
      <c r="BR179" s="0" t="s">
        <v>228</v>
      </c>
      <c r="BS179" s="0" t="s">
        <v>228</v>
      </c>
      <c r="BT179" s="0" t="s">
        <v>228</v>
      </c>
      <c r="BU179" s="0" t="s">
        <v>228</v>
      </c>
      <c r="BV179" s="0" t="s">
        <v>228</v>
      </c>
      <c r="BW179" s="0" t="s">
        <v>228</v>
      </c>
      <c r="BX179" s="0" t="s">
        <v>228</v>
      </c>
      <c r="BY179" s="0" t="s">
        <v>228</v>
      </c>
      <c r="BZ179" s="0" t="s">
        <v>228</v>
      </c>
      <c r="CA179" s="0" t="s">
        <v>228</v>
      </c>
      <c r="CB179" s="0" t="s">
        <v>228</v>
      </c>
      <c r="CC179" s="0" t="s">
        <v>228</v>
      </c>
      <c r="CD179" s="0" t="s">
        <v>228</v>
      </c>
      <c r="CE179" s="0" t="s">
        <v>228</v>
      </c>
      <c r="CF179" s="0" t="s">
        <v>228</v>
      </c>
      <c r="CG179" s="0" t="s">
        <v>228</v>
      </c>
      <c r="CH179" s="0" t="s">
        <v>228</v>
      </c>
      <c r="CI179" s="0" t="s">
        <v>228</v>
      </c>
      <c r="CJ179" s="0" t="s">
        <v>228</v>
      </c>
      <c r="CK179" s="0" t="s">
        <v>228</v>
      </c>
      <c r="CL179" s="0" t="s">
        <v>228</v>
      </c>
      <c r="CM179" s="0" t="s">
        <v>228</v>
      </c>
      <c r="CN179" s="0" t="s">
        <v>228</v>
      </c>
      <c r="CO179" s="0" t="s">
        <v>228</v>
      </c>
      <c r="CP179" s="0" t="s">
        <v>228</v>
      </c>
      <c r="CQ179" s="0" t="s">
        <v>228</v>
      </c>
      <c r="CR179" s="0" t="s">
        <v>228</v>
      </c>
      <c r="CS179" s="0" t="s">
        <v>228</v>
      </c>
      <c r="CT179" s="0" t="s">
        <v>3568</v>
      </c>
      <c r="CU179" s="0" t="s">
        <v>3569</v>
      </c>
      <c r="CV179" s="0" t="s">
        <v>418</v>
      </c>
      <c r="CW179" s="0" t="s">
        <v>3570</v>
      </c>
      <c r="CX179" s="0" t="s">
        <v>419</v>
      </c>
      <c r="CY179" s="0" t="s">
        <v>418</v>
      </c>
      <c r="CZ179" s="0" t="s">
        <v>3571</v>
      </c>
      <c r="DA179" s="0" t="s">
        <v>420</v>
      </c>
      <c r="DB179" s="0" t="s">
        <v>3570</v>
      </c>
      <c r="DC179" s="0" t="s">
        <v>362</v>
      </c>
      <c r="DD179" s="0" t="s">
        <v>3572</v>
      </c>
      <c r="DE179" s="0" t="s">
        <v>4458</v>
      </c>
    </row>
    <row customHeight="1" ht="11.25">
      <c r="A180" s="1353" t="s">
        <v>228</v>
      </c>
      <c r="B180" s="0" t="s">
        <v>228</v>
      </c>
      <c r="C180" s="0" t="s">
        <v>228</v>
      </c>
      <c r="D180" s="0" t="s">
        <v>228</v>
      </c>
      <c r="E180" s="0" t="s">
        <v>228</v>
      </c>
      <c r="F180" s="0" t="s">
        <v>228</v>
      </c>
      <c r="G180" s="0" t="s">
        <v>228</v>
      </c>
      <c r="H180" s="0" t="s">
        <v>228</v>
      </c>
      <c r="I180" s="0" t="s">
        <v>3555</v>
      </c>
      <c r="J180" s="0" t="s">
        <v>228</v>
      </c>
      <c r="K180" s="0" t="s">
        <v>228</v>
      </c>
      <c r="L180" s="0" t="s">
        <v>228</v>
      </c>
      <c r="M180" s="0" t="s">
        <v>228</v>
      </c>
      <c r="N180" s="0" t="s">
        <v>228</v>
      </c>
      <c r="O180" s="0" t="s">
        <v>228</v>
      </c>
      <c r="P180" s="0" t="s">
        <v>228</v>
      </c>
      <c r="Q180" s="0" t="s">
        <v>228</v>
      </c>
      <c r="R180" s="0" t="s">
        <v>4459</v>
      </c>
      <c r="S180" s="0" t="s">
        <v>228</v>
      </c>
      <c r="T180" s="0" t="s">
        <v>228</v>
      </c>
      <c r="U180" s="0" t="s">
        <v>101</v>
      </c>
      <c r="V180" s="0" t="s">
        <v>228</v>
      </c>
      <c r="W180" s="0" t="s">
        <v>228</v>
      </c>
      <c r="X180" s="0" t="s">
        <v>3988</v>
      </c>
      <c r="Y180" s="0" t="s">
        <v>228</v>
      </c>
      <c r="Z180" s="0" t="s">
        <v>151</v>
      </c>
      <c r="AA180" s="0" t="s">
        <v>160</v>
      </c>
      <c r="AB180" s="0" t="s">
        <v>151</v>
      </c>
      <c r="AC180" s="0" t="s">
        <v>2715</v>
      </c>
      <c r="AD180" s="0" t="s">
        <v>2715</v>
      </c>
      <c r="AE180" s="0" t="s">
        <v>2716</v>
      </c>
      <c r="AF180" s="0" t="s">
        <v>3594</v>
      </c>
      <c r="AG180" s="0" t="s">
        <v>3595</v>
      </c>
      <c r="AH180" s="0" t="s">
        <v>3662</v>
      </c>
      <c r="AI180" s="0" t="s">
        <v>3608</v>
      </c>
      <c r="AJ180" s="0" t="s">
        <v>228</v>
      </c>
      <c r="AK180" s="0" t="s">
        <v>228</v>
      </c>
      <c r="AL180" s="0" t="s">
        <v>228</v>
      </c>
      <c r="AM180" s="0" t="s">
        <v>228</v>
      </c>
      <c r="AN180" s="0" t="s">
        <v>228</v>
      </c>
      <c r="AO180" s="0" t="s">
        <v>228</v>
      </c>
      <c r="AP180" s="0" t="s">
        <v>3663</v>
      </c>
      <c r="AQ180" s="0" t="s">
        <v>4460</v>
      </c>
      <c r="AR180" s="0" t="s">
        <v>111</v>
      </c>
      <c r="AS180" s="0" t="s">
        <v>3665</v>
      </c>
      <c r="AT180" s="0" t="s">
        <v>122</v>
      </c>
      <c r="AU180" s="0" t="s">
        <v>228</v>
      </c>
      <c r="AV180" s="0" t="s">
        <v>4461</v>
      </c>
      <c r="AW180" s="0" t="s">
        <v>2286</v>
      </c>
      <c r="AX180" s="0" t="s">
        <v>2286</v>
      </c>
      <c r="AY180" s="0" t="s">
        <v>3992</v>
      </c>
      <c r="AZ180" s="0" t="s">
        <v>4462</v>
      </c>
      <c r="BA180" s="0" t="s">
        <v>4463</v>
      </c>
      <c r="BB180" s="0" t="s">
        <v>3662</v>
      </c>
      <c r="BC180" s="0" t="s">
        <v>3608</v>
      </c>
      <c r="BD180" s="0" t="s">
        <v>4072</v>
      </c>
      <c r="BE180" s="0" t="s">
        <v>228</v>
      </c>
      <c r="BF180" s="0" t="s">
        <v>228</v>
      </c>
      <c r="BG180" s="0" t="s">
        <v>228</v>
      </c>
      <c r="BH180" s="0" t="s">
        <v>228</v>
      </c>
      <c r="BI180" s="0" t="s">
        <v>228</v>
      </c>
      <c r="BJ180" s="0" t="s">
        <v>228</v>
      </c>
      <c r="BK180" s="0" t="s">
        <v>228</v>
      </c>
      <c r="BL180" s="0" t="s">
        <v>228</v>
      </c>
      <c r="BM180" s="0" t="s">
        <v>228</v>
      </c>
      <c r="BN180" s="0" t="s">
        <v>228</v>
      </c>
      <c r="BO180" s="0" t="s">
        <v>228</v>
      </c>
      <c r="BP180" s="0" t="s">
        <v>228</v>
      </c>
      <c r="BQ180" s="0" t="s">
        <v>228</v>
      </c>
      <c r="BR180" s="0" t="s">
        <v>228</v>
      </c>
      <c r="BS180" s="0" t="s">
        <v>228</v>
      </c>
      <c r="BT180" s="0" t="s">
        <v>228</v>
      </c>
      <c r="BU180" s="0" t="s">
        <v>228</v>
      </c>
      <c r="BV180" s="0" t="s">
        <v>228</v>
      </c>
      <c r="BW180" s="0" t="s">
        <v>228</v>
      </c>
      <c r="BX180" s="0" t="s">
        <v>228</v>
      </c>
      <c r="BY180" s="0" t="s">
        <v>228</v>
      </c>
      <c r="BZ180" s="0" t="s">
        <v>228</v>
      </c>
      <c r="CA180" s="0" t="s">
        <v>228</v>
      </c>
      <c r="CB180" s="0" t="s">
        <v>228</v>
      </c>
      <c r="CC180" s="0" t="s">
        <v>228</v>
      </c>
      <c r="CD180" s="0" t="s">
        <v>228</v>
      </c>
      <c r="CE180" s="0" t="s">
        <v>228</v>
      </c>
      <c r="CF180" s="0" t="s">
        <v>228</v>
      </c>
      <c r="CG180" s="0" t="s">
        <v>228</v>
      </c>
      <c r="CH180" s="0" t="s">
        <v>228</v>
      </c>
      <c r="CI180" s="0" t="s">
        <v>228</v>
      </c>
      <c r="CJ180" s="0" t="s">
        <v>228</v>
      </c>
      <c r="CK180" s="0" t="s">
        <v>228</v>
      </c>
      <c r="CL180" s="0" t="s">
        <v>228</v>
      </c>
      <c r="CM180" s="0" t="s">
        <v>228</v>
      </c>
      <c r="CN180" s="0" t="s">
        <v>228</v>
      </c>
      <c r="CO180" s="0" t="s">
        <v>228</v>
      </c>
      <c r="CP180" s="0" t="s">
        <v>228</v>
      </c>
      <c r="CQ180" s="0" t="s">
        <v>228</v>
      </c>
      <c r="CR180" s="0" t="s">
        <v>228</v>
      </c>
      <c r="CS180" s="0" t="s">
        <v>228</v>
      </c>
      <c r="CT180" s="0" t="s">
        <v>3568</v>
      </c>
      <c r="CU180" s="0" t="s">
        <v>3569</v>
      </c>
      <c r="CV180" s="0" t="s">
        <v>418</v>
      </c>
      <c r="CW180" s="0" t="s">
        <v>3602</v>
      </c>
      <c r="CX180" s="0" t="s">
        <v>3603</v>
      </c>
      <c r="CY180" s="0" t="s">
        <v>418</v>
      </c>
      <c r="CZ180" s="0" t="s">
        <v>504</v>
      </c>
      <c r="DA180" s="0" t="s">
        <v>3604</v>
      </c>
      <c r="DB180" s="0" t="s">
        <v>3602</v>
      </c>
      <c r="DC180" s="0" t="s">
        <v>362</v>
      </c>
      <c r="DD180" s="0" t="s">
        <v>3572</v>
      </c>
      <c r="DE180" s="0" t="s">
        <v>3677</v>
      </c>
    </row>
    <row customHeight="1" ht="11.25">
      <c r="A181" s="1353" t="s">
        <v>228</v>
      </c>
      <c r="B181" s="0" t="s">
        <v>228</v>
      </c>
      <c r="C181" s="0" t="s">
        <v>228</v>
      </c>
      <c r="D181" s="0" t="s">
        <v>228</v>
      </c>
      <c r="E181" s="0" t="s">
        <v>228</v>
      </c>
      <c r="F181" s="0" t="s">
        <v>228</v>
      </c>
      <c r="G181" s="0" t="s">
        <v>228</v>
      </c>
      <c r="H181" s="0" t="s">
        <v>228</v>
      </c>
      <c r="I181" s="0" t="s">
        <v>3555</v>
      </c>
      <c r="J181" s="0" t="s">
        <v>228</v>
      </c>
      <c r="K181" s="0" t="s">
        <v>228</v>
      </c>
      <c r="L181" s="0" t="s">
        <v>228</v>
      </c>
      <c r="M181" s="0" t="s">
        <v>228</v>
      </c>
      <c r="N181" s="0" t="s">
        <v>228</v>
      </c>
      <c r="O181" s="0" t="s">
        <v>228</v>
      </c>
      <c r="P181" s="0" t="s">
        <v>228</v>
      </c>
      <c r="Q181" s="0" t="s">
        <v>228</v>
      </c>
      <c r="R181" s="0" t="s">
        <v>3718</v>
      </c>
      <c r="S181" s="0" t="s">
        <v>228</v>
      </c>
      <c r="T181" s="0" t="s">
        <v>228</v>
      </c>
      <c r="U181" s="0" t="s">
        <v>101</v>
      </c>
      <c r="V181" s="0" t="s">
        <v>228</v>
      </c>
      <c r="W181" s="0" t="s">
        <v>228</v>
      </c>
      <c r="X181" s="0" t="s">
        <v>3661</v>
      </c>
      <c r="Y181" s="0" t="s">
        <v>228</v>
      </c>
      <c r="Z181" s="0" t="s">
        <v>151</v>
      </c>
      <c r="AA181" s="0" t="s">
        <v>151</v>
      </c>
      <c r="AB181" s="0" t="s">
        <v>160</v>
      </c>
      <c r="AC181" s="0" t="s">
        <v>2311</v>
      </c>
      <c r="AD181" s="0" t="s">
        <v>2311</v>
      </c>
      <c r="AE181" s="0" t="s">
        <v>2312</v>
      </c>
      <c r="AF181" s="0" t="s">
        <v>4464</v>
      </c>
      <c r="AG181" s="0" t="s">
        <v>4465</v>
      </c>
      <c r="AH181" s="0" t="s">
        <v>4464</v>
      </c>
      <c r="AI181" s="0" t="s">
        <v>3721</v>
      </c>
      <c r="AJ181" s="0" t="s">
        <v>228</v>
      </c>
      <c r="AK181" s="0" t="s">
        <v>228</v>
      </c>
      <c r="AL181" s="0" t="s">
        <v>228</v>
      </c>
      <c r="AM181" s="0" t="s">
        <v>228</v>
      </c>
      <c r="AN181" s="0" t="s">
        <v>228</v>
      </c>
      <c r="AO181" s="0" t="s">
        <v>228</v>
      </c>
      <c r="AP181" s="0" t="s">
        <v>228</v>
      </c>
      <c r="AQ181" s="0" t="s">
        <v>228</v>
      </c>
      <c r="AR181" s="0" t="s">
        <v>228</v>
      </c>
      <c r="AS181" s="0" t="s">
        <v>228</v>
      </c>
      <c r="AT181" s="0" t="s">
        <v>228</v>
      </c>
      <c r="AU181" s="0" t="s">
        <v>228</v>
      </c>
      <c r="AV181" s="0" t="s">
        <v>228</v>
      </c>
      <c r="AW181" s="0" t="s">
        <v>228</v>
      </c>
      <c r="AX181" s="0" t="s">
        <v>228</v>
      </c>
      <c r="AY181" s="0" t="s">
        <v>228</v>
      </c>
      <c r="AZ181" s="0" t="s">
        <v>228</v>
      </c>
      <c r="BA181" s="0" t="s">
        <v>228</v>
      </c>
      <c r="BB181" s="0" t="s">
        <v>228</v>
      </c>
      <c r="BC181" s="0" t="s">
        <v>228</v>
      </c>
      <c r="BD181" s="0" t="s">
        <v>228</v>
      </c>
      <c r="BE181" s="0" t="s">
        <v>3722</v>
      </c>
      <c r="BF181" s="0" t="s">
        <v>3722</v>
      </c>
      <c r="BG181" s="0" t="s">
        <v>111</v>
      </c>
      <c r="BH181" s="0" t="s">
        <v>3665</v>
      </c>
      <c r="BI181" s="0" t="s">
        <v>122</v>
      </c>
      <c r="BJ181" s="0" t="s">
        <v>228</v>
      </c>
      <c r="BK181" s="0" t="s">
        <v>3684</v>
      </c>
      <c r="BL181" s="0" t="s">
        <v>2311</v>
      </c>
      <c r="BM181" s="0" t="s">
        <v>2311</v>
      </c>
      <c r="BN181" s="0" t="s">
        <v>3723</v>
      </c>
      <c r="BO181" s="0" t="s">
        <v>4464</v>
      </c>
      <c r="BP181" s="0" t="s">
        <v>4466</v>
      </c>
      <c r="BQ181" s="0" t="s">
        <v>4467</v>
      </c>
      <c r="BR181" s="0" t="s">
        <v>3926</v>
      </c>
      <c r="BS181" s="0" t="s">
        <v>228</v>
      </c>
      <c r="BT181" s="0" t="s">
        <v>3727</v>
      </c>
      <c r="BU181" s="0" t="s">
        <v>4468</v>
      </c>
      <c r="BV181" s="0" t="s">
        <v>4468</v>
      </c>
      <c r="BW181" s="0" t="s">
        <v>3674</v>
      </c>
      <c r="BX181" s="0" t="s">
        <v>3674</v>
      </c>
      <c r="BY181" s="0" t="s">
        <v>3674</v>
      </c>
      <c r="BZ181" s="0" t="s">
        <v>3674</v>
      </c>
      <c r="CA181" s="0" t="s">
        <v>3674</v>
      </c>
      <c r="CB181" s="0" t="s">
        <v>228</v>
      </c>
      <c r="CC181" s="0" t="s">
        <v>228</v>
      </c>
      <c r="CD181" s="0" t="s">
        <v>228</v>
      </c>
      <c r="CE181" s="0" t="s">
        <v>228</v>
      </c>
      <c r="CF181" s="0" t="s">
        <v>228</v>
      </c>
      <c r="CG181" s="0" t="s">
        <v>3674</v>
      </c>
      <c r="CH181" s="0" t="s">
        <v>228</v>
      </c>
      <c r="CI181" s="0" t="s">
        <v>228</v>
      </c>
      <c r="CJ181" s="0" t="s">
        <v>228</v>
      </c>
      <c r="CK181" s="0" t="s">
        <v>228</v>
      </c>
      <c r="CL181" s="0" t="s">
        <v>228</v>
      </c>
      <c r="CM181" s="0" t="s">
        <v>4468</v>
      </c>
      <c r="CN181" s="0" t="s">
        <v>4468</v>
      </c>
      <c r="CO181" s="0" t="s">
        <v>228</v>
      </c>
      <c r="CP181" s="0" t="s">
        <v>228</v>
      </c>
      <c r="CQ181" s="0" t="s">
        <v>228</v>
      </c>
      <c r="CR181" s="0" t="s">
        <v>228</v>
      </c>
      <c r="CS181" s="0" t="s">
        <v>3582</v>
      </c>
      <c r="CT181" s="0" t="s">
        <v>3568</v>
      </c>
      <c r="CU181" s="0" t="s">
        <v>3569</v>
      </c>
      <c r="CV181" s="0" t="s">
        <v>418</v>
      </c>
      <c r="CW181" s="0" t="s">
        <v>3584</v>
      </c>
      <c r="CX181" s="0" t="s">
        <v>419</v>
      </c>
      <c r="CY181" s="0" t="s">
        <v>418</v>
      </c>
      <c r="CZ181" s="0" t="s">
        <v>3585</v>
      </c>
      <c r="DA181" s="0" t="s">
        <v>3586</v>
      </c>
      <c r="DB181" s="0" t="s">
        <v>3584</v>
      </c>
      <c r="DC181" s="0" t="s">
        <v>362</v>
      </c>
      <c r="DD181" s="0" t="s">
        <v>3572</v>
      </c>
      <c r="DE181" s="0" t="s">
        <v>4469</v>
      </c>
    </row>
    <row customHeight="1" ht="11.25">
      <c r="A182" s="1353" t="s">
        <v>228</v>
      </c>
      <c r="B182" s="0" t="s">
        <v>228</v>
      </c>
      <c r="C182" s="0" t="s">
        <v>228</v>
      </c>
      <c r="D182" s="0" t="s">
        <v>228</v>
      </c>
      <c r="E182" s="0" t="s">
        <v>228</v>
      </c>
      <c r="F182" s="0" t="s">
        <v>228</v>
      </c>
      <c r="G182" s="0" t="s">
        <v>228</v>
      </c>
      <c r="H182" s="0" t="s">
        <v>228</v>
      </c>
      <c r="I182" s="0" t="s">
        <v>3555</v>
      </c>
      <c r="J182" s="0" t="s">
        <v>228</v>
      </c>
      <c r="K182" s="0" t="s">
        <v>228</v>
      </c>
      <c r="L182" s="0" t="s">
        <v>228</v>
      </c>
      <c r="M182" s="0" t="s">
        <v>228</v>
      </c>
      <c r="N182" s="0" t="s">
        <v>228</v>
      </c>
      <c r="O182" s="0" t="s">
        <v>228</v>
      </c>
      <c r="P182" s="0" t="s">
        <v>228</v>
      </c>
      <c r="Q182" s="0" t="s">
        <v>228</v>
      </c>
      <c r="R182" s="0" t="s">
        <v>3684</v>
      </c>
      <c r="S182" s="0" t="s">
        <v>228</v>
      </c>
      <c r="T182" s="0" t="s">
        <v>228</v>
      </c>
      <c r="U182" s="0" t="s">
        <v>101</v>
      </c>
      <c r="V182" s="0" t="s">
        <v>228</v>
      </c>
      <c r="W182" s="0" t="s">
        <v>228</v>
      </c>
      <c r="X182" s="0" t="s">
        <v>3557</v>
      </c>
      <c r="Y182" s="0" t="s">
        <v>228</v>
      </c>
      <c r="Z182" s="0" t="s">
        <v>160</v>
      </c>
      <c r="AA182" s="0" t="s">
        <v>151</v>
      </c>
      <c r="AB182" s="0" t="s">
        <v>151</v>
      </c>
      <c r="AC182" s="0" t="s">
        <v>2311</v>
      </c>
      <c r="AD182" s="0" t="s">
        <v>2311</v>
      </c>
      <c r="AE182" s="0" t="s">
        <v>2312</v>
      </c>
      <c r="AF182" s="0" t="s">
        <v>4464</v>
      </c>
      <c r="AG182" s="0" t="s">
        <v>4465</v>
      </c>
      <c r="AH182" s="0" t="s">
        <v>4467</v>
      </c>
      <c r="AI182" s="0" t="s">
        <v>4470</v>
      </c>
      <c r="AJ182" s="0" t="s">
        <v>3579</v>
      </c>
      <c r="AK182" s="0" t="s">
        <v>3580</v>
      </c>
      <c r="AL182" s="0" t="s">
        <v>4196</v>
      </c>
      <c r="AM182" s="0" t="s">
        <v>3565</v>
      </c>
      <c r="AN182" s="0" t="s">
        <v>3582</v>
      </c>
      <c r="AO182" s="0" t="s">
        <v>3695</v>
      </c>
      <c r="AP182" s="0" t="s">
        <v>228</v>
      </c>
      <c r="AQ182" s="0" t="s">
        <v>228</v>
      </c>
      <c r="AR182" s="0" t="s">
        <v>228</v>
      </c>
      <c r="AS182" s="0" t="s">
        <v>228</v>
      </c>
      <c r="AT182" s="0" t="s">
        <v>228</v>
      </c>
      <c r="AU182" s="0" t="s">
        <v>228</v>
      </c>
      <c r="AV182" s="0" t="s">
        <v>228</v>
      </c>
      <c r="AW182" s="0" t="s">
        <v>228</v>
      </c>
      <c r="AX182" s="0" t="s">
        <v>228</v>
      </c>
      <c r="AY182" s="0" t="s">
        <v>228</v>
      </c>
      <c r="AZ182" s="0" t="s">
        <v>228</v>
      </c>
      <c r="BA182" s="0" t="s">
        <v>228</v>
      </c>
      <c r="BB182" s="0" t="s">
        <v>228</v>
      </c>
      <c r="BC182" s="0" t="s">
        <v>228</v>
      </c>
      <c r="BD182" s="0" t="s">
        <v>228</v>
      </c>
      <c r="BE182" s="0" t="s">
        <v>228</v>
      </c>
      <c r="BF182" s="0" t="s">
        <v>228</v>
      </c>
      <c r="BG182" s="0" t="s">
        <v>228</v>
      </c>
      <c r="BH182" s="0" t="s">
        <v>228</v>
      </c>
      <c r="BI182" s="0" t="s">
        <v>228</v>
      </c>
      <c r="BJ182" s="0" t="s">
        <v>228</v>
      </c>
      <c r="BK182" s="0" t="s">
        <v>228</v>
      </c>
      <c r="BL182" s="0" t="s">
        <v>228</v>
      </c>
      <c r="BM182" s="0" t="s">
        <v>228</v>
      </c>
      <c r="BN182" s="0" t="s">
        <v>228</v>
      </c>
      <c r="BO182" s="0" t="s">
        <v>228</v>
      </c>
      <c r="BP182" s="0" t="s">
        <v>228</v>
      </c>
      <c r="BQ182" s="0" t="s">
        <v>228</v>
      </c>
      <c r="BR182" s="0" t="s">
        <v>228</v>
      </c>
      <c r="BS182" s="0" t="s">
        <v>228</v>
      </c>
      <c r="BT182" s="0" t="s">
        <v>228</v>
      </c>
      <c r="BU182" s="0" t="s">
        <v>228</v>
      </c>
      <c r="BV182" s="0" t="s">
        <v>228</v>
      </c>
      <c r="BW182" s="0" t="s">
        <v>228</v>
      </c>
      <c r="BX182" s="0" t="s">
        <v>228</v>
      </c>
      <c r="BY182" s="0" t="s">
        <v>228</v>
      </c>
      <c r="BZ182" s="0" t="s">
        <v>228</v>
      </c>
      <c r="CA182" s="0" t="s">
        <v>228</v>
      </c>
      <c r="CB182" s="0" t="s">
        <v>228</v>
      </c>
      <c r="CC182" s="0" t="s">
        <v>228</v>
      </c>
      <c r="CD182" s="0" t="s">
        <v>228</v>
      </c>
      <c r="CE182" s="0" t="s">
        <v>228</v>
      </c>
      <c r="CF182" s="0" t="s">
        <v>228</v>
      </c>
      <c r="CG182" s="0" t="s">
        <v>228</v>
      </c>
      <c r="CH182" s="0" t="s">
        <v>228</v>
      </c>
      <c r="CI182" s="0" t="s">
        <v>228</v>
      </c>
      <c r="CJ182" s="0" t="s">
        <v>228</v>
      </c>
      <c r="CK182" s="0" t="s">
        <v>228</v>
      </c>
      <c r="CL182" s="0" t="s">
        <v>228</v>
      </c>
      <c r="CM182" s="0" t="s">
        <v>228</v>
      </c>
      <c r="CN182" s="0" t="s">
        <v>228</v>
      </c>
      <c r="CO182" s="0" t="s">
        <v>228</v>
      </c>
      <c r="CP182" s="0" t="s">
        <v>228</v>
      </c>
      <c r="CQ182" s="0" t="s">
        <v>228</v>
      </c>
      <c r="CR182" s="0" t="s">
        <v>228</v>
      </c>
      <c r="CS182" s="0" t="s">
        <v>228</v>
      </c>
      <c r="CT182" s="0" t="s">
        <v>3568</v>
      </c>
      <c r="CU182" s="0" t="s">
        <v>3569</v>
      </c>
      <c r="CV182" s="0" t="s">
        <v>418</v>
      </c>
      <c r="CW182" s="0" t="s">
        <v>3584</v>
      </c>
      <c r="CX182" s="0" t="s">
        <v>419</v>
      </c>
      <c r="CY182" s="0" t="s">
        <v>418</v>
      </c>
      <c r="CZ182" s="0" t="s">
        <v>3585</v>
      </c>
      <c r="DA182" s="0" t="s">
        <v>3586</v>
      </c>
      <c r="DB182" s="0" t="s">
        <v>3584</v>
      </c>
      <c r="DC182" s="0" t="s">
        <v>362</v>
      </c>
      <c r="DD182" s="0" t="s">
        <v>3572</v>
      </c>
      <c r="DE182" s="0" t="s">
        <v>4471</v>
      </c>
    </row>
    <row customHeight="1" ht="11.25">
      <c r="A183" s="1353" t="s">
        <v>228</v>
      </c>
      <c r="B183" s="0" t="s">
        <v>228</v>
      </c>
      <c r="C183" s="0" t="s">
        <v>228</v>
      </c>
      <c r="D183" s="0" t="s">
        <v>228</v>
      </c>
      <c r="E183" s="0" t="s">
        <v>228</v>
      </c>
      <c r="F183" s="0" t="s">
        <v>228</v>
      </c>
      <c r="G183" s="0" t="s">
        <v>228</v>
      </c>
      <c r="H183" s="0" t="s">
        <v>228</v>
      </c>
      <c r="I183" s="0" t="s">
        <v>3555</v>
      </c>
      <c r="J183" s="0" t="s">
        <v>228</v>
      </c>
      <c r="K183" s="0" t="s">
        <v>228</v>
      </c>
      <c r="L183" s="0" t="s">
        <v>228</v>
      </c>
      <c r="M183" s="0" t="s">
        <v>228</v>
      </c>
      <c r="N183" s="0" t="s">
        <v>228</v>
      </c>
      <c r="O183" s="0" t="s">
        <v>228</v>
      </c>
      <c r="P183" s="0" t="s">
        <v>228</v>
      </c>
      <c r="Q183" s="0" t="s">
        <v>228</v>
      </c>
      <c r="R183" s="0" t="s">
        <v>3648</v>
      </c>
      <c r="S183" s="0" t="s">
        <v>228</v>
      </c>
      <c r="T183" s="0" t="s">
        <v>228</v>
      </c>
      <c r="U183" s="0" t="s">
        <v>101</v>
      </c>
      <c r="V183" s="0" t="s">
        <v>228</v>
      </c>
      <c r="W183" s="0" t="s">
        <v>228</v>
      </c>
      <c r="X183" s="0" t="s">
        <v>3557</v>
      </c>
      <c r="Y183" s="0" t="s">
        <v>228</v>
      </c>
      <c r="Z183" s="0" t="s">
        <v>160</v>
      </c>
      <c r="AA183" s="0" t="s">
        <v>151</v>
      </c>
      <c r="AB183" s="0" t="s">
        <v>151</v>
      </c>
      <c r="AC183" s="0" t="s">
        <v>2317</v>
      </c>
      <c r="AD183" s="0" t="s">
        <v>2317</v>
      </c>
      <c r="AE183" s="0" t="s">
        <v>2318</v>
      </c>
      <c r="AF183" s="0" t="s">
        <v>3963</v>
      </c>
      <c r="AG183" s="0" t="s">
        <v>3964</v>
      </c>
      <c r="AH183" s="0" t="s">
        <v>4472</v>
      </c>
      <c r="AI183" s="0" t="s">
        <v>3694</v>
      </c>
      <c r="AJ183" s="0" t="s">
        <v>3579</v>
      </c>
      <c r="AK183" s="0" t="s">
        <v>3627</v>
      </c>
      <c r="AL183" s="0" t="s">
        <v>3581</v>
      </c>
      <c r="AM183" s="0" t="s">
        <v>3565</v>
      </c>
      <c r="AN183" s="0" t="s">
        <v>3563</v>
      </c>
      <c r="AO183" s="0" t="s">
        <v>4473</v>
      </c>
      <c r="AP183" s="0" t="s">
        <v>228</v>
      </c>
      <c r="AQ183" s="0" t="s">
        <v>228</v>
      </c>
      <c r="AR183" s="0" t="s">
        <v>228</v>
      </c>
      <c r="AS183" s="0" t="s">
        <v>228</v>
      </c>
      <c r="AT183" s="0" t="s">
        <v>228</v>
      </c>
      <c r="AU183" s="0" t="s">
        <v>228</v>
      </c>
      <c r="AV183" s="0" t="s">
        <v>228</v>
      </c>
      <c r="AW183" s="0" t="s">
        <v>228</v>
      </c>
      <c r="AX183" s="0" t="s">
        <v>228</v>
      </c>
      <c r="AY183" s="0" t="s">
        <v>228</v>
      </c>
      <c r="AZ183" s="0" t="s">
        <v>228</v>
      </c>
      <c r="BA183" s="0" t="s">
        <v>228</v>
      </c>
      <c r="BB183" s="0" t="s">
        <v>228</v>
      </c>
      <c r="BC183" s="0" t="s">
        <v>228</v>
      </c>
      <c r="BD183" s="0" t="s">
        <v>228</v>
      </c>
      <c r="BE183" s="0" t="s">
        <v>228</v>
      </c>
      <c r="BF183" s="0" t="s">
        <v>228</v>
      </c>
      <c r="BG183" s="0" t="s">
        <v>228</v>
      </c>
      <c r="BH183" s="0" t="s">
        <v>228</v>
      </c>
      <c r="BI183" s="0" t="s">
        <v>228</v>
      </c>
      <c r="BJ183" s="0" t="s">
        <v>228</v>
      </c>
      <c r="BK183" s="0" t="s">
        <v>228</v>
      </c>
      <c r="BL183" s="0" t="s">
        <v>228</v>
      </c>
      <c r="BM183" s="0" t="s">
        <v>228</v>
      </c>
      <c r="BN183" s="0" t="s">
        <v>228</v>
      </c>
      <c r="BO183" s="0" t="s">
        <v>228</v>
      </c>
      <c r="BP183" s="0" t="s">
        <v>228</v>
      </c>
      <c r="BQ183" s="0" t="s">
        <v>228</v>
      </c>
      <c r="BR183" s="0" t="s">
        <v>228</v>
      </c>
      <c r="BS183" s="0" t="s">
        <v>228</v>
      </c>
      <c r="BT183" s="0" t="s">
        <v>228</v>
      </c>
      <c r="BU183" s="0" t="s">
        <v>228</v>
      </c>
      <c r="BV183" s="0" t="s">
        <v>228</v>
      </c>
      <c r="BW183" s="0" t="s">
        <v>228</v>
      </c>
      <c r="BX183" s="0" t="s">
        <v>228</v>
      </c>
      <c r="BY183" s="0" t="s">
        <v>228</v>
      </c>
      <c r="BZ183" s="0" t="s">
        <v>228</v>
      </c>
      <c r="CA183" s="0" t="s">
        <v>228</v>
      </c>
      <c r="CB183" s="0" t="s">
        <v>228</v>
      </c>
      <c r="CC183" s="0" t="s">
        <v>228</v>
      </c>
      <c r="CD183" s="0" t="s">
        <v>228</v>
      </c>
      <c r="CE183" s="0" t="s">
        <v>228</v>
      </c>
      <c r="CF183" s="0" t="s">
        <v>228</v>
      </c>
      <c r="CG183" s="0" t="s">
        <v>228</v>
      </c>
      <c r="CH183" s="0" t="s">
        <v>228</v>
      </c>
      <c r="CI183" s="0" t="s">
        <v>228</v>
      </c>
      <c r="CJ183" s="0" t="s">
        <v>228</v>
      </c>
      <c r="CK183" s="0" t="s">
        <v>228</v>
      </c>
      <c r="CL183" s="0" t="s">
        <v>228</v>
      </c>
      <c r="CM183" s="0" t="s">
        <v>228</v>
      </c>
      <c r="CN183" s="0" t="s">
        <v>228</v>
      </c>
      <c r="CO183" s="0" t="s">
        <v>228</v>
      </c>
      <c r="CP183" s="0" t="s">
        <v>228</v>
      </c>
      <c r="CQ183" s="0" t="s">
        <v>228</v>
      </c>
      <c r="CR183" s="0" t="s">
        <v>228</v>
      </c>
      <c r="CS183" s="0" t="s">
        <v>228</v>
      </c>
      <c r="CT183" s="0" t="s">
        <v>3568</v>
      </c>
      <c r="CU183" s="0" t="s">
        <v>3569</v>
      </c>
      <c r="CV183" s="0" t="s">
        <v>418</v>
      </c>
      <c r="CW183" s="0" t="s">
        <v>3622</v>
      </c>
      <c r="CX183" s="0" t="s">
        <v>419</v>
      </c>
      <c r="CY183" s="0" t="s">
        <v>418</v>
      </c>
      <c r="CZ183" s="0" t="s">
        <v>3623</v>
      </c>
      <c r="DA183" s="0" t="s">
        <v>3624</v>
      </c>
      <c r="DB183" s="0" t="s">
        <v>3622</v>
      </c>
      <c r="DC183" s="0" t="s">
        <v>362</v>
      </c>
      <c r="DD183" s="0" t="s">
        <v>3572</v>
      </c>
      <c r="DE183" s="0" t="s">
        <v>4474</v>
      </c>
    </row>
    <row customHeight="1" ht="11.25">
      <c r="A184" s="1353" t="s">
        <v>228</v>
      </c>
      <c r="B184" s="0" t="s">
        <v>228</v>
      </c>
      <c r="C184" s="0" t="s">
        <v>228</v>
      </c>
      <c r="D184" s="0" t="s">
        <v>228</v>
      </c>
      <c r="E184" s="0" t="s">
        <v>228</v>
      </c>
      <c r="F184" s="0" t="s">
        <v>228</v>
      </c>
      <c r="G184" s="0" t="s">
        <v>228</v>
      </c>
      <c r="H184" s="0" t="s">
        <v>228</v>
      </c>
      <c r="I184" s="0" t="s">
        <v>3555</v>
      </c>
      <c r="J184" s="0" t="s">
        <v>228</v>
      </c>
      <c r="K184" s="0" t="s">
        <v>228</v>
      </c>
      <c r="L184" s="0" t="s">
        <v>228</v>
      </c>
      <c r="M184" s="0" t="s">
        <v>228</v>
      </c>
      <c r="N184" s="0" t="s">
        <v>228</v>
      </c>
      <c r="O184" s="0" t="s">
        <v>228</v>
      </c>
      <c r="P184" s="0" t="s">
        <v>228</v>
      </c>
      <c r="Q184" s="0" t="s">
        <v>228</v>
      </c>
      <c r="R184" s="0" t="s">
        <v>4475</v>
      </c>
      <c r="S184" s="0" t="s">
        <v>228</v>
      </c>
      <c r="T184" s="0" t="s">
        <v>228</v>
      </c>
      <c r="U184" s="0" t="s">
        <v>101</v>
      </c>
      <c r="V184" s="0" t="s">
        <v>228</v>
      </c>
      <c r="W184" s="0" t="s">
        <v>228</v>
      </c>
      <c r="X184" s="0" t="s">
        <v>3557</v>
      </c>
      <c r="Y184" s="0" t="s">
        <v>228</v>
      </c>
      <c r="Z184" s="0" t="s">
        <v>160</v>
      </c>
      <c r="AA184" s="0" t="s">
        <v>151</v>
      </c>
      <c r="AB184" s="0" t="s">
        <v>151</v>
      </c>
      <c r="AC184" s="0" t="s">
        <v>2721</v>
      </c>
      <c r="AD184" s="0" t="s">
        <v>2721</v>
      </c>
      <c r="AE184" s="0" t="s">
        <v>2722</v>
      </c>
      <c r="AF184" s="0" t="s">
        <v>4024</v>
      </c>
      <c r="AG184" s="0" t="s">
        <v>4025</v>
      </c>
      <c r="AH184" s="0" t="s">
        <v>4345</v>
      </c>
      <c r="AI184" s="0" t="s">
        <v>151</v>
      </c>
      <c r="AJ184" s="0" t="s">
        <v>3620</v>
      </c>
      <c r="AK184" s="0" t="s">
        <v>4476</v>
      </c>
      <c r="AL184" s="0" t="s">
        <v>3646</v>
      </c>
      <c r="AM184" s="0" t="s">
        <v>3565</v>
      </c>
      <c r="AN184" s="0" t="s">
        <v>4477</v>
      </c>
      <c r="AO184" s="0" t="s">
        <v>4478</v>
      </c>
      <c r="AP184" s="0" t="s">
        <v>228</v>
      </c>
      <c r="AQ184" s="0" t="s">
        <v>228</v>
      </c>
      <c r="AR184" s="0" t="s">
        <v>228</v>
      </c>
      <c r="AS184" s="0" t="s">
        <v>228</v>
      </c>
      <c r="AT184" s="0" t="s">
        <v>228</v>
      </c>
      <c r="AU184" s="0" t="s">
        <v>228</v>
      </c>
      <c r="AV184" s="0" t="s">
        <v>228</v>
      </c>
      <c r="AW184" s="0" t="s">
        <v>228</v>
      </c>
      <c r="AX184" s="0" t="s">
        <v>228</v>
      </c>
      <c r="AY184" s="0" t="s">
        <v>228</v>
      </c>
      <c r="AZ184" s="0" t="s">
        <v>228</v>
      </c>
      <c r="BA184" s="0" t="s">
        <v>228</v>
      </c>
      <c r="BB184" s="0" t="s">
        <v>228</v>
      </c>
      <c r="BC184" s="0" t="s">
        <v>228</v>
      </c>
      <c r="BD184" s="0" t="s">
        <v>228</v>
      </c>
      <c r="BE184" s="0" t="s">
        <v>228</v>
      </c>
      <c r="BF184" s="0" t="s">
        <v>228</v>
      </c>
      <c r="BG184" s="0" t="s">
        <v>228</v>
      </c>
      <c r="BH184" s="0" t="s">
        <v>228</v>
      </c>
      <c r="BI184" s="0" t="s">
        <v>228</v>
      </c>
      <c r="BJ184" s="0" t="s">
        <v>228</v>
      </c>
      <c r="BK184" s="0" t="s">
        <v>228</v>
      </c>
      <c r="BL184" s="0" t="s">
        <v>228</v>
      </c>
      <c r="BM184" s="0" t="s">
        <v>228</v>
      </c>
      <c r="BN184" s="0" t="s">
        <v>228</v>
      </c>
      <c r="BO184" s="0" t="s">
        <v>228</v>
      </c>
      <c r="BP184" s="0" t="s">
        <v>228</v>
      </c>
      <c r="BQ184" s="0" t="s">
        <v>228</v>
      </c>
      <c r="BR184" s="0" t="s">
        <v>228</v>
      </c>
      <c r="BS184" s="0" t="s">
        <v>228</v>
      </c>
      <c r="BT184" s="0" t="s">
        <v>228</v>
      </c>
      <c r="BU184" s="0" t="s">
        <v>228</v>
      </c>
      <c r="BV184" s="0" t="s">
        <v>228</v>
      </c>
      <c r="BW184" s="0" t="s">
        <v>228</v>
      </c>
      <c r="BX184" s="0" t="s">
        <v>228</v>
      </c>
      <c r="BY184" s="0" t="s">
        <v>228</v>
      </c>
      <c r="BZ184" s="0" t="s">
        <v>228</v>
      </c>
      <c r="CA184" s="0" t="s">
        <v>228</v>
      </c>
      <c r="CB184" s="0" t="s">
        <v>228</v>
      </c>
      <c r="CC184" s="0" t="s">
        <v>228</v>
      </c>
      <c r="CD184" s="0" t="s">
        <v>228</v>
      </c>
      <c r="CE184" s="0" t="s">
        <v>228</v>
      </c>
      <c r="CF184" s="0" t="s">
        <v>228</v>
      </c>
      <c r="CG184" s="0" t="s">
        <v>228</v>
      </c>
      <c r="CH184" s="0" t="s">
        <v>228</v>
      </c>
      <c r="CI184" s="0" t="s">
        <v>228</v>
      </c>
      <c r="CJ184" s="0" t="s">
        <v>228</v>
      </c>
      <c r="CK184" s="0" t="s">
        <v>228</v>
      </c>
      <c r="CL184" s="0" t="s">
        <v>228</v>
      </c>
      <c r="CM184" s="0" t="s">
        <v>228</v>
      </c>
      <c r="CN184" s="0" t="s">
        <v>228</v>
      </c>
      <c r="CO184" s="0" t="s">
        <v>228</v>
      </c>
      <c r="CP184" s="0" t="s">
        <v>228</v>
      </c>
      <c r="CQ184" s="0" t="s">
        <v>228</v>
      </c>
      <c r="CR184" s="0" t="s">
        <v>228</v>
      </c>
      <c r="CS184" s="0" t="s">
        <v>228</v>
      </c>
      <c r="CT184" s="0" t="s">
        <v>3568</v>
      </c>
      <c r="CU184" s="0" t="s">
        <v>3569</v>
      </c>
      <c r="CV184" s="0" t="s">
        <v>4030</v>
      </c>
      <c r="CW184" s="0" t="s">
        <v>4031</v>
      </c>
      <c r="CX184" s="0" t="s">
        <v>3603</v>
      </c>
      <c r="CY184" s="0" t="s">
        <v>4030</v>
      </c>
      <c r="CZ184" s="0" t="s">
        <v>3608</v>
      </c>
      <c r="DA184" s="0" t="s">
        <v>4032</v>
      </c>
      <c r="DB184" s="0" t="s">
        <v>3676</v>
      </c>
      <c r="DC184" s="0" t="s">
        <v>362</v>
      </c>
      <c r="DD184" s="0" t="s">
        <v>3572</v>
      </c>
      <c r="DE184" s="0" t="s">
        <v>4479</v>
      </c>
    </row>
    <row customHeight="1" ht="11.25">
      <c r="A185" s="1353" t="s">
        <v>228</v>
      </c>
      <c r="B185" s="0" t="s">
        <v>228</v>
      </c>
      <c r="C185" s="0" t="s">
        <v>228</v>
      </c>
      <c r="D185" s="0" t="s">
        <v>228</v>
      </c>
      <c r="E185" s="0" t="s">
        <v>228</v>
      </c>
      <c r="F185" s="0" t="s">
        <v>228</v>
      </c>
      <c r="G185" s="0" t="s">
        <v>228</v>
      </c>
      <c r="H185" s="0" t="s">
        <v>228</v>
      </c>
      <c r="I185" s="0" t="s">
        <v>3555</v>
      </c>
      <c r="J185" s="0" t="s">
        <v>228</v>
      </c>
      <c r="K185" s="0" t="s">
        <v>228</v>
      </c>
      <c r="L185" s="0" t="s">
        <v>228</v>
      </c>
      <c r="M185" s="0" t="s">
        <v>228</v>
      </c>
      <c r="N185" s="0" t="s">
        <v>228</v>
      </c>
      <c r="O185" s="0" t="s">
        <v>228</v>
      </c>
      <c r="P185" s="0" t="s">
        <v>228</v>
      </c>
      <c r="Q185" s="0" t="s">
        <v>228</v>
      </c>
      <c r="R185" s="0" t="s">
        <v>4480</v>
      </c>
      <c r="S185" s="0" t="s">
        <v>228</v>
      </c>
      <c r="T185" s="0" t="s">
        <v>228</v>
      </c>
      <c r="U185" s="0" t="s">
        <v>101</v>
      </c>
      <c r="V185" s="0" t="s">
        <v>228</v>
      </c>
      <c r="W185" s="0" t="s">
        <v>228</v>
      </c>
      <c r="X185" s="0" t="s">
        <v>3557</v>
      </c>
      <c r="Y185" s="0" t="s">
        <v>228</v>
      </c>
      <c r="Z185" s="0" t="s">
        <v>160</v>
      </c>
      <c r="AA185" s="0" t="s">
        <v>151</v>
      </c>
      <c r="AB185" s="0" t="s">
        <v>151</v>
      </c>
      <c r="AC185" s="0" t="s">
        <v>2317</v>
      </c>
      <c r="AD185" s="0" t="s">
        <v>2317</v>
      </c>
      <c r="AE185" s="0" t="s">
        <v>2318</v>
      </c>
      <c r="AF185" s="0" t="s">
        <v>3963</v>
      </c>
      <c r="AG185" s="0" t="s">
        <v>3964</v>
      </c>
      <c r="AH185" s="0" t="s">
        <v>4472</v>
      </c>
      <c r="AI185" s="0" t="s">
        <v>3771</v>
      </c>
      <c r="AJ185" s="0" t="s">
        <v>3627</v>
      </c>
      <c r="AK185" s="0" t="s">
        <v>3853</v>
      </c>
      <c r="AL185" s="0" t="s">
        <v>3581</v>
      </c>
      <c r="AM185" s="0" t="s">
        <v>3565</v>
      </c>
      <c r="AN185" s="0" t="s">
        <v>3628</v>
      </c>
      <c r="AO185" s="0" t="s">
        <v>3567</v>
      </c>
      <c r="AP185" s="0" t="s">
        <v>228</v>
      </c>
      <c r="AQ185" s="0" t="s">
        <v>228</v>
      </c>
      <c r="AR185" s="0" t="s">
        <v>228</v>
      </c>
      <c r="AS185" s="0" t="s">
        <v>228</v>
      </c>
      <c r="AT185" s="0" t="s">
        <v>228</v>
      </c>
      <c r="AU185" s="0" t="s">
        <v>228</v>
      </c>
      <c r="AV185" s="0" t="s">
        <v>228</v>
      </c>
      <c r="AW185" s="0" t="s">
        <v>228</v>
      </c>
      <c r="AX185" s="0" t="s">
        <v>228</v>
      </c>
      <c r="AY185" s="0" t="s">
        <v>228</v>
      </c>
      <c r="AZ185" s="0" t="s">
        <v>228</v>
      </c>
      <c r="BA185" s="0" t="s">
        <v>228</v>
      </c>
      <c r="BB185" s="0" t="s">
        <v>228</v>
      </c>
      <c r="BC185" s="0" t="s">
        <v>228</v>
      </c>
      <c r="BD185" s="0" t="s">
        <v>228</v>
      </c>
      <c r="BE185" s="0" t="s">
        <v>228</v>
      </c>
      <c r="BF185" s="0" t="s">
        <v>228</v>
      </c>
      <c r="BG185" s="0" t="s">
        <v>228</v>
      </c>
      <c r="BH185" s="0" t="s">
        <v>228</v>
      </c>
      <c r="BI185" s="0" t="s">
        <v>228</v>
      </c>
      <c r="BJ185" s="0" t="s">
        <v>228</v>
      </c>
      <c r="BK185" s="0" t="s">
        <v>228</v>
      </c>
      <c r="BL185" s="0" t="s">
        <v>228</v>
      </c>
      <c r="BM185" s="0" t="s">
        <v>228</v>
      </c>
      <c r="BN185" s="0" t="s">
        <v>228</v>
      </c>
      <c r="BO185" s="0" t="s">
        <v>228</v>
      </c>
      <c r="BP185" s="0" t="s">
        <v>228</v>
      </c>
      <c r="BQ185" s="0" t="s">
        <v>228</v>
      </c>
      <c r="BR185" s="0" t="s">
        <v>228</v>
      </c>
      <c r="BS185" s="0" t="s">
        <v>228</v>
      </c>
      <c r="BT185" s="0" t="s">
        <v>228</v>
      </c>
      <c r="BU185" s="0" t="s">
        <v>228</v>
      </c>
      <c r="BV185" s="0" t="s">
        <v>228</v>
      </c>
      <c r="BW185" s="0" t="s">
        <v>228</v>
      </c>
      <c r="BX185" s="0" t="s">
        <v>228</v>
      </c>
      <c r="BY185" s="0" t="s">
        <v>228</v>
      </c>
      <c r="BZ185" s="0" t="s">
        <v>228</v>
      </c>
      <c r="CA185" s="0" t="s">
        <v>228</v>
      </c>
      <c r="CB185" s="0" t="s">
        <v>228</v>
      </c>
      <c r="CC185" s="0" t="s">
        <v>228</v>
      </c>
      <c r="CD185" s="0" t="s">
        <v>228</v>
      </c>
      <c r="CE185" s="0" t="s">
        <v>228</v>
      </c>
      <c r="CF185" s="0" t="s">
        <v>228</v>
      </c>
      <c r="CG185" s="0" t="s">
        <v>228</v>
      </c>
      <c r="CH185" s="0" t="s">
        <v>228</v>
      </c>
      <c r="CI185" s="0" t="s">
        <v>228</v>
      </c>
      <c r="CJ185" s="0" t="s">
        <v>228</v>
      </c>
      <c r="CK185" s="0" t="s">
        <v>228</v>
      </c>
      <c r="CL185" s="0" t="s">
        <v>228</v>
      </c>
      <c r="CM185" s="0" t="s">
        <v>228</v>
      </c>
      <c r="CN185" s="0" t="s">
        <v>228</v>
      </c>
      <c r="CO185" s="0" t="s">
        <v>228</v>
      </c>
      <c r="CP185" s="0" t="s">
        <v>228</v>
      </c>
      <c r="CQ185" s="0" t="s">
        <v>228</v>
      </c>
      <c r="CR185" s="0" t="s">
        <v>228</v>
      </c>
      <c r="CS185" s="0" t="s">
        <v>228</v>
      </c>
      <c r="CT185" s="0" t="s">
        <v>3568</v>
      </c>
      <c r="CU185" s="0" t="s">
        <v>3569</v>
      </c>
      <c r="CV185" s="0" t="s">
        <v>418</v>
      </c>
      <c r="CW185" s="0" t="s">
        <v>3622</v>
      </c>
      <c r="CX185" s="0" t="s">
        <v>419</v>
      </c>
      <c r="CY185" s="0" t="s">
        <v>418</v>
      </c>
      <c r="CZ185" s="0" t="s">
        <v>3623</v>
      </c>
      <c r="DA185" s="0" t="s">
        <v>3624</v>
      </c>
      <c r="DB185" s="0" t="s">
        <v>3622</v>
      </c>
      <c r="DC185" s="0" t="s">
        <v>362</v>
      </c>
      <c r="DD185" s="0" t="s">
        <v>3572</v>
      </c>
      <c r="DE185" s="0" t="s">
        <v>4481</v>
      </c>
    </row>
    <row customHeight="1" ht="11.25">
      <c r="A186" s="1353" t="s">
        <v>228</v>
      </c>
      <c r="B186" s="0" t="s">
        <v>228</v>
      </c>
      <c r="C186" s="0" t="s">
        <v>228</v>
      </c>
      <c r="D186" s="0" t="s">
        <v>228</v>
      </c>
      <c r="E186" s="0" t="s">
        <v>228</v>
      </c>
      <c r="F186" s="0" t="s">
        <v>228</v>
      </c>
      <c r="G186" s="0" t="s">
        <v>228</v>
      </c>
      <c r="H186" s="0" t="s">
        <v>228</v>
      </c>
      <c r="I186" s="0" t="s">
        <v>3555</v>
      </c>
      <c r="J186" s="0" t="s">
        <v>228</v>
      </c>
      <c r="K186" s="0" t="s">
        <v>228</v>
      </c>
      <c r="L186" s="0" t="s">
        <v>228</v>
      </c>
      <c r="M186" s="0" t="s">
        <v>228</v>
      </c>
      <c r="N186" s="0" t="s">
        <v>228</v>
      </c>
      <c r="O186" s="0" t="s">
        <v>228</v>
      </c>
      <c r="P186" s="0" t="s">
        <v>228</v>
      </c>
      <c r="Q186" s="0" t="s">
        <v>228</v>
      </c>
      <c r="R186" s="0" t="s">
        <v>4482</v>
      </c>
      <c r="S186" s="0" t="s">
        <v>228</v>
      </c>
      <c r="T186" s="0" t="s">
        <v>228</v>
      </c>
      <c r="U186" s="0" t="s">
        <v>101</v>
      </c>
      <c r="V186" s="0" t="s">
        <v>228</v>
      </c>
      <c r="W186" s="0" t="s">
        <v>228</v>
      </c>
      <c r="X186" s="0" t="s">
        <v>3557</v>
      </c>
      <c r="Y186" s="0" t="s">
        <v>228</v>
      </c>
      <c r="Z186" s="0" t="s">
        <v>160</v>
      </c>
      <c r="AA186" s="0" t="s">
        <v>151</v>
      </c>
      <c r="AB186" s="0" t="s">
        <v>151</v>
      </c>
      <c r="AC186" s="0" t="s">
        <v>2317</v>
      </c>
      <c r="AD186" s="0" t="s">
        <v>2317</v>
      </c>
      <c r="AE186" s="0" t="s">
        <v>2318</v>
      </c>
      <c r="AF186" s="0" t="s">
        <v>3907</v>
      </c>
      <c r="AG186" s="0" t="s">
        <v>3908</v>
      </c>
      <c r="AH186" s="0" t="s">
        <v>3965</v>
      </c>
      <c r="AI186" s="0" t="s">
        <v>3771</v>
      </c>
      <c r="AJ186" s="0" t="s">
        <v>3652</v>
      </c>
      <c r="AK186" s="0" t="s">
        <v>3909</v>
      </c>
      <c r="AL186" s="0" t="s">
        <v>3581</v>
      </c>
      <c r="AM186" s="0" t="s">
        <v>3565</v>
      </c>
      <c r="AN186" s="0" t="s">
        <v>3628</v>
      </c>
      <c r="AO186" s="0" t="s">
        <v>3956</v>
      </c>
      <c r="AP186" s="0" t="s">
        <v>228</v>
      </c>
      <c r="AQ186" s="0" t="s">
        <v>228</v>
      </c>
      <c r="AR186" s="0" t="s">
        <v>228</v>
      </c>
      <c r="AS186" s="0" t="s">
        <v>228</v>
      </c>
      <c r="AT186" s="0" t="s">
        <v>228</v>
      </c>
      <c r="AU186" s="0" t="s">
        <v>228</v>
      </c>
      <c r="AV186" s="0" t="s">
        <v>228</v>
      </c>
      <c r="AW186" s="0" t="s">
        <v>228</v>
      </c>
      <c r="AX186" s="0" t="s">
        <v>228</v>
      </c>
      <c r="AY186" s="0" t="s">
        <v>228</v>
      </c>
      <c r="AZ186" s="0" t="s">
        <v>228</v>
      </c>
      <c r="BA186" s="0" t="s">
        <v>228</v>
      </c>
      <c r="BB186" s="0" t="s">
        <v>228</v>
      </c>
      <c r="BC186" s="0" t="s">
        <v>228</v>
      </c>
      <c r="BD186" s="0" t="s">
        <v>228</v>
      </c>
      <c r="BE186" s="0" t="s">
        <v>228</v>
      </c>
      <c r="BF186" s="0" t="s">
        <v>228</v>
      </c>
      <c r="BG186" s="0" t="s">
        <v>228</v>
      </c>
      <c r="BH186" s="0" t="s">
        <v>228</v>
      </c>
      <c r="BI186" s="0" t="s">
        <v>228</v>
      </c>
      <c r="BJ186" s="0" t="s">
        <v>228</v>
      </c>
      <c r="BK186" s="0" t="s">
        <v>228</v>
      </c>
      <c r="BL186" s="0" t="s">
        <v>228</v>
      </c>
      <c r="BM186" s="0" t="s">
        <v>228</v>
      </c>
      <c r="BN186" s="0" t="s">
        <v>228</v>
      </c>
      <c r="BO186" s="0" t="s">
        <v>228</v>
      </c>
      <c r="BP186" s="0" t="s">
        <v>228</v>
      </c>
      <c r="BQ186" s="0" t="s">
        <v>228</v>
      </c>
      <c r="BR186" s="0" t="s">
        <v>228</v>
      </c>
      <c r="BS186" s="0" t="s">
        <v>228</v>
      </c>
      <c r="BT186" s="0" t="s">
        <v>228</v>
      </c>
      <c r="BU186" s="0" t="s">
        <v>228</v>
      </c>
      <c r="BV186" s="0" t="s">
        <v>228</v>
      </c>
      <c r="BW186" s="0" t="s">
        <v>228</v>
      </c>
      <c r="BX186" s="0" t="s">
        <v>228</v>
      </c>
      <c r="BY186" s="0" t="s">
        <v>228</v>
      </c>
      <c r="BZ186" s="0" t="s">
        <v>228</v>
      </c>
      <c r="CA186" s="0" t="s">
        <v>228</v>
      </c>
      <c r="CB186" s="0" t="s">
        <v>228</v>
      </c>
      <c r="CC186" s="0" t="s">
        <v>228</v>
      </c>
      <c r="CD186" s="0" t="s">
        <v>228</v>
      </c>
      <c r="CE186" s="0" t="s">
        <v>228</v>
      </c>
      <c r="CF186" s="0" t="s">
        <v>228</v>
      </c>
      <c r="CG186" s="0" t="s">
        <v>228</v>
      </c>
      <c r="CH186" s="0" t="s">
        <v>228</v>
      </c>
      <c r="CI186" s="0" t="s">
        <v>228</v>
      </c>
      <c r="CJ186" s="0" t="s">
        <v>228</v>
      </c>
      <c r="CK186" s="0" t="s">
        <v>228</v>
      </c>
      <c r="CL186" s="0" t="s">
        <v>228</v>
      </c>
      <c r="CM186" s="0" t="s">
        <v>228</v>
      </c>
      <c r="CN186" s="0" t="s">
        <v>228</v>
      </c>
      <c r="CO186" s="0" t="s">
        <v>228</v>
      </c>
      <c r="CP186" s="0" t="s">
        <v>228</v>
      </c>
      <c r="CQ186" s="0" t="s">
        <v>228</v>
      </c>
      <c r="CR186" s="0" t="s">
        <v>228</v>
      </c>
      <c r="CS186" s="0" t="s">
        <v>228</v>
      </c>
      <c r="CT186" s="0" t="s">
        <v>3568</v>
      </c>
      <c r="CU186" s="0" t="s">
        <v>3569</v>
      </c>
      <c r="CV186" s="0" t="s">
        <v>418</v>
      </c>
      <c r="CW186" s="0" t="s">
        <v>3622</v>
      </c>
      <c r="CX186" s="0" t="s">
        <v>419</v>
      </c>
      <c r="CY186" s="0" t="s">
        <v>418</v>
      </c>
      <c r="CZ186" s="0" t="s">
        <v>3623</v>
      </c>
      <c r="DA186" s="0" t="s">
        <v>3624</v>
      </c>
      <c r="DB186" s="0" t="s">
        <v>3622</v>
      </c>
      <c r="DC186" s="0" t="s">
        <v>362</v>
      </c>
      <c r="DD186" s="0" t="s">
        <v>3572</v>
      </c>
      <c r="DE186" s="0" t="s">
        <v>4483</v>
      </c>
    </row>
    <row customHeight="1" ht="11.25">
      <c r="A187" s="1353" t="s">
        <v>228</v>
      </c>
      <c r="B187" s="0" t="s">
        <v>228</v>
      </c>
      <c r="C187" s="0" t="s">
        <v>228</v>
      </c>
      <c r="D187" s="0" t="s">
        <v>228</v>
      </c>
      <c r="E187" s="0" t="s">
        <v>228</v>
      </c>
      <c r="F187" s="0" t="s">
        <v>228</v>
      </c>
      <c r="G187" s="0" t="s">
        <v>228</v>
      </c>
      <c r="H187" s="0" t="s">
        <v>228</v>
      </c>
      <c r="I187" s="0" t="s">
        <v>3555</v>
      </c>
      <c r="J187" s="0" t="s">
        <v>228</v>
      </c>
      <c r="K187" s="0" t="s">
        <v>228</v>
      </c>
      <c r="L187" s="0" t="s">
        <v>228</v>
      </c>
      <c r="M187" s="0" t="s">
        <v>228</v>
      </c>
      <c r="N187" s="0" t="s">
        <v>228</v>
      </c>
      <c r="O187" s="0" t="s">
        <v>228</v>
      </c>
      <c r="P187" s="0" t="s">
        <v>228</v>
      </c>
      <c r="Q187" s="0" t="s">
        <v>228</v>
      </c>
      <c r="R187" s="0" t="s">
        <v>4484</v>
      </c>
      <c r="S187" s="0" t="s">
        <v>228</v>
      </c>
      <c r="T187" s="0" t="s">
        <v>228</v>
      </c>
      <c r="U187" s="0" t="s">
        <v>101</v>
      </c>
      <c r="V187" s="0" t="s">
        <v>228</v>
      </c>
      <c r="W187" s="0" t="s">
        <v>228</v>
      </c>
      <c r="X187" s="0" t="s">
        <v>3557</v>
      </c>
      <c r="Y187" s="0" t="s">
        <v>228</v>
      </c>
      <c r="Z187" s="0" t="s">
        <v>160</v>
      </c>
      <c r="AA187" s="0" t="s">
        <v>151</v>
      </c>
      <c r="AB187" s="0" t="s">
        <v>151</v>
      </c>
      <c r="AC187" s="0" t="s">
        <v>2317</v>
      </c>
      <c r="AD187" s="0" t="s">
        <v>2317</v>
      </c>
      <c r="AE187" s="0" t="s">
        <v>2318</v>
      </c>
      <c r="AF187" s="0" t="s">
        <v>3907</v>
      </c>
      <c r="AG187" s="0" t="s">
        <v>3908</v>
      </c>
      <c r="AH187" s="0" t="s">
        <v>3965</v>
      </c>
      <c r="AI187" s="0" t="s">
        <v>4485</v>
      </c>
      <c r="AJ187" s="0" t="s">
        <v>3652</v>
      </c>
      <c r="AK187" s="0" t="s">
        <v>3853</v>
      </c>
      <c r="AL187" s="0" t="s">
        <v>3581</v>
      </c>
      <c r="AM187" s="0" t="s">
        <v>3565</v>
      </c>
      <c r="AN187" s="0" t="s">
        <v>3620</v>
      </c>
      <c r="AO187" s="0" t="s">
        <v>3583</v>
      </c>
      <c r="AP187" s="0" t="s">
        <v>228</v>
      </c>
      <c r="AQ187" s="0" t="s">
        <v>228</v>
      </c>
      <c r="AR187" s="0" t="s">
        <v>228</v>
      </c>
      <c r="AS187" s="0" t="s">
        <v>228</v>
      </c>
      <c r="AT187" s="0" t="s">
        <v>228</v>
      </c>
      <c r="AU187" s="0" t="s">
        <v>228</v>
      </c>
      <c r="AV187" s="0" t="s">
        <v>228</v>
      </c>
      <c r="AW187" s="0" t="s">
        <v>228</v>
      </c>
      <c r="AX187" s="0" t="s">
        <v>228</v>
      </c>
      <c r="AY187" s="0" t="s">
        <v>228</v>
      </c>
      <c r="AZ187" s="0" t="s">
        <v>228</v>
      </c>
      <c r="BA187" s="0" t="s">
        <v>228</v>
      </c>
      <c r="BB187" s="0" t="s">
        <v>228</v>
      </c>
      <c r="BC187" s="0" t="s">
        <v>228</v>
      </c>
      <c r="BD187" s="0" t="s">
        <v>228</v>
      </c>
      <c r="BE187" s="0" t="s">
        <v>228</v>
      </c>
      <c r="BF187" s="0" t="s">
        <v>228</v>
      </c>
      <c r="BG187" s="0" t="s">
        <v>228</v>
      </c>
      <c r="BH187" s="0" t="s">
        <v>228</v>
      </c>
      <c r="BI187" s="0" t="s">
        <v>228</v>
      </c>
      <c r="BJ187" s="0" t="s">
        <v>228</v>
      </c>
      <c r="BK187" s="0" t="s">
        <v>228</v>
      </c>
      <c r="BL187" s="0" t="s">
        <v>228</v>
      </c>
      <c r="BM187" s="0" t="s">
        <v>228</v>
      </c>
      <c r="BN187" s="0" t="s">
        <v>228</v>
      </c>
      <c r="BO187" s="0" t="s">
        <v>228</v>
      </c>
      <c r="BP187" s="0" t="s">
        <v>228</v>
      </c>
      <c r="BQ187" s="0" t="s">
        <v>228</v>
      </c>
      <c r="BR187" s="0" t="s">
        <v>228</v>
      </c>
      <c r="BS187" s="0" t="s">
        <v>228</v>
      </c>
      <c r="BT187" s="0" t="s">
        <v>228</v>
      </c>
      <c r="BU187" s="0" t="s">
        <v>228</v>
      </c>
      <c r="BV187" s="0" t="s">
        <v>228</v>
      </c>
      <c r="BW187" s="0" t="s">
        <v>228</v>
      </c>
      <c r="BX187" s="0" t="s">
        <v>228</v>
      </c>
      <c r="BY187" s="0" t="s">
        <v>228</v>
      </c>
      <c r="BZ187" s="0" t="s">
        <v>228</v>
      </c>
      <c r="CA187" s="0" t="s">
        <v>228</v>
      </c>
      <c r="CB187" s="0" t="s">
        <v>228</v>
      </c>
      <c r="CC187" s="0" t="s">
        <v>228</v>
      </c>
      <c r="CD187" s="0" t="s">
        <v>228</v>
      </c>
      <c r="CE187" s="0" t="s">
        <v>228</v>
      </c>
      <c r="CF187" s="0" t="s">
        <v>228</v>
      </c>
      <c r="CG187" s="0" t="s">
        <v>228</v>
      </c>
      <c r="CH187" s="0" t="s">
        <v>228</v>
      </c>
      <c r="CI187" s="0" t="s">
        <v>228</v>
      </c>
      <c r="CJ187" s="0" t="s">
        <v>228</v>
      </c>
      <c r="CK187" s="0" t="s">
        <v>228</v>
      </c>
      <c r="CL187" s="0" t="s">
        <v>228</v>
      </c>
      <c r="CM187" s="0" t="s">
        <v>228</v>
      </c>
      <c r="CN187" s="0" t="s">
        <v>228</v>
      </c>
      <c r="CO187" s="0" t="s">
        <v>228</v>
      </c>
      <c r="CP187" s="0" t="s">
        <v>228</v>
      </c>
      <c r="CQ187" s="0" t="s">
        <v>228</v>
      </c>
      <c r="CR187" s="0" t="s">
        <v>228</v>
      </c>
      <c r="CS187" s="0" t="s">
        <v>228</v>
      </c>
      <c r="CT187" s="0" t="s">
        <v>3568</v>
      </c>
      <c r="CU187" s="0" t="s">
        <v>3569</v>
      </c>
      <c r="CV187" s="0" t="s">
        <v>418</v>
      </c>
      <c r="CW187" s="0" t="s">
        <v>3622</v>
      </c>
      <c r="CX187" s="0" t="s">
        <v>419</v>
      </c>
      <c r="CY187" s="0" t="s">
        <v>418</v>
      </c>
      <c r="CZ187" s="0" t="s">
        <v>3623</v>
      </c>
      <c r="DA187" s="0" t="s">
        <v>3624</v>
      </c>
      <c r="DB187" s="0" t="s">
        <v>3622</v>
      </c>
      <c r="DC187" s="0" t="s">
        <v>362</v>
      </c>
      <c r="DD187" s="0" t="s">
        <v>3572</v>
      </c>
      <c r="DE187" s="0" t="s">
        <v>4486</v>
      </c>
    </row>
    <row customHeight="1" ht="11.25">
      <c r="A188" s="1353" t="s">
        <v>228</v>
      </c>
      <c r="B188" s="0" t="s">
        <v>228</v>
      </c>
      <c r="C188" s="0" t="s">
        <v>228</v>
      </c>
      <c r="D188" s="0" t="s">
        <v>228</v>
      </c>
      <c r="E188" s="0" t="s">
        <v>228</v>
      </c>
      <c r="F188" s="0" t="s">
        <v>228</v>
      </c>
      <c r="G188" s="0" t="s">
        <v>228</v>
      </c>
      <c r="H188" s="0" t="s">
        <v>228</v>
      </c>
      <c r="I188" s="0" t="s">
        <v>3555</v>
      </c>
      <c r="J188" s="0" t="s">
        <v>228</v>
      </c>
      <c r="K188" s="0" t="s">
        <v>228</v>
      </c>
      <c r="L188" s="0" t="s">
        <v>228</v>
      </c>
      <c r="M188" s="0" t="s">
        <v>228</v>
      </c>
      <c r="N188" s="0" t="s">
        <v>228</v>
      </c>
      <c r="O188" s="0" t="s">
        <v>228</v>
      </c>
      <c r="P188" s="0" t="s">
        <v>228</v>
      </c>
      <c r="Q188" s="0" t="s">
        <v>228</v>
      </c>
      <c r="R188" s="0" t="s">
        <v>3648</v>
      </c>
      <c r="S188" s="0" t="s">
        <v>228</v>
      </c>
      <c r="T188" s="0" t="s">
        <v>228</v>
      </c>
      <c r="U188" s="0" t="s">
        <v>101</v>
      </c>
      <c r="V188" s="0" t="s">
        <v>228</v>
      </c>
      <c r="W188" s="0" t="s">
        <v>228</v>
      </c>
      <c r="X188" s="0" t="s">
        <v>3557</v>
      </c>
      <c r="Y188" s="0" t="s">
        <v>228</v>
      </c>
      <c r="Z188" s="0" t="s">
        <v>160</v>
      </c>
      <c r="AA188" s="0" t="s">
        <v>151</v>
      </c>
      <c r="AB188" s="0" t="s">
        <v>151</v>
      </c>
      <c r="AC188" s="0" t="s">
        <v>2317</v>
      </c>
      <c r="AD188" s="0" t="s">
        <v>2317</v>
      </c>
      <c r="AE188" s="0" t="s">
        <v>2318</v>
      </c>
      <c r="AF188" s="0" t="s">
        <v>4487</v>
      </c>
      <c r="AG188" s="0" t="s">
        <v>4488</v>
      </c>
      <c r="AH188" s="0" t="s">
        <v>4489</v>
      </c>
      <c r="AI188" s="0" t="s">
        <v>4276</v>
      </c>
      <c r="AJ188" s="0" t="s">
        <v>3579</v>
      </c>
      <c r="AK188" s="0" t="s">
        <v>3619</v>
      </c>
      <c r="AL188" s="0" t="s">
        <v>3581</v>
      </c>
      <c r="AM188" s="0" t="s">
        <v>3565</v>
      </c>
      <c r="AN188" s="0" t="s">
        <v>3620</v>
      </c>
      <c r="AO188" s="0" t="s">
        <v>4433</v>
      </c>
      <c r="AP188" s="0" t="s">
        <v>228</v>
      </c>
      <c r="AQ188" s="0" t="s">
        <v>228</v>
      </c>
      <c r="AR188" s="0" t="s">
        <v>228</v>
      </c>
      <c r="AS188" s="0" t="s">
        <v>228</v>
      </c>
      <c r="AT188" s="0" t="s">
        <v>228</v>
      </c>
      <c r="AU188" s="0" t="s">
        <v>228</v>
      </c>
      <c r="AV188" s="0" t="s">
        <v>228</v>
      </c>
      <c r="AW188" s="0" t="s">
        <v>228</v>
      </c>
      <c r="AX188" s="0" t="s">
        <v>228</v>
      </c>
      <c r="AY188" s="0" t="s">
        <v>228</v>
      </c>
      <c r="AZ188" s="0" t="s">
        <v>228</v>
      </c>
      <c r="BA188" s="0" t="s">
        <v>228</v>
      </c>
      <c r="BB188" s="0" t="s">
        <v>228</v>
      </c>
      <c r="BC188" s="0" t="s">
        <v>228</v>
      </c>
      <c r="BD188" s="0" t="s">
        <v>228</v>
      </c>
      <c r="BE188" s="0" t="s">
        <v>228</v>
      </c>
      <c r="BF188" s="0" t="s">
        <v>228</v>
      </c>
      <c r="BG188" s="0" t="s">
        <v>228</v>
      </c>
      <c r="BH188" s="0" t="s">
        <v>228</v>
      </c>
      <c r="BI188" s="0" t="s">
        <v>228</v>
      </c>
      <c r="BJ188" s="0" t="s">
        <v>228</v>
      </c>
      <c r="BK188" s="0" t="s">
        <v>228</v>
      </c>
      <c r="BL188" s="0" t="s">
        <v>228</v>
      </c>
      <c r="BM188" s="0" t="s">
        <v>228</v>
      </c>
      <c r="BN188" s="0" t="s">
        <v>228</v>
      </c>
      <c r="BO188" s="0" t="s">
        <v>228</v>
      </c>
      <c r="BP188" s="0" t="s">
        <v>228</v>
      </c>
      <c r="BQ188" s="0" t="s">
        <v>228</v>
      </c>
      <c r="BR188" s="0" t="s">
        <v>228</v>
      </c>
      <c r="BS188" s="0" t="s">
        <v>228</v>
      </c>
      <c r="BT188" s="0" t="s">
        <v>228</v>
      </c>
      <c r="BU188" s="0" t="s">
        <v>228</v>
      </c>
      <c r="BV188" s="0" t="s">
        <v>228</v>
      </c>
      <c r="BW188" s="0" t="s">
        <v>228</v>
      </c>
      <c r="BX188" s="0" t="s">
        <v>228</v>
      </c>
      <c r="BY188" s="0" t="s">
        <v>228</v>
      </c>
      <c r="BZ188" s="0" t="s">
        <v>228</v>
      </c>
      <c r="CA188" s="0" t="s">
        <v>228</v>
      </c>
      <c r="CB188" s="0" t="s">
        <v>228</v>
      </c>
      <c r="CC188" s="0" t="s">
        <v>228</v>
      </c>
      <c r="CD188" s="0" t="s">
        <v>228</v>
      </c>
      <c r="CE188" s="0" t="s">
        <v>228</v>
      </c>
      <c r="CF188" s="0" t="s">
        <v>228</v>
      </c>
      <c r="CG188" s="0" t="s">
        <v>228</v>
      </c>
      <c r="CH188" s="0" t="s">
        <v>228</v>
      </c>
      <c r="CI188" s="0" t="s">
        <v>228</v>
      </c>
      <c r="CJ188" s="0" t="s">
        <v>228</v>
      </c>
      <c r="CK188" s="0" t="s">
        <v>228</v>
      </c>
      <c r="CL188" s="0" t="s">
        <v>228</v>
      </c>
      <c r="CM188" s="0" t="s">
        <v>228</v>
      </c>
      <c r="CN188" s="0" t="s">
        <v>228</v>
      </c>
      <c r="CO188" s="0" t="s">
        <v>228</v>
      </c>
      <c r="CP188" s="0" t="s">
        <v>228</v>
      </c>
      <c r="CQ188" s="0" t="s">
        <v>228</v>
      </c>
      <c r="CR188" s="0" t="s">
        <v>228</v>
      </c>
      <c r="CS188" s="0" t="s">
        <v>228</v>
      </c>
      <c r="CT188" s="0" t="s">
        <v>3568</v>
      </c>
      <c r="CU188" s="0" t="s">
        <v>3569</v>
      </c>
      <c r="CV188" s="0" t="s">
        <v>418</v>
      </c>
      <c r="CW188" s="0" t="s">
        <v>3622</v>
      </c>
      <c r="CX188" s="0" t="s">
        <v>419</v>
      </c>
      <c r="CY188" s="0" t="s">
        <v>418</v>
      </c>
      <c r="CZ188" s="0" t="s">
        <v>3623</v>
      </c>
      <c r="DA188" s="0" t="s">
        <v>3624</v>
      </c>
      <c r="DB188" s="0" t="s">
        <v>3622</v>
      </c>
      <c r="DC188" s="0" t="s">
        <v>362</v>
      </c>
      <c r="DD188" s="0" t="s">
        <v>3572</v>
      </c>
      <c r="DE188" s="0" t="s">
        <v>4490</v>
      </c>
    </row>
    <row customHeight="1" ht="11.25">
      <c r="A189" s="1353" t="s">
        <v>228</v>
      </c>
      <c r="B189" s="0" t="s">
        <v>228</v>
      </c>
      <c r="C189" s="0" t="s">
        <v>228</v>
      </c>
      <c r="D189" s="0" t="s">
        <v>228</v>
      </c>
      <c r="E189" s="0" t="s">
        <v>228</v>
      </c>
      <c r="F189" s="0" t="s">
        <v>228</v>
      </c>
      <c r="G189" s="0" t="s">
        <v>228</v>
      </c>
      <c r="H189" s="0" t="s">
        <v>228</v>
      </c>
      <c r="I189" s="0" t="s">
        <v>3555</v>
      </c>
      <c r="J189" s="0" t="s">
        <v>228</v>
      </c>
      <c r="K189" s="0" t="s">
        <v>228</v>
      </c>
      <c r="L189" s="0" t="s">
        <v>228</v>
      </c>
      <c r="M189" s="0" t="s">
        <v>228</v>
      </c>
      <c r="N189" s="0" t="s">
        <v>228</v>
      </c>
      <c r="O189" s="0" t="s">
        <v>228</v>
      </c>
      <c r="P189" s="0" t="s">
        <v>228</v>
      </c>
      <c r="Q189" s="0" t="s">
        <v>228</v>
      </c>
      <c r="R189" s="0" t="s">
        <v>3648</v>
      </c>
      <c r="S189" s="0" t="s">
        <v>228</v>
      </c>
      <c r="T189" s="0" t="s">
        <v>228</v>
      </c>
      <c r="U189" s="0" t="s">
        <v>101</v>
      </c>
      <c r="V189" s="0" t="s">
        <v>228</v>
      </c>
      <c r="W189" s="0" t="s">
        <v>228</v>
      </c>
      <c r="X189" s="0" t="s">
        <v>3557</v>
      </c>
      <c r="Y189" s="0" t="s">
        <v>228</v>
      </c>
      <c r="Z189" s="0" t="s">
        <v>160</v>
      </c>
      <c r="AA189" s="0" t="s">
        <v>151</v>
      </c>
      <c r="AB189" s="0" t="s">
        <v>151</v>
      </c>
      <c r="AC189" s="0" t="s">
        <v>2315</v>
      </c>
      <c r="AD189" s="0" t="s">
        <v>2315</v>
      </c>
      <c r="AE189" s="0" t="s">
        <v>2316</v>
      </c>
      <c r="AF189" s="0" t="s">
        <v>4222</v>
      </c>
      <c r="AG189" s="0" t="s">
        <v>4223</v>
      </c>
      <c r="AH189" s="0" t="s">
        <v>4491</v>
      </c>
      <c r="AI189" s="0" t="s">
        <v>504</v>
      </c>
      <c r="AJ189" s="0" t="s">
        <v>3652</v>
      </c>
      <c r="AK189" s="0" t="s">
        <v>3891</v>
      </c>
      <c r="AL189" s="0" t="s">
        <v>3581</v>
      </c>
      <c r="AM189" s="0" t="s">
        <v>3565</v>
      </c>
      <c r="AN189" s="0" t="s">
        <v>3654</v>
      </c>
      <c r="AO189" s="0" t="s">
        <v>3934</v>
      </c>
      <c r="AP189" s="0" t="s">
        <v>228</v>
      </c>
      <c r="AQ189" s="0" t="s">
        <v>228</v>
      </c>
      <c r="AR189" s="0" t="s">
        <v>228</v>
      </c>
      <c r="AS189" s="0" t="s">
        <v>228</v>
      </c>
      <c r="AT189" s="0" t="s">
        <v>228</v>
      </c>
      <c r="AU189" s="0" t="s">
        <v>228</v>
      </c>
      <c r="AV189" s="0" t="s">
        <v>228</v>
      </c>
      <c r="AW189" s="0" t="s">
        <v>228</v>
      </c>
      <c r="AX189" s="0" t="s">
        <v>228</v>
      </c>
      <c r="AY189" s="0" t="s">
        <v>228</v>
      </c>
      <c r="AZ189" s="0" t="s">
        <v>228</v>
      </c>
      <c r="BA189" s="0" t="s">
        <v>228</v>
      </c>
      <c r="BB189" s="0" t="s">
        <v>228</v>
      </c>
      <c r="BC189" s="0" t="s">
        <v>228</v>
      </c>
      <c r="BD189" s="0" t="s">
        <v>228</v>
      </c>
      <c r="BE189" s="0" t="s">
        <v>228</v>
      </c>
      <c r="BF189" s="0" t="s">
        <v>228</v>
      </c>
      <c r="BG189" s="0" t="s">
        <v>228</v>
      </c>
      <c r="BH189" s="0" t="s">
        <v>228</v>
      </c>
      <c r="BI189" s="0" t="s">
        <v>228</v>
      </c>
      <c r="BJ189" s="0" t="s">
        <v>228</v>
      </c>
      <c r="BK189" s="0" t="s">
        <v>228</v>
      </c>
      <c r="BL189" s="0" t="s">
        <v>228</v>
      </c>
      <c r="BM189" s="0" t="s">
        <v>228</v>
      </c>
      <c r="BN189" s="0" t="s">
        <v>228</v>
      </c>
      <c r="BO189" s="0" t="s">
        <v>228</v>
      </c>
      <c r="BP189" s="0" t="s">
        <v>228</v>
      </c>
      <c r="BQ189" s="0" t="s">
        <v>228</v>
      </c>
      <c r="BR189" s="0" t="s">
        <v>228</v>
      </c>
      <c r="BS189" s="0" t="s">
        <v>228</v>
      </c>
      <c r="BT189" s="0" t="s">
        <v>228</v>
      </c>
      <c r="BU189" s="0" t="s">
        <v>228</v>
      </c>
      <c r="BV189" s="0" t="s">
        <v>228</v>
      </c>
      <c r="BW189" s="0" t="s">
        <v>228</v>
      </c>
      <c r="BX189" s="0" t="s">
        <v>228</v>
      </c>
      <c r="BY189" s="0" t="s">
        <v>228</v>
      </c>
      <c r="BZ189" s="0" t="s">
        <v>228</v>
      </c>
      <c r="CA189" s="0" t="s">
        <v>228</v>
      </c>
      <c r="CB189" s="0" t="s">
        <v>228</v>
      </c>
      <c r="CC189" s="0" t="s">
        <v>228</v>
      </c>
      <c r="CD189" s="0" t="s">
        <v>228</v>
      </c>
      <c r="CE189" s="0" t="s">
        <v>228</v>
      </c>
      <c r="CF189" s="0" t="s">
        <v>228</v>
      </c>
      <c r="CG189" s="0" t="s">
        <v>228</v>
      </c>
      <c r="CH189" s="0" t="s">
        <v>228</v>
      </c>
      <c r="CI189" s="0" t="s">
        <v>228</v>
      </c>
      <c r="CJ189" s="0" t="s">
        <v>228</v>
      </c>
      <c r="CK189" s="0" t="s">
        <v>228</v>
      </c>
      <c r="CL189" s="0" t="s">
        <v>228</v>
      </c>
      <c r="CM189" s="0" t="s">
        <v>228</v>
      </c>
      <c r="CN189" s="0" t="s">
        <v>228</v>
      </c>
      <c r="CO189" s="0" t="s">
        <v>228</v>
      </c>
      <c r="CP189" s="0" t="s">
        <v>228</v>
      </c>
      <c r="CQ189" s="0" t="s">
        <v>228</v>
      </c>
      <c r="CR189" s="0" t="s">
        <v>228</v>
      </c>
      <c r="CS189" s="0" t="s">
        <v>228</v>
      </c>
      <c r="CT189" s="0" t="s">
        <v>3568</v>
      </c>
      <c r="CU189" s="0" t="s">
        <v>3569</v>
      </c>
      <c r="CV189" s="0" t="s">
        <v>418</v>
      </c>
      <c r="CW189" s="0" t="s">
        <v>3656</v>
      </c>
      <c r="CX189" s="0" t="s">
        <v>419</v>
      </c>
      <c r="CY189" s="0" t="s">
        <v>418</v>
      </c>
      <c r="CZ189" s="0" t="s">
        <v>3657</v>
      </c>
      <c r="DA189" s="0" t="s">
        <v>3658</v>
      </c>
      <c r="DB189" s="0" t="s">
        <v>3656</v>
      </c>
      <c r="DC189" s="0" t="s">
        <v>362</v>
      </c>
      <c r="DD189" s="0" t="s">
        <v>3572</v>
      </c>
      <c r="DE189" s="0" t="s">
        <v>4492</v>
      </c>
    </row>
    <row customHeight="1" ht="11.25">
      <c r="A190" s="1353" t="s">
        <v>228</v>
      </c>
      <c r="B190" s="0" t="s">
        <v>228</v>
      </c>
      <c r="C190" s="0" t="s">
        <v>228</v>
      </c>
      <c r="D190" s="0" t="s">
        <v>228</v>
      </c>
      <c r="E190" s="0" t="s">
        <v>228</v>
      </c>
      <c r="F190" s="0" t="s">
        <v>228</v>
      </c>
      <c r="G190" s="0" t="s">
        <v>228</v>
      </c>
      <c r="H190" s="0" t="s">
        <v>228</v>
      </c>
      <c r="I190" s="0" t="s">
        <v>3555</v>
      </c>
      <c r="J190" s="0" t="s">
        <v>228</v>
      </c>
      <c r="K190" s="0" t="s">
        <v>228</v>
      </c>
      <c r="L190" s="0" t="s">
        <v>228</v>
      </c>
      <c r="M190" s="0" t="s">
        <v>228</v>
      </c>
      <c r="N190" s="0" t="s">
        <v>228</v>
      </c>
      <c r="O190" s="0" t="s">
        <v>228</v>
      </c>
      <c r="P190" s="0" t="s">
        <v>228</v>
      </c>
      <c r="Q190" s="0" t="s">
        <v>228</v>
      </c>
      <c r="R190" s="0" t="s">
        <v>4493</v>
      </c>
      <c r="S190" s="0" t="s">
        <v>228</v>
      </c>
      <c r="T190" s="0" t="s">
        <v>228</v>
      </c>
      <c r="U190" s="0" t="s">
        <v>101</v>
      </c>
      <c r="V190" s="0" t="s">
        <v>228</v>
      </c>
      <c r="W190" s="0" t="s">
        <v>228</v>
      </c>
      <c r="X190" s="0" t="s">
        <v>3661</v>
      </c>
      <c r="Y190" s="0" t="s">
        <v>228</v>
      </c>
      <c r="Z190" s="0" t="s">
        <v>151</v>
      </c>
      <c r="AA190" s="0" t="s">
        <v>151</v>
      </c>
      <c r="AB190" s="0" t="s">
        <v>160</v>
      </c>
      <c r="AC190" s="0" t="s">
        <v>2315</v>
      </c>
      <c r="AD190" s="0" t="s">
        <v>2315</v>
      </c>
      <c r="AE190" s="0" t="s">
        <v>2316</v>
      </c>
      <c r="AF190" s="0" t="s">
        <v>4222</v>
      </c>
      <c r="AG190" s="0" t="s">
        <v>4223</v>
      </c>
      <c r="AH190" s="0" t="s">
        <v>3651</v>
      </c>
      <c r="AI190" s="0" t="s">
        <v>3651</v>
      </c>
      <c r="AJ190" s="0" t="s">
        <v>228</v>
      </c>
      <c r="AK190" s="0" t="s">
        <v>228</v>
      </c>
      <c r="AL190" s="0" t="s">
        <v>228</v>
      </c>
      <c r="AM190" s="0" t="s">
        <v>228</v>
      </c>
      <c r="AN190" s="0" t="s">
        <v>228</v>
      </c>
      <c r="AO190" s="0" t="s">
        <v>228</v>
      </c>
      <c r="AP190" s="0" t="s">
        <v>228</v>
      </c>
      <c r="AQ190" s="0" t="s">
        <v>228</v>
      </c>
      <c r="AR190" s="0" t="s">
        <v>228</v>
      </c>
      <c r="AS190" s="0" t="s">
        <v>228</v>
      </c>
      <c r="AT190" s="0" t="s">
        <v>228</v>
      </c>
      <c r="AU190" s="0" t="s">
        <v>228</v>
      </c>
      <c r="AV190" s="0" t="s">
        <v>228</v>
      </c>
      <c r="AW190" s="0" t="s">
        <v>228</v>
      </c>
      <c r="AX190" s="0" t="s">
        <v>228</v>
      </c>
      <c r="AY190" s="0" t="s">
        <v>228</v>
      </c>
      <c r="AZ190" s="0" t="s">
        <v>228</v>
      </c>
      <c r="BA190" s="0" t="s">
        <v>228</v>
      </c>
      <c r="BB190" s="0" t="s">
        <v>228</v>
      </c>
      <c r="BC190" s="0" t="s">
        <v>228</v>
      </c>
      <c r="BD190" s="0" t="s">
        <v>228</v>
      </c>
      <c r="BE190" s="0" t="s">
        <v>4075</v>
      </c>
      <c r="BF190" s="0" t="s">
        <v>4494</v>
      </c>
      <c r="BG190" s="0" t="s">
        <v>111</v>
      </c>
      <c r="BH190" s="0" t="s">
        <v>3665</v>
      </c>
      <c r="BI190" s="0" t="s">
        <v>122</v>
      </c>
      <c r="BJ190" s="0" t="s">
        <v>228</v>
      </c>
      <c r="BK190" s="0" t="s">
        <v>3684</v>
      </c>
      <c r="BL190" s="0" t="s">
        <v>2315</v>
      </c>
      <c r="BM190" s="0" t="s">
        <v>2315</v>
      </c>
      <c r="BN190" s="0" t="s">
        <v>3875</v>
      </c>
      <c r="BO190" s="0" t="s">
        <v>4222</v>
      </c>
      <c r="BP190" s="0" t="s">
        <v>4495</v>
      </c>
      <c r="BQ190" s="0" t="s">
        <v>3651</v>
      </c>
      <c r="BR190" s="0" t="s">
        <v>3651</v>
      </c>
      <c r="BS190" s="0" t="s">
        <v>228</v>
      </c>
      <c r="BT190" s="0" t="s">
        <v>3727</v>
      </c>
      <c r="BU190" s="0" t="s">
        <v>4496</v>
      </c>
      <c r="BV190" s="0" t="s">
        <v>4496</v>
      </c>
      <c r="BW190" s="0" t="s">
        <v>3674</v>
      </c>
      <c r="BX190" s="0" t="s">
        <v>3674</v>
      </c>
      <c r="BY190" s="0" t="s">
        <v>3674</v>
      </c>
      <c r="BZ190" s="0" t="s">
        <v>3674</v>
      </c>
      <c r="CA190" s="0" t="s">
        <v>3674</v>
      </c>
      <c r="CB190" s="0" t="s">
        <v>228</v>
      </c>
      <c r="CC190" s="0" t="s">
        <v>228</v>
      </c>
      <c r="CD190" s="0" t="s">
        <v>228</v>
      </c>
      <c r="CE190" s="0" t="s">
        <v>228</v>
      </c>
      <c r="CF190" s="0" t="s">
        <v>228</v>
      </c>
      <c r="CG190" s="0" t="s">
        <v>3674</v>
      </c>
      <c r="CH190" s="0" t="s">
        <v>228</v>
      </c>
      <c r="CI190" s="0" t="s">
        <v>228</v>
      </c>
      <c r="CJ190" s="0" t="s">
        <v>228</v>
      </c>
      <c r="CK190" s="0" t="s">
        <v>228</v>
      </c>
      <c r="CL190" s="0" t="s">
        <v>228</v>
      </c>
      <c r="CM190" s="0" t="s">
        <v>4496</v>
      </c>
      <c r="CN190" s="0" t="s">
        <v>4496</v>
      </c>
      <c r="CO190" s="0" t="s">
        <v>228</v>
      </c>
      <c r="CP190" s="0" t="s">
        <v>228</v>
      </c>
      <c r="CQ190" s="0" t="s">
        <v>228</v>
      </c>
      <c r="CR190" s="0" t="s">
        <v>228</v>
      </c>
      <c r="CS190" s="0" t="s">
        <v>3563</v>
      </c>
      <c r="CT190" s="0" t="s">
        <v>3568</v>
      </c>
      <c r="CU190" s="0" t="s">
        <v>3569</v>
      </c>
      <c r="CV190" s="0" t="s">
        <v>418</v>
      </c>
      <c r="CW190" s="0" t="s">
        <v>3656</v>
      </c>
      <c r="CX190" s="0" t="s">
        <v>419</v>
      </c>
      <c r="CY190" s="0" t="s">
        <v>418</v>
      </c>
      <c r="CZ190" s="0" t="s">
        <v>3657</v>
      </c>
      <c r="DA190" s="0" t="s">
        <v>3658</v>
      </c>
      <c r="DB190" s="0" t="s">
        <v>3656</v>
      </c>
      <c r="DC190" s="0" t="s">
        <v>362</v>
      </c>
      <c r="DD190" s="0" t="s">
        <v>3572</v>
      </c>
      <c r="DE190" s="0" t="s">
        <v>4497</v>
      </c>
    </row>
    <row customHeight="1" ht="11.25">
      <c r="A191" s="1353" t="s">
        <v>228</v>
      </c>
      <c r="B191" s="0" t="s">
        <v>228</v>
      </c>
      <c r="C191" s="0" t="s">
        <v>228</v>
      </c>
      <c r="D191" s="0" t="s">
        <v>228</v>
      </c>
      <c r="E191" s="0" t="s">
        <v>228</v>
      </c>
      <c r="F191" s="0" t="s">
        <v>228</v>
      </c>
      <c r="G191" s="0" t="s">
        <v>228</v>
      </c>
      <c r="H191" s="0" t="s">
        <v>228</v>
      </c>
      <c r="I191" s="0" t="s">
        <v>3555</v>
      </c>
      <c r="J191" s="0" t="s">
        <v>228</v>
      </c>
      <c r="K191" s="0" t="s">
        <v>228</v>
      </c>
      <c r="L191" s="0" t="s">
        <v>228</v>
      </c>
      <c r="M191" s="0" t="s">
        <v>228</v>
      </c>
      <c r="N191" s="0" t="s">
        <v>228</v>
      </c>
      <c r="O191" s="0" t="s">
        <v>228</v>
      </c>
      <c r="P191" s="0" t="s">
        <v>228</v>
      </c>
      <c r="Q191" s="0" t="s">
        <v>228</v>
      </c>
      <c r="R191" s="0" t="s">
        <v>3648</v>
      </c>
      <c r="S191" s="0" t="s">
        <v>228</v>
      </c>
      <c r="T191" s="0" t="s">
        <v>228</v>
      </c>
      <c r="U191" s="0" t="s">
        <v>101</v>
      </c>
      <c r="V191" s="0" t="s">
        <v>228</v>
      </c>
      <c r="W191" s="0" t="s">
        <v>228</v>
      </c>
      <c r="X191" s="0" t="s">
        <v>3557</v>
      </c>
      <c r="Y191" s="0" t="s">
        <v>228</v>
      </c>
      <c r="Z191" s="0" t="s">
        <v>160</v>
      </c>
      <c r="AA191" s="0" t="s">
        <v>151</v>
      </c>
      <c r="AB191" s="0" t="s">
        <v>151</v>
      </c>
      <c r="AC191" s="0" t="s">
        <v>2315</v>
      </c>
      <c r="AD191" s="0" t="s">
        <v>2315</v>
      </c>
      <c r="AE191" s="0" t="s">
        <v>2316</v>
      </c>
      <c r="AF191" s="0" t="s">
        <v>4498</v>
      </c>
      <c r="AG191" s="0" t="s">
        <v>4499</v>
      </c>
      <c r="AH191" s="0" t="s">
        <v>3651</v>
      </c>
      <c r="AI191" s="0" t="s">
        <v>3651</v>
      </c>
      <c r="AJ191" s="0" t="s">
        <v>3652</v>
      </c>
      <c r="AK191" s="0" t="s">
        <v>4500</v>
      </c>
      <c r="AL191" s="0" t="s">
        <v>3581</v>
      </c>
      <c r="AM191" s="0" t="s">
        <v>3565</v>
      </c>
      <c r="AN191" s="0" t="s">
        <v>3654</v>
      </c>
      <c r="AO191" s="0" t="s">
        <v>3655</v>
      </c>
      <c r="AP191" s="0" t="s">
        <v>228</v>
      </c>
      <c r="AQ191" s="0" t="s">
        <v>228</v>
      </c>
      <c r="AR191" s="0" t="s">
        <v>228</v>
      </c>
      <c r="AS191" s="0" t="s">
        <v>228</v>
      </c>
      <c r="AT191" s="0" t="s">
        <v>228</v>
      </c>
      <c r="AU191" s="0" t="s">
        <v>228</v>
      </c>
      <c r="AV191" s="0" t="s">
        <v>228</v>
      </c>
      <c r="AW191" s="0" t="s">
        <v>228</v>
      </c>
      <c r="AX191" s="0" t="s">
        <v>228</v>
      </c>
      <c r="AY191" s="0" t="s">
        <v>228</v>
      </c>
      <c r="AZ191" s="0" t="s">
        <v>228</v>
      </c>
      <c r="BA191" s="0" t="s">
        <v>228</v>
      </c>
      <c r="BB191" s="0" t="s">
        <v>228</v>
      </c>
      <c r="BC191" s="0" t="s">
        <v>228</v>
      </c>
      <c r="BD191" s="0" t="s">
        <v>228</v>
      </c>
      <c r="BE191" s="0" t="s">
        <v>228</v>
      </c>
      <c r="BF191" s="0" t="s">
        <v>228</v>
      </c>
      <c r="BG191" s="0" t="s">
        <v>228</v>
      </c>
      <c r="BH191" s="0" t="s">
        <v>228</v>
      </c>
      <c r="BI191" s="0" t="s">
        <v>228</v>
      </c>
      <c r="BJ191" s="0" t="s">
        <v>228</v>
      </c>
      <c r="BK191" s="0" t="s">
        <v>228</v>
      </c>
      <c r="BL191" s="0" t="s">
        <v>228</v>
      </c>
      <c r="BM191" s="0" t="s">
        <v>228</v>
      </c>
      <c r="BN191" s="0" t="s">
        <v>228</v>
      </c>
      <c r="BO191" s="0" t="s">
        <v>228</v>
      </c>
      <c r="BP191" s="0" t="s">
        <v>228</v>
      </c>
      <c r="BQ191" s="0" t="s">
        <v>228</v>
      </c>
      <c r="BR191" s="0" t="s">
        <v>228</v>
      </c>
      <c r="BS191" s="0" t="s">
        <v>228</v>
      </c>
      <c r="BT191" s="0" t="s">
        <v>228</v>
      </c>
      <c r="BU191" s="0" t="s">
        <v>228</v>
      </c>
      <c r="BV191" s="0" t="s">
        <v>228</v>
      </c>
      <c r="BW191" s="0" t="s">
        <v>228</v>
      </c>
      <c r="BX191" s="0" t="s">
        <v>228</v>
      </c>
      <c r="BY191" s="0" t="s">
        <v>228</v>
      </c>
      <c r="BZ191" s="0" t="s">
        <v>228</v>
      </c>
      <c r="CA191" s="0" t="s">
        <v>228</v>
      </c>
      <c r="CB191" s="0" t="s">
        <v>228</v>
      </c>
      <c r="CC191" s="0" t="s">
        <v>228</v>
      </c>
      <c r="CD191" s="0" t="s">
        <v>228</v>
      </c>
      <c r="CE191" s="0" t="s">
        <v>228</v>
      </c>
      <c r="CF191" s="0" t="s">
        <v>228</v>
      </c>
      <c r="CG191" s="0" t="s">
        <v>228</v>
      </c>
      <c r="CH191" s="0" t="s">
        <v>228</v>
      </c>
      <c r="CI191" s="0" t="s">
        <v>228</v>
      </c>
      <c r="CJ191" s="0" t="s">
        <v>228</v>
      </c>
      <c r="CK191" s="0" t="s">
        <v>228</v>
      </c>
      <c r="CL191" s="0" t="s">
        <v>228</v>
      </c>
      <c r="CM191" s="0" t="s">
        <v>228</v>
      </c>
      <c r="CN191" s="0" t="s">
        <v>228</v>
      </c>
      <c r="CO191" s="0" t="s">
        <v>228</v>
      </c>
      <c r="CP191" s="0" t="s">
        <v>228</v>
      </c>
      <c r="CQ191" s="0" t="s">
        <v>228</v>
      </c>
      <c r="CR191" s="0" t="s">
        <v>228</v>
      </c>
      <c r="CS191" s="0" t="s">
        <v>228</v>
      </c>
      <c r="CT191" s="0" t="s">
        <v>3568</v>
      </c>
      <c r="CU191" s="0" t="s">
        <v>3569</v>
      </c>
      <c r="CV191" s="0" t="s">
        <v>418</v>
      </c>
      <c r="CW191" s="0" t="s">
        <v>3656</v>
      </c>
      <c r="CX191" s="0" t="s">
        <v>419</v>
      </c>
      <c r="CY191" s="0" t="s">
        <v>418</v>
      </c>
      <c r="CZ191" s="0" t="s">
        <v>3657</v>
      </c>
      <c r="DA191" s="0" t="s">
        <v>3658</v>
      </c>
      <c r="DB191" s="0" t="s">
        <v>3656</v>
      </c>
      <c r="DC191" s="0" t="s">
        <v>362</v>
      </c>
      <c r="DD191" s="0" t="s">
        <v>3572</v>
      </c>
      <c r="DE191" s="0" t="s">
        <v>4501</v>
      </c>
    </row>
    <row customHeight="1" ht="11.25">
      <c r="A192" s="1353" t="s">
        <v>228</v>
      </c>
      <c r="B192" s="0" t="s">
        <v>228</v>
      </c>
      <c r="C192" s="0" t="s">
        <v>228</v>
      </c>
      <c r="D192" s="0" t="s">
        <v>228</v>
      </c>
      <c r="E192" s="0" t="s">
        <v>228</v>
      </c>
      <c r="F192" s="0" t="s">
        <v>228</v>
      </c>
      <c r="G192" s="0" t="s">
        <v>228</v>
      </c>
      <c r="H192" s="0" t="s">
        <v>228</v>
      </c>
      <c r="I192" s="0" t="s">
        <v>3555</v>
      </c>
      <c r="J192" s="0" t="s">
        <v>228</v>
      </c>
      <c r="K192" s="0" t="s">
        <v>228</v>
      </c>
      <c r="L192" s="0" t="s">
        <v>228</v>
      </c>
      <c r="M192" s="0" t="s">
        <v>228</v>
      </c>
      <c r="N192" s="0" t="s">
        <v>228</v>
      </c>
      <c r="O192" s="0" t="s">
        <v>228</v>
      </c>
      <c r="P192" s="0" t="s">
        <v>228</v>
      </c>
      <c r="Q192" s="0" t="s">
        <v>228</v>
      </c>
      <c r="R192" s="0" t="s">
        <v>3574</v>
      </c>
      <c r="S192" s="0" t="s">
        <v>228</v>
      </c>
      <c r="T192" s="0" t="s">
        <v>228</v>
      </c>
      <c r="U192" s="0" t="s">
        <v>101</v>
      </c>
      <c r="V192" s="0" t="s">
        <v>228</v>
      </c>
      <c r="W192" s="0" t="s">
        <v>228</v>
      </c>
      <c r="X192" s="0" t="s">
        <v>3557</v>
      </c>
      <c r="Y192" s="0" t="s">
        <v>228</v>
      </c>
      <c r="Z192" s="0" t="s">
        <v>160</v>
      </c>
      <c r="AA192" s="0" t="s">
        <v>151</v>
      </c>
      <c r="AB192" s="0" t="s">
        <v>151</v>
      </c>
      <c r="AC192" s="0" t="s">
        <v>2317</v>
      </c>
      <c r="AD192" s="0" t="s">
        <v>2317</v>
      </c>
      <c r="AE192" s="0" t="s">
        <v>2318</v>
      </c>
      <c r="AF192" s="0" t="s">
        <v>4053</v>
      </c>
      <c r="AG192" s="0" t="s">
        <v>4054</v>
      </c>
      <c r="AH192" s="0" t="s">
        <v>4055</v>
      </c>
      <c r="AI192" s="0" t="s">
        <v>3807</v>
      </c>
      <c r="AJ192" s="0" t="s">
        <v>3579</v>
      </c>
      <c r="AK192" s="0" t="s">
        <v>3808</v>
      </c>
      <c r="AL192" s="0" t="s">
        <v>3581</v>
      </c>
      <c r="AM192" s="0" t="s">
        <v>3565</v>
      </c>
      <c r="AN192" s="0" t="s">
        <v>3620</v>
      </c>
      <c r="AO192" s="0" t="s">
        <v>3712</v>
      </c>
      <c r="AP192" s="0" t="s">
        <v>228</v>
      </c>
      <c r="AQ192" s="0" t="s">
        <v>228</v>
      </c>
      <c r="AR192" s="0" t="s">
        <v>228</v>
      </c>
      <c r="AS192" s="0" t="s">
        <v>228</v>
      </c>
      <c r="AT192" s="0" t="s">
        <v>228</v>
      </c>
      <c r="AU192" s="0" t="s">
        <v>228</v>
      </c>
      <c r="AV192" s="0" t="s">
        <v>228</v>
      </c>
      <c r="AW192" s="0" t="s">
        <v>228</v>
      </c>
      <c r="AX192" s="0" t="s">
        <v>228</v>
      </c>
      <c r="AY192" s="0" t="s">
        <v>228</v>
      </c>
      <c r="AZ192" s="0" t="s">
        <v>228</v>
      </c>
      <c r="BA192" s="0" t="s">
        <v>228</v>
      </c>
      <c r="BB192" s="0" t="s">
        <v>228</v>
      </c>
      <c r="BC192" s="0" t="s">
        <v>228</v>
      </c>
      <c r="BD192" s="0" t="s">
        <v>228</v>
      </c>
      <c r="BE192" s="0" t="s">
        <v>228</v>
      </c>
      <c r="BF192" s="0" t="s">
        <v>228</v>
      </c>
      <c r="BG192" s="0" t="s">
        <v>228</v>
      </c>
      <c r="BH192" s="0" t="s">
        <v>228</v>
      </c>
      <c r="BI192" s="0" t="s">
        <v>228</v>
      </c>
      <c r="BJ192" s="0" t="s">
        <v>228</v>
      </c>
      <c r="BK192" s="0" t="s">
        <v>228</v>
      </c>
      <c r="BL192" s="0" t="s">
        <v>228</v>
      </c>
      <c r="BM192" s="0" t="s">
        <v>228</v>
      </c>
      <c r="BN192" s="0" t="s">
        <v>228</v>
      </c>
      <c r="BO192" s="0" t="s">
        <v>228</v>
      </c>
      <c r="BP192" s="0" t="s">
        <v>228</v>
      </c>
      <c r="BQ192" s="0" t="s">
        <v>228</v>
      </c>
      <c r="BR192" s="0" t="s">
        <v>228</v>
      </c>
      <c r="BS192" s="0" t="s">
        <v>228</v>
      </c>
      <c r="BT192" s="0" t="s">
        <v>228</v>
      </c>
      <c r="BU192" s="0" t="s">
        <v>228</v>
      </c>
      <c r="BV192" s="0" t="s">
        <v>228</v>
      </c>
      <c r="BW192" s="0" t="s">
        <v>228</v>
      </c>
      <c r="BX192" s="0" t="s">
        <v>228</v>
      </c>
      <c r="BY192" s="0" t="s">
        <v>228</v>
      </c>
      <c r="BZ192" s="0" t="s">
        <v>228</v>
      </c>
      <c r="CA192" s="0" t="s">
        <v>228</v>
      </c>
      <c r="CB192" s="0" t="s">
        <v>228</v>
      </c>
      <c r="CC192" s="0" t="s">
        <v>228</v>
      </c>
      <c r="CD192" s="0" t="s">
        <v>228</v>
      </c>
      <c r="CE192" s="0" t="s">
        <v>228</v>
      </c>
      <c r="CF192" s="0" t="s">
        <v>228</v>
      </c>
      <c r="CG192" s="0" t="s">
        <v>228</v>
      </c>
      <c r="CH192" s="0" t="s">
        <v>228</v>
      </c>
      <c r="CI192" s="0" t="s">
        <v>228</v>
      </c>
      <c r="CJ192" s="0" t="s">
        <v>228</v>
      </c>
      <c r="CK192" s="0" t="s">
        <v>228</v>
      </c>
      <c r="CL192" s="0" t="s">
        <v>228</v>
      </c>
      <c r="CM192" s="0" t="s">
        <v>228</v>
      </c>
      <c r="CN192" s="0" t="s">
        <v>228</v>
      </c>
      <c r="CO192" s="0" t="s">
        <v>228</v>
      </c>
      <c r="CP192" s="0" t="s">
        <v>228</v>
      </c>
      <c r="CQ192" s="0" t="s">
        <v>228</v>
      </c>
      <c r="CR192" s="0" t="s">
        <v>228</v>
      </c>
      <c r="CS192" s="0" t="s">
        <v>228</v>
      </c>
      <c r="CT192" s="0" t="s">
        <v>3568</v>
      </c>
      <c r="CU192" s="0" t="s">
        <v>3569</v>
      </c>
      <c r="CV192" s="0" t="s">
        <v>418</v>
      </c>
      <c r="CW192" s="0" t="s">
        <v>3622</v>
      </c>
      <c r="CX192" s="0" t="s">
        <v>419</v>
      </c>
      <c r="CY192" s="0" t="s">
        <v>418</v>
      </c>
      <c r="CZ192" s="0" t="s">
        <v>3623</v>
      </c>
      <c r="DA192" s="0" t="s">
        <v>3624</v>
      </c>
      <c r="DB192" s="0" t="s">
        <v>3622</v>
      </c>
      <c r="DC192" s="0" t="s">
        <v>362</v>
      </c>
      <c r="DD192" s="0" t="s">
        <v>3572</v>
      </c>
      <c r="DE192" s="0" t="s">
        <v>4056</v>
      </c>
    </row>
    <row customHeight="1" ht="11.25">
      <c r="A193" s="1353" t="s">
        <v>228</v>
      </c>
      <c r="B193" s="0" t="s">
        <v>228</v>
      </c>
      <c r="C193" s="0" t="s">
        <v>228</v>
      </c>
      <c r="D193" s="0" t="s">
        <v>228</v>
      </c>
      <c r="E193" s="0" t="s">
        <v>228</v>
      </c>
      <c r="F193" s="0" t="s">
        <v>228</v>
      </c>
      <c r="G193" s="0" t="s">
        <v>228</v>
      </c>
      <c r="H193" s="0" t="s">
        <v>228</v>
      </c>
      <c r="I193" s="0" t="s">
        <v>3555</v>
      </c>
      <c r="J193" s="0" t="s">
        <v>228</v>
      </c>
      <c r="K193" s="0" t="s">
        <v>228</v>
      </c>
      <c r="L193" s="0" t="s">
        <v>228</v>
      </c>
      <c r="M193" s="0" t="s">
        <v>228</v>
      </c>
      <c r="N193" s="0" t="s">
        <v>228</v>
      </c>
      <c r="O193" s="0" t="s">
        <v>228</v>
      </c>
      <c r="P193" s="0" t="s">
        <v>228</v>
      </c>
      <c r="Q193" s="0" t="s">
        <v>228</v>
      </c>
      <c r="R193" s="0" t="s">
        <v>4502</v>
      </c>
      <c r="S193" s="0" t="s">
        <v>228</v>
      </c>
      <c r="T193" s="0" t="s">
        <v>228</v>
      </c>
      <c r="U193" s="0" t="s">
        <v>101</v>
      </c>
      <c r="V193" s="0" t="s">
        <v>228</v>
      </c>
      <c r="W193" s="0" t="s">
        <v>228</v>
      </c>
      <c r="X193" s="0" t="s">
        <v>3661</v>
      </c>
      <c r="Y193" s="0" t="s">
        <v>228</v>
      </c>
      <c r="Z193" s="0" t="s">
        <v>151</v>
      </c>
      <c r="AA193" s="0" t="s">
        <v>151</v>
      </c>
      <c r="AB193" s="0" t="s">
        <v>160</v>
      </c>
      <c r="AC193" s="0" t="s">
        <v>2317</v>
      </c>
      <c r="AD193" s="0" t="s">
        <v>2317</v>
      </c>
      <c r="AE193" s="0" t="s">
        <v>2318</v>
      </c>
      <c r="AF193" s="0" t="s">
        <v>4053</v>
      </c>
      <c r="AG193" s="0" t="s">
        <v>4054</v>
      </c>
      <c r="AH193" s="0" t="s">
        <v>3651</v>
      </c>
      <c r="AI193" s="0" t="s">
        <v>3651</v>
      </c>
      <c r="AJ193" s="0" t="s">
        <v>228</v>
      </c>
      <c r="AK193" s="0" t="s">
        <v>228</v>
      </c>
      <c r="AL193" s="0" t="s">
        <v>228</v>
      </c>
      <c r="AM193" s="0" t="s">
        <v>228</v>
      </c>
      <c r="AN193" s="0" t="s">
        <v>228</v>
      </c>
      <c r="AO193" s="0" t="s">
        <v>228</v>
      </c>
      <c r="AP193" s="0" t="s">
        <v>228</v>
      </c>
      <c r="AQ193" s="0" t="s">
        <v>228</v>
      </c>
      <c r="AR193" s="0" t="s">
        <v>228</v>
      </c>
      <c r="AS193" s="0" t="s">
        <v>228</v>
      </c>
      <c r="AT193" s="0" t="s">
        <v>228</v>
      </c>
      <c r="AU193" s="0" t="s">
        <v>228</v>
      </c>
      <c r="AV193" s="0" t="s">
        <v>228</v>
      </c>
      <c r="AW193" s="0" t="s">
        <v>228</v>
      </c>
      <c r="AX193" s="0" t="s">
        <v>228</v>
      </c>
      <c r="AY193" s="0" t="s">
        <v>228</v>
      </c>
      <c r="AZ193" s="0" t="s">
        <v>228</v>
      </c>
      <c r="BA193" s="0" t="s">
        <v>228</v>
      </c>
      <c r="BB193" s="0" t="s">
        <v>228</v>
      </c>
      <c r="BC193" s="0" t="s">
        <v>228</v>
      </c>
      <c r="BD193" s="0" t="s">
        <v>228</v>
      </c>
      <c r="BE193" s="0" t="s">
        <v>3627</v>
      </c>
      <c r="BF193" s="0" t="s">
        <v>3619</v>
      </c>
      <c r="BG193" s="0" t="s">
        <v>111</v>
      </c>
      <c r="BH193" s="0" t="s">
        <v>3665</v>
      </c>
      <c r="BI193" s="0" t="s">
        <v>122</v>
      </c>
      <c r="BJ193" s="0" t="s">
        <v>228</v>
      </c>
      <c r="BK193" s="0" t="s">
        <v>3684</v>
      </c>
      <c r="BL193" s="0" t="s">
        <v>2317</v>
      </c>
      <c r="BM193" s="0" t="s">
        <v>2317</v>
      </c>
      <c r="BN193" s="0" t="s">
        <v>3740</v>
      </c>
      <c r="BO193" s="0" t="s">
        <v>4053</v>
      </c>
      <c r="BP193" s="0" t="s">
        <v>4503</v>
      </c>
      <c r="BQ193" s="0" t="s">
        <v>3651</v>
      </c>
      <c r="BR193" s="0" t="s">
        <v>3651</v>
      </c>
      <c r="BS193" s="0" t="s">
        <v>228</v>
      </c>
      <c r="BT193" s="0" t="s">
        <v>3727</v>
      </c>
      <c r="BU193" s="0" t="s">
        <v>4504</v>
      </c>
      <c r="BV193" s="0" t="s">
        <v>4504</v>
      </c>
      <c r="BW193" s="0" t="s">
        <v>3674</v>
      </c>
      <c r="BX193" s="0" t="s">
        <v>3674</v>
      </c>
      <c r="BY193" s="0" t="s">
        <v>3674</v>
      </c>
      <c r="BZ193" s="0" t="s">
        <v>3674</v>
      </c>
      <c r="CA193" s="0" t="s">
        <v>3674</v>
      </c>
      <c r="CB193" s="0" t="s">
        <v>228</v>
      </c>
      <c r="CC193" s="0" t="s">
        <v>228</v>
      </c>
      <c r="CD193" s="0" t="s">
        <v>228</v>
      </c>
      <c r="CE193" s="0" t="s">
        <v>228</v>
      </c>
      <c r="CF193" s="0" t="s">
        <v>228</v>
      </c>
      <c r="CG193" s="0" t="s">
        <v>3674</v>
      </c>
      <c r="CH193" s="0" t="s">
        <v>228</v>
      </c>
      <c r="CI193" s="0" t="s">
        <v>228</v>
      </c>
      <c r="CJ193" s="0" t="s">
        <v>228</v>
      </c>
      <c r="CK193" s="0" t="s">
        <v>228</v>
      </c>
      <c r="CL193" s="0" t="s">
        <v>228</v>
      </c>
      <c r="CM193" s="0" t="s">
        <v>4504</v>
      </c>
      <c r="CN193" s="0" t="s">
        <v>4504</v>
      </c>
      <c r="CO193" s="0" t="s">
        <v>228</v>
      </c>
      <c r="CP193" s="0" t="s">
        <v>228</v>
      </c>
      <c r="CQ193" s="0" t="s">
        <v>228</v>
      </c>
      <c r="CR193" s="0" t="s">
        <v>228</v>
      </c>
      <c r="CS193" s="0" t="s">
        <v>3743</v>
      </c>
      <c r="CT193" s="0" t="s">
        <v>3568</v>
      </c>
      <c r="CU193" s="0" t="s">
        <v>3569</v>
      </c>
      <c r="CV193" s="0" t="s">
        <v>418</v>
      </c>
      <c r="CW193" s="0" t="s">
        <v>3622</v>
      </c>
      <c r="CX193" s="0" t="s">
        <v>419</v>
      </c>
      <c r="CY193" s="0" t="s">
        <v>418</v>
      </c>
      <c r="CZ193" s="0" t="s">
        <v>3623</v>
      </c>
      <c r="DA193" s="0" t="s">
        <v>3624</v>
      </c>
      <c r="DB193" s="0" t="s">
        <v>3622</v>
      </c>
      <c r="DC193" s="0" t="s">
        <v>362</v>
      </c>
      <c r="DD193" s="0" t="s">
        <v>3572</v>
      </c>
      <c r="DE193" s="0" t="s">
        <v>4505</v>
      </c>
    </row>
    <row customHeight="1" ht="11.25">
      <c r="A194" s="1353" t="s">
        <v>228</v>
      </c>
      <c r="B194" s="0" t="s">
        <v>228</v>
      </c>
      <c r="C194" s="0" t="s">
        <v>228</v>
      </c>
      <c r="D194" s="0" t="s">
        <v>228</v>
      </c>
      <c r="E194" s="0" t="s">
        <v>228</v>
      </c>
      <c r="F194" s="0" t="s">
        <v>228</v>
      </c>
      <c r="G194" s="0" t="s">
        <v>228</v>
      </c>
      <c r="H194" s="0" t="s">
        <v>228</v>
      </c>
      <c r="I194" s="0" t="s">
        <v>3555</v>
      </c>
      <c r="J194" s="0" t="s">
        <v>228</v>
      </c>
      <c r="K194" s="0" t="s">
        <v>228</v>
      </c>
      <c r="L194" s="0" t="s">
        <v>228</v>
      </c>
      <c r="M194" s="0" t="s">
        <v>228</v>
      </c>
      <c r="N194" s="0" t="s">
        <v>228</v>
      </c>
      <c r="O194" s="0" t="s">
        <v>228</v>
      </c>
      <c r="P194" s="0" t="s">
        <v>228</v>
      </c>
      <c r="Q194" s="0" t="s">
        <v>228</v>
      </c>
      <c r="R194" s="0" t="s">
        <v>4506</v>
      </c>
      <c r="S194" s="0" t="s">
        <v>228</v>
      </c>
      <c r="T194" s="0" t="s">
        <v>228</v>
      </c>
      <c r="U194" s="0" t="s">
        <v>101</v>
      </c>
      <c r="V194" s="0" t="s">
        <v>228</v>
      </c>
      <c r="W194" s="0" t="s">
        <v>228</v>
      </c>
      <c r="X194" s="0" t="s">
        <v>3661</v>
      </c>
      <c r="Y194" s="0" t="s">
        <v>228</v>
      </c>
      <c r="Z194" s="0" t="s">
        <v>151</v>
      </c>
      <c r="AA194" s="0" t="s">
        <v>151</v>
      </c>
      <c r="AB194" s="0" t="s">
        <v>160</v>
      </c>
      <c r="AC194" s="0" t="s">
        <v>2317</v>
      </c>
      <c r="AD194" s="0" t="s">
        <v>2317</v>
      </c>
      <c r="AE194" s="0" t="s">
        <v>2318</v>
      </c>
      <c r="AF194" s="0" t="s">
        <v>4245</v>
      </c>
      <c r="AG194" s="0" t="s">
        <v>4246</v>
      </c>
      <c r="AH194" s="0" t="s">
        <v>3651</v>
      </c>
      <c r="AI194" s="0" t="s">
        <v>3651</v>
      </c>
      <c r="AJ194" s="0" t="s">
        <v>228</v>
      </c>
      <c r="AK194" s="0" t="s">
        <v>228</v>
      </c>
      <c r="AL194" s="0" t="s">
        <v>228</v>
      </c>
      <c r="AM194" s="0" t="s">
        <v>228</v>
      </c>
      <c r="AN194" s="0" t="s">
        <v>228</v>
      </c>
      <c r="AO194" s="0" t="s">
        <v>228</v>
      </c>
      <c r="AP194" s="0" t="s">
        <v>228</v>
      </c>
      <c r="AQ194" s="0" t="s">
        <v>228</v>
      </c>
      <c r="AR194" s="0" t="s">
        <v>228</v>
      </c>
      <c r="AS194" s="0" t="s">
        <v>228</v>
      </c>
      <c r="AT194" s="0" t="s">
        <v>228</v>
      </c>
      <c r="AU194" s="0" t="s">
        <v>228</v>
      </c>
      <c r="AV194" s="0" t="s">
        <v>228</v>
      </c>
      <c r="AW194" s="0" t="s">
        <v>228</v>
      </c>
      <c r="AX194" s="0" t="s">
        <v>228</v>
      </c>
      <c r="AY194" s="0" t="s">
        <v>228</v>
      </c>
      <c r="AZ194" s="0" t="s">
        <v>228</v>
      </c>
      <c r="BA194" s="0" t="s">
        <v>228</v>
      </c>
      <c r="BB194" s="0" t="s">
        <v>228</v>
      </c>
      <c r="BC194" s="0" t="s">
        <v>228</v>
      </c>
      <c r="BD194" s="0" t="s">
        <v>228</v>
      </c>
      <c r="BE194" s="0" t="s">
        <v>3652</v>
      </c>
      <c r="BF194" s="0" t="s">
        <v>3619</v>
      </c>
      <c r="BG194" s="0" t="s">
        <v>111</v>
      </c>
      <c r="BH194" s="0" t="s">
        <v>3665</v>
      </c>
      <c r="BI194" s="0" t="s">
        <v>122</v>
      </c>
      <c r="BJ194" s="0" t="s">
        <v>228</v>
      </c>
      <c r="BK194" s="0" t="s">
        <v>3684</v>
      </c>
      <c r="BL194" s="0" t="s">
        <v>2317</v>
      </c>
      <c r="BM194" s="0" t="s">
        <v>2317</v>
      </c>
      <c r="BN194" s="0" t="s">
        <v>3740</v>
      </c>
      <c r="BO194" s="0" t="s">
        <v>4245</v>
      </c>
      <c r="BP194" s="0" t="s">
        <v>4507</v>
      </c>
      <c r="BQ194" s="0" t="s">
        <v>3651</v>
      </c>
      <c r="BR194" s="0" t="s">
        <v>3651</v>
      </c>
      <c r="BS194" s="0" t="s">
        <v>228</v>
      </c>
      <c r="BT194" s="0" t="s">
        <v>3727</v>
      </c>
      <c r="BU194" s="0" t="s">
        <v>4508</v>
      </c>
      <c r="BV194" s="0" t="s">
        <v>4508</v>
      </c>
      <c r="BW194" s="0" t="s">
        <v>3674</v>
      </c>
      <c r="BX194" s="0" t="s">
        <v>3674</v>
      </c>
      <c r="BY194" s="0" t="s">
        <v>3674</v>
      </c>
      <c r="BZ194" s="0" t="s">
        <v>3674</v>
      </c>
      <c r="CA194" s="0" t="s">
        <v>3674</v>
      </c>
      <c r="CB194" s="0" t="s">
        <v>228</v>
      </c>
      <c r="CC194" s="0" t="s">
        <v>228</v>
      </c>
      <c r="CD194" s="0" t="s">
        <v>228</v>
      </c>
      <c r="CE194" s="0" t="s">
        <v>228</v>
      </c>
      <c r="CF194" s="0" t="s">
        <v>228</v>
      </c>
      <c r="CG194" s="0" t="s">
        <v>3674</v>
      </c>
      <c r="CH194" s="0" t="s">
        <v>228</v>
      </c>
      <c r="CI194" s="0" t="s">
        <v>228</v>
      </c>
      <c r="CJ194" s="0" t="s">
        <v>228</v>
      </c>
      <c r="CK194" s="0" t="s">
        <v>228</v>
      </c>
      <c r="CL194" s="0" t="s">
        <v>228</v>
      </c>
      <c r="CM194" s="0" t="s">
        <v>4508</v>
      </c>
      <c r="CN194" s="0" t="s">
        <v>4508</v>
      </c>
      <c r="CO194" s="0" t="s">
        <v>228</v>
      </c>
      <c r="CP194" s="0" t="s">
        <v>228</v>
      </c>
      <c r="CQ194" s="0" t="s">
        <v>228</v>
      </c>
      <c r="CR194" s="0" t="s">
        <v>228</v>
      </c>
      <c r="CS194" s="0" t="s">
        <v>3743</v>
      </c>
      <c r="CT194" s="0" t="s">
        <v>3568</v>
      </c>
      <c r="CU194" s="0" t="s">
        <v>3569</v>
      </c>
      <c r="CV194" s="0" t="s">
        <v>418</v>
      </c>
      <c r="CW194" s="0" t="s">
        <v>3622</v>
      </c>
      <c r="CX194" s="0" t="s">
        <v>419</v>
      </c>
      <c r="CY194" s="0" t="s">
        <v>418</v>
      </c>
      <c r="CZ194" s="0" t="s">
        <v>3623</v>
      </c>
      <c r="DA194" s="0" t="s">
        <v>3624</v>
      </c>
      <c r="DB194" s="0" t="s">
        <v>3622</v>
      </c>
      <c r="DC194" s="0" t="s">
        <v>362</v>
      </c>
      <c r="DD194" s="0" t="s">
        <v>3572</v>
      </c>
      <c r="DE194" s="0" t="s">
        <v>4509</v>
      </c>
    </row>
    <row customHeight="1" ht="11.25">
      <c r="A195" s="1353" t="s">
        <v>228</v>
      </c>
      <c r="B195" s="0" t="s">
        <v>228</v>
      </c>
      <c r="C195" s="0" t="s">
        <v>228</v>
      </c>
      <c r="D195" s="0" t="s">
        <v>228</v>
      </c>
      <c r="E195" s="0" t="s">
        <v>228</v>
      </c>
      <c r="F195" s="0" t="s">
        <v>228</v>
      </c>
      <c r="G195" s="0" t="s">
        <v>228</v>
      </c>
      <c r="H195" s="0" t="s">
        <v>228</v>
      </c>
      <c r="I195" s="0" t="s">
        <v>3555</v>
      </c>
      <c r="J195" s="0" t="s">
        <v>228</v>
      </c>
      <c r="K195" s="0" t="s">
        <v>228</v>
      </c>
      <c r="L195" s="0" t="s">
        <v>228</v>
      </c>
      <c r="M195" s="0" t="s">
        <v>228</v>
      </c>
      <c r="N195" s="0" t="s">
        <v>228</v>
      </c>
      <c r="O195" s="0" t="s">
        <v>228</v>
      </c>
      <c r="P195" s="0" t="s">
        <v>228</v>
      </c>
      <c r="Q195" s="0" t="s">
        <v>228</v>
      </c>
      <c r="R195" s="0" t="s">
        <v>3648</v>
      </c>
      <c r="S195" s="0" t="s">
        <v>228</v>
      </c>
      <c r="T195" s="0" t="s">
        <v>228</v>
      </c>
      <c r="U195" s="0" t="s">
        <v>101</v>
      </c>
      <c r="V195" s="0" t="s">
        <v>228</v>
      </c>
      <c r="W195" s="0" t="s">
        <v>228</v>
      </c>
      <c r="X195" s="0" t="s">
        <v>3557</v>
      </c>
      <c r="Y195" s="0" t="s">
        <v>228</v>
      </c>
      <c r="Z195" s="0" t="s">
        <v>160</v>
      </c>
      <c r="AA195" s="0" t="s">
        <v>151</v>
      </c>
      <c r="AB195" s="0" t="s">
        <v>151</v>
      </c>
      <c r="AC195" s="0" t="s">
        <v>2317</v>
      </c>
      <c r="AD195" s="0" t="s">
        <v>2317</v>
      </c>
      <c r="AE195" s="0" t="s">
        <v>2318</v>
      </c>
      <c r="AF195" s="0" t="s">
        <v>4245</v>
      </c>
      <c r="AG195" s="0" t="s">
        <v>4246</v>
      </c>
      <c r="AH195" s="0" t="s">
        <v>4510</v>
      </c>
      <c r="AI195" s="0" t="s">
        <v>4416</v>
      </c>
      <c r="AJ195" s="0" t="s">
        <v>3627</v>
      </c>
      <c r="AK195" s="0" t="s">
        <v>3619</v>
      </c>
      <c r="AL195" s="0" t="s">
        <v>3581</v>
      </c>
      <c r="AM195" s="0" t="s">
        <v>3565</v>
      </c>
      <c r="AN195" s="0" t="s">
        <v>3628</v>
      </c>
      <c r="AO195" s="0" t="s">
        <v>3915</v>
      </c>
      <c r="AP195" s="0" t="s">
        <v>228</v>
      </c>
      <c r="AQ195" s="0" t="s">
        <v>228</v>
      </c>
      <c r="AR195" s="0" t="s">
        <v>228</v>
      </c>
      <c r="AS195" s="0" t="s">
        <v>228</v>
      </c>
      <c r="AT195" s="0" t="s">
        <v>228</v>
      </c>
      <c r="AU195" s="0" t="s">
        <v>228</v>
      </c>
      <c r="AV195" s="0" t="s">
        <v>228</v>
      </c>
      <c r="AW195" s="0" t="s">
        <v>228</v>
      </c>
      <c r="AX195" s="0" t="s">
        <v>228</v>
      </c>
      <c r="AY195" s="0" t="s">
        <v>228</v>
      </c>
      <c r="AZ195" s="0" t="s">
        <v>228</v>
      </c>
      <c r="BA195" s="0" t="s">
        <v>228</v>
      </c>
      <c r="BB195" s="0" t="s">
        <v>228</v>
      </c>
      <c r="BC195" s="0" t="s">
        <v>228</v>
      </c>
      <c r="BD195" s="0" t="s">
        <v>228</v>
      </c>
      <c r="BE195" s="0" t="s">
        <v>228</v>
      </c>
      <c r="BF195" s="0" t="s">
        <v>228</v>
      </c>
      <c r="BG195" s="0" t="s">
        <v>228</v>
      </c>
      <c r="BH195" s="0" t="s">
        <v>228</v>
      </c>
      <c r="BI195" s="0" t="s">
        <v>228</v>
      </c>
      <c r="BJ195" s="0" t="s">
        <v>228</v>
      </c>
      <c r="BK195" s="0" t="s">
        <v>228</v>
      </c>
      <c r="BL195" s="0" t="s">
        <v>228</v>
      </c>
      <c r="BM195" s="0" t="s">
        <v>228</v>
      </c>
      <c r="BN195" s="0" t="s">
        <v>228</v>
      </c>
      <c r="BO195" s="0" t="s">
        <v>228</v>
      </c>
      <c r="BP195" s="0" t="s">
        <v>228</v>
      </c>
      <c r="BQ195" s="0" t="s">
        <v>228</v>
      </c>
      <c r="BR195" s="0" t="s">
        <v>228</v>
      </c>
      <c r="BS195" s="0" t="s">
        <v>228</v>
      </c>
      <c r="BT195" s="0" t="s">
        <v>228</v>
      </c>
      <c r="BU195" s="0" t="s">
        <v>228</v>
      </c>
      <c r="BV195" s="0" t="s">
        <v>228</v>
      </c>
      <c r="BW195" s="0" t="s">
        <v>228</v>
      </c>
      <c r="BX195" s="0" t="s">
        <v>228</v>
      </c>
      <c r="BY195" s="0" t="s">
        <v>228</v>
      </c>
      <c r="BZ195" s="0" t="s">
        <v>228</v>
      </c>
      <c r="CA195" s="0" t="s">
        <v>228</v>
      </c>
      <c r="CB195" s="0" t="s">
        <v>228</v>
      </c>
      <c r="CC195" s="0" t="s">
        <v>228</v>
      </c>
      <c r="CD195" s="0" t="s">
        <v>228</v>
      </c>
      <c r="CE195" s="0" t="s">
        <v>228</v>
      </c>
      <c r="CF195" s="0" t="s">
        <v>228</v>
      </c>
      <c r="CG195" s="0" t="s">
        <v>228</v>
      </c>
      <c r="CH195" s="0" t="s">
        <v>228</v>
      </c>
      <c r="CI195" s="0" t="s">
        <v>228</v>
      </c>
      <c r="CJ195" s="0" t="s">
        <v>228</v>
      </c>
      <c r="CK195" s="0" t="s">
        <v>228</v>
      </c>
      <c r="CL195" s="0" t="s">
        <v>228</v>
      </c>
      <c r="CM195" s="0" t="s">
        <v>228</v>
      </c>
      <c r="CN195" s="0" t="s">
        <v>228</v>
      </c>
      <c r="CO195" s="0" t="s">
        <v>228</v>
      </c>
      <c r="CP195" s="0" t="s">
        <v>228</v>
      </c>
      <c r="CQ195" s="0" t="s">
        <v>228</v>
      </c>
      <c r="CR195" s="0" t="s">
        <v>228</v>
      </c>
      <c r="CS195" s="0" t="s">
        <v>228</v>
      </c>
      <c r="CT195" s="0" t="s">
        <v>3568</v>
      </c>
      <c r="CU195" s="0" t="s">
        <v>3569</v>
      </c>
      <c r="CV195" s="0" t="s">
        <v>418</v>
      </c>
      <c r="CW195" s="0" t="s">
        <v>3622</v>
      </c>
      <c r="CX195" s="0" t="s">
        <v>419</v>
      </c>
      <c r="CY195" s="0" t="s">
        <v>418</v>
      </c>
      <c r="CZ195" s="0" t="s">
        <v>3623</v>
      </c>
      <c r="DA195" s="0" t="s">
        <v>3624</v>
      </c>
      <c r="DB195" s="0" t="s">
        <v>3622</v>
      </c>
      <c r="DC195" s="0" t="s">
        <v>362</v>
      </c>
      <c r="DD195" s="0" t="s">
        <v>3572</v>
      </c>
      <c r="DE195" s="0" t="s">
        <v>4511</v>
      </c>
    </row>
    <row customHeight="1" ht="11.25">
      <c r="A196" s="1353" t="s">
        <v>228</v>
      </c>
      <c r="B196" s="0" t="s">
        <v>228</v>
      </c>
      <c r="C196" s="0" t="s">
        <v>228</v>
      </c>
      <c r="D196" s="0" t="s">
        <v>228</v>
      </c>
      <c r="E196" s="0" t="s">
        <v>228</v>
      </c>
      <c r="F196" s="0" t="s">
        <v>228</v>
      </c>
      <c r="G196" s="0" t="s">
        <v>228</v>
      </c>
      <c r="H196" s="0" t="s">
        <v>228</v>
      </c>
      <c r="I196" s="0" t="s">
        <v>3555</v>
      </c>
      <c r="J196" s="0" t="s">
        <v>228</v>
      </c>
      <c r="K196" s="0" t="s">
        <v>228</v>
      </c>
      <c r="L196" s="0" t="s">
        <v>228</v>
      </c>
      <c r="M196" s="0" t="s">
        <v>228</v>
      </c>
      <c r="N196" s="0" t="s">
        <v>228</v>
      </c>
      <c r="O196" s="0" t="s">
        <v>228</v>
      </c>
      <c r="P196" s="0" t="s">
        <v>228</v>
      </c>
      <c r="Q196" s="0" t="s">
        <v>228</v>
      </c>
      <c r="R196" s="0" t="s">
        <v>3648</v>
      </c>
      <c r="S196" s="0" t="s">
        <v>228</v>
      </c>
      <c r="T196" s="0" t="s">
        <v>228</v>
      </c>
      <c r="U196" s="0" t="s">
        <v>101</v>
      </c>
      <c r="V196" s="0" t="s">
        <v>228</v>
      </c>
      <c r="W196" s="0" t="s">
        <v>228</v>
      </c>
      <c r="X196" s="0" t="s">
        <v>3557</v>
      </c>
      <c r="Y196" s="0" t="s">
        <v>228</v>
      </c>
      <c r="Z196" s="0" t="s">
        <v>160</v>
      </c>
      <c r="AA196" s="0" t="s">
        <v>151</v>
      </c>
      <c r="AB196" s="0" t="s">
        <v>151</v>
      </c>
      <c r="AC196" s="0" t="s">
        <v>2317</v>
      </c>
      <c r="AD196" s="0" t="s">
        <v>2317</v>
      </c>
      <c r="AE196" s="0" t="s">
        <v>2318</v>
      </c>
      <c r="AF196" s="0" t="s">
        <v>4487</v>
      </c>
      <c r="AG196" s="0" t="s">
        <v>4488</v>
      </c>
      <c r="AH196" s="0" t="s">
        <v>4512</v>
      </c>
      <c r="AI196" s="0" t="s">
        <v>4513</v>
      </c>
      <c r="AJ196" s="0" t="s">
        <v>4514</v>
      </c>
      <c r="AK196" s="0" t="s">
        <v>4515</v>
      </c>
      <c r="AL196" s="0" t="s">
        <v>4292</v>
      </c>
      <c r="AM196" s="0" t="s">
        <v>3565</v>
      </c>
      <c r="AN196" s="0" t="s">
        <v>3620</v>
      </c>
      <c r="AO196" s="0" t="s">
        <v>3712</v>
      </c>
      <c r="AP196" s="0" t="s">
        <v>228</v>
      </c>
      <c r="AQ196" s="0" t="s">
        <v>228</v>
      </c>
      <c r="AR196" s="0" t="s">
        <v>228</v>
      </c>
      <c r="AS196" s="0" t="s">
        <v>228</v>
      </c>
      <c r="AT196" s="0" t="s">
        <v>228</v>
      </c>
      <c r="AU196" s="0" t="s">
        <v>228</v>
      </c>
      <c r="AV196" s="0" t="s">
        <v>228</v>
      </c>
      <c r="AW196" s="0" t="s">
        <v>228</v>
      </c>
      <c r="AX196" s="0" t="s">
        <v>228</v>
      </c>
      <c r="AY196" s="0" t="s">
        <v>228</v>
      </c>
      <c r="AZ196" s="0" t="s">
        <v>228</v>
      </c>
      <c r="BA196" s="0" t="s">
        <v>228</v>
      </c>
      <c r="BB196" s="0" t="s">
        <v>228</v>
      </c>
      <c r="BC196" s="0" t="s">
        <v>228</v>
      </c>
      <c r="BD196" s="0" t="s">
        <v>228</v>
      </c>
      <c r="BE196" s="0" t="s">
        <v>228</v>
      </c>
      <c r="BF196" s="0" t="s">
        <v>228</v>
      </c>
      <c r="BG196" s="0" t="s">
        <v>228</v>
      </c>
      <c r="BH196" s="0" t="s">
        <v>228</v>
      </c>
      <c r="BI196" s="0" t="s">
        <v>228</v>
      </c>
      <c r="BJ196" s="0" t="s">
        <v>228</v>
      </c>
      <c r="BK196" s="0" t="s">
        <v>228</v>
      </c>
      <c r="BL196" s="0" t="s">
        <v>228</v>
      </c>
      <c r="BM196" s="0" t="s">
        <v>228</v>
      </c>
      <c r="BN196" s="0" t="s">
        <v>228</v>
      </c>
      <c r="BO196" s="0" t="s">
        <v>228</v>
      </c>
      <c r="BP196" s="0" t="s">
        <v>228</v>
      </c>
      <c r="BQ196" s="0" t="s">
        <v>228</v>
      </c>
      <c r="BR196" s="0" t="s">
        <v>228</v>
      </c>
      <c r="BS196" s="0" t="s">
        <v>228</v>
      </c>
      <c r="BT196" s="0" t="s">
        <v>228</v>
      </c>
      <c r="BU196" s="0" t="s">
        <v>228</v>
      </c>
      <c r="BV196" s="0" t="s">
        <v>228</v>
      </c>
      <c r="BW196" s="0" t="s">
        <v>228</v>
      </c>
      <c r="BX196" s="0" t="s">
        <v>228</v>
      </c>
      <c r="BY196" s="0" t="s">
        <v>228</v>
      </c>
      <c r="BZ196" s="0" t="s">
        <v>228</v>
      </c>
      <c r="CA196" s="0" t="s">
        <v>228</v>
      </c>
      <c r="CB196" s="0" t="s">
        <v>228</v>
      </c>
      <c r="CC196" s="0" t="s">
        <v>228</v>
      </c>
      <c r="CD196" s="0" t="s">
        <v>228</v>
      </c>
      <c r="CE196" s="0" t="s">
        <v>228</v>
      </c>
      <c r="CF196" s="0" t="s">
        <v>228</v>
      </c>
      <c r="CG196" s="0" t="s">
        <v>228</v>
      </c>
      <c r="CH196" s="0" t="s">
        <v>228</v>
      </c>
      <c r="CI196" s="0" t="s">
        <v>228</v>
      </c>
      <c r="CJ196" s="0" t="s">
        <v>228</v>
      </c>
      <c r="CK196" s="0" t="s">
        <v>228</v>
      </c>
      <c r="CL196" s="0" t="s">
        <v>228</v>
      </c>
      <c r="CM196" s="0" t="s">
        <v>228</v>
      </c>
      <c r="CN196" s="0" t="s">
        <v>228</v>
      </c>
      <c r="CO196" s="0" t="s">
        <v>228</v>
      </c>
      <c r="CP196" s="0" t="s">
        <v>228</v>
      </c>
      <c r="CQ196" s="0" t="s">
        <v>228</v>
      </c>
      <c r="CR196" s="0" t="s">
        <v>228</v>
      </c>
      <c r="CS196" s="0" t="s">
        <v>228</v>
      </c>
      <c r="CT196" s="0" t="s">
        <v>3568</v>
      </c>
      <c r="CU196" s="0" t="s">
        <v>3569</v>
      </c>
      <c r="CV196" s="0" t="s">
        <v>418</v>
      </c>
      <c r="CW196" s="0" t="s">
        <v>3622</v>
      </c>
      <c r="CX196" s="0" t="s">
        <v>419</v>
      </c>
      <c r="CY196" s="0" t="s">
        <v>418</v>
      </c>
      <c r="CZ196" s="0" t="s">
        <v>3623</v>
      </c>
      <c r="DA196" s="0" t="s">
        <v>3624</v>
      </c>
      <c r="DB196" s="0" t="s">
        <v>3622</v>
      </c>
      <c r="DC196" s="0" t="s">
        <v>362</v>
      </c>
      <c r="DD196" s="0" t="s">
        <v>3572</v>
      </c>
      <c r="DE196" s="0" t="s">
        <v>4516</v>
      </c>
    </row>
    <row customHeight="1" ht="11.25">
      <c r="A197" s="1353" t="s">
        <v>228</v>
      </c>
      <c r="B197" s="0" t="s">
        <v>228</v>
      </c>
      <c r="C197" s="0" t="s">
        <v>228</v>
      </c>
      <c r="D197" s="0" t="s">
        <v>228</v>
      </c>
      <c r="E197" s="0" t="s">
        <v>228</v>
      </c>
      <c r="F197" s="0" t="s">
        <v>228</v>
      </c>
      <c r="G197" s="0" t="s">
        <v>228</v>
      </c>
      <c r="H197" s="0" t="s">
        <v>228</v>
      </c>
      <c r="I197" s="0" t="s">
        <v>3555</v>
      </c>
      <c r="J197" s="0" t="s">
        <v>228</v>
      </c>
      <c r="K197" s="0" t="s">
        <v>228</v>
      </c>
      <c r="L197" s="0" t="s">
        <v>228</v>
      </c>
      <c r="M197" s="0" t="s">
        <v>228</v>
      </c>
      <c r="N197" s="0" t="s">
        <v>228</v>
      </c>
      <c r="O197" s="0" t="s">
        <v>228</v>
      </c>
      <c r="P197" s="0" t="s">
        <v>228</v>
      </c>
      <c r="Q197" s="0" t="s">
        <v>228</v>
      </c>
      <c r="R197" s="0" t="s">
        <v>4517</v>
      </c>
      <c r="S197" s="0" t="s">
        <v>228</v>
      </c>
      <c r="T197" s="0" t="s">
        <v>228</v>
      </c>
      <c r="U197" s="0" t="s">
        <v>101</v>
      </c>
      <c r="V197" s="0" t="s">
        <v>228</v>
      </c>
      <c r="W197" s="0" t="s">
        <v>228</v>
      </c>
      <c r="X197" s="0" t="s">
        <v>3661</v>
      </c>
      <c r="Y197" s="0" t="s">
        <v>228</v>
      </c>
      <c r="Z197" s="0" t="s">
        <v>151</v>
      </c>
      <c r="AA197" s="0" t="s">
        <v>151</v>
      </c>
      <c r="AB197" s="0" t="s">
        <v>160</v>
      </c>
      <c r="AC197" s="0" t="s">
        <v>2315</v>
      </c>
      <c r="AD197" s="0" t="s">
        <v>2315</v>
      </c>
      <c r="AE197" s="0" t="s">
        <v>2316</v>
      </c>
      <c r="AF197" s="0" t="s">
        <v>4498</v>
      </c>
      <c r="AG197" s="0" t="s">
        <v>4499</v>
      </c>
      <c r="AH197" s="0" t="s">
        <v>3651</v>
      </c>
      <c r="AI197" s="0" t="s">
        <v>3651</v>
      </c>
      <c r="AJ197" s="0" t="s">
        <v>228</v>
      </c>
      <c r="AK197" s="0" t="s">
        <v>228</v>
      </c>
      <c r="AL197" s="0" t="s">
        <v>228</v>
      </c>
      <c r="AM197" s="0" t="s">
        <v>228</v>
      </c>
      <c r="AN197" s="0" t="s">
        <v>228</v>
      </c>
      <c r="AO197" s="0" t="s">
        <v>228</v>
      </c>
      <c r="AP197" s="0" t="s">
        <v>228</v>
      </c>
      <c r="AQ197" s="0" t="s">
        <v>228</v>
      </c>
      <c r="AR197" s="0" t="s">
        <v>228</v>
      </c>
      <c r="AS197" s="0" t="s">
        <v>228</v>
      </c>
      <c r="AT197" s="0" t="s">
        <v>228</v>
      </c>
      <c r="AU197" s="0" t="s">
        <v>228</v>
      </c>
      <c r="AV197" s="0" t="s">
        <v>228</v>
      </c>
      <c r="AW197" s="0" t="s">
        <v>228</v>
      </c>
      <c r="AX197" s="0" t="s">
        <v>228</v>
      </c>
      <c r="AY197" s="0" t="s">
        <v>228</v>
      </c>
      <c r="AZ197" s="0" t="s">
        <v>228</v>
      </c>
      <c r="BA197" s="0" t="s">
        <v>228</v>
      </c>
      <c r="BB197" s="0" t="s">
        <v>228</v>
      </c>
      <c r="BC197" s="0" t="s">
        <v>228</v>
      </c>
      <c r="BD197" s="0" t="s">
        <v>228</v>
      </c>
      <c r="BE197" s="0" t="s">
        <v>3652</v>
      </c>
      <c r="BF197" s="0" t="s">
        <v>4500</v>
      </c>
      <c r="BG197" s="0" t="s">
        <v>111</v>
      </c>
      <c r="BH197" s="0" t="s">
        <v>3665</v>
      </c>
      <c r="BI197" s="0" t="s">
        <v>122</v>
      </c>
      <c r="BJ197" s="0" t="s">
        <v>228</v>
      </c>
      <c r="BK197" s="0" t="s">
        <v>3684</v>
      </c>
      <c r="BL197" s="0" t="s">
        <v>2315</v>
      </c>
      <c r="BM197" s="0" t="s">
        <v>2315</v>
      </c>
      <c r="BN197" s="0" t="s">
        <v>3875</v>
      </c>
      <c r="BO197" s="0" t="s">
        <v>4498</v>
      </c>
      <c r="BP197" s="0" t="s">
        <v>4518</v>
      </c>
      <c r="BQ197" s="0" t="s">
        <v>3651</v>
      </c>
      <c r="BR197" s="0" t="s">
        <v>3651</v>
      </c>
      <c r="BS197" s="0" t="s">
        <v>228</v>
      </c>
      <c r="BT197" s="0" t="s">
        <v>3727</v>
      </c>
      <c r="BU197" s="0" t="s">
        <v>4519</v>
      </c>
      <c r="BV197" s="0" t="s">
        <v>4519</v>
      </c>
      <c r="BW197" s="0" t="s">
        <v>3674</v>
      </c>
      <c r="BX197" s="0" t="s">
        <v>3674</v>
      </c>
      <c r="BY197" s="0" t="s">
        <v>3674</v>
      </c>
      <c r="BZ197" s="0" t="s">
        <v>3674</v>
      </c>
      <c r="CA197" s="0" t="s">
        <v>3674</v>
      </c>
      <c r="CB197" s="0" t="s">
        <v>228</v>
      </c>
      <c r="CC197" s="0" t="s">
        <v>228</v>
      </c>
      <c r="CD197" s="0" t="s">
        <v>228</v>
      </c>
      <c r="CE197" s="0" t="s">
        <v>228</v>
      </c>
      <c r="CF197" s="0" t="s">
        <v>228</v>
      </c>
      <c r="CG197" s="0" t="s">
        <v>3674</v>
      </c>
      <c r="CH197" s="0" t="s">
        <v>228</v>
      </c>
      <c r="CI197" s="0" t="s">
        <v>228</v>
      </c>
      <c r="CJ197" s="0" t="s">
        <v>228</v>
      </c>
      <c r="CK197" s="0" t="s">
        <v>228</v>
      </c>
      <c r="CL197" s="0" t="s">
        <v>228</v>
      </c>
      <c r="CM197" s="0" t="s">
        <v>4519</v>
      </c>
      <c r="CN197" s="0" t="s">
        <v>4519</v>
      </c>
      <c r="CO197" s="0" t="s">
        <v>228</v>
      </c>
      <c r="CP197" s="0" t="s">
        <v>228</v>
      </c>
      <c r="CQ197" s="0" t="s">
        <v>228</v>
      </c>
      <c r="CR197" s="0" t="s">
        <v>228</v>
      </c>
      <c r="CS197" s="0" t="s">
        <v>3628</v>
      </c>
      <c r="CT197" s="0" t="s">
        <v>3568</v>
      </c>
      <c r="CU197" s="0" t="s">
        <v>3569</v>
      </c>
      <c r="CV197" s="0" t="s">
        <v>418</v>
      </c>
      <c r="CW197" s="0" t="s">
        <v>3656</v>
      </c>
      <c r="CX197" s="0" t="s">
        <v>419</v>
      </c>
      <c r="CY197" s="0" t="s">
        <v>418</v>
      </c>
      <c r="CZ197" s="0" t="s">
        <v>3657</v>
      </c>
      <c r="DA197" s="0" t="s">
        <v>3658</v>
      </c>
      <c r="DB197" s="0" t="s">
        <v>3656</v>
      </c>
      <c r="DC197" s="0" t="s">
        <v>362</v>
      </c>
      <c r="DD197" s="0" t="s">
        <v>3572</v>
      </c>
      <c r="DE197" s="0" t="s">
        <v>4501</v>
      </c>
    </row>
    <row customHeight="1" ht="11.25">
      <c r="A198" s="1353" t="s">
        <v>228</v>
      </c>
      <c r="B198" s="0" t="s">
        <v>228</v>
      </c>
      <c r="C198" s="0" t="s">
        <v>228</v>
      </c>
      <c r="D198" s="0" t="s">
        <v>228</v>
      </c>
      <c r="E198" s="0" t="s">
        <v>228</v>
      </c>
      <c r="F198" s="0" t="s">
        <v>228</v>
      </c>
      <c r="G198" s="0" t="s">
        <v>228</v>
      </c>
      <c r="H198" s="0" t="s">
        <v>228</v>
      </c>
      <c r="I198" s="0" t="s">
        <v>3555</v>
      </c>
      <c r="J198" s="0" t="s">
        <v>228</v>
      </c>
      <c r="K198" s="0" t="s">
        <v>228</v>
      </c>
      <c r="L198" s="0" t="s">
        <v>228</v>
      </c>
      <c r="M198" s="0" t="s">
        <v>228</v>
      </c>
      <c r="N198" s="0" t="s">
        <v>228</v>
      </c>
      <c r="O198" s="0" t="s">
        <v>228</v>
      </c>
      <c r="P198" s="0" t="s">
        <v>228</v>
      </c>
      <c r="Q198" s="0" t="s">
        <v>228</v>
      </c>
      <c r="R198" s="0" t="s">
        <v>3782</v>
      </c>
      <c r="S198" s="0" t="s">
        <v>228</v>
      </c>
      <c r="T198" s="0" t="s">
        <v>228</v>
      </c>
      <c r="U198" s="0" t="s">
        <v>101</v>
      </c>
      <c r="V198" s="0" t="s">
        <v>228</v>
      </c>
      <c r="W198" s="0" t="s">
        <v>228</v>
      </c>
      <c r="X198" s="0" t="s">
        <v>3661</v>
      </c>
      <c r="Y198" s="0" t="s">
        <v>228</v>
      </c>
      <c r="Z198" s="0" t="s">
        <v>151</v>
      </c>
      <c r="AA198" s="0" t="s">
        <v>151</v>
      </c>
      <c r="AB198" s="0" t="s">
        <v>160</v>
      </c>
      <c r="AC198" s="0" t="s">
        <v>2311</v>
      </c>
      <c r="AD198" s="0" t="s">
        <v>2311</v>
      </c>
      <c r="AE198" s="0" t="s">
        <v>2312</v>
      </c>
      <c r="AF198" s="0" t="s">
        <v>4520</v>
      </c>
      <c r="AG198" s="0" t="s">
        <v>4521</v>
      </c>
      <c r="AH198" s="0" t="s">
        <v>4520</v>
      </c>
      <c r="AI198" s="0" t="s">
        <v>3721</v>
      </c>
      <c r="AJ198" s="0" t="s">
        <v>228</v>
      </c>
      <c r="AK198" s="0" t="s">
        <v>228</v>
      </c>
      <c r="AL198" s="0" t="s">
        <v>228</v>
      </c>
      <c r="AM198" s="0" t="s">
        <v>228</v>
      </c>
      <c r="AN198" s="0" t="s">
        <v>228</v>
      </c>
      <c r="AO198" s="0" t="s">
        <v>228</v>
      </c>
      <c r="AP198" s="0" t="s">
        <v>228</v>
      </c>
      <c r="AQ198" s="0" t="s">
        <v>228</v>
      </c>
      <c r="AR198" s="0" t="s">
        <v>228</v>
      </c>
      <c r="AS198" s="0" t="s">
        <v>228</v>
      </c>
      <c r="AT198" s="0" t="s">
        <v>228</v>
      </c>
      <c r="AU198" s="0" t="s">
        <v>228</v>
      </c>
      <c r="AV198" s="0" t="s">
        <v>228</v>
      </c>
      <c r="AW198" s="0" t="s">
        <v>228</v>
      </c>
      <c r="AX198" s="0" t="s">
        <v>228</v>
      </c>
      <c r="AY198" s="0" t="s">
        <v>228</v>
      </c>
      <c r="AZ198" s="0" t="s">
        <v>228</v>
      </c>
      <c r="BA198" s="0" t="s">
        <v>228</v>
      </c>
      <c r="BB198" s="0" t="s">
        <v>228</v>
      </c>
      <c r="BC198" s="0" t="s">
        <v>228</v>
      </c>
      <c r="BD198" s="0" t="s">
        <v>228</v>
      </c>
      <c r="BE198" s="0" t="s">
        <v>3722</v>
      </c>
      <c r="BF198" s="0" t="s">
        <v>3722</v>
      </c>
      <c r="BG198" s="0" t="s">
        <v>111</v>
      </c>
      <c r="BH198" s="0" t="s">
        <v>3665</v>
      </c>
      <c r="BI198" s="0" t="s">
        <v>122</v>
      </c>
      <c r="BJ198" s="0" t="s">
        <v>228</v>
      </c>
      <c r="BK198" s="0" t="s">
        <v>3684</v>
      </c>
      <c r="BL198" s="0" t="s">
        <v>2311</v>
      </c>
      <c r="BM198" s="0" t="s">
        <v>2311</v>
      </c>
      <c r="BN198" s="0" t="s">
        <v>3723</v>
      </c>
      <c r="BO198" s="0" t="s">
        <v>4520</v>
      </c>
      <c r="BP198" s="0" t="s">
        <v>4522</v>
      </c>
      <c r="BQ198" s="0" t="s">
        <v>4523</v>
      </c>
      <c r="BR198" s="0" t="s">
        <v>4393</v>
      </c>
      <c r="BS198" s="0" t="s">
        <v>228</v>
      </c>
      <c r="BT198" s="0" t="s">
        <v>3727</v>
      </c>
      <c r="BU198" s="0" t="s">
        <v>4524</v>
      </c>
      <c r="BV198" s="0" t="s">
        <v>4524</v>
      </c>
      <c r="BW198" s="0" t="s">
        <v>3674</v>
      </c>
      <c r="BX198" s="0" t="s">
        <v>3674</v>
      </c>
      <c r="BY198" s="0" t="s">
        <v>3674</v>
      </c>
      <c r="BZ198" s="0" t="s">
        <v>3674</v>
      </c>
      <c r="CA198" s="0" t="s">
        <v>3674</v>
      </c>
      <c r="CB198" s="0" t="s">
        <v>228</v>
      </c>
      <c r="CC198" s="0" t="s">
        <v>228</v>
      </c>
      <c r="CD198" s="0" t="s">
        <v>228</v>
      </c>
      <c r="CE198" s="0" t="s">
        <v>228</v>
      </c>
      <c r="CF198" s="0" t="s">
        <v>228</v>
      </c>
      <c r="CG198" s="0" t="s">
        <v>3674</v>
      </c>
      <c r="CH198" s="0" t="s">
        <v>228</v>
      </c>
      <c r="CI198" s="0" t="s">
        <v>228</v>
      </c>
      <c r="CJ198" s="0" t="s">
        <v>228</v>
      </c>
      <c r="CK198" s="0" t="s">
        <v>228</v>
      </c>
      <c r="CL198" s="0" t="s">
        <v>228</v>
      </c>
      <c r="CM198" s="0" t="s">
        <v>4524</v>
      </c>
      <c r="CN198" s="0" t="s">
        <v>4524</v>
      </c>
      <c r="CO198" s="0" t="s">
        <v>228</v>
      </c>
      <c r="CP198" s="0" t="s">
        <v>228</v>
      </c>
      <c r="CQ198" s="0" t="s">
        <v>228</v>
      </c>
      <c r="CR198" s="0" t="s">
        <v>228</v>
      </c>
      <c r="CS198" s="0" t="s">
        <v>3582</v>
      </c>
      <c r="CT198" s="0" t="s">
        <v>3568</v>
      </c>
      <c r="CU198" s="0" t="s">
        <v>3569</v>
      </c>
      <c r="CV198" s="0" t="s">
        <v>418</v>
      </c>
      <c r="CW198" s="0" t="s">
        <v>3584</v>
      </c>
      <c r="CX198" s="0" t="s">
        <v>419</v>
      </c>
      <c r="CY198" s="0" t="s">
        <v>418</v>
      </c>
      <c r="CZ198" s="0" t="s">
        <v>3585</v>
      </c>
      <c r="DA198" s="0" t="s">
        <v>3586</v>
      </c>
      <c r="DB198" s="0" t="s">
        <v>3584</v>
      </c>
      <c r="DC198" s="0" t="s">
        <v>362</v>
      </c>
      <c r="DD198" s="0" t="s">
        <v>3572</v>
      </c>
      <c r="DE198" s="0" t="s">
        <v>4525</v>
      </c>
    </row>
    <row customHeight="1" ht="11.25">
      <c r="A199" s="1353" t="s">
        <v>228</v>
      </c>
      <c r="B199" s="0" t="s">
        <v>228</v>
      </c>
      <c r="C199" s="0" t="s">
        <v>228</v>
      </c>
      <c r="D199" s="0" t="s">
        <v>228</v>
      </c>
      <c r="E199" s="0" t="s">
        <v>228</v>
      </c>
      <c r="F199" s="0" t="s">
        <v>228</v>
      </c>
      <c r="G199" s="0" t="s">
        <v>228</v>
      </c>
      <c r="H199" s="0" t="s">
        <v>228</v>
      </c>
      <c r="I199" s="0" t="s">
        <v>3555</v>
      </c>
      <c r="J199" s="0" t="s">
        <v>228</v>
      </c>
      <c r="K199" s="0" t="s">
        <v>228</v>
      </c>
      <c r="L199" s="0" t="s">
        <v>228</v>
      </c>
      <c r="M199" s="0" t="s">
        <v>228</v>
      </c>
      <c r="N199" s="0" t="s">
        <v>228</v>
      </c>
      <c r="O199" s="0" t="s">
        <v>228</v>
      </c>
      <c r="P199" s="0" t="s">
        <v>228</v>
      </c>
      <c r="Q199" s="0" t="s">
        <v>228</v>
      </c>
      <c r="R199" s="0" t="s">
        <v>4526</v>
      </c>
      <c r="S199" s="0" t="s">
        <v>228</v>
      </c>
      <c r="T199" s="0" t="s">
        <v>228</v>
      </c>
      <c r="U199" s="0" t="s">
        <v>101</v>
      </c>
      <c r="V199" s="0" t="s">
        <v>228</v>
      </c>
      <c r="W199" s="0" t="s">
        <v>228</v>
      </c>
      <c r="X199" s="0" t="s">
        <v>3557</v>
      </c>
      <c r="Y199" s="0" t="s">
        <v>228</v>
      </c>
      <c r="Z199" s="0" t="s">
        <v>160</v>
      </c>
      <c r="AA199" s="0" t="s">
        <v>151</v>
      </c>
      <c r="AB199" s="0" t="s">
        <v>151</v>
      </c>
      <c r="AC199" s="0" t="s">
        <v>2317</v>
      </c>
      <c r="AD199" s="0" t="s">
        <v>2317</v>
      </c>
      <c r="AE199" s="0" t="s">
        <v>2318</v>
      </c>
      <c r="AF199" s="0" t="s">
        <v>4527</v>
      </c>
      <c r="AG199" s="0" t="s">
        <v>4528</v>
      </c>
      <c r="AH199" s="0" t="s">
        <v>4529</v>
      </c>
      <c r="AI199" s="0" t="s">
        <v>4393</v>
      </c>
      <c r="AJ199" s="0" t="s">
        <v>3627</v>
      </c>
      <c r="AK199" s="0" t="s">
        <v>3619</v>
      </c>
      <c r="AL199" s="0" t="s">
        <v>3581</v>
      </c>
      <c r="AM199" s="0" t="s">
        <v>3565</v>
      </c>
      <c r="AN199" s="0" t="s">
        <v>3620</v>
      </c>
      <c r="AO199" s="0" t="s">
        <v>4530</v>
      </c>
      <c r="AP199" s="0" t="s">
        <v>228</v>
      </c>
      <c r="AQ199" s="0" t="s">
        <v>228</v>
      </c>
      <c r="AR199" s="0" t="s">
        <v>228</v>
      </c>
      <c r="AS199" s="0" t="s">
        <v>228</v>
      </c>
      <c r="AT199" s="0" t="s">
        <v>228</v>
      </c>
      <c r="AU199" s="0" t="s">
        <v>228</v>
      </c>
      <c r="AV199" s="0" t="s">
        <v>228</v>
      </c>
      <c r="AW199" s="0" t="s">
        <v>228</v>
      </c>
      <c r="AX199" s="0" t="s">
        <v>228</v>
      </c>
      <c r="AY199" s="0" t="s">
        <v>228</v>
      </c>
      <c r="AZ199" s="0" t="s">
        <v>228</v>
      </c>
      <c r="BA199" s="0" t="s">
        <v>228</v>
      </c>
      <c r="BB199" s="0" t="s">
        <v>228</v>
      </c>
      <c r="BC199" s="0" t="s">
        <v>228</v>
      </c>
      <c r="BD199" s="0" t="s">
        <v>228</v>
      </c>
      <c r="BE199" s="0" t="s">
        <v>228</v>
      </c>
      <c r="BF199" s="0" t="s">
        <v>228</v>
      </c>
      <c r="BG199" s="0" t="s">
        <v>228</v>
      </c>
      <c r="BH199" s="0" t="s">
        <v>228</v>
      </c>
      <c r="BI199" s="0" t="s">
        <v>228</v>
      </c>
      <c r="BJ199" s="0" t="s">
        <v>228</v>
      </c>
      <c r="BK199" s="0" t="s">
        <v>228</v>
      </c>
      <c r="BL199" s="0" t="s">
        <v>228</v>
      </c>
      <c r="BM199" s="0" t="s">
        <v>228</v>
      </c>
      <c r="BN199" s="0" t="s">
        <v>228</v>
      </c>
      <c r="BO199" s="0" t="s">
        <v>228</v>
      </c>
      <c r="BP199" s="0" t="s">
        <v>228</v>
      </c>
      <c r="BQ199" s="0" t="s">
        <v>228</v>
      </c>
      <c r="BR199" s="0" t="s">
        <v>228</v>
      </c>
      <c r="BS199" s="0" t="s">
        <v>228</v>
      </c>
      <c r="BT199" s="0" t="s">
        <v>228</v>
      </c>
      <c r="BU199" s="0" t="s">
        <v>228</v>
      </c>
      <c r="BV199" s="0" t="s">
        <v>228</v>
      </c>
      <c r="BW199" s="0" t="s">
        <v>228</v>
      </c>
      <c r="BX199" s="0" t="s">
        <v>228</v>
      </c>
      <c r="BY199" s="0" t="s">
        <v>228</v>
      </c>
      <c r="BZ199" s="0" t="s">
        <v>228</v>
      </c>
      <c r="CA199" s="0" t="s">
        <v>228</v>
      </c>
      <c r="CB199" s="0" t="s">
        <v>228</v>
      </c>
      <c r="CC199" s="0" t="s">
        <v>228</v>
      </c>
      <c r="CD199" s="0" t="s">
        <v>228</v>
      </c>
      <c r="CE199" s="0" t="s">
        <v>228</v>
      </c>
      <c r="CF199" s="0" t="s">
        <v>228</v>
      </c>
      <c r="CG199" s="0" t="s">
        <v>228</v>
      </c>
      <c r="CH199" s="0" t="s">
        <v>228</v>
      </c>
      <c r="CI199" s="0" t="s">
        <v>228</v>
      </c>
      <c r="CJ199" s="0" t="s">
        <v>228</v>
      </c>
      <c r="CK199" s="0" t="s">
        <v>228</v>
      </c>
      <c r="CL199" s="0" t="s">
        <v>228</v>
      </c>
      <c r="CM199" s="0" t="s">
        <v>228</v>
      </c>
      <c r="CN199" s="0" t="s">
        <v>228</v>
      </c>
      <c r="CO199" s="0" t="s">
        <v>228</v>
      </c>
      <c r="CP199" s="0" t="s">
        <v>228</v>
      </c>
      <c r="CQ199" s="0" t="s">
        <v>228</v>
      </c>
      <c r="CR199" s="0" t="s">
        <v>228</v>
      </c>
      <c r="CS199" s="0" t="s">
        <v>228</v>
      </c>
      <c r="CT199" s="0" t="s">
        <v>3568</v>
      </c>
      <c r="CU199" s="0" t="s">
        <v>3569</v>
      </c>
      <c r="CV199" s="0" t="s">
        <v>418</v>
      </c>
      <c r="CW199" s="0" t="s">
        <v>3622</v>
      </c>
      <c r="CX199" s="0" t="s">
        <v>419</v>
      </c>
      <c r="CY199" s="0" t="s">
        <v>418</v>
      </c>
      <c r="CZ199" s="0" t="s">
        <v>3623</v>
      </c>
      <c r="DA199" s="0" t="s">
        <v>3624</v>
      </c>
      <c r="DB199" s="0" t="s">
        <v>3622</v>
      </c>
      <c r="DC199" s="0" t="s">
        <v>362</v>
      </c>
      <c r="DD199" s="0" t="s">
        <v>3572</v>
      </c>
      <c r="DE199" s="0" t="s">
        <v>4531</v>
      </c>
    </row>
    <row customHeight="1" ht="11.25">
      <c r="A200" s="1353" t="s">
        <v>228</v>
      </c>
      <c r="B200" s="0" t="s">
        <v>228</v>
      </c>
      <c r="C200" s="0" t="s">
        <v>228</v>
      </c>
      <c r="D200" s="0" t="s">
        <v>228</v>
      </c>
      <c r="E200" s="0" t="s">
        <v>228</v>
      </c>
      <c r="F200" s="0" t="s">
        <v>228</v>
      </c>
      <c r="G200" s="0" t="s">
        <v>228</v>
      </c>
      <c r="H200" s="0" t="s">
        <v>228</v>
      </c>
      <c r="I200" s="0" t="s">
        <v>3555</v>
      </c>
      <c r="J200" s="0" t="s">
        <v>228</v>
      </c>
      <c r="K200" s="0" t="s">
        <v>228</v>
      </c>
      <c r="L200" s="0" t="s">
        <v>228</v>
      </c>
      <c r="M200" s="0" t="s">
        <v>228</v>
      </c>
      <c r="N200" s="0" t="s">
        <v>228</v>
      </c>
      <c r="O200" s="0" t="s">
        <v>228</v>
      </c>
      <c r="P200" s="0" t="s">
        <v>228</v>
      </c>
      <c r="Q200" s="0" t="s">
        <v>228</v>
      </c>
      <c r="R200" s="0" t="s">
        <v>4532</v>
      </c>
      <c r="S200" s="0" t="s">
        <v>228</v>
      </c>
      <c r="T200" s="0" t="s">
        <v>228</v>
      </c>
      <c r="U200" s="0" t="s">
        <v>101</v>
      </c>
      <c r="V200" s="0" t="s">
        <v>228</v>
      </c>
      <c r="W200" s="0" t="s">
        <v>228</v>
      </c>
      <c r="X200" s="0" t="s">
        <v>3557</v>
      </c>
      <c r="Y200" s="0" t="s">
        <v>228</v>
      </c>
      <c r="Z200" s="0" t="s">
        <v>160</v>
      </c>
      <c r="AA200" s="0" t="s">
        <v>151</v>
      </c>
      <c r="AB200" s="0" t="s">
        <v>151</v>
      </c>
      <c r="AC200" s="0" t="s">
        <v>2317</v>
      </c>
      <c r="AD200" s="0" t="s">
        <v>2317</v>
      </c>
      <c r="AE200" s="0" t="s">
        <v>2318</v>
      </c>
      <c r="AF200" s="0" t="s">
        <v>4527</v>
      </c>
      <c r="AG200" s="0" t="s">
        <v>4528</v>
      </c>
      <c r="AH200" s="0" t="s">
        <v>3747</v>
      </c>
      <c r="AI200" s="0" t="s">
        <v>3807</v>
      </c>
      <c r="AJ200" s="0" t="s">
        <v>3579</v>
      </c>
      <c r="AK200" s="0" t="s">
        <v>3749</v>
      </c>
      <c r="AL200" s="0" t="s">
        <v>3581</v>
      </c>
      <c r="AM200" s="0" t="s">
        <v>3565</v>
      </c>
      <c r="AN200" s="0" t="s">
        <v>3563</v>
      </c>
      <c r="AO200" s="0" t="s">
        <v>4533</v>
      </c>
      <c r="AP200" s="0" t="s">
        <v>228</v>
      </c>
      <c r="AQ200" s="0" t="s">
        <v>228</v>
      </c>
      <c r="AR200" s="0" t="s">
        <v>228</v>
      </c>
      <c r="AS200" s="0" t="s">
        <v>228</v>
      </c>
      <c r="AT200" s="0" t="s">
        <v>228</v>
      </c>
      <c r="AU200" s="0" t="s">
        <v>228</v>
      </c>
      <c r="AV200" s="0" t="s">
        <v>228</v>
      </c>
      <c r="AW200" s="0" t="s">
        <v>228</v>
      </c>
      <c r="AX200" s="0" t="s">
        <v>228</v>
      </c>
      <c r="AY200" s="0" t="s">
        <v>228</v>
      </c>
      <c r="AZ200" s="0" t="s">
        <v>228</v>
      </c>
      <c r="BA200" s="0" t="s">
        <v>228</v>
      </c>
      <c r="BB200" s="0" t="s">
        <v>228</v>
      </c>
      <c r="BC200" s="0" t="s">
        <v>228</v>
      </c>
      <c r="BD200" s="0" t="s">
        <v>228</v>
      </c>
      <c r="BE200" s="0" t="s">
        <v>228</v>
      </c>
      <c r="BF200" s="0" t="s">
        <v>228</v>
      </c>
      <c r="BG200" s="0" t="s">
        <v>228</v>
      </c>
      <c r="BH200" s="0" t="s">
        <v>228</v>
      </c>
      <c r="BI200" s="0" t="s">
        <v>228</v>
      </c>
      <c r="BJ200" s="0" t="s">
        <v>228</v>
      </c>
      <c r="BK200" s="0" t="s">
        <v>228</v>
      </c>
      <c r="BL200" s="0" t="s">
        <v>228</v>
      </c>
      <c r="BM200" s="0" t="s">
        <v>228</v>
      </c>
      <c r="BN200" s="0" t="s">
        <v>228</v>
      </c>
      <c r="BO200" s="0" t="s">
        <v>228</v>
      </c>
      <c r="BP200" s="0" t="s">
        <v>228</v>
      </c>
      <c r="BQ200" s="0" t="s">
        <v>228</v>
      </c>
      <c r="BR200" s="0" t="s">
        <v>228</v>
      </c>
      <c r="BS200" s="0" t="s">
        <v>228</v>
      </c>
      <c r="BT200" s="0" t="s">
        <v>228</v>
      </c>
      <c r="BU200" s="0" t="s">
        <v>228</v>
      </c>
      <c r="BV200" s="0" t="s">
        <v>228</v>
      </c>
      <c r="BW200" s="0" t="s">
        <v>228</v>
      </c>
      <c r="BX200" s="0" t="s">
        <v>228</v>
      </c>
      <c r="BY200" s="0" t="s">
        <v>228</v>
      </c>
      <c r="BZ200" s="0" t="s">
        <v>228</v>
      </c>
      <c r="CA200" s="0" t="s">
        <v>228</v>
      </c>
      <c r="CB200" s="0" t="s">
        <v>228</v>
      </c>
      <c r="CC200" s="0" t="s">
        <v>228</v>
      </c>
      <c r="CD200" s="0" t="s">
        <v>228</v>
      </c>
      <c r="CE200" s="0" t="s">
        <v>228</v>
      </c>
      <c r="CF200" s="0" t="s">
        <v>228</v>
      </c>
      <c r="CG200" s="0" t="s">
        <v>228</v>
      </c>
      <c r="CH200" s="0" t="s">
        <v>228</v>
      </c>
      <c r="CI200" s="0" t="s">
        <v>228</v>
      </c>
      <c r="CJ200" s="0" t="s">
        <v>228</v>
      </c>
      <c r="CK200" s="0" t="s">
        <v>228</v>
      </c>
      <c r="CL200" s="0" t="s">
        <v>228</v>
      </c>
      <c r="CM200" s="0" t="s">
        <v>228</v>
      </c>
      <c r="CN200" s="0" t="s">
        <v>228</v>
      </c>
      <c r="CO200" s="0" t="s">
        <v>228</v>
      </c>
      <c r="CP200" s="0" t="s">
        <v>228</v>
      </c>
      <c r="CQ200" s="0" t="s">
        <v>228</v>
      </c>
      <c r="CR200" s="0" t="s">
        <v>228</v>
      </c>
      <c r="CS200" s="0" t="s">
        <v>228</v>
      </c>
      <c r="CT200" s="0" t="s">
        <v>3568</v>
      </c>
      <c r="CU200" s="0" t="s">
        <v>3569</v>
      </c>
      <c r="CV200" s="0" t="s">
        <v>418</v>
      </c>
      <c r="CW200" s="0" t="s">
        <v>3622</v>
      </c>
      <c r="CX200" s="0" t="s">
        <v>419</v>
      </c>
      <c r="CY200" s="0" t="s">
        <v>418</v>
      </c>
      <c r="CZ200" s="0" t="s">
        <v>3623</v>
      </c>
      <c r="DA200" s="0" t="s">
        <v>3624</v>
      </c>
      <c r="DB200" s="0" t="s">
        <v>3622</v>
      </c>
      <c r="DC200" s="0" t="s">
        <v>362</v>
      </c>
      <c r="DD200" s="0" t="s">
        <v>3572</v>
      </c>
      <c r="DE200" s="0" t="s">
        <v>4534</v>
      </c>
    </row>
    <row customHeight="1" ht="11.25">
      <c r="A201" s="1353" t="s">
        <v>228</v>
      </c>
      <c r="B201" s="0" t="s">
        <v>228</v>
      </c>
      <c r="C201" s="0" t="s">
        <v>228</v>
      </c>
      <c r="D201" s="0" t="s">
        <v>228</v>
      </c>
      <c r="E201" s="0" t="s">
        <v>228</v>
      </c>
      <c r="F201" s="0" t="s">
        <v>228</v>
      </c>
      <c r="G201" s="0" t="s">
        <v>228</v>
      </c>
      <c r="H201" s="0" t="s">
        <v>228</v>
      </c>
      <c r="I201" s="0" t="s">
        <v>3555</v>
      </c>
      <c r="J201" s="0" t="s">
        <v>228</v>
      </c>
      <c r="K201" s="0" t="s">
        <v>228</v>
      </c>
      <c r="L201" s="0" t="s">
        <v>228</v>
      </c>
      <c r="M201" s="0" t="s">
        <v>228</v>
      </c>
      <c r="N201" s="0" t="s">
        <v>228</v>
      </c>
      <c r="O201" s="0" t="s">
        <v>228</v>
      </c>
      <c r="P201" s="0" t="s">
        <v>228</v>
      </c>
      <c r="Q201" s="0" t="s">
        <v>228</v>
      </c>
      <c r="R201" s="0" t="s">
        <v>4535</v>
      </c>
      <c r="S201" s="0" t="s">
        <v>228</v>
      </c>
      <c r="T201" s="0" t="s">
        <v>228</v>
      </c>
      <c r="U201" s="0" t="s">
        <v>101</v>
      </c>
      <c r="V201" s="0" t="s">
        <v>228</v>
      </c>
      <c r="W201" s="0" t="s">
        <v>228</v>
      </c>
      <c r="X201" s="0" t="s">
        <v>3557</v>
      </c>
      <c r="Y201" s="0" t="s">
        <v>228</v>
      </c>
      <c r="Z201" s="0" t="s">
        <v>160</v>
      </c>
      <c r="AA201" s="0" t="s">
        <v>151</v>
      </c>
      <c r="AB201" s="0" t="s">
        <v>151</v>
      </c>
      <c r="AC201" s="0" t="s">
        <v>2715</v>
      </c>
      <c r="AD201" s="0" t="s">
        <v>2715</v>
      </c>
      <c r="AE201" s="0" t="s">
        <v>2716</v>
      </c>
      <c r="AF201" s="0" t="s">
        <v>3594</v>
      </c>
      <c r="AG201" s="0" t="s">
        <v>3595</v>
      </c>
      <c r="AH201" s="0" t="s">
        <v>4260</v>
      </c>
      <c r="AI201" s="0" t="s">
        <v>4261</v>
      </c>
      <c r="AJ201" s="0" t="s">
        <v>4536</v>
      </c>
      <c r="AK201" s="0" t="s">
        <v>4537</v>
      </c>
      <c r="AL201" s="0" t="s">
        <v>3564</v>
      </c>
      <c r="AM201" s="0" t="s">
        <v>3565</v>
      </c>
      <c r="AN201" s="0" t="s">
        <v>3654</v>
      </c>
      <c r="AO201" s="0" t="s">
        <v>4132</v>
      </c>
      <c r="AP201" s="0" t="s">
        <v>228</v>
      </c>
      <c r="AQ201" s="0" t="s">
        <v>228</v>
      </c>
      <c r="AR201" s="0" t="s">
        <v>228</v>
      </c>
      <c r="AS201" s="0" t="s">
        <v>228</v>
      </c>
      <c r="AT201" s="0" t="s">
        <v>228</v>
      </c>
      <c r="AU201" s="0" t="s">
        <v>228</v>
      </c>
      <c r="AV201" s="0" t="s">
        <v>228</v>
      </c>
      <c r="AW201" s="0" t="s">
        <v>228</v>
      </c>
      <c r="AX201" s="0" t="s">
        <v>228</v>
      </c>
      <c r="AY201" s="0" t="s">
        <v>228</v>
      </c>
      <c r="AZ201" s="0" t="s">
        <v>228</v>
      </c>
      <c r="BA201" s="0" t="s">
        <v>228</v>
      </c>
      <c r="BB201" s="0" t="s">
        <v>228</v>
      </c>
      <c r="BC201" s="0" t="s">
        <v>228</v>
      </c>
      <c r="BD201" s="0" t="s">
        <v>228</v>
      </c>
      <c r="BE201" s="0" t="s">
        <v>228</v>
      </c>
      <c r="BF201" s="0" t="s">
        <v>228</v>
      </c>
      <c r="BG201" s="0" t="s">
        <v>228</v>
      </c>
      <c r="BH201" s="0" t="s">
        <v>228</v>
      </c>
      <c r="BI201" s="0" t="s">
        <v>228</v>
      </c>
      <c r="BJ201" s="0" t="s">
        <v>228</v>
      </c>
      <c r="BK201" s="0" t="s">
        <v>228</v>
      </c>
      <c r="BL201" s="0" t="s">
        <v>228</v>
      </c>
      <c r="BM201" s="0" t="s">
        <v>228</v>
      </c>
      <c r="BN201" s="0" t="s">
        <v>228</v>
      </c>
      <c r="BO201" s="0" t="s">
        <v>228</v>
      </c>
      <c r="BP201" s="0" t="s">
        <v>228</v>
      </c>
      <c r="BQ201" s="0" t="s">
        <v>228</v>
      </c>
      <c r="BR201" s="0" t="s">
        <v>228</v>
      </c>
      <c r="BS201" s="0" t="s">
        <v>228</v>
      </c>
      <c r="BT201" s="0" t="s">
        <v>228</v>
      </c>
      <c r="BU201" s="0" t="s">
        <v>228</v>
      </c>
      <c r="BV201" s="0" t="s">
        <v>228</v>
      </c>
      <c r="BW201" s="0" t="s">
        <v>228</v>
      </c>
      <c r="BX201" s="0" t="s">
        <v>228</v>
      </c>
      <c r="BY201" s="0" t="s">
        <v>228</v>
      </c>
      <c r="BZ201" s="0" t="s">
        <v>228</v>
      </c>
      <c r="CA201" s="0" t="s">
        <v>228</v>
      </c>
      <c r="CB201" s="0" t="s">
        <v>228</v>
      </c>
      <c r="CC201" s="0" t="s">
        <v>228</v>
      </c>
      <c r="CD201" s="0" t="s">
        <v>228</v>
      </c>
      <c r="CE201" s="0" t="s">
        <v>228</v>
      </c>
      <c r="CF201" s="0" t="s">
        <v>228</v>
      </c>
      <c r="CG201" s="0" t="s">
        <v>228</v>
      </c>
      <c r="CH201" s="0" t="s">
        <v>228</v>
      </c>
      <c r="CI201" s="0" t="s">
        <v>228</v>
      </c>
      <c r="CJ201" s="0" t="s">
        <v>228</v>
      </c>
      <c r="CK201" s="0" t="s">
        <v>228</v>
      </c>
      <c r="CL201" s="0" t="s">
        <v>228</v>
      </c>
      <c r="CM201" s="0" t="s">
        <v>228</v>
      </c>
      <c r="CN201" s="0" t="s">
        <v>228</v>
      </c>
      <c r="CO201" s="0" t="s">
        <v>228</v>
      </c>
      <c r="CP201" s="0" t="s">
        <v>228</v>
      </c>
      <c r="CQ201" s="0" t="s">
        <v>228</v>
      </c>
      <c r="CR201" s="0" t="s">
        <v>228</v>
      </c>
      <c r="CS201" s="0" t="s">
        <v>228</v>
      </c>
      <c r="CT201" s="0" t="s">
        <v>3568</v>
      </c>
      <c r="CU201" s="0" t="s">
        <v>3569</v>
      </c>
      <c r="CV201" s="0" t="s">
        <v>418</v>
      </c>
      <c r="CW201" s="0" t="s">
        <v>3602</v>
      </c>
      <c r="CX201" s="0" t="s">
        <v>3603</v>
      </c>
      <c r="CY201" s="0" t="s">
        <v>418</v>
      </c>
      <c r="CZ201" s="0" t="s">
        <v>504</v>
      </c>
      <c r="DA201" s="0" t="s">
        <v>3604</v>
      </c>
      <c r="DB201" s="0" t="s">
        <v>3602</v>
      </c>
      <c r="DC201" s="0" t="s">
        <v>362</v>
      </c>
      <c r="DD201" s="0" t="s">
        <v>3572</v>
      </c>
      <c r="DE201" s="0" t="s">
        <v>4265</v>
      </c>
    </row>
    <row customHeight="1" ht="11.25">
      <c r="A202" s="1353" t="s">
        <v>228</v>
      </c>
      <c r="B202" s="0" t="s">
        <v>228</v>
      </c>
      <c r="C202" s="0" t="s">
        <v>228</v>
      </c>
      <c r="D202" s="0" t="s">
        <v>228</v>
      </c>
      <c r="E202" s="0" t="s">
        <v>228</v>
      </c>
      <c r="F202" s="0" t="s">
        <v>228</v>
      </c>
      <c r="G202" s="0" t="s">
        <v>228</v>
      </c>
      <c r="H202" s="0" t="s">
        <v>228</v>
      </c>
      <c r="I202" s="0" t="s">
        <v>3555</v>
      </c>
      <c r="J202" s="0" t="s">
        <v>228</v>
      </c>
      <c r="K202" s="0" t="s">
        <v>228</v>
      </c>
      <c r="L202" s="0" t="s">
        <v>228</v>
      </c>
      <c r="M202" s="0" t="s">
        <v>228</v>
      </c>
      <c r="N202" s="0" t="s">
        <v>228</v>
      </c>
      <c r="O202" s="0" t="s">
        <v>228</v>
      </c>
      <c r="P202" s="0" t="s">
        <v>228</v>
      </c>
      <c r="Q202" s="0" t="s">
        <v>228</v>
      </c>
      <c r="R202" s="0" t="s">
        <v>3648</v>
      </c>
      <c r="S202" s="0" t="s">
        <v>228</v>
      </c>
      <c r="T202" s="0" t="s">
        <v>228</v>
      </c>
      <c r="U202" s="0" t="s">
        <v>101</v>
      </c>
      <c r="V202" s="0" t="s">
        <v>228</v>
      </c>
      <c r="W202" s="0" t="s">
        <v>228</v>
      </c>
      <c r="X202" s="0" t="s">
        <v>3557</v>
      </c>
      <c r="Y202" s="0" t="s">
        <v>228</v>
      </c>
      <c r="Z202" s="0" t="s">
        <v>160</v>
      </c>
      <c r="AA202" s="0" t="s">
        <v>151</v>
      </c>
      <c r="AB202" s="0" t="s">
        <v>151</v>
      </c>
      <c r="AC202" s="0" t="s">
        <v>2317</v>
      </c>
      <c r="AD202" s="0" t="s">
        <v>2317</v>
      </c>
      <c r="AE202" s="0" t="s">
        <v>2318</v>
      </c>
      <c r="AF202" s="0" t="s">
        <v>4538</v>
      </c>
      <c r="AG202" s="0" t="s">
        <v>4539</v>
      </c>
      <c r="AH202" s="0" t="s">
        <v>4540</v>
      </c>
      <c r="AI202" s="0" t="s">
        <v>3626</v>
      </c>
      <c r="AJ202" s="0" t="s">
        <v>4514</v>
      </c>
      <c r="AK202" s="0" t="s">
        <v>4541</v>
      </c>
      <c r="AL202" s="0" t="s">
        <v>3581</v>
      </c>
      <c r="AM202" s="0" t="s">
        <v>3565</v>
      </c>
      <c r="AN202" s="0" t="s">
        <v>3620</v>
      </c>
      <c r="AO202" s="0" t="s">
        <v>3591</v>
      </c>
      <c r="AP202" s="0" t="s">
        <v>228</v>
      </c>
      <c r="AQ202" s="0" t="s">
        <v>228</v>
      </c>
      <c r="AR202" s="0" t="s">
        <v>228</v>
      </c>
      <c r="AS202" s="0" t="s">
        <v>228</v>
      </c>
      <c r="AT202" s="0" t="s">
        <v>228</v>
      </c>
      <c r="AU202" s="0" t="s">
        <v>228</v>
      </c>
      <c r="AV202" s="0" t="s">
        <v>228</v>
      </c>
      <c r="AW202" s="0" t="s">
        <v>228</v>
      </c>
      <c r="AX202" s="0" t="s">
        <v>228</v>
      </c>
      <c r="AY202" s="0" t="s">
        <v>228</v>
      </c>
      <c r="AZ202" s="0" t="s">
        <v>228</v>
      </c>
      <c r="BA202" s="0" t="s">
        <v>228</v>
      </c>
      <c r="BB202" s="0" t="s">
        <v>228</v>
      </c>
      <c r="BC202" s="0" t="s">
        <v>228</v>
      </c>
      <c r="BD202" s="0" t="s">
        <v>228</v>
      </c>
      <c r="BE202" s="0" t="s">
        <v>228</v>
      </c>
      <c r="BF202" s="0" t="s">
        <v>228</v>
      </c>
      <c r="BG202" s="0" t="s">
        <v>228</v>
      </c>
      <c r="BH202" s="0" t="s">
        <v>228</v>
      </c>
      <c r="BI202" s="0" t="s">
        <v>228</v>
      </c>
      <c r="BJ202" s="0" t="s">
        <v>228</v>
      </c>
      <c r="BK202" s="0" t="s">
        <v>228</v>
      </c>
      <c r="BL202" s="0" t="s">
        <v>228</v>
      </c>
      <c r="BM202" s="0" t="s">
        <v>228</v>
      </c>
      <c r="BN202" s="0" t="s">
        <v>228</v>
      </c>
      <c r="BO202" s="0" t="s">
        <v>228</v>
      </c>
      <c r="BP202" s="0" t="s">
        <v>228</v>
      </c>
      <c r="BQ202" s="0" t="s">
        <v>228</v>
      </c>
      <c r="BR202" s="0" t="s">
        <v>228</v>
      </c>
      <c r="BS202" s="0" t="s">
        <v>228</v>
      </c>
      <c r="BT202" s="0" t="s">
        <v>228</v>
      </c>
      <c r="BU202" s="0" t="s">
        <v>228</v>
      </c>
      <c r="BV202" s="0" t="s">
        <v>228</v>
      </c>
      <c r="BW202" s="0" t="s">
        <v>228</v>
      </c>
      <c r="BX202" s="0" t="s">
        <v>228</v>
      </c>
      <c r="BY202" s="0" t="s">
        <v>228</v>
      </c>
      <c r="BZ202" s="0" t="s">
        <v>228</v>
      </c>
      <c r="CA202" s="0" t="s">
        <v>228</v>
      </c>
      <c r="CB202" s="0" t="s">
        <v>228</v>
      </c>
      <c r="CC202" s="0" t="s">
        <v>228</v>
      </c>
      <c r="CD202" s="0" t="s">
        <v>228</v>
      </c>
      <c r="CE202" s="0" t="s">
        <v>228</v>
      </c>
      <c r="CF202" s="0" t="s">
        <v>228</v>
      </c>
      <c r="CG202" s="0" t="s">
        <v>228</v>
      </c>
      <c r="CH202" s="0" t="s">
        <v>228</v>
      </c>
      <c r="CI202" s="0" t="s">
        <v>228</v>
      </c>
      <c r="CJ202" s="0" t="s">
        <v>228</v>
      </c>
      <c r="CK202" s="0" t="s">
        <v>228</v>
      </c>
      <c r="CL202" s="0" t="s">
        <v>228</v>
      </c>
      <c r="CM202" s="0" t="s">
        <v>228</v>
      </c>
      <c r="CN202" s="0" t="s">
        <v>228</v>
      </c>
      <c r="CO202" s="0" t="s">
        <v>228</v>
      </c>
      <c r="CP202" s="0" t="s">
        <v>228</v>
      </c>
      <c r="CQ202" s="0" t="s">
        <v>228</v>
      </c>
      <c r="CR202" s="0" t="s">
        <v>228</v>
      </c>
      <c r="CS202" s="0" t="s">
        <v>228</v>
      </c>
      <c r="CT202" s="0" t="s">
        <v>3568</v>
      </c>
      <c r="CU202" s="0" t="s">
        <v>3569</v>
      </c>
      <c r="CV202" s="0" t="s">
        <v>418</v>
      </c>
      <c r="CW202" s="0" t="s">
        <v>3622</v>
      </c>
      <c r="CX202" s="0" t="s">
        <v>419</v>
      </c>
      <c r="CY202" s="0" t="s">
        <v>418</v>
      </c>
      <c r="CZ202" s="0" t="s">
        <v>3623</v>
      </c>
      <c r="DA202" s="0" t="s">
        <v>3624</v>
      </c>
      <c r="DB202" s="0" t="s">
        <v>3622</v>
      </c>
      <c r="DC202" s="0" t="s">
        <v>362</v>
      </c>
      <c r="DD202" s="0" t="s">
        <v>3572</v>
      </c>
      <c r="DE202" s="0" t="s">
        <v>4542</v>
      </c>
    </row>
    <row customHeight="1" ht="11.25">
      <c r="A203" s="1353" t="s">
        <v>228</v>
      </c>
      <c r="B203" s="0" t="s">
        <v>228</v>
      </c>
      <c r="C203" s="0" t="s">
        <v>228</v>
      </c>
      <c r="D203" s="0" t="s">
        <v>228</v>
      </c>
      <c r="E203" s="0" t="s">
        <v>228</v>
      </c>
      <c r="F203" s="0" t="s">
        <v>228</v>
      </c>
      <c r="G203" s="0" t="s">
        <v>228</v>
      </c>
      <c r="H203" s="0" t="s">
        <v>228</v>
      </c>
      <c r="I203" s="0" t="s">
        <v>3555</v>
      </c>
      <c r="J203" s="0" t="s">
        <v>228</v>
      </c>
      <c r="K203" s="0" t="s">
        <v>228</v>
      </c>
      <c r="L203" s="0" t="s">
        <v>228</v>
      </c>
      <c r="M203" s="0" t="s">
        <v>228</v>
      </c>
      <c r="N203" s="0" t="s">
        <v>228</v>
      </c>
      <c r="O203" s="0" t="s">
        <v>228</v>
      </c>
      <c r="P203" s="0" t="s">
        <v>228</v>
      </c>
      <c r="Q203" s="0" t="s">
        <v>228</v>
      </c>
      <c r="R203" s="0" t="s">
        <v>4543</v>
      </c>
      <c r="S203" s="0" t="s">
        <v>228</v>
      </c>
      <c r="T203" s="0" t="s">
        <v>228</v>
      </c>
      <c r="U203" s="0" t="s">
        <v>101</v>
      </c>
      <c r="V203" s="0" t="s">
        <v>228</v>
      </c>
      <c r="W203" s="0" t="s">
        <v>228</v>
      </c>
      <c r="X203" s="0" t="s">
        <v>3557</v>
      </c>
      <c r="Y203" s="0" t="s">
        <v>228</v>
      </c>
      <c r="Z203" s="0" t="s">
        <v>160</v>
      </c>
      <c r="AA203" s="0" t="s">
        <v>151</v>
      </c>
      <c r="AB203" s="0" t="s">
        <v>151</v>
      </c>
      <c r="AC203" s="0" t="s">
        <v>2317</v>
      </c>
      <c r="AD203" s="0" t="s">
        <v>2317</v>
      </c>
      <c r="AE203" s="0" t="s">
        <v>2318</v>
      </c>
      <c r="AF203" s="0" t="s">
        <v>4544</v>
      </c>
      <c r="AG203" s="0" t="s">
        <v>4545</v>
      </c>
      <c r="AH203" s="0" t="s">
        <v>3761</v>
      </c>
      <c r="AI203" s="0" t="s">
        <v>4273</v>
      </c>
      <c r="AJ203" s="0" t="s">
        <v>3652</v>
      </c>
      <c r="AK203" s="0" t="s">
        <v>3619</v>
      </c>
      <c r="AL203" s="0" t="s">
        <v>3581</v>
      </c>
      <c r="AM203" s="0" t="s">
        <v>3565</v>
      </c>
      <c r="AN203" s="0" t="s">
        <v>3628</v>
      </c>
      <c r="AO203" s="0" t="s">
        <v>4157</v>
      </c>
      <c r="AP203" s="0" t="s">
        <v>228</v>
      </c>
      <c r="AQ203" s="0" t="s">
        <v>228</v>
      </c>
      <c r="AR203" s="0" t="s">
        <v>228</v>
      </c>
      <c r="AS203" s="0" t="s">
        <v>228</v>
      </c>
      <c r="AT203" s="0" t="s">
        <v>228</v>
      </c>
      <c r="AU203" s="0" t="s">
        <v>228</v>
      </c>
      <c r="AV203" s="0" t="s">
        <v>228</v>
      </c>
      <c r="AW203" s="0" t="s">
        <v>228</v>
      </c>
      <c r="AX203" s="0" t="s">
        <v>228</v>
      </c>
      <c r="AY203" s="0" t="s">
        <v>228</v>
      </c>
      <c r="AZ203" s="0" t="s">
        <v>228</v>
      </c>
      <c r="BA203" s="0" t="s">
        <v>228</v>
      </c>
      <c r="BB203" s="0" t="s">
        <v>228</v>
      </c>
      <c r="BC203" s="0" t="s">
        <v>228</v>
      </c>
      <c r="BD203" s="0" t="s">
        <v>228</v>
      </c>
      <c r="BE203" s="0" t="s">
        <v>228</v>
      </c>
      <c r="BF203" s="0" t="s">
        <v>228</v>
      </c>
      <c r="BG203" s="0" t="s">
        <v>228</v>
      </c>
      <c r="BH203" s="0" t="s">
        <v>228</v>
      </c>
      <c r="BI203" s="0" t="s">
        <v>228</v>
      </c>
      <c r="BJ203" s="0" t="s">
        <v>228</v>
      </c>
      <c r="BK203" s="0" t="s">
        <v>228</v>
      </c>
      <c r="BL203" s="0" t="s">
        <v>228</v>
      </c>
      <c r="BM203" s="0" t="s">
        <v>228</v>
      </c>
      <c r="BN203" s="0" t="s">
        <v>228</v>
      </c>
      <c r="BO203" s="0" t="s">
        <v>228</v>
      </c>
      <c r="BP203" s="0" t="s">
        <v>228</v>
      </c>
      <c r="BQ203" s="0" t="s">
        <v>228</v>
      </c>
      <c r="BR203" s="0" t="s">
        <v>228</v>
      </c>
      <c r="BS203" s="0" t="s">
        <v>228</v>
      </c>
      <c r="BT203" s="0" t="s">
        <v>228</v>
      </c>
      <c r="BU203" s="0" t="s">
        <v>228</v>
      </c>
      <c r="BV203" s="0" t="s">
        <v>228</v>
      </c>
      <c r="BW203" s="0" t="s">
        <v>228</v>
      </c>
      <c r="BX203" s="0" t="s">
        <v>228</v>
      </c>
      <c r="BY203" s="0" t="s">
        <v>228</v>
      </c>
      <c r="BZ203" s="0" t="s">
        <v>228</v>
      </c>
      <c r="CA203" s="0" t="s">
        <v>228</v>
      </c>
      <c r="CB203" s="0" t="s">
        <v>228</v>
      </c>
      <c r="CC203" s="0" t="s">
        <v>228</v>
      </c>
      <c r="CD203" s="0" t="s">
        <v>228</v>
      </c>
      <c r="CE203" s="0" t="s">
        <v>228</v>
      </c>
      <c r="CF203" s="0" t="s">
        <v>228</v>
      </c>
      <c r="CG203" s="0" t="s">
        <v>228</v>
      </c>
      <c r="CH203" s="0" t="s">
        <v>228</v>
      </c>
      <c r="CI203" s="0" t="s">
        <v>228</v>
      </c>
      <c r="CJ203" s="0" t="s">
        <v>228</v>
      </c>
      <c r="CK203" s="0" t="s">
        <v>228</v>
      </c>
      <c r="CL203" s="0" t="s">
        <v>228</v>
      </c>
      <c r="CM203" s="0" t="s">
        <v>228</v>
      </c>
      <c r="CN203" s="0" t="s">
        <v>228</v>
      </c>
      <c r="CO203" s="0" t="s">
        <v>228</v>
      </c>
      <c r="CP203" s="0" t="s">
        <v>228</v>
      </c>
      <c r="CQ203" s="0" t="s">
        <v>228</v>
      </c>
      <c r="CR203" s="0" t="s">
        <v>228</v>
      </c>
      <c r="CS203" s="0" t="s">
        <v>228</v>
      </c>
      <c r="CT203" s="0" t="s">
        <v>3568</v>
      </c>
      <c r="CU203" s="0" t="s">
        <v>3569</v>
      </c>
      <c r="CV203" s="0" t="s">
        <v>418</v>
      </c>
      <c r="CW203" s="0" t="s">
        <v>3622</v>
      </c>
      <c r="CX203" s="0" t="s">
        <v>419</v>
      </c>
      <c r="CY203" s="0" t="s">
        <v>418</v>
      </c>
      <c r="CZ203" s="0" t="s">
        <v>3623</v>
      </c>
      <c r="DA203" s="0" t="s">
        <v>3624</v>
      </c>
      <c r="DB203" s="0" t="s">
        <v>3622</v>
      </c>
      <c r="DC203" s="0" t="s">
        <v>362</v>
      </c>
      <c r="DD203" s="0" t="s">
        <v>3572</v>
      </c>
      <c r="DE203" s="0" t="s">
        <v>4546</v>
      </c>
    </row>
    <row customHeight="1" ht="11.25">
      <c r="A204" s="1353" t="s">
        <v>228</v>
      </c>
      <c r="B204" s="0" t="s">
        <v>228</v>
      </c>
      <c r="C204" s="0" t="s">
        <v>228</v>
      </c>
      <c r="D204" s="0" t="s">
        <v>228</v>
      </c>
      <c r="E204" s="0" t="s">
        <v>228</v>
      </c>
      <c r="F204" s="0" t="s">
        <v>228</v>
      </c>
      <c r="G204" s="0" t="s">
        <v>228</v>
      </c>
      <c r="H204" s="0" t="s">
        <v>228</v>
      </c>
      <c r="I204" s="0" t="s">
        <v>3555</v>
      </c>
      <c r="J204" s="0" t="s">
        <v>228</v>
      </c>
      <c r="K204" s="0" t="s">
        <v>228</v>
      </c>
      <c r="L204" s="0" t="s">
        <v>228</v>
      </c>
      <c r="M204" s="0" t="s">
        <v>228</v>
      </c>
      <c r="N204" s="0" t="s">
        <v>228</v>
      </c>
      <c r="O204" s="0" t="s">
        <v>228</v>
      </c>
      <c r="P204" s="0" t="s">
        <v>228</v>
      </c>
      <c r="Q204" s="0" t="s">
        <v>228</v>
      </c>
      <c r="R204" s="0" t="s">
        <v>4547</v>
      </c>
      <c r="S204" s="0" t="s">
        <v>228</v>
      </c>
      <c r="T204" s="0" t="s">
        <v>228</v>
      </c>
      <c r="U204" s="0" t="s">
        <v>101</v>
      </c>
      <c r="V204" s="0" t="s">
        <v>228</v>
      </c>
      <c r="W204" s="0" t="s">
        <v>228</v>
      </c>
      <c r="X204" s="0" t="s">
        <v>3557</v>
      </c>
      <c r="Y204" s="0" t="s">
        <v>228</v>
      </c>
      <c r="Z204" s="0" t="s">
        <v>160</v>
      </c>
      <c r="AA204" s="0" t="s">
        <v>151</v>
      </c>
      <c r="AB204" s="0" t="s">
        <v>151</v>
      </c>
      <c r="AC204" s="0" t="s">
        <v>2715</v>
      </c>
      <c r="AD204" s="0" t="s">
        <v>2715</v>
      </c>
      <c r="AE204" s="0" t="s">
        <v>2716</v>
      </c>
      <c r="AF204" s="0" t="s">
        <v>3594</v>
      </c>
      <c r="AG204" s="0" t="s">
        <v>3595</v>
      </c>
      <c r="AH204" s="0" t="s">
        <v>4548</v>
      </c>
      <c r="AI204" s="0" t="s">
        <v>4549</v>
      </c>
      <c r="AJ204" s="0" t="s">
        <v>3951</v>
      </c>
      <c r="AK204" s="0" t="s">
        <v>4550</v>
      </c>
      <c r="AL204" s="0" t="s">
        <v>3599</v>
      </c>
      <c r="AM204" s="0" t="s">
        <v>3565</v>
      </c>
      <c r="AN204" s="0" t="s">
        <v>4551</v>
      </c>
      <c r="AO204" s="0" t="s">
        <v>4552</v>
      </c>
      <c r="AP204" s="0" t="s">
        <v>228</v>
      </c>
      <c r="AQ204" s="0" t="s">
        <v>228</v>
      </c>
      <c r="AR204" s="0" t="s">
        <v>228</v>
      </c>
      <c r="AS204" s="0" t="s">
        <v>228</v>
      </c>
      <c r="AT204" s="0" t="s">
        <v>228</v>
      </c>
      <c r="AU204" s="0" t="s">
        <v>228</v>
      </c>
      <c r="AV204" s="0" t="s">
        <v>228</v>
      </c>
      <c r="AW204" s="0" t="s">
        <v>228</v>
      </c>
      <c r="AX204" s="0" t="s">
        <v>228</v>
      </c>
      <c r="AY204" s="0" t="s">
        <v>228</v>
      </c>
      <c r="AZ204" s="0" t="s">
        <v>228</v>
      </c>
      <c r="BA204" s="0" t="s">
        <v>228</v>
      </c>
      <c r="BB204" s="0" t="s">
        <v>228</v>
      </c>
      <c r="BC204" s="0" t="s">
        <v>228</v>
      </c>
      <c r="BD204" s="0" t="s">
        <v>228</v>
      </c>
      <c r="BE204" s="0" t="s">
        <v>228</v>
      </c>
      <c r="BF204" s="0" t="s">
        <v>228</v>
      </c>
      <c r="BG204" s="0" t="s">
        <v>228</v>
      </c>
      <c r="BH204" s="0" t="s">
        <v>228</v>
      </c>
      <c r="BI204" s="0" t="s">
        <v>228</v>
      </c>
      <c r="BJ204" s="0" t="s">
        <v>228</v>
      </c>
      <c r="BK204" s="0" t="s">
        <v>228</v>
      </c>
      <c r="BL204" s="0" t="s">
        <v>228</v>
      </c>
      <c r="BM204" s="0" t="s">
        <v>228</v>
      </c>
      <c r="BN204" s="0" t="s">
        <v>228</v>
      </c>
      <c r="BO204" s="0" t="s">
        <v>228</v>
      </c>
      <c r="BP204" s="0" t="s">
        <v>228</v>
      </c>
      <c r="BQ204" s="0" t="s">
        <v>228</v>
      </c>
      <c r="BR204" s="0" t="s">
        <v>228</v>
      </c>
      <c r="BS204" s="0" t="s">
        <v>228</v>
      </c>
      <c r="BT204" s="0" t="s">
        <v>228</v>
      </c>
      <c r="BU204" s="0" t="s">
        <v>228</v>
      </c>
      <c r="BV204" s="0" t="s">
        <v>228</v>
      </c>
      <c r="BW204" s="0" t="s">
        <v>228</v>
      </c>
      <c r="BX204" s="0" t="s">
        <v>228</v>
      </c>
      <c r="BY204" s="0" t="s">
        <v>228</v>
      </c>
      <c r="BZ204" s="0" t="s">
        <v>228</v>
      </c>
      <c r="CA204" s="0" t="s">
        <v>228</v>
      </c>
      <c r="CB204" s="0" t="s">
        <v>228</v>
      </c>
      <c r="CC204" s="0" t="s">
        <v>228</v>
      </c>
      <c r="CD204" s="0" t="s">
        <v>228</v>
      </c>
      <c r="CE204" s="0" t="s">
        <v>228</v>
      </c>
      <c r="CF204" s="0" t="s">
        <v>228</v>
      </c>
      <c r="CG204" s="0" t="s">
        <v>228</v>
      </c>
      <c r="CH204" s="0" t="s">
        <v>228</v>
      </c>
      <c r="CI204" s="0" t="s">
        <v>228</v>
      </c>
      <c r="CJ204" s="0" t="s">
        <v>228</v>
      </c>
      <c r="CK204" s="0" t="s">
        <v>228</v>
      </c>
      <c r="CL204" s="0" t="s">
        <v>228</v>
      </c>
      <c r="CM204" s="0" t="s">
        <v>228</v>
      </c>
      <c r="CN204" s="0" t="s">
        <v>228</v>
      </c>
      <c r="CO204" s="0" t="s">
        <v>228</v>
      </c>
      <c r="CP204" s="0" t="s">
        <v>228</v>
      </c>
      <c r="CQ204" s="0" t="s">
        <v>228</v>
      </c>
      <c r="CR204" s="0" t="s">
        <v>228</v>
      </c>
      <c r="CS204" s="0" t="s">
        <v>228</v>
      </c>
      <c r="CT204" s="0" t="s">
        <v>3568</v>
      </c>
      <c r="CU204" s="0" t="s">
        <v>3569</v>
      </c>
      <c r="CV204" s="0" t="s">
        <v>418</v>
      </c>
      <c r="CW204" s="0" t="s">
        <v>3602</v>
      </c>
      <c r="CX204" s="0" t="s">
        <v>3603</v>
      </c>
      <c r="CY204" s="0" t="s">
        <v>418</v>
      </c>
      <c r="CZ204" s="0" t="s">
        <v>504</v>
      </c>
      <c r="DA204" s="0" t="s">
        <v>3604</v>
      </c>
      <c r="DB204" s="0" t="s">
        <v>3602</v>
      </c>
      <c r="DC204" s="0" t="s">
        <v>362</v>
      </c>
      <c r="DD204" s="0" t="s">
        <v>3572</v>
      </c>
      <c r="DE204" s="0" t="s">
        <v>4553</v>
      </c>
    </row>
    <row customHeight="1" ht="11.25">
      <c r="A205" s="1353" t="s">
        <v>228</v>
      </c>
      <c r="B205" s="0" t="s">
        <v>228</v>
      </c>
      <c r="C205" s="0" t="s">
        <v>228</v>
      </c>
      <c r="D205" s="0" t="s">
        <v>228</v>
      </c>
      <c r="E205" s="0" t="s">
        <v>228</v>
      </c>
      <c r="F205" s="0" t="s">
        <v>228</v>
      </c>
      <c r="G205" s="0" t="s">
        <v>228</v>
      </c>
      <c r="H205" s="0" t="s">
        <v>228</v>
      </c>
      <c r="I205" s="0" t="s">
        <v>3555</v>
      </c>
      <c r="J205" s="0" t="s">
        <v>228</v>
      </c>
      <c r="K205" s="0" t="s">
        <v>228</v>
      </c>
      <c r="L205" s="0" t="s">
        <v>228</v>
      </c>
      <c r="M205" s="0" t="s">
        <v>228</v>
      </c>
      <c r="N205" s="0" t="s">
        <v>228</v>
      </c>
      <c r="O205" s="0" t="s">
        <v>228</v>
      </c>
      <c r="P205" s="0" t="s">
        <v>228</v>
      </c>
      <c r="Q205" s="0" t="s">
        <v>228</v>
      </c>
      <c r="R205" s="0" t="s">
        <v>4554</v>
      </c>
      <c r="S205" s="0" t="s">
        <v>228</v>
      </c>
      <c r="T205" s="0" t="s">
        <v>228</v>
      </c>
      <c r="U205" s="0" t="s">
        <v>101</v>
      </c>
      <c r="V205" s="0" t="s">
        <v>228</v>
      </c>
      <c r="W205" s="0" t="s">
        <v>228</v>
      </c>
      <c r="X205" s="0" t="s">
        <v>3557</v>
      </c>
      <c r="Y205" s="0" t="s">
        <v>228</v>
      </c>
      <c r="Z205" s="0" t="s">
        <v>160</v>
      </c>
      <c r="AA205" s="0" t="s">
        <v>151</v>
      </c>
      <c r="AB205" s="0" t="s">
        <v>151</v>
      </c>
      <c r="AC205" s="0" t="s">
        <v>2317</v>
      </c>
      <c r="AD205" s="0" t="s">
        <v>2317</v>
      </c>
      <c r="AE205" s="0" t="s">
        <v>2318</v>
      </c>
      <c r="AF205" s="0" t="s">
        <v>4544</v>
      </c>
      <c r="AG205" s="0" t="s">
        <v>4545</v>
      </c>
      <c r="AH205" s="0" t="s">
        <v>4555</v>
      </c>
      <c r="AI205" s="0" t="s">
        <v>4556</v>
      </c>
      <c r="AJ205" s="0" t="s">
        <v>3652</v>
      </c>
      <c r="AK205" s="0" t="s">
        <v>3619</v>
      </c>
      <c r="AL205" s="0" t="s">
        <v>3581</v>
      </c>
      <c r="AM205" s="0" t="s">
        <v>3565</v>
      </c>
      <c r="AN205" s="0" t="s">
        <v>3628</v>
      </c>
      <c r="AO205" s="0" t="s">
        <v>4157</v>
      </c>
      <c r="AP205" s="0" t="s">
        <v>228</v>
      </c>
      <c r="AQ205" s="0" t="s">
        <v>228</v>
      </c>
      <c r="AR205" s="0" t="s">
        <v>228</v>
      </c>
      <c r="AS205" s="0" t="s">
        <v>228</v>
      </c>
      <c r="AT205" s="0" t="s">
        <v>228</v>
      </c>
      <c r="AU205" s="0" t="s">
        <v>228</v>
      </c>
      <c r="AV205" s="0" t="s">
        <v>228</v>
      </c>
      <c r="AW205" s="0" t="s">
        <v>228</v>
      </c>
      <c r="AX205" s="0" t="s">
        <v>228</v>
      </c>
      <c r="AY205" s="0" t="s">
        <v>228</v>
      </c>
      <c r="AZ205" s="0" t="s">
        <v>228</v>
      </c>
      <c r="BA205" s="0" t="s">
        <v>228</v>
      </c>
      <c r="BB205" s="0" t="s">
        <v>228</v>
      </c>
      <c r="BC205" s="0" t="s">
        <v>228</v>
      </c>
      <c r="BD205" s="0" t="s">
        <v>228</v>
      </c>
      <c r="BE205" s="0" t="s">
        <v>228</v>
      </c>
      <c r="BF205" s="0" t="s">
        <v>228</v>
      </c>
      <c r="BG205" s="0" t="s">
        <v>228</v>
      </c>
      <c r="BH205" s="0" t="s">
        <v>228</v>
      </c>
      <c r="BI205" s="0" t="s">
        <v>228</v>
      </c>
      <c r="BJ205" s="0" t="s">
        <v>228</v>
      </c>
      <c r="BK205" s="0" t="s">
        <v>228</v>
      </c>
      <c r="BL205" s="0" t="s">
        <v>228</v>
      </c>
      <c r="BM205" s="0" t="s">
        <v>228</v>
      </c>
      <c r="BN205" s="0" t="s">
        <v>228</v>
      </c>
      <c r="BO205" s="0" t="s">
        <v>228</v>
      </c>
      <c r="BP205" s="0" t="s">
        <v>228</v>
      </c>
      <c r="BQ205" s="0" t="s">
        <v>228</v>
      </c>
      <c r="BR205" s="0" t="s">
        <v>228</v>
      </c>
      <c r="BS205" s="0" t="s">
        <v>228</v>
      </c>
      <c r="BT205" s="0" t="s">
        <v>228</v>
      </c>
      <c r="BU205" s="0" t="s">
        <v>228</v>
      </c>
      <c r="BV205" s="0" t="s">
        <v>228</v>
      </c>
      <c r="BW205" s="0" t="s">
        <v>228</v>
      </c>
      <c r="BX205" s="0" t="s">
        <v>228</v>
      </c>
      <c r="BY205" s="0" t="s">
        <v>228</v>
      </c>
      <c r="BZ205" s="0" t="s">
        <v>228</v>
      </c>
      <c r="CA205" s="0" t="s">
        <v>228</v>
      </c>
      <c r="CB205" s="0" t="s">
        <v>228</v>
      </c>
      <c r="CC205" s="0" t="s">
        <v>228</v>
      </c>
      <c r="CD205" s="0" t="s">
        <v>228</v>
      </c>
      <c r="CE205" s="0" t="s">
        <v>228</v>
      </c>
      <c r="CF205" s="0" t="s">
        <v>228</v>
      </c>
      <c r="CG205" s="0" t="s">
        <v>228</v>
      </c>
      <c r="CH205" s="0" t="s">
        <v>228</v>
      </c>
      <c r="CI205" s="0" t="s">
        <v>228</v>
      </c>
      <c r="CJ205" s="0" t="s">
        <v>228</v>
      </c>
      <c r="CK205" s="0" t="s">
        <v>228</v>
      </c>
      <c r="CL205" s="0" t="s">
        <v>228</v>
      </c>
      <c r="CM205" s="0" t="s">
        <v>228</v>
      </c>
      <c r="CN205" s="0" t="s">
        <v>228</v>
      </c>
      <c r="CO205" s="0" t="s">
        <v>228</v>
      </c>
      <c r="CP205" s="0" t="s">
        <v>228</v>
      </c>
      <c r="CQ205" s="0" t="s">
        <v>228</v>
      </c>
      <c r="CR205" s="0" t="s">
        <v>228</v>
      </c>
      <c r="CS205" s="0" t="s">
        <v>228</v>
      </c>
      <c r="CT205" s="0" t="s">
        <v>3568</v>
      </c>
      <c r="CU205" s="0" t="s">
        <v>3569</v>
      </c>
      <c r="CV205" s="0" t="s">
        <v>418</v>
      </c>
      <c r="CW205" s="0" t="s">
        <v>3622</v>
      </c>
      <c r="CX205" s="0" t="s">
        <v>419</v>
      </c>
      <c r="CY205" s="0" t="s">
        <v>418</v>
      </c>
      <c r="CZ205" s="0" t="s">
        <v>3623</v>
      </c>
      <c r="DA205" s="0" t="s">
        <v>3624</v>
      </c>
      <c r="DB205" s="0" t="s">
        <v>3622</v>
      </c>
      <c r="DC205" s="0" t="s">
        <v>362</v>
      </c>
      <c r="DD205" s="0" t="s">
        <v>3572</v>
      </c>
      <c r="DE205" s="0" t="s">
        <v>4557</v>
      </c>
    </row>
    <row customHeight="1" ht="11.25">
      <c r="A206" s="1353" t="s">
        <v>228</v>
      </c>
      <c r="B206" s="0" t="s">
        <v>228</v>
      </c>
      <c r="C206" s="0" t="s">
        <v>228</v>
      </c>
      <c r="D206" s="0" t="s">
        <v>228</v>
      </c>
      <c r="E206" s="0" t="s">
        <v>228</v>
      </c>
      <c r="F206" s="0" t="s">
        <v>228</v>
      </c>
      <c r="G206" s="0" t="s">
        <v>228</v>
      </c>
      <c r="H206" s="0" t="s">
        <v>228</v>
      </c>
      <c r="I206" s="0" t="s">
        <v>3555</v>
      </c>
      <c r="J206" s="0" t="s">
        <v>228</v>
      </c>
      <c r="K206" s="0" t="s">
        <v>228</v>
      </c>
      <c r="L206" s="0" t="s">
        <v>228</v>
      </c>
      <c r="M206" s="0" t="s">
        <v>228</v>
      </c>
      <c r="N206" s="0" t="s">
        <v>228</v>
      </c>
      <c r="O206" s="0" t="s">
        <v>228</v>
      </c>
      <c r="P206" s="0" t="s">
        <v>228</v>
      </c>
      <c r="Q206" s="0" t="s">
        <v>228</v>
      </c>
      <c r="R206" s="0" t="s">
        <v>4558</v>
      </c>
      <c r="S206" s="0" t="s">
        <v>228</v>
      </c>
      <c r="T206" s="0" t="s">
        <v>228</v>
      </c>
      <c r="U206" s="0" t="s">
        <v>101</v>
      </c>
      <c r="V206" s="0" t="s">
        <v>228</v>
      </c>
      <c r="W206" s="0" t="s">
        <v>228</v>
      </c>
      <c r="X206" s="0" t="s">
        <v>3557</v>
      </c>
      <c r="Y206" s="0" t="s">
        <v>228</v>
      </c>
      <c r="Z206" s="0" t="s">
        <v>160</v>
      </c>
      <c r="AA206" s="0" t="s">
        <v>151</v>
      </c>
      <c r="AB206" s="0" t="s">
        <v>151</v>
      </c>
      <c r="AC206" s="0" t="s">
        <v>2721</v>
      </c>
      <c r="AD206" s="0" t="s">
        <v>2721</v>
      </c>
      <c r="AE206" s="0" t="s">
        <v>2722</v>
      </c>
      <c r="AF206" s="0" t="s">
        <v>4024</v>
      </c>
      <c r="AG206" s="0" t="s">
        <v>4025</v>
      </c>
      <c r="AH206" s="0" t="s">
        <v>4146</v>
      </c>
      <c r="AI206" s="0" t="s">
        <v>151</v>
      </c>
      <c r="AJ206" s="0" t="s">
        <v>4559</v>
      </c>
      <c r="AK206" s="0" t="s">
        <v>3674</v>
      </c>
      <c r="AL206" s="0" t="s">
        <v>3581</v>
      </c>
      <c r="AM206" s="0" t="s">
        <v>3565</v>
      </c>
      <c r="AN206" s="0" t="s">
        <v>4560</v>
      </c>
      <c r="AO206" s="0" t="s">
        <v>4294</v>
      </c>
      <c r="AP206" s="0" t="s">
        <v>228</v>
      </c>
      <c r="AQ206" s="0" t="s">
        <v>228</v>
      </c>
      <c r="AR206" s="0" t="s">
        <v>228</v>
      </c>
      <c r="AS206" s="0" t="s">
        <v>228</v>
      </c>
      <c r="AT206" s="0" t="s">
        <v>228</v>
      </c>
      <c r="AU206" s="0" t="s">
        <v>228</v>
      </c>
      <c r="AV206" s="0" t="s">
        <v>228</v>
      </c>
      <c r="AW206" s="0" t="s">
        <v>228</v>
      </c>
      <c r="AX206" s="0" t="s">
        <v>228</v>
      </c>
      <c r="AY206" s="0" t="s">
        <v>228</v>
      </c>
      <c r="AZ206" s="0" t="s">
        <v>228</v>
      </c>
      <c r="BA206" s="0" t="s">
        <v>228</v>
      </c>
      <c r="BB206" s="0" t="s">
        <v>228</v>
      </c>
      <c r="BC206" s="0" t="s">
        <v>228</v>
      </c>
      <c r="BD206" s="0" t="s">
        <v>228</v>
      </c>
      <c r="BE206" s="0" t="s">
        <v>228</v>
      </c>
      <c r="BF206" s="0" t="s">
        <v>228</v>
      </c>
      <c r="BG206" s="0" t="s">
        <v>228</v>
      </c>
      <c r="BH206" s="0" t="s">
        <v>228</v>
      </c>
      <c r="BI206" s="0" t="s">
        <v>228</v>
      </c>
      <c r="BJ206" s="0" t="s">
        <v>228</v>
      </c>
      <c r="BK206" s="0" t="s">
        <v>228</v>
      </c>
      <c r="BL206" s="0" t="s">
        <v>228</v>
      </c>
      <c r="BM206" s="0" t="s">
        <v>228</v>
      </c>
      <c r="BN206" s="0" t="s">
        <v>228</v>
      </c>
      <c r="BO206" s="0" t="s">
        <v>228</v>
      </c>
      <c r="BP206" s="0" t="s">
        <v>228</v>
      </c>
      <c r="BQ206" s="0" t="s">
        <v>228</v>
      </c>
      <c r="BR206" s="0" t="s">
        <v>228</v>
      </c>
      <c r="BS206" s="0" t="s">
        <v>228</v>
      </c>
      <c r="BT206" s="0" t="s">
        <v>228</v>
      </c>
      <c r="BU206" s="0" t="s">
        <v>228</v>
      </c>
      <c r="BV206" s="0" t="s">
        <v>228</v>
      </c>
      <c r="BW206" s="0" t="s">
        <v>228</v>
      </c>
      <c r="BX206" s="0" t="s">
        <v>228</v>
      </c>
      <c r="BY206" s="0" t="s">
        <v>228</v>
      </c>
      <c r="BZ206" s="0" t="s">
        <v>228</v>
      </c>
      <c r="CA206" s="0" t="s">
        <v>228</v>
      </c>
      <c r="CB206" s="0" t="s">
        <v>228</v>
      </c>
      <c r="CC206" s="0" t="s">
        <v>228</v>
      </c>
      <c r="CD206" s="0" t="s">
        <v>228</v>
      </c>
      <c r="CE206" s="0" t="s">
        <v>228</v>
      </c>
      <c r="CF206" s="0" t="s">
        <v>228</v>
      </c>
      <c r="CG206" s="0" t="s">
        <v>228</v>
      </c>
      <c r="CH206" s="0" t="s">
        <v>228</v>
      </c>
      <c r="CI206" s="0" t="s">
        <v>228</v>
      </c>
      <c r="CJ206" s="0" t="s">
        <v>228</v>
      </c>
      <c r="CK206" s="0" t="s">
        <v>228</v>
      </c>
      <c r="CL206" s="0" t="s">
        <v>228</v>
      </c>
      <c r="CM206" s="0" t="s">
        <v>228</v>
      </c>
      <c r="CN206" s="0" t="s">
        <v>228</v>
      </c>
      <c r="CO206" s="0" t="s">
        <v>228</v>
      </c>
      <c r="CP206" s="0" t="s">
        <v>228</v>
      </c>
      <c r="CQ206" s="0" t="s">
        <v>228</v>
      </c>
      <c r="CR206" s="0" t="s">
        <v>228</v>
      </c>
      <c r="CS206" s="0" t="s">
        <v>228</v>
      </c>
      <c r="CT206" s="0" t="s">
        <v>3568</v>
      </c>
      <c r="CU206" s="0" t="s">
        <v>3569</v>
      </c>
      <c r="CV206" s="0" t="s">
        <v>4030</v>
      </c>
      <c r="CW206" s="0" t="s">
        <v>4031</v>
      </c>
      <c r="CX206" s="0" t="s">
        <v>3603</v>
      </c>
      <c r="CY206" s="0" t="s">
        <v>4030</v>
      </c>
      <c r="CZ206" s="0" t="s">
        <v>3608</v>
      </c>
      <c r="DA206" s="0" t="s">
        <v>4032</v>
      </c>
      <c r="DB206" s="0" t="s">
        <v>3676</v>
      </c>
      <c r="DC206" s="0" t="s">
        <v>362</v>
      </c>
      <c r="DD206" s="0" t="s">
        <v>3572</v>
      </c>
      <c r="DE206" s="0" t="s">
        <v>4156</v>
      </c>
    </row>
    <row customHeight="1" ht="11.25">
      <c r="A207" s="1353" t="s">
        <v>228</v>
      </c>
      <c r="B207" s="0" t="s">
        <v>228</v>
      </c>
      <c r="C207" s="0" t="s">
        <v>228</v>
      </c>
      <c r="D207" s="0" t="s">
        <v>228</v>
      </c>
      <c r="E207" s="0" t="s">
        <v>228</v>
      </c>
      <c r="F207" s="0" t="s">
        <v>228</v>
      </c>
      <c r="G207" s="0" t="s">
        <v>228</v>
      </c>
      <c r="H207" s="0" t="s">
        <v>228</v>
      </c>
      <c r="I207" s="0" t="s">
        <v>3555</v>
      </c>
      <c r="J207" s="0" t="s">
        <v>228</v>
      </c>
      <c r="K207" s="0" t="s">
        <v>228</v>
      </c>
      <c r="L207" s="0" t="s">
        <v>228</v>
      </c>
      <c r="M207" s="0" t="s">
        <v>228</v>
      </c>
      <c r="N207" s="0" t="s">
        <v>228</v>
      </c>
      <c r="O207" s="0" t="s">
        <v>228</v>
      </c>
      <c r="P207" s="0" t="s">
        <v>228</v>
      </c>
      <c r="Q207" s="0" t="s">
        <v>228</v>
      </c>
      <c r="R207" s="0" t="s">
        <v>4561</v>
      </c>
      <c r="S207" s="0" t="s">
        <v>228</v>
      </c>
      <c r="T207" s="0" t="s">
        <v>228</v>
      </c>
      <c r="U207" s="0" t="s">
        <v>101</v>
      </c>
      <c r="V207" s="0" t="s">
        <v>228</v>
      </c>
      <c r="W207" s="0" t="s">
        <v>228</v>
      </c>
      <c r="X207" s="0" t="s">
        <v>3557</v>
      </c>
      <c r="Y207" s="0" t="s">
        <v>228</v>
      </c>
      <c r="Z207" s="0" t="s">
        <v>160</v>
      </c>
      <c r="AA207" s="0" t="s">
        <v>151</v>
      </c>
      <c r="AB207" s="0" t="s">
        <v>151</v>
      </c>
      <c r="AC207" s="0" t="s">
        <v>2721</v>
      </c>
      <c r="AD207" s="0" t="s">
        <v>2721</v>
      </c>
      <c r="AE207" s="0" t="s">
        <v>2722</v>
      </c>
      <c r="AF207" s="0" t="s">
        <v>4024</v>
      </c>
      <c r="AG207" s="0" t="s">
        <v>4025</v>
      </c>
      <c r="AH207" s="0" t="s">
        <v>4562</v>
      </c>
      <c r="AI207" s="0" t="s">
        <v>151</v>
      </c>
      <c r="AJ207" s="0" t="s">
        <v>4563</v>
      </c>
      <c r="AK207" s="0" t="s">
        <v>4564</v>
      </c>
      <c r="AL207" s="0" t="s">
        <v>3581</v>
      </c>
      <c r="AM207" s="0" t="s">
        <v>3565</v>
      </c>
      <c r="AN207" s="0" t="s">
        <v>3628</v>
      </c>
      <c r="AO207" s="0" t="s">
        <v>4565</v>
      </c>
      <c r="AP207" s="0" t="s">
        <v>228</v>
      </c>
      <c r="AQ207" s="0" t="s">
        <v>228</v>
      </c>
      <c r="AR207" s="0" t="s">
        <v>228</v>
      </c>
      <c r="AS207" s="0" t="s">
        <v>228</v>
      </c>
      <c r="AT207" s="0" t="s">
        <v>228</v>
      </c>
      <c r="AU207" s="0" t="s">
        <v>228</v>
      </c>
      <c r="AV207" s="0" t="s">
        <v>228</v>
      </c>
      <c r="AW207" s="0" t="s">
        <v>228</v>
      </c>
      <c r="AX207" s="0" t="s">
        <v>228</v>
      </c>
      <c r="AY207" s="0" t="s">
        <v>228</v>
      </c>
      <c r="AZ207" s="0" t="s">
        <v>228</v>
      </c>
      <c r="BA207" s="0" t="s">
        <v>228</v>
      </c>
      <c r="BB207" s="0" t="s">
        <v>228</v>
      </c>
      <c r="BC207" s="0" t="s">
        <v>228</v>
      </c>
      <c r="BD207" s="0" t="s">
        <v>228</v>
      </c>
      <c r="BE207" s="0" t="s">
        <v>228</v>
      </c>
      <c r="BF207" s="0" t="s">
        <v>228</v>
      </c>
      <c r="BG207" s="0" t="s">
        <v>228</v>
      </c>
      <c r="BH207" s="0" t="s">
        <v>228</v>
      </c>
      <c r="BI207" s="0" t="s">
        <v>228</v>
      </c>
      <c r="BJ207" s="0" t="s">
        <v>228</v>
      </c>
      <c r="BK207" s="0" t="s">
        <v>228</v>
      </c>
      <c r="BL207" s="0" t="s">
        <v>228</v>
      </c>
      <c r="BM207" s="0" t="s">
        <v>228</v>
      </c>
      <c r="BN207" s="0" t="s">
        <v>228</v>
      </c>
      <c r="BO207" s="0" t="s">
        <v>228</v>
      </c>
      <c r="BP207" s="0" t="s">
        <v>228</v>
      </c>
      <c r="BQ207" s="0" t="s">
        <v>228</v>
      </c>
      <c r="BR207" s="0" t="s">
        <v>228</v>
      </c>
      <c r="BS207" s="0" t="s">
        <v>228</v>
      </c>
      <c r="BT207" s="0" t="s">
        <v>228</v>
      </c>
      <c r="BU207" s="0" t="s">
        <v>228</v>
      </c>
      <c r="BV207" s="0" t="s">
        <v>228</v>
      </c>
      <c r="BW207" s="0" t="s">
        <v>228</v>
      </c>
      <c r="BX207" s="0" t="s">
        <v>228</v>
      </c>
      <c r="BY207" s="0" t="s">
        <v>228</v>
      </c>
      <c r="BZ207" s="0" t="s">
        <v>228</v>
      </c>
      <c r="CA207" s="0" t="s">
        <v>228</v>
      </c>
      <c r="CB207" s="0" t="s">
        <v>228</v>
      </c>
      <c r="CC207" s="0" t="s">
        <v>228</v>
      </c>
      <c r="CD207" s="0" t="s">
        <v>228</v>
      </c>
      <c r="CE207" s="0" t="s">
        <v>228</v>
      </c>
      <c r="CF207" s="0" t="s">
        <v>228</v>
      </c>
      <c r="CG207" s="0" t="s">
        <v>228</v>
      </c>
      <c r="CH207" s="0" t="s">
        <v>228</v>
      </c>
      <c r="CI207" s="0" t="s">
        <v>228</v>
      </c>
      <c r="CJ207" s="0" t="s">
        <v>228</v>
      </c>
      <c r="CK207" s="0" t="s">
        <v>228</v>
      </c>
      <c r="CL207" s="0" t="s">
        <v>228</v>
      </c>
      <c r="CM207" s="0" t="s">
        <v>228</v>
      </c>
      <c r="CN207" s="0" t="s">
        <v>228</v>
      </c>
      <c r="CO207" s="0" t="s">
        <v>228</v>
      </c>
      <c r="CP207" s="0" t="s">
        <v>228</v>
      </c>
      <c r="CQ207" s="0" t="s">
        <v>228</v>
      </c>
      <c r="CR207" s="0" t="s">
        <v>228</v>
      </c>
      <c r="CS207" s="0" t="s">
        <v>228</v>
      </c>
      <c r="CT207" s="0" t="s">
        <v>3568</v>
      </c>
      <c r="CU207" s="0" t="s">
        <v>3569</v>
      </c>
      <c r="CV207" s="0" t="s">
        <v>4030</v>
      </c>
      <c r="CW207" s="0" t="s">
        <v>4031</v>
      </c>
      <c r="CX207" s="0" t="s">
        <v>3603</v>
      </c>
      <c r="CY207" s="0" t="s">
        <v>4030</v>
      </c>
      <c r="CZ207" s="0" t="s">
        <v>3608</v>
      </c>
      <c r="DA207" s="0" t="s">
        <v>4032</v>
      </c>
      <c r="DB207" s="0" t="s">
        <v>3676</v>
      </c>
      <c r="DC207" s="0" t="s">
        <v>362</v>
      </c>
      <c r="DD207" s="0" t="s">
        <v>3572</v>
      </c>
      <c r="DE207" s="0" t="s">
        <v>4566</v>
      </c>
    </row>
    <row customHeight="1" ht="11.25">
      <c r="A208" s="1353" t="s">
        <v>228</v>
      </c>
      <c r="B208" s="0" t="s">
        <v>228</v>
      </c>
      <c r="C208" s="0" t="s">
        <v>228</v>
      </c>
      <c r="D208" s="0" t="s">
        <v>228</v>
      </c>
      <c r="E208" s="0" t="s">
        <v>228</v>
      </c>
      <c r="F208" s="0" t="s">
        <v>228</v>
      </c>
      <c r="G208" s="0" t="s">
        <v>228</v>
      </c>
      <c r="H208" s="0" t="s">
        <v>228</v>
      </c>
      <c r="I208" s="0" t="s">
        <v>3555</v>
      </c>
      <c r="J208" s="0" t="s">
        <v>228</v>
      </c>
      <c r="K208" s="0" t="s">
        <v>228</v>
      </c>
      <c r="L208" s="0" t="s">
        <v>228</v>
      </c>
      <c r="M208" s="0" t="s">
        <v>228</v>
      </c>
      <c r="N208" s="0" t="s">
        <v>228</v>
      </c>
      <c r="O208" s="0" t="s">
        <v>228</v>
      </c>
      <c r="P208" s="0" t="s">
        <v>228</v>
      </c>
      <c r="Q208" s="0" t="s">
        <v>228</v>
      </c>
      <c r="R208" s="0" t="s">
        <v>3718</v>
      </c>
      <c r="S208" s="0" t="s">
        <v>228</v>
      </c>
      <c r="T208" s="0" t="s">
        <v>228</v>
      </c>
      <c r="U208" s="0" t="s">
        <v>101</v>
      </c>
      <c r="V208" s="0" t="s">
        <v>228</v>
      </c>
      <c r="W208" s="0" t="s">
        <v>228</v>
      </c>
      <c r="X208" s="0" t="s">
        <v>3661</v>
      </c>
      <c r="Y208" s="0" t="s">
        <v>228</v>
      </c>
      <c r="Z208" s="0" t="s">
        <v>151</v>
      </c>
      <c r="AA208" s="0" t="s">
        <v>151</v>
      </c>
      <c r="AB208" s="0" t="s">
        <v>160</v>
      </c>
      <c r="AC208" s="0" t="s">
        <v>2311</v>
      </c>
      <c r="AD208" s="0" t="s">
        <v>2311</v>
      </c>
      <c r="AE208" s="0" t="s">
        <v>2312</v>
      </c>
      <c r="AF208" s="0" t="s">
        <v>4567</v>
      </c>
      <c r="AG208" s="0" t="s">
        <v>4568</v>
      </c>
      <c r="AH208" s="0" t="s">
        <v>4567</v>
      </c>
      <c r="AI208" s="0" t="s">
        <v>3721</v>
      </c>
      <c r="AJ208" s="0" t="s">
        <v>228</v>
      </c>
      <c r="AK208" s="0" t="s">
        <v>228</v>
      </c>
      <c r="AL208" s="0" t="s">
        <v>228</v>
      </c>
      <c r="AM208" s="0" t="s">
        <v>228</v>
      </c>
      <c r="AN208" s="0" t="s">
        <v>228</v>
      </c>
      <c r="AO208" s="0" t="s">
        <v>228</v>
      </c>
      <c r="AP208" s="0" t="s">
        <v>228</v>
      </c>
      <c r="AQ208" s="0" t="s">
        <v>228</v>
      </c>
      <c r="AR208" s="0" t="s">
        <v>228</v>
      </c>
      <c r="AS208" s="0" t="s">
        <v>228</v>
      </c>
      <c r="AT208" s="0" t="s">
        <v>228</v>
      </c>
      <c r="AU208" s="0" t="s">
        <v>228</v>
      </c>
      <c r="AV208" s="0" t="s">
        <v>228</v>
      </c>
      <c r="AW208" s="0" t="s">
        <v>228</v>
      </c>
      <c r="AX208" s="0" t="s">
        <v>228</v>
      </c>
      <c r="AY208" s="0" t="s">
        <v>228</v>
      </c>
      <c r="AZ208" s="0" t="s">
        <v>228</v>
      </c>
      <c r="BA208" s="0" t="s">
        <v>228</v>
      </c>
      <c r="BB208" s="0" t="s">
        <v>228</v>
      </c>
      <c r="BC208" s="0" t="s">
        <v>228</v>
      </c>
      <c r="BD208" s="0" t="s">
        <v>228</v>
      </c>
      <c r="BE208" s="0" t="s">
        <v>3722</v>
      </c>
      <c r="BF208" s="0" t="s">
        <v>3722</v>
      </c>
      <c r="BG208" s="0" t="s">
        <v>111</v>
      </c>
      <c r="BH208" s="0" t="s">
        <v>3665</v>
      </c>
      <c r="BI208" s="0" t="s">
        <v>122</v>
      </c>
      <c r="BJ208" s="0" t="s">
        <v>228</v>
      </c>
      <c r="BK208" s="0" t="s">
        <v>3684</v>
      </c>
      <c r="BL208" s="0" t="s">
        <v>2311</v>
      </c>
      <c r="BM208" s="0" t="s">
        <v>2311</v>
      </c>
      <c r="BN208" s="0" t="s">
        <v>3723</v>
      </c>
      <c r="BO208" s="0" t="s">
        <v>4567</v>
      </c>
      <c r="BP208" s="0" t="s">
        <v>4569</v>
      </c>
      <c r="BQ208" s="0" t="s">
        <v>4567</v>
      </c>
      <c r="BR208" s="0" t="s">
        <v>3721</v>
      </c>
      <c r="BS208" s="0" t="s">
        <v>228</v>
      </c>
      <c r="BT208" s="0" t="s">
        <v>3727</v>
      </c>
      <c r="BU208" s="0" t="s">
        <v>4570</v>
      </c>
      <c r="BV208" s="0" t="s">
        <v>4570</v>
      </c>
      <c r="BW208" s="0" t="s">
        <v>3674</v>
      </c>
      <c r="BX208" s="0" t="s">
        <v>3674</v>
      </c>
      <c r="BY208" s="0" t="s">
        <v>3674</v>
      </c>
      <c r="BZ208" s="0" t="s">
        <v>3674</v>
      </c>
      <c r="CA208" s="0" t="s">
        <v>3674</v>
      </c>
      <c r="CB208" s="0" t="s">
        <v>228</v>
      </c>
      <c r="CC208" s="0" t="s">
        <v>228</v>
      </c>
      <c r="CD208" s="0" t="s">
        <v>228</v>
      </c>
      <c r="CE208" s="0" t="s">
        <v>228</v>
      </c>
      <c r="CF208" s="0" t="s">
        <v>228</v>
      </c>
      <c r="CG208" s="0" t="s">
        <v>3674</v>
      </c>
      <c r="CH208" s="0" t="s">
        <v>228</v>
      </c>
      <c r="CI208" s="0" t="s">
        <v>228</v>
      </c>
      <c r="CJ208" s="0" t="s">
        <v>228</v>
      </c>
      <c r="CK208" s="0" t="s">
        <v>228</v>
      </c>
      <c r="CL208" s="0" t="s">
        <v>228</v>
      </c>
      <c r="CM208" s="0" t="s">
        <v>4570</v>
      </c>
      <c r="CN208" s="0" t="s">
        <v>4570</v>
      </c>
      <c r="CO208" s="0" t="s">
        <v>228</v>
      </c>
      <c r="CP208" s="0" t="s">
        <v>228</v>
      </c>
      <c r="CQ208" s="0" t="s">
        <v>228</v>
      </c>
      <c r="CR208" s="0" t="s">
        <v>228</v>
      </c>
      <c r="CS208" s="0" t="s">
        <v>3582</v>
      </c>
      <c r="CT208" s="0" t="s">
        <v>3568</v>
      </c>
      <c r="CU208" s="0" t="s">
        <v>3569</v>
      </c>
      <c r="CV208" s="0" t="s">
        <v>418</v>
      </c>
      <c r="CW208" s="0" t="s">
        <v>3584</v>
      </c>
      <c r="CX208" s="0" t="s">
        <v>419</v>
      </c>
      <c r="CY208" s="0" t="s">
        <v>418</v>
      </c>
      <c r="CZ208" s="0" t="s">
        <v>3585</v>
      </c>
      <c r="DA208" s="0" t="s">
        <v>3586</v>
      </c>
      <c r="DB208" s="0" t="s">
        <v>3584</v>
      </c>
      <c r="DC208" s="0" t="s">
        <v>362</v>
      </c>
      <c r="DD208" s="0" t="s">
        <v>3572</v>
      </c>
      <c r="DE208" s="0" t="s">
        <v>4571</v>
      </c>
    </row>
    <row customHeight="1" ht="11.25">
      <c r="A209" s="1353" t="s">
        <v>228</v>
      </c>
      <c r="B209" s="0" t="s">
        <v>228</v>
      </c>
      <c r="C209" s="0" t="s">
        <v>228</v>
      </c>
      <c r="D209" s="0" t="s">
        <v>228</v>
      </c>
      <c r="E209" s="0" t="s">
        <v>228</v>
      </c>
      <c r="F209" s="0" t="s">
        <v>228</v>
      </c>
      <c r="G209" s="0" t="s">
        <v>228</v>
      </c>
      <c r="H209" s="0" t="s">
        <v>228</v>
      </c>
      <c r="I209" s="0" t="s">
        <v>3555</v>
      </c>
      <c r="J209" s="0" t="s">
        <v>228</v>
      </c>
      <c r="K209" s="0" t="s">
        <v>228</v>
      </c>
      <c r="L209" s="0" t="s">
        <v>228</v>
      </c>
      <c r="M209" s="0" t="s">
        <v>228</v>
      </c>
      <c r="N209" s="0" t="s">
        <v>228</v>
      </c>
      <c r="O209" s="0" t="s">
        <v>228</v>
      </c>
      <c r="P209" s="0" t="s">
        <v>228</v>
      </c>
      <c r="Q209" s="0" t="s">
        <v>228</v>
      </c>
      <c r="R209" s="0" t="s">
        <v>3684</v>
      </c>
      <c r="S209" s="0" t="s">
        <v>228</v>
      </c>
      <c r="T209" s="0" t="s">
        <v>228</v>
      </c>
      <c r="U209" s="0" t="s">
        <v>101</v>
      </c>
      <c r="V209" s="0" t="s">
        <v>228</v>
      </c>
      <c r="W209" s="0" t="s">
        <v>228</v>
      </c>
      <c r="X209" s="0" t="s">
        <v>3557</v>
      </c>
      <c r="Y209" s="0" t="s">
        <v>228</v>
      </c>
      <c r="Z209" s="0" t="s">
        <v>160</v>
      </c>
      <c r="AA209" s="0" t="s">
        <v>151</v>
      </c>
      <c r="AB209" s="0" t="s">
        <v>151</v>
      </c>
      <c r="AC209" s="0" t="s">
        <v>2311</v>
      </c>
      <c r="AD209" s="0" t="s">
        <v>2311</v>
      </c>
      <c r="AE209" s="0" t="s">
        <v>2312</v>
      </c>
      <c r="AF209" s="0" t="s">
        <v>4034</v>
      </c>
      <c r="AG209" s="0" t="s">
        <v>4035</v>
      </c>
      <c r="AH209" s="0" t="s">
        <v>4572</v>
      </c>
      <c r="AI209" s="0" t="s">
        <v>4573</v>
      </c>
      <c r="AJ209" s="0" t="s">
        <v>3579</v>
      </c>
      <c r="AK209" s="0" t="s">
        <v>3579</v>
      </c>
      <c r="AL209" s="0" t="s">
        <v>3681</v>
      </c>
      <c r="AM209" s="0" t="s">
        <v>3565</v>
      </c>
      <c r="AN209" s="0" t="s">
        <v>3582</v>
      </c>
      <c r="AO209" s="0" t="s">
        <v>4574</v>
      </c>
      <c r="AP209" s="0" t="s">
        <v>228</v>
      </c>
      <c r="AQ209" s="0" t="s">
        <v>228</v>
      </c>
      <c r="AR209" s="0" t="s">
        <v>228</v>
      </c>
      <c r="AS209" s="0" t="s">
        <v>228</v>
      </c>
      <c r="AT209" s="0" t="s">
        <v>228</v>
      </c>
      <c r="AU209" s="0" t="s">
        <v>228</v>
      </c>
      <c r="AV209" s="0" t="s">
        <v>228</v>
      </c>
      <c r="AW209" s="0" t="s">
        <v>228</v>
      </c>
      <c r="AX209" s="0" t="s">
        <v>228</v>
      </c>
      <c r="AY209" s="0" t="s">
        <v>228</v>
      </c>
      <c r="AZ209" s="0" t="s">
        <v>228</v>
      </c>
      <c r="BA209" s="0" t="s">
        <v>228</v>
      </c>
      <c r="BB209" s="0" t="s">
        <v>228</v>
      </c>
      <c r="BC209" s="0" t="s">
        <v>228</v>
      </c>
      <c r="BD209" s="0" t="s">
        <v>228</v>
      </c>
      <c r="BE209" s="0" t="s">
        <v>228</v>
      </c>
      <c r="BF209" s="0" t="s">
        <v>228</v>
      </c>
      <c r="BG209" s="0" t="s">
        <v>228</v>
      </c>
      <c r="BH209" s="0" t="s">
        <v>228</v>
      </c>
      <c r="BI209" s="0" t="s">
        <v>228</v>
      </c>
      <c r="BJ209" s="0" t="s">
        <v>228</v>
      </c>
      <c r="BK209" s="0" t="s">
        <v>228</v>
      </c>
      <c r="BL209" s="0" t="s">
        <v>228</v>
      </c>
      <c r="BM209" s="0" t="s">
        <v>228</v>
      </c>
      <c r="BN209" s="0" t="s">
        <v>228</v>
      </c>
      <c r="BO209" s="0" t="s">
        <v>228</v>
      </c>
      <c r="BP209" s="0" t="s">
        <v>228</v>
      </c>
      <c r="BQ209" s="0" t="s">
        <v>228</v>
      </c>
      <c r="BR209" s="0" t="s">
        <v>228</v>
      </c>
      <c r="BS209" s="0" t="s">
        <v>228</v>
      </c>
      <c r="BT209" s="0" t="s">
        <v>228</v>
      </c>
      <c r="BU209" s="0" t="s">
        <v>228</v>
      </c>
      <c r="BV209" s="0" t="s">
        <v>228</v>
      </c>
      <c r="BW209" s="0" t="s">
        <v>228</v>
      </c>
      <c r="BX209" s="0" t="s">
        <v>228</v>
      </c>
      <c r="BY209" s="0" t="s">
        <v>228</v>
      </c>
      <c r="BZ209" s="0" t="s">
        <v>228</v>
      </c>
      <c r="CA209" s="0" t="s">
        <v>228</v>
      </c>
      <c r="CB209" s="0" t="s">
        <v>228</v>
      </c>
      <c r="CC209" s="0" t="s">
        <v>228</v>
      </c>
      <c r="CD209" s="0" t="s">
        <v>228</v>
      </c>
      <c r="CE209" s="0" t="s">
        <v>228</v>
      </c>
      <c r="CF209" s="0" t="s">
        <v>228</v>
      </c>
      <c r="CG209" s="0" t="s">
        <v>228</v>
      </c>
      <c r="CH209" s="0" t="s">
        <v>228</v>
      </c>
      <c r="CI209" s="0" t="s">
        <v>228</v>
      </c>
      <c r="CJ209" s="0" t="s">
        <v>228</v>
      </c>
      <c r="CK209" s="0" t="s">
        <v>228</v>
      </c>
      <c r="CL209" s="0" t="s">
        <v>228</v>
      </c>
      <c r="CM209" s="0" t="s">
        <v>228</v>
      </c>
      <c r="CN209" s="0" t="s">
        <v>228</v>
      </c>
      <c r="CO209" s="0" t="s">
        <v>228</v>
      </c>
      <c r="CP209" s="0" t="s">
        <v>228</v>
      </c>
      <c r="CQ209" s="0" t="s">
        <v>228</v>
      </c>
      <c r="CR209" s="0" t="s">
        <v>228</v>
      </c>
      <c r="CS209" s="0" t="s">
        <v>228</v>
      </c>
      <c r="CT209" s="0" t="s">
        <v>3568</v>
      </c>
      <c r="CU209" s="0" t="s">
        <v>3569</v>
      </c>
      <c r="CV209" s="0" t="s">
        <v>418</v>
      </c>
      <c r="CW209" s="0" t="s">
        <v>3584</v>
      </c>
      <c r="CX209" s="0" t="s">
        <v>419</v>
      </c>
      <c r="CY209" s="0" t="s">
        <v>418</v>
      </c>
      <c r="CZ209" s="0" t="s">
        <v>3585</v>
      </c>
      <c r="DA209" s="0" t="s">
        <v>3586</v>
      </c>
      <c r="DB209" s="0" t="s">
        <v>3584</v>
      </c>
      <c r="DC209" s="0" t="s">
        <v>362</v>
      </c>
      <c r="DD209" s="0" t="s">
        <v>3572</v>
      </c>
      <c r="DE209" s="0" t="s">
        <v>4575</v>
      </c>
    </row>
    <row customHeight="1" ht="11.25">
      <c r="A210" s="1353" t="s">
        <v>228</v>
      </c>
      <c r="B210" s="0" t="s">
        <v>228</v>
      </c>
      <c r="C210" s="0" t="s">
        <v>228</v>
      </c>
      <c r="D210" s="0" t="s">
        <v>228</v>
      </c>
      <c r="E210" s="0" t="s">
        <v>228</v>
      </c>
      <c r="F210" s="0" t="s">
        <v>228</v>
      </c>
      <c r="G210" s="0" t="s">
        <v>228</v>
      </c>
      <c r="H210" s="0" t="s">
        <v>228</v>
      </c>
      <c r="I210" s="0" t="s">
        <v>3555</v>
      </c>
      <c r="J210" s="0" t="s">
        <v>228</v>
      </c>
      <c r="K210" s="0" t="s">
        <v>228</v>
      </c>
      <c r="L210" s="0" t="s">
        <v>228</v>
      </c>
      <c r="M210" s="0" t="s">
        <v>228</v>
      </c>
      <c r="N210" s="0" t="s">
        <v>228</v>
      </c>
      <c r="O210" s="0" t="s">
        <v>228</v>
      </c>
      <c r="P210" s="0" t="s">
        <v>228</v>
      </c>
      <c r="Q210" s="0" t="s">
        <v>228</v>
      </c>
      <c r="R210" s="0" t="s">
        <v>4576</v>
      </c>
      <c r="S210" s="0" t="s">
        <v>228</v>
      </c>
      <c r="T210" s="0" t="s">
        <v>228</v>
      </c>
      <c r="U210" s="0" t="s">
        <v>101</v>
      </c>
      <c r="V210" s="0" t="s">
        <v>228</v>
      </c>
      <c r="W210" s="0" t="s">
        <v>228</v>
      </c>
      <c r="X210" s="0" t="s">
        <v>3557</v>
      </c>
      <c r="Y210" s="0" t="s">
        <v>228</v>
      </c>
      <c r="Z210" s="0" t="s">
        <v>160</v>
      </c>
      <c r="AA210" s="0" t="s">
        <v>151</v>
      </c>
      <c r="AB210" s="0" t="s">
        <v>151</v>
      </c>
      <c r="AC210" s="0" t="s">
        <v>2311</v>
      </c>
      <c r="AD210" s="0" t="s">
        <v>2311</v>
      </c>
      <c r="AE210" s="0" t="s">
        <v>2312</v>
      </c>
      <c r="AF210" s="0" t="s">
        <v>4034</v>
      </c>
      <c r="AG210" s="0" t="s">
        <v>4035</v>
      </c>
      <c r="AH210" s="0" t="s">
        <v>4577</v>
      </c>
      <c r="AI210" s="0" t="s">
        <v>4311</v>
      </c>
      <c r="AJ210" s="0" t="s">
        <v>3579</v>
      </c>
      <c r="AK210" s="0" t="s">
        <v>3579</v>
      </c>
      <c r="AL210" s="0" t="s">
        <v>3681</v>
      </c>
      <c r="AM210" s="0" t="s">
        <v>3565</v>
      </c>
      <c r="AN210" s="0" t="s">
        <v>3582</v>
      </c>
      <c r="AO210" s="0" t="s">
        <v>4578</v>
      </c>
      <c r="AP210" s="0" t="s">
        <v>228</v>
      </c>
      <c r="AQ210" s="0" t="s">
        <v>228</v>
      </c>
      <c r="AR210" s="0" t="s">
        <v>228</v>
      </c>
      <c r="AS210" s="0" t="s">
        <v>228</v>
      </c>
      <c r="AT210" s="0" t="s">
        <v>228</v>
      </c>
      <c r="AU210" s="0" t="s">
        <v>228</v>
      </c>
      <c r="AV210" s="0" t="s">
        <v>228</v>
      </c>
      <c r="AW210" s="0" t="s">
        <v>228</v>
      </c>
      <c r="AX210" s="0" t="s">
        <v>228</v>
      </c>
      <c r="AY210" s="0" t="s">
        <v>228</v>
      </c>
      <c r="AZ210" s="0" t="s">
        <v>228</v>
      </c>
      <c r="BA210" s="0" t="s">
        <v>228</v>
      </c>
      <c r="BB210" s="0" t="s">
        <v>228</v>
      </c>
      <c r="BC210" s="0" t="s">
        <v>228</v>
      </c>
      <c r="BD210" s="0" t="s">
        <v>228</v>
      </c>
      <c r="BE210" s="0" t="s">
        <v>228</v>
      </c>
      <c r="BF210" s="0" t="s">
        <v>228</v>
      </c>
      <c r="BG210" s="0" t="s">
        <v>228</v>
      </c>
      <c r="BH210" s="0" t="s">
        <v>228</v>
      </c>
      <c r="BI210" s="0" t="s">
        <v>228</v>
      </c>
      <c r="BJ210" s="0" t="s">
        <v>228</v>
      </c>
      <c r="BK210" s="0" t="s">
        <v>228</v>
      </c>
      <c r="BL210" s="0" t="s">
        <v>228</v>
      </c>
      <c r="BM210" s="0" t="s">
        <v>228</v>
      </c>
      <c r="BN210" s="0" t="s">
        <v>228</v>
      </c>
      <c r="BO210" s="0" t="s">
        <v>228</v>
      </c>
      <c r="BP210" s="0" t="s">
        <v>228</v>
      </c>
      <c r="BQ210" s="0" t="s">
        <v>228</v>
      </c>
      <c r="BR210" s="0" t="s">
        <v>228</v>
      </c>
      <c r="BS210" s="0" t="s">
        <v>228</v>
      </c>
      <c r="BT210" s="0" t="s">
        <v>228</v>
      </c>
      <c r="BU210" s="0" t="s">
        <v>228</v>
      </c>
      <c r="BV210" s="0" t="s">
        <v>228</v>
      </c>
      <c r="BW210" s="0" t="s">
        <v>228</v>
      </c>
      <c r="BX210" s="0" t="s">
        <v>228</v>
      </c>
      <c r="BY210" s="0" t="s">
        <v>228</v>
      </c>
      <c r="BZ210" s="0" t="s">
        <v>228</v>
      </c>
      <c r="CA210" s="0" t="s">
        <v>228</v>
      </c>
      <c r="CB210" s="0" t="s">
        <v>228</v>
      </c>
      <c r="CC210" s="0" t="s">
        <v>228</v>
      </c>
      <c r="CD210" s="0" t="s">
        <v>228</v>
      </c>
      <c r="CE210" s="0" t="s">
        <v>228</v>
      </c>
      <c r="CF210" s="0" t="s">
        <v>228</v>
      </c>
      <c r="CG210" s="0" t="s">
        <v>228</v>
      </c>
      <c r="CH210" s="0" t="s">
        <v>228</v>
      </c>
      <c r="CI210" s="0" t="s">
        <v>228</v>
      </c>
      <c r="CJ210" s="0" t="s">
        <v>228</v>
      </c>
      <c r="CK210" s="0" t="s">
        <v>228</v>
      </c>
      <c r="CL210" s="0" t="s">
        <v>228</v>
      </c>
      <c r="CM210" s="0" t="s">
        <v>228</v>
      </c>
      <c r="CN210" s="0" t="s">
        <v>228</v>
      </c>
      <c r="CO210" s="0" t="s">
        <v>228</v>
      </c>
      <c r="CP210" s="0" t="s">
        <v>228</v>
      </c>
      <c r="CQ210" s="0" t="s">
        <v>228</v>
      </c>
      <c r="CR210" s="0" t="s">
        <v>228</v>
      </c>
      <c r="CS210" s="0" t="s">
        <v>228</v>
      </c>
      <c r="CT210" s="0" t="s">
        <v>3568</v>
      </c>
      <c r="CU210" s="0" t="s">
        <v>3569</v>
      </c>
      <c r="CV210" s="0" t="s">
        <v>418</v>
      </c>
      <c r="CW210" s="0" t="s">
        <v>3584</v>
      </c>
      <c r="CX210" s="0" t="s">
        <v>419</v>
      </c>
      <c r="CY210" s="0" t="s">
        <v>418</v>
      </c>
      <c r="CZ210" s="0" t="s">
        <v>3585</v>
      </c>
      <c r="DA210" s="0" t="s">
        <v>3586</v>
      </c>
      <c r="DB210" s="0" t="s">
        <v>3584</v>
      </c>
      <c r="DC210" s="0" t="s">
        <v>362</v>
      </c>
      <c r="DD210" s="0" t="s">
        <v>3572</v>
      </c>
      <c r="DE210" s="0" t="s">
        <v>4579</v>
      </c>
    </row>
    <row customHeight="1" ht="11.25">
      <c r="A211" s="1353" t="s">
        <v>228</v>
      </c>
      <c r="B211" s="0" t="s">
        <v>228</v>
      </c>
      <c r="C211" s="0" t="s">
        <v>228</v>
      </c>
      <c r="D211" s="0" t="s">
        <v>228</v>
      </c>
      <c r="E211" s="0" t="s">
        <v>228</v>
      </c>
      <c r="F211" s="0" t="s">
        <v>228</v>
      </c>
      <c r="G211" s="0" t="s">
        <v>228</v>
      </c>
      <c r="H211" s="0" t="s">
        <v>228</v>
      </c>
      <c r="I211" s="0" t="s">
        <v>3555</v>
      </c>
      <c r="J211" s="0" t="s">
        <v>228</v>
      </c>
      <c r="K211" s="0" t="s">
        <v>228</v>
      </c>
      <c r="L211" s="0" t="s">
        <v>228</v>
      </c>
      <c r="M211" s="0" t="s">
        <v>228</v>
      </c>
      <c r="N211" s="0" t="s">
        <v>228</v>
      </c>
      <c r="O211" s="0" t="s">
        <v>228</v>
      </c>
      <c r="P211" s="0" t="s">
        <v>228</v>
      </c>
      <c r="Q211" s="0" t="s">
        <v>228</v>
      </c>
      <c r="R211" s="0" t="s">
        <v>3684</v>
      </c>
      <c r="S211" s="0" t="s">
        <v>228</v>
      </c>
      <c r="T211" s="0" t="s">
        <v>228</v>
      </c>
      <c r="U211" s="0" t="s">
        <v>101</v>
      </c>
      <c r="V211" s="0" t="s">
        <v>228</v>
      </c>
      <c r="W211" s="0" t="s">
        <v>228</v>
      </c>
      <c r="X211" s="0" t="s">
        <v>3557</v>
      </c>
      <c r="Y211" s="0" t="s">
        <v>228</v>
      </c>
      <c r="Z211" s="0" t="s">
        <v>160</v>
      </c>
      <c r="AA211" s="0" t="s">
        <v>151</v>
      </c>
      <c r="AB211" s="0" t="s">
        <v>151</v>
      </c>
      <c r="AC211" s="0" t="s">
        <v>2311</v>
      </c>
      <c r="AD211" s="0" t="s">
        <v>2311</v>
      </c>
      <c r="AE211" s="0" t="s">
        <v>2312</v>
      </c>
      <c r="AF211" s="0" t="s">
        <v>4313</v>
      </c>
      <c r="AG211" s="0" t="s">
        <v>4314</v>
      </c>
      <c r="AH211" s="0" t="s">
        <v>4580</v>
      </c>
      <c r="AI211" s="0" t="s">
        <v>4581</v>
      </c>
      <c r="AJ211" s="0" t="s">
        <v>3652</v>
      </c>
      <c r="AK211" s="0" t="s">
        <v>3833</v>
      </c>
      <c r="AL211" s="0" t="s">
        <v>3681</v>
      </c>
      <c r="AM211" s="0" t="s">
        <v>3565</v>
      </c>
      <c r="AN211" s="0" t="s">
        <v>3582</v>
      </c>
      <c r="AO211" s="0" t="s">
        <v>4433</v>
      </c>
      <c r="AP211" s="0" t="s">
        <v>228</v>
      </c>
      <c r="AQ211" s="0" t="s">
        <v>228</v>
      </c>
      <c r="AR211" s="0" t="s">
        <v>228</v>
      </c>
      <c r="AS211" s="0" t="s">
        <v>228</v>
      </c>
      <c r="AT211" s="0" t="s">
        <v>228</v>
      </c>
      <c r="AU211" s="0" t="s">
        <v>228</v>
      </c>
      <c r="AV211" s="0" t="s">
        <v>228</v>
      </c>
      <c r="AW211" s="0" t="s">
        <v>228</v>
      </c>
      <c r="AX211" s="0" t="s">
        <v>228</v>
      </c>
      <c r="AY211" s="0" t="s">
        <v>228</v>
      </c>
      <c r="AZ211" s="0" t="s">
        <v>228</v>
      </c>
      <c r="BA211" s="0" t="s">
        <v>228</v>
      </c>
      <c r="BB211" s="0" t="s">
        <v>228</v>
      </c>
      <c r="BC211" s="0" t="s">
        <v>228</v>
      </c>
      <c r="BD211" s="0" t="s">
        <v>228</v>
      </c>
      <c r="BE211" s="0" t="s">
        <v>228</v>
      </c>
      <c r="BF211" s="0" t="s">
        <v>228</v>
      </c>
      <c r="BG211" s="0" t="s">
        <v>228</v>
      </c>
      <c r="BH211" s="0" t="s">
        <v>228</v>
      </c>
      <c r="BI211" s="0" t="s">
        <v>228</v>
      </c>
      <c r="BJ211" s="0" t="s">
        <v>228</v>
      </c>
      <c r="BK211" s="0" t="s">
        <v>228</v>
      </c>
      <c r="BL211" s="0" t="s">
        <v>228</v>
      </c>
      <c r="BM211" s="0" t="s">
        <v>228</v>
      </c>
      <c r="BN211" s="0" t="s">
        <v>228</v>
      </c>
      <c r="BO211" s="0" t="s">
        <v>228</v>
      </c>
      <c r="BP211" s="0" t="s">
        <v>228</v>
      </c>
      <c r="BQ211" s="0" t="s">
        <v>228</v>
      </c>
      <c r="BR211" s="0" t="s">
        <v>228</v>
      </c>
      <c r="BS211" s="0" t="s">
        <v>228</v>
      </c>
      <c r="BT211" s="0" t="s">
        <v>228</v>
      </c>
      <c r="BU211" s="0" t="s">
        <v>228</v>
      </c>
      <c r="BV211" s="0" t="s">
        <v>228</v>
      </c>
      <c r="BW211" s="0" t="s">
        <v>228</v>
      </c>
      <c r="BX211" s="0" t="s">
        <v>228</v>
      </c>
      <c r="BY211" s="0" t="s">
        <v>228</v>
      </c>
      <c r="BZ211" s="0" t="s">
        <v>228</v>
      </c>
      <c r="CA211" s="0" t="s">
        <v>228</v>
      </c>
      <c r="CB211" s="0" t="s">
        <v>228</v>
      </c>
      <c r="CC211" s="0" t="s">
        <v>228</v>
      </c>
      <c r="CD211" s="0" t="s">
        <v>228</v>
      </c>
      <c r="CE211" s="0" t="s">
        <v>228</v>
      </c>
      <c r="CF211" s="0" t="s">
        <v>228</v>
      </c>
      <c r="CG211" s="0" t="s">
        <v>228</v>
      </c>
      <c r="CH211" s="0" t="s">
        <v>228</v>
      </c>
      <c r="CI211" s="0" t="s">
        <v>228</v>
      </c>
      <c r="CJ211" s="0" t="s">
        <v>228</v>
      </c>
      <c r="CK211" s="0" t="s">
        <v>228</v>
      </c>
      <c r="CL211" s="0" t="s">
        <v>228</v>
      </c>
      <c r="CM211" s="0" t="s">
        <v>228</v>
      </c>
      <c r="CN211" s="0" t="s">
        <v>228</v>
      </c>
      <c r="CO211" s="0" t="s">
        <v>228</v>
      </c>
      <c r="CP211" s="0" t="s">
        <v>228</v>
      </c>
      <c r="CQ211" s="0" t="s">
        <v>228</v>
      </c>
      <c r="CR211" s="0" t="s">
        <v>228</v>
      </c>
      <c r="CS211" s="0" t="s">
        <v>228</v>
      </c>
      <c r="CT211" s="0" t="s">
        <v>3568</v>
      </c>
      <c r="CU211" s="0" t="s">
        <v>3569</v>
      </c>
      <c r="CV211" s="0" t="s">
        <v>418</v>
      </c>
      <c r="CW211" s="0" t="s">
        <v>3584</v>
      </c>
      <c r="CX211" s="0" t="s">
        <v>419</v>
      </c>
      <c r="CY211" s="0" t="s">
        <v>418</v>
      </c>
      <c r="CZ211" s="0" t="s">
        <v>3585</v>
      </c>
      <c r="DA211" s="0" t="s">
        <v>3586</v>
      </c>
      <c r="DB211" s="0" t="s">
        <v>3584</v>
      </c>
      <c r="DC211" s="0" t="s">
        <v>362</v>
      </c>
      <c r="DD211" s="0" t="s">
        <v>3572</v>
      </c>
      <c r="DE211" s="0" t="s">
        <v>4582</v>
      </c>
    </row>
    <row customHeight="1" ht="11.25">
      <c r="A212" s="1353" t="s">
        <v>228</v>
      </c>
      <c r="B212" s="0" t="s">
        <v>228</v>
      </c>
      <c r="C212" s="0" t="s">
        <v>228</v>
      </c>
      <c r="D212" s="0" t="s">
        <v>228</v>
      </c>
      <c r="E212" s="0" t="s">
        <v>228</v>
      </c>
      <c r="F212" s="0" t="s">
        <v>228</v>
      </c>
      <c r="G212" s="0" t="s">
        <v>228</v>
      </c>
      <c r="H212" s="0" t="s">
        <v>228</v>
      </c>
      <c r="I212" s="0" t="s">
        <v>3555</v>
      </c>
      <c r="J212" s="0" t="s">
        <v>228</v>
      </c>
      <c r="K212" s="0" t="s">
        <v>228</v>
      </c>
      <c r="L212" s="0" t="s">
        <v>228</v>
      </c>
      <c r="M212" s="0" t="s">
        <v>228</v>
      </c>
      <c r="N212" s="0" t="s">
        <v>228</v>
      </c>
      <c r="O212" s="0" t="s">
        <v>228</v>
      </c>
      <c r="P212" s="0" t="s">
        <v>228</v>
      </c>
      <c r="Q212" s="0" t="s">
        <v>228</v>
      </c>
      <c r="R212" s="0" t="s">
        <v>3557</v>
      </c>
      <c r="S212" s="0" t="s">
        <v>228</v>
      </c>
      <c r="T212" s="0" t="s">
        <v>228</v>
      </c>
      <c r="U212" s="0" t="s">
        <v>101</v>
      </c>
      <c r="V212" s="0" t="s">
        <v>228</v>
      </c>
      <c r="W212" s="0" t="s">
        <v>228</v>
      </c>
      <c r="X212" s="0" t="s">
        <v>3557</v>
      </c>
      <c r="Y212" s="0" t="s">
        <v>228</v>
      </c>
      <c r="Z212" s="0" t="s">
        <v>160</v>
      </c>
      <c r="AA212" s="0" t="s">
        <v>151</v>
      </c>
      <c r="AB212" s="0" t="s">
        <v>151</v>
      </c>
      <c r="AC212" s="0" t="s">
        <v>2317</v>
      </c>
      <c r="AD212" s="0" t="s">
        <v>2317</v>
      </c>
      <c r="AE212" s="0" t="s">
        <v>2318</v>
      </c>
      <c r="AF212" s="0" t="s">
        <v>3826</v>
      </c>
      <c r="AG212" s="0" t="s">
        <v>3827</v>
      </c>
      <c r="AH212" s="0" t="s">
        <v>3761</v>
      </c>
      <c r="AI212" s="0" t="s">
        <v>4393</v>
      </c>
      <c r="AJ212" s="0" t="s">
        <v>3654</v>
      </c>
      <c r="AK212" s="0" t="s">
        <v>3620</v>
      </c>
      <c r="AL212" s="0" t="s">
        <v>4196</v>
      </c>
      <c r="AM212" s="0" t="s">
        <v>3565</v>
      </c>
      <c r="AN212" s="0" t="s">
        <v>3628</v>
      </c>
      <c r="AO212" s="0" t="s">
        <v>3829</v>
      </c>
      <c r="AP212" s="0" t="s">
        <v>228</v>
      </c>
      <c r="AQ212" s="0" t="s">
        <v>228</v>
      </c>
      <c r="AR212" s="0" t="s">
        <v>228</v>
      </c>
      <c r="AS212" s="0" t="s">
        <v>228</v>
      </c>
      <c r="AT212" s="0" t="s">
        <v>228</v>
      </c>
      <c r="AU212" s="0" t="s">
        <v>228</v>
      </c>
      <c r="AV212" s="0" t="s">
        <v>228</v>
      </c>
      <c r="AW212" s="0" t="s">
        <v>228</v>
      </c>
      <c r="AX212" s="0" t="s">
        <v>228</v>
      </c>
      <c r="AY212" s="0" t="s">
        <v>228</v>
      </c>
      <c r="AZ212" s="0" t="s">
        <v>228</v>
      </c>
      <c r="BA212" s="0" t="s">
        <v>228</v>
      </c>
      <c r="BB212" s="0" t="s">
        <v>228</v>
      </c>
      <c r="BC212" s="0" t="s">
        <v>228</v>
      </c>
      <c r="BD212" s="0" t="s">
        <v>228</v>
      </c>
      <c r="BE212" s="0" t="s">
        <v>228</v>
      </c>
      <c r="BF212" s="0" t="s">
        <v>228</v>
      </c>
      <c r="BG212" s="0" t="s">
        <v>228</v>
      </c>
      <c r="BH212" s="0" t="s">
        <v>228</v>
      </c>
      <c r="BI212" s="0" t="s">
        <v>228</v>
      </c>
      <c r="BJ212" s="0" t="s">
        <v>228</v>
      </c>
      <c r="BK212" s="0" t="s">
        <v>228</v>
      </c>
      <c r="BL212" s="0" t="s">
        <v>228</v>
      </c>
      <c r="BM212" s="0" t="s">
        <v>228</v>
      </c>
      <c r="BN212" s="0" t="s">
        <v>228</v>
      </c>
      <c r="BO212" s="0" t="s">
        <v>228</v>
      </c>
      <c r="BP212" s="0" t="s">
        <v>228</v>
      </c>
      <c r="BQ212" s="0" t="s">
        <v>228</v>
      </c>
      <c r="BR212" s="0" t="s">
        <v>228</v>
      </c>
      <c r="BS212" s="0" t="s">
        <v>228</v>
      </c>
      <c r="BT212" s="0" t="s">
        <v>228</v>
      </c>
      <c r="BU212" s="0" t="s">
        <v>228</v>
      </c>
      <c r="BV212" s="0" t="s">
        <v>228</v>
      </c>
      <c r="BW212" s="0" t="s">
        <v>228</v>
      </c>
      <c r="BX212" s="0" t="s">
        <v>228</v>
      </c>
      <c r="BY212" s="0" t="s">
        <v>228</v>
      </c>
      <c r="BZ212" s="0" t="s">
        <v>228</v>
      </c>
      <c r="CA212" s="0" t="s">
        <v>228</v>
      </c>
      <c r="CB212" s="0" t="s">
        <v>228</v>
      </c>
      <c r="CC212" s="0" t="s">
        <v>228</v>
      </c>
      <c r="CD212" s="0" t="s">
        <v>228</v>
      </c>
      <c r="CE212" s="0" t="s">
        <v>228</v>
      </c>
      <c r="CF212" s="0" t="s">
        <v>228</v>
      </c>
      <c r="CG212" s="0" t="s">
        <v>228</v>
      </c>
      <c r="CH212" s="0" t="s">
        <v>228</v>
      </c>
      <c r="CI212" s="0" t="s">
        <v>228</v>
      </c>
      <c r="CJ212" s="0" t="s">
        <v>228</v>
      </c>
      <c r="CK212" s="0" t="s">
        <v>228</v>
      </c>
      <c r="CL212" s="0" t="s">
        <v>228</v>
      </c>
      <c r="CM212" s="0" t="s">
        <v>228</v>
      </c>
      <c r="CN212" s="0" t="s">
        <v>228</v>
      </c>
      <c r="CO212" s="0" t="s">
        <v>228</v>
      </c>
      <c r="CP212" s="0" t="s">
        <v>228</v>
      </c>
      <c r="CQ212" s="0" t="s">
        <v>228</v>
      </c>
      <c r="CR212" s="0" t="s">
        <v>228</v>
      </c>
      <c r="CS212" s="0" t="s">
        <v>228</v>
      </c>
      <c r="CT212" s="0" t="s">
        <v>3568</v>
      </c>
      <c r="CU212" s="0" t="s">
        <v>3569</v>
      </c>
      <c r="CV212" s="0" t="s">
        <v>418</v>
      </c>
      <c r="CW212" s="0" t="s">
        <v>3622</v>
      </c>
      <c r="CX212" s="0" t="s">
        <v>419</v>
      </c>
      <c r="CY212" s="0" t="s">
        <v>418</v>
      </c>
      <c r="CZ212" s="0" t="s">
        <v>3623</v>
      </c>
      <c r="DA212" s="0" t="s">
        <v>3624</v>
      </c>
      <c r="DB212" s="0" t="s">
        <v>3622</v>
      </c>
      <c r="DC212" s="0" t="s">
        <v>362</v>
      </c>
      <c r="DD212" s="0" t="s">
        <v>3572</v>
      </c>
      <c r="DE212" s="0" t="s">
        <v>4394</v>
      </c>
    </row>
    <row customHeight="1" ht="11.25">
      <c r="A213" s="1353" t="s">
        <v>228</v>
      </c>
      <c r="B213" s="0" t="s">
        <v>228</v>
      </c>
      <c r="C213" s="0" t="s">
        <v>228</v>
      </c>
      <c r="D213" s="0" t="s">
        <v>228</v>
      </c>
      <c r="E213" s="0" t="s">
        <v>228</v>
      </c>
      <c r="F213" s="0" t="s">
        <v>228</v>
      </c>
      <c r="G213" s="0" t="s">
        <v>228</v>
      </c>
      <c r="H213" s="0" t="s">
        <v>228</v>
      </c>
      <c r="I213" s="0" t="s">
        <v>3555</v>
      </c>
      <c r="J213" s="0" t="s">
        <v>228</v>
      </c>
      <c r="K213" s="0" t="s">
        <v>228</v>
      </c>
      <c r="L213" s="0" t="s">
        <v>228</v>
      </c>
      <c r="M213" s="0" t="s">
        <v>228</v>
      </c>
      <c r="N213" s="0" t="s">
        <v>228</v>
      </c>
      <c r="O213" s="0" t="s">
        <v>228</v>
      </c>
      <c r="P213" s="0" t="s">
        <v>228</v>
      </c>
      <c r="Q213" s="0" t="s">
        <v>228</v>
      </c>
      <c r="R213" s="0" t="s">
        <v>4583</v>
      </c>
      <c r="S213" s="0" t="s">
        <v>228</v>
      </c>
      <c r="T213" s="0" t="s">
        <v>228</v>
      </c>
      <c r="U213" s="0" t="s">
        <v>101</v>
      </c>
      <c r="V213" s="0" t="s">
        <v>228</v>
      </c>
      <c r="W213" s="0" t="s">
        <v>228</v>
      </c>
      <c r="X213" s="0" t="s">
        <v>3557</v>
      </c>
      <c r="Y213" s="0" t="s">
        <v>228</v>
      </c>
      <c r="Z213" s="0" t="s">
        <v>160</v>
      </c>
      <c r="AA213" s="0" t="s">
        <v>151</v>
      </c>
      <c r="AB213" s="0" t="s">
        <v>151</v>
      </c>
      <c r="AC213" s="0" t="s">
        <v>2317</v>
      </c>
      <c r="AD213" s="0" t="s">
        <v>2317</v>
      </c>
      <c r="AE213" s="0" t="s">
        <v>2318</v>
      </c>
      <c r="AF213" s="0" t="s">
        <v>3826</v>
      </c>
      <c r="AG213" s="0" t="s">
        <v>3827</v>
      </c>
      <c r="AH213" s="0" t="s">
        <v>4584</v>
      </c>
      <c r="AI213" s="0" t="s">
        <v>3651</v>
      </c>
      <c r="AJ213" s="0" t="s">
        <v>3654</v>
      </c>
      <c r="AK213" s="0" t="s">
        <v>3900</v>
      </c>
      <c r="AL213" s="0" t="s">
        <v>4196</v>
      </c>
      <c r="AM213" s="0" t="s">
        <v>3565</v>
      </c>
      <c r="AN213" s="0" t="s">
        <v>3628</v>
      </c>
      <c r="AO213" s="0" t="s">
        <v>4585</v>
      </c>
      <c r="AP213" s="0" t="s">
        <v>228</v>
      </c>
      <c r="AQ213" s="0" t="s">
        <v>228</v>
      </c>
      <c r="AR213" s="0" t="s">
        <v>228</v>
      </c>
      <c r="AS213" s="0" t="s">
        <v>228</v>
      </c>
      <c r="AT213" s="0" t="s">
        <v>228</v>
      </c>
      <c r="AU213" s="0" t="s">
        <v>228</v>
      </c>
      <c r="AV213" s="0" t="s">
        <v>228</v>
      </c>
      <c r="AW213" s="0" t="s">
        <v>228</v>
      </c>
      <c r="AX213" s="0" t="s">
        <v>228</v>
      </c>
      <c r="AY213" s="0" t="s">
        <v>228</v>
      </c>
      <c r="AZ213" s="0" t="s">
        <v>228</v>
      </c>
      <c r="BA213" s="0" t="s">
        <v>228</v>
      </c>
      <c r="BB213" s="0" t="s">
        <v>228</v>
      </c>
      <c r="BC213" s="0" t="s">
        <v>228</v>
      </c>
      <c r="BD213" s="0" t="s">
        <v>228</v>
      </c>
      <c r="BE213" s="0" t="s">
        <v>228</v>
      </c>
      <c r="BF213" s="0" t="s">
        <v>228</v>
      </c>
      <c r="BG213" s="0" t="s">
        <v>228</v>
      </c>
      <c r="BH213" s="0" t="s">
        <v>228</v>
      </c>
      <c r="BI213" s="0" t="s">
        <v>228</v>
      </c>
      <c r="BJ213" s="0" t="s">
        <v>228</v>
      </c>
      <c r="BK213" s="0" t="s">
        <v>228</v>
      </c>
      <c r="BL213" s="0" t="s">
        <v>228</v>
      </c>
      <c r="BM213" s="0" t="s">
        <v>228</v>
      </c>
      <c r="BN213" s="0" t="s">
        <v>228</v>
      </c>
      <c r="BO213" s="0" t="s">
        <v>228</v>
      </c>
      <c r="BP213" s="0" t="s">
        <v>228</v>
      </c>
      <c r="BQ213" s="0" t="s">
        <v>228</v>
      </c>
      <c r="BR213" s="0" t="s">
        <v>228</v>
      </c>
      <c r="BS213" s="0" t="s">
        <v>228</v>
      </c>
      <c r="BT213" s="0" t="s">
        <v>228</v>
      </c>
      <c r="BU213" s="0" t="s">
        <v>228</v>
      </c>
      <c r="BV213" s="0" t="s">
        <v>228</v>
      </c>
      <c r="BW213" s="0" t="s">
        <v>228</v>
      </c>
      <c r="BX213" s="0" t="s">
        <v>228</v>
      </c>
      <c r="BY213" s="0" t="s">
        <v>228</v>
      </c>
      <c r="BZ213" s="0" t="s">
        <v>228</v>
      </c>
      <c r="CA213" s="0" t="s">
        <v>228</v>
      </c>
      <c r="CB213" s="0" t="s">
        <v>228</v>
      </c>
      <c r="CC213" s="0" t="s">
        <v>228</v>
      </c>
      <c r="CD213" s="0" t="s">
        <v>228</v>
      </c>
      <c r="CE213" s="0" t="s">
        <v>228</v>
      </c>
      <c r="CF213" s="0" t="s">
        <v>228</v>
      </c>
      <c r="CG213" s="0" t="s">
        <v>228</v>
      </c>
      <c r="CH213" s="0" t="s">
        <v>228</v>
      </c>
      <c r="CI213" s="0" t="s">
        <v>228</v>
      </c>
      <c r="CJ213" s="0" t="s">
        <v>228</v>
      </c>
      <c r="CK213" s="0" t="s">
        <v>228</v>
      </c>
      <c r="CL213" s="0" t="s">
        <v>228</v>
      </c>
      <c r="CM213" s="0" t="s">
        <v>228</v>
      </c>
      <c r="CN213" s="0" t="s">
        <v>228</v>
      </c>
      <c r="CO213" s="0" t="s">
        <v>228</v>
      </c>
      <c r="CP213" s="0" t="s">
        <v>228</v>
      </c>
      <c r="CQ213" s="0" t="s">
        <v>228</v>
      </c>
      <c r="CR213" s="0" t="s">
        <v>228</v>
      </c>
      <c r="CS213" s="0" t="s">
        <v>228</v>
      </c>
      <c r="CT213" s="0" t="s">
        <v>3568</v>
      </c>
      <c r="CU213" s="0" t="s">
        <v>3569</v>
      </c>
      <c r="CV213" s="0" t="s">
        <v>418</v>
      </c>
      <c r="CW213" s="0" t="s">
        <v>3622</v>
      </c>
      <c r="CX213" s="0" t="s">
        <v>419</v>
      </c>
      <c r="CY213" s="0" t="s">
        <v>418</v>
      </c>
      <c r="CZ213" s="0" t="s">
        <v>3623</v>
      </c>
      <c r="DA213" s="0" t="s">
        <v>3624</v>
      </c>
      <c r="DB213" s="0" t="s">
        <v>3622</v>
      </c>
      <c r="DC213" s="0" t="s">
        <v>362</v>
      </c>
      <c r="DD213" s="0" t="s">
        <v>3572</v>
      </c>
      <c r="DE213" s="0" t="s">
        <v>4586</v>
      </c>
    </row>
    <row customHeight="1" ht="11.25">
      <c r="A214" s="1353" t="s">
        <v>228</v>
      </c>
      <c r="B214" s="0" t="s">
        <v>228</v>
      </c>
      <c r="C214" s="0" t="s">
        <v>228</v>
      </c>
      <c r="D214" s="0" t="s">
        <v>228</v>
      </c>
      <c r="E214" s="0" t="s">
        <v>228</v>
      </c>
      <c r="F214" s="0" t="s">
        <v>228</v>
      </c>
      <c r="G214" s="0" t="s">
        <v>228</v>
      </c>
      <c r="H214" s="0" t="s">
        <v>228</v>
      </c>
      <c r="I214" s="0" t="s">
        <v>3555</v>
      </c>
      <c r="J214" s="0" t="s">
        <v>228</v>
      </c>
      <c r="K214" s="0" t="s">
        <v>228</v>
      </c>
      <c r="L214" s="0" t="s">
        <v>228</v>
      </c>
      <c r="M214" s="0" t="s">
        <v>228</v>
      </c>
      <c r="N214" s="0" t="s">
        <v>228</v>
      </c>
      <c r="O214" s="0" t="s">
        <v>228</v>
      </c>
      <c r="P214" s="0" t="s">
        <v>228</v>
      </c>
      <c r="Q214" s="0" t="s">
        <v>228</v>
      </c>
      <c r="R214" s="0" t="s">
        <v>3648</v>
      </c>
      <c r="S214" s="0" t="s">
        <v>228</v>
      </c>
      <c r="T214" s="0" t="s">
        <v>228</v>
      </c>
      <c r="U214" s="0" t="s">
        <v>101</v>
      </c>
      <c r="V214" s="0" t="s">
        <v>228</v>
      </c>
      <c r="W214" s="0" t="s">
        <v>228</v>
      </c>
      <c r="X214" s="0" t="s">
        <v>3557</v>
      </c>
      <c r="Y214" s="0" t="s">
        <v>228</v>
      </c>
      <c r="Z214" s="0" t="s">
        <v>160</v>
      </c>
      <c r="AA214" s="0" t="s">
        <v>151</v>
      </c>
      <c r="AB214" s="0" t="s">
        <v>151</v>
      </c>
      <c r="AC214" s="0" t="s">
        <v>2315</v>
      </c>
      <c r="AD214" s="0" t="s">
        <v>2315</v>
      </c>
      <c r="AE214" s="0" t="s">
        <v>2316</v>
      </c>
      <c r="AF214" s="0" t="s">
        <v>4587</v>
      </c>
      <c r="AG214" s="0" t="s">
        <v>4588</v>
      </c>
      <c r="AH214" s="0" t="s">
        <v>4064</v>
      </c>
      <c r="AI214" s="0" t="s">
        <v>3651</v>
      </c>
      <c r="AJ214" s="0" t="s">
        <v>3652</v>
      </c>
      <c r="AK214" s="0" t="s">
        <v>3891</v>
      </c>
      <c r="AL214" s="0" t="s">
        <v>3581</v>
      </c>
      <c r="AM214" s="0" t="s">
        <v>3565</v>
      </c>
      <c r="AN214" s="0" t="s">
        <v>3654</v>
      </c>
      <c r="AO214" s="0" t="s">
        <v>3701</v>
      </c>
      <c r="AP214" s="0" t="s">
        <v>228</v>
      </c>
      <c r="AQ214" s="0" t="s">
        <v>228</v>
      </c>
      <c r="AR214" s="0" t="s">
        <v>228</v>
      </c>
      <c r="AS214" s="0" t="s">
        <v>228</v>
      </c>
      <c r="AT214" s="0" t="s">
        <v>228</v>
      </c>
      <c r="AU214" s="0" t="s">
        <v>228</v>
      </c>
      <c r="AV214" s="0" t="s">
        <v>228</v>
      </c>
      <c r="AW214" s="0" t="s">
        <v>228</v>
      </c>
      <c r="AX214" s="0" t="s">
        <v>228</v>
      </c>
      <c r="AY214" s="0" t="s">
        <v>228</v>
      </c>
      <c r="AZ214" s="0" t="s">
        <v>228</v>
      </c>
      <c r="BA214" s="0" t="s">
        <v>228</v>
      </c>
      <c r="BB214" s="0" t="s">
        <v>228</v>
      </c>
      <c r="BC214" s="0" t="s">
        <v>228</v>
      </c>
      <c r="BD214" s="0" t="s">
        <v>228</v>
      </c>
      <c r="BE214" s="0" t="s">
        <v>228</v>
      </c>
      <c r="BF214" s="0" t="s">
        <v>228</v>
      </c>
      <c r="BG214" s="0" t="s">
        <v>228</v>
      </c>
      <c r="BH214" s="0" t="s">
        <v>228</v>
      </c>
      <c r="BI214" s="0" t="s">
        <v>228</v>
      </c>
      <c r="BJ214" s="0" t="s">
        <v>228</v>
      </c>
      <c r="BK214" s="0" t="s">
        <v>228</v>
      </c>
      <c r="BL214" s="0" t="s">
        <v>228</v>
      </c>
      <c r="BM214" s="0" t="s">
        <v>228</v>
      </c>
      <c r="BN214" s="0" t="s">
        <v>228</v>
      </c>
      <c r="BO214" s="0" t="s">
        <v>228</v>
      </c>
      <c r="BP214" s="0" t="s">
        <v>228</v>
      </c>
      <c r="BQ214" s="0" t="s">
        <v>228</v>
      </c>
      <c r="BR214" s="0" t="s">
        <v>228</v>
      </c>
      <c r="BS214" s="0" t="s">
        <v>228</v>
      </c>
      <c r="BT214" s="0" t="s">
        <v>228</v>
      </c>
      <c r="BU214" s="0" t="s">
        <v>228</v>
      </c>
      <c r="BV214" s="0" t="s">
        <v>228</v>
      </c>
      <c r="BW214" s="0" t="s">
        <v>228</v>
      </c>
      <c r="BX214" s="0" t="s">
        <v>228</v>
      </c>
      <c r="BY214" s="0" t="s">
        <v>228</v>
      </c>
      <c r="BZ214" s="0" t="s">
        <v>228</v>
      </c>
      <c r="CA214" s="0" t="s">
        <v>228</v>
      </c>
      <c r="CB214" s="0" t="s">
        <v>228</v>
      </c>
      <c r="CC214" s="0" t="s">
        <v>228</v>
      </c>
      <c r="CD214" s="0" t="s">
        <v>228</v>
      </c>
      <c r="CE214" s="0" t="s">
        <v>228</v>
      </c>
      <c r="CF214" s="0" t="s">
        <v>228</v>
      </c>
      <c r="CG214" s="0" t="s">
        <v>228</v>
      </c>
      <c r="CH214" s="0" t="s">
        <v>228</v>
      </c>
      <c r="CI214" s="0" t="s">
        <v>228</v>
      </c>
      <c r="CJ214" s="0" t="s">
        <v>228</v>
      </c>
      <c r="CK214" s="0" t="s">
        <v>228</v>
      </c>
      <c r="CL214" s="0" t="s">
        <v>228</v>
      </c>
      <c r="CM214" s="0" t="s">
        <v>228</v>
      </c>
      <c r="CN214" s="0" t="s">
        <v>228</v>
      </c>
      <c r="CO214" s="0" t="s">
        <v>228</v>
      </c>
      <c r="CP214" s="0" t="s">
        <v>228</v>
      </c>
      <c r="CQ214" s="0" t="s">
        <v>228</v>
      </c>
      <c r="CR214" s="0" t="s">
        <v>228</v>
      </c>
      <c r="CS214" s="0" t="s">
        <v>228</v>
      </c>
      <c r="CT214" s="0" t="s">
        <v>3568</v>
      </c>
      <c r="CU214" s="0" t="s">
        <v>3569</v>
      </c>
      <c r="CV214" s="0" t="s">
        <v>418</v>
      </c>
      <c r="CW214" s="0" t="s">
        <v>3656</v>
      </c>
      <c r="CX214" s="0" t="s">
        <v>419</v>
      </c>
      <c r="CY214" s="0" t="s">
        <v>418</v>
      </c>
      <c r="CZ214" s="0" t="s">
        <v>3657</v>
      </c>
      <c r="DA214" s="0" t="s">
        <v>3658</v>
      </c>
      <c r="DB214" s="0" t="s">
        <v>3656</v>
      </c>
      <c r="DC214" s="0" t="s">
        <v>362</v>
      </c>
      <c r="DD214" s="0" t="s">
        <v>3572</v>
      </c>
      <c r="DE214" s="0" t="s">
        <v>4589</v>
      </c>
    </row>
    <row customHeight="1" ht="11.25">
      <c r="A215" s="1353" t="s">
        <v>228</v>
      </c>
      <c r="B215" s="0" t="s">
        <v>228</v>
      </c>
      <c r="C215" s="0" t="s">
        <v>228</v>
      </c>
      <c r="D215" s="0" t="s">
        <v>228</v>
      </c>
      <c r="E215" s="0" t="s">
        <v>228</v>
      </c>
      <c r="F215" s="0" t="s">
        <v>228</v>
      </c>
      <c r="G215" s="0" t="s">
        <v>228</v>
      </c>
      <c r="H215" s="0" t="s">
        <v>228</v>
      </c>
      <c r="I215" s="0" t="s">
        <v>3555</v>
      </c>
      <c r="J215" s="0" t="s">
        <v>228</v>
      </c>
      <c r="K215" s="0" t="s">
        <v>228</v>
      </c>
      <c r="L215" s="0" t="s">
        <v>228</v>
      </c>
      <c r="M215" s="0" t="s">
        <v>228</v>
      </c>
      <c r="N215" s="0" t="s">
        <v>228</v>
      </c>
      <c r="O215" s="0" t="s">
        <v>228</v>
      </c>
      <c r="P215" s="0" t="s">
        <v>228</v>
      </c>
      <c r="Q215" s="0" t="s">
        <v>228</v>
      </c>
      <c r="R215" s="0" t="s">
        <v>3648</v>
      </c>
      <c r="S215" s="0" t="s">
        <v>228</v>
      </c>
      <c r="T215" s="0" t="s">
        <v>228</v>
      </c>
      <c r="U215" s="0" t="s">
        <v>101</v>
      </c>
      <c r="V215" s="0" t="s">
        <v>228</v>
      </c>
      <c r="W215" s="0" t="s">
        <v>228</v>
      </c>
      <c r="X215" s="0" t="s">
        <v>3557</v>
      </c>
      <c r="Y215" s="0" t="s">
        <v>228</v>
      </c>
      <c r="Z215" s="0" t="s">
        <v>160</v>
      </c>
      <c r="AA215" s="0" t="s">
        <v>151</v>
      </c>
      <c r="AB215" s="0" t="s">
        <v>151</v>
      </c>
      <c r="AC215" s="0" t="s">
        <v>2315</v>
      </c>
      <c r="AD215" s="0" t="s">
        <v>2315</v>
      </c>
      <c r="AE215" s="0" t="s">
        <v>2316</v>
      </c>
      <c r="AF215" s="0" t="s">
        <v>4332</v>
      </c>
      <c r="AG215" s="0" t="s">
        <v>4333</v>
      </c>
      <c r="AH215" s="0" t="s">
        <v>4590</v>
      </c>
      <c r="AI215" s="0" t="s">
        <v>3651</v>
      </c>
      <c r="AJ215" s="0" t="s">
        <v>3652</v>
      </c>
      <c r="AK215" s="0" t="s">
        <v>3891</v>
      </c>
      <c r="AL215" s="0" t="s">
        <v>3581</v>
      </c>
      <c r="AM215" s="0" t="s">
        <v>3565</v>
      </c>
      <c r="AN215" s="0" t="s">
        <v>3654</v>
      </c>
      <c r="AO215" s="0" t="s">
        <v>3701</v>
      </c>
      <c r="AP215" s="0" t="s">
        <v>228</v>
      </c>
      <c r="AQ215" s="0" t="s">
        <v>228</v>
      </c>
      <c r="AR215" s="0" t="s">
        <v>228</v>
      </c>
      <c r="AS215" s="0" t="s">
        <v>228</v>
      </c>
      <c r="AT215" s="0" t="s">
        <v>228</v>
      </c>
      <c r="AU215" s="0" t="s">
        <v>228</v>
      </c>
      <c r="AV215" s="0" t="s">
        <v>228</v>
      </c>
      <c r="AW215" s="0" t="s">
        <v>228</v>
      </c>
      <c r="AX215" s="0" t="s">
        <v>228</v>
      </c>
      <c r="AY215" s="0" t="s">
        <v>228</v>
      </c>
      <c r="AZ215" s="0" t="s">
        <v>228</v>
      </c>
      <c r="BA215" s="0" t="s">
        <v>228</v>
      </c>
      <c r="BB215" s="0" t="s">
        <v>228</v>
      </c>
      <c r="BC215" s="0" t="s">
        <v>228</v>
      </c>
      <c r="BD215" s="0" t="s">
        <v>228</v>
      </c>
      <c r="BE215" s="0" t="s">
        <v>228</v>
      </c>
      <c r="BF215" s="0" t="s">
        <v>228</v>
      </c>
      <c r="BG215" s="0" t="s">
        <v>228</v>
      </c>
      <c r="BH215" s="0" t="s">
        <v>228</v>
      </c>
      <c r="BI215" s="0" t="s">
        <v>228</v>
      </c>
      <c r="BJ215" s="0" t="s">
        <v>228</v>
      </c>
      <c r="BK215" s="0" t="s">
        <v>228</v>
      </c>
      <c r="BL215" s="0" t="s">
        <v>228</v>
      </c>
      <c r="BM215" s="0" t="s">
        <v>228</v>
      </c>
      <c r="BN215" s="0" t="s">
        <v>228</v>
      </c>
      <c r="BO215" s="0" t="s">
        <v>228</v>
      </c>
      <c r="BP215" s="0" t="s">
        <v>228</v>
      </c>
      <c r="BQ215" s="0" t="s">
        <v>228</v>
      </c>
      <c r="BR215" s="0" t="s">
        <v>228</v>
      </c>
      <c r="BS215" s="0" t="s">
        <v>228</v>
      </c>
      <c r="BT215" s="0" t="s">
        <v>228</v>
      </c>
      <c r="BU215" s="0" t="s">
        <v>228</v>
      </c>
      <c r="BV215" s="0" t="s">
        <v>228</v>
      </c>
      <c r="BW215" s="0" t="s">
        <v>228</v>
      </c>
      <c r="BX215" s="0" t="s">
        <v>228</v>
      </c>
      <c r="BY215" s="0" t="s">
        <v>228</v>
      </c>
      <c r="BZ215" s="0" t="s">
        <v>228</v>
      </c>
      <c r="CA215" s="0" t="s">
        <v>228</v>
      </c>
      <c r="CB215" s="0" t="s">
        <v>228</v>
      </c>
      <c r="CC215" s="0" t="s">
        <v>228</v>
      </c>
      <c r="CD215" s="0" t="s">
        <v>228</v>
      </c>
      <c r="CE215" s="0" t="s">
        <v>228</v>
      </c>
      <c r="CF215" s="0" t="s">
        <v>228</v>
      </c>
      <c r="CG215" s="0" t="s">
        <v>228</v>
      </c>
      <c r="CH215" s="0" t="s">
        <v>228</v>
      </c>
      <c r="CI215" s="0" t="s">
        <v>228</v>
      </c>
      <c r="CJ215" s="0" t="s">
        <v>228</v>
      </c>
      <c r="CK215" s="0" t="s">
        <v>228</v>
      </c>
      <c r="CL215" s="0" t="s">
        <v>228</v>
      </c>
      <c r="CM215" s="0" t="s">
        <v>228</v>
      </c>
      <c r="CN215" s="0" t="s">
        <v>228</v>
      </c>
      <c r="CO215" s="0" t="s">
        <v>228</v>
      </c>
      <c r="CP215" s="0" t="s">
        <v>228</v>
      </c>
      <c r="CQ215" s="0" t="s">
        <v>228</v>
      </c>
      <c r="CR215" s="0" t="s">
        <v>228</v>
      </c>
      <c r="CS215" s="0" t="s">
        <v>228</v>
      </c>
      <c r="CT215" s="0" t="s">
        <v>3568</v>
      </c>
      <c r="CU215" s="0" t="s">
        <v>3569</v>
      </c>
      <c r="CV215" s="0" t="s">
        <v>418</v>
      </c>
      <c r="CW215" s="0" t="s">
        <v>3656</v>
      </c>
      <c r="CX215" s="0" t="s">
        <v>419</v>
      </c>
      <c r="CY215" s="0" t="s">
        <v>418</v>
      </c>
      <c r="CZ215" s="0" t="s">
        <v>3657</v>
      </c>
      <c r="DA215" s="0" t="s">
        <v>3658</v>
      </c>
      <c r="DB215" s="0" t="s">
        <v>3656</v>
      </c>
      <c r="DC215" s="0" t="s">
        <v>362</v>
      </c>
      <c r="DD215" s="0" t="s">
        <v>3572</v>
      </c>
      <c r="DE215" s="0" t="s">
        <v>4591</v>
      </c>
    </row>
    <row customHeight="1" ht="11.25">
      <c r="A216" s="1353" t="s">
        <v>228</v>
      </c>
      <c r="B216" s="0" t="s">
        <v>228</v>
      </c>
      <c r="C216" s="0" t="s">
        <v>228</v>
      </c>
      <c r="D216" s="0" t="s">
        <v>228</v>
      </c>
      <c r="E216" s="0" t="s">
        <v>228</v>
      </c>
      <c r="F216" s="0" t="s">
        <v>228</v>
      </c>
      <c r="G216" s="0" t="s">
        <v>228</v>
      </c>
      <c r="H216" s="0" t="s">
        <v>228</v>
      </c>
      <c r="I216" s="0" t="s">
        <v>3555</v>
      </c>
      <c r="J216" s="0" t="s">
        <v>228</v>
      </c>
      <c r="K216" s="0" t="s">
        <v>228</v>
      </c>
      <c r="L216" s="0" t="s">
        <v>228</v>
      </c>
      <c r="M216" s="0" t="s">
        <v>228</v>
      </c>
      <c r="N216" s="0" t="s">
        <v>228</v>
      </c>
      <c r="O216" s="0" t="s">
        <v>228</v>
      </c>
      <c r="P216" s="0" t="s">
        <v>228</v>
      </c>
      <c r="Q216" s="0" t="s">
        <v>228</v>
      </c>
      <c r="R216" s="0" t="s">
        <v>4592</v>
      </c>
      <c r="S216" s="0" t="s">
        <v>228</v>
      </c>
      <c r="T216" s="0" t="s">
        <v>228</v>
      </c>
      <c r="U216" s="0" t="s">
        <v>101</v>
      </c>
      <c r="V216" s="0" t="s">
        <v>228</v>
      </c>
      <c r="W216" s="0" t="s">
        <v>228</v>
      </c>
      <c r="X216" s="0" t="s">
        <v>3661</v>
      </c>
      <c r="Y216" s="0" t="s">
        <v>228</v>
      </c>
      <c r="Z216" s="0" t="s">
        <v>151</v>
      </c>
      <c r="AA216" s="0" t="s">
        <v>151</v>
      </c>
      <c r="AB216" s="0" t="s">
        <v>160</v>
      </c>
      <c r="AC216" s="0" t="s">
        <v>2315</v>
      </c>
      <c r="AD216" s="0" t="s">
        <v>2315</v>
      </c>
      <c r="AE216" s="0" t="s">
        <v>2316</v>
      </c>
      <c r="AF216" s="0" t="s">
        <v>4332</v>
      </c>
      <c r="AG216" s="0" t="s">
        <v>4333</v>
      </c>
      <c r="AH216" s="0" t="s">
        <v>3651</v>
      </c>
      <c r="AI216" s="0" t="s">
        <v>3651</v>
      </c>
      <c r="AJ216" s="0" t="s">
        <v>228</v>
      </c>
      <c r="AK216" s="0" t="s">
        <v>228</v>
      </c>
      <c r="AL216" s="0" t="s">
        <v>228</v>
      </c>
      <c r="AM216" s="0" t="s">
        <v>228</v>
      </c>
      <c r="AN216" s="0" t="s">
        <v>228</v>
      </c>
      <c r="AO216" s="0" t="s">
        <v>228</v>
      </c>
      <c r="AP216" s="0" t="s">
        <v>228</v>
      </c>
      <c r="AQ216" s="0" t="s">
        <v>228</v>
      </c>
      <c r="AR216" s="0" t="s">
        <v>228</v>
      </c>
      <c r="AS216" s="0" t="s">
        <v>228</v>
      </c>
      <c r="AT216" s="0" t="s">
        <v>228</v>
      </c>
      <c r="AU216" s="0" t="s">
        <v>228</v>
      </c>
      <c r="AV216" s="0" t="s">
        <v>228</v>
      </c>
      <c r="AW216" s="0" t="s">
        <v>228</v>
      </c>
      <c r="AX216" s="0" t="s">
        <v>228</v>
      </c>
      <c r="AY216" s="0" t="s">
        <v>228</v>
      </c>
      <c r="AZ216" s="0" t="s">
        <v>228</v>
      </c>
      <c r="BA216" s="0" t="s">
        <v>228</v>
      </c>
      <c r="BB216" s="0" t="s">
        <v>228</v>
      </c>
      <c r="BC216" s="0" t="s">
        <v>228</v>
      </c>
      <c r="BD216" s="0" t="s">
        <v>228</v>
      </c>
      <c r="BE216" s="0" t="s">
        <v>4075</v>
      </c>
      <c r="BF216" s="0" t="s">
        <v>3874</v>
      </c>
      <c r="BG216" s="0" t="s">
        <v>111</v>
      </c>
      <c r="BH216" s="0" t="s">
        <v>3665</v>
      </c>
      <c r="BI216" s="0" t="s">
        <v>122</v>
      </c>
      <c r="BJ216" s="0" t="s">
        <v>228</v>
      </c>
      <c r="BK216" s="0" t="s">
        <v>3684</v>
      </c>
      <c r="BL216" s="0" t="s">
        <v>2315</v>
      </c>
      <c r="BM216" s="0" t="s">
        <v>2315</v>
      </c>
      <c r="BN216" s="0" t="s">
        <v>3875</v>
      </c>
      <c r="BO216" s="0" t="s">
        <v>4332</v>
      </c>
      <c r="BP216" s="0" t="s">
        <v>4593</v>
      </c>
      <c r="BQ216" s="0" t="s">
        <v>3651</v>
      </c>
      <c r="BR216" s="0" t="s">
        <v>3651</v>
      </c>
      <c r="BS216" s="0" t="s">
        <v>228</v>
      </c>
      <c r="BT216" s="0" t="s">
        <v>3727</v>
      </c>
      <c r="BU216" s="0" t="s">
        <v>4594</v>
      </c>
      <c r="BV216" s="0" t="s">
        <v>4594</v>
      </c>
      <c r="BW216" s="0" t="s">
        <v>3674</v>
      </c>
      <c r="BX216" s="0" t="s">
        <v>3674</v>
      </c>
      <c r="BY216" s="0" t="s">
        <v>3674</v>
      </c>
      <c r="BZ216" s="0" t="s">
        <v>3674</v>
      </c>
      <c r="CA216" s="0" t="s">
        <v>3674</v>
      </c>
      <c r="CB216" s="0" t="s">
        <v>228</v>
      </c>
      <c r="CC216" s="0" t="s">
        <v>228</v>
      </c>
      <c r="CD216" s="0" t="s">
        <v>228</v>
      </c>
      <c r="CE216" s="0" t="s">
        <v>228</v>
      </c>
      <c r="CF216" s="0" t="s">
        <v>228</v>
      </c>
      <c r="CG216" s="0" t="s">
        <v>3674</v>
      </c>
      <c r="CH216" s="0" t="s">
        <v>228</v>
      </c>
      <c r="CI216" s="0" t="s">
        <v>228</v>
      </c>
      <c r="CJ216" s="0" t="s">
        <v>228</v>
      </c>
      <c r="CK216" s="0" t="s">
        <v>228</v>
      </c>
      <c r="CL216" s="0" t="s">
        <v>228</v>
      </c>
      <c r="CM216" s="0" t="s">
        <v>4594</v>
      </c>
      <c r="CN216" s="0" t="s">
        <v>4594</v>
      </c>
      <c r="CO216" s="0" t="s">
        <v>228</v>
      </c>
      <c r="CP216" s="0" t="s">
        <v>228</v>
      </c>
      <c r="CQ216" s="0" t="s">
        <v>228</v>
      </c>
      <c r="CR216" s="0" t="s">
        <v>228</v>
      </c>
      <c r="CS216" s="0" t="s">
        <v>3628</v>
      </c>
      <c r="CT216" s="0" t="s">
        <v>3568</v>
      </c>
      <c r="CU216" s="0" t="s">
        <v>3569</v>
      </c>
      <c r="CV216" s="0" t="s">
        <v>418</v>
      </c>
      <c r="CW216" s="0" t="s">
        <v>3656</v>
      </c>
      <c r="CX216" s="0" t="s">
        <v>419</v>
      </c>
      <c r="CY216" s="0" t="s">
        <v>418</v>
      </c>
      <c r="CZ216" s="0" t="s">
        <v>3657</v>
      </c>
      <c r="DA216" s="0" t="s">
        <v>3658</v>
      </c>
      <c r="DB216" s="0" t="s">
        <v>3656</v>
      </c>
      <c r="DC216" s="0" t="s">
        <v>362</v>
      </c>
      <c r="DD216" s="0" t="s">
        <v>3572</v>
      </c>
      <c r="DE216" s="0" t="s">
        <v>4595</v>
      </c>
    </row>
    <row customHeight="1" ht="11.25">
      <c r="A217" s="1353" t="s">
        <v>228</v>
      </c>
      <c r="B217" s="0" t="s">
        <v>228</v>
      </c>
      <c r="C217" s="0" t="s">
        <v>228</v>
      </c>
      <c r="D217" s="0" t="s">
        <v>228</v>
      </c>
      <c r="E217" s="0" t="s">
        <v>228</v>
      </c>
      <c r="F217" s="0" t="s">
        <v>228</v>
      </c>
      <c r="G217" s="0" t="s">
        <v>228</v>
      </c>
      <c r="H217" s="0" t="s">
        <v>228</v>
      </c>
      <c r="I217" s="0" t="s">
        <v>3555</v>
      </c>
      <c r="J217" s="0" t="s">
        <v>228</v>
      </c>
      <c r="K217" s="0" t="s">
        <v>228</v>
      </c>
      <c r="L217" s="0" t="s">
        <v>228</v>
      </c>
      <c r="M217" s="0" t="s">
        <v>228</v>
      </c>
      <c r="N217" s="0" t="s">
        <v>228</v>
      </c>
      <c r="O217" s="0" t="s">
        <v>228</v>
      </c>
      <c r="P217" s="0" t="s">
        <v>228</v>
      </c>
      <c r="Q217" s="0" t="s">
        <v>228</v>
      </c>
      <c r="R217" s="0" t="s">
        <v>3648</v>
      </c>
      <c r="S217" s="0" t="s">
        <v>228</v>
      </c>
      <c r="T217" s="0" t="s">
        <v>228</v>
      </c>
      <c r="U217" s="0" t="s">
        <v>101</v>
      </c>
      <c r="V217" s="0" t="s">
        <v>228</v>
      </c>
      <c r="W217" s="0" t="s">
        <v>228</v>
      </c>
      <c r="X217" s="0" t="s">
        <v>3557</v>
      </c>
      <c r="Y217" s="0" t="s">
        <v>228</v>
      </c>
      <c r="Z217" s="0" t="s">
        <v>160</v>
      </c>
      <c r="AA217" s="0" t="s">
        <v>151</v>
      </c>
      <c r="AB217" s="0" t="s">
        <v>151</v>
      </c>
      <c r="AC217" s="0" t="s">
        <v>2315</v>
      </c>
      <c r="AD217" s="0" t="s">
        <v>2315</v>
      </c>
      <c r="AE217" s="0" t="s">
        <v>2316</v>
      </c>
      <c r="AF217" s="0" t="s">
        <v>4596</v>
      </c>
      <c r="AG217" s="0" t="s">
        <v>4597</v>
      </c>
      <c r="AH217" s="0" t="s">
        <v>3651</v>
      </c>
      <c r="AI217" s="0" t="s">
        <v>3651</v>
      </c>
      <c r="AJ217" s="0" t="s">
        <v>3652</v>
      </c>
      <c r="AK217" s="0" t="s">
        <v>4598</v>
      </c>
      <c r="AL217" s="0" t="s">
        <v>3581</v>
      </c>
      <c r="AM217" s="0" t="s">
        <v>3565</v>
      </c>
      <c r="AN217" s="0" t="s">
        <v>3654</v>
      </c>
      <c r="AO217" s="0" t="s">
        <v>3655</v>
      </c>
      <c r="AP217" s="0" t="s">
        <v>228</v>
      </c>
      <c r="AQ217" s="0" t="s">
        <v>228</v>
      </c>
      <c r="AR217" s="0" t="s">
        <v>228</v>
      </c>
      <c r="AS217" s="0" t="s">
        <v>228</v>
      </c>
      <c r="AT217" s="0" t="s">
        <v>228</v>
      </c>
      <c r="AU217" s="0" t="s">
        <v>228</v>
      </c>
      <c r="AV217" s="0" t="s">
        <v>228</v>
      </c>
      <c r="AW217" s="0" t="s">
        <v>228</v>
      </c>
      <c r="AX217" s="0" t="s">
        <v>228</v>
      </c>
      <c r="AY217" s="0" t="s">
        <v>228</v>
      </c>
      <c r="AZ217" s="0" t="s">
        <v>228</v>
      </c>
      <c r="BA217" s="0" t="s">
        <v>228</v>
      </c>
      <c r="BB217" s="0" t="s">
        <v>228</v>
      </c>
      <c r="BC217" s="0" t="s">
        <v>228</v>
      </c>
      <c r="BD217" s="0" t="s">
        <v>228</v>
      </c>
      <c r="BE217" s="0" t="s">
        <v>228</v>
      </c>
      <c r="BF217" s="0" t="s">
        <v>228</v>
      </c>
      <c r="BG217" s="0" t="s">
        <v>228</v>
      </c>
      <c r="BH217" s="0" t="s">
        <v>228</v>
      </c>
      <c r="BI217" s="0" t="s">
        <v>228</v>
      </c>
      <c r="BJ217" s="0" t="s">
        <v>228</v>
      </c>
      <c r="BK217" s="0" t="s">
        <v>228</v>
      </c>
      <c r="BL217" s="0" t="s">
        <v>228</v>
      </c>
      <c r="BM217" s="0" t="s">
        <v>228</v>
      </c>
      <c r="BN217" s="0" t="s">
        <v>228</v>
      </c>
      <c r="BO217" s="0" t="s">
        <v>228</v>
      </c>
      <c r="BP217" s="0" t="s">
        <v>228</v>
      </c>
      <c r="BQ217" s="0" t="s">
        <v>228</v>
      </c>
      <c r="BR217" s="0" t="s">
        <v>228</v>
      </c>
      <c r="BS217" s="0" t="s">
        <v>228</v>
      </c>
      <c r="BT217" s="0" t="s">
        <v>228</v>
      </c>
      <c r="BU217" s="0" t="s">
        <v>228</v>
      </c>
      <c r="BV217" s="0" t="s">
        <v>228</v>
      </c>
      <c r="BW217" s="0" t="s">
        <v>228</v>
      </c>
      <c r="BX217" s="0" t="s">
        <v>228</v>
      </c>
      <c r="BY217" s="0" t="s">
        <v>228</v>
      </c>
      <c r="BZ217" s="0" t="s">
        <v>228</v>
      </c>
      <c r="CA217" s="0" t="s">
        <v>228</v>
      </c>
      <c r="CB217" s="0" t="s">
        <v>228</v>
      </c>
      <c r="CC217" s="0" t="s">
        <v>228</v>
      </c>
      <c r="CD217" s="0" t="s">
        <v>228</v>
      </c>
      <c r="CE217" s="0" t="s">
        <v>228</v>
      </c>
      <c r="CF217" s="0" t="s">
        <v>228</v>
      </c>
      <c r="CG217" s="0" t="s">
        <v>228</v>
      </c>
      <c r="CH217" s="0" t="s">
        <v>228</v>
      </c>
      <c r="CI217" s="0" t="s">
        <v>228</v>
      </c>
      <c r="CJ217" s="0" t="s">
        <v>228</v>
      </c>
      <c r="CK217" s="0" t="s">
        <v>228</v>
      </c>
      <c r="CL217" s="0" t="s">
        <v>228</v>
      </c>
      <c r="CM217" s="0" t="s">
        <v>228</v>
      </c>
      <c r="CN217" s="0" t="s">
        <v>228</v>
      </c>
      <c r="CO217" s="0" t="s">
        <v>228</v>
      </c>
      <c r="CP217" s="0" t="s">
        <v>228</v>
      </c>
      <c r="CQ217" s="0" t="s">
        <v>228</v>
      </c>
      <c r="CR217" s="0" t="s">
        <v>228</v>
      </c>
      <c r="CS217" s="0" t="s">
        <v>228</v>
      </c>
      <c r="CT217" s="0" t="s">
        <v>3568</v>
      </c>
      <c r="CU217" s="0" t="s">
        <v>3569</v>
      </c>
      <c r="CV217" s="0" t="s">
        <v>418</v>
      </c>
      <c r="CW217" s="0" t="s">
        <v>3656</v>
      </c>
      <c r="CX217" s="0" t="s">
        <v>419</v>
      </c>
      <c r="CY217" s="0" t="s">
        <v>418</v>
      </c>
      <c r="CZ217" s="0" t="s">
        <v>3657</v>
      </c>
      <c r="DA217" s="0" t="s">
        <v>3658</v>
      </c>
      <c r="DB217" s="0" t="s">
        <v>3656</v>
      </c>
      <c r="DC217" s="0" t="s">
        <v>362</v>
      </c>
      <c r="DD217" s="0" t="s">
        <v>3572</v>
      </c>
      <c r="DE217" s="0" t="s">
        <v>4599</v>
      </c>
    </row>
    <row customHeight="1" ht="11.25">
      <c r="A218" s="1353" t="s">
        <v>228</v>
      </c>
      <c r="B218" s="0" t="s">
        <v>228</v>
      </c>
      <c r="C218" s="0" t="s">
        <v>228</v>
      </c>
      <c r="D218" s="0" t="s">
        <v>228</v>
      </c>
      <c r="E218" s="0" t="s">
        <v>228</v>
      </c>
      <c r="F218" s="0" t="s">
        <v>228</v>
      </c>
      <c r="G218" s="0" t="s">
        <v>228</v>
      </c>
      <c r="H218" s="0" t="s">
        <v>228</v>
      </c>
      <c r="I218" s="0" t="s">
        <v>3555</v>
      </c>
      <c r="J218" s="0" t="s">
        <v>228</v>
      </c>
      <c r="K218" s="0" t="s">
        <v>228</v>
      </c>
      <c r="L218" s="0" t="s">
        <v>228</v>
      </c>
      <c r="M218" s="0" t="s">
        <v>228</v>
      </c>
      <c r="N218" s="0" t="s">
        <v>228</v>
      </c>
      <c r="O218" s="0" t="s">
        <v>228</v>
      </c>
      <c r="P218" s="0" t="s">
        <v>228</v>
      </c>
      <c r="Q218" s="0" t="s">
        <v>228</v>
      </c>
      <c r="R218" s="0" t="s">
        <v>4600</v>
      </c>
      <c r="S218" s="0" t="s">
        <v>228</v>
      </c>
      <c r="T218" s="0" t="s">
        <v>228</v>
      </c>
      <c r="U218" s="0" t="s">
        <v>101</v>
      </c>
      <c r="V218" s="0" t="s">
        <v>228</v>
      </c>
      <c r="W218" s="0" t="s">
        <v>228</v>
      </c>
      <c r="X218" s="0" t="s">
        <v>3661</v>
      </c>
      <c r="Y218" s="0" t="s">
        <v>228</v>
      </c>
      <c r="Z218" s="0" t="s">
        <v>151</v>
      </c>
      <c r="AA218" s="0" t="s">
        <v>151</v>
      </c>
      <c r="AB218" s="0" t="s">
        <v>160</v>
      </c>
      <c r="AC218" s="0" t="s">
        <v>2721</v>
      </c>
      <c r="AD218" s="0" t="s">
        <v>2721</v>
      </c>
      <c r="AE218" s="0" t="s">
        <v>2722</v>
      </c>
      <c r="AF218" s="0" t="s">
        <v>4024</v>
      </c>
      <c r="AG218" s="0" t="s">
        <v>4025</v>
      </c>
      <c r="AH218" s="0" t="s">
        <v>4146</v>
      </c>
      <c r="AI218" s="0" t="s">
        <v>151</v>
      </c>
      <c r="AJ218" s="0" t="s">
        <v>228</v>
      </c>
      <c r="AK218" s="0" t="s">
        <v>228</v>
      </c>
      <c r="AL218" s="0" t="s">
        <v>228</v>
      </c>
      <c r="AM218" s="0" t="s">
        <v>228</v>
      </c>
      <c r="AN218" s="0" t="s">
        <v>228</v>
      </c>
      <c r="AO218" s="0" t="s">
        <v>228</v>
      </c>
      <c r="AP218" s="0" t="s">
        <v>228</v>
      </c>
      <c r="AQ218" s="0" t="s">
        <v>228</v>
      </c>
      <c r="AR218" s="0" t="s">
        <v>228</v>
      </c>
      <c r="AS218" s="0" t="s">
        <v>228</v>
      </c>
      <c r="AT218" s="0" t="s">
        <v>228</v>
      </c>
      <c r="AU218" s="0" t="s">
        <v>228</v>
      </c>
      <c r="AV218" s="0" t="s">
        <v>228</v>
      </c>
      <c r="AW218" s="0" t="s">
        <v>228</v>
      </c>
      <c r="AX218" s="0" t="s">
        <v>228</v>
      </c>
      <c r="AY218" s="0" t="s">
        <v>228</v>
      </c>
      <c r="AZ218" s="0" t="s">
        <v>228</v>
      </c>
      <c r="BA218" s="0" t="s">
        <v>228</v>
      </c>
      <c r="BB218" s="0" t="s">
        <v>228</v>
      </c>
      <c r="BC218" s="0" t="s">
        <v>228</v>
      </c>
      <c r="BD218" s="0" t="s">
        <v>228</v>
      </c>
      <c r="BE218" s="0" t="s">
        <v>4601</v>
      </c>
      <c r="BF218" s="0" t="s">
        <v>4601</v>
      </c>
      <c r="BG218" s="0" t="s">
        <v>111</v>
      </c>
      <c r="BH218" s="0" t="s">
        <v>3665</v>
      </c>
      <c r="BI218" s="0" t="s">
        <v>122</v>
      </c>
      <c r="BJ218" s="0" t="s">
        <v>228</v>
      </c>
      <c r="BK218" s="0" t="s">
        <v>4602</v>
      </c>
      <c r="BL218" s="0" t="s">
        <v>2721</v>
      </c>
      <c r="BM218" s="0" t="s">
        <v>2721</v>
      </c>
      <c r="BN218" s="0" t="s">
        <v>4149</v>
      </c>
      <c r="BO218" s="0" t="s">
        <v>4024</v>
      </c>
      <c r="BP218" s="0" t="s">
        <v>4150</v>
      </c>
      <c r="BQ218" s="0" t="s">
        <v>4603</v>
      </c>
      <c r="BR218" s="0" t="s">
        <v>151</v>
      </c>
      <c r="BS218" s="0" t="s">
        <v>228</v>
      </c>
      <c r="BT218" s="0" t="s">
        <v>4604</v>
      </c>
      <c r="BU218" s="0" t="s">
        <v>4605</v>
      </c>
      <c r="BV218" s="0" t="s">
        <v>4605</v>
      </c>
      <c r="BW218" s="0" t="s">
        <v>3674</v>
      </c>
      <c r="BX218" s="0" t="s">
        <v>3674</v>
      </c>
      <c r="BY218" s="0" t="s">
        <v>3674</v>
      </c>
      <c r="BZ218" s="0" t="s">
        <v>3674</v>
      </c>
      <c r="CA218" s="0" t="s">
        <v>3674</v>
      </c>
      <c r="CB218" s="0" t="s">
        <v>3674</v>
      </c>
      <c r="CC218" s="0" t="s">
        <v>3674</v>
      </c>
      <c r="CD218" s="0" t="s">
        <v>3674</v>
      </c>
      <c r="CE218" s="0" t="s">
        <v>3674</v>
      </c>
      <c r="CF218" s="0" t="s">
        <v>3674</v>
      </c>
      <c r="CG218" s="0" t="s">
        <v>3674</v>
      </c>
      <c r="CH218" s="0" t="s">
        <v>3674</v>
      </c>
      <c r="CI218" s="0" t="s">
        <v>3674</v>
      </c>
      <c r="CJ218" s="0" t="s">
        <v>3674</v>
      </c>
      <c r="CK218" s="0" t="s">
        <v>3674</v>
      </c>
      <c r="CL218" s="0" t="s">
        <v>3674</v>
      </c>
      <c r="CM218" s="0" t="s">
        <v>4605</v>
      </c>
      <c r="CN218" s="0" t="s">
        <v>4605</v>
      </c>
      <c r="CO218" s="0" t="s">
        <v>3674</v>
      </c>
      <c r="CP218" s="0" t="s">
        <v>3674</v>
      </c>
      <c r="CQ218" s="0" t="s">
        <v>3674</v>
      </c>
      <c r="CR218" s="0" t="s">
        <v>3674</v>
      </c>
      <c r="CS218" s="0" t="s">
        <v>4606</v>
      </c>
      <c r="CT218" s="0" t="s">
        <v>3568</v>
      </c>
      <c r="CU218" s="0" t="s">
        <v>3569</v>
      </c>
      <c r="CV218" s="0" t="s">
        <v>4030</v>
      </c>
      <c r="CW218" s="0" t="s">
        <v>4031</v>
      </c>
      <c r="CX218" s="0" t="s">
        <v>3603</v>
      </c>
      <c r="CY218" s="0" t="s">
        <v>4030</v>
      </c>
      <c r="CZ218" s="0" t="s">
        <v>3608</v>
      </c>
      <c r="DA218" s="0" t="s">
        <v>4032</v>
      </c>
      <c r="DB218" s="0" t="s">
        <v>3676</v>
      </c>
      <c r="DC218" s="0" t="s">
        <v>362</v>
      </c>
      <c r="DD218" s="0" t="s">
        <v>3572</v>
      </c>
      <c r="DE218" s="0" t="s">
        <v>4156</v>
      </c>
    </row>
    <row customHeight="1" ht="11.25">
      <c r="A219" s="1353" t="s">
        <v>228</v>
      </c>
      <c r="B219" s="0" t="s">
        <v>228</v>
      </c>
      <c r="C219" s="0" t="s">
        <v>228</v>
      </c>
      <c r="D219" s="0" t="s">
        <v>228</v>
      </c>
      <c r="E219" s="0" t="s">
        <v>228</v>
      </c>
      <c r="F219" s="0" t="s">
        <v>228</v>
      </c>
      <c r="G219" s="0" t="s">
        <v>228</v>
      </c>
      <c r="H219" s="0" t="s">
        <v>228</v>
      </c>
      <c r="I219" s="0" t="s">
        <v>3555</v>
      </c>
      <c r="J219" s="0" t="s">
        <v>228</v>
      </c>
      <c r="K219" s="0" t="s">
        <v>228</v>
      </c>
      <c r="L219" s="0" t="s">
        <v>228</v>
      </c>
      <c r="M219" s="0" t="s">
        <v>228</v>
      </c>
      <c r="N219" s="0" t="s">
        <v>228</v>
      </c>
      <c r="O219" s="0" t="s">
        <v>228</v>
      </c>
      <c r="P219" s="0" t="s">
        <v>228</v>
      </c>
      <c r="Q219" s="0" t="s">
        <v>228</v>
      </c>
      <c r="R219" s="0" t="s">
        <v>4607</v>
      </c>
      <c r="S219" s="0" t="s">
        <v>228</v>
      </c>
      <c r="T219" s="0" t="s">
        <v>228</v>
      </c>
      <c r="U219" s="0" t="s">
        <v>101</v>
      </c>
      <c r="V219" s="0" t="s">
        <v>228</v>
      </c>
      <c r="W219" s="0" t="s">
        <v>228</v>
      </c>
      <c r="X219" s="0" t="s">
        <v>3557</v>
      </c>
      <c r="Y219" s="0" t="s">
        <v>228</v>
      </c>
      <c r="Z219" s="0" t="s">
        <v>160</v>
      </c>
      <c r="AA219" s="0" t="s">
        <v>151</v>
      </c>
      <c r="AB219" s="0" t="s">
        <v>151</v>
      </c>
      <c r="AC219" s="0" t="s">
        <v>2288</v>
      </c>
      <c r="AD219" s="0" t="s">
        <v>2288</v>
      </c>
      <c r="AE219" s="0" t="s">
        <v>2289</v>
      </c>
      <c r="AF219" s="0" t="s">
        <v>4608</v>
      </c>
      <c r="AG219" s="0" t="s">
        <v>4609</v>
      </c>
      <c r="AH219" s="0" t="s">
        <v>4610</v>
      </c>
      <c r="AI219" s="0" t="s">
        <v>4611</v>
      </c>
      <c r="AJ219" s="0" t="s">
        <v>4612</v>
      </c>
      <c r="AK219" s="0" t="s">
        <v>4613</v>
      </c>
      <c r="AL219" s="0" t="s">
        <v>3681</v>
      </c>
      <c r="AM219" s="0" t="s">
        <v>4614</v>
      </c>
      <c r="AN219" s="0" t="s">
        <v>4615</v>
      </c>
      <c r="AO219" s="0" t="s">
        <v>3854</v>
      </c>
      <c r="AP219" s="0" t="s">
        <v>228</v>
      </c>
      <c r="AQ219" s="0" t="s">
        <v>228</v>
      </c>
      <c r="AR219" s="0" t="s">
        <v>228</v>
      </c>
      <c r="AS219" s="0" t="s">
        <v>228</v>
      </c>
      <c r="AT219" s="0" t="s">
        <v>228</v>
      </c>
      <c r="AU219" s="0" t="s">
        <v>228</v>
      </c>
      <c r="AV219" s="0" t="s">
        <v>228</v>
      </c>
      <c r="AW219" s="0" t="s">
        <v>228</v>
      </c>
      <c r="AX219" s="0" t="s">
        <v>228</v>
      </c>
      <c r="AY219" s="0" t="s">
        <v>228</v>
      </c>
      <c r="AZ219" s="0" t="s">
        <v>228</v>
      </c>
      <c r="BA219" s="0" t="s">
        <v>228</v>
      </c>
      <c r="BB219" s="0" t="s">
        <v>228</v>
      </c>
      <c r="BC219" s="0" t="s">
        <v>228</v>
      </c>
      <c r="BD219" s="0" t="s">
        <v>228</v>
      </c>
      <c r="BE219" s="0" t="s">
        <v>228</v>
      </c>
      <c r="BF219" s="0" t="s">
        <v>228</v>
      </c>
      <c r="BG219" s="0" t="s">
        <v>228</v>
      </c>
      <c r="BH219" s="0" t="s">
        <v>228</v>
      </c>
      <c r="BI219" s="0" t="s">
        <v>228</v>
      </c>
      <c r="BJ219" s="0" t="s">
        <v>228</v>
      </c>
      <c r="BK219" s="0" t="s">
        <v>228</v>
      </c>
      <c r="BL219" s="0" t="s">
        <v>228</v>
      </c>
      <c r="BM219" s="0" t="s">
        <v>228</v>
      </c>
      <c r="BN219" s="0" t="s">
        <v>228</v>
      </c>
      <c r="BO219" s="0" t="s">
        <v>228</v>
      </c>
      <c r="BP219" s="0" t="s">
        <v>228</v>
      </c>
      <c r="BQ219" s="0" t="s">
        <v>228</v>
      </c>
      <c r="BR219" s="0" t="s">
        <v>228</v>
      </c>
      <c r="BS219" s="0" t="s">
        <v>228</v>
      </c>
      <c r="BT219" s="0" t="s">
        <v>228</v>
      </c>
      <c r="BU219" s="0" t="s">
        <v>228</v>
      </c>
      <c r="BV219" s="0" t="s">
        <v>228</v>
      </c>
      <c r="BW219" s="0" t="s">
        <v>228</v>
      </c>
      <c r="BX219" s="0" t="s">
        <v>228</v>
      </c>
      <c r="BY219" s="0" t="s">
        <v>228</v>
      </c>
      <c r="BZ219" s="0" t="s">
        <v>228</v>
      </c>
      <c r="CA219" s="0" t="s">
        <v>228</v>
      </c>
      <c r="CB219" s="0" t="s">
        <v>228</v>
      </c>
      <c r="CC219" s="0" t="s">
        <v>228</v>
      </c>
      <c r="CD219" s="0" t="s">
        <v>228</v>
      </c>
      <c r="CE219" s="0" t="s">
        <v>228</v>
      </c>
      <c r="CF219" s="0" t="s">
        <v>228</v>
      </c>
      <c r="CG219" s="0" t="s">
        <v>228</v>
      </c>
      <c r="CH219" s="0" t="s">
        <v>228</v>
      </c>
      <c r="CI219" s="0" t="s">
        <v>228</v>
      </c>
      <c r="CJ219" s="0" t="s">
        <v>228</v>
      </c>
      <c r="CK219" s="0" t="s">
        <v>228</v>
      </c>
      <c r="CL219" s="0" t="s">
        <v>228</v>
      </c>
      <c r="CM219" s="0" t="s">
        <v>228</v>
      </c>
      <c r="CN219" s="0" t="s">
        <v>228</v>
      </c>
      <c r="CO219" s="0" t="s">
        <v>228</v>
      </c>
      <c r="CP219" s="0" t="s">
        <v>228</v>
      </c>
      <c r="CQ219" s="0" t="s">
        <v>228</v>
      </c>
      <c r="CR219" s="0" t="s">
        <v>228</v>
      </c>
      <c r="CS219" s="0" t="s">
        <v>228</v>
      </c>
      <c r="CT219" s="0" t="s">
        <v>3568</v>
      </c>
      <c r="CU219" s="0" t="s">
        <v>3569</v>
      </c>
      <c r="CV219" s="0" t="s">
        <v>418</v>
      </c>
      <c r="CW219" s="0" t="s">
        <v>3570</v>
      </c>
      <c r="CX219" s="0" t="s">
        <v>419</v>
      </c>
      <c r="CY219" s="0" t="s">
        <v>418</v>
      </c>
      <c r="CZ219" s="0" t="s">
        <v>3571</v>
      </c>
      <c r="DA219" s="0" t="s">
        <v>420</v>
      </c>
      <c r="DB219" s="0" t="s">
        <v>3570</v>
      </c>
      <c r="DC219" s="0" t="s">
        <v>362</v>
      </c>
      <c r="DD219" s="0" t="s">
        <v>3572</v>
      </c>
      <c r="DE219" s="0" t="s">
        <v>4616</v>
      </c>
    </row>
    <row customHeight="1" ht="11.25">
      <c r="A220" s="1353" t="s">
        <v>228</v>
      </c>
      <c r="B220" s="0" t="s">
        <v>228</v>
      </c>
      <c r="C220" s="0" t="s">
        <v>228</v>
      </c>
      <c r="D220" s="0" t="s">
        <v>228</v>
      </c>
      <c r="E220" s="0" t="s">
        <v>228</v>
      </c>
      <c r="F220" s="0" t="s">
        <v>228</v>
      </c>
      <c r="G220" s="0" t="s">
        <v>228</v>
      </c>
      <c r="H220" s="0" t="s">
        <v>228</v>
      </c>
      <c r="I220" s="0" t="s">
        <v>3555</v>
      </c>
      <c r="J220" s="0" t="s">
        <v>228</v>
      </c>
      <c r="K220" s="0" t="s">
        <v>228</v>
      </c>
      <c r="L220" s="0" t="s">
        <v>228</v>
      </c>
      <c r="M220" s="0" t="s">
        <v>228</v>
      </c>
      <c r="N220" s="0" t="s">
        <v>228</v>
      </c>
      <c r="O220" s="0" t="s">
        <v>228</v>
      </c>
      <c r="P220" s="0" t="s">
        <v>228</v>
      </c>
      <c r="Q220" s="0" t="s">
        <v>228</v>
      </c>
      <c r="R220" s="0" t="s">
        <v>4409</v>
      </c>
      <c r="S220" s="0" t="s">
        <v>228</v>
      </c>
      <c r="T220" s="0" t="s">
        <v>228</v>
      </c>
      <c r="U220" s="0" t="s">
        <v>101</v>
      </c>
      <c r="V220" s="0" t="s">
        <v>228</v>
      </c>
      <c r="W220" s="0" t="s">
        <v>228</v>
      </c>
      <c r="X220" s="0" t="s">
        <v>3661</v>
      </c>
      <c r="Y220" s="0" t="s">
        <v>228</v>
      </c>
      <c r="Z220" s="0" t="s">
        <v>151</v>
      </c>
      <c r="AA220" s="0" t="s">
        <v>151</v>
      </c>
      <c r="AB220" s="0" t="s">
        <v>160</v>
      </c>
      <c r="AC220" s="0" t="s">
        <v>2311</v>
      </c>
      <c r="AD220" s="0" t="s">
        <v>2311</v>
      </c>
      <c r="AE220" s="0" t="s">
        <v>2312</v>
      </c>
      <c r="AF220" s="0" t="s">
        <v>4617</v>
      </c>
      <c r="AG220" s="0" t="s">
        <v>4618</v>
      </c>
      <c r="AH220" s="0" t="s">
        <v>4619</v>
      </c>
      <c r="AI220" s="0" t="s">
        <v>4620</v>
      </c>
      <c r="AJ220" s="0" t="s">
        <v>228</v>
      </c>
      <c r="AK220" s="0" t="s">
        <v>228</v>
      </c>
      <c r="AL220" s="0" t="s">
        <v>228</v>
      </c>
      <c r="AM220" s="0" t="s">
        <v>228</v>
      </c>
      <c r="AN220" s="0" t="s">
        <v>228</v>
      </c>
      <c r="AO220" s="0" t="s">
        <v>228</v>
      </c>
      <c r="AP220" s="0" t="s">
        <v>228</v>
      </c>
      <c r="AQ220" s="0" t="s">
        <v>228</v>
      </c>
      <c r="AR220" s="0" t="s">
        <v>228</v>
      </c>
      <c r="AS220" s="0" t="s">
        <v>228</v>
      </c>
      <c r="AT220" s="0" t="s">
        <v>228</v>
      </c>
      <c r="AU220" s="0" t="s">
        <v>228</v>
      </c>
      <c r="AV220" s="0" t="s">
        <v>228</v>
      </c>
      <c r="AW220" s="0" t="s">
        <v>228</v>
      </c>
      <c r="AX220" s="0" t="s">
        <v>228</v>
      </c>
      <c r="AY220" s="0" t="s">
        <v>228</v>
      </c>
      <c r="AZ220" s="0" t="s">
        <v>228</v>
      </c>
      <c r="BA220" s="0" t="s">
        <v>228</v>
      </c>
      <c r="BB220" s="0" t="s">
        <v>228</v>
      </c>
      <c r="BC220" s="0" t="s">
        <v>228</v>
      </c>
      <c r="BD220" s="0" t="s">
        <v>228</v>
      </c>
      <c r="BE220" s="0" t="s">
        <v>3722</v>
      </c>
      <c r="BF220" s="0" t="s">
        <v>3722</v>
      </c>
      <c r="BG220" s="0" t="s">
        <v>111</v>
      </c>
      <c r="BH220" s="0" t="s">
        <v>3665</v>
      </c>
      <c r="BI220" s="0" t="s">
        <v>122</v>
      </c>
      <c r="BJ220" s="0" t="s">
        <v>228</v>
      </c>
      <c r="BK220" s="0" t="s">
        <v>3684</v>
      </c>
      <c r="BL220" s="0" t="s">
        <v>2311</v>
      </c>
      <c r="BM220" s="0" t="s">
        <v>2311</v>
      </c>
      <c r="BN220" s="0" t="s">
        <v>3723</v>
      </c>
      <c r="BO220" s="0" t="s">
        <v>4617</v>
      </c>
      <c r="BP220" s="0" t="s">
        <v>4621</v>
      </c>
      <c r="BQ220" s="0" t="s">
        <v>4415</v>
      </c>
      <c r="BR220" s="0" t="s">
        <v>4416</v>
      </c>
      <c r="BS220" s="0" t="s">
        <v>228</v>
      </c>
      <c r="BT220" s="0" t="s">
        <v>3727</v>
      </c>
      <c r="BU220" s="0" t="s">
        <v>4622</v>
      </c>
      <c r="BV220" s="0" t="s">
        <v>4622</v>
      </c>
      <c r="BW220" s="0" t="s">
        <v>3674</v>
      </c>
      <c r="BX220" s="0" t="s">
        <v>3674</v>
      </c>
      <c r="BY220" s="0" t="s">
        <v>3674</v>
      </c>
      <c r="BZ220" s="0" t="s">
        <v>3674</v>
      </c>
      <c r="CA220" s="0" t="s">
        <v>3674</v>
      </c>
      <c r="CB220" s="0" t="s">
        <v>228</v>
      </c>
      <c r="CC220" s="0" t="s">
        <v>228</v>
      </c>
      <c r="CD220" s="0" t="s">
        <v>228</v>
      </c>
      <c r="CE220" s="0" t="s">
        <v>228</v>
      </c>
      <c r="CF220" s="0" t="s">
        <v>228</v>
      </c>
      <c r="CG220" s="0" t="s">
        <v>3674</v>
      </c>
      <c r="CH220" s="0" t="s">
        <v>228</v>
      </c>
      <c r="CI220" s="0" t="s">
        <v>228</v>
      </c>
      <c r="CJ220" s="0" t="s">
        <v>228</v>
      </c>
      <c r="CK220" s="0" t="s">
        <v>228</v>
      </c>
      <c r="CL220" s="0" t="s">
        <v>228</v>
      </c>
      <c r="CM220" s="0" t="s">
        <v>4622</v>
      </c>
      <c r="CN220" s="0" t="s">
        <v>4622</v>
      </c>
      <c r="CO220" s="0" t="s">
        <v>228</v>
      </c>
      <c r="CP220" s="0" t="s">
        <v>228</v>
      </c>
      <c r="CQ220" s="0" t="s">
        <v>228</v>
      </c>
      <c r="CR220" s="0" t="s">
        <v>228</v>
      </c>
      <c r="CS220" s="0" t="s">
        <v>3582</v>
      </c>
      <c r="CT220" s="0" t="s">
        <v>3568</v>
      </c>
      <c r="CU220" s="0" t="s">
        <v>3569</v>
      </c>
      <c r="CV220" s="0" t="s">
        <v>418</v>
      </c>
      <c r="CW220" s="0" t="s">
        <v>3584</v>
      </c>
      <c r="CX220" s="0" t="s">
        <v>419</v>
      </c>
      <c r="CY220" s="0" t="s">
        <v>418</v>
      </c>
      <c r="CZ220" s="0" t="s">
        <v>3585</v>
      </c>
      <c r="DA220" s="0" t="s">
        <v>3586</v>
      </c>
      <c r="DB220" s="0" t="s">
        <v>3584</v>
      </c>
      <c r="DC220" s="0" t="s">
        <v>362</v>
      </c>
      <c r="DD220" s="0" t="s">
        <v>3572</v>
      </c>
      <c r="DE220" s="0" t="s">
        <v>4623</v>
      </c>
    </row>
    <row customHeight="1" ht="11.25">
      <c r="A221" s="1353" t="s">
        <v>228</v>
      </c>
      <c r="B221" s="0" t="s">
        <v>228</v>
      </c>
      <c r="C221" s="0" t="s">
        <v>228</v>
      </c>
      <c r="D221" s="0" t="s">
        <v>228</v>
      </c>
      <c r="E221" s="0" t="s">
        <v>228</v>
      </c>
      <c r="F221" s="0" t="s">
        <v>228</v>
      </c>
      <c r="G221" s="0" t="s">
        <v>228</v>
      </c>
      <c r="H221" s="0" t="s">
        <v>228</v>
      </c>
      <c r="I221" s="0" t="s">
        <v>3555</v>
      </c>
      <c r="J221" s="0" t="s">
        <v>228</v>
      </c>
      <c r="K221" s="0" t="s">
        <v>228</v>
      </c>
      <c r="L221" s="0" t="s">
        <v>228</v>
      </c>
      <c r="M221" s="0" t="s">
        <v>228</v>
      </c>
      <c r="N221" s="0" t="s">
        <v>228</v>
      </c>
      <c r="O221" s="0" t="s">
        <v>228</v>
      </c>
      <c r="P221" s="0" t="s">
        <v>228</v>
      </c>
      <c r="Q221" s="0" t="s">
        <v>228</v>
      </c>
      <c r="R221" s="0" t="s">
        <v>4624</v>
      </c>
      <c r="S221" s="0" t="s">
        <v>228</v>
      </c>
      <c r="T221" s="0" t="s">
        <v>228</v>
      </c>
      <c r="U221" s="0" t="s">
        <v>101</v>
      </c>
      <c r="V221" s="0" t="s">
        <v>228</v>
      </c>
      <c r="W221" s="0" t="s">
        <v>228</v>
      </c>
      <c r="X221" s="0" t="s">
        <v>3557</v>
      </c>
      <c r="Y221" s="0" t="s">
        <v>228</v>
      </c>
      <c r="Z221" s="0" t="s">
        <v>160</v>
      </c>
      <c r="AA221" s="0" t="s">
        <v>151</v>
      </c>
      <c r="AB221" s="0" t="s">
        <v>151</v>
      </c>
      <c r="AC221" s="0" t="s">
        <v>2317</v>
      </c>
      <c r="AD221" s="0" t="s">
        <v>2317</v>
      </c>
      <c r="AE221" s="0" t="s">
        <v>2318</v>
      </c>
      <c r="AF221" s="0" t="s">
        <v>4544</v>
      </c>
      <c r="AG221" s="0" t="s">
        <v>4545</v>
      </c>
      <c r="AH221" s="0" t="s">
        <v>4625</v>
      </c>
      <c r="AI221" s="0" t="s">
        <v>4626</v>
      </c>
      <c r="AJ221" s="0" t="s">
        <v>3652</v>
      </c>
      <c r="AK221" s="0" t="s">
        <v>3619</v>
      </c>
      <c r="AL221" s="0" t="s">
        <v>3581</v>
      </c>
      <c r="AM221" s="0" t="s">
        <v>3565</v>
      </c>
      <c r="AN221" s="0" t="s">
        <v>3620</v>
      </c>
      <c r="AO221" s="0" t="s">
        <v>3583</v>
      </c>
      <c r="AP221" s="0" t="s">
        <v>228</v>
      </c>
      <c r="AQ221" s="0" t="s">
        <v>228</v>
      </c>
      <c r="AR221" s="0" t="s">
        <v>228</v>
      </c>
      <c r="AS221" s="0" t="s">
        <v>228</v>
      </c>
      <c r="AT221" s="0" t="s">
        <v>228</v>
      </c>
      <c r="AU221" s="0" t="s">
        <v>228</v>
      </c>
      <c r="AV221" s="0" t="s">
        <v>228</v>
      </c>
      <c r="AW221" s="0" t="s">
        <v>228</v>
      </c>
      <c r="AX221" s="0" t="s">
        <v>228</v>
      </c>
      <c r="AY221" s="0" t="s">
        <v>228</v>
      </c>
      <c r="AZ221" s="0" t="s">
        <v>228</v>
      </c>
      <c r="BA221" s="0" t="s">
        <v>228</v>
      </c>
      <c r="BB221" s="0" t="s">
        <v>228</v>
      </c>
      <c r="BC221" s="0" t="s">
        <v>228</v>
      </c>
      <c r="BD221" s="0" t="s">
        <v>228</v>
      </c>
      <c r="BE221" s="0" t="s">
        <v>228</v>
      </c>
      <c r="BF221" s="0" t="s">
        <v>228</v>
      </c>
      <c r="BG221" s="0" t="s">
        <v>228</v>
      </c>
      <c r="BH221" s="0" t="s">
        <v>228</v>
      </c>
      <c r="BI221" s="0" t="s">
        <v>228</v>
      </c>
      <c r="BJ221" s="0" t="s">
        <v>228</v>
      </c>
      <c r="BK221" s="0" t="s">
        <v>228</v>
      </c>
      <c r="BL221" s="0" t="s">
        <v>228</v>
      </c>
      <c r="BM221" s="0" t="s">
        <v>228</v>
      </c>
      <c r="BN221" s="0" t="s">
        <v>228</v>
      </c>
      <c r="BO221" s="0" t="s">
        <v>228</v>
      </c>
      <c r="BP221" s="0" t="s">
        <v>228</v>
      </c>
      <c r="BQ221" s="0" t="s">
        <v>228</v>
      </c>
      <c r="BR221" s="0" t="s">
        <v>228</v>
      </c>
      <c r="BS221" s="0" t="s">
        <v>228</v>
      </c>
      <c r="BT221" s="0" t="s">
        <v>228</v>
      </c>
      <c r="BU221" s="0" t="s">
        <v>228</v>
      </c>
      <c r="BV221" s="0" t="s">
        <v>228</v>
      </c>
      <c r="BW221" s="0" t="s">
        <v>228</v>
      </c>
      <c r="BX221" s="0" t="s">
        <v>228</v>
      </c>
      <c r="BY221" s="0" t="s">
        <v>228</v>
      </c>
      <c r="BZ221" s="0" t="s">
        <v>228</v>
      </c>
      <c r="CA221" s="0" t="s">
        <v>228</v>
      </c>
      <c r="CB221" s="0" t="s">
        <v>228</v>
      </c>
      <c r="CC221" s="0" t="s">
        <v>228</v>
      </c>
      <c r="CD221" s="0" t="s">
        <v>228</v>
      </c>
      <c r="CE221" s="0" t="s">
        <v>228</v>
      </c>
      <c r="CF221" s="0" t="s">
        <v>228</v>
      </c>
      <c r="CG221" s="0" t="s">
        <v>228</v>
      </c>
      <c r="CH221" s="0" t="s">
        <v>228</v>
      </c>
      <c r="CI221" s="0" t="s">
        <v>228</v>
      </c>
      <c r="CJ221" s="0" t="s">
        <v>228</v>
      </c>
      <c r="CK221" s="0" t="s">
        <v>228</v>
      </c>
      <c r="CL221" s="0" t="s">
        <v>228</v>
      </c>
      <c r="CM221" s="0" t="s">
        <v>228</v>
      </c>
      <c r="CN221" s="0" t="s">
        <v>228</v>
      </c>
      <c r="CO221" s="0" t="s">
        <v>228</v>
      </c>
      <c r="CP221" s="0" t="s">
        <v>228</v>
      </c>
      <c r="CQ221" s="0" t="s">
        <v>228</v>
      </c>
      <c r="CR221" s="0" t="s">
        <v>228</v>
      </c>
      <c r="CS221" s="0" t="s">
        <v>228</v>
      </c>
      <c r="CT221" s="0" t="s">
        <v>3568</v>
      </c>
      <c r="CU221" s="0" t="s">
        <v>3569</v>
      </c>
      <c r="CV221" s="0" t="s">
        <v>418</v>
      </c>
      <c r="CW221" s="0" t="s">
        <v>3622</v>
      </c>
      <c r="CX221" s="0" t="s">
        <v>419</v>
      </c>
      <c r="CY221" s="0" t="s">
        <v>418</v>
      </c>
      <c r="CZ221" s="0" t="s">
        <v>3623</v>
      </c>
      <c r="DA221" s="0" t="s">
        <v>3624</v>
      </c>
      <c r="DB221" s="0" t="s">
        <v>3622</v>
      </c>
      <c r="DC221" s="0" t="s">
        <v>362</v>
      </c>
      <c r="DD221" s="0" t="s">
        <v>3572</v>
      </c>
      <c r="DE221" s="0" t="s">
        <v>4627</v>
      </c>
    </row>
    <row customHeight="1" ht="11.25">
      <c r="A222" s="1353" t="s">
        <v>228</v>
      </c>
      <c r="B222" s="0" t="s">
        <v>228</v>
      </c>
      <c r="C222" s="0" t="s">
        <v>228</v>
      </c>
      <c r="D222" s="0" t="s">
        <v>228</v>
      </c>
      <c r="E222" s="0" t="s">
        <v>228</v>
      </c>
      <c r="F222" s="0" t="s">
        <v>228</v>
      </c>
      <c r="G222" s="0" t="s">
        <v>228</v>
      </c>
      <c r="H222" s="0" t="s">
        <v>228</v>
      </c>
      <c r="I222" s="0" t="s">
        <v>3555</v>
      </c>
      <c r="J222" s="0" t="s">
        <v>228</v>
      </c>
      <c r="K222" s="0" t="s">
        <v>228</v>
      </c>
      <c r="L222" s="0" t="s">
        <v>228</v>
      </c>
      <c r="M222" s="0" t="s">
        <v>228</v>
      </c>
      <c r="N222" s="0" t="s">
        <v>228</v>
      </c>
      <c r="O222" s="0" t="s">
        <v>228</v>
      </c>
      <c r="P222" s="0" t="s">
        <v>228</v>
      </c>
      <c r="Q222" s="0" t="s">
        <v>228</v>
      </c>
      <c r="R222" s="0" t="s">
        <v>3648</v>
      </c>
      <c r="S222" s="0" t="s">
        <v>228</v>
      </c>
      <c r="T222" s="0" t="s">
        <v>228</v>
      </c>
      <c r="U222" s="0" t="s">
        <v>101</v>
      </c>
      <c r="V222" s="0" t="s">
        <v>228</v>
      </c>
      <c r="W222" s="0" t="s">
        <v>228</v>
      </c>
      <c r="X222" s="0" t="s">
        <v>3557</v>
      </c>
      <c r="Y222" s="0" t="s">
        <v>228</v>
      </c>
      <c r="Z222" s="0" t="s">
        <v>160</v>
      </c>
      <c r="AA222" s="0" t="s">
        <v>151</v>
      </c>
      <c r="AB222" s="0" t="s">
        <v>151</v>
      </c>
      <c r="AC222" s="0" t="s">
        <v>2317</v>
      </c>
      <c r="AD222" s="0" t="s">
        <v>2317</v>
      </c>
      <c r="AE222" s="0" t="s">
        <v>2318</v>
      </c>
      <c r="AF222" s="0" t="s">
        <v>4544</v>
      </c>
      <c r="AG222" s="0" t="s">
        <v>4545</v>
      </c>
      <c r="AH222" s="0" t="s">
        <v>3832</v>
      </c>
      <c r="AI222" s="0" t="s">
        <v>1703</v>
      </c>
      <c r="AJ222" s="0" t="s">
        <v>3652</v>
      </c>
      <c r="AK222" s="0" t="s">
        <v>3822</v>
      </c>
      <c r="AL222" s="0" t="s">
        <v>3581</v>
      </c>
      <c r="AM222" s="0" t="s">
        <v>3565</v>
      </c>
      <c r="AN222" s="0" t="s">
        <v>3628</v>
      </c>
      <c r="AO222" s="0" t="s">
        <v>3829</v>
      </c>
      <c r="AP222" s="0" t="s">
        <v>228</v>
      </c>
      <c r="AQ222" s="0" t="s">
        <v>228</v>
      </c>
      <c r="AR222" s="0" t="s">
        <v>228</v>
      </c>
      <c r="AS222" s="0" t="s">
        <v>228</v>
      </c>
      <c r="AT222" s="0" t="s">
        <v>228</v>
      </c>
      <c r="AU222" s="0" t="s">
        <v>228</v>
      </c>
      <c r="AV222" s="0" t="s">
        <v>228</v>
      </c>
      <c r="AW222" s="0" t="s">
        <v>228</v>
      </c>
      <c r="AX222" s="0" t="s">
        <v>228</v>
      </c>
      <c r="AY222" s="0" t="s">
        <v>228</v>
      </c>
      <c r="AZ222" s="0" t="s">
        <v>228</v>
      </c>
      <c r="BA222" s="0" t="s">
        <v>228</v>
      </c>
      <c r="BB222" s="0" t="s">
        <v>228</v>
      </c>
      <c r="BC222" s="0" t="s">
        <v>228</v>
      </c>
      <c r="BD222" s="0" t="s">
        <v>228</v>
      </c>
      <c r="BE222" s="0" t="s">
        <v>228</v>
      </c>
      <c r="BF222" s="0" t="s">
        <v>228</v>
      </c>
      <c r="BG222" s="0" t="s">
        <v>228</v>
      </c>
      <c r="BH222" s="0" t="s">
        <v>228</v>
      </c>
      <c r="BI222" s="0" t="s">
        <v>228</v>
      </c>
      <c r="BJ222" s="0" t="s">
        <v>228</v>
      </c>
      <c r="BK222" s="0" t="s">
        <v>228</v>
      </c>
      <c r="BL222" s="0" t="s">
        <v>228</v>
      </c>
      <c r="BM222" s="0" t="s">
        <v>228</v>
      </c>
      <c r="BN222" s="0" t="s">
        <v>228</v>
      </c>
      <c r="BO222" s="0" t="s">
        <v>228</v>
      </c>
      <c r="BP222" s="0" t="s">
        <v>228</v>
      </c>
      <c r="BQ222" s="0" t="s">
        <v>228</v>
      </c>
      <c r="BR222" s="0" t="s">
        <v>228</v>
      </c>
      <c r="BS222" s="0" t="s">
        <v>228</v>
      </c>
      <c r="BT222" s="0" t="s">
        <v>228</v>
      </c>
      <c r="BU222" s="0" t="s">
        <v>228</v>
      </c>
      <c r="BV222" s="0" t="s">
        <v>228</v>
      </c>
      <c r="BW222" s="0" t="s">
        <v>228</v>
      </c>
      <c r="BX222" s="0" t="s">
        <v>228</v>
      </c>
      <c r="BY222" s="0" t="s">
        <v>228</v>
      </c>
      <c r="BZ222" s="0" t="s">
        <v>228</v>
      </c>
      <c r="CA222" s="0" t="s">
        <v>228</v>
      </c>
      <c r="CB222" s="0" t="s">
        <v>228</v>
      </c>
      <c r="CC222" s="0" t="s">
        <v>228</v>
      </c>
      <c r="CD222" s="0" t="s">
        <v>228</v>
      </c>
      <c r="CE222" s="0" t="s">
        <v>228</v>
      </c>
      <c r="CF222" s="0" t="s">
        <v>228</v>
      </c>
      <c r="CG222" s="0" t="s">
        <v>228</v>
      </c>
      <c r="CH222" s="0" t="s">
        <v>228</v>
      </c>
      <c r="CI222" s="0" t="s">
        <v>228</v>
      </c>
      <c r="CJ222" s="0" t="s">
        <v>228</v>
      </c>
      <c r="CK222" s="0" t="s">
        <v>228</v>
      </c>
      <c r="CL222" s="0" t="s">
        <v>228</v>
      </c>
      <c r="CM222" s="0" t="s">
        <v>228</v>
      </c>
      <c r="CN222" s="0" t="s">
        <v>228</v>
      </c>
      <c r="CO222" s="0" t="s">
        <v>228</v>
      </c>
      <c r="CP222" s="0" t="s">
        <v>228</v>
      </c>
      <c r="CQ222" s="0" t="s">
        <v>228</v>
      </c>
      <c r="CR222" s="0" t="s">
        <v>228</v>
      </c>
      <c r="CS222" s="0" t="s">
        <v>228</v>
      </c>
      <c r="CT222" s="0" t="s">
        <v>3568</v>
      </c>
      <c r="CU222" s="0" t="s">
        <v>3569</v>
      </c>
      <c r="CV222" s="0" t="s">
        <v>418</v>
      </c>
      <c r="CW222" s="0" t="s">
        <v>3622</v>
      </c>
      <c r="CX222" s="0" t="s">
        <v>419</v>
      </c>
      <c r="CY222" s="0" t="s">
        <v>418</v>
      </c>
      <c r="CZ222" s="0" t="s">
        <v>3623</v>
      </c>
      <c r="DA222" s="0" t="s">
        <v>3624</v>
      </c>
      <c r="DB222" s="0" t="s">
        <v>3622</v>
      </c>
      <c r="DC222" s="0" t="s">
        <v>362</v>
      </c>
      <c r="DD222" s="0" t="s">
        <v>3572</v>
      </c>
      <c r="DE222" s="0" t="s">
        <v>4628</v>
      </c>
    </row>
    <row customHeight="1" ht="11.25">
      <c r="A223" s="1353" t="s">
        <v>228</v>
      </c>
      <c r="B223" s="0" t="s">
        <v>228</v>
      </c>
      <c r="C223" s="0" t="s">
        <v>228</v>
      </c>
      <c r="D223" s="0" t="s">
        <v>228</v>
      </c>
      <c r="E223" s="0" t="s">
        <v>228</v>
      </c>
      <c r="F223" s="0" t="s">
        <v>228</v>
      </c>
      <c r="G223" s="0" t="s">
        <v>228</v>
      </c>
      <c r="H223" s="0" t="s">
        <v>228</v>
      </c>
      <c r="I223" s="0" t="s">
        <v>3555</v>
      </c>
      <c r="J223" s="0" t="s">
        <v>228</v>
      </c>
      <c r="K223" s="0" t="s">
        <v>228</v>
      </c>
      <c r="L223" s="0" t="s">
        <v>228</v>
      </c>
      <c r="M223" s="0" t="s">
        <v>228</v>
      </c>
      <c r="N223" s="0" t="s">
        <v>228</v>
      </c>
      <c r="O223" s="0" t="s">
        <v>228</v>
      </c>
      <c r="P223" s="0" t="s">
        <v>228</v>
      </c>
      <c r="Q223" s="0" t="s">
        <v>228</v>
      </c>
      <c r="R223" s="0" t="s">
        <v>3648</v>
      </c>
      <c r="S223" s="0" t="s">
        <v>228</v>
      </c>
      <c r="T223" s="0" t="s">
        <v>228</v>
      </c>
      <c r="U223" s="0" t="s">
        <v>101</v>
      </c>
      <c r="V223" s="0" t="s">
        <v>228</v>
      </c>
      <c r="W223" s="0" t="s">
        <v>228</v>
      </c>
      <c r="X223" s="0" t="s">
        <v>3557</v>
      </c>
      <c r="Y223" s="0" t="s">
        <v>228</v>
      </c>
      <c r="Z223" s="0" t="s">
        <v>160</v>
      </c>
      <c r="AA223" s="0" t="s">
        <v>151</v>
      </c>
      <c r="AB223" s="0" t="s">
        <v>151</v>
      </c>
      <c r="AC223" s="0" t="s">
        <v>2317</v>
      </c>
      <c r="AD223" s="0" t="s">
        <v>2317</v>
      </c>
      <c r="AE223" s="0" t="s">
        <v>2318</v>
      </c>
      <c r="AF223" s="0" t="s">
        <v>4629</v>
      </c>
      <c r="AG223" s="0" t="s">
        <v>4630</v>
      </c>
      <c r="AH223" s="0" t="s">
        <v>4555</v>
      </c>
      <c r="AI223" s="0" t="s">
        <v>1747</v>
      </c>
      <c r="AJ223" s="0" t="s">
        <v>4514</v>
      </c>
      <c r="AK223" s="0" t="s">
        <v>3749</v>
      </c>
      <c r="AL223" s="0" t="s">
        <v>3581</v>
      </c>
      <c r="AM223" s="0" t="s">
        <v>3565</v>
      </c>
      <c r="AN223" s="0" t="s">
        <v>3628</v>
      </c>
      <c r="AO223" s="0" t="s">
        <v>4132</v>
      </c>
      <c r="AP223" s="0" t="s">
        <v>228</v>
      </c>
      <c r="AQ223" s="0" t="s">
        <v>228</v>
      </c>
      <c r="AR223" s="0" t="s">
        <v>228</v>
      </c>
      <c r="AS223" s="0" t="s">
        <v>228</v>
      </c>
      <c r="AT223" s="0" t="s">
        <v>228</v>
      </c>
      <c r="AU223" s="0" t="s">
        <v>228</v>
      </c>
      <c r="AV223" s="0" t="s">
        <v>228</v>
      </c>
      <c r="AW223" s="0" t="s">
        <v>228</v>
      </c>
      <c r="AX223" s="0" t="s">
        <v>228</v>
      </c>
      <c r="AY223" s="0" t="s">
        <v>228</v>
      </c>
      <c r="AZ223" s="0" t="s">
        <v>228</v>
      </c>
      <c r="BA223" s="0" t="s">
        <v>228</v>
      </c>
      <c r="BB223" s="0" t="s">
        <v>228</v>
      </c>
      <c r="BC223" s="0" t="s">
        <v>228</v>
      </c>
      <c r="BD223" s="0" t="s">
        <v>228</v>
      </c>
      <c r="BE223" s="0" t="s">
        <v>228</v>
      </c>
      <c r="BF223" s="0" t="s">
        <v>228</v>
      </c>
      <c r="BG223" s="0" t="s">
        <v>228</v>
      </c>
      <c r="BH223" s="0" t="s">
        <v>228</v>
      </c>
      <c r="BI223" s="0" t="s">
        <v>228</v>
      </c>
      <c r="BJ223" s="0" t="s">
        <v>228</v>
      </c>
      <c r="BK223" s="0" t="s">
        <v>228</v>
      </c>
      <c r="BL223" s="0" t="s">
        <v>228</v>
      </c>
      <c r="BM223" s="0" t="s">
        <v>228</v>
      </c>
      <c r="BN223" s="0" t="s">
        <v>228</v>
      </c>
      <c r="BO223" s="0" t="s">
        <v>228</v>
      </c>
      <c r="BP223" s="0" t="s">
        <v>228</v>
      </c>
      <c r="BQ223" s="0" t="s">
        <v>228</v>
      </c>
      <c r="BR223" s="0" t="s">
        <v>228</v>
      </c>
      <c r="BS223" s="0" t="s">
        <v>228</v>
      </c>
      <c r="BT223" s="0" t="s">
        <v>228</v>
      </c>
      <c r="BU223" s="0" t="s">
        <v>228</v>
      </c>
      <c r="BV223" s="0" t="s">
        <v>228</v>
      </c>
      <c r="BW223" s="0" t="s">
        <v>228</v>
      </c>
      <c r="BX223" s="0" t="s">
        <v>228</v>
      </c>
      <c r="BY223" s="0" t="s">
        <v>228</v>
      </c>
      <c r="BZ223" s="0" t="s">
        <v>228</v>
      </c>
      <c r="CA223" s="0" t="s">
        <v>228</v>
      </c>
      <c r="CB223" s="0" t="s">
        <v>228</v>
      </c>
      <c r="CC223" s="0" t="s">
        <v>228</v>
      </c>
      <c r="CD223" s="0" t="s">
        <v>228</v>
      </c>
      <c r="CE223" s="0" t="s">
        <v>228</v>
      </c>
      <c r="CF223" s="0" t="s">
        <v>228</v>
      </c>
      <c r="CG223" s="0" t="s">
        <v>228</v>
      </c>
      <c r="CH223" s="0" t="s">
        <v>228</v>
      </c>
      <c r="CI223" s="0" t="s">
        <v>228</v>
      </c>
      <c r="CJ223" s="0" t="s">
        <v>228</v>
      </c>
      <c r="CK223" s="0" t="s">
        <v>228</v>
      </c>
      <c r="CL223" s="0" t="s">
        <v>228</v>
      </c>
      <c r="CM223" s="0" t="s">
        <v>228</v>
      </c>
      <c r="CN223" s="0" t="s">
        <v>228</v>
      </c>
      <c r="CO223" s="0" t="s">
        <v>228</v>
      </c>
      <c r="CP223" s="0" t="s">
        <v>228</v>
      </c>
      <c r="CQ223" s="0" t="s">
        <v>228</v>
      </c>
      <c r="CR223" s="0" t="s">
        <v>228</v>
      </c>
      <c r="CS223" s="0" t="s">
        <v>228</v>
      </c>
      <c r="CT223" s="0" t="s">
        <v>3568</v>
      </c>
      <c r="CU223" s="0" t="s">
        <v>3569</v>
      </c>
      <c r="CV223" s="0" t="s">
        <v>418</v>
      </c>
      <c r="CW223" s="0" t="s">
        <v>3622</v>
      </c>
      <c r="CX223" s="0" t="s">
        <v>419</v>
      </c>
      <c r="CY223" s="0" t="s">
        <v>418</v>
      </c>
      <c r="CZ223" s="0" t="s">
        <v>3623</v>
      </c>
      <c r="DA223" s="0" t="s">
        <v>3624</v>
      </c>
      <c r="DB223" s="0" t="s">
        <v>3622</v>
      </c>
      <c r="DC223" s="0" t="s">
        <v>362</v>
      </c>
      <c r="DD223" s="0" t="s">
        <v>3572</v>
      </c>
      <c r="DE223" s="0" t="s">
        <v>4631</v>
      </c>
    </row>
    <row customHeight="1" ht="11.25">
      <c r="A224" s="1353" t="s">
        <v>228</v>
      </c>
      <c r="B224" s="0" t="s">
        <v>228</v>
      </c>
      <c r="C224" s="0" t="s">
        <v>228</v>
      </c>
      <c r="D224" s="0" t="s">
        <v>228</v>
      </c>
      <c r="E224" s="0" t="s">
        <v>228</v>
      </c>
      <c r="F224" s="0" t="s">
        <v>228</v>
      </c>
      <c r="G224" s="0" t="s">
        <v>228</v>
      </c>
      <c r="H224" s="0" t="s">
        <v>228</v>
      </c>
      <c r="I224" s="0" t="s">
        <v>3555</v>
      </c>
      <c r="J224" s="0" t="s">
        <v>228</v>
      </c>
      <c r="K224" s="0" t="s">
        <v>228</v>
      </c>
      <c r="L224" s="0" t="s">
        <v>228</v>
      </c>
      <c r="M224" s="0" t="s">
        <v>228</v>
      </c>
      <c r="N224" s="0" t="s">
        <v>228</v>
      </c>
      <c r="O224" s="0" t="s">
        <v>228</v>
      </c>
      <c r="P224" s="0" t="s">
        <v>228</v>
      </c>
      <c r="Q224" s="0" t="s">
        <v>228</v>
      </c>
      <c r="R224" s="0" t="s">
        <v>4632</v>
      </c>
      <c r="S224" s="0" t="s">
        <v>228</v>
      </c>
      <c r="T224" s="0" t="s">
        <v>228</v>
      </c>
      <c r="U224" s="0" t="s">
        <v>101</v>
      </c>
      <c r="V224" s="0" t="s">
        <v>228</v>
      </c>
      <c r="W224" s="0" t="s">
        <v>228</v>
      </c>
      <c r="X224" s="0" t="s">
        <v>3661</v>
      </c>
      <c r="Y224" s="0" t="s">
        <v>228</v>
      </c>
      <c r="Z224" s="0" t="s">
        <v>151</v>
      </c>
      <c r="AA224" s="0" t="s">
        <v>151</v>
      </c>
      <c r="AB224" s="0" t="s">
        <v>160</v>
      </c>
      <c r="AC224" s="0" t="s">
        <v>2317</v>
      </c>
      <c r="AD224" s="0" t="s">
        <v>2317</v>
      </c>
      <c r="AE224" s="0" t="s">
        <v>2318</v>
      </c>
      <c r="AF224" s="0" t="s">
        <v>4629</v>
      </c>
      <c r="AG224" s="0" t="s">
        <v>4630</v>
      </c>
      <c r="AH224" s="0" t="s">
        <v>3651</v>
      </c>
      <c r="AI224" s="0" t="s">
        <v>3651</v>
      </c>
      <c r="AJ224" s="0" t="s">
        <v>228</v>
      </c>
      <c r="AK224" s="0" t="s">
        <v>228</v>
      </c>
      <c r="AL224" s="0" t="s">
        <v>228</v>
      </c>
      <c r="AM224" s="0" t="s">
        <v>228</v>
      </c>
      <c r="AN224" s="0" t="s">
        <v>228</v>
      </c>
      <c r="AO224" s="0" t="s">
        <v>228</v>
      </c>
      <c r="AP224" s="0" t="s">
        <v>228</v>
      </c>
      <c r="AQ224" s="0" t="s">
        <v>228</v>
      </c>
      <c r="AR224" s="0" t="s">
        <v>228</v>
      </c>
      <c r="AS224" s="0" t="s">
        <v>228</v>
      </c>
      <c r="AT224" s="0" t="s">
        <v>228</v>
      </c>
      <c r="AU224" s="0" t="s">
        <v>228</v>
      </c>
      <c r="AV224" s="0" t="s">
        <v>228</v>
      </c>
      <c r="AW224" s="0" t="s">
        <v>228</v>
      </c>
      <c r="AX224" s="0" t="s">
        <v>228</v>
      </c>
      <c r="AY224" s="0" t="s">
        <v>228</v>
      </c>
      <c r="AZ224" s="0" t="s">
        <v>228</v>
      </c>
      <c r="BA224" s="0" t="s">
        <v>228</v>
      </c>
      <c r="BB224" s="0" t="s">
        <v>228</v>
      </c>
      <c r="BC224" s="0" t="s">
        <v>228</v>
      </c>
      <c r="BD224" s="0" t="s">
        <v>228</v>
      </c>
      <c r="BE224" s="0" t="s">
        <v>3627</v>
      </c>
      <c r="BF224" s="0" t="s">
        <v>3749</v>
      </c>
      <c r="BG224" s="0" t="s">
        <v>111</v>
      </c>
      <c r="BH224" s="0" t="s">
        <v>3665</v>
      </c>
      <c r="BI224" s="0" t="s">
        <v>122</v>
      </c>
      <c r="BJ224" s="0" t="s">
        <v>228</v>
      </c>
      <c r="BK224" s="0" t="s">
        <v>3684</v>
      </c>
      <c r="BL224" s="0" t="s">
        <v>2317</v>
      </c>
      <c r="BM224" s="0" t="s">
        <v>2317</v>
      </c>
      <c r="BN224" s="0" t="s">
        <v>3740</v>
      </c>
      <c r="BO224" s="0" t="s">
        <v>4629</v>
      </c>
      <c r="BP224" s="0" t="s">
        <v>4633</v>
      </c>
      <c r="BQ224" s="0" t="s">
        <v>3651</v>
      </c>
      <c r="BR224" s="0" t="s">
        <v>3651</v>
      </c>
      <c r="BS224" s="0" t="s">
        <v>228</v>
      </c>
      <c r="BT224" s="0" t="s">
        <v>3727</v>
      </c>
      <c r="BU224" s="0" t="s">
        <v>4634</v>
      </c>
      <c r="BV224" s="0" t="s">
        <v>4634</v>
      </c>
      <c r="BW224" s="0" t="s">
        <v>3674</v>
      </c>
      <c r="BX224" s="0" t="s">
        <v>3674</v>
      </c>
      <c r="BY224" s="0" t="s">
        <v>3674</v>
      </c>
      <c r="BZ224" s="0" t="s">
        <v>3674</v>
      </c>
      <c r="CA224" s="0" t="s">
        <v>3674</v>
      </c>
      <c r="CB224" s="0" t="s">
        <v>228</v>
      </c>
      <c r="CC224" s="0" t="s">
        <v>228</v>
      </c>
      <c r="CD224" s="0" t="s">
        <v>228</v>
      </c>
      <c r="CE224" s="0" t="s">
        <v>228</v>
      </c>
      <c r="CF224" s="0" t="s">
        <v>228</v>
      </c>
      <c r="CG224" s="0" t="s">
        <v>3674</v>
      </c>
      <c r="CH224" s="0" t="s">
        <v>228</v>
      </c>
      <c r="CI224" s="0" t="s">
        <v>228</v>
      </c>
      <c r="CJ224" s="0" t="s">
        <v>228</v>
      </c>
      <c r="CK224" s="0" t="s">
        <v>228</v>
      </c>
      <c r="CL224" s="0" t="s">
        <v>228</v>
      </c>
      <c r="CM224" s="0" t="s">
        <v>4634</v>
      </c>
      <c r="CN224" s="0" t="s">
        <v>4634</v>
      </c>
      <c r="CO224" s="0" t="s">
        <v>228</v>
      </c>
      <c r="CP224" s="0" t="s">
        <v>228</v>
      </c>
      <c r="CQ224" s="0" t="s">
        <v>228</v>
      </c>
      <c r="CR224" s="0" t="s">
        <v>228</v>
      </c>
      <c r="CS224" s="0" t="s">
        <v>3743</v>
      </c>
      <c r="CT224" s="0" t="s">
        <v>3568</v>
      </c>
      <c r="CU224" s="0" t="s">
        <v>3569</v>
      </c>
      <c r="CV224" s="0" t="s">
        <v>418</v>
      </c>
      <c r="CW224" s="0" t="s">
        <v>3622</v>
      </c>
      <c r="CX224" s="0" t="s">
        <v>419</v>
      </c>
      <c r="CY224" s="0" t="s">
        <v>418</v>
      </c>
      <c r="CZ224" s="0" t="s">
        <v>3623</v>
      </c>
      <c r="DA224" s="0" t="s">
        <v>3624</v>
      </c>
      <c r="DB224" s="0" t="s">
        <v>3622</v>
      </c>
      <c r="DC224" s="0" t="s">
        <v>362</v>
      </c>
      <c r="DD224" s="0" t="s">
        <v>3572</v>
      </c>
      <c r="DE224" s="0" t="s">
        <v>4635</v>
      </c>
    </row>
    <row customHeight="1" ht="11.25">
      <c r="A225" s="1353" t="s">
        <v>228</v>
      </c>
      <c r="B225" s="0" t="s">
        <v>228</v>
      </c>
      <c r="C225" s="0" t="s">
        <v>228</v>
      </c>
      <c r="D225" s="0" t="s">
        <v>228</v>
      </c>
      <c r="E225" s="0" t="s">
        <v>228</v>
      </c>
      <c r="F225" s="0" t="s">
        <v>228</v>
      </c>
      <c r="G225" s="0" t="s">
        <v>228</v>
      </c>
      <c r="H225" s="0" t="s">
        <v>228</v>
      </c>
      <c r="I225" s="0" t="s">
        <v>3555</v>
      </c>
      <c r="J225" s="0" t="s">
        <v>228</v>
      </c>
      <c r="K225" s="0" t="s">
        <v>228</v>
      </c>
      <c r="L225" s="0" t="s">
        <v>228</v>
      </c>
      <c r="M225" s="0" t="s">
        <v>228</v>
      </c>
      <c r="N225" s="0" t="s">
        <v>228</v>
      </c>
      <c r="O225" s="0" t="s">
        <v>228</v>
      </c>
      <c r="P225" s="0" t="s">
        <v>228</v>
      </c>
      <c r="Q225" s="0" t="s">
        <v>228</v>
      </c>
      <c r="R225" s="0" t="s">
        <v>4636</v>
      </c>
      <c r="S225" s="0" t="s">
        <v>228</v>
      </c>
      <c r="T225" s="0" t="s">
        <v>228</v>
      </c>
      <c r="U225" s="0" t="s">
        <v>101</v>
      </c>
      <c r="V225" s="0" t="s">
        <v>228</v>
      </c>
      <c r="W225" s="0" t="s">
        <v>228</v>
      </c>
      <c r="X225" s="0" t="s">
        <v>3661</v>
      </c>
      <c r="Y225" s="0" t="s">
        <v>228</v>
      </c>
      <c r="Z225" s="0" t="s">
        <v>151</v>
      </c>
      <c r="AA225" s="0" t="s">
        <v>151</v>
      </c>
      <c r="AB225" s="0" t="s">
        <v>160</v>
      </c>
      <c r="AC225" s="0" t="s">
        <v>2315</v>
      </c>
      <c r="AD225" s="0" t="s">
        <v>2315</v>
      </c>
      <c r="AE225" s="0" t="s">
        <v>2316</v>
      </c>
      <c r="AF225" s="0" t="s">
        <v>4343</v>
      </c>
      <c r="AG225" s="0" t="s">
        <v>4344</v>
      </c>
      <c r="AH225" s="0" t="s">
        <v>3651</v>
      </c>
      <c r="AI225" s="0" t="s">
        <v>3651</v>
      </c>
      <c r="AJ225" s="0" t="s">
        <v>228</v>
      </c>
      <c r="AK225" s="0" t="s">
        <v>228</v>
      </c>
      <c r="AL225" s="0" t="s">
        <v>228</v>
      </c>
      <c r="AM225" s="0" t="s">
        <v>228</v>
      </c>
      <c r="AN225" s="0" t="s">
        <v>228</v>
      </c>
      <c r="AO225" s="0" t="s">
        <v>228</v>
      </c>
      <c r="AP225" s="0" t="s">
        <v>228</v>
      </c>
      <c r="AQ225" s="0" t="s">
        <v>228</v>
      </c>
      <c r="AR225" s="0" t="s">
        <v>228</v>
      </c>
      <c r="AS225" s="0" t="s">
        <v>228</v>
      </c>
      <c r="AT225" s="0" t="s">
        <v>228</v>
      </c>
      <c r="AU225" s="0" t="s">
        <v>228</v>
      </c>
      <c r="AV225" s="0" t="s">
        <v>228</v>
      </c>
      <c r="AW225" s="0" t="s">
        <v>228</v>
      </c>
      <c r="AX225" s="0" t="s">
        <v>228</v>
      </c>
      <c r="AY225" s="0" t="s">
        <v>228</v>
      </c>
      <c r="AZ225" s="0" t="s">
        <v>228</v>
      </c>
      <c r="BA225" s="0" t="s">
        <v>228</v>
      </c>
      <c r="BB225" s="0" t="s">
        <v>228</v>
      </c>
      <c r="BC225" s="0" t="s">
        <v>228</v>
      </c>
      <c r="BD225" s="0" t="s">
        <v>228</v>
      </c>
      <c r="BE225" s="0" t="s">
        <v>3652</v>
      </c>
      <c r="BF225" s="0" t="s">
        <v>4347</v>
      </c>
      <c r="BG225" s="0" t="s">
        <v>111</v>
      </c>
      <c r="BH225" s="0" t="s">
        <v>3665</v>
      </c>
      <c r="BI225" s="0" t="s">
        <v>122</v>
      </c>
      <c r="BJ225" s="0" t="s">
        <v>228</v>
      </c>
      <c r="BK225" s="0" t="s">
        <v>3684</v>
      </c>
      <c r="BL225" s="0" t="s">
        <v>2315</v>
      </c>
      <c r="BM225" s="0" t="s">
        <v>2315</v>
      </c>
      <c r="BN225" s="0" t="s">
        <v>3875</v>
      </c>
      <c r="BO225" s="0" t="s">
        <v>4343</v>
      </c>
      <c r="BP225" s="0" t="s">
        <v>4637</v>
      </c>
      <c r="BQ225" s="0" t="s">
        <v>3651</v>
      </c>
      <c r="BR225" s="0" t="s">
        <v>3651</v>
      </c>
      <c r="BS225" s="0" t="s">
        <v>228</v>
      </c>
      <c r="BT225" s="0" t="s">
        <v>3727</v>
      </c>
      <c r="BU225" s="0" t="s">
        <v>4638</v>
      </c>
      <c r="BV225" s="0" t="s">
        <v>4638</v>
      </c>
      <c r="BW225" s="0" t="s">
        <v>3674</v>
      </c>
      <c r="BX225" s="0" t="s">
        <v>3674</v>
      </c>
      <c r="BY225" s="0" t="s">
        <v>3674</v>
      </c>
      <c r="BZ225" s="0" t="s">
        <v>3674</v>
      </c>
      <c r="CA225" s="0" t="s">
        <v>3674</v>
      </c>
      <c r="CB225" s="0" t="s">
        <v>228</v>
      </c>
      <c r="CC225" s="0" t="s">
        <v>228</v>
      </c>
      <c r="CD225" s="0" t="s">
        <v>228</v>
      </c>
      <c r="CE225" s="0" t="s">
        <v>228</v>
      </c>
      <c r="CF225" s="0" t="s">
        <v>228</v>
      </c>
      <c r="CG225" s="0" t="s">
        <v>3674</v>
      </c>
      <c r="CH225" s="0" t="s">
        <v>228</v>
      </c>
      <c r="CI225" s="0" t="s">
        <v>228</v>
      </c>
      <c r="CJ225" s="0" t="s">
        <v>228</v>
      </c>
      <c r="CK225" s="0" t="s">
        <v>228</v>
      </c>
      <c r="CL225" s="0" t="s">
        <v>228</v>
      </c>
      <c r="CM225" s="0" t="s">
        <v>4638</v>
      </c>
      <c r="CN225" s="0" t="s">
        <v>4638</v>
      </c>
      <c r="CO225" s="0" t="s">
        <v>228</v>
      </c>
      <c r="CP225" s="0" t="s">
        <v>228</v>
      </c>
      <c r="CQ225" s="0" t="s">
        <v>228</v>
      </c>
      <c r="CR225" s="0" t="s">
        <v>228</v>
      </c>
      <c r="CS225" s="0" t="s">
        <v>3654</v>
      </c>
      <c r="CT225" s="0" t="s">
        <v>3568</v>
      </c>
      <c r="CU225" s="0" t="s">
        <v>3569</v>
      </c>
      <c r="CV225" s="0" t="s">
        <v>418</v>
      </c>
      <c r="CW225" s="0" t="s">
        <v>3656</v>
      </c>
      <c r="CX225" s="0" t="s">
        <v>419</v>
      </c>
      <c r="CY225" s="0" t="s">
        <v>418</v>
      </c>
      <c r="CZ225" s="0" t="s">
        <v>3657</v>
      </c>
      <c r="DA225" s="0" t="s">
        <v>3658</v>
      </c>
      <c r="DB225" s="0" t="s">
        <v>3656</v>
      </c>
      <c r="DC225" s="0" t="s">
        <v>362</v>
      </c>
      <c r="DD225" s="0" t="s">
        <v>3572</v>
      </c>
      <c r="DE225" s="0" t="s">
        <v>4639</v>
      </c>
    </row>
    <row customHeight="1" ht="11.25">
      <c r="A226" s="1353" t="s">
        <v>228</v>
      </c>
      <c r="B226" s="0" t="s">
        <v>228</v>
      </c>
      <c r="C226" s="0" t="s">
        <v>228</v>
      </c>
      <c r="D226" s="0" t="s">
        <v>228</v>
      </c>
      <c r="E226" s="0" t="s">
        <v>228</v>
      </c>
      <c r="F226" s="0" t="s">
        <v>228</v>
      </c>
      <c r="G226" s="0" t="s">
        <v>228</v>
      </c>
      <c r="H226" s="0" t="s">
        <v>228</v>
      </c>
      <c r="I226" s="0" t="s">
        <v>3555</v>
      </c>
      <c r="J226" s="0" t="s">
        <v>228</v>
      </c>
      <c r="K226" s="0" t="s">
        <v>228</v>
      </c>
      <c r="L226" s="0" t="s">
        <v>228</v>
      </c>
      <c r="M226" s="0" t="s">
        <v>228</v>
      </c>
      <c r="N226" s="0" t="s">
        <v>228</v>
      </c>
      <c r="O226" s="0" t="s">
        <v>228</v>
      </c>
      <c r="P226" s="0" t="s">
        <v>228</v>
      </c>
      <c r="Q226" s="0" t="s">
        <v>228</v>
      </c>
      <c r="R226" s="0" t="s">
        <v>3648</v>
      </c>
      <c r="S226" s="0" t="s">
        <v>228</v>
      </c>
      <c r="T226" s="0" t="s">
        <v>228</v>
      </c>
      <c r="U226" s="0" t="s">
        <v>101</v>
      </c>
      <c r="V226" s="0" t="s">
        <v>228</v>
      </c>
      <c r="W226" s="0" t="s">
        <v>228</v>
      </c>
      <c r="X226" s="0" t="s">
        <v>3557</v>
      </c>
      <c r="Y226" s="0" t="s">
        <v>228</v>
      </c>
      <c r="Z226" s="0" t="s">
        <v>160</v>
      </c>
      <c r="AA226" s="0" t="s">
        <v>151</v>
      </c>
      <c r="AB226" s="0" t="s">
        <v>151</v>
      </c>
      <c r="AC226" s="0" t="s">
        <v>2315</v>
      </c>
      <c r="AD226" s="0" t="s">
        <v>2315</v>
      </c>
      <c r="AE226" s="0" t="s">
        <v>2316</v>
      </c>
      <c r="AF226" s="0" t="s">
        <v>4640</v>
      </c>
      <c r="AG226" s="0" t="s">
        <v>4641</v>
      </c>
      <c r="AH226" s="0" t="s">
        <v>3651</v>
      </c>
      <c r="AI226" s="0" t="s">
        <v>3651</v>
      </c>
      <c r="AJ226" s="0" t="s">
        <v>3652</v>
      </c>
      <c r="AK226" s="0" t="s">
        <v>4642</v>
      </c>
      <c r="AL226" s="0" t="s">
        <v>3581</v>
      </c>
      <c r="AM226" s="0" t="s">
        <v>3565</v>
      </c>
      <c r="AN226" s="0" t="s">
        <v>3654</v>
      </c>
      <c r="AO226" s="0" t="s">
        <v>3655</v>
      </c>
      <c r="AP226" s="0" t="s">
        <v>228</v>
      </c>
      <c r="AQ226" s="0" t="s">
        <v>228</v>
      </c>
      <c r="AR226" s="0" t="s">
        <v>228</v>
      </c>
      <c r="AS226" s="0" t="s">
        <v>228</v>
      </c>
      <c r="AT226" s="0" t="s">
        <v>228</v>
      </c>
      <c r="AU226" s="0" t="s">
        <v>228</v>
      </c>
      <c r="AV226" s="0" t="s">
        <v>228</v>
      </c>
      <c r="AW226" s="0" t="s">
        <v>228</v>
      </c>
      <c r="AX226" s="0" t="s">
        <v>228</v>
      </c>
      <c r="AY226" s="0" t="s">
        <v>228</v>
      </c>
      <c r="AZ226" s="0" t="s">
        <v>228</v>
      </c>
      <c r="BA226" s="0" t="s">
        <v>228</v>
      </c>
      <c r="BB226" s="0" t="s">
        <v>228</v>
      </c>
      <c r="BC226" s="0" t="s">
        <v>228</v>
      </c>
      <c r="BD226" s="0" t="s">
        <v>228</v>
      </c>
      <c r="BE226" s="0" t="s">
        <v>228</v>
      </c>
      <c r="BF226" s="0" t="s">
        <v>228</v>
      </c>
      <c r="BG226" s="0" t="s">
        <v>228</v>
      </c>
      <c r="BH226" s="0" t="s">
        <v>228</v>
      </c>
      <c r="BI226" s="0" t="s">
        <v>228</v>
      </c>
      <c r="BJ226" s="0" t="s">
        <v>228</v>
      </c>
      <c r="BK226" s="0" t="s">
        <v>228</v>
      </c>
      <c r="BL226" s="0" t="s">
        <v>228</v>
      </c>
      <c r="BM226" s="0" t="s">
        <v>228</v>
      </c>
      <c r="BN226" s="0" t="s">
        <v>228</v>
      </c>
      <c r="BO226" s="0" t="s">
        <v>228</v>
      </c>
      <c r="BP226" s="0" t="s">
        <v>228</v>
      </c>
      <c r="BQ226" s="0" t="s">
        <v>228</v>
      </c>
      <c r="BR226" s="0" t="s">
        <v>228</v>
      </c>
      <c r="BS226" s="0" t="s">
        <v>228</v>
      </c>
      <c r="BT226" s="0" t="s">
        <v>228</v>
      </c>
      <c r="BU226" s="0" t="s">
        <v>228</v>
      </c>
      <c r="BV226" s="0" t="s">
        <v>228</v>
      </c>
      <c r="BW226" s="0" t="s">
        <v>228</v>
      </c>
      <c r="BX226" s="0" t="s">
        <v>228</v>
      </c>
      <c r="BY226" s="0" t="s">
        <v>228</v>
      </c>
      <c r="BZ226" s="0" t="s">
        <v>228</v>
      </c>
      <c r="CA226" s="0" t="s">
        <v>228</v>
      </c>
      <c r="CB226" s="0" t="s">
        <v>228</v>
      </c>
      <c r="CC226" s="0" t="s">
        <v>228</v>
      </c>
      <c r="CD226" s="0" t="s">
        <v>228</v>
      </c>
      <c r="CE226" s="0" t="s">
        <v>228</v>
      </c>
      <c r="CF226" s="0" t="s">
        <v>228</v>
      </c>
      <c r="CG226" s="0" t="s">
        <v>228</v>
      </c>
      <c r="CH226" s="0" t="s">
        <v>228</v>
      </c>
      <c r="CI226" s="0" t="s">
        <v>228</v>
      </c>
      <c r="CJ226" s="0" t="s">
        <v>228</v>
      </c>
      <c r="CK226" s="0" t="s">
        <v>228</v>
      </c>
      <c r="CL226" s="0" t="s">
        <v>228</v>
      </c>
      <c r="CM226" s="0" t="s">
        <v>228</v>
      </c>
      <c r="CN226" s="0" t="s">
        <v>228</v>
      </c>
      <c r="CO226" s="0" t="s">
        <v>228</v>
      </c>
      <c r="CP226" s="0" t="s">
        <v>228</v>
      </c>
      <c r="CQ226" s="0" t="s">
        <v>228</v>
      </c>
      <c r="CR226" s="0" t="s">
        <v>228</v>
      </c>
      <c r="CS226" s="0" t="s">
        <v>228</v>
      </c>
      <c r="CT226" s="0" t="s">
        <v>3568</v>
      </c>
      <c r="CU226" s="0" t="s">
        <v>3569</v>
      </c>
      <c r="CV226" s="0" t="s">
        <v>418</v>
      </c>
      <c r="CW226" s="0" t="s">
        <v>3656</v>
      </c>
      <c r="CX226" s="0" t="s">
        <v>419</v>
      </c>
      <c r="CY226" s="0" t="s">
        <v>418</v>
      </c>
      <c r="CZ226" s="0" t="s">
        <v>3657</v>
      </c>
      <c r="DA226" s="0" t="s">
        <v>3658</v>
      </c>
      <c r="DB226" s="0" t="s">
        <v>3656</v>
      </c>
      <c r="DC226" s="0" t="s">
        <v>362</v>
      </c>
      <c r="DD226" s="0" t="s">
        <v>3572</v>
      </c>
      <c r="DE226" s="0" t="s">
        <v>4643</v>
      </c>
    </row>
    <row customHeight="1" ht="11.25">
      <c r="A227" s="1353" t="s">
        <v>228</v>
      </c>
      <c r="B227" s="0" t="s">
        <v>228</v>
      </c>
      <c r="C227" s="0" t="s">
        <v>228</v>
      </c>
      <c r="D227" s="0" t="s">
        <v>228</v>
      </c>
      <c r="E227" s="0" t="s">
        <v>228</v>
      </c>
      <c r="F227" s="0" t="s">
        <v>228</v>
      </c>
      <c r="G227" s="0" t="s">
        <v>228</v>
      </c>
      <c r="H227" s="0" t="s">
        <v>228</v>
      </c>
      <c r="I227" s="0" t="s">
        <v>3555</v>
      </c>
      <c r="J227" s="0" t="s">
        <v>228</v>
      </c>
      <c r="K227" s="0" t="s">
        <v>228</v>
      </c>
      <c r="L227" s="0" t="s">
        <v>228</v>
      </c>
      <c r="M227" s="0" t="s">
        <v>228</v>
      </c>
      <c r="N227" s="0" t="s">
        <v>228</v>
      </c>
      <c r="O227" s="0" t="s">
        <v>228</v>
      </c>
      <c r="P227" s="0" t="s">
        <v>228</v>
      </c>
      <c r="Q227" s="0" t="s">
        <v>228</v>
      </c>
      <c r="R227" s="0" t="s">
        <v>4644</v>
      </c>
      <c r="S227" s="0" t="s">
        <v>228</v>
      </c>
      <c r="T227" s="0" t="s">
        <v>228</v>
      </c>
      <c r="U227" s="0" t="s">
        <v>101</v>
      </c>
      <c r="V227" s="0" t="s">
        <v>228</v>
      </c>
      <c r="W227" s="0" t="s">
        <v>228</v>
      </c>
      <c r="X227" s="0" t="s">
        <v>3557</v>
      </c>
      <c r="Y227" s="0" t="s">
        <v>228</v>
      </c>
      <c r="Z227" s="0" t="s">
        <v>160</v>
      </c>
      <c r="AA227" s="0" t="s">
        <v>151</v>
      </c>
      <c r="AB227" s="0" t="s">
        <v>151</v>
      </c>
      <c r="AC227" s="0" t="s">
        <v>2311</v>
      </c>
      <c r="AD227" s="0" t="s">
        <v>2311</v>
      </c>
      <c r="AE227" s="0" t="s">
        <v>2312</v>
      </c>
      <c r="AF227" s="0" t="s">
        <v>3685</v>
      </c>
      <c r="AG227" s="0" t="s">
        <v>3686</v>
      </c>
      <c r="AH227" s="0" t="s">
        <v>4645</v>
      </c>
      <c r="AI227" s="0" t="s">
        <v>4646</v>
      </c>
      <c r="AJ227" s="0" t="s">
        <v>3652</v>
      </c>
      <c r="AK227" s="0" t="s">
        <v>4647</v>
      </c>
      <c r="AL227" s="0" t="s">
        <v>3581</v>
      </c>
      <c r="AM227" s="0" t="s">
        <v>3565</v>
      </c>
      <c r="AN227" s="0" t="s">
        <v>3628</v>
      </c>
      <c r="AO227" s="0" t="s">
        <v>3823</v>
      </c>
      <c r="AP227" s="0" t="s">
        <v>228</v>
      </c>
      <c r="AQ227" s="0" t="s">
        <v>228</v>
      </c>
      <c r="AR227" s="0" t="s">
        <v>228</v>
      </c>
      <c r="AS227" s="0" t="s">
        <v>228</v>
      </c>
      <c r="AT227" s="0" t="s">
        <v>228</v>
      </c>
      <c r="AU227" s="0" t="s">
        <v>228</v>
      </c>
      <c r="AV227" s="0" t="s">
        <v>228</v>
      </c>
      <c r="AW227" s="0" t="s">
        <v>228</v>
      </c>
      <c r="AX227" s="0" t="s">
        <v>228</v>
      </c>
      <c r="AY227" s="0" t="s">
        <v>228</v>
      </c>
      <c r="AZ227" s="0" t="s">
        <v>228</v>
      </c>
      <c r="BA227" s="0" t="s">
        <v>228</v>
      </c>
      <c r="BB227" s="0" t="s">
        <v>228</v>
      </c>
      <c r="BC227" s="0" t="s">
        <v>228</v>
      </c>
      <c r="BD227" s="0" t="s">
        <v>228</v>
      </c>
      <c r="BE227" s="0" t="s">
        <v>228</v>
      </c>
      <c r="BF227" s="0" t="s">
        <v>228</v>
      </c>
      <c r="BG227" s="0" t="s">
        <v>228</v>
      </c>
      <c r="BH227" s="0" t="s">
        <v>228</v>
      </c>
      <c r="BI227" s="0" t="s">
        <v>228</v>
      </c>
      <c r="BJ227" s="0" t="s">
        <v>228</v>
      </c>
      <c r="BK227" s="0" t="s">
        <v>228</v>
      </c>
      <c r="BL227" s="0" t="s">
        <v>228</v>
      </c>
      <c r="BM227" s="0" t="s">
        <v>228</v>
      </c>
      <c r="BN227" s="0" t="s">
        <v>228</v>
      </c>
      <c r="BO227" s="0" t="s">
        <v>228</v>
      </c>
      <c r="BP227" s="0" t="s">
        <v>228</v>
      </c>
      <c r="BQ227" s="0" t="s">
        <v>228</v>
      </c>
      <c r="BR227" s="0" t="s">
        <v>228</v>
      </c>
      <c r="BS227" s="0" t="s">
        <v>228</v>
      </c>
      <c r="BT227" s="0" t="s">
        <v>228</v>
      </c>
      <c r="BU227" s="0" t="s">
        <v>228</v>
      </c>
      <c r="BV227" s="0" t="s">
        <v>228</v>
      </c>
      <c r="BW227" s="0" t="s">
        <v>228</v>
      </c>
      <c r="BX227" s="0" t="s">
        <v>228</v>
      </c>
      <c r="BY227" s="0" t="s">
        <v>228</v>
      </c>
      <c r="BZ227" s="0" t="s">
        <v>228</v>
      </c>
      <c r="CA227" s="0" t="s">
        <v>228</v>
      </c>
      <c r="CB227" s="0" t="s">
        <v>228</v>
      </c>
      <c r="CC227" s="0" t="s">
        <v>228</v>
      </c>
      <c r="CD227" s="0" t="s">
        <v>228</v>
      </c>
      <c r="CE227" s="0" t="s">
        <v>228</v>
      </c>
      <c r="CF227" s="0" t="s">
        <v>228</v>
      </c>
      <c r="CG227" s="0" t="s">
        <v>228</v>
      </c>
      <c r="CH227" s="0" t="s">
        <v>228</v>
      </c>
      <c r="CI227" s="0" t="s">
        <v>228</v>
      </c>
      <c r="CJ227" s="0" t="s">
        <v>228</v>
      </c>
      <c r="CK227" s="0" t="s">
        <v>228</v>
      </c>
      <c r="CL227" s="0" t="s">
        <v>228</v>
      </c>
      <c r="CM227" s="0" t="s">
        <v>228</v>
      </c>
      <c r="CN227" s="0" t="s">
        <v>228</v>
      </c>
      <c r="CO227" s="0" t="s">
        <v>228</v>
      </c>
      <c r="CP227" s="0" t="s">
        <v>228</v>
      </c>
      <c r="CQ227" s="0" t="s">
        <v>228</v>
      </c>
      <c r="CR227" s="0" t="s">
        <v>228</v>
      </c>
      <c r="CS227" s="0" t="s">
        <v>228</v>
      </c>
      <c r="CT227" s="0" t="s">
        <v>3568</v>
      </c>
      <c r="CU227" s="0" t="s">
        <v>4648</v>
      </c>
      <c r="CV227" s="0" t="s">
        <v>4649</v>
      </c>
      <c r="CW227" s="0" t="s">
        <v>4650</v>
      </c>
      <c r="CX227" s="0" t="s">
        <v>200</v>
      </c>
      <c r="CY227" s="0" t="s">
        <v>4651</v>
      </c>
      <c r="CZ227" s="0" t="s">
        <v>4652</v>
      </c>
      <c r="DA227" s="0" t="s">
        <v>4653</v>
      </c>
      <c r="DB227" s="0" t="s">
        <v>4650</v>
      </c>
      <c r="DC227" s="0" t="s">
        <v>362</v>
      </c>
      <c r="DD227" s="0" t="s">
        <v>3572</v>
      </c>
      <c r="DE227" s="0" t="s">
        <v>4654</v>
      </c>
    </row>
    <row customHeight="1" ht="11.25">
      <c r="A228" s="1353" t="s">
        <v>228</v>
      </c>
      <c r="B228" s="0" t="s">
        <v>228</v>
      </c>
      <c r="C228" s="0" t="s">
        <v>228</v>
      </c>
      <c r="D228" s="0" t="s">
        <v>228</v>
      </c>
      <c r="E228" s="0" t="s">
        <v>228</v>
      </c>
      <c r="F228" s="0" t="s">
        <v>228</v>
      </c>
      <c r="G228" s="0" t="s">
        <v>228</v>
      </c>
      <c r="H228" s="0" t="s">
        <v>228</v>
      </c>
      <c r="I228" s="0" t="s">
        <v>3555</v>
      </c>
      <c r="J228" s="0" t="s">
        <v>228</v>
      </c>
      <c r="K228" s="0" t="s">
        <v>228</v>
      </c>
      <c r="L228" s="0" t="s">
        <v>228</v>
      </c>
      <c r="M228" s="0" t="s">
        <v>228</v>
      </c>
      <c r="N228" s="0" t="s">
        <v>228</v>
      </c>
      <c r="O228" s="0" t="s">
        <v>228</v>
      </c>
      <c r="P228" s="0" t="s">
        <v>228</v>
      </c>
      <c r="Q228" s="0" t="s">
        <v>228</v>
      </c>
      <c r="R228" s="0" t="s">
        <v>4655</v>
      </c>
      <c r="S228" s="0" t="s">
        <v>228</v>
      </c>
      <c r="T228" s="0" t="s">
        <v>228</v>
      </c>
      <c r="U228" s="0" t="s">
        <v>101</v>
      </c>
      <c r="V228" s="0" t="s">
        <v>228</v>
      </c>
      <c r="W228" s="0" t="s">
        <v>228</v>
      </c>
      <c r="X228" s="0" t="s">
        <v>3557</v>
      </c>
      <c r="Y228" s="0" t="s">
        <v>228</v>
      </c>
      <c r="Z228" s="0" t="s">
        <v>160</v>
      </c>
      <c r="AA228" s="0" t="s">
        <v>151</v>
      </c>
      <c r="AB228" s="0" t="s">
        <v>151</v>
      </c>
      <c r="AC228" s="0" t="s">
        <v>2317</v>
      </c>
      <c r="AD228" s="0" t="s">
        <v>2317</v>
      </c>
      <c r="AE228" s="0" t="s">
        <v>2318</v>
      </c>
      <c r="AF228" s="0" t="s">
        <v>3826</v>
      </c>
      <c r="AG228" s="0" t="s">
        <v>3827</v>
      </c>
      <c r="AH228" s="0" t="s">
        <v>4656</v>
      </c>
      <c r="AI228" s="0" t="s">
        <v>4657</v>
      </c>
      <c r="AJ228" s="0" t="s">
        <v>3654</v>
      </c>
      <c r="AK228" s="0" t="s">
        <v>3620</v>
      </c>
      <c r="AL228" s="0" t="s">
        <v>4196</v>
      </c>
      <c r="AM228" s="0" t="s">
        <v>3565</v>
      </c>
      <c r="AN228" s="0" t="s">
        <v>3628</v>
      </c>
      <c r="AO228" s="0" t="s">
        <v>3629</v>
      </c>
      <c r="AP228" s="0" t="s">
        <v>228</v>
      </c>
      <c r="AQ228" s="0" t="s">
        <v>228</v>
      </c>
      <c r="AR228" s="0" t="s">
        <v>228</v>
      </c>
      <c r="AS228" s="0" t="s">
        <v>228</v>
      </c>
      <c r="AT228" s="0" t="s">
        <v>228</v>
      </c>
      <c r="AU228" s="0" t="s">
        <v>228</v>
      </c>
      <c r="AV228" s="0" t="s">
        <v>228</v>
      </c>
      <c r="AW228" s="0" t="s">
        <v>228</v>
      </c>
      <c r="AX228" s="0" t="s">
        <v>228</v>
      </c>
      <c r="AY228" s="0" t="s">
        <v>228</v>
      </c>
      <c r="AZ228" s="0" t="s">
        <v>228</v>
      </c>
      <c r="BA228" s="0" t="s">
        <v>228</v>
      </c>
      <c r="BB228" s="0" t="s">
        <v>228</v>
      </c>
      <c r="BC228" s="0" t="s">
        <v>228</v>
      </c>
      <c r="BD228" s="0" t="s">
        <v>228</v>
      </c>
      <c r="BE228" s="0" t="s">
        <v>228</v>
      </c>
      <c r="BF228" s="0" t="s">
        <v>228</v>
      </c>
      <c r="BG228" s="0" t="s">
        <v>228</v>
      </c>
      <c r="BH228" s="0" t="s">
        <v>228</v>
      </c>
      <c r="BI228" s="0" t="s">
        <v>228</v>
      </c>
      <c r="BJ228" s="0" t="s">
        <v>228</v>
      </c>
      <c r="BK228" s="0" t="s">
        <v>228</v>
      </c>
      <c r="BL228" s="0" t="s">
        <v>228</v>
      </c>
      <c r="BM228" s="0" t="s">
        <v>228</v>
      </c>
      <c r="BN228" s="0" t="s">
        <v>228</v>
      </c>
      <c r="BO228" s="0" t="s">
        <v>228</v>
      </c>
      <c r="BP228" s="0" t="s">
        <v>228</v>
      </c>
      <c r="BQ228" s="0" t="s">
        <v>228</v>
      </c>
      <c r="BR228" s="0" t="s">
        <v>228</v>
      </c>
      <c r="BS228" s="0" t="s">
        <v>228</v>
      </c>
      <c r="BT228" s="0" t="s">
        <v>228</v>
      </c>
      <c r="BU228" s="0" t="s">
        <v>228</v>
      </c>
      <c r="BV228" s="0" t="s">
        <v>228</v>
      </c>
      <c r="BW228" s="0" t="s">
        <v>228</v>
      </c>
      <c r="BX228" s="0" t="s">
        <v>228</v>
      </c>
      <c r="BY228" s="0" t="s">
        <v>228</v>
      </c>
      <c r="BZ228" s="0" t="s">
        <v>228</v>
      </c>
      <c r="CA228" s="0" t="s">
        <v>228</v>
      </c>
      <c r="CB228" s="0" t="s">
        <v>228</v>
      </c>
      <c r="CC228" s="0" t="s">
        <v>228</v>
      </c>
      <c r="CD228" s="0" t="s">
        <v>228</v>
      </c>
      <c r="CE228" s="0" t="s">
        <v>228</v>
      </c>
      <c r="CF228" s="0" t="s">
        <v>228</v>
      </c>
      <c r="CG228" s="0" t="s">
        <v>228</v>
      </c>
      <c r="CH228" s="0" t="s">
        <v>228</v>
      </c>
      <c r="CI228" s="0" t="s">
        <v>228</v>
      </c>
      <c r="CJ228" s="0" t="s">
        <v>228</v>
      </c>
      <c r="CK228" s="0" t="s">
        <v>228</v>
      </c>
      <c r="CL228" s="0" t="s">
        <v>228</v>
      </c>
      <c r="CM228" s="0" t="s">
        <v>228</v>
      </c>
      <c r="CN228" s="0" t="s">
        <v>228</v>
      </c>
      <c r="CO228" s="0" t="s">
        <v>228</v>
      </c>
      <c r="CP228" s="0" t="s">
        <v>228</v>
      </c>
      <c r="CQ228" s="0" t="s">
        <v>228</v>
      </c>
      <c r="CR228" s="0" t="s">
        <v>228</v>
      </c>
      <c r="CS228" s="0" t="s">
        <v>228</v>
      </c>
      <c r="CT228" s="0" t="s">
        <v>3568</v>
      </c>
      <c r="CU228" s="0" t="s">
        <v>3569</v>
      </c>
      <c r="CV228" s="0" t="s">
        <v>418</v>
      </c>
      <c r="CW228" s="0" t="s">
        <v>3622</v>
      </c>
      <c r="CX228" s="0" t="s">
        <v>419</v>
      </c>
      <c r="CY228" s="0" t="s">
        <v>418</v>
      </c>
      <c r="CZ228" s="0" t="s">
        <v>3623</v>
      </c>
      <c r="DA228" s="0" t="s">
        <v>3624</v>
      </c>
      <c r="DB228" s="0" t="s">
        <v>3622</v>
      </c>
      <c r="DC228" s="0" t="s">
        <v>362</v>
      </c>
      <c r="DD228" s="0" t="s">
        <v>3572</v>
      </c>
      <c r="DE228" s="0" t="s">
        <v>4658</v>
      </c>
    </row>
    <row customHeight="1" ht="11.25">
      <c r="A229" s="1353" t="s">
        <v>228</v>
      </c>
      <c r="B229" s="0" t="s">
        <v>228</v>
      </c>
      <c r="C229" s="0" t="s">
        <v>228</v>
      </c>
      <c r="D229" s="0" t="s">
        <v>228</v>
      </c>
      <c r="E229" s="0" t="s">
        <v>228</v>
      </c>
      <c r="F229" s="0" t="s">
        <v>228</v>
      </c>
      <c r="G229" s="0" t="s">
        <v>228</v>
      </c>
      <c r="H229" s="0" t="s">
        <v>228</v>
      </c>
      <c r="I229" s="0" t="s">
        <v>3555</v>
      </c>
      <c r="J229" s="0" t="s">
        <v>228</v>
      </c>
      <c r="K229" s="0" t="s">
        <v>228</v>
      </c>
      <c r="L229" s="0" t="s">
        <v>228</v>
      </c>
      <c r="M229" s="0" t="s">
        <v>228</v>
      </c>
      <c r="N229" s="0" t="s">
        <v>228</v>
      </c>
      <c r="O229" s="0" t="s">
        <v>228</v>
      </c>
      <c r="P229" s="0" t="s">
        <v>228</v>
      </c>
      <c r="Q229" s="0" t="s">
        <v>228</v>
      </c>
      <c r="R229" s="0" t="s">
        <v>4659</v>
      </c>
      <c r="S229" s="0" t="s">
        <v>228</v>
      </c>
      <c r="T229" s="0" t="s">
        <v>228</v>
      </c>
      <c r="U229" s="0" t="s">
        <v>101</v>
      </c>
      <c r="V229" s="0" t="s">
        <v>228</v>
      </c>
      <c r="W229" s="0" t="s">
        <v>228</v>
      </c>
      <c r="X229" s="0" t="s">
        <v>3661</v>
      </c>
      <c r="Y229" s="0" t="s">
        <v>228</v>
      </c>
      <c r="Z229" s="0" t="s">
        <v>151</v>
      </c>
      <c r="AA229" s="0" t="s">
        <v>151</v>
      </c>
      <c r="AB229" s="0" t="s">
        <v>160</v>
      </c>
      <c r="AC229" s="0" t="s">
        <v>2317</v>
      </c>
      <c r="AD229" s="0" t="s">
        <v>2317</v>
      </c>
      <c r="AE229" s="0" t="s">
        <v>2318</v>
      </c>
      <c r="AF229" s="0" t="s">
        <v>4401</v>
      </c>
      <c r="AG229" s="0" t="s">
        <v>4402</v>
      </c>
      <c r="AH229" s="0" t="s">
        <v>3651</v>
      </c>
      <c r="AI229" s="0" t="s">
        <v>3651</v>
      </c>
      <c r="AJ229" s="0" t="s">
        <v>228</v>
      </c>
      <c r="AK229" s="0" t="s">
        <v>228</v>
      </c>
      <c r="AL229" s="0" t="s">
        <v>228</v>
      </c>
      <c r="AM229" s="0" t="s">
        <v>228</v>
      </c>
      <c r="AN229" s="0" t="s">
        <v>228</v>
      </c>
      <c r="AO229" s="0" t="s">
        <v>228</v>
      </c>
      <c r="AP229" s="0" t="s">
        <v>228</v>
      </c>
      <c r="AQ229" s="0" t="s">
        <v>228</v>
      </c>
      <c r="AR229" s="0" t="s">
        <v>228</v>
      </c>
      <c r="AS229" s="0" t="s">
        <v>228</v>
      </c>
      <c r="AT229" s="0" t="s">
        <v>228</v>
      </c>
      <c r="AU229" s="0" t="s">
        <v>228</v>
      </c>
      <c r="AV229" s="0" t="s">
        <v>228</v>
      </c>
      <c r="AW229" s="0" t="s">
        <v>228</v>
      </c>
      <c r="AX229" s="0" t="s">
        <v>228</v>
      </c>
      <c r="AY229" s="0" t="s">
        <v>228</v>
      </c>
      <c r="AZ229" s="0" t="s">
        <v>228</v>
      </c>
      <c r="BA229" s="0" t="s">
        <v>228</v>
      </c>
      <c r="BB229" s="0" t="s">
        <v>228</v>
      </c>
      <c r="BC229" s="0" t="s">
        <v>228</v>
      </c>
      <c r="BD229" s="0" t="s">
        <v>228</v>
      </c>
      <c r="BE229" s="0" t="s">
        <v>3579</v>
      </c>
      <c r="BF229" s="0" t="s">
        <v>3619</v>
      </c>
      <c r="BG229" s="0" t="s">
        <v>111</v>
      </c>
      <c r="BH229" s="0" t="s">
        <v>3665</v>
      </c>
      <c r="BI229" s="0" t="s">
        <v>122</v>
      </c>
      <c r="BJ229" s="0" t="s">
        <v>228</v>
      </c>
      <c r="BK229" s="0" t="s">
        <v>3684</v>
      </c>
      <c r="BL229" s="0" t="s">
        <v>2317</v>
      </c>
      <c r="BM229" s="0" t="s">
        <v>2317</v>
      </c>
      <c r="BN229" s="0" t="s">
        <v>3740</v>
      </c>
      <c r="BO229" s="0" t="s">
        <v>4401</v>
      </c>
      <c r="BP229" s="0" t="s">
        <v>4660</v>
      </c>
      <c r="BQ229" s="0" t="s">
        <v>3651</v>
      </c>
      <c r="BR229" s="0" t="s">
        <v>3651</v>
      </c>
      <c r="BS229" s="0" t="s">
        <v>228</v>
      </c>
      <c r="BT229" s="0" t="s">
        <v>3727</v>
      </c>
      <c r="BU229" s="0" t="s">
        <v>4661</v>
      </c>
      <c r="BV229" s="0" t="s">
        <v>4661</v>
      </c>
      <c r="BW229" s="0" t="s">
        <v>3674</v>
      </c>
      <c r="BX229" s="0" t="s">
        <v>3674</v>
      </c>
      <c r="BY229" s="0" t="s">
        <v>3674</v>
      </c>
      <c r="BZ229" s="0" t="s">
        <v>3674</v>
      </c>
      <c r="CA229" s="0" t="s">
        <v>3674</v>
      </c>
      <c r="CB229" s="0" t="s">
        <v>228</v>
      </c>
      <c r="CC229" s="0" t="s">
        <v>228</v>
      </c>
      <c r="CD229" s="0" t="s">
        <v>228</v>
      </c>
      <c r="CE229" s="0" t="s">
        <v>228</v>
      </c>
      <c r="CF229" s="0" t="s">
        <v>228</v>
      </c>
      <c r="CG229" s="0" t="s">
        <v>3674</v>
      </c>
      <c r="CH229" s="0" t="s">
        <v>228</v>
      </c>
      <c r="CI229" s="0" t="s">
        <v>228</v>
      </c>
      <c r="CJ229" s="0" t="s">
        <v>228</v>
      </c>
      <c r="CK229" s="0" t="s">
        <v>228</v>
      </c>
      <c r="CL229" s="0" t="s">
        <v>228</v>
      </c>
      <c r="CM229" s="0" t="s">
        <v>4661</v>
      </c>
      <c r="CN229" s="0" t="s">
        <v>4661</v>
      </c>
      <c r="CO229" s="0" t="s">
        <v>228</v>
      </c>
      <c r="CP229" s="0" t="s">
        <v>228</v>
      </c>
      <c r="CQ229" s="0" t="s">
        <v>228</v>
      </c>
      <c r="CR229" s="0" t="s">
        <v>228</v>
      </c>
      <c r="CS229" s="0" t="s">
        <v>3743</v>
      </c>
      <c r="CT229" s="0" t="s">
        <v>3568</v>
      </c>
      <c r="CU229" s="0" t="s">
        <v>3569</v>
      </c>
      <c r="CV229" s="0" t="s">
        <v>418</v>
      </c>
      <c r="CW229" s="0" t="s">
        <v>3622</v>
      </c>
      <c r="CX229" s="0" t="s">
        <v>419</v>
      </c>
      <c r="CY229" s="0" t="s">
        <v>418</v>
      </c>
      <c r="CZ229" s="0" t="s">
        <v>3623</v>
      </c>
      <c r="DA229" s="0" t="s">
        <v>3624</v>
      </c>
      <c r="DB229" s="0" t="s">
        <v>3622</v>
      </c>
      <c r="DC229" s="0" t="s">
        <v>362</v>
      </c>
      <c r="DD229" s="0" t="s">
        <v>3572</v>
      </c>
      <c r="DE229" s="0" t="s">
        <v>4662</v>
      </c>
    </row>
    <row customHeight="1" ht="11.25">
      <c r="A230" s="1353" t="s">
        <v>228</v>
      </c>
      <c r="B230" s="0" t="s">
        <v>228</v>
      </c>
      <c r="C230" s="0" t="s">
        <v>228</v>
      </c>
      <c r="D230" s="0" t="s">
        <v>228</v>
      </c>
      <c r="E230" s="0" t="s">
        <v>228</v>
      </c>
      <c r="F230" s="0" t="s">
        <v>228</v>
      </c>
      <c r="G230" s="0" t="s">
        <v>228</v>
      </c>
      <c r="H230" s="0" t="s">
        <v>228</v>
      </c>
      <c r="I230" s="0" t="s">
        <v>3555</v>
      </c>
      <c r="J230" s="0" t="s">
        <v>228</v>
      </c>
      <c r="K230" s="0" t="s">
        <v>228</v>
      </c>
      <c r="L230" s="0" t="s">
        <v>228</v>
      </c>
      <c r="M230" s="0" t="s">
        <v>228</v>
      </c>
      <c r="N230" s="0" t="s">
        <v>228</v>
      </c>
      <c r="O230" s="0" t="s">
        <v>228</v>
      </c>
      <c r="P230" s="0" t="s">
        <v>228</v>
      </c>
      <c r="Q230" s="0" t="s">
        <v>228</v>
      </c>
      <c r="R230" s="0" t="s">
        <v>3648</v>
      </c>
      <c r="S230" s="0" t="s">
        <v>228</v>
      </c>
      <c r="T230" s="0" t="s">
        <v>228</v>
      </c>
      <c r="U230" s="0" t="s">
        <v>101</v>
      </c>
      <c r="V230" s="0" t="s">
        <v>228</v>
      </c>
      <c r="W230" s="0" t="s">
        <v>228</v>
      </c>
      <c r="X230" s="0" t="s">
        <v>3557</v>
      </c>
      <c r="Y230" s="0" t="s">
        <v>228</v>
      </c>
      <c r="Z230" s="0" t="s">
        <v>160</v>
      </c>
      <c r="AA230" s="0" t="s">
        <v>151</v>
      </c>
      <c r="AB230" s="0" t="s">
        <v>151</v>
      </c>
      <c r="AC230" s="0" t="s">
        <v>2317</v>
      </c>
      <c r="AD230" s="0" t="s">
        <v>2317</v>
      </c>
      <c r="AE230" s="0" t="s">
        <v>2318</v>
      </c>
      <c r="AF230" s="0" t="s">
        <v>4663</v>
      </c>
      <c r="AG230" s="0" t="s">
        <v>4664</v>
      </c>
      <c r="AH230" s="0" t="s">
        <v>3832</v>
      </c>
      <c r="AI230" s="0" t="s">
        <v>4665</v>
      </c>
      <c r="AJ230" s="0" t="s">
        <v>3652</v>
      </c>
      <c r="AK230" s="0" t="s">
        <v>3619</v>
      </c>
      <c r="AL230" s="0" t="s">
        <v>3581</v>
      </c>
      <c r="AM230" s="0" t="s">
        <v>3565</v>
      </c>
      <c r="AN230" s="0" t="s">
        <v>3628</v>
      </c>
      <c r="AO230" s="0" t="s">
        <v>3829</v>
      </c>
      <c r="AP230" s="0" t="s">
        <v>228</v>
      </c>
      <c r="AQ230" s="0" t="s">
        <v>228</v>
      </c>
      <c r="AR230" s="0" t="s">
        <v>228</v>
      </c>
      <c r="AS230" s="0" t="s">
        <v>228</v>
      </c>
      <c r="AT230" s="0" t="s">
        <v>228</v>
      </c>
      <c r="AU230" s="0" t="s">
        <v>228</v>
      </c>
      <c r="AV230" s="0" t="s">
        <v>228</v>
      </c>
      <c r="AW230" s="0" t="s">
        <v>228</v>
      </c>
      <c r="AX230" s="0" t="s">
        <v>228</v>
      </c>
      <c r="AY230" s="0" t="s">
        <v>228</v>
      </c>
      <c r="AZ230" s="0" t="s">
        <v>228</v>
      </c>
      <c r="BA230" s="0" t="s">
        <v>228</v>
      </c>
      <c r="BB230" s="0" t="s">
        <v>228</v>
      </c>
      <c r="BC230" s="0" t="s">
        <v>228</v>
      </c>
      <c r="BD230" s="0" t="s">
        <v>228</v>
      </c>
      <c r="BE230" s="0" t="s">
        <v>228</v>
      </c>
      <c r="BF230" s="0" t="s">
        <v>228</v>
      </c>
      <c r="BG230" s="0" t="s">
        <v>228</v>
      </c>
      <c r="BH230" s="0" t="s">
        <v>228</v>
      </c>
      <c r="BI230" s="0" t="s">
        <v>228</v>
      </c>
      <c r="BJ230" s="0" t="s">
        <v>228</v>
      </c>
      <c r="BK230" s="0" t="s">
        <v>228</v>
      </c>
      <c r="BL230" s="0" t="s">
        <v>228</v>
      </c>
      <c r="BM230" s="0" t="s">
        <v>228</v>
      </c>
      <c r="BN230" s="0" t="s">
        <v>228</v>
      </c>
      <c r="BO230" s="0" t="s">
        <v>228</v>
      </c>
      <c r="BP230" s="0" t="s">
        <v>228</v>
      </c>
      <c r="BQ230" s="0" t="s">
        <v>228</v>
      </c>
      <c r="BR230" s="0" t="s">
        <v>228</v>
      </c>
      <c r="BS230" s="0" t="s">
        <v>228</v>
      </c>
      <c r="BT230" s="0" t="s">
        <v>228</v>
      </c>
      <c r="BU230" s="0" t="s">
        <v>228</v>
      </c>
      <c r="BV230" s="0" t="s">
        <v>228</v>
      </c>
      <c r="BW230" s="0" t="s">
        <v>228</v>
      </c>
      <c r="BX230" s="0" t="s">
        <v>228</v>
      </c>
      <c r="BY230" s="0" t="s">
        <v>228</v>
      </c>
      <c r="BZ230" s="0" t="s">
        <v>228</v>
      </c>
      <c r="CA230" s="0" t="s">
        <v>228</v>
      </c>
      <c r="CB230" s="0" t="s">
        <v>228</v>
      </c>
      <c r="CC230" s="0" t="s">
        <v>228</v>
      </c>
      <c r="CD230" s="0" t="s">
        <v>228</v>
      </c>
      <c r="CE230" s="0" t="s">
        <v>228</v>
      </c>
      <c r="CF230" s="0" t="s">
        <v>228</v>
      </c>
      <c r="CG230" s="0" t="s">
        <v>228</v>
      </c>
      <c r="CH230" s="0" t="s">
        <v>228</v>
      </c>
      <c r="CI230" s="0" t="s">
        <v>228</v>
      </c>
      <c r="CJ230" s="0" t="s">
        <v>228</v>
      </c>
      <c r="CK230" s="0" t="s">
        <v>228</v>
      </c>
      <c r="CL230" s="0" t="s">
        <v>228</v>
      </c>
      <c r="CM230" s="0" t="s">
        <v>228</v>
      </c>
      <c r="CN230" s="0" t="s">
        <v>228</v>
      </c>
      <c r="CO230" s="0" t="s">
        <v>228</v>
      </c>
      <c r="CP230" s="0" t="s">
        <v>228</v>
      </c>
      <c r="CQ230" s="0" t="s">
        <v>228</v>
      </c>
      <c r="CR230" s="0" t="s">
        <v>228</v>
      </c>
      <c r="CS230" s="0" t="s">
        <v>228</v>
      </c>
      <c r="CT230" s="0" t="s">
        <v>3568</v>
      </c>
      <c r="CU230" s="0" t="s">
        <v>3569</v>
      </c>
      <c r="CV230" s="0" t="s">
        <v>418</v>
      </c>
      <c r="CW230" s="0" t="s">
        <v>3622</v>
      </c>
      <c r="CX230" s="0" t="s">
        <v>419</v>
      </c>
      <c r="CY230" s="0" t="s">
        <v>418</v>
      </c>
      <c r="CZ230" s="0" t="s">
        <v>3623</v>
      </c>
      <c r="DA230" s="0" t="s">
        <v>3624</v>
      </c>
      <c r="DB230" s="0" t="s">
        <v>3622</v>
      </c>
      <c r="DC230" s="0" t="s">
        <v>362</v>
      </c>
      <c r="DD230" s="0" t="s">
        <v>3572</v>
      </c>
      <c r="DE230" s="0" t="s">
        <v>4666</v>
      </c>
    </row>
    <row customHeight="1" ht="11.25">
      <c r="A231" s="1353" t="s">
        <v>228</v>
      </c>
      <c r="B231" s="0" t="s">
        <v>228</v>
      </c>
      <c r="C231" s="0" t="s">
        <v>228</v>
      </c>
      <c r="D231" s="0" t="s">
        <v>228</v>
      </c>
      <c r="E231" s="0" t="s">
        <v>228</v>
      </c>
      <c r="F231" s="0" t="s">
        <v>228</v>
      </c>
      <c r="G231" s="0" t="s">
        <v>228</v>
      </c>
      <c r="H231" s="0" t="s">
        <v>228</v>
      </c>
      <c r="I231" s="0" t="s">
        <v>3555</v>
      </c>
      <c r="J231" s="0" t="s">
        <v>228</v>
      </c>
      <c r="K231" s="0" t="s">
        <v>228</v>
      </c>
      <c r="L231" s="0" t="s">
        <v>228</v>
      </c>
      <c r="M231" s="0" t="s">
        <v>228</v>
      </c>
      <c r="N231" s="0" t="s">
        <v>228</v>
      </c>
      <c r="O231" s="0" t="s">
        <v>228</v>
      </c>
      <c r="P231" s="0" t="s">
        <v>228</v>
      </c>
      <c r="Q231" s="0" t="s">
        <v>228</v>
      </c>
      <c r="R231" s="0" t="s">
        <v>4667</v>
      </c>
      <c r="S231" s="0" t="s">
        <v>228</v>
      </c>
      <c r="T231" s="0" t="s">
        <v>228</v>
      </c>
      <c r="U231" s="0" t="s">
        <v>101</v>
      </c>
      <c r="V231" s="0" t="s">
        <v>228</v>
      </c>
      <c r="W231" s="0" t="s">
        <v>228</v>
      </c>
      <c r="X231" s="0" t="s">
        <v>3661</v>
      </c>
      <c r="Y231" s="0" t="s">
        <v>228</v>
      </c>
      <c r="Z231" s="0" t="s">
        <v>151</v>
      </c>
      <c r="AA231" s="0" t="s">
        <v>151</v>
      </c>
      <c r="AB231" s="0" t="s">
        <v>160</v>
      </c>
      <c r="AC231" s="0" t="s">
        <v>2317</v>
      </c>
      <c r="AD231" s="0" t="s">
        <v>2317</v>
      </c>
      <c r="AE231" s="0" t="s">
        <v>2318</v>
      </c>
      <c r="AF231" s="0" t="s">
        <v>4663</v>
      </c>
      <c r="AG231" s="0" t="s">
        <v>4664</v>
      </c>
      <c r="AH231" s="0" t="s">
        <v>3651</v>
      </c>
      <c r="AI231" s="0" t="s">
        <v>3651</v>
      </c>
      <c r="AJ231" s="0" t="s">
        <v>228</v>
      </c>
      <c r="AK231" s="0" t="s">
        <v>228</v>
      </c>
      <c r="AL231" s="0" t="s">
        <v>228</v>
      </c>
      <c r="AM231" s="0" t="s">
        <v>228</v>
      </c>
      <c r="AN231" s="0" t="s">
        <v>228</v>
      </c>
      <c r="AO231" s="0" t="s">
        <v>228</v>
      </c>
      <c r="AP231" s="0" t="s">
        <v>228</v>
      </c>
      <c r="AQ231" s="0" t="s">
        <v>228</v>
      </c>
      <c r="AR231" s="0" t="s">
        <v>228</v>
      </c>
      <c r="AS231" s="0" t="s">
        <v>228</v>
      </c>
      <c r="AT231" s="0" t="s">
        <v>228</v>
      </c>
      <c r="AU231" s="0" t="s">
        <v>228</v>
      </c>
      <c r="AV231" s="0" t="s">
        <v>228</v>
      </c>
      <c r="AW231" s="0" t="s">
        <v>228</v>
      </c>
      <c r="AX231" s="0" t="s">
        <v>228</v>
      </c>
      <c r="AY231" s="0" t="s">
        <v>228</v>
      </c>
      <c r="AZ231" s="0" t="s">
        <v>228</v>
      </c>
      <c r="BA231" s="0" t="s">
        <v>228</v>
      </c>
      <c r="BB231" s="0" t="s">
        <v>228</v>
      </c>
      <c r="BC231" s="0" t="s">
        <v>228</v>
      </c>
      <c r="BD231" s="0" t="s">
        <v>228</v>
      </c>
      <c r="BE231" s="0" t="s">
        <v>3652</v>
      </c>
      <c r="BF231" s="0" t="s">
        <v>3619</v>
      </c>
      <c r="BG231" s="0" t="s">
        <v>111</v>
      </c>
      <c r="BH231" s="0" t="s">
        <v>3665</v>
      </c>
      <c r="BI231" s="0" t="s">
        <v>122</v>
      </c>
      <c r="BJ231" s="0" t="s">
        <v>228</v>
      </c>
      <c r="BK231" s="0" t="s">
        <v>3684</v>
      </c>
      <c r="BL231" s="0" t="s">
        <v>2317</v>
      </c>
      <c r="BM231" s="0" t="s">
        <v>2317</v>
      </c>
      <c r="BN231" s="0" t="s">
        <v>3740</v>
      </c>
      <c r="BO231" s="0" t="s">
        <v>4663</v>
      </c>
      <c r="BP231" s="0" t="s">
        <v>4668</v>
      </c>
      <c r="BQ231" s="0" t="s">
        <v>3651</v>
      </c>
      <c r="BR231" s="0" t="s">
        <v>3651</v>
      </c>
      <c r="BS231" s="0" t="s">
        <v>228</v>
      </c>
      <c r="BT231" s="0" t="s">
        <v>3727</v>
      </c>
      <c r="BU231" s="0" t="s">
        <v>4669</v>
      </c>
      <c r="BV231" s="0" t="s">
        <v>4669</v>
      </c>
      <c r="BW231" s="0" t="s">
        <v>3674</v>
      </c>
      <c r="BX231" s="0" t="s">
        <v>3674</v>
      </c>
      <c r="BY231" s="0" t="s">
        <v>3674</v>
      </c>
      <c r="BZ231" s="0" t="s">
        <v>3674</v>
      </c>
      <c r="CA231" s="0" t="s">
        <v>3674</v>
      </c>
      <c r="CB231" s="0" t="s">
        <v>228</v>
      </c>
      <c r="CC231" s="0" t="s">
        <v>228</v>
      </c>
      <c r="CD231" s="0" t="s">
        <v>228</v>
      </c>
      <c r="CE231" s="0" t="s">
        <v>228</v>
      </c>
      <c r="CF231" s="0" t="s">
        <v>228</v>
      </c>
      <c r="CG231" s="0" t="s">
        <v>3674</v>
      </c>
      <c r="CH231" s="0" t="s">
        <v>228</v>
      </c>
      <c r="CI231" s="0" t="s">
        <v>228</v>
      </c>
      <c r="CJ231" s="0" t="s">
        <v>228</v>
      </c>
      <c r="CK231" s="0" t="s">
        <v>228</v>
      </c>
      <c r="CL231" s="0" t="s">
        <v>228</v>
      </c>
      <c r="CM231" s="0" t="s">
        <v>4669</v>
      </c>
      <c r="CN231" s="0" t="s">
        <v>4669</v>
      </c>
      <c r="CO231" s="0" t="s">
        <v>228</v>
      </c>
      <c r="CP231" s="0" t="s">
        <v>228</v>
      </c>
      <c r="CQ231" s="0" t="s">
        <v>228</v>
      </c>
      <c r="CR231" s="0" t="s">
        <v>228</v>
      </c>
      <c r="CS231" s="0" t="s">
        <v>3743</v>
      </c>
      <c r="CT231" s="0" t="s">
        <v>3568</v>
      </c>
      <c r="CU231" s="0" t="s">
        <v>3569</v>
      </c>
      <c r="CV231" s="0" t="s">
        <v>418</v>
      </c>
      <c r="CW231" s="0" t="s">
        <v>3622</v>
      </c>
      <c r="CX231" s="0" t="s">
        <v>419</v>
      </c>
      <c r="CY231" s="0" t="s">
        <v>418</v>
      </c>
      <c r="CZ231" s="0" t="s">
        <v>3623</v>
      </c>
      <c r="DA231" s="0" t="s">
        <v>3624</v>
      </c>
      <c r="DB231" s="0" t="s">
        <v>3622</v>
      </c>
      <c r="DC231" s="0" t="s">
        <v>362</v>
      </c>
      <c r="DD231" s="0" t="s">
        <v>3572</v>
      </c>
      <c r="DE231" s="0" t="s">
        <v>4670</v>
      </c>
    </row>
    <row customHeight="1" ht="11.25">
      <c r="A232" s="1353" t="s">
        <v>228</v>
      </c>
      <c r="B232" s="0" t="s">
        <v>228</v>
      </c>
      <c r="C232" s="0" t="s">
        <v>228</v>
      </c>
      <c r="D232" s="0" t="s">
        <v>228</v>
      </c>
      <c r="E232" s="0" t="s">
        <v>228</v>
      </c>
      <c r="F232" s="0" t="s">
        <v>228</v>
      </c>
      <c r="G232" s="0" t="s">
        <v>228</v>
      </c>
      <c r="H232" s="0" t="s">
        <v>228</v>
      </c>
      <c r="I232" s="0" t="s">
        <v>3555</v>
      </c>
      <c r="J232" s="0" t="s">
        <v>228</v>
      </c>
      <c r="K232" s="0" t="s">
        <v>228</v>
      </c>
      <c r="L232" s="0" t="s">
        <v>228</v>
      </c>
      <c r="M232" s="0" t="s">
        <v>228</v>
      </c>
      <c r="N232" s="0" t="s">
        <v>228</v>
      </c>
      <c r="O232" s="0" t="s">
        <v>228</v>
      </c>
      <c r="P232" s="0" t="s">
        <v>228</v>
      </c>
      <c r="Q232" s="0" t="s">
        <v>228</v>
      </c>
      <c r="R232" s="0" t="s">
        <v>3648</v>
      </c>
      <c r="S232" s="0" t="s">
        <v>228</v>
      </c>
      <c r="T232" s="0" t="s">
        <v>228</v>
      </c>
      <c r="U232" s="0" t="s">
        <v>101</v>
      </c>
      <c r="V232" s="0" t="s">
        <v>228</v>
      </c>
      <c r="W232" s="0" t="s">
        <v>228</v>
      </c>
      <c r="X232" s="0" t="s">
        <v>3557</v>
      </c>
      <c r="Y232" s="0" t="s">
        <v>228</v>
      </c>
      <c r="Z232" s="0" t="s">
        <v>160</v>
      </c>
      <c r="AA232" s="0" t="s">
        <v>151</v>
      </c>
      <c r="AB232" s="0" t="s">
        <v>151</v>
      </c>
      <c r="AC232" s="0" t="s">
        <v>2317</v>
      </c>
      <c r="AD232" s="0" t="s">
        <v>2317</v>
      </c>
      <c r="AE232" s="0" t="s">
        <v>2318</v>
      </c>
      <c r="AF232" s="0" t="s">
        <v>3963</v>
      </c>
      <c r="AG232" s="0" t="s">
        <v>3964</v>
      </c>
      <c r="AH232" s="0" t="s">
        <v>4472</v>
      </c>
      <c r="AI232" s="0" t="s">
        <v>4646</v>
      </c>
      <c r="AJ232" s="0" t="s">
        <v>3627</v>
      </c>
      <c r="AK232" s="0" t="s">
        <v>3619</v>
      </c>
      <c r="AL232" s="0" t="s">
        <v>3581</v>
      </c>
      <c r="AM232" s="0" t="s">
        <v>3565</v>
      </c>
      <c r="AN232" s="0" t="s">
        <v>3628</v>
      </c>
      <c r="AO232" s="0" t="s">
        <v>3823</v>
      </c>
      <c r="AP232" s="0" t="s">
        <v>228</v>
      </c>
      <c r="AQ232" s="0" t="s">
        <v>228</v>
      </c>
      <c r="AR232" s="0" t="s">
        <v>228</v>
      </c>
      <c r="AS232" s="0" t="s">
        <v>228</v>
      </c>
      <c r="AT232" s="0" t="s">
        <v>228</v>
      </c>
      <c r="AU232" s="0" t="s">
        <v>228</v>
      </c>
      <c r="AV232" s="0" t="s">
        <v>228</v>
      </c>
      <c r="AW232" s="0" t="s">
        <v>228</v>
      </c>
      <c r="AX232" s="0" t="s">
        <v>228</v>
      </c>
      <c r="AY232" s="0" t="s">
        <v>228</v>
      </c>
      <c r="AZ232" s="0" t="s">
        <v>228</v>
      </c>
      <c r="BA232" s="0" t="s">
        <v>228</v>
      </c>
      <c r="BB232" s="0" t="s">
        <v>228</v>
      </c>
      <c r="BC232" s="0" t="s">
        <v>228</v>
      </c>
      <c r="BD232" s="0" t="s">
        <v>228</v>
      </c>
      <c r="BE232" s="0" t="s">
        <v>228</v>
      </c>
      <c r="BF232" s="0" t="s">
        <v>228</v>
      </c>
      <c r="BG232" s="0" t="s">
        <v>228</v>
      </c>
      <c r="BH232" s="0" t="s">
        <v>228</v>
      </c>
      <c r="BI232" s="0" t="s">
        <v>228</v>
      </c>
      <c r="BJ232" s="0" t="s">
        <v>228</v>
      </c>
      <c r="BK232" s="0" t="s">
        <v>228</v>
      </c>
      <c r="BL232" s="0" t="s">
        <v>228</v>
      </c>
      <c r="BM232" s="0" t="s">
        <v>228</v>
      </c>
      <c r="BN232" s="0" t="s">
        <v>228</v>
      </c>
      <c r="BO232" s="0" t="s">
        <v>228</v>
      </c>
      <c r="BP232" s="0" t="s">
        <v>228</v>
      </c>
      <c r="BQ232" s="0" t="s">
        <v>228</v>
      </c>
      <c r="BR232" s="0" t="s">
        <v>228</v>
      </c>
      <c r="BS232" s="0" t="s">
        <v>228</v>
      </c>
      <c r="BT232" s="0" t="s">
        <v>228</v>
      </c>
      <c r="BU232" s="0" t="s">
        <v>228</v>
      </c>
      <c r="BV232" s="0" t="s">
        <v>228</v>
      </c>
      <c r="BW232" s="0" t="s">
        <v>228</v>
      </c>
      <c r="BX232" s="0" t="s">
        <v>228</v>
      </c>
      <c r="BY232" s="0" t="s">
        <v>228</v>
      </c>
      <c r="BZ232" s="0" t="s">
        <v>228</v>
      </c>
      <c r="CA232" s="0" t="s">
        <v>228</v>
      </c>
      <c r="CB232" s="0" t="s">
        <v>228</v>
      </c>
      <c r="CC232" s="0" t="s">
        <v>228</v>
      </c>
      <c r="CD232" s="0" t="s">
        <v>228</v>
      </c>
      <c r="CE232" s="0" t="s">
        <v>228</v>
      </c>
      <c r="CF232" s="0" t="s">
        <v>228</v>
      </c>
      <c r="CG232" s="0" t="s">
        <v>228</v>
      </c>
      <c r="CH232" s="0" t="s">
        <v>228</v>
      </c>
      <c r="CI232" s="0" t="s">
        <v>228</v>
      </c>
      <c r="CJ232" s="0" t="s">
        <v>228</v>
      </c>
      <c r="CK232" s="0" t="s">
        <v>228</v>
      </c>
      <c r="CL232" s="0" t="s">
        <v>228</v>
      </c>
      <c r="CM232" s="0" t="s">
        <v>228</v>
      </c>
      <c r="CN232" s="0" t="s">
        <v>228</v>
      </c>
      <c r="CO232" s="0" t="s">
        <v>228</v>
      </c>
      <c r="CP232" s="0" t="s">
        <v>228</v>
      </c>
      <c r="CQ232" s="0" t="s">
        <v>228</v>
      </c>
      <c r="CR232" s="0" t="s">
        <v>228</v>
      </c>
      <c r="CS232" s="0" t="s">
        <v>228</v>
      </c>
      <c r="CT232" s="0" t="s">
        <v>3568</v>
      </c>
      <c r="CU232" s="0" t="s">
        <v>3569</v>
      </c>
      <c r="CV232" s="0" t="s">
        <v>418</v>
      </c>
      <c r="CW232" s="0" t="s">
        <v>3622</v>
      </c>
      <c r="CX232" s="0" t="s">
        <v>419</v>
      </c>
      <c r="CY232" s="0" t="s">
        <v>418</v>
      </c>
      <c r="CZ232" s="0" t="s">
        <v>3623</v>
      </c>
      <c r="DA232" s="0" t="s">
        <v>3624</v>
      </c>
      <c r="DB232" s="0" t="s">
        <v>3622</v>
      </c>
      <c r="DC232" s="0" t="s">
        <v>362</v>
      </c>
      <c r="DD232" s="0" t="s">
        <v>3572</v>
      </c>
      <c r="DE232" s="0" t="s">
        <v>4671</v>
      </c>
    </row>
    <row customHeight="1" ht="11.25">
      <c r="A233" s="1353" t="s">
        <v>228</v>
      </c>
      <c r="B233" s="0" t="s">
        <v>228</v>
      </c>
      <c r="C233" s="0" t="s">
        <v>228</v>
      </c>
      <c r="D233" s="0" t="s">
        <v>228</v>
      </c>
      <c r="E233" s="0" t="s">
        <v>228</v>
      </c>
      <c r="F233" s="0" t="s">
        <v>228</v>
      </c>
      <c r="G233" s="0" t="s">
        <v>228</v>
      </c>
      <c r="H233" s="0" t="s">
        <v>228</v>
      </c>
      <c r="I233" s="0" t="s">
        <v>3555</v>
      </c>
      <c r="J233" s="0" t="s">
        <v>228</v>
      </c>
      <c r="K233" s="0" t="s">
        <v>228</v>
      </c>
      <c r="L233" s="0" t="s">
        <v>228</v>
      </c>
      <c r="M233" s="0" t="s">
        <v>228</v>
      </c>
      <c r="N233" s="0" t="s">
        <v>228</v>
      </c>
      <c r="O233" s="0" t="s">
        <v>228</v>
      </c>
      <c r="P233" s="0" t="s">
        <v>228</v>
      </c>
      <c r="Q233" s="0" t="s">
        <v>228</v>
      </c>
      <c r="R233" s="0" t="s">
        <v>4672</v>
      </c>
      <c r="S233" s="0" t="s">
        <v>228</v>
      </c>
      <c r="T233" s="0" t="s">
        <v>228</v>
      </c>
      <c r="U233" s="0" t="s">
        <v>101</v>
      </c>
      <c r="V233" s="0" t="s">
        <v>228</v>
      </c>
      <c r="W233" s="0" t="s">
        <v>228</v>
      </c>
      <c r="X233" s="0" t="s">
        <v>3557</v>
      </c>
      <c r="Y233" s="0" t="s">
        <v>228</v>
      </c>
      <c r="Z233" s="0" t="s">
        <v>160</v>
      </c>
      <c r="AA233" s="0" t="s">
        <v>151</v>
      </c>
      <c r="AB233" s="0" t="s">
        <v>151</v>
      </c>
      <c r="AC233" s="0" t="s">
        <v>2715</v>
      </c>
      <c r="AD233" s="0" t="s">
        <v>2715</v>
      </c>
      <c r="AE233" s="0" t="s">
        <v>2716</v>
      </c>
      <c r="AF233" s="0" t="s">
        <v>3594</v>
      </c>
      <c r="AG233" s="0" t="s">
        <v>3595</v>
      </c>
      <c r="AH233" s="0" t="s">
        <v>4673</v>
      </c>
      <c r="AI233" s="0" t="s">
        <v>4011</v>
      </c>
      <c r="AJ233" s="0" t="s">
        <v>3951</v>
      </c>
      <c r="AK233" s="0" t="s">
        <v>4674</v>
      </c>
      <c r="AL233" s="0" t="s">
        <v>3599</v>
      </c>
      <c r="AM233" s="0" t="s">
        <v>3565</v>
      </c>
      <c r="AN233" s="0" t="s">
        <v>4675</v>
      </c>
      <c r="AO233" s="0" t="s">
        <v>4676</v>
      </c>
      <c r="AP233" s="0" t="s">
        <v>228</v>
      </c>
      <c r="AQ233" s="0" t="s">
        <v>228</v>
      </c>
      <c r="AR233" s="0" t="s">
        <v>228</v>
      </c>
      <c r="AS233" s="0" t="s">
        <v>228</v>
      </c>
      <c r="AT233" s="0" t="s">
        <v>228</v>
      </c>
      <c r="AU233" s="0" t="s">
        <v>228</v>
      </c>
      <c r="AV233" s="0" t="s">
        <v>228</v>
      </c>
      <c r="AW233" s="0" t="s">
        <v>228</v>
      </c>
      <c r="AX233" s="0" t="s">
        <v>228</v>
      </c>
      <c r="AY233" s="0" t="s">
        <v>228</v>
      </c>
      <c r="AZ233" s="0" t="s">
        <v>228</v>
      </c>
      <c r="BA233" s="0" t="s">
        <v>228</v>
      </c>
      <c r="BB233" s="0" t="s">
        <v>228</v>
      </c>
      <c r="BC233" s="0" t="s">
        <v>228</v>
      </c>
      <c r="BD233" s="0" t="s">
        <v>228</v>
      </c>
      <c r="BE233" s="0" t="s">
        <v>228</v>
      </c>
      <c r="BF233" s="0" t="s">
        <v>228</v>
      </c>
      <c r="BG233" s="0" t="s">
        <v>228</v>
      </c>
      <c r="BH233" s="0" t="s">
        <v>228</v>
      </c>
      <c r="BI233" s="0" t="s">
        <v>228</v>
      </c>
      <c r="BJ233" s="0" t="s">
        <v>228</v>
      </c>
      <c r="BK233" s="0" t="s">
        <v>228</v>
      </c>
      <c r="BL233" s="0" t="s">
        <v>228</v>
      </c>
      <c r="BM233" s="0" t="s">
        <v>228</v>
      </c>
      <c r="BN233" s="0" t="s">
        <v>228</v>
      </c>
      <c r="BO233" s="0" t="s">
        <v>228</v>
      </c>
      <c r="BP233" s="0" t="s">
        <v>228</v>
      </c>
      <c r="BQ233" s="0" t="s">
        <v>228</v>
      </c>
      <c r="BR233" s="0" t="s">
        <v>228</v>
      </c>
      <c r="BS233" s="0" t="s">
        <v>228</v>
      </c>
      <c r="BT233" s="0" t="s">
        <v>228</v>
      </c>
      <c r="BU233" s="0" t="s">
        <v>228</v>
      </c>
      <c r="BV233" s="0" t="s">
        <v>228</v>
      </c>
      <c r="BW233" s="0" t="s">
        <v>228</v>
      </c>
      <c r="BX233" s="0" t="s">
        <v>228</v>
      </c>
      <c r="BY233" s="0" t="s">
        <v>228</v>
      </c>
      <c r="BZ233" s="0" t="s">
        <v>228</v>
      </c>
      <c r="CA233" s="0" t="s">
        <v>228</v>
      </c>
      <c r="CB233" s="0" t="s">
        <v>228</v>
      </c>
      <c r="CC233" s="0" t="s">
        <v>228</v>
      </c>
      <c r="CD233" s="0" t="s">
        <v>228</v>
      </c>
      <c r="CE233" s="0" t="s">
        <v>228</v>
      </c>
      <c r="CF233" s="0" t="s">
        <v>228</v>
      </c>
      <c r="CG233" s="0" t="s">
        <v>228</v>
      </c>
      <c r="CH233" s="0" t="s">
        <v>228</v>
      </c>
      <c r="CI233" s="0" t="s">
        <v>228</v>
      </c>
      <c r="CJ233" s="0" t="s">
        <v>228</v>
      </c>
      <c r="CK233" s="0" t="s">
        <v>228</v>
      </c>
      <c r="CL233" s="0" t="s">
        <v>228</v>
      </c>
      <c r="CM233" s="0" t="s">
        <v>228</v>
      </c>
      <c r="CN233" s="0" t="s">
        <v>228</v>
      </c>
      <c r="CO233" s="0" t="s">
        <v>228</v>
      </c>
      <c r="CP233" s="0" t="s">
        <v>228</v>
      </c>
      <c r="CQ233" s="0" t="s">
        <v>228</v>
      </c>
      <c r="CR233" s="0" t="s">
        <v>228</v>
      </c>
      <c r="CS233" s="0" t="s">
        <v>228</v>
      </c>
      <c r="CT233" s="0" t="s">
        <v>3568</v>
      </c>
      <c r="CU233" s="0" t="s">
        <v>3569</v>
      </c>
      <c r="CV233" s="0" t="s">
        <v>418</v>
      </c>
      <c r="CW233" s="0" t="s">
        <v>3602</v>
      </c>
      <c r="CX233" s="0" t="s">
        <v>3603</v>
      </c>
      <c r="CY233" s="0" t="s">
        <v>418</v>
      </c>
      <c r="CZ233" s="0" t="s">
        <v>504</v>
      </c>
      <c r="DA233" s="0" t="s">
        <v>3604</v>
      </c>
      <c r="DB233" s="0" t="s">
        <v>3602</v>
      </c>
      <c r="DC233" s="0" t="s">
        <v>362</v>
      </c>
      <c r="DD233" s="0" t="s">
        <v>3572</v>
      </c>
      <c r="DE233" s="0" t="s">
        <v>4677</v>
      </c>
    </row>
    <row customHeight="1" ht="11.25">
      <c r="A234" s="1353" t="s">
        <v>228</v>
      </c>
      <c r="B234" s="0" t="s">
        <v>228</v>
      </c>
      <c r="C234" s="0" t="s">
        <v>228</v>
      </c>
      <c r="D234" s="0" t="s">
        <v>228</v>
      </c>
      <c r="E234" s="0" t="s">
        <v>228</v>
      </c>
      <c r="F234" s="0" t="s">
        <v>228</v>
      </c>
      <c r="G234" s="0" t="s">
        <v>228</v>
      </c>
      <c r="H234" s="0" t="s">
        <v>228</v>
      </c>
      <c r="I234" s="0" t="s">
        <v>3555</v>
      </c>
      <c r="J234" s="0" t="s">
        <v>228</v>
      </c>
      <c r="K234" s="0" t="s">
        <v>228</v>
      </c>
      <c r="L234" s="0" t="s">
        <v>228</v>
      </c>
      <c r="M234" s="0" t="s">
        <v>228</v>
      </c>
      <c r="N234" s="0" t="s">
        <v>228</v>
      </c>
      <c r="O234" s="0" t="s">
        <v>228</v>
      </c>
      <c r="P234" s="0" t="s">
        <v>228</v>
      </c>
      <c r="Q234" s="0" t="s">
        <v>228</v>
      </c>
      <c r="R234" s="0" t="s">
        <v>4678</v>
      </c>
      <c r="S234" s="0" t="s">
        <v>228</v>
      </c>
      <c r="T234" s="0" t="s">
        <v>228</v>
      </c>
      <c r="U234" s="0" t="s">
        <v>101</v>
      </c>
      <c r="V234" s="0" t="s">
        <v>228</v>
      </c>
      <c r="W234" s="0" t="s">
        <v>228</v>
      </c>
      <c r="X234" s="0" t="s">
        <v>3557</v>
      </c>
      <c r="Y234" s="0" t="s">
        <v>228</v>
      </c>
      <c r="Z234" s="0" t="s">
        <v>160</v>
      </c>
      <c r="AA234" s="0" t="s">
        <v>151</v>
      </c>
      <c r="AB234" s="0" t="s">
        <v>151</v>
      </c>
      <c r="AC234" s="0" t="s">
        <v>2317</v>
      </c>
      <c r="AD234" s="0" t="s">
        <v>2317</v>
      </c>
      <c r="AE234" s="0" t="s">
        <v>2318</v>
      </c>
      <c r="AF234" s="0" t="s">
        <v>3963</v>
      </c>
      <c r="AG234" s="0" t="s">
        <v>3964</v>
      </c>
      <c r="AH234" s="0" t="s">
        <v>4472</v>
      </c>
      <c r="AI234" s="0" t="s">
        <v>3787</v>
      </c>
      <c r="AJ234" s="0" t="s">
        <v>3627</v>
      </c>
      <c r="AK234" s="0" t="s">
        <v>3853</v>
      </c>
      <c r="AL234" s="0" t="s">
        <v>3581</v>
      </c>
      <c r="AM234" s="0" t="s">
        <v>3565</v>
      </c>
      <c r="AN234" s="0" t="s">
        <v>3628</v>
      </c>
      <c r="AO234" s="0" t="s">
        <v>3966</v>
      </c>
      <c r="AP234" s="0" t="s">
        <v>228</v>
      </c>
      <c r="AQ234" s="0" t="s">
        <v>228</v>
      </c>
      <c r="AR234" s="0" t="s">
        <v>228</v>
      </c>
      <c r="AS234" s="0" t="s">
        <v>228</v>
      </c>
      <c r="AT234" s="0" t="s">
        <v>228</v>
      </c>
      <c r="AU234" s="0" t="s">
        <v>228</v>
      </c>
      <c r="AV234" s="0" t="s">
        <v>228</v>
      </c>
      <c r="AW234" s="0" t="s">
        <v>228</v>
      </c>
      <c r="AX234" s="0" t="s">
        <v>228</v>
      </c>
      <c r="AY234" s="0" t="s">
        <v>228</v>
      </c>
      <c r="AZ234" s="0" t="s">
        <v>228</v>
      </c>
      <c r="BA234" s="0" t="s">
        <v>228</v>
      </c>
      <c r="BB234" s="0" t="s">
        <v>228</v>
      </c>
      <c r="BC234" s="0" t="s">
        <v>228</v>
      </c>
      <c r="BD234" s="0" t="s">
        <v>228</v>
      </c>
      <c r="BE234" s="0" t="s">
        <v>228</v>
      </c>
      <c r="BF234" s="0" t="s">
        <v>228</v>
      </c>
      <c r="BG234" s="0" t="s">
        <v>228</v>
      </c>
      <c r="BH234" s="0" t="s">
        <v>228</v>
      </c>
      <c r="BI234" s="0" t="s">
        <v>228</v>
      </c>
      <c r="BJ234" s="0" t="s">
        <v>228</v>
      </c>
      <c r="BK234" s="0" t="s">
        <v>228</v>
      </c>
      <c r="BL234" s="0" t="s">
        <v>228</v>
      </c>
      <c r="BM234" s="0" t="s">
        <v>228</v>
      </c>
      <c r="BN234" s="0" t="s">
        <v>228</v>
      </c>
      <c r="BO234" s="0" t="s">
        <v>228</v>
      </c>
      <c r="BP234" s="0" t="s">
        <v>228</v>
      </c>
      <c r="BQ234" s="0" t="s">
        <v>228</v>
      </c>
      <c r="BR234" s="0" t="s">
        <v>228</v>
      </c>
      <c r="BS234" s="0" t="s">
        <v>228</v>
      </c>
      <c r="BT234" s="0" t="s">
        <v>228</v>
      </c>
      <c r="BU234" s="0" t="s">
        <v>228</v>
      </c>
      <c r="BV234" s="0" t="s">
        <v>228</v>
      </c>
      <c r="BW234" s="0" t="s">
        <v>228</v>
      </c>
      <c r="BX234" s="0" t="s">
        <v>228</v>
      </c>
      <c r="BY234" s="0" t="s">
        <v>228</v>
      </c>
      <c r="BZ234" s="0" t="s">
        <v>228</v>
      </c>
      <c r="CA234" s="0" t="s">
        <v>228</v>
      </c>
      <c r="CB234" s="0" t="s">
        <v>228</v>
      </c>
      <c r="CC234" s="0" t="s">
        <v>228</v>
      </c>
      <c r="CD234" s="0" t="s">
        <v>228</v>
      </c>
      <c r="CE234" s="0" t="s">
        <v>228</v>
      </c>
      <c r="CF234" s="0" t="s">
        <v>228</v>
      </c>
      <c r="CG234" s="0" t="s">
        <v>228</v>
      </c>
      <c r="CH234" s="0" t="s">
        <v>228</v>
      </c>
      <c r="CI234" s="0" t="s">
        <v>228</v>
      </c>
      <c r="CJ234" s="0" t="s">
        <v>228</v>
      </c>
      <c r="CK234" s="0" t="s">
        <v>228</v>
      </c>
      <c r="CL234" s="0" t="s">
        <v>228</v>
      </c>
      <c r="CM234" s="0" t="s">
        <v>228</v>
      </c>
      <c r="CN234" s="0" t="s">
        <v>228</v>
      </c>
      <c r="CO234" s="0" t="s">
        <v>228</v>
      </c>
      <c r="CP234" s="0" t="s">
        <v>228</v>
      </c>
      <c r="CQ234" s="0" t="s">
        <v>228</v>
      </c>
      <c r="CR234" s="0" t="s">
        <v>228</v>
      </c>
      <c r="CS234" s="0" t="s">
        <v>228</v>
      </c>
      <c r="CT234" s="0" t="s">
        <v>3568</v>
      </c>
      <c r="CU234" s="0" t="s">
        <v>3569</v>
      </c>
      <c r="CV234" s="0" t="s">
        <v>418</v>
      </c>
      <c r="CW234" s="0" t="s">
        <v>3622</v>
      </c>
      <c r="CX234" s="0" t="s">
        <v>419</v>
      </c>
      <c r="CY234" s="0" t="s">
        <v>418</v>
      </c>
      <c r="CZ234" s="0" t="s">
        <v>3623</v>
      </c>
      <c r="DA234" s="0" t="s">
        <v>3624</v>
      </c>
      <c r="DB234" s="0" t="s">
        <v>3622</v>
      </c>
      <c r="DC234" s="0" t="s">
        <v>362</v>
      </c>
      <c r="DD234" s="0" t="s">
        <v>3572</v>
      </c>
      <c r="DE234" s="0" t="s">
        <v>4679</v>
      </c>
    </row>
    <row customHeight="1" ht="11.25">
      <c r="A235" s="1353" t="s">
        <v>228</v>
      </c>
      <c r="B235" s="0" t="s">
        <v>228</v>
      </c>
      <c r="C235" s="0" t="s">
        <v>228</v>
      </c>
      <c r="D235" s="0" t="s">
        <v>228</v>
      </c>
      <c r="E235" s="0" t="s">
        <v>228</v>
      </c>
      <c r="F235" s="0" t="s">
        <v>228</v>
      </c>
      <c r="G235" s="0" t="s">
        <v>228</v>
      </c>
      <c r="H235" s="0" t="s">
        <v>228</v>
      </c>
      <c r="I235" s="0" t="s">
        <v>3555</v>
      </c>
      <c r="J235" s="0" t="s">
        <v>228</v>
      </c>
      <c r="K235" s="0" t="s">
        <v>228</v>
      </c>
      <c r="L235" s="0" t="s">
        <v>228</v>
      </c>
      <c r="M235" s="0" t="s">
        <v>228</v>
      </c>
      <c r="N235" s="0" t="s">
        <v>228</v>
      </c>
      <c r="O235" s="0" t="s">
        <v>228</v>
      </c>
      <c r="P235" s="0" t="s">
        <v>228</v>
      </c>
      <c r="Q235" s="0" t="s">
        <v>228</v>
      </c>
      <c r="R235" s="0" t="s">
        <v>3648</v>
      </c>
      <c r="S235" s="0" t="s">
        <v>228</v>
      </c>
      <c r="T235" s="0" t="s">
        <v>228</v>
      </c>
      <c r="U235" s="0" t="s">
        <v>101</v>
      </c>
      <c r="V235" s="0" t="s">
        <v>228</v>
      </c>
      <c r="W235" s="0" t="s">
        <v>228</v>
      </c>
      <c r="X235" s="0" t="s">
        <v>3557</v>
      </c>
      <c r="Y235" s="0" t="s">
        <v>228</v>
      </c>
      <c r="Z235" s="0" t="s">
        <v>160</v>
      </c>
      <c r="AA235" s="0" t="s">
        <v>151</v>
      </c>
      <c r="AB235" s="0" t="s">
        <v>151</v>
      </c>
      <c r="AC235" s="0" t="s">
        <v>2317</v>
      </c>
      <c r="AD235" s="0" t="s">
        <v>2317</v>
      </c>
      <c r="AE235" s="0" t="s">
        <v>2318</v>
      </c>
      <c r="AF235" s="0" t="s">
        <v>3826</v>
      </c>
      <c r="AG235" s="0" t="s">
        <v>3827</v>
      </c>
      <c r="AH235" s="0" t="s">
        <v>4680</v>
      </c>
      <c r="AI235" s="0" t="s">
        <v>4681</v>
      </c>
      <c r="AJ235" s="0" t="s">
        <v>3579</v>
      </c>
      <c r="AK235" s="0" t="s">
        <v>3808</v>
      </c>
      <c r="AL235" s="0" t="s">
        <v>3581</v>
      </c>
      <c r="AM235" s="0" t="s">
        <v>3565</v>
      </c>
      <c r="AN235" s="0" t="s">
        <v>3628</v>
      </c>
      <c r="AO235" s="0" t="s">
        <v>3823</v>
      </c>
      <c r="AP235" s="0" t="s">
        <v>228</v>
      </c>
      <c r="AQ235" s="0" t="s">
        <v>228</v>
      </c>
      <c r="AR235" s="0" t="s">
        <v>228</v>
      </c>
      <c r="AS235" s="0" t="s">
        <v>228</v>
      </c>
      <c r="AT235" s="0" t="s">
        <v>228</v>
      </c>
      <c r="AU235" s="0" t="s">
        <v>228</v>
      </c>
      <c r="AV235" s="0" t="s">
        <v>228</v>
      </c>
      <c r="AW235" s="0" t="s">
        <v>228</v>
      </c>
      <c r="AX235" s="0" t="s">
        <v>228</v>
      </c>
      <c r="AY235" s="0" t="s">
        <v>228</v>
      </c>
      <c r="AZ235" s="0" t="s">
        <v>228</v>
      </c>
      <c r="BA235" s="0" t="s">
        <v>228</v>
      </c>
      <c r="BB235" s="0" t="s">
        <v>228</v>
      </c>
      <c r="BC235" s="0" t="s">
        <v>228</v>
      </c>
      <c r="BD235" s="0" t="s">
        <v>228</v>
      </c>
      <c r="BE235" s="0" t="s">
        <v>228</v>
      </c>
      <c r="BF235" s="0" t="s">
        <v>228</v>
      </c>
      <c r="BG235" s="0" t="s">
        <v>228</v>
      </c>
      <c r="BH235" s="0" t="s">
        <v>228</v>
      </c>
      <c r="BI235" s="0" t="s">
        <v>228</v>
      </c>
      <c r="BJ235" s="0" t="s">
        <v>228</v>
      </c>
      <c r="BK235" s="0" t="s">
        <v>228</v>
      </c>
      <c r="BL235" s="0" t="s">
        <v>228</v>
      </c>
      <c r="BM235" s="0" t="s">
        <v>228</v>
      </c>
      <c r="BN235" s="0" t="s">
        <v>228</v>
      </c>
      <c r="BO235" s="0" t="s">
        <v>228</v>
      </c>
      <c r="BP235" s="0" t="s">
        <v>228</v>
      </c>
      <c r="BQ235" s="0" t="s">
        <v>228</v>
      </c>
      <c r="BR235" s="0" t="s">
        <v>228</v>
      </c>
      <c r="BS235" s="0" t="s">
        <v>228</v>
      </c>
      <c r="BT235" s="0" t="s">
        <v>228</v>
      </c>
      <c r="BU235" s="0" t="s">
        <v>228</v>
      </c>
      <c r="BV235" s="0" t="s">
        <v>228</v>
      </c>
      <c r="BW235" s="0" t="s">
        <v>228</v>
      </c>
      <c r="BX235" s="0" t="s">
        <v>228</v>
      </c>
      <c r="BY235" s="0" t="s">
        <v>228</v>
      </c>
      <c r="BZ235" s="0" t="s">
        <v>228</v>
      </c>
      <c r="CA235" s="0" t="s">
        <v>228</v>
      </c>
      <c r="CB235" s="0" t="s">
        <v>228</v>
      </c>
      <c r="CC235" s="0" t="s">
        <v>228</v>
      </c>
      <c r="CD235" s="0" t="s">
        <v>228</v>
      </c>
      <c r="CE235" s="0" t="s">
        <v>228</v>
      </c>
      <c r="CF235" s="0" t="s">
        <v>228</v>
      </c>
      <c r="CG235" s="0" t="s">
        <v>228</v>
      </c>
      <c r="CH235" s="0" t="s">
        <v>228</v>
      </c>
      <c r="CI235" s="0" t="s">
        <v>228</v>
      </c>
      <c r="CJ235" s="0" t="s">
        <v>228</v>
      </c>
      <c r="CK235" s="0" t="s">
        <v>228</v>
      </c>
      <c r="CL235" s="0" t="s">
        <v>228</v>
      </c>
      <c r="CM235" s="0" t="s">
        <v>228</v>
      </c>
      <c r="CN235" s="0" t="s">
        <v>228</v>
      </c>
      <c r="CO235" s="0" t="s">
        <v>228</v>
      </c>
      <c r="CP235" s="0" t="s">
        <v>228</v>
      </c>
      <c r="CQ235" s="0" t="s">
        <v>228</v>
      </c>
      <c r="CR235" s="0" t="s">
        <v>228</v>
      </c>
      <c r="CS235" s="0" t="s">
        <v>228</v>
      </c>
      <c r="CT235" s="0" t="s">
        <v>3568</v>
      </c>
      <c r="CU235" s="0" t="s">
        <v>3569</v>
      </c>
      <c r="CV235" s="0" t="s">
        <v>418</v>
      </c>
      <c r="CW235" s="0" t="s">
        <v>3622</v>
      </c>
      <c r="CX235" s="0" t="s">
        <v>419</v>
      </c>
      <c r="CY235" s="0" t="s">
        <v>418</v>
      </c>
      <c r="CZ235" s="0" t="s">
        <v>3623</v>
      </c>
      <c r="DA235" s="0" t="s">
        <v>3624</v>
      </c>
      <c r="DB235" s="0" t="s">
        <v>3622</v>
      </c>
      <c r="DC235" s="0" t="s">
        <v>362</v>
      </c>
      <c r="DD235" s="0" t="s">
        <v>3572</v>
      </c>
      <c r="DE235" s="0" t="s">
        <v>4682</v>
      </c>
    </row>
    <row customHeight="1" ht="11.25">
      <c r="A236" s="1353" t="s">
        <v>228</v>
      </c>
      <c r="B236" s="0" t="s">
        <v>228</v>
      </c>
      <c r="C236" s="0" t="s">
        <v>228</v>
      </c>
      <c r="D236" s="0" t="s">
        <v>228</v>
      </c>
      <c r="E236" s="0" t="s">
        <v>228</v>
      </c>
      <c r="F236" s="0" t="s">
        <v>228</v>
      </c>
      <c r="G236" s="0" t="s">
        <v>228</v>
      </c>
      <c r="H236" s="0" t="s">
        <v>228</v>
      </c>
      <c r="I236" s="0" t="s">
        <v>3555</v>
      </c>
      <c r="J236" s="0" t="s">
        <v>228</v>
      </c>
      <c r="K236" s="0" t="s">
        <v>228</v>
      </c>
      <c r="L236" s="0" t="s">
        <v>228</v>
      </c>
      <c r="M236" s="0" t="s">
        <v>228</v>
      </c>
      <c r="N236" s="0" t="s">
        <v>228</v>
      </c>
      <c r="O236" s="0" t="s">
        <v>228</v>
      </c>
      <c r="P236" s="0" t="s">
        <v>228</v>
      </c>
      <c r="Q236" s="0" t="s">
        <v>228</v>
      </c>
      <c r="R236" s="0" t="s">
        <v>3614</v>
      </c>
      <c r="S236" s="0" t="s">
        <v>228</v>
      </c>
      <c r="T236" s="0" t="s">
        <v>228</v>
      </c>
      <c r="U236" s="0" t="s">
        <v>101</v>
      </c>
      <c r="V236" s="0" t="s">
        <v>228</v>
      </c>
      <c r="W236" s="0" t="s">
        <v>228</v>
      </c>
      <c r="X236" s="0" t="s">
        <v>3557</v>
      </c>
      <c r="Y236" s="0" t="s">
        <v>228</v>
      </c>
      <c r="Z236" s="0" t="s">
        <v>160</v>
      </c>
      <c r="AA236" s="0" t="s">
        <v>151</v>
      </c>
      <c r="AB236" s="0" t="s">
        <v>151</v>
      </c>
      <c r="AC236" s="0" t="s">
        <v>2317</v>
      </c>
      <c r="AD236" s="0" t="s">
        <v>2317</v>
      </c>
      <c r="AE236" s="0" t="s">
        <v>2318</v>
      </c>
      <c r="AF236" s="0" t="s">
        <v>3826</v>
      </c>
      <c r="AG236" s="0" t="s">
        <v>3827</v>
      </c>
      <c r="AH236" s="0" t="s">
        <v>4683</v>
      </c>
      <c r="AI236" s="0" t="s">
        <v>4684</v>
      </c>
      <c r="AJ236" s="0" t="s">
        <v>4685</v>
      </c>
      <c r="AK236" s="0" t="s">
        <v>3808</v>
      </c>
      <c r="AL236" s="0" t="s">
        <v>3581</v>
      </c>
      <c r="AM236" s="0" t="s">
        <v>3565</v>
      </c>
      <c r="AN236" s="0" t="s">
        <v>3628</v>
      </c>
      <c r="AO236" s="0" t="s">
        <v>4157</v>
      </c>
      <c r="AP236" s="0" t="s">
        <v>228</v>
      </c>
      <c r="AQ236" s="0" t="s">
        <v>228</v>
      </c>
      <c r="AR236" s="0" t="s">
        <v>228</v>
      </c>
      <c r="AS236" s="0" t="s">
        <v>228</v>
      </c>
      <c r="AT236" s="0" t="s">
        <v>228</v>
      </c>
      <c r="AU236" s="0" t="s">
        <v>228</v>
      </c>
      <c r="AV236" s="0" t="s">
        <v>228</v>
      </c>
      <c r="AW236" s="0" t="s">
        <v>228</v>
      </c>
      <c r="AX236" s="0" t="s">
        <v>228</v>
      </c>
      <c r="AY236" s="0" t="s">
        <v>228</v>
      </c>
      <c r="AZ236" s="0" t="s">
        <v>228</v>
      </c>
      <c r="BA236" s="0" t="s">
        <v>228</v>
      </c>
      <c r="BB236" s="0" t="s">
        <v>228</v>
      </c>
      <c r="BC236" s="0" t="s">
        <v>228</v>
      </c>
      <c r="BD236" s="0" t="s">
        <v>228</v>
      </c>
      <c r="BE236" s="0" t="s">
        <v>228</v>
      </c>
      <c r="BF236" s="0" t="s">
        <v>228</v>
      </c>
      <c r="BG236" s="0" t="s">
        <v>228</v>
      </c>
      <c r="BH236" s="0" t="s">
        <v>228</v>
      </c>
      <c r="BI236" s="0" t="s">
        <v>228</v>
      </c>
      <c r="BJ236" s="0" t="s">
        <v>228</v>
      </c>
      <c r="BK236" s="0" t="s">
        <v>228</v>
      </c>
      <c r="BL236" s="0" t="s">
        <v>228</v>
      </c>
      <c r="BM236" s="0" t="s">
        <v>228</v>
      </c>
      <c r="BN236" s="0" t="s">
        <v>228</v>
      </c>
      <c r="BO236" s="0" t="s">
        <v>228</v>
      </c>
      <c r="BP236" s="0" t="s">
        <v>228</v>
      </c>
      <c r="BQ236" s="0" t="s">
        <v>228</v>
      </c>
      <c r="BR236" s="0" t="s">
        <v>228</v>
      </c>
      <c r="BS236" s="0" t="s">
        <v>228</v>
      </c>
      <c r="BT236" s="0" t="s">
        <v>228</v>
      </c>
      <c r="BU236" s="0" t="s">
        <v>228</v>
      </c>
      <c r="BV236" s="0" t="s">
        <v>228</v>
      </c>
      <c r="BW236" s="0" t="s">
        <v>228</v>
      </c>
      <c r="BX236" s="0" t="s">
        <v>228</v>
      </c>
      <c r="BY236" s="0" t="s">
        <v>228</v>
      </c>
      <c r="BZ236" s="0" t="s">
        <v>228</v>
      </c>
      <c r="CA236" s="0" t="s">
        <v>228</v>
      </c>
      <c r="CB236" s="0" t="s">
        <v>228</v>
      </c>
      <c r="CC236" s="0" t="s">
        <v>228</v>
      </c>
      <c r="CD236" s="0" t="s">
        <v>228</v>
      </c>
      <c r="CE236" s="0" t="s">
        <v>228</v>
      </c>
      <c r="CF236" s="0" t="s">
        <v>228</v>
      </c>
      <c r="CG236" s="0" t="s">
        <v>228</v>
      </c>
      <c r="CH236" s="0" t="s">
        <v>228</v>
      </c>
      <c r="CI236" s="0" t="s">
        <v>228</v>
      </c>
      <c r="CJ236" s="0" t="s">
        <v>228</v>
      </c>
      <c r="CK236" s="0" t="s">
        <v>228</v>
      </c>
      <c r="CL236" s="0" t="s">
        <v>228</v>
      </c>
      <c r="CM236" s="0" t="s">
        <v>228</v>
      </c>
      <c r="CN236" s="0" t="s">
        <v>228</v>
      </c>
      <c r="CO236" s="0" t="s">
        <v>228</v>
      </c>
      <c r="CP236" s="0" t="s">
        <v>228</v>
      </c>
      <c r="CQ236" s="0" t="s">
        <v>228</v>
      </c>
      <c r="CR236" s="0" t="s">
        <v>228</v>
      </c>
      <c r="CS236" s="0" t="s">
        <v>228</v>
      </c>
      <c r="CT236" s="0" t="s">
        <v>3568</v>
      </c>
      <c r="CU236" s="0" t="s">
        <v>3569</v>
      </c>
      <c r="CV236" s="0" t="s">
        <v>418</v>
      </c>
      <c r="CW236" s="0" t="s">
        <v>3622</v>
      </c>
      <c r="CX236" s="0" t="s">
        <v>419</v>
      </c>
      <c r="CY236" s="0" t="s">
        <v>418</v>
      </c>
      <c r="CZ236" s="0" t="s">
        <v>3623</v>
      </c>
      <c r="DA236" s="0" t="s">
        <v>3624</v>
      </c>
      <c r="DB236" s="0" t="s">
        <v>3622</v>
      </c>
      <c r="DC236" s="0" t="s">
        <v>362</v>
      </c>
      <c r="DD236" s="0" t="s">
        <v>3572</v>
      </c>
      <c r="DE236" s="0" t="s">
        <v>4686</v>
      </c>
    </row>
    <row customHeight="1" ht="11.25">
      <c r="A237" s="1353" t="s">
        <v>228</v>
      </c>
      <c r="B237" s="0" t="s">
        <v>228</v>
      </c>
      <c r="C237" s="0" t="s">
        <v>228</v>
      </c>
      <c r="D237" s="0" t="s">
        <v>228</v>
      </c>
      <c r="E237" s="0" t="s">
        <v>228</v>
      </c>
      <c r="F237" s="0" t="s">
        <v>228</v>
      </c>
      <c r="G237" s="0" t="s">
        <v>228</v>
      </c>
      <c r="H237" s="0" t="s">
        <v>228</v>
      </c>
      <c r="I237" s="0" t="s">
        <v>3555</v>
      </c>
      <c r="J237" s="0" t="s">
        <v>228</v>
      </c>
      <c r="K237" s="0" t="s">
        <v>228</v>
      </c>
      <c r="L237" s="0" t="s">
        <v>228</v>
      </c>
      <c r="M237" s="0" t="s">
        <v>228</v>
      </c>
      <c r="N237" s="0" t="s">
        <v>228</v>
      </c>
      <c r="O237" s="0" t="s">
        <v>228</v>
      </c>
      <c r="P237" s="0" t="s">
        <v>228</v>
      </c>
      <c r="Q237" s="0" t="s">
        <v>228</v>
      </c>
      <c r="R237" s="0" t="s">
        <v>4687</v>
      </c>
      <c r="S237" s="0" t="s">
        <v>228</v>
      </c>
      <c r="T237" s="0" t="s">
        <v>228</v>
      </c>
      <c r="U237" s="0" t="s">
        <v>101</v>
      </c>
      <c r="V237" s="0" t="s">
        <v>228</v>
      </c>
      <c r="W237" s="0" t="s">
        <v>228</v>
      </c>
      <c r="X237" s="0" t="s">
        <v>3557</v>
      </c>
      <c r="Y237" s="0" t="s">
        <v>228</v>
      </c>
      <c r="Z237" s="0" t="s">
        <v>160</v>
      </c>
      <c r="AA237" s="0" t="s">
        <v>151</v>
      </c>
      <c r="AB237" s="0" t="s">
        <v>151</v>
      </c>
      <c r="AC237" s="0" t="s">
        <v>2317</v>
      </c>
      <c r="AD237" s="0" t="s">
        <v>2317</v>
      </c>
      <c r="AE237" s="0" t="s">
        <v>2318</v>
      </c>
      <c r="AF237" s="0" t="s">
        <v>3826</v>
      </c>
      <c r="AG237" s="0" t="s">
        <v>3827</v>
      </c>
      <c r="AH237" s="0" t="s">
        <v>4688</v>
      </c>
      <c r="AI237" s="0" t="s">
        <v>4689</v>
      </c>
      <c r="AJ237" s="0" t="s">
        <v>4685</v>
      </c>
      <c r="AK237" s="0" t="s">
        <v>3853</v>
      </c>
      <c r="AL237" s="0" t="s">
        <v>3581</v>
      </c>
      <c r="AM237" s="0" t="s">
        <v>3565</v>
      </c>
      <c r="AN237" s="0" t="s">
        <v>3620</v>
      </c>
      <c r="AO237" s="0" t="s">
        <v>3845</v>
      </c>
      <c r="AP237" s="0" t="s">
        <v>228</v>
      </c>
      <c r="AQ237" s="0" t="s">
        <v>228</v>
      </c>
      <c r="AR237" s="0" t="s">
        <v>228</v>
      </c>
      <c r="AS237" s="0" t="s">
        <v>228</v>
      </c>
      <c r="AT237" s="0" t="s">
        <v>228</v>
      </c>
      <c r="AU237" s="0" t="s">
        <v>228</v>
      </c>
      <c r="AV237" s="0" t="s">
        <v>228</v>
      </c>
      <c r="AW237" s="0" t="s">
        <v>228</v>
      </c>
      <c r="AX237" s="0" t="s">
        <v>228</v>
      </c>
      <c r="AY237" s="0" t="s">
        <v>228</v>
      </c>
      <c r="AZ237" s="0" t="s">
        <v>228</v>
      </c>
      <c r="BA237" s="0" t="s">
        <v>228</v>
      </c>
      <c r="BB237" s="0" t="s">
        <v>228</v>
      </c>
      <c r="BC237" s="0" t="s">
        <v>228</v>
      </c>
      <c r="BD237" s="0" t="s">
        <v>228</v>
      </c>
      <c r="BE237" s="0" t="s">
        <v>228</v>
      </c>
      <c r="BF237" s="0" t="s">
        <v>228</v>
      </c>
      <c r="BG237" s="0" t="s">
        <v>228</v>
      </c>
      <c r="BH237" s="0" t="s">
        <v>228</v>
      </c>
      <c r="BI237" s="0" t="s">
        <v>228</v>
      </c>
      <c r="BJ237" s="0" t="s">
        <v>228</v>
      </c>
      <c r="BK237" s="0" t="s">
        <v>228</v>
      </c>
      <c r="BL237" s="0" t="s">
        <v>228</v>
      </c>
      <c r="BM237" s="0" t="s">
        <v>228</v>
      </c>
      <c r="BN237" s="0" t="s">
        <v>228</v>
      </c>
      <c r="BO237" s="0" t="s">
        <v>228</v>
      </c>
      <c r="BP237" s="0" t="s">
        <v>228</v>
      </c>
      <c r="BQ237" s="0" t="s">
        <v>228</v>
      </c>
      <c r="BR237" s="0" t="s">
        <v>228</v>
      </c>
      <c r="BS237" s="0" t="s">
        <v>228</v>
      </c>
      <c r="BT237" s="0" t="s">
        <v>228</v>
      </c>
      <c r="BU237" s="0" t="s">
        <v>228</v>
      </c>
      <c r="BV237" s="0" t="s">
        <v>228</v>
      </c>
      <c r="BW237" s="0" t="s">
        <v>228</v>
      </c>
      <c r="BX237" s="0" t="s">
        <v>228</v>
      </c>
      <c r="BY237" s="0" t="s">
        <v>228</v>
      </c>
      <c r="BZ237" s="0" t="s">
        <v>228</v>
      </c>
      <c r="CA237" s="0" t="s">
        <v>228</v>
      </c>
      <c r="CB237" s="0" t="s">
        <v>228</v>
      </c>
      <c r="CC237" s="0" t="s">
        <v>228</v>
      </c>
      <c r="CD237" s="0" t="s">
        <v>228</v>
      </c>
      <c r="CE237" s="0" t="s">
        <v>228</v>
      </c>
      <c r="CF237" s="0" t="s">
        <v>228</v>
      </c>
      <c r="CG237" s="0" t="s">
        <v>228</v>
      </c>
      <c r="CH237" s="0" t="s">
        <v>228</v>
      </c>
      <c r="CI237" s="0" t="s">
        <v>228</v>
      </c>
      <c r="CJ237" s="0" t="s">
        <v>228</v>
      </c>
      <c r="CK237" s="0" t="s">
        <v>228</v>
      </c>
      <c r="CL237" s="0" t="s">
        <v>228</v>
      </c>
      <c r="CM237" s="0" t="s">
        <v>228</v>
      </c>
      <c r="CN237" s="0" t="s">
        <v>228</v>
      </c>
      <c r="CO237" s="0" t="s">
        <v>228</v>
      </c>
      <c r="CP237" s="0" t="s">
        <v>228</v>
      </c>
      <c r="CQ237" s="0" t="s">
        <v>228</v>
      </c>
      <c r="CR237" s="0" t="s">
        <v>228</v>
      </c>
      <c r="CS237" s="0" t="s">
        <v>228</v>
      </c>
      <c r="CT237" s="0" t="s">
        <v>3568</v>
      </c>
      <c r="CU237" s="0" t="s">
        <v>3569</v>
      </c>
      <c r="CV237" s="0" t="s">
        <v>418</v>
      </c>
      <c r="CW237" s="0" t="s">
        <v>3622</v>
      </c>
      <c r="CX237" s="0" t="s">
        <v>419</v>
      </c>
      <c r="CY237" s="0" t="s">
        <v>418</v>
      </c>
      <c r="CZ237" s="0" t="s">
        <v>3623</v>
      </c>
      <c r="DA237" s="0" t="s">
        <v>3624</v>
      </c>
      <c r="DB237" s="0" t="s">
        <v>3622</v>
      </c>
      <c r="DC237" s="0" t="s">
        <v>362</v>
      </c>
      <c r="DD237" s="0" t="s">
        <v>3572</v>
      </c>
      <c r="DE237" s="0" t="s">
        <v>4690</v>
      </c>
    </row>
    <row customHeight="1" ht="11.25">
      <c r="A238" s="1353" t="s">
        <v>228</v>
      </c>
      <c r="B238" s="0" t="s">
        <v>228</v>
      </c>
      <c r="C238" s="0" t="s">
        <v>228</v>
      </c>
      <c r="D238" s="0" t="s">
        <v>228</v>
      </c>
      <c r="E238" s="0" t="s">
        <v>228</v>
      </c>
      <c r="F238" s="0" t="s">
        <v>228</v>
      </c>
      <c r="G238" s="0" t="s">
        <v>228</v>
      </c>
      <c r="H238" s="0" t="s">
        <v>228</v>
      </c>
      <c r="I238" s="0" t="s">
        <v>3555</v>
      </c>
      <c r="J238" s="0" t="s">
        <v>228</v>
      </c>
      <c r="K238" s="0" t="s">
        <v>228</v>
      </c>
      <c r="L238" s="0" t="s">
        <v>228</v>
      </c>
      <c r="M238" s="0" t="s">
        <v>228</v>
      </c>
      <c r="N238" s="0" t="s">
        <v>228</v>
      </c>
      <c r="O238" s="0" t="s">
        <v>228</v>
      </c>
      <c r="P238" s="0" t="s">
        <v>228</v>
      </c>
      <c r="Q238" s="0" t="s">
        <v>228</v>
      </c>
      <c r="R238" s="0" t="s">
        <v>4691</v>
      </c>
      <c r="S238" s="0" t="s">
        <v>228</v>
      </c>
      <c r="T238" s="0" t="s">
        <v>228</v>
      </c>
      <c r="U238" s="0" t="s">
        <v>101</v>
      </c>
      <c r="V238" s="0" t="s">
        <v>228</v>
      </c>
      <c r="W238" s="0" t="s">
        <v>228</v>
      </c>
      <c r="X238" s="0" t="s">
        <v>3557</v>
      </c>
      <c r="Y238" s="0" t="s">
        <v>228</v>
      </c>
      <c r="Z238" s="0" t="s">
        <v>160</v>
      </c>
      <c r="AA238" s="0" t="s">
        <v>151</v>
      </c>
      <c r="AB238" s="0" t="s">
        <v>151</v>
      </c>
      <c r="AC238" s="0" t="s">
        <v>2317</v>
      </c>
      <c r="AD238" s="0" t="s">
        <v>2317</v>
      </c>
      <c r="AE238" s="0" t="s">
        <v>2318</v>
      </c>
      <c r="AF238" s="0" t="s">
        <v>3826</v>
      </c>
      <c r="AG238" s="0" t="s">
        <v>3827</v>
      </c>
      <c r="AH238" s="0" t="s">
        <v>4692</v>
      </c>
      <c r="AI238" s="0" t="s">
        <v>4693</v>
      </c>
      <c r="AJ238" s="0" t="s">
        <v>4685</v>
      </c>
      <c r="AK238" s="0" t="s">
        <v>3808</v>
      </c>
      <c r="AL238" s="0" t="s">
        <v>3581</v>
      </c>
      <c r="AM238" s="0" t="s">
        <v>3565</v>
      </c>
      <c r="AN238" s="0" t="s">
        <v>3620</v>
      </c>
      <c r="AO238" s="0" t="s">
        <v>3712</v>
      </c>
      <c r="AP238" s="0" t="s">
        <v>228</v>
      </c>
      <c r="AQ238" s="0" t="s">
        <v>228</v>
      </c>
      <c r="AR238" s="0" t="s">
        <v>228</v>
      </c>
      <c r="AS238" s="0" t="s">
        <v>228</v>
      </c>
      <c r="AT238" s="0" t="s">
        <v>228</v>
      </c>
      <c r="AU238" s="0" t="s">
        <v>228</v>
      </c>
      <c r="AV238" s="0" t="s">
        <v>228</v>
      </c>
      <c r="AW238" s="0" t="s">
        <v>228</v>
      </c>
      <c r="AX238" s="0" t="s">
        <v>228</v>
      </c>
      <c r="AY238" s="0" t="s">
        <v>228</v>
      </c>
      <c r="AZ238" s="0" t="s">
        <v>228</v>
      </c>
      <c r="BA238" s="0" t="s">
        <v>228</v>
      </c>
      <c r="BB238" s="0" t="s">
        <v>228</v>
      </c>
      <c r="BC238" s="0" t="s">
        <v>228</v>
      </c>
      <c r="BD238" s="0" t="s">
        <v>228</v>
      </c>
      <c r="BE238" s="0" t="s">
        <v>228</v>
      </c>
      <c r="BF238" s="0" t="s">
        <v>228</v>
      </c>
      <c r="BG238" s="0" t="s">
        <v>228</v>
      </c>
      <c r="BH238" s="0" t="s">
        <v>228</v>
      </c>
      <c r="BI238" s="0" t="s">
        <v>228</v>
      </c>
      <c r="BJ238" s="0" t="s">
        <v>228</v>
      </c>
      <c r="BK238" s="0" t="s">
        <v>228</v>
      </c>
      <c r="BL238" s="0" t="s">
        <v>228</v>
      </c>
      <c r="BM238" s="0" t="s">
        <v>228</v>
      </c>
      <c r="BN238" s="0" t="s">
        <v>228</v>
      </c>
      <c r="BO238" s="0" t="s">
        <v>228</v>
      </c>
      <c r="BP238" s="0" t="s">
        <v>228</v>
      </c>
      <c r="BQ238" s="0" t="s">
        <v>228</v>
      </c>
      <c r="BR238" s="0" t="s">
        <v>228</v>
      </c>
      <c r="BS238" s="0" t="s">
        <v>228</v>
      </c>
      <c r="BT238" s="0" t="s">
        <v>228</v>
      </c>
      <c r="BU238" s="0" t="s">
        <v>228</v>
      </c>
      <c r="BV238" s="0" t="s">
        <v>228</v>
      </c>
      <c r="BW238" s="0" t="s">
        <v>228</v>
      </c>
      <c r="BX238" s="0" t="s">
        <v>228</v>
      </c>
      <c r="BY238" s="0" t="s">
        <v>228</v>
      </c>
      <c r="BZ238" s="0" t="s">
        <v>228</v>
      </c>
      <c r="CA238" s="0" t="s">
        <v>228</v>
      </c>
      <c r="CB238" s="0" t="s">
        <v>228</v>
      </c>
      <c r="CC238" s="0" t="s">
        <v>228</v>
      </c>
      <c r="CD238" s="0" t="s">
        <v>228</v>
      </c>
      <c r="CE238" s="0" t="s">
        <v>228</v>
      </c>
      <c r="CF238" s="0" t="s">
        <v>228</v>
      </c>
      <c r="CG238" s="0" t="s">
        <v>228</v>
      </c>
      <c r="CH238" s="0" t="s">
        <v>228</v>
      </c>
      <c r="CI238" s="0" t="s">
        <v>228</v>
      </c>
      <c r="CJ238" s="0" t="s">
        <v>228</v>
      </c>
      <c r="CK238" s="0" t="s">
        <v>228</v>
      </c>
      <c r="CL238" s="0" t="s">
        <v>228</v>
      </c>
      <c r="CM238" s="0" t="s">
        <v>228</v>
      </c>
      <c r="CN238" s="0" t="s">
        <v>228</v>
      </c>
      <c r="CO238" s="0" t="s">
        <v>228</v>
      </c>
      <c r="CP238" s="0" t="s">
        <v>228</v>
      </c>
      <c r="CQ238" s="0" t="s">
        <v>228</v>
      </c>
      <c r="CR238" s="0" t="s">
        <v>228</v>
      </c>
      <c r="CS238" s="0" t="s">
        <v>228</v>
      </c>
      <c r="CT238" s="0" t="s">
        <v>3568</v>
      </c>
      <c r="CU238" s="0" t="s">
        <v>3569</v>
      </c>
      <c r="CV238" s="0" t="s">
        <v>418</v>
      </c>
      <c r="CW238" s="0" t="s">
        <v>3622</v>
      </c>
      <c r="CX238" s="0" t="s">
        <v>419</v>
      </c>
      <c r="CY238" s="0" t="s">
        <v>418</v>
      </c>
      <c r="CZ238" s="0" t="s">
        <v>3623</v>
      </c>
      <c r="DA238" s="0" t="s">
        <v>3624</v>
      </c>
      <c r="DB238" s="0" t="s">
        <v>3622</v>
      </c>
      <c r="DC238" s="0" t="s">
        <v>362</v>
      </c>
      <c r="DD238" s="0" t="s">
        <v>3572</v>
      </c>
      <c r="DE238" s="0" t="s">
        <v>4694</v>
      </c>
    </row>
    <row customHeight="1" ht="11.25">
      <c r="A239" s="1353" t="s">
        <v>228</v>
      </c>
      <c r="B239" s="0" t="s">
        <v>228</v>
      </c>
      <c r="C239" s="0" t="s">
        <v>228</v>
      </c>
      <c r="D239" s="0" t="s">
        <v>228</v>
      </c>
      <c r="E239" s="0" t="s">
        <v>228</v>
      </c>
      <c r="F239" s="0" t="s">
        <v>228</v>
      </c>
      <c r="G239" s="0" t="s">
        <v>228</v>
      </c>
      <c r="H239" s="0" t="s">
        <v>228</v>
      </c>
      <c r="I239" s="0" t="s">
        <v>3555</v>
      </c>
      <c r="J239" s="0" t="s">
        <v>228</v>
      </c>
      <c r="K239" s="0" t="s">
        <v>228</v>
      </c>
      <c r="L239" s="0" t="s">
        <v>228</v>
      </c>
      <c r="M239" s="0" t="s">
        <v>228</v>
      </c>
      <c r="N239" s="0" t="s">
        <v>228</v>
      </c>
      <c r="O239" s="0" t="s">
        <v>228</v>
      </c>
      <c r="P239" s="0" t="s">
        <v>228</v>
      </c>
      <c r="Q239" s="0" t="s">
        <v>228</v>
      </c>
      <c r="R239" s="0" t="s">
        <v>3648</v>
      </c>
      <c r="S239" s="0" t="s">
        <v>228</v>
      </c>
      <c r="T239" s="0" t="s">
        <v>228</v>
      </c>
      <c r="U239" s="0" t="s">
        <v>101</v>
      </c>
      <c r="V239" s="0" t="s">
        <v>228</v>
      </c>
      <c r="W239" s="0" t="s">
        <v>228</v>
      </c>
      <c r="X239" s="0" t="s">
        <v>3557</v>
      </c>
      <c r="Y239" s="0" t="s">
        <v>228</v>
      </c>
      <c r="Z239" s="0" t="s">
        <v>160</v>
      </c>
      <c r="AA239" s="0" t="s">
        <v>151</v>
      </c>
      <c r="AB239" s="0" t="s">
        <v>151</v>
      </c>
      <c r="AC239" s="0" t="s">
        <v>2317</v>
      </c>
      <c r="AD239" s="0" t="s">
        <v>2317</v>
      </c>
      <c r="AE239" s="0" t="s">
        <v>2318</v>
      </c>
      <c r="AF239" s="0" t="s">
        <v>4695</v>
      </c>
      <c r="AG239" s="0" t="s">
        <v>4696</v>
      </c>
      <c r="AH239" s="0" t="s">
        <v>4540</v>
      </c>
      <c r="AI239" s="0" t="s">
        <v>3807</v>
      </c>
      <c r="AJ239" s="0" t="s">
        <v>3579</v>
      </c>
      <c r="AK239" s="0" t="s">
        <v>3749</v>
      </c>
      <c r="AL239" s="0" t="s">
        <v>3581</v>
      </c>
      <c r="AM239" s="0" t="s">
        <v>3565</v>
      </c>
      <c r="AN239" s="0" t="s">
        <v>3620</v>
      </c>
      <c r="AO239" s="0" t="s">
        <v>3757</v>
      </c>
      <c r="AP239" s="0" t="s">
        <v>228</v>
      </c>
      <c r="AQ239" s="0" t="s">
        <v>228</v>
      </c>
      <c r="AR239" s="0" t="s">
        <v>228</v>
      </c>
      <c r="AS239" s="0" t="s">
        <v>228</v>
      </c>
      <c r="AT239" s="0" t="s">
        <v>228</v>
      </c>
      <c r="AU239" s="0" t="s">
        <v>228</v>
      </c>
      <c r="AV239" s="0" t="s">
        <v>228</v>
      </c>
      <c r="AW239" s="0" t="s">
        <v>228</v>
      </c>
      <c r="AX239" s="0" t="s">
        <v>228</v>
      </c>
      <c r="AY239" s="0" t="s">
        <v>228</v>
      </c>
      <c r="AZ239" s="0" t="s">
        <v>228</v>
      </c>
      <c r="BA239" s="0" t="s">
        <v>228</v>
      </c>
      <c r="BB239" s="0" t="s">
        <v>228</v>
      </c>
      <c r="BC239" s="0" t="s">
        <v>228</v>
      </c>
      <c r="BD239" s="0" t="s">
        <v>228</v>
      </c>
      <c r="BE239" s="0" t="s">
        <v>228</v>
      </c>
      <c r="BF239" s="0" t="s">
        <v>228</v>
      </c>
      <c r="BG239" s="0" t="s">
        <v>228</v>
      </c>
      <c r="BH239" s="0" t="s">
        <v>228</v>
      </c>
      <c r="BI239" s="0" t="s">
        <v>228</v>
      </c>
      <c r="BJ239" s="0" t="s">
        <v>228</v>
      </c>
      <c r="BK239" s="0" t="s">
        <v>228</v>
      </c>
      <c r="BL239" s="0" t="s">
        <v>228</v>
      </c>
      <c r="BM239" s="0" t="s">
        <v>228</v>
      </c>
      <c r="BN239" s="0" t="s">
        <v>228</v>
      </c>
      <c r="BO239" s="0" t="s">
        <v>228</v>
      </c>
      <c r="BP239" s="0" t="s">
        <v>228</v>
      </c>
      <c r="BQ239" s="0" t="s">
        <v>228</v>
      </c>
      <c r="BR239" s="0" t="s">
        <v>228</v>
      </c>
      <c r="BS239" s="0" t="s">
        <v>228</v>
      </c>
      <c r="BT239" s="0" t="s">
        <v>228</v>
      </c>
      <c r="BU239" s="0" t="s">
        <v>228</v>
      </c>
      <c r="BV239" s="0" t="s">
        <v>228</v>
      </c>
      <c r="BW239" s="0" t="s">
        <v>228</v>
      </c>
      <c r="BX239" s="0" t="s">
        <v>228</v>
      </c>
      <c r="BY239" s="0" t="s">
        <v>228</v>
      </c>
      <c r="BZ239" s="0" t="s">
        <v>228</v>
      </c>
      <c r="CA239" s="0" t="s">
        <v>228</v>
      </c>
      <c r="CB239" s="0" t="s">
        <v>228</v>
      </c>
      <c r="CC239" s="0" t="s">
        <v>228</v>
      </c>
      <c r="CD239" s="0" t="s">
        <v>228</v>
      </c>
      <c r="CE239" s="0" t="s">
        <v>228</v>
      </c>
      <c r="CF239" s="0" t="s">
        <v>228</v>
      </c>
      <c r="CG239" s="0" t="s">
        <v>228</v>
      </c>
      <c r="CH239" s="0" t="s">
        <v>228</v>
      </c>
      <c r="CI239" s="0" t="s">
        <v>228</v>
      </c>
      <c r="CJ239" s="0" t="s">
        <v>228</v>
      </c>
      <c r="CK239" s="0" t="s">
        <v>228</v>
      </c>
      <c r="CL239" s="0" t="s">
        <v>228</v>
      </c>
      <c r="CM239" s="0" t="s">
        <v>228</v>
      </c>
      <c r="CN239" s="0" t="s">
        <v>228</v>
      </c>
      <c r="CO239" s="0" t="s">
        <v>228</v>
      </c>
      <c r="CP239" s="0" t="s">
        <v>228</v>
      </c>
      <c r="CQ239" s="0" t="s">
        <v>228</v>
      </c>
      <c r="CR239" s="0" t="s">
        <v>228</v>
      </c>
      <c r="CS239" s="0" t="s">
        <v>228</v>
      </c>
      <c r="CT239" s="0" t="s">
        <v>3568</v>
      </c>
      <c r="CU239" s="0" t="s">
        <v>3569</v>
      </c>
      <c r="CV239" s="0" t="s">
        <v>418</v>
      </c>
      <c r="CW239" s="0" t="s">
        <v>3622</v>
      </c>
      <c r="CX239" s="0" t="s">
        <v>419</v>
      </c>
      <c r="CY239" s="0" t="s">
        <v>418</v>
      </c>
      <c r="CZ239" s="0" t="s">
        <v>3623</v>
      </c>
      <c r="DA239" s="0" t="s">
        <v>3624</v>
      </c>
      <c r="DB239" s="0" t="s">
        <v>3622</v>
      </c>
      <c r="DC239" s="0" t="s">
        <v>362</v>
      </c>
      <c r="DD239" s="0" t="s">
        <v>3572</v>
      </c>
      <c r="DE239" s="0" t="s">
        <v>4697</v>
      </c>
    </row>
    <row customHeight="1" ht="11.25">
      <c r="A240" s="1353" t="s">
        <v>228</v>
      </c>
      <c r="B240" s="0" t="s">
        <v>228</v>
      </c>
      <c r="C240" s="0" t="s">
        <v>228</v>
      </c>
      <c r="D240" s="0" t="s">
        <v>228</v>
      </c>
      <c r="E240" s="0" t="s">
        <v>228</v>
      </c>
      <c r="F240" s="0" t="s">
        <v>228</v>
      </c>
      <c r="G240" s="0" t="s">
        <v>228</v>
      </c>
      <c r="H240" s="0" t="s">
        <v>228</v>
      </c>
      <c r="I240" s="0" t="s">
        <v>3555</v>
      </c>
      <c r="J240" s="0" t="s">
        <v>228</v>
      </c>
      <c r="K240" s="0" t="s">
        <v>228</v>
      </c>
      <c r="L240" s="0" t="s">
        <v>228</v>
      </c>
      <c r="M240" s="0" t="s">
        <v>228</v>
      </c>
      <c r="N240" s="0" t="s">
        <v>228</v>
      </c>
      <c r="O240" s="0" t="s">
        <v>228</v>
      </c>
      <c r="P240" s="0" t="s">
        <v>228</v>
      </c>
      <c r="Q240" s="0" t="s">
        <v>228</v>
      </c>
      <c r="R240" s="0" t="s">
        <v>4698</v>
      </c>
      <c r="S240" s="0" t="s">
        <v>228</v>
      </c>
      <c r="T240" s="0" t="s">
        <v>228</v>
      </c>
      <c r="U240" s="0" t="s">
        <v>101</v>
      </c>
      <c r="V240" s="0" t="s">
        <v>228</v>
      </c>
      <c r="W240" s="0" t="s">
        <v>228</v>
      </c>
      <c r="X240" s="0" t="s">
        <v>3661</v>
      </c>
      <c r="Y240" s="0" t="s">
        <v>228</v>
      </c>
      <c r="Z240" s="0" t="s">
        <v>151</v>
      </c>
      <c r="AA240" s="0" t="s">
        <v>151</v>
      </c>
      <c r="AB240" s="0" t="s">
        <v>160</v>
      </c>
      <c r="AC240" s="0" t="s">
        <v>2317</v>
      </c>
      <c r="AD240" s="0" t="s">
        <v>2317</v>
      </c>
      <c r="AE240" s="0" t="s">
        <v>2318</v>
      </c>
      <c r="AF240" s="0" t="s">
        <v>4695</v>
      </c>
      <c r="AG240" s="0" t="s">
        <v>4696</v>
      </c>
      <c r="AH240" s="0" t="s">
        <v>3651</v>
      </c>
      <c r="AI240" s="0" t="s">
        <v>3651</v>
      </c>
      <c r="AJ240" s="0" t="s">
        <v>228</v>
      </c>
      <c r="AK240" s="0" t="s">
        <v>228</v>
      </c>
      <c r="AL240" s="0" t="s">
        <v>228</v>
      </c>
      <c r="AM240" s="0" t="s">
        <v>228</v>
      </c>
      <c r="AN240" s="0" t="s">
        <v>228</v>
      </c>
      <c r="AO240" s="0" t="s">
        <v>228</v>
      </c>
      <c r="AP240" s="0" t="s">
        <v>228</v>
      </c>
      <c r="AQ240" s="0" t="s">
        <v>228</v>
      </c>
      <c r="AR240" s="0" t="s">
        <v>228</v>
      </c>
      <c r="AS240" s="0" t="s">
        <v>228</v>
      </c>
      <c r="AT240" s="0" t="s">
        <v>228</v>
      </c>
      <c r="AU240" s="0" t="s">
        <v>228</v>
      </c>
      <c r="AV240" s="0" t="s">
        <v>228</v>
      </c>
      <c r="AW240" s="0" t="s">
        <v>228</v>
      </c>
      <c r="AX240" s="0" t="s">
        <v>228</v>
      </c>
      <c r="AY240" s="0" t="s">
        <v>228</v>
      </c>
      <c r="AZ240" s="0" t="s">
        <v>228</v>
      </c>
      <c r="BA240" s="0" t="s">
        <v>228</v>
      </c>
      <c r="BB240" s="0" t="s">
        <v>228</v>
      </c>
      <c r="BC240" s="0" t="s">
        <v>228</v>
      </c>
      <c r="BD240" s="0" t="s">
        <v>228</v>
      </c>
      <c r="BE240" s="0" t="s">
        <v>3627</v>
      </c>
      <c r="BF240" s="0" t="s">
        <v>3619</v>
      </c>
      <c r="BG240" s="0" t="s">
        <v>111</v>
      </c>
      <c r="BH240" s="0" t="s">
        <v>3665</v>
      </c>
      <c r="BI240" s="0" t="s">
        <v>122</v>
      </c>
      <c r="BJ240" s="0" t="s">
        <v>228</v>
      </c>
      <c r="BK240" s="0" t="s">
        <v>3684</v>
      </c>
      <c r="BL240" s="0" t="s">
        <v>2317</v>
      </c>
      <c r="BM240" s="0" t="s">
        <v>2317</v>
      </c>
      <c r="BN240" s="0" t="s">
        <v>3740</v>
      </c>
      <c r="BO240" s="0" t="s">
        <v>4695</v>
      </c>
      <c r="BP240" s="0" t="s">
        <v>4699</v>
      </c>
      <c r="BQ240" s="0" t="s">
        <v>3651</v>
      </c>
      <c r="BR240" s="0" t="s">
        <v>3651</v>
      </c>
      <c r="BS240" s="0" t="s">
        <v>228</v>
      </c>
      <c r="BT240" s="0" t="s">
        <v>3727</v>
      </c>
      <c r="BU240" s="0" t="s">
        <v>4700</v>
      </c>
      <c r="BV240" s="0" t="s">
        <v>4700</v>
      </c>
      <c r="BW240" s="0" t="s">
        <v>3674</v>
      </c>
      <c r="BX240" s="0" t="s">
        <v>3674</v>
      </c>
      <c r="BY240" s="0" t="s">
        <v>3674</v>
      </c>
      <c r="BZ240" s="0" t="s">
        <v>3674</v>
      </c>
      <c r="CA240" s="0" t="s">
        <v>3674</v>
      </c>
      <c r="CB240" s="0" t="s">
        <v>228</v>
      </c>
      <c r="CC240" s="0" t="s">
        <v>228</v>
      </c>
      <c r="CD240" s="0" t="s">
        <v>228</v>
      </c>
      <c r="CE240" s="0" t="s">
        <v>228</v>
      </c>
      <c r="CF240" s="0" t="s">
        <v>228</v>
      </c>
      <c r="CG240" s="0" t="s">
        <v>3674</v>
      </c>
      <c r="CH240" s="0" t="s">
        <v>228</v>
      </c>
      <c r="CI240" s="0" t="s">
        <v>228</v>
      </c>
      <c r="CJ240" s="0" t="s">
        <v>228</v>
      </c>
      <c r="CK240" s="0" t="s">
        <v>228</v>
      </c>
      <c r="CL240" s="0" t="s">
        <v>228</v>
      </c>
      <c r="CM240" s="0" t="s">
        <v>4700</v>
      </c>
      <c r="CN240" s="0" t="s">
        <v>4700</v>
      </c>
      <c r="CO240" s="0" t="s">
        <v>228</v>
      </c>
      <c r="CP240" s="0" t="s">
        <v>228</v>
      </c>
      <c r="CQ240" s="0" t="s">
        <v>228</v>
      </c>
      <c r="CR240" s="0" t="s">
        <v>228</v>
      </c>
      <c r="CS240" s="0" t="s">
        <v>3743</v>
      </c>
      <c r="CT240" s="0" t="s">
        <v>3568</v>
      </c>
      <c r="CU240" s="0" t="s">
        <v>3569</v>
      </c>
      <c r="CV240" s="0" t="s">
        <v>418</v>
      </c>
      <c r="CW240" s="0" t="s">
        <v>3622</v>
      </c>
      <c r="CX240" s="0" t="s">
        <v>419</v>
      </c>
      <c r="CY240" s="0" t="s">
        <v>418</v>
      </c>
      <c r="CZ240" s="0" t="s">
        <v>3623</v>
      </c>
      <c r="DA240" s="0" t="s">
        <v>3624</v>
      </c>
      <c r="DB240" s="0" t="s">
        <v>3622</v>
      </c>
      <c r="DC240" s="0" t="s">
        <v>362</v>
      </c>
      <c r="DD240" s="0" t="s">
        <v>3572</v>
      </c>
      <c r="DE240" s="0" t="s">
        <v>4701</v>
      </c>
    </row>
    <row customHeight="1" ht="11.25">
      <c r="A241" s="1353" t="s">
        <v>228</v>
      </c>
      <c r="B241" s="0" t="s">
        <v>228</v>
      </c>
      <c r="C241" s="0" t="s">
        <v>228</v>
      </c>
      <c r="D241" s="0" t="s">
        <v>228</v>
      </c>
      <c r="E241" s="0" t="s">
        <v>228</v>
      </c>
      <c r="F241" s="0" t="s">
        <v>228</v>
      </c>
      <c r="G241" s="0" t="s">
        <v>228</v>
      </c>
      <c r="H241" s="0" t="s">
        <v>228</v>
      </c>
      <c r="I241" s="0" t="s">
        <v>3555</v>
      </c>
      <c r="J241" s="0" t="s">
        <v>228</v>
      </c>
      <c r="K241" s="0" t="s">
        <v>228</v>
      </c>
      <c r="L241" s="0" t="s">
        <v>228</v>
      </c>
      <c r="M241" s="0" t="s">
        <v>228</v>
      </c>
      <c r="N241" s="0" t="s">
        <v>228</v>
      </c>
      <c r="O241" s="0" t="s">
        <v>228</v>
      </c>
      <c r="P241" s="0" t="s">
        <v>228</v>
      </c>
      <c r="Q241" s="0" t="s">
        <v>228</v>
      </c>
      <c r="R241" s="0" t="s">
        <v>3648</v>
      </c>
      <c r="S241" s="0" t="s">
        <v>228</v>
      </c>
      <c r="T241" s="0" t="s">
        <v>228</v>
      </c>
      <c r="U241" s="0" t="s">
        <v>101</v>
      </c>
      <c r="V241" s="0" t="s">
        <v>228</v>
      </c>
      <c r="W241" s="0" t="s">
        <v>228</v>
      </c>
      <c r="X241" s="0" t="s">
        <v>3557</v>
      </c>
      <c r="Y241" s="0" t="s">
        <v>228</v>
      </c>
      <c r="Z241" s="0" t="s">
        <v>160</v>
      </c>
      <c r="AA241" s="0" t="s">
        <v>151</v>
      </c>
      <c r="AB241" s="0" t="s">
        <v>151</v>
      </c>
      <c r="AC241" s="0" t="s">
        <v>2317</v>
      </c>
      <c r="AD241" s="0" t="s">
        <v>2317</v>
      </c>
      <c r="AE241" s="0" t="s">
        <v>2318</v>
      </c>
      <c r="AF241" s="0" t="s">
        <v>4487</v>
      </c>
      <c r="AG241" s="0" t="s">
        <v>4488</v>
      </c>
      <c r="AH241" s="0" t="s">
        <v>4702</v>
      </c>
      <c r="AI241" s="0" t="s">
        <v>4626</v>
      </c>
      <c r="AJ241" s="0" t="s">
        <v>3652</v>
      </c>
      <c r="AK241" s="0" t="s">
        <v>3749</v>
      </c>
      <c r="AL241" s="0" t="s">
        <v>3581</v>
      </c>
      <c r="AM241" s="0" t="s">
        <v>3565</v>
      </c>
      <c r="AN241" s="0" t="s">
        <v>3628</v>
      </c>
      <c r="AO241" s="0" t="s">
        <v>3701</v>
      </c>
      <c r="AP241" s="0" t="s">
        <v>228</v>
      </c>
      <c r="AQ241" s="0" t="s">
        <v>228</v>
      </c>
      <c r="AR241" s="0" t="s">
        <v>228</v>
      </c>
      <c r="AS241" s="0" t="s">
        <v>228</v>
      </c>
      <c r="AT241" s="0" t="s">
        <v>228</v>
      </c>
      <c r="AU241" s="0" t="s">
        <v>228</v>
      </c>
      <c r="AV241" s="0" t="s">
        <v>228</v>
      </c>
      <c r="AW241" s="0" t="s">
        <v>228</v>
      </c>
      <c r="AX241" s="0" t="s">
        <v>228</v>
      </c>
      <c r="AY241" s="0" t="s">
        <v>228</v>
      </c>
      <c r="AZ241" s="0" t="s">
        <v>228</v>
      </c>
      <c r="BA241" s="0" t="s">
        <v>228</v>
      </c>
      <c r="BB241" s="0" t="s">
        <v>228</v>
      </c>
      <c r="BC241" s="0" t="s">
        <v>228</v>
      </c>
      <c r="BD241" s="0" t="s">
        <v>228</v>
      </c>
      <c r="BE241" s="0" t="s">
        <v>228</v>
      </c>
      <c r="BF241" s="0" t="s">
        <v>228</v>
      </c>
      <c r="BG241" s="0" t="s">
        <v>228</v>
      </c>
      <c r="BH241" s="0" t="s">
        <v>228</v>
      </c>
      <c r="BI241" s="0" t="s">
        <v>228</v>
      </c>
      <c r="BJ241" s="0" t="s">
        <v>228</v>
      </c>
      <c r="BK241" s="0" t="s">
        <v>228</v>
      </c>
      <c r="BL241" s="0" t="s">
        <v>228</v>
      </c>
      <c r="BM241" s="0" t="s">
        <v>228</v>
      </c>
      <c r="BN241" s="0" t="s">
        <v>228</v>
      </c>
      <c r="BO241" s="0" t="s">
        <v>228</v>
      </c>
      <c r="BP241" s="0" t="s">
        <v>228</v>
      </c>
      <c r="BQ241" s="0" t="s">
        <v>228</v>
      </c>
      <c r="BR241" s="0" t="s">
        <v>228</v>
      </c>
      <c r="BS241" s="0" t="s">
        <v>228</v>
      </c>
      <c r="BT241" s="0" t="s">
        <v>228</v>
      </c>
      <c r="BU241" s="0" t="s">
        <v>228</v>
      </c>
      <c r="BV241" s="0" t="s">
        <v>228</v>
      </c>
      <c r="BW241" s="0" t="s">
        <v>228</v>
      </c>
      <c r="BX241" s="0" t="s">
        <v>228</v>
      </c>
      <c r="BY241" s="0" t="s">
        <v>228</v>
      </c>
      <c r="BZ241" s="0" t="s">
        <v>228</v>
      </c>
      <c r="CA241" s="0" t="s">
        <v>228</v>
      </c>
      <c r="CB241" s="0" t="s">
        <v>228</v>
      </c>
      <c r="CC241" s="0" t="s">
        <v>228</v>
      </c>
      <c r="CD241" s="0" t="s">
        <v>228</v>
      </c>
      <c r="CE241" s="0" t="s">
        <v>228</v>
      </c>
      <c r="CF241" s="0" t="s">
        <v>228</v>
      </c>
      <c r="CG241" s="0" t="s">
        <v>228</v>
      </c>
      <c r="CH241" s="0" t="s">
        <v>228</v>
      </c>
      <c r="CI241" s="0" t="s">
        <v>228</v>
      </c>
      <c r="CJ241" s="0" t="s">
        <v>228</v>
      </c>
      <c r="CK241" s="0" t="s">
        <v>228</v>
      </c>
      <c r="CL241" s="0" t="s">
        <v>228</v>
      </c>
      <c r="CM241" s="0" t="s">
        <v>228</v>
      </c>
      <c r="CN241" s="0" t="s">
        <v>228</v>
      </c>
      <c r="CO241" s="0" t="s">
        <v>228</v>
      </c>
      <c r="CP241" s="0" t="s">
        <v>228</v>
      </c>
      <c r="CQ241" s="0" t="s">
        <v>228</v>
      </c>
      <c r="CR241" s="0" t="s">
        <v>228</v>
      </c>
      <c r="CS241" s="0" t="s">
        <v>228</v>
      </c>
      <c r="CT241" s="0" t="s">
        <v>3568</v>
      </c>
      <c r="CU241" s="0" t="s">
        <v>3569</v>
      </c>
      <c r="CV241" s="0" t="s">
        <v>418</v>
      </c>
      <c r="CW241" s="0" t="s">
        <v>3622</v>
      </c>
      <c r="CX241" s="0" t="s">
        <v>419</v>
      </c>
      <c r="CY241" s="0" t="s">
        <v>418</v>
      </c>
      <c r="CZ241" s="0" t="s">
        <v>3623</v>
      </c>
      <c r="DA241" s="0" t="s">
        <v>3624</v>
      </c>
      <c r="DB241" s="0" t="s">
        <v>3622</v>
      </c>
      <c r="DC241" s="0" t="s">
        <v>362</v>
      </c>
      <c r="DD241" s="0" t="s">
        <v>3572</v>
      </c>
      <c r="DE241" s="0" t="s">
        <v>4703</v>
      </c>
    </row>
    <row customHeight="1" ht="11.25">
      <c r="A242" s="1353" t="s">
        <v>228</v>
      </c>
      <c r="B242" s="0" t="s">
        <v>228</v>
      </c>
      <c r="C242" s="0" t="s">
        <v>228</v>
      </c>
      <c r="D242" s="0" t="s">
        <v>228</v>
      </c>
      <c r="E242" s="0" t="s">
        <v>228</v>
      </c>
      <c r="F242" s="0" t="s">
        <v>228</v>
      </c>
      <c r="G242" s="0" t="s">
        <v>228</v>
      </c>
      <c r="H242" s="0" t="s">
        <v>228</v>
      </c>
      <c r="I242" s="0" t="s">
        <v>3555</v>
      </c>
      <c r="J242" s="0" t="s">
        <v>228</v>
      </c>
      <c r="K242" s="0" t="s">
        <v>228</v>
      </c>
      <c r="L242" s="0" t="s">
        <v>228</v>
      </c>
      <c r="M242" s="0" t="s">
        <v>228</v>
      </c>
      <c r="N242" s="0" t="s">
        <v>228</v>
      </c>
      <c r="O242" s="0" t="s">
        <v>228</v>
      </c>
      <c r="P242" s="0" t="s">
        <v>228</v>
      </c>
      <c r="Q242" s="0" t="s">
        <v>228</v>
      </c>
      <c r="R242" s="0" t="s">
        <v>3648</v>
      </c>
      <c r="S242" s="0" t="s">
        <v>228</v>
      </c>
      <c r="T242" s="0" t="s">
        <v>228</v>
      </c>
      <c r="U242" s="0" t="s">
        <v>101</v>
      </c>
      <c r="V242" s="0" t="s">
        <v>228</v>
      </c>
      <c r="W242" s="0" t="s">
        <v>228</v>
      </c>
      <c r="X242" s="0" t="s">
        <v>3557</v>
      </c>
      <c r="Y242" s="0" t="s">
        <v>228</v>
      </c>
      <c r="Z242" s="0" t="s">
        <v>160</v>
      </c>
      <c r="AA242" s="0" t="s">
        <v>151</v>
      </c>
      <c r="AB242" s="0" t="s">
        <v>151</v>
      </c>
      <c r="AC242" s="0" t="s">
        <v>2317</v>
      </c>
      <c r="AD242" s="0" t="s">
        <v>2317</v>
      </c>
      <c r="AE242" s="0" t="s">
        <v>2318</v>
      </c>
      <c r="AF242" s="0" t="s">
        <v>4487</v>
      </c>
      <c r="AG242" s="0" t="s">
        <v>4488</v>
      </c>
      <c r="AH242" s="0" t="s">
        <v>4704</v>
      </c>
      <c r="AI242" s="0" t="s">
        <v>4705</v>
      </c>
      <c r="AJ242" s="0" t="s">
        <v>3579</v>
      </c>
      <c r="AK242" s="0" t="s">
        <v>3619</v>
      </c>
      <c r="AL242" s="0" t="s">
        <v>3581</v>
      </c>
      <c r="AM242" s="0" t="s">
        <v>3565</v>
      </c>
      <c r="AN242" s="0" t="s">
        <v>3628</v>
      </c>
      <c r="AO242" s="0" t="s">
        <v>4706</v>
      </c>
      <c r="AP242" s="0" t="s">
        <v>228</v>
      </c>
      <c r="AQ242" s="0" t="s">
        <v>228</v>
      </c>
      <c r="AR242" s="0" t="s">
        <v>228</v>
      </c>
      <c r="AS242" s="0" t="s">
        <v>228</v>
      </c>
      <c r="AT242" s="0" t="s">
        <v>228</v>
      </c>
      <c r="AU242" s="0" t="s">
        <v>228</v>
      </c>
      <c r="AV242" s="0" t="s">
        <v>228</v>
      </c>
      <c r="AW242" s="0" t="s">
        <v>228</v>
      </c>
      <c r="AX242" s="0" t="s">
        <v>228</v>
      </c>
      <c r="AY242" s="0" t="s">
        <v>228</v>
      </c>
      <c r="AZ242" s="0" t="s">
        <v>228</v>
      </c>
      <c r="BA242" s="0" t="s">
        <v>228</v>
      </c>
      <c r="BB242" s="0" t="s">
        <v>228</v>
      </c>
      <c r="BC242" s="0" t="s">
        <v>228</v>
      </c>
      <c r="BD242" s="0" t="s">
        <v>228</v>
      </c>
      <c r="BE242" s="0" t="s">
        <v>228</v>
      </c>
      <c r="BF242" s="0" t="s">
        <v>228</v>
      </c>
      <c r="BG242" s="0" t="s">
        <v>228</v>
      </c>
      <c r="BH242" s="0" t="s">
        <v>228</v>
      </c>
      <c r="BI242" s="0" t="s">
        <v>228</v>
      </c>
      <c r="BJ242" s="0" t="s">
        <v>228</v>
      </c>
      <c r="BK242" s="0" t="s">
        <v>228</v>
      </c>
      <c r="BL242" s="0" t="s">
        <v>228</v>
      </c>
      <c r="BM242" s="0" t="s">
        <v>228</v>
      </c>
      <c r="BN242" s="0" t="s">
        <v>228</v>
      </c>
      <c r="BO242" s="0" t="s">
        <v>228</v>
      </c>
      <c r="BP242" s="0" t="s">
        <v>228</v>
      </c>
      <c r="BQ242" s="0" t="s">
        <v>228</v>
      </c>
      <c r="BR242" s="0" t="s">
        <v>228</v>
      </c>
      <c r="BS242" s="0" t="s">
        <v>228</v>
      </c>
      <c r="BT242" s="0" t="s">
        <v>228</v>
      </c>
      <c r="BU242" s="0" t="s">
        <v>228</v>
      </c>
      <c r="BV242" s="0" t="s">
        <v>228</v>
      </c>
      <c r="BW242" s="0" t="s">
        <v>228</v>
      </c>
      <c r="BX242" s="0" t="s">
        <v>228</v>
      </c>
      <c r="BY242" s="0" t="s">
        <v>228</v>
      </c>
      <c r="BZ242" s="0" t="s">
        <v>228</v>
      </c>
      <c r="CA242" s="0" t="s">
        <v>228</v>
      </c>
      <c r="CB242" s="0" t="s">
        <v>228</v>
      </c>
      <c r="CC242" s="0" t="s">
        <v>228</v>
      </c>
      <c r="CD242" s="0" t="s">
        <v>228</v>
      </c>
      <c r="CE242" s="0" t="s">
        <v>228</v>
      </c>
      <c r="CF242" s="0" t="s">
        <v>228</v>
      </c>
      <c r="CG242" s="0" t="s">
        <v>228</v>
      </c>
      <c r="CH242" s="0" t="s">
        <v>228</v>
      </c>
      <c r="CI242" s="0" t="s">
        <v>228</v>
      </c>
      <c r="CJ242" s="0" t="s">
        <v>228</v>
      </c>
      <c r="CK242" s="0" t="s">
        <v>228</v>
      </c>
      <c r="CL242" s="0" t="s">
        <v>228</v>
      </c>
      <c r="CM242" s="0" t="s">
        <v>228</v>
      </c>
      <c r="CN242" s="0" t="s">
        <v>228</v>
      </c>
      <c r="CO242" s="0" t="s">
        <v>228</v>
      </c>
      <c r="CP242" s="0" t="s">
        <v>228</v>
      </c>
      <c r="CQ242" s="0" t="s">
        <v>228</v>
      </c>
      <c r="CR242" s="0" t="s">
        <v>228</v>
      </c>
      <c r="CS242" s="0" t="s">
        <v>228</v>
      </c>
      <c r="CT242" s="0" t="s">
        <v>3568</v>
      </c>
      <c r="CU242" s="0" t="s">
        <v>3569</v>
      </c>
      <c r="CV242" s="0" t="s">
        <v>418</v>
      </c>
      <c r="CW242" s="0" t="s">
        <v>3622</v>
      </c>
      <c r="CX242" s="0" t="s">
        <v>419</v>
      </c>
      <c r="CY242" s="0" t="s">
        <v>418</v>
      </c>
      <c r="CZ242" s="0" t="s">
        <v>3623</v>
      </c>
      <c r="DA242" s="0" t="s">
        <v>3624</v>
      </c>
      <c r="DB242" s="0" t="s">
        <v>3622</v>
      </c>
      <c r="DC242" s="0" t="s">
        <v>362</v>
      </c>
      <c r="DD242" s="0" t="s">
        <v>3572</v>
      </c>
      <c r="DE242" s="0" t="s">
        <v>4707</v>
      </c>
    </row>
    <row customHeight="1" ht="11.25">
      <c r="A243" s="1353" t="s">
        <v>228</v>
      </c>
      <c r="B243" s="0" t="s">
        <v>228</v>
      </c>
      <c r="C243" s="0" t="s">
        <v>228</v>
      </c>
      <c r="D243" s="0" t="s">
        <v>228</v>
      </c>
      <c r="E243" s="0" t="s">
        <v>228</v>
      </c>
      <c r="F243" s="0" t="s">
        <v>228</v>
      </c>
      <c r="G243" s="0" t="s">
        <v>228</v>
      </c>
      <c r="H243" s="0" t="s">
        <v>228</v>
      </c>
      <c r="I243" s="0" t="s">
        <v>3555</v>
      </c>
      <c r="J243" s="0" t="s">
        <v>228</v>
      </c>
      <c r="K243" s="0" t="s">
        <v>228</v>
      </c>
      <c r="L243" s="0" t="s">
        <v>228</v>
      </c>
      <c r="M243" s="0" t="s">
        <v>228</v>
      </c>
      <c r="N243" s="0" t="s">
        <v>228</v>
      </c>
      <c r="O243" s="0" t="s">
        <v>228</v>
      </c>
      <c r="P243" s="0" t="s">
        <v>228</v>
      </c>
      <c r="Q243" s="0" t="s">
        <v>228</v>
      </c>
      <c r="R243" s="0" t="s">
        <v>4708</v>
      </c>
      <c r="S243" s="0" t="s">
        <v>228</v>
      </c>
      <c r="T243" s="0" t="s">
        <v>228</v>
      </c>
      <c r="U243" s="0" t="s">
        <v>101</v>
      </c>
      <c r="V243" s="0" t="s">
        <v>228</v>
      </c>
      <c r="W243" s="0" t="s">
        <v>228</v>
      </c>
      <c r="X243" s="0" t="s">
        <v>3557</v>
      </c>
      <c r="Y243" s="0" t="s">
        <v>228</v>
      </c>
      <c r="Z243" s="0" t="s">
        <v>160</v>
      </c>
      <c r="AA243" s="0" t="s">
        <v>151</v>
      </c>
      <c r="AB243" s="0" t="s">
        <v>151</v>
      </c>
      <c r="AC243" s="0" t="s">
        <v>2311</v>
      </c>
      <c r="AD243" s="0" t="s">
        <v>2311</v>
      </c>
      <c r="AE243" s="0" t="s">
        <v>2312</v>
      </c>
      <c r="AF243" s="0" t="s">
        <v>4709</v>
      </c>
      <c r="AG243" s="0" t="s">
        <v>4710</v>
      </c>
      <c r="AH243" s="0" t="s">
        <v>3693</v>
      </c>
      <c r="AI243" s="0" t="s">
        <v>1715</v>
      </c>
      <c r="AJ243" s="0" t="s">
        <v>3579</v>
      </c>
      <c r="AK243" s="0" t="s">
        <v>4711</v>
      </c>
      <c r="AL243" s="0" t="s">
        <v>3581</v>
      </c>
      <c r="AM243" s="0" t="s">
        <v>3565</v>
      </c>
      <c r="AN243" s="0" t="s">
        <v>3628</v>
      </c>
      <c r="AO243" s="0" t="s">
        <v>3583</v>
      </c>
      <c r="AP243" s="0" t="s">
        <v>228</v>
      </c>
      <c r="AQ243" s="0" t="s">
        <v>228</v>
      </c>
      <c r="AR243" s="0" t="s">
        <v>228</v>
      </c>
      <c r="AS243" s="0" t="s">
        <v>228</v>
      </c>
      <c r="AT243" s="0" t="s">
        <v>228</v>
      </c>
      <c r="AU243" s="0" t="s">
        <v>228</v>
      </c>
      <c r="AV243" s="0" t="s">
        <v>228</v>
      </c>
      <c r="AW243" s="0" t="s">
        <v>228</v>
      </c>
      <c r="AX243" s="0" t="s">
        <v>228</v>
      </c>
      <c r="AY243" s="0" t="s">
        <v>228</v>
      </c>
      <c r="AZ243" s="0" t="s">
        <v>228</v>
      </c>
      <c r="BA243" s="0" t="s">
        <v>228</v>
      </c>
      <c r="BB243" s="0" t="s">
        <v>228</v>
      </c>
      <c r="BC243" s="0" t="s">
        <v>228</v>
      </c>
      <c r="BD243" s="0" t="s">
        <v>228</v>
      </c>
      <c r="BE243" s="0" t="s">
        <v>228</v>
      </c>
      <c r="BF243" s="0" t="s">
        <v>228</v>
      </c>
      <c r="BG243" s="0" t="s">
        <v>228</v>
      </c>
      <c r="BH243" s="0" t="s">
        <v>228</v>
      </c>
      <c r="BI243" s="0" t="s">
        <v>228</v>
      </c>
      <c r="BJ243" s="0" t="s">
        <v>228</v>
      </c>
      <c r="BK243" s="0" t="s">
        <v>228</v>
      </c>
      <c r="BL243" s="0" t="s">
        <v>228</v>
      </c>
      <c r="BM243" s="0" t="s">
        <v>228</v>
      </c>
      <c r="BN243" s="0" t="s">
        <v>228</v>
      </c>
      <c r="BO243" s="0" t="s">
        <v>228</v>
      </c>
      <c r="BP243" s="0" t="s">
        <v>228</v>
      </c>
      <c r="BQ243" s="0" t="s">
        <v>228</v>
      </c>
      <c r="BR243" s="0" t="s">
        <v>228</v>
      </c>
      <c r="BS243" s="0" t="s">
        <v>228</v>
      </c>
      <c r="BT243" s="0" t="s">
        <v>228</v>
      </c>
      <c r="BU243" s="0" t="s">
        <v>228</v>
      </c>
      <c r="BV243" s="0" t="s">
        <v>228</v>
      </c>
      <c r="BW243" s="0" t="s">
        <v>228</v>
      </c>
      <c r="BX243" s="0" t="s">
        <v>228</v>
      </c>
      <c r="BY243" s="0" t="s">
        <v>228</v>
      </c>
      <c r="BZ243" s="0" t="s">
        <v>228</v>
      </c>
      <c r="CA243" s="0" t="s">
        <v>228</v>
      </c>
      <c r="CB243" s="0" t="s">
        <v>228</v>
      </c>
      <c r="CC243" s="0" t="s">
        <v>228</v>
      </c>
      <c r="CD243" s="0" t="s">
        <v>228</v>
      </c>
      <c r="CE243" s="0" t="s">
        <v>228</v>
      </c>
      <c r="CF243" s="0" t="s">
        <v>228</v>
      </c>
      <c r="CG243" s="0" t="s">
        <v>228</v>
      </c>
      <c r="CH243" s="0" t="s">
        <v>228</v>
      </c>
      <c r="CI243" s="0" t="s">
        <v>228</v>
      </c>
      <c r="CJ243" s="0" t="s">
        <v>228</v>
      </c>
      <c r="CK243" s="0" t="s">
        <v>228</v>
      </c>
      <c r="CL243" s="0" t="s">
        <v>228</v>
      </c>
      <c r="CM243" s="0" t="s">
        <v>228</v>
      </c>
      <c r="CN243" s="0" t="s">
        <v>228</v>
      </c>
      <c r="CO243" s="0" t="s">
        <v>228</v>
      </c>
      <c r="CP243" s="0" t="s">
        <v>228</v>
      </c>
      <c r="CQ243" s="0" t="s">
        <v>228</v>
      </c>
      <c r="CR243" s="0" t="s">
        <v>228</v>
      </c>
      <c r="CS243" s="0" t="s">
        <v>228</v>
      </c>
      <c r="CT243" s="0" t="s">
        <v>3568</v>
      </c>
      <c r="CU243" s="0" t="s">
        <v>4648</v>
      </c>
      <c r="CV243" s="0" t="s">
        <v>4649</v>
      </c>
      <c r="CW243" s="0" t="s">
        <v>4712</v>
      </c>
      <c r="CX243" s="0" t="s">
        <v>200</v>
      </c>
      <c r="CY243" s="0" t="s">
        <v>4651</v>
      </c>
      <c r="CZ243" s="0" t="s">
        <v>4713</v>
      </c>
      <c r="DA243" s="0" t="s">
        <v>4714</v>
      </c>
      <c r="DB243" s="0" t="s">
        <v>4712</v>
      </c>
      <c r="DC243" s="0" t="s">
        <v>362</v>
      </c>
      <c r="DD243" s="0" t="s">
        <v>3572</v>
      </c>
      <c r="DE243" s="0" t="s">
        <v>4715</v>
      </c>
    </row>
    <row customHeight="1" ht="11.25">
      <c r="A244" s="1353" t="s">
        <v>228</v>
      </c>
      <c r="B244" s="0" t="s">
        <v>228</v>
      </c>
      <c r="C244" s="0" t="s">
        <v>228</v>
      </c>
      <c r="D244" s="0" t="s">
        <v>228</v>
      </c>
      <c r="E244" s="0" t="s">
        <v>228</v>
      </c>
      <c r="F244" s="0" t="s">
        <v>228</v>
      </c>
      <c r="G244" s="0" t="s">
        <v>228</v>
      </c>
      <c r="H244" s="0" t="s">
        <v>228</v>
      </c>
      <c r="I244" s="0" t="s">
        <v>3555</v>
      </c>
      <c r="J244" s="0" t="s">
        <v>228</v>
      </c>
      <c r="K244" s="0" t="s">
        <v>228</v>
      </c>
      <c r="L244" s="0" t="s">
        <v>228</v>
      </c>
      <c r="M244" s="0" t="s">
        <v>228</v>
      </c>
      <c r="N244" s="0" t="s">
        <v>228</v>
      </c>
      <c r="O244" s="0" t="s">
        <v>228</v>
      </c>
      <c r="P244" s="0" t="s">
        <v>228</v>
      </c>
      <c r="Q244" s="0" t="s">
        <v>228</v>
      </c>
      <c r="R244" s="0" t="s">
        <v>4716</v>
      </c>
      <c r="S244" s="0" t="s">
        <v>228</v>
      </c>
      <c r="T244" s="0" t="s">
        <v>228</v>
      </c>
      <c r="U244" s="0" t="s">
        <v>101</v>
      </c>
      <c r="V244" s="0" t="s">
        <v>228</v>
      </c>
      <c r="W244" s="0" t="s">
        <v>228</v>
      </c>
      <c r="X244" s="0" t="s">
        <v>3557</v>
      </c>
      <c r="Y244" s="0" t="s">
        <v>228</v>
      </c>
      <c r="Z244" s="0" t="s">
        <v>160</v>
      </c>
      <c r="AA244" s="0" t="s">
        <v>151</v>
      </c>
      <c r="AB244" s="0" t="s">
        <v>151</v>
      </c>
      <c r="AC244" s="0" t="s">
        <v>2290</v>
      </c>
      <c r="AD244" s="0" t="s">
        <v>2290</v>
      </c>
      <c r="AE244" s="0" t="s">
        <v>2292</v>
      </c>
      <c r="AF244" s="0" t="s">
        <v>4453</v>
      </c>
      <c r="AG244" s="0" t="s">
        <v>4454</v>
      </c>
      <c r="AH244" s="0" t="s">
        <v>4455</v>
      </c>
      <c r="AI244" s="0" t="s">
        <v>4717</v>
      </c>
      <c r="AJ244" s="0" t="s">
        <v>3566</v>
      </c>
      <c r="AK244" s="0" t="s">
        <v>3674</v>
      </c>
      <c r="AL244" s="0" t="s">
        <v>3681</v>
      </c>
      <c r="AM244" s="0" t="s">
        <v>3565</v>
      </c>
      <c r="AN244" s="0" t="s">
        <v>3620</v>
      </c>
      <c r="AO244" s="0" t="s">
        <v>4277</v>
      </c>
      <c r="AP244" s="0" t="s">
        <v>228</v>
      </c>
      <c r="AQ244" s="0" t="s">
        <v>228</v>
      </c>
      <c r="AR244" s="0" t="s">
        <v>228</v>
      </c>
      <c r="AS244" s="0" t="s">
        <v>228</v>
      </c>
      <c r="AT244" s="0" t="s">
        <v>228</v>
      </c>
      <c r="AU244" s="0" t="s">
        <v>228</v>
      </c>
      <c r="AV244" s="0" t="s">
        <v>228</v>
      </c>
      <c r="AW244" s="0" t="s">
        <v>228</v>
      </c>
      <c r="AX244" s="0" t="s">
        <v>228</v>
      </c>
      <c r="AY244" s="0" t="s">
        <v>228</v>
      </c>
      <c r="AZ244" s="0" t="s">
        <v>228</v>
      </c>
      <c r="BA244" s="0" t="s">
        <v>228</v>
      </c>
      <c r="BB244" s="0" t="s">
        <v>228</v>
      </c>
      <c r="BC244" s="0" t="s">
        <v>228</v>
      </c>
      <c r="BD244" s="0" t="s">
        <v>228</v>
      </c>
      <c r="BE244" s="0" t="s">
        <v>228</v>
      </c>
      <c r="BF244" s="0" t="s">
        <v>228</v>
      </c>
      <c r="BG244" s="0" t="s">
        <v>228</v>
      </c>
      <c r="BH244" s="0" t="s">
        <v>228</v>
      </c>
      <c r="BI244" s="0" t="s">
        <v>228</v>
      </c>
      <c r="BJ244" s="0" t="s">
        <v>228</v>
      </c>
      <c r="BK244" s="0" t="s">
        <v>228</v>
      </c>
      <c r="BL244" s="0" t="s">
        <v>228</v>
      </c>
      <c r="BM244" s="0" t="s">
        <v>228</v>
      </c>
      <c r="BN244" s="0" t="s">
        <v>228</v>
      </c>
      <c r="BO244" s="0" t="s">
        <v>228</v>
      </c>
      <c r="BP244" s="0" t="s">
        <v>228</v>
      </c>
      <c r="BQ244" s="0" t="s">
        <v>228</v>
      </c>
      <c r="BR244" s="0" t="s">
        <v>228</v>
      </c>
      <c r="BS244" s="0" t="s">
        <v>228</v>
      </c>
      <c r="BT244" s="0" t="s">
        <v>228</v>
      </c>
      <c r="BU244" s="0" t="s">
        <v>228</v>
      </c>
      <c r="BV244" s="0" t="s">
        <v>228</v>
      </c>
      <c r="BW244" s="0" t="s">
        <v>228</v>
      </c>
      <c r="BX244" s="0" t="s">
        <v>228</v>
      </c>
      <c r="BY244" s="0" t="s">
        <v>228</v>
      </c>
      <c r="BZ244" s="0" t="s">
        <v>228</v>
      </c>
      <c r="CA244" s="0" t="s">
        <v>228</v>
      </c>
      <c r="CB244" s="0" t="s">
        <v>228</v>
      </c>
      <c r="CC244" s="0" t="s">
        <v>228</v>
      </c>
      <c r="CD244" s="0" t="s">
        <v>228</v>
      </c>
      <c r="CE244" s="0" t="s">
        <v>228</v>
      </c>
      <c r="CF244" s="0" t="s">
        <v>228</v>
      </c>
      <c r="CG244" s="0" t="s">
        <v>228</v>
      </c>
      <c r="CH244" s="0" t="s">
        <v>228</v>
      </c>
      <c r="CI244" s="0" t="s">
        <v>228</v>
      </c>
      <c r="CJ244" s="0" t="s">
        <v>228</v>
      </c>
      <c r="CK244" s="0" t="s">
        <v>228</v>
      </c>
      <c r="CL244" s="0" t="s">
        <v>228</v>
      </c>
      <c r="CM244" s="0" t="s">
        <v>228</v>
      </c>
      <c r="CN244" s="0" t="s">
        <v>228</v>
      </c>
      <c r="CO244" s="0" t="s">
        <v>228</v>
      </c>
      <c r="CP244" s="0" t="s">
        <v>228</v>
      </c>
      <c r="CQ244" s="0" t="s">
        <v>228</v>
      </c>
      <c r="CR244" s="0" t="s">
        <v>228</v>
      </c>
      <c r="CS244" s="0" t="s">
        <v>228</v>
      </c>
      <c r="CT244" s="0" t="s">
        <v>3568</v>
      </c>
      <c r="CU244" s="0" t="s">
        <v>3569</v>
      </c>
      <c r="CV244" s="0" t="s">
        <v>418</v>
      </c>
      <c r="CW244" s="0" t="s">
        <v>3570</v>
      </c>
      <c r="CX244" s="0" t="s">
        <v>419</v>
      </c>
      <c r="CY244" s="0" t="s">
        <v>418</v>
      </c>
      <c r="CZ244" s="0" t="s">
        <v>3571</v>
      </c>
      <c r="DA244" s="0" t="s">
        <v>420</v>
      </c>
      <c r="DB244" s="0" t="s">
        <v>3570</v>
      </c>
      <c r="DC244" s="0" t="s">
        <v>362</v>
      </c>
      <c r="DD244" s="0" t="s">
        <v>3572</v>
      </c>
      <c r="DE244" s="0" t="s">
        <v>4718</v>
      </c>
    </row>
    <row customHeight="1" ht="11.25">
      <c r="A245" s="1353" t="s">
        <v>228</v>
      </c>
      <c r="B245" s="0" t="s">
        <v>228</v>
      </c>
      <c r="C245" s="0" t="s">
        <v>228</v>
      </c>
      <c r="D245" s="0" t="s">
        <v>228</v>
      </c>
      <c r="E245" s="0" t="s">
        <v>228</v>
      </c>
      <c r="F245" s="0" t="s">
        <v>228</v>
      </c>
      <c r="G245" s="0" t="s">
        <v>228</v>
      </c>
      <c r="H245" s="0" t="s">
        <v>228</v>
      </c>
      <c r="I245" s="0" t="s">
        <v>3555</v>
      </c>
      <c r="J245" s="0" t="s">
        <v>228</v>
      </c>
      <c r="K245" s="0" t="s">
        <v>228</v>
      </c>
      <c r="L245" s="0" t="s">
        <v>228</v>
      </c>
      <c r="M245" s="0" t="s">
        <v>228</v>
      </c>
      <c r="N245" s="0" t="s">
        <v>228</v>
      </c>
      <c r="O245" s="0" t="s">
        <v>228</v>
      </c>
      <c r="P245" s="0" t="s">
        <v>228</v>
      </c>
      <c r="Q245" s="0" t="s">
        <v>228</v>
      </c>
      <c r="R245" s="0" t="s">
        <v>3718</v>
      </c>
      <c r="S245" s="0" t="s">
        <v>228</v>
      </c>
      <c r="T245" s="0" t="s">
        <v>228</v>
      </c>
      <c r="U245" s="0" t="s">
        <v>101</v>
      </c>
      <c r="V245" s="0" t="s">
        <v>228</v>
      </c>
      <c r="W245" s="0" t="s">
        <v>228</v>
      </c>
      <c r="X245" s="0" t="s">
        <v>3661</v>
      </c>
      <c r="Y245" s="0" t="s">
        <v>228</v>
      </c>
      <c r="Z245" s="0" t="s">
        <v>151</v>
      </c>
      <c r="AA245" s="0" t="s">
        <v>151</v>
      </c>
      <c r="AB245" s="0" t="s">
        <v>160</v>
      </c>
      <c r="AC245" s="0" t="s">
        <v>2290</v>
      </c>
      <c r="AD245" s="0" t="s">
        <v>2290</v>
      </c>
      <c r="AE245" s="0" t="s">
        <v>2292</v>
      </c>
      <c r="AF245" s="0" t="s">
        <v>3558</v>
      </c>
      <c r="AG245" s="0" t="s">
        <v>3559</v>
      </c>
      <c r="AH245" s="0" t="s">
        <v>4719</v>
      </c>
      <c r="AI245" s="0" t="s">
        <v>3651</v>
      </c>
      <c r="AJ245" s="0" t="s">
        <v>228</v>
      </c>
      <c r="AK245" s="0" t="s">
        <v>228</v>
      </c>
      <c r="AL245" s="0" t="s">
        <v>228</v>
      </c>
      <c r="AM245" s="0" t="s">
        <v>228</v>
      </c>
      <c r="AN245" s="0" t="s">
        <v>228</v>
      </c>
      <c r="AO245" s="0" t="s">
        <v>228</v>
      </c>
      <c r="AP245" s="0" t="s">
        <v>228</v>
      </c>
      <c r="AQ245" s="0" t="s">
        <v>228</v>
      </c>
      <c r="AR245" s="0" t="s">
        <v>228</v>
      </c>
      <c r="AS245" s="0" t="s">
        <v>228</v>
      </c>
      <c r="AT245" s="0" t="s">
        <v>228</v>
      </c>
      <c r="AU245" s="0" t="s">
        <v>228</v>
      </c>
      <c r="AV245" s="0" t="s">
        <v>228</v>
      </c>
      <c r="AW245" s="0" t="s">
        <v>228</v>
      </c>
      <c r="AX245" s="0" t="s">
        <v>228</v>
      </c>
      <c r="AY245" s="0" t="s">
        <v>228</v>
      </c>
      <c r="AZ245" s="0" t="s">
        <v>228</v>
      </c>
      <c r="BA245" s="0" t="s">
        <v>228</v>
      </c>
      <c r="BB245" s="0" t="s">
        <v>228</v>
      </c>
      <c r="BC245" s="0" t="s">
        <v>228</v>
      </c>
      <c r="BD245" s="0" t="s">
        <v>228</v>
      </c>
      <c r="BE245" s="0" t="s">
        <v>4612</v>
      </c>
      <c r="BF245" s="0" t="s">
        <v>4613</v>
      </c>
      <c r="BG245" s="0" t="s">
        <v>111</v>
      </c>
      <c r="BH245" s="0" t="s">
        <v>3665</v>
      </c>
      <c r="BI245" s="0" t="s">
        <v>122</v>
      </c>
      <c r="BJ245" s="0" t="s">
        <v>228</v>
      </c>
      <c r="BK245" s="0" t="s">
        <v>4607</v>
      </c>
      <c r="BL245" s="0" t="s">
        <v>2288</v>
      </c>
      <c r="BM245" s="0" t="s">
        <v>2288</v>
      </c>
      <c r="BN245" s="0" t="s">
        <v>4720</v>
      </c>
      <c r="BO245" s="0" t="s">
        <v>4608</v>
      </c>
      <c r="BP245" s="0" t="s">
        <v>4721</v>
      </c>
      <c r="BQ245" s="0" t="s">
        <v>4608</v>
      </c>
      <c r="BR245" s="0" t="s">
        <v>4611</v>
      </c>
      <c r="BS245" s="0" t="s">
        <v>228</v>
      </c>
      <c r="BT245" s="0" t="s">
        <v>3727</v>
      </c>
      <c r="BU245" s="0" t="s">
        <v>4722</v>
      </c>
      <c r="BV245" s="0" t="s">
        <v>4723</v>
      </c>
      <c r="BW245" s="0" t="s">
        <v>4724</v>
      </c>
      <c r="BX245" s="0" t="s">
        <v>3566</v>
      </c>
      <c r="BY245" s="0" t="s">
        <v>4725</v>
      </c>
      <c r="BZ245" s="0" t="s">
        <v>4726</v>
      </c>
      <c r="CA245" s="0" t="s">
        <v>3674</v>
      </c>
      <c r="CB245" s="0" t="s">
        <v>228</v>
      </c>
      <c r="CC245" s="0" t="s">
        <v>228</v>
      </c>
      <c r="CD245" s="0" t="s">
        <v>228</v>
      </c>
      <c r="CE245" s="0" t="s">
        <v>228</v>
      </c>
      <c r="CF245" s="0" t="s">
        <v>228</v>
      </c>
      <c r="CG245" s="0" t="s">
        <v>3674</v>
      </c>
      <c r="CH245" s="0" t="s">
        <v>228</v>
      </c>
      <c r="CI245" s="0" t="s">
        <v>228</v>
      </c>
      <c r="CJ245" s="0" t="s">
        <v>228</v>
      </c>
      <c r="CK245" s="0" t="s">
        <v>228</v>
      </c>
      <c r="CL245" s="0" t="s">
        <v>228</v>
      </c>
      <c r="CM245" s="0" t="s">
        <v>4722</v>
      </c>
      <c r="CN245" s="0" t="s">
        <v>4723</v>
      </c>
      <c r="CO245" s="0" t="s">
        <v>4724</v>
      </c>
      <c r="CP245" s="0" t="s">
        <v>3566</v>
      </c>
      <c r="CQ245" s="0" t="s">
        <v>4725</v>
      </c>
      <c r="CR245" s="0" t="s">
        <v>4726</v>
      </c>
      <c r="CS245" s="0" t="s">
        <v>4727</v>
      </c>
      <c r="CT245" s="0" t="s">
        <v>3568</v>
      </c>
      <c r="CU245" s="0" t="s">
        <v>3569</v>
      </c>
      <c r="CV245" s="0" t="s">
        <v>418</v>
      </c>
      <c r="CW245" s="0" t="s">
        <v>3570</v>
      </c>
      <c r="CX245" s="0" t="s">
        <v>419</v>
      </c>
      <c r="CY245" s="0" t="s">
        <v>418</v>
      </c>
      <c r="CZ245" s="0" t="s">
        <v>3571</v>
      </c>
      <c r="DA245" s="0" t="s">
        <v>420</v>
      </c>
      <c r="DB245" s="0" t="s">
        <v>3570</v>
      </c>
      <c r="DC245" s="0" t="s">
        <v>362</v>
      </c>
      <c r="DD245" s="0" t="s">
        <v>3572</v>
      </c>
      <c r="DE245" s="0" t="s">
        <v>4728</v>
      </c>
    </row>
    <row customHeight="1" ht="11.25">
      <c r="A246" s="1353" t="s">
        <v>228</v>
      </c>
      <c r="B246" s="0" t="s">
        <v>228</v>
      </c>
      <c r="C246" s="0" t="s">
        <v>228</v>
      </c>
      <c r="D246" s="0" t="s">
        <v>228</v>
      </c>
      <c r="E246" s="0" t="s">
        <v>228</v>
      </c>
      <c r="F246" s="0" t="s">
        <v>228</v>
      </c>
      <c r="G246" s="0" t="s">
        <v>228</v>
      </c>
      <c r="H246" s="0" t="s">
        <v>228</v>
      </c>
      <c r="I246" s="0" t="s">
        <v>3555</v>
      </c>
      <c r="J246" s="0" t="s">
        <v>228</v>
      </c>
      <c r="K246" s="0" t="s">
        <v>228</v>
      </c>
      <c r="L246" s="0" t="s">
        <v>228</v>
      </c>
      <c r="M246" s="0" t="s">
        <v>228</v>
      </c>
      <c r="N246" s="0" t="s">
        <v>228</v>
      </c>
      <c r="O246" s="0" t="s">
        <v>228</v>
      </c>
      <c r="P246" s="0" t="s">
        <v>228</v>
      </c>
      <c r="Q246" s="0" t="s">
        <v>228</v>
      </c>
      <c r="R246" s="0" t="s">
        <v>3684</v>
      </c>
      <c r="S246" s="0" t="s">
        <v>228</v>
      </c>
      <c r="T246" s="0" t="s">
        <v>228</v>
      </c>
      <c r="U246" s="0" t="s">
        <v>101</v>
      </c>
      <c r="V246" s="0" t="s">
        <v>228</v>
      </c>
      <c r="W246" s="0" t="s">
        <v>228</v>
      </c>
      <c r="X246" s="0" t="s">
        <v>3557</v>
      </c>
      <c r="Y246" s="0" t="s">
        <v>228</v>
      </c>
      <c r="Z246" s="0" t="s">
        <v>160</v>
      </c>
      <c r="AA246" s="0" t="s">
        <v>151</v>
      </c>
      <c r="AB246" s="0" t="s">
        <v>151</v>
      </c>
      <c r="AC246" s="0" t="s">
        <v>2311</v>
      </c>
      <c r="AD246" s="0" t="s">
        <v>2311</v>
      </c>
      <c r="AE246" s="0" t="s">
        <v>2312</v>
      </c>
      <c r="AF246" s="0" t="s">
        <v>4520</v>
      </c>
      <c r="AG246" s="0" t="s">
        <v>4521</v>
      </c>
      <c r="AH246" s="0" t="s">
        <v>4729</v>
      </c>
      <c r="AI246" s="0" t="s">
        <v>4730</v>
      </c>
      <c r="AJ246" s="0" t="s">
        <v>3579</v>
      </c>
      <c r="AK246" s="0" t="s">
        <v>3580</v>
      </c>
      <c r="AL246" s="0" t="s">
        <v>3581</v>
      </c>
      <c r="AM246" s="0" t="s">
        <v>3565</v>
      </c>
      <c r="AN246" s="0" t="s">
        <v>3582</v>
      </c>
      <c r="AO246" s="0" t="s">
        <v>3712</v>
      </c>
      <c r="AP246" s="0" t="s">
        <v>228</v>
      </c>
      <c r="AQ246" s="0" t="s">
        <v>228</v>
      </c>
      <c r="AR246" s="0" t="s">
        <v>228</v>
      </c>
      <c r="AS246" s="0" t="s">
        <v>228</v>
      </c>
      <c r="AT246" s="0" t="s">
        <v>228</v>
      </c>
      <c r="AU246" s="0" t="s">
        <v>228</v>
      </c>
      <c r="AV246" s="0" t="s">
        <v>228</v>
      </c>
      <c r="AW246" s="0" t="s">
        <v>228</v>
      </c>
      <c r="AX246" s="0" t="s">
        <v>228</v>
      </c>
      <c r="AY246" s="0" t="s">
        <v>228</v>
      </c>
      <c r="AZ246" s="0" t="s">
        <v>228</v>
      </c>
      <c r="BA246" s="0" t="s">
        <v>228</v>
      </c>
      <c r="BB246" s="0" t="s">
        <v>228</v>
      </c>
      <c r="BC246" s="0" t="s">
        <v>228</v>
      </c>
      <c r="BD246" s="0" t="s">
        <v>228</v>
      </c>
      <c r="BE246" s="0" t="s">
        <v>228</v>
      </c>
      <c r="BF246" s="0" t="s">
        <v>228</v>
      </c>
      <c r="BG246" s="0" t="s">
        <v>228</v>
      </c>
      <c r="BH246" s="0" t="s">
        <v>228</v>
      </c>
      <c r="BI246" s="0" t="s">
        <v>228</v>
      </c>
      <c r="BJ246" s="0" t="s">
        <v>228</v>
      </c>
      <c r="BK246" s="0" t="s">
        <v>228</v>
      </c>
      <c r="BL246" s="0" t="s">
        <v>228</v>
      </c>
      <c r="BM246" s="0" t="s">
        <v>228</v>
      </c>
      <c r="BN246" s="0" t="s">
        <v>228</v>
      </c>
      <c r="BO246" s="0" t="s">
        <v>228</v>
      </c>
      <c r="BP246" s="0" t="s">
        <v>228</v>
      </c>
      <c r="BQ246" s="0" t="s">
        <v>228</v>
      </c>
      <c r="BR246" s="0" t="s">
        <v>228</v>
      </c>
      <c r="BS246" s="0" t="s">
        <v>228</v>
      </c>
      <c r="BT246" s="0" t="s">
        <v>228</v>
      </c>
      <c r="BU246" s="0" t="s">
        <v>228</v>
      </c>
      <c r="BV246" s="0" t="s">
        <v>228</v>
      </c>
      <c r="BW246" s="0" t="s">
        <v>228</v>
      </c>
      <c r="BX246" s="0" t="s">
        <v>228</v>
      </c>
      <c r="BY246" s="0" t="s">
        <v>228</v>
      </c>
      <c r="BZ246" s="0" t="s">
        <v>228</v>
      </c>
      <c r="CA246" s="0" t="s">
        <v>228</v>
      </c>
      <c r="CB246" s="0" t="s">
        <v>228</v>
      </c>
      <c r="CC246" s="0" t="s">
        <v>228</v>
      </c>
      <c r="CD246" s="0" t="s">
        <v>228</v>
      </c>
      <c r="CE246" s="0" t="s">
        <v>228</v>
      </c>
      <c r="CF246" s="0" t="s">
        <v>228</v>
      </c>
      <c r="CG246" s="0" t="s">
        <v>228</v>
      </c>
      <c r="CH246" s="0" t="s">
        <v>228</v>
      </c>
      <c r="CI246" s="0" t="s">
        <v>228</v>
      </c>
      <c r="CJ246" s="0" t="s">
        <v>228</v>
      </c>
      <c r="CK246" s="0" t="s">
        <v>228</v>
      </c>
      <c r="CL246" s="0" t="s">
        <v>228</v>
      </c>
      <c r="CM246" s="0" t="s">
        <v>228</v>
      </c>
      <c r="CN246" s="0" t="s">
        <v>228</v>
      </c>
      <c r="CO246" s="0" t="s">
        <v>228</v>
      </c>
      <c r="CP246" s="0" t="s">
        <v>228</v>
      </c>
      <c r="CQ246" s="0" t="s">
        <v>228</v>
      </c>
      <c r="CR246" s="0" t="s">
        <v>228</v>
      </c>
      <c r="CS246" s="0" t="s">
        <v>228</v>
      </c>
      <c r="CT246" s="0" t="s">
        <v>3568</v>
      </c>
      <c r="CU246" s="0" t="s">
        <v>3569</v>
      </c>
      <c r="CV246" s="0" t="s">
        <v>418</v>
      </c>
      <c r="CW246" s="0" t="s">
        <v>3584</v>
      </c>
      <c r="CX246" s="0" t="s">
        <v>419</v>
      </c>
      <c r="CY246" s="0" t="s">
        <v>418</v>
      </c>
      <c r="CZ246" s="0" t="s">
        <v>3585</v>
      </c>
      <c r="DA246" s="0" t="s">
        <v>3586</v>
      </c>
      <c r="DB246" s="0" t="s">
        <v>3584</v>
      </c>
      <c r="DC246" s="0" t="s">
        <v>362</v>
      </c>
      <c r="DD246" s="0" t="s">
        <v>3572</v>
      </c>
      <c r="DE246" s="0" t="s">
        <v>4731</v>
      </c>
    </row>
    <row customHeight="1" ht="11.25">
      <c r="A247" s="1353" t="s">
        <v>228</v>
      </c>
      <c r="B247" s="0" t="s">
        <v>228</v>
      </c>
      <c r="C247" s="0" t="s">
        <v>228</v>
      </c>
      <c r="D247" s="0" t="s">
        <v>228</v>
      </c>
      <c r="E247" s="0" t="s">
        <v>228</v>
      </c>
      <c r="F247" s="0" t="s">
        <v>228</v>
      </c>
      <c r="G247" s="0" t="s">
        <v>228</v>
      </c>
      <c r="H247" s="0" t="s">
        <v>228</v>
      </c>
      <c r="I247" s="0" t="s">
        <v>3555</v>
      </c>
      <c r="J247" s="0" t="s">
        <v>228</v>
      </c>
      <c r="K247" s="0" t="s">
        <v>228</v>
      </c>
      <c r="L247" s="0" t="s">
        <v>228</v>
      </c>
      <c r="M247" s="0" t="s">
        <v>228</v>
      </c>
      <c r="N247" s="0" t="s">
        <v>228</v>
      </c>
      <c r="O247" s="0" t="s">
        <v>228</v>
      </c>
      <c r="P247" s="0" t="s">
        <v>228</v>
      </c>
      <c r="Q247" s="0" t="s">
        <v>228</v>
      </c>
      <c r="R247" s="0" t="s">
        <v>3684</v>
      </c>
      <c r="S247" s="0" t="s">
        <v>228</v>
      </c>
      <c r="T247" s="0" t="s">
        <v>228</v>
      </c>
      <c r="U247" s="0" t="s">
        <v>101</v>
      </c>
      <c r="V247" s="0" t="s">
        <v>228</v>
      </c>
      <c r="W247" s="0" t="s">
        <v>228</v>
      </c>
      <c r="X247" s="0" t="s">
        <v>3557</v>
      </c>
      <c r="Y247" s="0" t="s">
        <v>228</v>
      </c>
      <c r="Z247" s="0" t="s">
        <v>160</v>
      </c>
      <c r="AA247" s="0" t="s">
        <v>151</v>
      </c>
      <c r="AB247" s="0" t="s">
        <v>151</v>
      </c>
      <c r="AC247" s="0" t="s">
        <v>2311</v>
      </c>
      <c r="AD247" s="0" t="s">
        <v>2311</v>
      </c>
      <c r="AE247" s="0" t="s">
        <v>2312</v>
      </c>
      <c r="AF247" s="0" t="s">
        <v>4520</v>
      </c>
      <c r="AG247" s="0" t="s">
        <v>4521</v>
      </c>
      <c r="AH247" s="0" t="s">
        <v>4732</v>
      </c>
      <c r="AI247" s="0" t="s">
        <v>4733</v>
      </c>
      <c r="AJ247" s="0" t="s">
        <v>3579</v>
      </c>
      <c r="AK247" s="0" t="s">
        <v>3580</v>
      </c>
      <c r="AL247" s="0" t="s">
        <v>3581</v>
      </c>
      <c r="AM247" s="0" t="s">
        <v>3565</v>
      </c>
      <c r="AN247" s="0" t="s">
        <v>3582</v>
      </c>
      <c r="AO247" s="0" t="s">
        <v>3621</v>
      </c>
      <c r="AP247" s="0" t="s">
        <v>228</v>
      </c>
      <c r="AQ247" s="0" t="s">
        <v>228</v>
      </c>
      <c r="AR247" s="0" t="s">
        <v>228</v>
      </c>
      <c r="AS247" s="0" t="s">
        <v>228</v>
      </c>
      <c r="AT247" s="0" t="s">
        <v>228</v>
      </c>
      <c r="AU247" s="0" t="s">
        <v>228</v>
      </c>
      <c r="AV247" s="0" t="s">
        <v>228</v>
      </c>
      <c r="AW247" s="0" t="s">
        <v>228</v>
      </c>
      <c r="AX247" s="0" t="s">
        <v>228</v>
      </c>
      <c r="AY247" s="0" t="s">
        <v>228</v>
      </c>
      <c r="AZ247" s="0" t="s">
        <v>228</v>
      </c>
      <c r="BA247" s="0" t="s">
        <v>228</v>
      </c>
      <c r="BB247" s="0" t="s">
        <v>228</v>
      </c>
      <c r="BC247" s="0" t="s">
        <v>228</v>
      </c>
      <c r="BD247" s="0" t="s">
        <v>228</v>
      </c>
      <c r="BE247" s="0" t="s">
        <v>228</v>
      </c>
      <c r="BF247" s="0" t="s">
        <v>228</v>
      </c>
      <c r="BG247" s="0" t="s">
        <v>228</v>
      </c>
      <c r="BH247" s="0" t="s">
        <v>228</v>
      </c>
      <c r="BI247" s="0" t="s">
        <v>228</v>
      </c>
      <c r="BJ247" s="0" t="s">
        <v>228</v>
      </c>
      <c r="BK247" s="0" t="s">
        <v>228</v>
      </c>
      <c r="BL247" s="0" t="s">
        <v>228</v>
      </c>
      <c r="BM247" s="0" t="s">
        <v>228</v>
      </c>
      <c r="BN247" s="0" t="s">
        <v>228</v>
      </c>
      <c r="BO247" s="0" t="s">
        <v>228</v>
      </c>
      <c r="BP247" s="0" t="s">
        <v>228</v>
      </c>
      <c r="BQ247" s="0" t="s">
        <v>228</v>
      </c>
      <c r="BR247" s="0" t="s">
        <v>228</v>
      </c>
      <c r="BS247" s="0" t="s">
        <v>228</v>
      </c>
      <c r="BT247" s="0" t="s">
        <v>228</v>
      </c>
      <c r="BU247" s="0" t="s">
        <v>228</v>
      </c>
      <c r="BV247" s="0" t="s">
        <v>228</v>
      </c>
      <c r="BW247" s="0" t="s">
        <v>228</v>
      </c>
      <c r="BX247" s="0" t="s">
        <v>228</v>
      </c>
      <c r="BY247" s="0" t="s">
        <v>228</v>
      </c>
      <c r="BZ247" s="0" t="s">
        <v>228</v>
      </c>
      <c r="CA247" s="0" t="s">
        <v>228</v>
      </c>
      <c r="CB247" s="0" t="s">
        <v>228</v>
      </c>
      <c r="CC247" s="0" t="s">
        <v>228</v>
      </c>
      <c r="CD247" s="0" t="s">
        <v>228</v>
      </c>
      <c r="CE247" s="0" t="s">
        <v>228</v>
      </c>
      <c r="CF247" s="0" t="s">
        <v>228</v>
      </c>
      <c r="CG247" s="0" t="s">
        <v>228</v>
      </c>
      <c r="CH247" s="0" t="s">
        <v>228</v>
      </c>
      <c r="CI247" s="0" t="s">
        <v>228</v>
      </c>
      <c r="CJ247" s="0" t="s">
        <v>228</v>
      </c>
      <c r="CK247" s="0" t="s">
        <v>228</v>
      </c>
      <c r="CL247" s="0" t="s">
        <v>228</v>
      </c>
      <c r="CM247" s="0" t="s">
        <v>228</v>
      </c>
      <c r="CN247" s="0" t="s">
        <v>228</v>
      </c>
      <c r="CO247" s="0" t="s">
        <v>228</v>
      </c>
      <c r="CP247" s="0" t="s">
        <v>228</v>
      </c>
      <c r="CQ247" s="0" t="s">
        <v>228</v>
      </c>
      <c r="CR247" s="0" t="s">
        <v>228</v>
      </c>
      <c r="CS247" s="0" t="s">
        <v>228</v>
      </c>
      <c r="CT247" s="0" t="s">
        <v>3568</v>
      </c>
      <c r="CU247" s="0" t="s">
        <v>3569</v>
      </c>
      <c r="CV247" s="0" t="s">
        <v>418</v>
      </c>
      <c r="CW247" s="0" t="s">
        <v>3584</v>
      </c>
      <c r="CX247" s="0" t="s">
        <v>419</v>
      </c>
      <c r="CY247" s="0" t="s">
        <v>418</v>
      </c>
      <c r="CZ247" s="0" t="s">
        <v>3585</v>
      </c>
      <c r="DA247" s="0" t="s">
        <v>3586</v>
      </c>
      <c r="DB247" s="0" t="s">
        <v>3584</v>
      </c>
      <c r="DC247" s="0" t="s">
        <v>362</v>
      </c>
      <c r="DD247" s="0" t="s">
        <v>3572</v>
      </c>
      <c r="DE247" s="0" t="s">
        <v>4734</v>
      </c>
    </row>
    <row customHeight="1" ht="11.25">
      <c r="A248" s="1353" t="s">
        <v>228</v>
      </c>
      <c r="B248" s="0" t="s">
        <v>228</v>
      </c>
      <c r="C248" s="0" t="s">
        <v>228</v>
      </c>
      <c r="D248" s="0" t="s">
        <v>228</v>
      </c>
      <c r="E248" s="0" t="s">
        <v>228</v>
      </c>
      <c r="F248" s="0" t="s">
        <v>228</v>
      </c>
      <c r="G248" s="0" t="s">
        <v>228</v>
      </c>
      <c r="H248" s="0" t="s">
        <v>228</v>
      </c>
      <c r="I248" s="0" t="s">
        <v>3555</v>
      </c>
      <c r="J248" s="0" t="s">
        <v>228</v>
      </c>
      <c r="K248" s="0" t="s">
        <v>228</v>
      </c>
      <c r="L248" s="0" t="s">
        <v>228</v>
      </c>
      <c r="M248" s="0" t="s">
        <v>228</v>
      </c>
      <c r="N248" s="0" t="s">
        <v>228</v>
      </c>
      <c r="O248" s="0" t="s">
        <v>228</v>
      </c>
      <c r="P248" s="0" t="s">
        <v>228</v>
      </c>
      <c r="Q248" s="0" t="s">
        <v>228</v>
      </c>
      <c r="R248" s="0" t="s">
        <v>3648</v>
      </c>
      <c r="S248" s="0" t="s">
        <v>228</v>
      </c>
      <c r="T248" s="0" t="s">
        <v>228</v>
      </c>
      <c r="U248" s="0" t="s">
        <v>101</v>
      </c>
      <c r="V248" s="0" t="s">
        <v>228</v>
      </c>
      <c r="W248" s="0" t="s">
        <v>228</v>
      </c>
      <c r="X248" s="0" t="s">
        <v>3557</v>
      </c>
      <c r="Y248" s="0" t="s">
        <v>228</v>
      </c>
      <c r="Z248" s="0" t="s">
        <v>160</v>
      </c>
      <c r="AA248" s="0" t="s">
        <v>151</v>
      </c>
      <c r="AB248" s="0" t="s">
        <v>151</v>
      </c>
      <c r="AC248" s="0" t="s">
        <v>2315</v>
      </c>
      <c r="AD248" s="0" t="s">
        <v>2315</v>
      </c>
      <c r="AE248" s="0" t="s">
        <v>2316</v>
      </c>
      <c r="AF248" s="0" t="s">
        <v>4735</v>
      </c>
      <c r="AG248" s="0" t="s">
        <v>4736</v>
      </c>
      <c r="AH248" s="0" t="s">
        <v>4737</v>
      </c>
      <c r="AI248" s="0" t="s">
        <v>4738</v>
      </c>
      <c r="AJ248" s="0" t="s">
        <v>3652</v>
      </c>
      <c r="AK248" s="0" t="s">
        <v>4739</v>
      </c>
      <c r="AL248" s="0" t="s">
        <v>3581</v>
      </c>
      <c r="AM248" s="0" t="s">
        <v>3565</v>
      </c>
      <c r="AN248" s="0" t="s">
        <v>3654</v>
      </c>
      <c r="AO248" s="0" t="s">
        <v>3567</v>
      </c>
      <c r="AP248" s="0" t="s">
        <v>228</v>
      </c>
      <c r="AQ248" s="0" t="s">
        <v>228</v>
      </c>
      <c r="AR248" s="0" t="s">
        <v>228</v>
      </c>
      <c r="AS248" s="0" t="s">
        <v>228</v>
      </c>
      <c r="AT248" s="0" t="s">
        <v>228</v>
      </c>
      <c r="AU248" s="0" t="s">
        <v>228</v>
      </c>
      <c r="AV248" s="0" t="s">
        <v>228</v>
      </c>
      <c r="AW248" s="0" t="s">
        <v>228</v>
      </c>
      <c r="AX248" s="0" t="s">
        <v>228</v>
      </c>
      <c r="AY248" s="0" t="s">
        <v>228</v>
      </c>
      <c r="AZ248" s="0" t="s">
        <v>228</v>
      </c>
      <c r="BA248" s="0" t="s">
        <v>228</v>
      </c>
      <c r="BB248" s="0" t="s">
        <v>228</v>
      </c>
      <c r="BC248" s="0" t="s">
        <v>228</v>
      </c>
      <c r="BD248" s="0" t="s">
        <v>228</v>
      </c>
      <c r="BE248" s="0" t="s">
        <v>228</v>
      </c>
      <c r="BF248" s="0" t="s">
        <v>228</v>
      </c>
      <c r="BG248" s="0" t="s">
        <v>228</v>
      </c>
      <c r="BH248" s="0" t="s">
        <v>228</v>
      </c>
      <c r="BI248" s="0" t="s">
        <v>228</v>
      </c>
      <c r="BJ248" s="0" t="s">
        <v>228</v>
      </c>
      <c r="BK248" s="0" t="s">
        <v>228</v>
      </c>
      <c r="BL248" s="0" t="s">
        <v>228</v>
      </c>
      <c r="BM248" s="0" t="s">
        <v>228</v>
      </c>
      <c r="BN248" s="0" t="s">
        <v>228</v>
      </c>
      <c r="BO248" s="0" t="s">
        <v>228</v>
      </c>
      <c r="BP248" s="0" t="s">
        <v>228</v>
      </c>
      <c r="BQ248" s="0" t="s">
        <v>228</v>
      </c>
      <c r="BR248" s="0" t="s">
        <v>228</v>
      </c>
      <c r="BS248" s="0" t="s">
        <v>228</v>
      </c>
      <c r="BT248" s="0" t="s">
        <v>228</v>
      </c>
      <c r="BU248" s="0" t="s">
        <v>228</v>
      </c>
      <c r="BV248" s="0" t="s">
        <v>228</v>
      </c>
      <c r="BW248" s="0" t="s">
        <v>228</v>
      </c>
      <c r="BX248" s="0" t="s">
        <v>228</v>
      </c>
      <c r="BY248" s="0" t="s">
        <v>228</v>
      </c>
      <c r="BZ248" s="0" t="s">
        <v>228</v>
      </c>
      <c r="CA248" s="0" t="s">
        <v>228</v>
      </c>
      <c r="CB248" s="0" t="s">
        <v>228</v>
      </c>
      <c r="CC248" s="0" t="s">
        <v>228</v>
      </c>
      <c r="CD248" s="0" t="s">
        <v>228</v>
      </c>
      <c r="CE248" s="0" t="s">
        <v>228</v>
      </c>
      <c r="CF248" s="0" t="s">
        <v>228</v>
      </c>
      <c r="CG248" s="0" t="s">
        <v>228</v>
      </c>
      <c r="CH248" s="0" t="s">
        <v>228</v>
      </c>
      <c r="CI248" s="0" t="s">
        <v>228</v>
      </c>
      <c r="CJ248" s="0" t="s">
        <v>228</v>
      </c>
      <c r="CK248" s="0" t="s">
        <v>228</v>
      </c>
      <c r="CL248" s="0" t="s">
        <v>228</v>
      </c>
      <c r="CM248" s="0" t="s">
        <v>228</v>
      </c>
      <c r="CN248" s="0" t="s">
        <v>228</v>
      </c>
      <c r="CO248" s="0" t="s">
        <v>228</v>
      </c>
      <c r="CP248" s="0" t="s">
        <v>228</v>
      </c>
      <c r="CQ248" s="0" t="s">
        <v>228</v>
      </c>
      <c r="CR248" s="0" t="s">
        <v>228</v>
      </c>
      <c r="CS248" s="0" t="s">
        <v>228</v>
      </c>
      <c r="CT248" s="0" t="s">
        <v>3568</v>
      </c>
      <c r="CU248" s="0" t="s">
        <v>3569</v>
      </c>
      <c r="CV248" s="0" t="s">
        <v>418</v>
      </c>
      <c r="CW248" s="0" t="s">
        <v>3656</v>
      </c>
      <c r="CX248" s="0" t="s">
        <v>419</v>
      </c>
      <c r="CY248" s="0" t="s">
        <v>418</v>
      </c>
      <c r="CZ248" s="0" t="s">
        <v>3657</v>
      </c>
      <c r="DA248" s="0" t="s">
        <v>3658</v>
      </c>
      <c r="DB248" s="0" t="s">
        <v>3656</v>
      </c>
      <c r="DC248" s="0" t="s">
        <v>362</v>
      </c>
      <c r="DD248" s="0" t="s">
        <v>3572</v>
      </c>
      <c r="DE248" s="0" t="s">
        <v>4740</v>
      </c>
    </row>
    <row customHeight="1" ht="11.25">
      <c r="A249" s="1353" t="s">
        <v>228</v>
      </c>
      <c r="B249" s="0" t="s">
        <v>228</v>
      </c>
      <c r="C249" s="0" t="s">
        <v>228</v>
      </c>
      <c r="D249" s="0" t="s">
        <v>228</v>
      </c>
      <c r="E249" s="0" t="s">
        <v>228</v>
      </c>
      <c r="F249" s="0" t="s">
        <v>228</v>
      </c>
      <c r="G249" s="0" t="s">
        <v>228</v>
      </c>
      <c r="H249" s="0" t="s">
        <v>228</v>
      </c>
      <c r="I249" s="0" t="s">
        <v>3555</v>
      </c>
      <c r="J249" s="0" t="s">
        <v>228</v>
      </c>
      <c r="K249" s="0" t="s">
        <v>228</v>
      </c>
      <c r="L249" s="0" t="s">
        <v>228</v>
      </c>
      <c r="M249" s="0" t="s">
        <v>228</v>
      </c>
      <c r="N249" s="0" t="s">
        <v>228</v>
      </c>
      <c r="O249" s="0" t="s">
        <v>228</v>
      </c>
      <c r="P249" s="0" t="s">
        <v>228</v>
      </c>
      <c r="Q249" s="0" t="s">
        <v>228</v>
      </c>
      <c r="R249" s="0" t="s">
        <v>4741</v>
      </c>
      <c r="S249" s="0" t="s">
        <v>228</v>
      </c>
      <c r="T249" s="0" t="s">
        <v>228</v>
      </c>
      <c r="U249" s="0" t="s">
        <v>101</v>
      </c>
      <c r="V249" s="0" t="s">
        <v>228</v>
      </c>
      <c r="W249" s="0" t="s">
        <v>228</v>
      </c>
      <c r="X249" s="0" t="s">
        <v>3661</v>
      </c>
      <c r="Y249" s="0" t="s">
        <v>228</v>
      </c>
      <c r="Z249" s="0" t="s">
        <v>151</v>
      </c>
      <c r="AA249" s="0" t="s">
        <v>151</v>
      </c>
      <c r="AB249" s="0" t="s">
        <v>160</v>
      </c>
      <c r="AC249" s="0" t="s">
        <v>2317</v>
      </c>
      <c r="AD249" s="0" t="s">
        <v>2317</v>
      </c>
      <c r="AE249" s="0" t="s">
        <v>2318</v>
      </c>
      <c r="AF249" s="0" t="s">
        <v>4527</v>
      </c>
      <c r="AG249" s="0" t="s">
        <v>4528</v>
      </c>
      <c r="AH249" s="0" t="s">
        <v>3651</v>
      </c>
      <c r="AI249" s="0" t="s">
        <v>3651</v>
      </c>
      <c r="AJ249" s="0" t="s">
        <v>228</v>
      </c>
      <c r="AK249" s="0" t="s">
        <v>228</v>
      </c>
      <c r="AL249" s="0" t="s">
        <v>228</v>
      </c>
      <c r="AM249" s="0" t="s">
        <v>228</v>
      </c>
      <c r="AN249" s="0" t="s">
        <v>228</v>
      </c>
      <c r="AO249" s="0" t="s">
        <v>228</v>
      </c>
      <c r="AP249" s="0" t="s">
        <v>228</v>
      </c>
      <c r="AQ249" s="0" t="s">
        <v>228</v>
      </c>
      <c r="AR249" s="0" t="s">
        <v>228</v>
      </c>
      <c r="AS249" s="0" t="s">
        <v>228</v>
      </c>
      <c r="AT249" s="0" t="s">
        <v>228</v>
      </c>
      <c r="AU249" s="0" t="s">
        <v>228</v>
      </c>
      <c r="AV249" s="0" t="s">
        <v>228</v>
      </c>
      <c r="AW249" s="0" t="s">
        <v>228</v>
      </c>
      <c r="AX249" s="0" t="s">
        <v>228</v>
      </c>
      <c r="AY249" s="0" t="s">
        <v>228</v>
      </c>
      <c r="AZ249" s="0" t="s">
        <v>228</v>
      </c>
      <c r="BA249" s="0" t="s">
        <v>228</v>
      </c>
      <c r="BB249" s="0" t="s">
        <v>228</v>
      </c>
      <c r="BC249" s="0" t="s">
        <v>228</v>
      </c>
      <c r="BD249" s="0" t="s">
        <v>228</v>
      </c>
      <c r="BE249" s="0" t="s">
        <v>3627</v>
      </c>
      <c r="BF249" s="0" t="s">
        <v>3619</v>
      </c>
      <c r="BG249" s="0" t="s">
        <v>111</v>
      </c>
      <c r="BH249" s="0" t="s">
        <v>3665</v>
      </c>
      <c r="BI249" s="0" t="s">
        <v>122</v>
      </c>
      <c r="BJ249" s="0" t="s">
        <v>228</v>
      </c>
      <c r="BK249" s="0" t="s">
        <v>3684</v>
      </c>
      <c r="BL249" s="0" t="s">
        <v>2317</v>
      </c>
      <c r="BM249" s="0" t="s">
        <v>2317</v>
      </c>
      <c r="BN249" s="0" t="s">
        <v>3740</v>
      </c>
      <c r="BO249" s="0" t="s">
        <v>4527</v>
      </c>
      <c r="BP249" s="0" t="s">
        <v>4742</v>
      </c>
      <c r="BQ249" s="0" t="s">
        <v>3651</v>
      </c>
      <c r="BR249" s="0" t="s">
        <v>3651</v>
      </c>
      <c r="BS249" s="0" t="s">
        <v>228</v>
      </c>
      <c r="BT249" s="0" t="s">
        <v>3727</v>
      </c>
      <c r="BU249" s="0" t="s">
        <v>4743</v>
      </c>
      <c r="BV249" s="0" t="s">
        <v>4743</v>
      </c>
      <c r="BW249" s="0" t="s">
        <v>3674</v>
      </c>
      <c r="BX249" s="0" t="s">
        <v>3674</v>
      </c>
      <c r="BY249" s="0" t="s">
        <v>3674</v>
      </c>
      <c r="BZ249" s="0" t="s">
        <v>3674</v>
      </c>
      <c r="CA249" s="0" t="s">
        <v>3674</v>
      </c>
      <c r="CB249" s="0" t="s">
        <v>228</v>
      </c>
      <c r="CC249" s="0" t="s">
        <v>228</v>
      </c>
      <c r="CD249" s="0" t="s">
        <v>228</v>
      </c>
      <c r="CE249" s="0" t="s">
        <v>228</v>
      </c>
      <c r="CF249" s="0" t="s">
        <v>228</v>
      </c>
      <c r="CG249" s="0" t="s">
        <v>3674</v>
      </c>
      <c r="CH249" s="0" t="s">
        <v>228</v>
      </c>
      <c r="CI249" s="0" t="s">
        <v>228</v>
      </c>
      <c r="CJ249" s="0" t="s">
        <v>228</v>
      </c>
      <c r="CK249" s="0" t="s">
        <v>228</v>
      </c>
      <c r="CL249" s="0" t="s">
        <v>228</v>
      </c>
      <c r="CM249" s="0" t="s">
        <v>4743</v>
      </c>
      <c r="CN249" s="0" t="s">
        <v>4743</v>
      </c>
      <c r="CO249" s="0" t="s">
        <v>228</v>
      </c>
      <c r="CP249" s="0" t="s">
        <v>228</v>
      </c>
      <c r="CQ249" s="0" t="s">
        <v>228</v>
      </c>
      <c r="CR249" s="0" t="s">
        <v>228</v>
      </c>
      <c r="CS249" s="0" t="s">
        <v>3743</v>
      </c>
      <c r="CT249" s="0" t="s">
        <v>3568</v>
      </c>
      <c r="CU249" s="0" t="s">
        <v>3569</v>
      </c>
      <c r="CV249" s="0" t="s">
        <v>418</v>
      </c>
      <c r="CW249" s="0" t="s">
        <v>3622</v>
      </c>
      <c r="CX249" s="0" t="s">
        <v>419</v>
      </c>
      <c r="CY249" s="0" t="s">
        <v>418</v>
      </c>
      <c r="CZ249" s="0" t="s">
        <v>3623</v>
      </c>
      <c r="DA249" s="0" t="s">
        <v>3624</v>
      </c>
      <c r="DB249" s="0" t="s">
        <v>3622</v>
      </c>
      <c r="DC249" s="0" t="s">
        <v>362</v>
      </c>
      <c r="DD249" s="0" t="s">
        <v>3572</v>
      </c>
      <c r="DE249" s="0" t="s">
        <v>4744</v>
      </c>
    </row>
    <row customHeight="1" ht="11.25">
      <c r="A250" s="1353" t="s">
        <v>228</v>
      </c>
      <c r="B250" s="0" t="s">
        <v>228</v>
      </c>
      <c r="C250" s="0" t="s">
        <v>228</v>
      </c>
      <c r="D250" s="0" t="s">
        <v>228</v>
      </c>
      <c r="E250" s="0" t="s">
        <v>228</v>
      </c>
      <c r="F250" s="0" t="s">
        <v>228</v>
      </c>
      <c r="G250" s="0" t="s">
        <v>228</v>
      </c>
      <c r="H250" s="0" t="s">
        <v>228</v>
      </c>
      <c r="I250" s="0" t="s">
        <v>3555</v>
      </c>
      <c r="J250" s="0" t="s">
        <v>228</v>
      </c>
      <c r="K250" s="0" t="s">
        <v>228</v>
      </c>
      <c r="L250" s="0" t="s">
        <v>228</v>
      </c>
      <c r="M250" s="0" t="s">
        <v>228</v>
      </c>
      <c r="N250" s="0" t="s">
        <v>228</v>
      </c>
      <c r="O250" s="0" t="s">
        <v>228</v>
      </c>
      <c r="P250" s="0" t="s">
        <v>228</v>
      </c>
      <c r="Q250" s="0" t="s">
        <v>228</v>
      </c>
      <c r="R250" s="0" t="s">
        <v>3831</v>
      </c>
      <c r="S250" s="0" t="s">
        <v>228</v>
      </c>
      <c r="T250" s="0" t="s">
        <v>228</v>
      </c>
      <c r="U250" s="0" t="s">
        <v>101</v>
      </c>
      <c r="V250" s="0" t="s">
        <v>228</v>
      </c>
      <c r="W250" s="0" t="s">
        <v>228</v>
      </c>
      <c r="X250" s="0" t="s">
        <v>3557</v>
      </c>
      <c r="Y250" s="0" t="s">
        <v>228</v>
      </c>
      <c r="Z250" s="0" t="s">
        <v>160</v>
      </c>
      <c r="AA250" s="0" t="s">
        <v>151</v>
      </c>
      <c r="AB250" s="0" t="s">
        <v>151</v>
      </c>
      <c r="AC250" s="0" t="s">
        <v>2317</v>
      </c>
      <c r="AD250" s="0" t="s">
        <v>2317</v>
      </c>
      <c r="AE250" s="0" t="s">
        <v>2318</v>
      </c>
      <c r="AF250" s="0" t="s">
        <v>4745</v>
      </c>
      <c r="AG250" s="0" t="s">
        <v>4746</v>
      </c>
      <c r="AH250" s="0" t="s">
        <v>4747</v>
      </c>
      <c r="AI250" s="0" t="s">
        <v>4748</v>
      </c>
      <c r="AJ250" s="0" t="s">
        <v>3579</v>
      </c>
      <c r="AK250" s="0" t="s">
        <v>3749</v>
      </c>
      <c r="AL250" s="0" t="s">
        <v>3581</v>
      </c>
      <c r="AM250" s="0" t="s">
        <v>3565</v>
      </c>
      <c r="AN250" s="0" t="s">
        <v>3620</v>
      </c>
      <c r="AO250" s="0" t="s">
        <v>4533</v>
      </c>
      <c r="AP250" s="0" t="s">
        <v>228</v>
      </c>
      <c r="AQ250" s="0" t="s">
        <v>228</v>
      </c>
      <c r="AR250" s="0" t="s">
        <v>228</v>
      </c>
      <c r="AS250" s="0" t="s">
        <v>228</v>
      </c>
      <c r="AT250" s="0" t="s">
        <v>228</v>
      </c>
      <c r="AU250" s="0" t="s">
        <v>228</v>
      </c>
      <c r="AV250" s="0" t="s">
        <v>228</v>
      </c>
      <c r="AW250" s="0" t="s">
        <v>228</v>
      </c>
      <c r="AX250" s="0" t="s">
        <v>228</v>
      </c>
      <c r="AY250" s="0" t="s">
        <v>228</v>
      </c>
      <c r="AZ250" s="0" t="s">
        <v>228</v>
      </c>
      <c r="BA250" s="0" t="s">
        <v>228</v>
      </c>
      <c r="BB250" s="0" t="s">
        <v>228</v>
      </c>
      <c r="BC250" s="0" t="s">
        <v>228</v>
      </c>
      <c r="BD250" s="0" t="s">
        <v>228</v>
      </c>
      <c r="BE250" s="0" t="s">
        <v>228</v>
      </c>
      <c r="BF250" s="0" t="s">
        <v>228</v>
      </c>
      <c r="BG250" s="0" t="s">
        <v>228</v>
      </c>
      <c r="BH250" s="0" t="s">
        <v>228</v>
      </c>
      <c r="BI250" s="0" t="s">
        <v>228</v>
      </c>
      <c r="BJ250" s="0" t="s">
        <v>228</v>
      </c>
      <c r="BK250" s="0" t="s">
        <v>228</v>
      </c>
      <c r="BL250" s="0" t="s">
        <v>228</v>
      </c>
      <c r="BM250" s="0" t="s">
        <v>228</v>
      </c>
      <c r="BN250" s="0" t="s">
        <v>228</v>
      </c>
      <c r="BO250" s="0" t="s">
        <v>228</v>
      </c>
      <c r="BP250" s="0" t="s">
        <v>228</v>
      </c>
      <c r="BQ250" s="0" t="s">
        <v>228</v>
      </c>
      <c r="BR250" s="0" t="s">
        <v>228</v>
      </c>
      <c r="BS250" s="0" t="s">
        <v>228</v>
      </c>
      <c r="BT250" s="0" t="s">
        <v>228</v>
      </c>
      <c r="BU250" s="0" t="s">
        <v>228</v>
      </c>
      <c r="BV250" s="0" t="s">
        <v>228</v>
      </c>
      <c r="BW250" s="0" t="s">
        <v>228</v>
      </c>
      <c r="BX250" s="0" t="s">
        <v>228</v>
      </c>
      <c r="BY250" s="0" t="s">
        <v>228</v>
      </c>
      <c r="BZ250" s="0" t="s">
        <v>228</v>
      </c>
      <c r="CA250" s="0" t="s">
        <v>228</v>
      </c>
      <c r="CB250" s="0" t="s">
        <v>228</v>
      </c>
      <c r="CC250" s="0" t="s">
        <v>228</v>
      </c>
      <c r="CD250" s="0" t="s">
        <v>228</v>
      </c>
      <c r="CE250" s="0" t="s">
        <v>228</v>
      </c>
      <c r="CF250" s="0" t="s">
        <v>228</v>
      </c>
      <c r="CG250" s="0" t="s">
        <v>228</v>
      </c>
      <c r="CH250" s="0" t="s">
        <v>228</v>
      </c>
      <c r="CI250" s="0" t="s">
        <v>228</v>
      </c>
      <c r="CJ250" s="0" t="s">
        <v>228</v>
      </c>
      <c r="CK250" s="0" t="s">
        <v>228</v>
      </c>
      <c r="CL250" s="0" t="s">
        <v>228</v>
      </c>
      <c r="CM250" s="0" t="s">
        <v>228</v>
      </c>
      <c r="CN250" s="0" t="s">
        <v>228</v>
      </c>
      <c r="CO250" s="0" t="s">
        <v>228</v>
      </c>
      <c r="CP250" s="0" t="s">
        <v>228</v>
      </c>
      <c r="CQ250" s="0" t="s">
        <v>228</v>
      </c>
      <c r="CR250" s="0" t="s">
        <v>228</v>
      </c>
      <c r="CS250" s="0" t="s">
        <v>228</v>
      </c>
      <c r="CT250" s="0" t="s">
        <v>3568</v>
      </c>
      <c r="CU250" s="0" t="s">
        <v>3569</v>
      </c>
      <c r="CV250" s="0" t="s">
        <v>418</v>
      </c>
      <c r="CW250" s="0" t="s">
        <v>3622</v>
      </c>
      <c r="CX250" s="0" t="s">
        <v>419</v>
      </c>
      <c r="CY250" s="0" t="s">
        <v>418</v>
      </c>
      <c r="CZ250" s="0" t="s">
        <v>3623</v>
      </c>
      <c r="DA250" s="0" t="s">
        <v>3624</v>
      </c>
      <c r="DB250" s="0" t="s">
        <v>3622</v>
      </c>
      <c r="DC250" s="0" t="s">
        <v>362</v>
      </c>
      <c r="DD250" s="0" t="s">
        <v>3572</v>
      </c>
      <c r="DE250" s="0" t="s">
        <v>4749</v>
      </c>
    </row>
    <row customHeight="1" ht="11.25">
      <c r="A251" s="1353" t="s">
        <v>228</v>
      </c>
      <c r="B251" s="0" t="s">
        <v>228</v>
      </c>
      <c r="C251" s="0" t="s">
        <v>228</v>
      </c>
      <c r="D251" s="0" t="s">
        <v>228</v>
      </c>
      <c r="E251" s="0" t="s">
        <v>228</v>
      </c>
      <c r="F251" s="0" t="s">
        <v>228</v>
      </c>
      <c r="G251" s="0" t="s">
        <v>228</v>
      </c>
      <c r="H251" s="0" t="s">
        <v>228</v>
      </c>
      <c r="I251" s="0" t="s">
        <v>3555</v>
      </c>
      <c r="J251" s="0" t="s">
        <v>228</v>
      </c>
      <c r="K251" s="0" t="s">
        <v>228</v>
      </c>
      <c r="L251" s="0" t="s">
        <v>228</v>
      </c>
      <c r="M251" s="0" t="s">
        <v>228</v>
      </c>
      <c r="N251" s="0" t="s">
        <v>228</v>
      </c>
      <c r="O251" s="0" t="s">
        <v>228</v>
      </c>
      <c r="P251" s="0" t="s">
        <v>228</v>
      </c>
      <c r="Q251" s="0" t="s">
        <v>228</v>
      </c>
      <c r="R251" s="0" t="s">
        <v>3648</v>
      </c>
      <c r="S251" s="0" t="s">
        <v>228</v>
      </c>
      <c r="T251" s="0" t="s">
        <v>228</v>
      </c>
      <c r="U251" s="0" t="s">
        <v>101</v>
      </c>
      <c r="V251" s="0" t="s">
        <v>228</v>
      </c>
      <c r="W251" s="0" t="s">
        <v>228</v>
      </c>
      <c r="X251" s="0" t="s">
        <v>3557</v>
      </c>
      <c r="Y251" s="0" t="s">
        <v>228</v>
      </c>
      <c r="Z251" s="0" t="s">
        <v>160</v>
      </c>
      <c r="AA251" s="0" t="s">
        <v>151</v>
      </c>
      <c r="AB251" s="0" t="s">
        <v>151</v>
      </c>
      <c r="AC251" s="0" t="s">
        <v>2317</v>
      </c>
      <c r="AD251" s="0" t="s">
        <v>2317</v>
      </c>
      <c r="AE251" s="0" t="s">
        <v>2318</v>
      </c>
      <c r="AF251" s="0" t="s">
        <v>4487</v>
      </c>
      <c r="AG251" s="0" t="s">
        <v>4488</v>
      </c>
      <c r="AH251" s="0" t="s">
        <v>4750</v>
      </c>
      <c r="AI251" s="0" t="s">
        <v>4276</v>
      </c>
      <c r="AJ251" s="0" t="s">
        <v>3579</v>
      </c>
      <c r="AK251" s="0" t="s">
        <v>4751</v>
      </c>
      <c r="AL251" s="0" t="s">
        <v>3581</v>
      </c>
      <c r="AM251" s="0" t="s">
        <v>3565</v>
      </c>
      <c r="AN251" s="0" t="s">
        <v>3628</v>
      </c>
      <c r="AO251" s="0" t="s">
        <v>3712</v>
      </c>
      <c r="AP251" s="0" t="s">
        <v>228</v>
      </c>
      <c r="AQ251" s="0" t="s">
        <v>228</v>
      </c>
      <c r="AR251" s="0" t="s">
        <v>228</v>
      </c>
      <c r="AS251" s="0" t="s">
        <v>228</v>
      </c>
      <c r="AT251" s="0" t="s">
        <v>228</v>
      </c>
      <c r="AU251" s="0" t="s">
        <v>228</v>
      </c>
      <c r="AV251" s="0" t="s">
        <v>228</v>
      </c>
      <c r="AW251" s="0" t="s">
        <v>228</v>
      </c>
      <c r="AX251" s="0" t="s">
        <v>228</v>
      </c>
      <c r="AY251" s="0" t="s">
        <v>228</v>
      </c>
      <c r="AZ251" s="0" t="s">
        <v>228</v>
      </c>
      <c r="BA251" s="0" t="s">
        <v>228</v>
      </c>
      <c r="BB251" s="0" t="s">
        <v>228</v>
      </c>
      <c r="BC251" s="0" t="s">
        <v>228</v>
      </c>
      <c r="BD251" s="0" t="s">
        <v>228</v>
      </c>
      <c r="BE251" s="0" t="s">
        <v>228</v>
      </c>
      <c r="BF251" s="0" t="s">
        <v>228</v>
      </c>
      <c r="BG251" s="0" t="s">
        <v>228</v>
      </c>
      <c r="BH251" s="0" t="s">
        <v>228</v>
      </c>
      <c r="BI251" s="0" t="s">
        <v>228</v>
      </c>
      <c r="BJ251" s="0" t="s">
        <v>228</v>
      </c>
      <c r="BK251" s="0" t="s">
        <v>228</v>
      </c>
      <c r="BL251" s="0" t="s">
        <v>228</v>
      </c>
      <c r="BM251" s="0" t="s">
        <v>228</v>
      </c>
      <c r="BN251" s="0" t="s">
        <v>228</v>
      </c>
      <c r="BO251" s="0" t="s">
        <v>228</v>
      </c>
      <c r="BP251" s="0" t="s">
        <v>228</v>
      </c>
      <c r="BQ251" s="0" t="s">
        <v>228</v>
      </c>
      <c r="BR251" s="0" t="s">
        <v>228</v>
      </c>
      <c r="BS251" s="0" t="s">
        <v>228</v>
      </c>
      <c r="BT251" s="0" t="s">
        <v>228</v>
      </c>
      <c r="BU251" s="0" t="s">
        <v>228</v>
      </c>
      <c r="BV251" s="0" t="s">
        <v>228</v>
      </c>
      <c r="BW251" s="0" t="s">
        <v>228</v>
      </c>
      <c r="BX251" s="0" t="s">
        <v>228</v>
      </c>
      <c r="BY251" s="0" t="s">
        <v>228</v>
      </c>
      <c r="BZ251" s="0" t="s">
        <v>228</v>
      </c>
      <c r="CA251" s="0" t="s">
        <v>228</v>
      </c>
      <c r="CB251" s="0" t="s">
        <v>228</v>
      </c>
      <c r="CC251" s="0" t="s">
        <v>228</v>
      </c>
      <c r="CD251" s="0" t="s">
        <v>228</v>
      </c>
      <c r="CE251" s="0" t="s">
        <v>228</v>
      </c>
      <c r="CF251" s="0" t="s">
        <v>228</v>
      </c>
      <c r="CG251" s="0" t="s">
        <v>228</v>
      </c>
      <c r="CH251" s="0" t="s">
        <v>228</v>
      </c>
      <c r="CI251" s="0" t="s">
        <v>228</v>
      </c>
      <c r="CJ251" s="0" t="s">
        <v>228</v>
      </c>
      <c r="CK251" s="0" t="s">
        <v>228</v>
      </c>
      <c r="CL251" s="0" t="s">
        <v>228</v>
      </c>
      <c r="CM251" s="0" t="s">
        <v>228</v>
      </c>
      <c r="CN251" s="0" t="s">
        <v>228</v>
      </c>
      <c r="CO251" s="0" t="s">
        <v>228</v>
      </c>
      <c r="CP251" s="0" t="s">
        <v>228</v>
      </c>
      <c r="CQ251" s="0" t="s">
        <v>228</v>
      </c>
      <c r="CR251" s="0" t="s">
        <v>228</v>
      </c>
      <c r="CS251" s="0" t="s">
        <v>228</v>
      </c>
      <c r="CT251" s="0" t="s">
        <v>3568</v>
      </c>
      <c r="CU251" s="0" t="s">
        <v>3569</v>
      </c>
      <c r="CV251" s="0" t="s">
        <v>418</v>
      </c>
      <c r="CW251" s="0" t="s">
        <v>3622</v>
      </c>
      <c r="CX251" s="0" t="s">
        <v>419</v>
      </c>
      <c r="CY251" s="0" t="s">
        <v>418</v>
      </c>
      <c r="CZ251" s="0" t="s">
        <v>3623</v>
      </c>
      <c r="DA251" s="0" t="s">
        <v>3624</v>
      </c>
      <c r="DB251" s="0" t="s">
        <v>3622</v>
      </c>
      <c r="DC251" s="0" t="s">
        <v>362</v>
      </c>
      <c r="DD251" s="0" t="s">
        <v>3572</v>
      </c>
      <c r="DE251" s="0" t="s">
        <v>4752</v>
      </c>
    </row>
    <row customHeight="1" ht="11.25">
      <c r="A252" s="1353" t="s">
        <v>228</v>
      </c>
      <c r="B252" s="0" t="s">
        <v>228</v>
      </c>
      <c r="C252" s="0" t="s">
        <v>228</v>
      </c>
      <c r="D252" s="0" t="s">
        <v>228</v>
      </c>
      <c r="E252" s="0" t="s">
        <v>228</v>
      </c>
      <c r="F252" s="0" t="s">
        <v>228</v>
      </c>
      <c r="G252" s="0" t="s">
        <v>228</v>
      </c>
      <c r="H252" s="0" t="s">
        <v>228</v>
      </c>
      <c r="I252" s="0" t="s">
        <v>3555</v>
      </c>
      <c r="J252" s="0" t="s">
        <v>228</v>
      </c>
      <c r="K252" s="0" t="s">
        <v>228</v>
      </c>
      <c r="L252" s="0" t="s">
        <v>228</v>
      </c>
      <c r="M252" s="0" t="s">
        <v>228</v>
      </c>
      <c r="N252" s="0" t="s">
        <v>228</v>
      </c>
      <c r="O252" s="0" t="s">
        <v>228</v>
      </c>
      <c r="P252" s="0" t="s">
        <v>228</v>
      </c>
      <c r="Q252" s="0" t="s">
        <v>228</v>
      </c>
      <c r="R252" s="0" t="s">
        <v>4753</v>
      </c>
      <c r="S252" s="0" t="s">
        <v>228</v>
      </c>
      <c r="T252" s="0" t="s">
        <v>228</v>
      </c>
      <c r="U252" s="0" t="s">
        <v>101</v>
      </c>
      <c r="V252" s="0" t="s">
        <v>228</v>
      </c>
      <c r="W252" s="0" t="s">
        <v>228</v>
      </c>
      <c r="X252" s="0" t="s">
        <v>3661</v>
      </c>
      <c r="Y252" s="0" t="s">
        <v>228</v>
      </c>
      <c r="Z252" s="0" t="s">
        <v>151</v>
      </c>
      <c r="AA252" s="0" t="s">
        <v>151</v>
      </c>
      <c r="AB252" s="0" t="s">
        <v>160</v>
      </c>
      <c r="AC252" s="0" t="s">
        <v>2317</v>
      </c>
      <c r="AD252" s="0" t="s">
        <v>2317</v>
      </c>
      <c r="AE252" s="0" t="s">
        <v>2318</v>
      </c>
      <c r="AF252" s="0" t="s">
        <v>4271</v>
      </c>
      <c r="AG252" s="0" t="s">
        <v>4272</v>
      </c>
      <c r="AH252" s="0" t="s">
        <v>3651</v>
      </c>
      <c r="AI252" s="0" t="s">
        <v>3651</v>
      </c>
      <c r="AJ252" s="0" t="s">
        <v>228</v>
      </c>
      <c r="AK252" s="0" t="s">
        <v>228</v>
      </c>
      <c r="AL252" s="0" t="s">
        <v>228</v>
      </c>
      <c r="AM252" s="0" t="s">
        <v>228</v>
      </c>
      <c r="AN252" s="0" t="s">
        <v>228</v>
      </c>
      <c r="AO252" s="0" t="s">
        <v>228</v>
      </c>
      <c r="AP252" s="0" t="s">
        <v>228</v>
      </c>
      <c r="AQ252" s="0" t="s">
        <v>228</v>
      </c>
      <c r="AR252" s="0" t="s">
        <v>228</v>
      </c>
      <c r="AS252" s="0" t="s">
        <v>228</v>
      </c>
      <c r="AT252" s="0" t="s">
        <v>228</v>
      </c>
      <c r="AU252" s="0" t="s">
        <v>228</v>
      </c>
      <c r="AV252" s="0" t="s">
        <v>228</v>
      </c>
      <c r="AW252" s="0" t="s">
        <v>228</v>
      </c>
      <c r="AX252" s="0" t="s">
        <v>228</v>
      </c>
      <c r="AY252" s="0" t="s">
        <v>228</v>
      </c>
      <c r="AZ252" s="0" t="s">
        <v>228</v>
      </c>
      <c r="BA252" s="0" t="s">
        <v>228</v>
      </c>
      <c r="BB252" s="0" t="s">
        <v>228</v>
      </c>
      <c r="BC252" s="0" t="s">
        <v>228</v>
      </c>
      <c r="BD252" s="0" t="s">
        <v>228</v>
      </c>
      <c r="BE252" s="0" t="s">
        <v>3627</v>
      </c>
      <c r="BF252" s="0" t="s">
        <v>3749</v>
      </c>
      <c r="BG252" s="0" t="s">
        <v>111</v>
      </c>
      <c r="BH252" s="0" t="s">
        <v>3665</v>
      </c>
      <c r="BI252" s="0" t="s">
        <v>122</v>
      </c>
      <c r="BJ252" s="0" t="s">
        <v>228</v>
      </c>
      <c r="BK252" s="0" t="s">
        <v>3684</v>
      </c>
      <c r="BL252" s="0" t="s">
        <v>2317</v>
      </c>
      <c r="BM252" s="0" t="s">
        <v>2317</v>
      </c>
      <c r="BN252" s="0" t="s">
        <v>3740</v>
      </c>
      <c r="BO252" s="0" t="s">
        <v>4271</v>
      </c>
      <c r="BP252" s="0" t="s">
        <v>4754</v>
      </c>
      <c r="BQ252" s="0" t="s">
        <v>3651</v>
      </c>
      <c r="BR252" s="0" t="s">
        <v>3651</v>
      </c>
      <c r="BS252" s="0" t="s">
        <v>228</v>
      </c>
      <c r="BT252" s="0" t="s">
        <v>3727</v>
      </c>
      <c r="BU252" s="0" t="s">
        <v>4755</v>
      </c>
      <c r="BV252" s="0" t="s">
        <v>4755</v>
      </c>
      <c r="BW252" s="0" t="s">
        <v>3674</v>
      </c>
      <c r="BX252" s="0" t="s">
        <v>3674</v>
      </c>
      <c r="BY252" s="0" t="s">
        <v>3674</v>
      </c>
      <c r="BZ252" s="0" t="s">
        <v>3674</v>
      </c>
      <c r="CA252" s="0" t="s">
        <v>3674</v>
      </c>
      <c r="CB252" s="0" t="s">
        <v>228</v>
      </c>
      <c r="CC252" s="0" t="s">
        <v>228</v>
      </c>
      <c r="CD252" s="0" t="s">
        <v>228</v>
      </c>
      <c r="CE252" s="0" t="s">
        <v>228</v>
      </c>
      <c r="CF252" s="0" t="s">
        <v>228</v>
      </c>
      <c r="CG252" s="0" t="s">
        <v>3674</v>
      </c>
      <c r="CH252" s="0" t="s">
        <v>228</v>
      </c>
      <c r="CI252" s="0" t="s">
        <v>228</v>
      </c>
      <c r="CJ252" s="0" t="s">
        <v>228</v>
      </c>
      <c r="CK252" s="0" t="s">
        <v>228</v>
      </c>
      <c r="CL252" s="0" t="s">
        <v>228</v>
      </c>
      <c r="CM252" s="0" t="s">
        <v>4755</v>
      </c>
      <c r="CN252" s="0" t="s">
        <v>4755</v>
      </c>
      <c r="CO252" s="0" t="s">
        <v>228</v>
      </c>
      <c r="CP252" s="0" t="s">
        <v>228</v>
      </c>
      <c r="CQ252" s="0" t="s">
        <v>228</v>
      </c>
      <c r="CR252" s="0" t="s">
        <v>228</v>
      </c>
      <c r="CS252" s="0" t="s">
        <v>3743</v>
      </c>
      <c r="CT252" s="0" t="s">
        <v>3568</v>
      </c>
      <c r="CU252" s="0" t="s">
        <v>3569</v>
      </c>
      <c r="CV252" s="0" t="s">
        <v>418</v>
      </c>
      <c r="CW252" s="0" t="s">
        <v>3622</v>
      </c>
      <c r="CX252" s="0" t="s">
        <v>419</v>
      </c>
      <c r="CY252" s="0" t="s">
        <v>418</v>
      </c>
      <c r="CZ252" s="0" t="s">
        <v>3623</v>
      </c>
      <c r="DA252" s="0" t="s">
        <v>3624</v>
      </c>
      <c r="DB252" s="0" t="s">
        <v>3622</v>
      </c>
      <c r="DC252" s="0" t="s">
        <v>362</v>
      </c>
      <c r="DD252" s="0" t="s">
        <v>3572</v>
      </c>
      <c r="DE252" s="0" t="s">
        <v>4756</v>
      </c>
    </row>
    <row customHeight="1" ht="11.25">
      <c r="A253" s="1353" t="s">
        <v>228</v>
      </c>
      <c r="B253" s="0" t="s">
        <v>228</v>
      </c>
      <c r="C253" s="0" t="s">
        <v>228</v>
      </c>
      <c r="D253" s="0" t="s">
        <v>228</v>
      </c>
      <c r="E253" s="0" t="s">
        <v>228</v>
      </c>
      <c r="F253" s="0" t="s">
        <v>228</v>
      </c>
      <c r="G253" s="0" t="s">
        <v>228</v>
      </c>
      <c r="H253" s="0" t="s">
        <v>228</v>
      </c>
      <c r="I253" s="0" t="s">
        <v>3555</v>
      </c>
      <c r="J253" s="0" t="s">
        <v>228</v>
      </c>
      <c r="K253" s="0" t="s">
        <v>228</v>
      </c>
      <c r="L253" s="0" t="s">
        <v>228</v>
      </c>
      <c r="M253" s="0" t="s">
        <v>228</v>
      </c>
      <c r="N253" s="0" t="s">
        <v>228</v>
      </c>
      <c r="O253" s="0" t="s">
        <v>228</v>
      </c>
      <c r="P253" s="0" t="s">
        <v>228</v>
      </c>
      <c r="Q253" s="0" t="s">
        <v>228</v>
      </c>
      <c r="R253" s="0" t="s">
        <v>4757</v>
      </c>
      <c r="S253" s="0" t="s">
        <v>228</v>
      </c>
      <c r="T253" s="0" t="s">
        <v>228</v>
      </c>
      <c r="U253" s="0" t="s">
        <v>101</v>
      </c>
      <c r="V253" s="0" t="s">
        <v>228</v>
      </c>
      <c r="W253" s="0" t="s">
        <v>228</v>
      </c>
      <c r="X253" s="0" t="s">
        <v>3661</v>
      </c>
      <c r="Y253" s="0" t="s">
        <v>228</v>
      </c>
      <c r="Z253" s="0" t="s">
        <v>151</v>
      </c>
      <c r="AA253" s="0" t="s">
        <v>151</v>
      </c>
      <c r="AB253" s="0" t="s">
        <v>160</v>
      </c>
      <c r="AC253" s="0" t="s">
        <v>2317</v>
      </c>
      <c r="AD253" s="0" t="s">
        <v>2317</v>
      </c>
      <c r="AE253" s="0" t="s">
        <v>2318</v>
      </c>
      <c r="AF253" s="0" t="s">
        <v>3913</v>
      </c>
      <c r="AG253" s="0" t="s">
        <v>3914</v>
      </c>
      <c r="AH253" s="0" t="s">
        <v>3651</v>
      </c>
      <c r="AI253" s="0" t="s">
        <v>3651</v>
      </c>
      <c r="AJ253" s="0" t="s">
        <v>228</v>
      </c>
      <c r="AK253" s="0" t="s">
        <v>228</v>
      </c>
      <c r="AL253" s="0" t="s">
        <v>228</v>
      </c>
      <c r="AM253" s="0" t="s">
        <v>228</v>
      </c>
      <c r="AN253" s="0" t="s">
        <v>228</v>
      </c>
      <c r="AO253" s="0" t="s">
        <v>228</v>
      </c>
      <c r="AP253" s="0" t="s">
        <v>228</v>
      </c>
      <c r="AQ253" s="0" t="s">
        <v>228</v>
      </c>
      <c r="AR253" s="0" t="s">
        <v>228</v>
      </c>
      <c r="AS253" s="0" t="s">
        <v>228</v>
      </c>
      <c r="AT253" s="0" t="s">
        <v>228</v>
      </c>
      <c r="AU253" s="0" t="s">
        <v>228</v>
      </c>
      <c r="AV253" s="0" t="s">
        <v>228</v>
      </c>
      <c r="AW253" s="0" t="s">
        <v>228</v>
      </c>
      <c r="AX253" s="0" t="s">
        <v>228</v>
      </c>
      <c r="AY253" s="0" t="s">
        <v>228</v>
      </c>
      <c r="AZ253" s="0" t="s">
        <v>228</v>
      </c>
      <c r="BA253" s="0" t="s">
        <v>228</v>
      </c>
      <c r="BB253" s="0" t="s">
        <v>228</v>
      </c>
      <c r="BC253" s="0" t="s">
        <v>228</v>
      </c>
      <c r="BD253" s="0" t="s">
        <v>228</v>
      </c>
      <c r="BE253" s="0" t="s">
        <v>3579</v>
      </c>
      <c r="BF253" s="0" t="s">
        <v>3749</v>
      </c>
      <c r="BG253" s="0" t="s">
        <v>111</v>
      </c>
      <c r="BH253" s="0" t="s">
        <v>3665</v>
      </c>
      <c r="BI253" s="0" t="s">
        <v>122</v>
      </c>
      <c r="BJ253" s="0" t="s">
        <v>228</v>
      </c>
      <c r="BK253" s="0" t="s">
        <v>3684</v>
      </c>
      <c r="BL253" s="0" t="s">
        <v>2317</v>
      </c>
      <c r="BM253" s="0" t="s">
        <v>2317</v>
      </c>
      <c r="BN253" s="0" t="s">
        <v>3740</v>
      </c>
      <c r="BO253" s="0" t="s">
        <v>3913</v>
      </c>
      <c r="BP253" s="0" t="s">
        <v>4758</v>
      </c>
      <c r="BQ253" s="0" t="s">
        <v>3651</v>
      </c>
      <c r="BR253" s="0" t="s">
        <v>3651</v>
      </c>
      <c r="BS253" s="0" t="s">
        <v>228</v>
      </c>
      <c r="BT253" s="0" t="s">
        <v>3727</v>
      </c>
      <c r="BU253" s="0" t="s">
        <v>4759</v>
      </c>
      <c r="BV253" s="0" t="s">
        <v>4759</v>
      </c>
      <c r="BW253" s="0" t="s">
        <v>3674</v>
      </c>
      <c r="BX253" s="0" t="s">
        <v>3674</v>
      </c>
      <c r="BY253" s="0" t="s">
        <v>3674</v>
      </c>
      <c r="BZ253" s="0" t="s">
        <v>3674</v>
      </c>
      <c r="CA253" s="0" t="s">
        <v>3674</v>
      </c>
      <c r="CB253" s="0" t="s">
        <v>228</v>
      </c>
      <c r="CC253" s="0" t="s">
        <v>228</v>
      </c>
      <c r="CD253" s="0" t="s">
        <v>228</v>
      </c>
      <c r="CE253" s="0" t="s">
        <v>228</v>
      </c>
      <c r="CF253" s="0" t="s">
        <v>228</v>
      </c>
      <c r="CG253" s="0" t="s">
        <v>3674</v>
      </c>
      <c r="CH253" s="0" t="s">
        <v>228</v>
      </c>
      <c r="CI253" s="0" t="s">
        <v>228</v>
      </c>
      <c r="CJ253" s="0" t="s">
        <v>228</v>
      </c>
      <c r="CK253" s="0" t="s">
        <v>228</v>
      </c>
      <c r="CL253" s="0" t="s">
        <v>228</v>
      </c>
      <c r="CM253" s="0" t="s">
        <v>4759</v>
      </c>
      <c r="CN253" s="0" t="s">
        <v>4759</v>
      </c>
      <c r="CO253" s="0" t="s">
        <v>228</v>
      </c>
      <c r="CP253" s="0" t="s">
        <v>228</v>
      </c>
      <c r="CQ253" s="0" t="s">
        <v>228</v>
      </c>
      <c r="CR253" s="0" t="s">
        <v>228</v>
      </c>
      <c r="CS253" s="0" t="s">
        <v>3743</v>
      </c>
      <c r="CT253" s="0" t="s">
        <v>3568</v>
      </c>
      <c r="CU253" s="0" t="s">
        <v>3569</v>
      </c>
      <c r="CV253" s="0" t="s">
        <v>418</v>
      </c>
      <c r="CW253" s="0" t="s">
        <v>3622</v>
      </c>
      <c r="CX253" s="0" t="s">
        <v>419</v>
      </c>
      <c r="CY253" s="0" t="s">
        <v>418</v>
      </c>
      <c r="CZ253" s="0" t="s">
        <v>3623</v>
      </c>
      <c r="DA253" s="0" t="s">
        <v>3624</v>
      </c>
      <c r="DB253" s="0" t="s">
        <v>3622</v>
      </c>
      <c r="DC253" s="0" t="s">
        <v>362</v>
      </c>
      <c r="DD253" s="0" t="s">
        <v>3572</v>
      </c>
      <c r="DE253" s="0" t="s">
        <v>4760</v>
      </c>
    </row>
    <row customHeight="1" ht="11.25">
      <c r="A254" s="1353" t="s">
        <v>228</v>
      </c>
      <c r="B254" s="0" t="s">
        <v>228</v>
      </c>
      <c r="C254" s="0" t="s">
        <v>228</v>
      </c>
      <c r="D254" s="0" t="s">
        <v>228</v>
      </c>
      <c r="E254" s="0" t="s">
        <v>228</v>
      </c>
      <c r="F254" s="0" t="s">
        <v>228</v>
      </c>
      <c r="G254" s="0" t="s">
        <v>228</v>
      </c>
      <c r="H254" s="0" t="s">
        <v>228</v>
      </c>
      <c r="I254" s="0" t="s">
        <v>3555</v>
      </c>
      <c r="J254" s="0" t="s">
        <v>228</v>
      </c>
      <c r="K254" s="0" t="s">
        <v>228</v>
      </c>
      <c r="L254" s="0" t="s">
        <v>228</v>
      </c>
      <c r="M254" s="0" t="s">
        <v>228</v>
      </c>
      <c r="N254" s="0" t="s">
        <v>228</v>
      </c>
      <c r="O254" s="0" t="s">
        <v>228</v>
      </c>
      <c r="P254" s="0" t="s">
        <v>228</v>
      </c>
      <c r="Q254" s="0" t="s">
        <v>228</v>
      </c>
      <c r="R254" s="0" t="s">
        <v>4761</v>
      </c>
      <c r="S254" s="0" t="s">
        <v>228</v>
      </c>
      <c r="T254" s="0" t="s">
        <v>228</v>
      </c>
      <c r="U254" s="0" t="s">
        <v>101</v>
      </c>
      <c r="V254" s="0" t="s">
        <v>228</v>
      </c>
      <c r="W254" s="0" t="s">
        <v>228</v>
      </c>
      <c r="X254" s="0" t="s">
        <v>3661</v>
      </c>
      <c r="Y254" s="0" t="s">
        <v>228</v>
      </c>
      <c r="Z254" s="0" t="s">
        <v>151</v>
      </c>
      <c r="AA254" s="0" t="s">
        <v>151</v>
      </c>
      <c r="AB254" s="0" t="s">
        <v>160</v>
      </c>
      <c r="AC254" s="0" t="s">
        <v>2315</v>
      </c>
      <c r="AD254" s="0" t="s">
        <v>2315</v>
      </c>
      <c r="AE254" s="0" t="s">
        <v>2316</v>
      </c>
      <c r="AF254" s="0" t="s">
        <v>4735</v>
      </c>
      <c r="AG254" s="0" t="s">
        <v>4736</v>
      </c>
      <c r="AH254" s="0" t="s">
        <v>3651</v>
      </c>
      <c r="AI254" s="0" t="s">
        <v>3651</v>
      </c>
      <c r="AJ254" s="0" t="s">
        <v>228</v>
      </c>
      <c r="AK254" s="0" t="s">
        <v>228</v>
      </c>
      <c r="AL254" s="0" t="s">
        <v>228</v>
      </c>
      <c r="AM254" s="0" t="s">
        <v>228</v>
      </c>
      <c r="AN254" s="0" t="s">
        <v>228</v>
      </c>
      <c r="AO254" s="0" t="s">
        <v>228</v>
      </c>
      <c r="AP254" s="0" t="s">
        <v>228</v>
      </c>
      <c r="AQ254" s="0" t="s">
        <v>228</v>
      </c>
      <c r="AR254" s="0" t="s">
        <v>228</v>
      </c>
      <c r="AS254" s="0" t="s">
        <v>228</v>
      </c>
      <c r="AT254" s="0" t="s">
        <v>228</v>
      </c>
      <c r="AU254" s="0" t="s">
        <v>228</v>
      </c>
      <c r="AV254" s="0" t="s">
        <v>228</v>
      </c>
      <c r="AW254" s="0" t="s">
        <v>228</v>
      </c>
      <c r="AX254" s="0" t="s">
        <v>228</v>
      </c>
      <c r="AY254" s="0" t="s">
        <v>228</v>
      </c>
      <c r="AZ254" s="0" t="s">
        <v>228</v>
      </c>
      <c r="BA254" s="0" t="s">
        <v>228</v>
      </c>
      <c r="BB254" s="0" t="s">
        <v>228</v>
      </c>
      <c r="BC254" s="0" t="s">
        <v>228</v>
      </c>
      <c r="BD254" s="0" t="s">
        <v>228</v>
      </c>
      <c r="BE254" s="0" t="s">
        <v>3652</v>
      </c>
      <c r="BF254" s="0" t="s">
        <v>4739</v>
      </c>
      <c r="BG254" s="0" t="s">
        <v>111</v>
      </c>
      <c r="BH254" s="0" t="s">
        <v>3665</v>
      </c>
      <c r="BI254" s="0" t="s">
        <v>122</v>
      </c>
      <c r="BJ254" s="0" t="s">
        <v>228</v>
      </c>
      <c r="BK254" s="0" t="s">
        <v>3684</v>
      </c>
      <c r="BL254" s="0" t="s">
        <v>2315</v>
      </c>
      <c r="BM254" s="0" t="s">
        <v>2315</v>
      </c>
      <c r="BN254" s="0" t="s">
        <v>3875</v>
      </c>
      <c r="BO254" s="0" t="s">
        <v>4735</v>
      </c>
      <c r="BP254" s="0" t="s">
        <v>4762</v>
      </c>
      <c r="BQ254" s="0" t="s">
        <v>3651</v>
      </c>
      <c r="BR254" s="0" t="s">
        <v>3651</v>
      </c>
      <c r="BS254" s="0" t="s">
        <v>228</v>
      </c>
      <c r="BT254" s="0" t="s">
        <v>3727</v>
      </c>
      <c r="BU254" s="0" t="s">
        <v>4763</v>
      </c>
      <c r="BV254" s="0" t="s">
        <v>4763</v>
      </c>
      <c r="BW254" s="0" t="s">
        <v>3674</v>
      </c>
      <c r="BX254" s="0" t="s">
        <v>3674</v>
      </c>
      <c r="BY254" s="0" t="s">
        <v>3674</v>
      </c>
      <c r="BZ254" s="0" t="s">
        <v>3674</v>
      </c>
      <c r="CA254" s="0" t="s">
        <v>3674</v>
      </c>
      <c r="CB254" s="0" t="s">
        <v>228</v>
      </c>
      <c r="CC254" s="0" t="s">
        <v>228</v>
      </c>
      <c r="CD254" s="0" t="s">
        <v>228</v>
      </c>
      <c r="CE254" s="0" t="s">
        <v>228</v>
      </c>
      <c r="CF254" s="0" t="s">
        <v>228</v>
      </c>
      <c r="CG254" s="0" t="s">
        <v>3674</v>
      </c>
      <c r="CH254" s="0" t="s">
        <v>228</v>
      </c>
      <c r="CI254" s="0" t="s">
        <v>228</v>
      </c>
      <c r="CJ254" s="0" t="s">
        <v>228</v>
      </c>
      <c r="CK254" s="0" t="s">
        <v>228</v>
      </c>
      <c r="CL254" s="0" t="s">
        <v>228</v>
      </c>
      <c r="CM254" s="0" t="s">
        <v>4763</v>
      </c>
      <c r="CN254" s="0" t="s">
        <v>4763</v>
      </c>
      <c r="CO254" s="0" t="s">
        <v>228</v>
      </c>
      <c r="CP254" s="0" t="s">
        <v>228</v>
      </c>
      <c r="CQ254" s="0" t="s">
        <v>228</v>
      </c>
      <c r="CR254" s="0" t="s">
        <v>228</v>
      </c>
      <c r="CS254" s="0" t="s">
        <v>3628</v>
      </c>
      <c r="CT254" s="0" t="s">
        <v>3568</v>
      </c>
      <c r="CU254" s="0" t="s">
        <v>3569</v>
      </c>
      <c r="CV254" s="0" t="s">
        <v>418</v>
      </c>
      <c r="CW254" s="0" t="s">
        <v>3656</v>
      </c>
      <c r="CX254" s="0" t="s">
        <v>419</v>
      </c>
      <c r="CY254" s="0" t="s">
        <v>418</v>
      </c>
      <c r="CZ254" s="0" t="s">
        <v>3657</v>
      </c>
      <c r="DA254" s="0" t="s">
        <v>3658</v>
      </c>
      <c r="DB254" s="0" t="s">
        <v>3656</v>
      </c>
      <c r="DC254" s="0" t="s">
        <v>362</v>
      </c>
      <c r="DD254" s="0" t="s">
        <v>3572</v>
      </c>
      <c r="DE254" s="0" t="s">
        <v>4764</v>
      </c>
    </row>
    <row customHeight="1" ht="11.25">
      <c r="A255" s="1353" t="s">
        <v>228</v>
      </c>
      <c r="B255" s="0" t="s">
        <v>228</v>
      </c>
      <c r="C255" s="0" t="s">
        <v>228</v>
      </c>
      <c r="D255" s="0" t="s">
        <v>228</v>
      </c>
      <c r="E255" s="0" t="s">
        <v>228</v>
      </c>
      <c r="F255" s="0" t="s">
        <v>228</v>
      </c>
      <c r="G255" s="0" t="s">
        <v>228</v>
      </c>
      <c r="H255" s="0" t="s">
        <v>228</v>
      </c>
      <c r="I255" s="0" t="s">
        <v>3555</v>
      </c>
      <c r="J255" s="0" t="s">
        <v>228</v>
      </c>
      <c r="K255" s="0" t="s">
        <v>228</v>
      </c>
      <c r="L255" s="0" t="s">
        <v>228</v>
      </c>
      <c r="M255" s="0" t="s">
        <v>228</v>
      </c>
      <c r="N255" s="0" t="s">
        <v>228</v>
      </c>
      <c r="O255" s="0" t="s">
        <v>228</v>
      </c>
      <c r="P255" s="0" t="s">
        <v>228</v>
      </c>
      <c r="Q255" s="0" t="s">
        <v>228</v>
      </c>
      <c r="R255" s="0" t="s">
        <v>3648</v>
      </c>
      <c r="S255" s="0" t="s">
        <v>228</v>
      </c>
      <c r="T255" s="0" t="s">
        <v>228</v>
      </c>
      <c r="U255" s="0" t="s">
        <v>101</v>
      </c>
      <c r="V255" s="0" t="s">
        <v>228</v>
      </c>
      <c r="W255" s="0" t="s">
        <v>228</v>
      </c>
      <c r="X255" s="0" t="s">
        <v>3557</v>
      </c>
      <c r="Y255" s="0" t="s">
        <v>228</v>
      </c>
      <c r="Z255" s="0" t="s">
        <v>160</v>
      </c>
      <c r="AA255" s="0" t="s">
        <v>151</v>
      </c>
      <c r="AB255" s="0" t="s">
        <v>151</v>
      </c>
      <c r="AC255" s="0" t="s">
        <v>2315</v>
      </c>
      <c r="AD255" s="0" t="s">
        <v>2315</v>
      </c>
      <c r="AE255" s="0" t="s">
        <v>2316</v>
      </c>
      <c r="AF255" s="0" t="s">
        <v>4765</v>
      </c>
      <c r="AG255" s="0" t="s">
        <v>4766</v>
      </c>
      <c r="AH255" s="0" t="s">
        <v>4767</v>
      </c>
      <c r="AI255" s="0" t="s">
        <v>3651</v>
      </c>
      <c r="AJ255" s="0" t="s">
        <v>3652</v>
      </c>
      <c r="AK255" s="0" t="s">
        <v>4768</v>
      </c>
      <c r="AL255" s="0" t="s">
        <v>3581</v>
      </c>
      <c r="AM255" s="0" t="s">
        <v>3565</v>
      </c>
      <c r="AN255" s="0" t="s">
        <v>3654</v>
      </c>
      <c r="AO255" s="0" t="s">
        <v>3934</v>
      </c>
      <c r="AP255" s="0" t="s">
        <v>228</v>
      </c>
      <c r="AQ255" s="0" t="s">
        <v>228</v>
      </c>
      <c r="AR255" s="0" t="s">
        <v>228</v>
      </c>
      <c r="AS255" s="0" t="s">
        <v>228</v>
      </c>
      <c r="AT255" s="0" t="s">
        <v>228</v>
      </c>
      <c r="AU255" s="0" t="s">
        <v>228</v>
      </c>
      <c r="AV255" s="0" t="s">
        <v>228</v>
      </c>
      <c r="AW255" s="0" t="s">
        <v>228</v>
      </c>
      <c r="AX255" s="0" t="s">
        <v>228</v>
      </c>
      <c r="AY255" s="0" t="s">
        <v>228</v>
      </c>
      <c r="AZ255" s="0" t="s">
        <v>228</v>
      </c>
      <c r="BA255" s="0" t="s">
        <v>228</v>
      </c>
      <c r="BB255" s="0" t="s">
        <v>228</v>
      </c>
      <c r="BC255" s="0" t="s">
        <v>228</v>
      </c>
      <c r="BD255" s="0" t="s">
        <v>228</v>
      </c>
      <c r="BE255" s="0" t="s">
        <v>228</v>
      </c>
      <c r="BF255" s="0" t="s">
        <v>228</v>
      </c>
      <c r="BG255" s="0" t="s">
        <v>228</v>
      </c>
      <c r="BH255" s="0" t="s">
        <v>228</v>
      </c>
      <c r="BI255" s="0" t="s">
        <v>228</v>
      </c>
      <c r="BJ255" s="0" t="s">
        <v>228</v>
      </c>
      <c r="BK255" s="0" t="s">
        <v>228</v>
      </c>
      <c r="BL255" s="0" t="s">
        <v>228</v>
      </c>
      <c r="BM255" s="0" t="s">
        <v>228</v>
      </c>
      <c r="BN255" s="0" t="s">
        <v>228</v>
      </c>
      <c r="BO255" s="0" t="s">
        <v>228</v>
      </c>
      <c r="BP255" s="0" t="s">
        <v>228</v>
      </c>
      <c r="BQ255" s="0" t="s">
        <v>228</v>
      </c>
      <c r="BR255" s="0" t="s">
        <v>228</v>
      </c>
      <c r="BS255" s="0" t="s">
        <v>228</v>
      </c>
      <c r="BT255" s="0" t="s">
        <v>228</v>
      </c>
      <c r="BU255" s="0" t="s">
        <v>228</v>
      </c>
      <c r="BV255" s="0" t="s">
        <v>228</v>
      </c>
      <c r="BW255" s="0" t="s">
        <v>228</v>
      </c>
      <c r="BX255" s="0" t="s">
        <v>228</v>
      </c>
      <c r="BY255" s="0" t="s">
        <v>228</v>
      </c>
      <c r="BZ255" s="0" t="s">
        <v>228</v>
      </c>
      <c r="CA255" s="0" t="s">
        <v>228</v>
      </c>
      <c r="CB255" s="0" t="s">
        <v>228</v>
      </c>
      <c r="CC255" s="0" t="s">
        <v>228</v>
      </c>
      <c r="CD255" s="0" t="s">
        <v>228</v>
      </c>
      <c r="CE255" s="0" t="s">
        <v>228</v>
      </c>
      <c r="CF255" s="0" t="s">
        <v>228</v>
      </c>
      <c r="CG255" s="0" t="s">
        <v>228</v>
      </c>
      <c r="CH255" s="0" t="s">
        <v>228</v>
      </c>
      <c r="CI255" s="0" t="s">
        <v>228</v>
      </c>
      <c r="CJ255" s="0" t="s">
        <v>228</v>
      </c>
      <c r="CK255" s="0" t="s">
        <v>228</v>
      </c>
      <c r="CL255" s="0" t="s">
        <v>228</v>
      </c>
      <c r="CM255" s="0" t="s">
        <v>228</v>
      </c>
      <c r="CN255" s="0" t="s">
        <v>228</v>
      </c>
      <c r="CO255" s="0" t="s">
        <v>228</v>
      </c>
      <c r="CP255" s="0" t="s">
        <v>228</v>
      </c>
      <c r="CQ255" s="0" t="s">
        <v>228</v>
      </c>
      <c r="CR255" s="0" t="s">
        <v>228</v>
      </c>
      <c r="CS255" s="0" t="s">
        <v>228</v>
      </c>
      <c r="CT255" s="0" t="s">
        <v>3568</v>
      </c>
      <c r="CU255" s="0" t="s">
        <v>3569</v>
      </c>
      <c r="CV255" s="0" t="s">
        <v>418</v>
      </c>
      <c r="CW255" s="0" t="s">
        <v>3656</v>
      </c>
      <c r="CX255" s="0" t="s">
        <v>419</v>
      </c>
      <c r="CY255" s="0" t="s">
        <v>418</v>
      </c>
      <c r="CZ255" s="0" t="s">
        <v>3657</v>
      </c>
      <c r="DA255" s="0" t="s">
        <v>3658</v>
      </c>
      <c r="DB255" s="0" t="s">
        <v>3656</v>
      </c>
      <c r="DC255" s="0" t="s">
        <v>362</v>
      </c>
      <c r="DD255" s="0" t="s">
        <v>3572</v>
      </c>
      <c r="DE255" s="0" t="s">
        <v>4769</v>
      </c>
    </row>
    <row customHeight="1" ht="11.25">
      <c r="A256" s="1353" t="s">
        <v>228</v>
      </c>
      <c r="B256" s="0" t="s">
        <v>228</v>
      </c>
      <c r="C256" s="0" t="s">
        <v>228</v>
      </c>
      <c r="D256" s="0" t="s">
        <v>228</v>
      </c>
      <c r="E256" s="0" t="s">
        <v>228</v>
      </c>
      <c r="F256" s="0" t="s">
        <v>228</v>
      </c>
      <c r="G256" s="0" t="s">
        <v>228</v>
      </c>
      <c r="H256" s="0" t="s">
        <v>228</v>
      </c>
      <c r="I256" s="0" t="s">
        <v>3555</v>
      </c>
      <c r="J256" s="0" t="s">
        <v>228</v>
      </c>
      <c r="K256" s="0" t="s">
        <v>228</v>
      </c>
      <c r="L256" s="0" t="s">
        <v>228</v>
      </c>
      <c r="M256" s="0" t="s">
        <v>228</v>
      </c>
      <c r="N256" s="0" t="s">
        <v>228</v>
      </c>
      <c r="O256" s="0" t="s">
        <v>228</v>
      </c>
      <c r="P256" s="0" t="s">
        <v>228</v>
      </c>
      <c r="Q256" s="0" t="s">
        <v>228</v>
      </c>
      <c r="R256" s="0" t="s">
        <v>4770</v>
      </c>
      <c r="S256" s="0" t="s">
        <v>228</v>
      </c>
      <c r="T256" s="0" t="s">
        <v>228</v>
      </c>
      <c r="U256" s="0" t="s">
        <v>101</v>
      </c>
      <c r="V256" s="0" t="s">
        <v>228</v>
      </c>
      <c r="W256" s="0" t="s">
        <v>228</v>
      </c>
      <c r="X256" s="0" t="s">
        <v>3557</v>
      </c>
      <c r="Y256" s="0" t="s">
        <v>228</v>
      </c>
      <c r="Z256" s="0" t="s">
        <v>160</v>
      </c>
      <c r="AA256" s="0" t="s">
        <v>151</v>
      </c>
      <c r="AB256" s="0" t="s">
        <v>151</v>
      </c>
      <c r="AC256" s="0" t="s">
        <v>2721</v>
      </c>
      <c r="AD256" s="0" t="s">
        <v>2721</v>
      </c>
      <c r="AE256" s="0" t="s">
        <v>2722</v>
      </c>
      <c r="AF256" s="0" t="s">
        <v>4024</v>
      </c>
      <c r="AG256" s="0" t="s">
        <v>4025</v>
      </c>
      <c r="AH256" s="0" t="s">
        <v>4771</v>
      </c>
      <c r="AI256" s="0" t="s">
        <v>151</v>
      </c>
      <c r="AJ256" s="0" t="s">
        <v>3899</v>
      </c>
      <c r="AK256" s="0" t="s">
        <v>4183</v>
      </c>
      <c r="AL256" s="0" t="s">
        <v>3581</v>
      </c>
      <c r="AM256" s="0" t="s">
        <v>3565</v>
      </c>
      <c r="AN256" s="0" t="s">
        <v>3628</v>
      </c>
      <c r="AO256" s="0" t="s">
        <v>4772</v>
      </c>
      <c r="AP256" s="0" t="s">
        <v>228</v>
      </c>
      <c r="AQ256" s="0" t="s">
        <v>228</v>
      </c>
      <c r="AR256" s="0" t="s">
        <v>228</v>
      </c>
      <c r="AS256" s="0" t="s">
        <v>228</v>
      </c>
      <c r="AT256" s="0" t="s">
        <v>228</v>
      </c>
      <c r="AU256" s="0" t="s">
        <v>228</v>
      </c>
      <c r="AV256" s="0" t="s">
        <v>228</v>
      </c>
      <c r="AW256" s="0" t="s">
        <v>228</v>
      </c>
      <c r="AX256" s="0" t="s">
        <v>228</v>
      </c>
      <c r="AY256" s="0" t="s">
        <v>228</v>
      </c>
      <c r="AZ256" s="0" t="s">
        <v>228</v>
      </c>
      <c r="BA256" s="0" t="s">
        <v>228</v>
      </c>
      <c r="BB256" s="0" t="s">
        <v>228</v>
      </c>
      <c r="BC256" s="0" t="s">
        <v>228</v>
      </c>
      <c r="BD256" s="0" t="s">
        <v>228</v>
      </c>
      <c r="BE256" s="0" t="s">
        <v>228</v>
      </c>
      <c r="BF256" s="0" t="s">
        <v>228</v>
      </c>
      <c r="BG256" s="0" t="s">
        <v>228</v>
      </c>
      <c r="BH256" s="0" t="s">
        <v>228</v>
      </c>
      <c r="BI256" s="0" t="s">
        <v>228</v>
      </c>
      <c r="BJ256" s="0" t="s">
        <v>228</v>
      </c>
      <c r="BK256" s="0" t="s">
        <v>228</v>
      </c>
      <c r="BL256" s="0" t="s">
        <v>228</v>
      </c>
      <c r="BM256" s="0" t="s">
        <v>228</v>
      </c>
      <c r="BN256" s="0" t="s">
        <v>228</v>
      </c>
      <c r="BO256" s="0" t="s">
        <v>228</v>
      </c>
      <c r="BP256" s="0" t="s">
        <v>228</v>
      </c>
      <c r="BQ256" s="0" t="s">
        <v>228</v>
      </c>
      <c r="BR256" s="0" t="s">
        <v>228</v>
      </c>
      <c r="BS256" s="0" t="s">
        <v>228</v>
      </c>
      <c r="BT256" s="0" t="s">
        <v>228</v>
      </c>
      <c r="BU256" s="0" t="s">
        <v>228</v>
      </c>
      <c r="BV256" s="0" t="s">
        <v>228</v>
      </c>
      <c r="BW256" s="0" t="s">
        <v>228</v>
      </c>
      <c r="BX256" s="0" t="s">
        <v>228</v>
      </c>
      <c r="BY256" s="0" t="s">
        <v>228</v>
      </c>
      <c r="BZ256" s="0" t="s">
        <v>228</v>
      </c>
      <c r="CA256" s="0" t="s">
        <v>228</v>
      </c>
      <c r="CB256" s="0" t="s">
        <v>228</v>
      </c>
      <c r="CC256" s="0" t="s">
        <v>228</v>
      </c>
      <c r="CD256" s="0" t="s">
        <v>228</v>
      </c>
      <c r="CE256" s="0" t="s">
        <v>228</v>
      </c>
      <c r="CF256" s="0" t="s">
        <v>228</v>
      </c>
      <c r="CG256" s="0" t="s">
        <v>228</v>
      </c>
      <c r="CH256" s="0" t="s">
        <v>228</v>
      </c>
      <c r="CI256" s="0" t="s">
        <v>228</v>
      </c>
      <c r="CJ256" s="0" t="s">
        <v>228</v>
      </c>
      <c r="CK256" s="0" t="s">
        <v>228</v>
      </c>
      <c r="CL256" s="0" t="s">
        <v>228</v>
      </c>
      <c r="CM256" s="0" t="s">
        <v>228</v>
      </c>
      <c r="CN256" s="0" t="s">
        <v>228</v>
      </c>
      <c r="CO256" s="0" t="s">
        <v>228</v>
      </c>
      <c r="CP256" s="0" t="s">
        <v>228</v>
      </c>
      <c r="CQ256" s="0" t="s">
        <v>228</v>
      </c>
      <c r="CR256" s="0" t="s">
        <v>228</v>
      </c>
      <c r="CS256" s="0" t="s">
        <v>228</v>
      </c>
      <c r="CT256" s="0" t="s">
        <v>3568</v>
      </c>
      <c r="CU256" s="0" t="s">
        <v>3569</v>
      </c>
      <c r="CV256" s="0" t="s">
        <v>4030</v>
      </c>
      <c r="CW256" s="0" t="s">
        <v>4031</v>
      </c>
      <c r="CX256" s="0" t="s">
        <v>3603</v>
      </c>
      <c r="CY256" s="0" t="s">
        <v>4030</v>
      </c>
      <c r="CZ256" s="0" t="s">
        <v>3608</v>
      </c>
      <c r="DA256" s="0" t="s">
        <v>4032</v>
      </c>
      <c r="DB256" s="0" t="s">
        <v>3676</v>
      </c>
      <c r="DC256" s="0" t="s">
        <v>362</v>
      </c>
      <c r="DD256" s="0" t="s">
        <v>3572</v>
      </c>
      <c r="DE256" s="0" t="s">
        <v>4773</v>
      </c>
    </row>
    <row customHeight="1" ht="11.25">
      <c r="A257" s="1353" t="s">
        <v>228</v>
      </c>
      <c r="B257" s="0" t="s">
        <v>228</v>
      </c>
      <c r="C257" s="0" t="s">
        <v>228</v>
      </c>
      <c r="D257" s="0" t="s">
        <v>228</v>
      </c>
      <c r="E257" s="0" t="s">
        <v>228</v>
      </c>
      <c r="F257" s="0" t="s">
        <v>228</v>
      </c>
      <c r="G257" s="0" t="s">
        <v>228</v>
      </c>
      <c r="H257" s="0" t="s">
        <v>228</v>
      </c>
      <c r="I257" s="0" t="s">
        <v>3555</v>
      </c>
      <c r="J257" s="0" t="s">
        <v>228</v>
      </c>
      <c r="K257" s="0" t="s">
        <v>228</v>
      </c>
      <c r="L257" s="0" t="s">
        <v>228</v>
      </c>
      <c r="M257" s="0" t="s">
        <v>228</v>
      </c>
      <c r="N257" s="0" t="s">
        <v>228</v>
      </c>
      <c r="O257" s="0" t="s">
        <v>228</v>
      </c>
      <c r="P257" s="0" t="s">
        <v>228</v>
      </c>
      <c r="Q257" s="0" t="s">
        <v>228</v>
      </c>
      <c r="R257" s="0" t="s">
        <v>4774</v>
      </c>
      <c r="S257" s="0" t="s">
        <v>228</v>
      </c>
      <c r="T257" s="0" t="s">
        <v>228</v>
      </c>
      <c r="U257" s="0" t="s">
        <v>101</v>
      </c>
      <c r="V257" s="0" t="s">
        <v>228</v>
      </c>
      <c r="W257" s="0" t="s">
        <v>228</v>
      </c>
      <c r="X257" s="0" t="s">
        <v>3557</v>
      </c>
      <c r="Y257" s="0" t="s">
        <v>228</v>
      </c>
      <c r="Z257" s="0" t="s">
        <v>160</v>
      </c>
      <c r="AA257" s="0" t="s">
        <v>151</v>
      </c>
      <c r="AB257" s="0" t="s">
        <v>151</v>
      </c>
      <c r="AC257" s="0" t="s">
        <v>2721</v>
      </c>
      <c r="AD257" s="0" t="s">
        <v>2721</v>
      </c>
      <c r="AE257" s="0" t="s">
        <v>2722</v>
      </c>
      <c r="AF257" s="0" t="s">
        <v>4024</v>
      </c>
      <c r="AG257" s="0" t="s">
        <v>4025</v>
      </c>
      <c r="AH257" s="0" t="s">
        <v>4775</v>
      </c>
      <c r="AI257" s="0" t="s">
        <v>489</v>
      </c>
      <c r="AJ257" s="0" t="s">
        <v>4776</v>
      </c>
      <c r="AK257" s="0" t="s">
        <v>4777</v>
      </c>
      <c r="AL257" s="0" t="s">
        <v>3599</v>
      </c>
      <c r="AM257" s="0" t="s">
        <v>3565</v>
      </c>
      <c r="AN257" s="0" t="s">
        <v>3654</v>
      </c>
      <c r="AO257" s="0" t="s">
        <v>4778</v>
      </c>
      <c r="AP257" s="0" t="s">
        <v>228</v>
      </c>
      <c r="AQ257" s="0" t="s">
        <v>228</v>
      </c>
      <c r="AR257" s="0" t="s">
        <v>228</v>
      </c>
      <c r="AS257" s="0" t="s">
        <v>228</v>
      </c>
      <c r="AT257" s="0" t="s">
        <v>228</v>
      </c>
      <c r="AU257" s="0" t="s">
        <v>228</v>
      </c>
      <c r="AV257" s="0" t="s">
        <v>228</v>
      </c>
      <c r="AW257" s="0" t="s">
        <v>228</v>
      </c>
      <c r="AX257" s="0" t="s">
        <v>228</v>
      </c>
      <c r="AY257" s="0" t="s">
        <v>228</v>
      </c>
      <c r="AZ257" s="0" t="s">
        <v>228</v>
      </c>
      <c r="BA257" s="0" t="s">
        <v>228</v>
      </c>
      <c r="BB257" s="0" t="s">
        <v>228</v>
      </c>
      <c r="BC257" s="0" t="s">
        <v>228</v>
      </c>
      <c r="BD257" s="0" t="s">
        <v>228</v>
      </c>
      <c r="BE257" s="0" t="s">
        <v>228</v>
      </c>
      <c r="BF257" s="0" t="s">
        <v>228</v>
      </c>
      <c r="BG257" s="0" t="s">
        <v>228</v>
      </c>
      <c r="BH257" s="0" t="s">
        <v>228</v>
      </c>
      <c r="BI257" s="0" t="s">
        <v>228</v>
      </c>
      <c r="BJ257" s="0" t="s">
        <v>228</v>
      </c>
      <c r="BK257" s="0" t="s">
        <v>228</v>
      </c>
      <c r="BL257" s="0" t="s">
        <v>228</v>
      </c>
      <c r="BM257" s="0" t="s">
        <v>228</v>
      </c>
      <c r="BN257" s="0" t="s">
        <v>228</v>
      </c>
      <c r="BO257" s="0" t="s">
        <v>228</v>
      </c>
      <c r="BP257" s="0" t="s">
        <v>228</v>
      </c>
      <c r="BQ257" s="0" t="s">
        <v>228</v>
      </c>
      <c r="BR257" s="0" t="s">
        <v>228</v>
      </c>
      <c r="BS257" s="0" t="s">
        <v>228</v>
      </c>
      <c r="BT257" s="0" t="s">
        <v>228</v>
      </c>
      <c r="BU257" s="0" t="s">
        <v>228</v>
      </c>
      <c r="BV257" s="0" t="s">
        <v>228</v>
      </c>
      <c r="BW257" s="0" t="s">
        <v>228</v>
      </c>
      <c r="BX257" s="0" t="s">
        <v>228</v>
      </c>
      <c r="BY257" s="0" t="s">
        <v>228</v>
      </c>
      <c r="BZ257" s="0" t="s">
        <v>228</v>
      </c>
      <c r="CA257" s="0" t="s">
        <v>228</v>
      </c>
      <c r="CB257" s="0" t="s">
        <v>228</v>
      </c>
      <c r="CC257" s="0" t="s">
        <v>228</v>
      </c>
      <c r="CD257" s="0" t="s">
        <v>228</v>
      </c>
      <c r="CE257" s="0" t="s">
        <v>228</v>
      </c>
      <c r="CF257" s="0" t="s">
        <v>228</v>
      </c>
      <c r="CG257" s="0" t="s">
        <v>228</v>
      </c>
      <c r="CH257" s="0" t="s">
        <v>228</v>
      </c>
      <c r="CI257" s="0" t="s">
        <v>228</v>
      </c>
      <c r="CJ257" s="0" t="s">
        <v>228</v>
      </c>
      <c r="CK257" s="0" t="s">
        <v>228</v>
      </c>
      <c r="CL257" s="0" t="s">
        <v>228</v>
      </c>
      <c r="CM257" s="0" t="s">
        <v>228</v>
      </c>
      <c r="CN257" s="0" t="s">
        <v>228</v>
      </c>
      <c r="CO257" s="0" t="s">
        <v>228</v>
      </c>
      <c r="CP257" s="0" t="s">
        <v>228</v>
      </c>
      <c r="CQ257" s="0" t="s">
        <v>228</v>
      </c>
      <c r="CR257" s="0" t="s">
        <v>228</v>
      </c>
      <c r="CS257" s="0" t="s">
        <v>228</v>
      </c>
      <c r="CT257" s="0" t="s">
        <v>3568</v>
      </c>
      <c r="CU257" s="0" t="s">
        <v>3569</v>
      </c>
      <c r="CV257" s="0" t="s">
        <v>4030</v>
      </c>
      <c r="CW257" s="0" t="s">
        <v>4031</v>
      </c>
      <c r="CX257" s="0" t="s">
        <v>3603</v>
      </c>
      <c r="CY257" s="0" t="s">
        <v>4030</v>
      </c>
      <c r="CZ257" s="0" t="s">
        <v>3608</v>
      </c>
      <c r="DA257" s="0" t="s">
        <v>4032</v>
      </c>
      <c r="DB257" s="0" t="s">
        <v>3676</v>
      </c>
      <c r="DC257" s="0" t="s">
        <v>362</v>
      </c>
      <c r="DD257" s="0" t="s">
        <v>3572</v>
      </c>
      <c r="DE257" s="0" t="s">
        <v>4779</v>
      </c>
    </row>
    <row customHeight="1" ht="11.25">
      <c r="A258" s="1353" t="s">
        <v>228</v>
      </c>
      <c r="B258" s="0" t="s">
        <v>228</v>
      </c>
      <c r="C258" s="0" t="s">
        <v>228</v>
      </c>
      <c r="D258" s="0" t="s">
        <v>228</v>
      </c>
      <c r="E258" s="0" t="s">
        <v>228</v>
      </c>
      <c r="F258" s="0" t="s">
        <v>228</v>
      </c>
      <c r="G258" s="0" t="s">
        <v>228</v>
      </c>
      <c r="H258" s="0" t="s">
        <v>228</v>
      </c>
      <c r="I258" s="0" t="s">
        <v>3555</v>
      </c>
      <c r="J258" s="0" t="s">
        <v>228</v>
      </c>
      <c r="K258" s="0" t="s">
        <v>228</v>
      </c>
      <c r="L258" s="0" t="s">
        <v>228</v>
      </c>
      <c r="M258" s="0" t="s">
        <v>228</v>
      </c>
      <c r="N258" s="0" t="s">
        <v>228</v>
      </c>
      <c r="O258" s="0" t="s">
        <v>228</v>
      </c>
      <c r="P258" s="0" t="s">
        <v>228</v>
      </c>
      <c r="Q258" s="0" t="s">
        <v>228</v>
      </c>
      <c r="R258" s="0" t="s">
        <v>3648</v>
      </c>
      <c r="S258" s="0" t="s">
        <v>228</v>
      </c>
      <c r="T258" s="0" t="s">
        <v>228</v>
      </c>
      <c r="U258" s="0" t="s">
        <v>101</v>
      </c>
      <c r="V258" s="0" t="s">
        <v>228</v>
      </c>
      <c r="W258" s="0" t="s">
        <v>228</v>
      </c>
      <c r="X258" s="0" t="s">
        <v>3557</v>
      </c>
      <c r="Y258" s="0" t="s">
        <v>228</v>
      </c>
      <c r="Z258" s="0" t="s">
        <v>160</v>
      </c>
      <c r="AA258" s="0" t="s">
        <v>151</v>
      </c>
      <c r="AB258" s="0" t="s">
        <v>151</v>
      </c>
      <c r="AC258" s="0" t="s">
        <v>2317</v>
      </c>
      <c r="AD258" s="0" t="s">
        <v>2317</v>
      </c>
      <c r="AE258" s="0" t="s">
        <v>2318</v>
      </c>
      <c r="AF258" s="0" t="s">
        <v>4487</v>
      </c>
      <c r="AG258" s="0" t="s">
        <v>4488</v>
      </c>
      <c r="AH258" s="0" t="s">
        <v>3958</v>
      </c>
      <c r="AI258" s="0" t="s">
        <v>3926</v>
      </c>
      <c r="AJ258" s="0" t="s">
        <v>3579</v>
      </c>
      <c r="AK258" s="0" t="s">
        <v>3619</v>
      </c>
      <c r="AL258" s="0" t="s">
        <v>3581</v>
      </c>
      <c r="AM258" s="0" t="s">
        <v>3565</v>
      </c>
      <c r="AN258" s="0" t="s">
        <v>3628</v>
      </c>
      <c r="AO258" s="0" t="s">
        <v>3701</v>
      </c>
      <c r="AP258" s="0" t="s">
        <v>228</v>
      </c>
      <c r="AQ258" s="0" t="s">
        <v>228</v>
      </c>
      <c r="AR258" s="0" t="s">
        <v>228</v>
      </c>
      <c r="AS258" s="0" t="s">
        <v>228</v>
      </c>
      <c r="AT258" s="0" t="s">
        <v>228</v>
      </c>
      <c r="AU258" s="0" t="s">
        <v>228</v>
      </c>
      <c r="AV258" s="0" t="s">
        <v>228</v>
      </c>
      <c r="AW258" s="0" t="s">
        <v>228</v>
      </c>
      <c r="AX258" s="0" t="s">
        <v>228</v>
      </c>
      <c r="AY258" s="0" t="s">
        <v>228</v>
      </c>
      <c r="AZ258" s="0" t="s">
        <v>228</v>
      </c>
      <c r="BA258" s="0" t="s">
        <v>228</v>
      </c>
      <c r="BB258" s="0" t="s">
        <v>228</v>
      </c>
      <c r="BC258" s="0" t="s">
        <v>228</v>
      </c>
      <c r="BD258" s="0" t="s">
        <v>228</v>
      </c>
      <c r="BE258" s="0" t="s">
        <v>228</v>
      </c>
      <c r="BF258" s="0" t="s">
        <v>228</v>
      </c>
      <c r="BG258" s="0" t="s">
        <v>228</v>
      </c>
      <c r="BH258" s="0" t="s">
        <v>228</v>
      </c>
      <c r="BI258" s="0" t="s">
        <v>228</v>
      </c>
      <c r="BJ258" s="0" t="s">
        <v>228</v>
      </c>
      <c r="BK258" s="0" t="s">
        <v>228</v>
      </c>
      <c r="BL258" s="0" t="s">
        <v>228</v>
      </c>
      <c r="BM258" s="0" t="s">
        <v>228</v>
      </c>
      <c r="BN258" s="0" t="s">
        <v>228</v>
      </c>
      <c r="BO258" s="0" t="s">
        <v>228</v>
      </c>
      <c r="BP258" s="0" t="s">
        <v>228</v>
      </c>
      <c r="BQ258" s="0" t="s">
        <v>228</v>
      </c>
      <c r="BR258" s="0" t="s">
        <v>228</v>
      </c>
      <c r="BS258" s="0" t="s">
        <v>228</v>
      </c>
      <c r="BT258" s="0" t="s">
        <v>228</v>
      </c>
      <c r="BU258" s="0" t="s">
        <v>228</v>
      </c>
      <c r="BV258" s="0" t="s">
        <v>228</v>
      </c>
      <c r="BW258" s="0" t="s">
        <v>228</v>
      </c>
      <c r="BX258" s="0" t="s">
        <v>228</v>
      </c>
      <c r="BY258" s="0" t="s">
        <v>228</v>
      </c>
      <c r="BZ258" s="0" t="s">
        <v>228</v>
      </c>
      <c r="CA258" s="0" t="s">
        <v>228</v>
      </c>
      <c r="CB258" s="0" t="s">
        <v>228</v>
      </c>
      <c r="CC258" s="0" t="s">
        <v>228</v>
      </c>
      <c r="CD258" s="0" t="s">
        <v>228</v>
      </c>
      <c r="CE258" s="0" t="s">
        <v>228</v>
      </c>
      <c r="CF258" s="0" t="s">
        <v>228</v>
      </c>
      <c r="CG258" s="0" t="s">
        <v>228</v>
      </c>
      <c r="CH258" s="0" t="s">
        <v>228</v>
      </c>
      <c r="CI258" s="0" t="s">
        <v>228</v>
      </c>
      <c r="CJ258" s="0" t="s">
        <v>228</v>
      </c>
      <c r="CK258" s="0" t="s">
        <v>228</v>
      </c>
      <c r="CL258" s="0" t="s">
        <v>228</v>
      </c>
      <c r="CM258" s="0" t="s">
        <v>228</v>
      </c>
      <c r="CN258" s="0" t="s">
        <v>228</v>
      </c>
      <c r="CO258" s="0" t="s">
        <v>228</v>
      </c>
      <c r="CP258" s="0" t="s">
        <v>228</v>
      </c>
      <c r="CQ258" s="0" t="s">
        <v>228</v>
      </c>
      <c r="CR258" s="0" t="s">
        <v>228</v>
      </c>
      <c r="CS258" s="0" t="s">
        <v>228</v>
      </c>
      <c r="CT258" s="0" t="s">
        <v>3568</v>
      </c>
      <c r="CU258" s="0" t="s">
        <v>3569</v>
      </c>
      <c r="CV258" s="0" t="s">
        <v>418</v>
      </c>
      <c r="CW258" s="0" t="s">
        <v>3622</v>
      </c>
      <c r="CX258" s="0" t="s">
        <v>419</v>
      </c>
      <c r="CY258" s="0" t="s">
        <v>418</v>
      </c>
      <c r="CZ258" s="0" t="s">
        <v>3623</v>
      </c>
      <c r="DA258" s="0" t="s">
        <v>3624</v>
      </c>
      <c r="DB258" s="0" t="s">
        <v>3622</v>
      </c>
      <c r="DC258" s="0" t="s">
        <v>362</v>
      </c>
      <c r="DD258" s="0" t="s">
        <v>3572</v>
      </c>
      <c r="DE258" s="0" t="s">
        <v>4780</v>
      </c>
    </row>
    <row customHeight="1" ht="11.25">
      <c r="A259" s="1353" t="s">
        <v>228</v>
      </c>
      <c r="B259" s="0" t="s">
        <v>228</v>
      </c>
      <c r="C259" s="0" t="s">
        <v>228</v>
      </c>
      <c r="D259" s="0" t="s">
        <v>228</v>
      </c>
      <c r="E259" s="0" t="s">
        <v>228</v>
      </c>
      <c r="F259" s="0" t="s">
        <v>228</v>
      </c>
      <c r="G259" s="0" t="s">
        <v>228</v>
      </c>
      <c r="H259" s="0" t="s">
        <v>228</v>
      </c>
      <c r="I259" s="0" t="s">
        <v>3555</v>
      </c>
      <c r="J259" s="0" t="s">
        <v>228</v>
      </c>
      <c r="K259" s="0" t="s">
        <v>228</v>
      </c>
      <c r="L259" s="0" t="s">
        <v>228</v>
      </c>
      <c r="M259" s="0" t="s">
        <v>228</v>
      </c>
      <c r="N259" s="0" t="s">
        <v>228</v>
      </c>
      <c r="O259" s="0" t="s">
        <v>228</v>
      </c>
      <c r="P259" s="0" t="s">
        <v>228</v>
      </c>
      <c r="Q259" s="0" t="s">
        <v>228</v>
      </c>
      <c r="R259" s="0" t="s">
        <v>3648</v>
      </c>
      <c r="S259" s="0" t="s">
        <v>228</v>
      </c>
      <c r="T259" s="0" t="s">
        <v>228</v>
      </c>
      <c r="U259" s="0" t="s">
        <v>101</v>
      </c>
      <c r="V259" s="0" t="s">
        <v>228</v>
      </c>
      <c r="W259" s="0" t="s">
        <v>228</v>
      </c>
      <c r="X259" s="0" t="s">
        <v>3557</v>
      </c>
      <c r="Y259" s="0" t="s">
        <v>228</v>
      </c>
      <c r="Z259" s="0" t="s">
        <v>160</v>
      </c>
      <c r="AA259" s="0" t="s">
        <v>151</v>
      </c>
      <c r="AB259" s="0" t="s">
        <v>151</v>
      </c>
      <c r="AC259" s="0" t="s">
        <v>2317</v>
      </c>
      <c r="AD259" s="0" t="s">
        <v>2317</v>
      </c>
      <c r="AE259" s="0" t="s">
        <v>2318</v>
      </c>
      <c r="AF259" s="0" t="s">
        <v>4487</v>
      </c>
      <c r="AG259" s="0" t="s">
        <v>4488</v>
      </c>
      <c r="AH259" s="0" t="s">
        <v>4704</v>
      </c>
      <c r="AI259" s="0" t="s">
        <v>4049</v>
      </c>
      <c r="AJ259" s="0" t="s">
        <v>3579</v>
      </c>
      <c r="AK259" s="0" t="s">
        <v>4751</v>
      </c>
      <c r="AL259" s="0" t="s">
        <v>3581</v>
      </c>
      <c r="AM259" s="0" t="s">
        <v>3565</v>
      </c>
      <c r="AN259" s="0" t="s">
        <v>3628</v>
      </c>
      <c r="AO259" s="0" t="s">
        <v>3712</v>
      </c>
      <c r="AP259" s="0" t="s">
        <v>228</v>
      </c>
      <c r="AQ259" s="0" t="s">
        <v>228</v>
      </c>
      <c r="AR259" s="0" t="s">
        <v>228</v>
      </c>
      <c r="AS259" s="0" t="s">
        <v>228</v>
      </c>
      <c r="AT259" s="0" t="s">
        <v>228</v>
      </c>
      <c r="AU259" s="0" t="s">
        <v>228</v>
      </c>
      <c r="AV259" s="0" t="s">
        <v>228</v>
      </c>
      <c r="AW259" s="0" t="s">
        <v>228</v>
      </c>
      <c r="AX259" s="0" t="s">
        <v>228</v>
      </c>
      <c r="AY259" s="0" t="s">
        <v>228</v>
      </c>
      <c r="AZ259" s="0" t="s">
        <v>228</v>
      </c>
      <c r="BA259" s="0" t="s">
        <v>228</v>
      </c>
      <c r="BB259" s="0" t="s">
        <v>228</v>
      </c>
      <c r="BC259" s="0" t="s">
        <v>228</v>
      </c>
      <c r="BD259" s="0" t="s">
        <v>228</v>
      </c>
      <c r="BE259" s="0" t="s">
        <v>228</v>
      </c>
      <c r="BF259" s="0" t="s">
        <v>228</v>
      </c>
      <c r="BG259" s="0" t="s">
        <v>228</v>
      </c>
      <c r="BH259" s="0" t="s">
        <v>228</v>
      </c>
      <c r="BI259" s="0" t="s">
        <v>228</v>
      </c>
      <c r="BJ259" s="0" t="s">
        <v>228</v>
      </c>
      <c r="BK259" s="0" t="s">
        <v>228</v>
      </c>
      <c r="BL259" s="0" t="s">
        <v>228</v>
      </c>
      <c r="BM259" s="0" t="s">
        <v>228</v>
      </c>
      <c r="BN259" s="0" t="s">
        <v>228</v>
      </c>
      <c r="BO259" s="0" t="s">
        <v>228</v>
      </c>
      <c r="BP259" s="0" t="s">
        <v>228</v>
      </c>
      <c r="BQ259" s="0" t="s">
        <v>228</v>
      </c>
      <c r="BR259" s="0" t="s">
        <v>228</v>
      </c>
      <c r="BS259" s="0" t="s">
        <v>228</v>
      </c>
      <c r="BT259" s="0" t="s">
        <v>228</v>
      </c>
      <c r="BU259" s="0" t="s">
        <v>228</v>
      </c>
      <c r="BV259" s="0" t="s">
        <v>228</v>
      </c>
      <c r="BW259" s="0" t="s">
        <v>228</v>
      </c>
      <c r="BX259" s="0" t="s">
        <v>228</v>
      </c>
      <c r="BY259" s="0" t="s">
        <v>228</v>
      </c>
      <c r="BZ259" s="0" t="s">
        <v>228</v>
      </c>
      <c r="CA259" s="0" t="s">
        <v>228</v>
      </c>
      <c r="CB259" s="0" t="s">
        <v>228</v>
      </c>
      <c r="CC259" s="0" t="s">
        <v>228</v>
      </c>
      <c r="CD259" s="0" t="s">
        <v>228</v>
      </c>
      <c r="CE259" s="0" t="s">
        <v>228</v>
      </c>
      <c r="CF259" s="0" t="s">
        <v>228</v>
      </c>
      <c r="CG259" s="0" t="s">
        <v>228</v>
      </c>
      <c r="CH259" s="0" t="s">
        <v>228</v>
      </c>
      <c r="CI259" s="0" t="s">
        <v>228</v>
      </c>
      <c r="CJ259" s="0" t="s">
        <v>228</v>
      </c>
      <c r="CK259" s="0" t="s">
        <v>228</v>
      </c>
      <c r="CL259" s="0" t="s">
        <v>228</v>
      </c>
      <c r="CM259" s="0" t="s">
        <v>228</v>
      </c>
      <c r="CN259" s="0" t="s">
        <v>228</v>
      </c>
      <c r="CO259" s="0" t="s">
        <v>228</v>
      </c>
      <c r="CP259" s="0" t="s">
        <v>228</v>
      </c>
      <c r="CQ259" s="0" t="s">
        <v>228</v>
      </c>
      <c r="CR259" s="0" t="s">
        <v>228</v>
      </c>
      <c r="CS259" s="0" t="s">
        <v>228</v>
      </c>
      <c r="CT259" s="0" t="s">
        <v>3568</v>
      </c>
      <c r="CU259" s="0" t="s">
        <v>3569</v>
      </c>
      <c r="CV259" s="0" t="s">
        <v>418</v>
      </c>
      <c r="CW259" s="0" t="s">
        <v>3622</v>
      </c>
      <c r="CX259" s="0" t="s">
        <v>419</v>
      </c>
      <c r="CY259" s="0" t="s">
        <v>418</v>
      </c>
      <c r="CZ259" s="0" t="s">
        <v>3623</v>
      </c>
      <c r="DA259" s="0" t="s">
        <v>3624</v>
      </c>
      <c r="DB259" s="0" t="s">
        <v>3622</v>
      </c>
      <c r="DC259" s="0" t="s">
        <v>362</v>
      </c>
      <c r="DD259" s="0" t="s">
        <v>3572</v>
      </c>
      <c r="DE259" s="0" t="s">
        <v>4781</v>
      </c>
    </row>
    <row customHeight="1" ht="11.25">
      <c r="A260" s="1353" t="s">
        <v>228</v>
      </c>
      <c r="B260" s="0" t="s">
        <v>228</v>
      </c>
      <c r="C260" s="0" t="s">
        <v>228</v>
      </c>
      <c r="D260" s="0" t="s">
        <v>228</v>
      </c>
      <c r="E260" s="0" t="s">
        <v>228</v>
      </c>
      <c r="F260" s="0" t="s">
        <v>228</v>
      </c>
      <c r="G260" s="0" t="s">
        <v>228</v>
      </c>
      <c r="H260" s="0" t="s">
        <v>228</v>
      </c>
      <c r="I260" s="0" t="s">
        <v>3555</v>
      </c>
      <c r="J260" s="0" t="s">
        <v>228</v>
      </c>
      <c r="K260" s="0" t="s">
        <v>228</v>
      </c>
      <c r="L260" s="0" t="s">
        <v>228</v>
      </c>
      <c r="M260" s="0" t="s">
        <v>228</v>
      </c>
      <c r="N260" s="0" t="s">
        <v>228</v>
      </c>
      <c r="O260" s="0" t="s">
        <v>228</v>
      </c>
      <c r="P260" s="0" t="s">
        <v>228</v>
      </c>
      <c r="Q260" s="0" t="s">
        <v>228</v>
      </c>
      <c r="R260" s="0" t="s">
        <v>4782</v>
      </c>
      <c r="S260" s="0" t="s">
        <v>228</v>
      </c>
      <c r="T260" s="0" t="s">
        <v>228</v>
      </c>
      <c r="U260" s="0" t="s">
        <v>101</v>
      </c>
      <c r="V260" s="0" t="s">
        <v>228</v>
      </c>
      <c r="W260" s="0" t="s">
        <v>228</v>
      </c>
      <c r="X260" s="0" t="s">
        <v>3661</v>
      </c>
      <c r="Y260" s="0" t="s">
        <v>228</v>
      </c>
      <c r="Z260" s="0" t="s">
        <v>151</v>
      </c>
      <c r="AA260" s="0" t="s">
        <v>151</v>
      </c>
      <c r="AB260" s="0" t="s">
        <v>160</v>
      </c>
      <c r="AC260" s="0" t="s">
        <v>2315</v>
      </c>
      <c r="AD260" s="0" t="s">
        <v>2315</v>
      </c>
      <c r="AE260" s="0" t="s">
        <v>2316</v>
      </c>
      <c r="AF260" s="0" t="s">
        <v>4587</v>
      </c>
      <c r="AG260" s="0" t="s">
        <v>4588</v>
      </c>
      <c r="AH260" s="0" t="s">
        <v>3651</v>
      </c>
      <c r="AI260" s="0" t="s">
        <v>3651</v>
      </c>
      <c r="AJ260" s="0" t="s">
        <v>228</v>
      </c>
      <c r="AK260" s="0" t="s">
        <v>228</v>
      </c>
      <c r="AL260" s="0" t="s">
        <v>228</v>
      </c>
      <c r="AM260" s="0" t="s">
        <v>228</v>
      </c>
      <c r="AN260" s="0" t="s">
        <v>228</v>
      </c>
      <c r="AO260" s="0" t="s">
        <v>228</v>
      </c>
      <c r="AP260" s="0" t="s">
        <v>228</v>
      </c>
      <c r="AQ260" s="0" t="s">
        <v>228</v>
      </c>
      <c r="AR260" s="0" t="s">
        <v>228</v>
      </c>
      <c r="AS260" s="0" t="s">
        <v>228</v>
      </c>
      <c r="AT260" s="0" t="s">
        <v>228</v>
      </c>
      <c r="AU260" s="0" t="s">
        <v>228</v>
      </c>
      <c r="AV260" s="0" t="s">
        <v>228</v>
      </c>
      <c r="AW260" s="0" t="s">
        <v>228</v>
      </c>
      <c r="AX260" s="0" t="s">
        <v>228</v>
      </c>
      <c r="AY260" s="0" t="s">
        <v>228</v>
      </c>
      <c r="AZ260" s="0" t="s">
        <v>228</v>
      </c>
      <c r="BA260" s="0" t="s">
        <v>228</v>
      </c>
      <c r="BB260" s="0" t="s">
        <v>228</v>
      </c>
      <c r="BC260" s="0" t="s">
        <v>228</v>
      </c>
      <c r="BD260" s="0" t="s">
        <v>228</v>
      </c>
      <c r="BE260" s="0" t="s">
        <v>3652</v>
      </c>
      <c r="BF260" s="0" t="s">
        <v>3891</v>
      </c>
      <c r="BG260" s="0" t="s">
        <v>111</v>
      </c>
      <c r="BH260" s="0" t="s">
        <v>3665</v>
      </c>
      <c r="BI260" s="0" t="s">
        <v>122</v>
      </c>
      <c r="BJ260" s="0" t="s">
        <v>228</v>
      </c>
      <c r="BK260" s="0" t="s">
        <v>3684</v>
      </c>
      <c r="BL260" s="0" t="s">
        <v>2315</v>
      </c>
      <c r="BM260" s="0" t="s">
        <v>2315</v>
      </c>
      <c r="BN260" s="0" t="s">
        <v>3875</v>
      </c>
      <c r="BO260" s="0" t="s">
        <v>4587</v>
      </c>
      <c r="BP260" s="0" t="s">
        <v>4783</v>
      </c>
      <c r="BQ260" s="0" t="s">
        <v>3651</v>
      </c>
      <c r="BR260" s="0" t="s">
        <v>3651</v>
      </c>
      <c r="BS260" s="0" t="s">
        <v>228</v>
      </c>
      <c r="BT260" s="0" t="s">
        <v>3727</v>
      </c>
      <c r="BU260" s="0" t="s">
        <v>4784</v>
      </c>
      <c r="BV260" s="0" t="s">
        <v>4784</v>
      </c>
      <c r="BW260" s="0" t="s">
        <v>3674</v>
      </c>
      <c r="BX260" s="0" t="s">
        <v>3674</v>
      </c>
      <c r="BY260" s="0" t="s">
        <v>3674</v>
      </c>
      <c r="BZ260" s="0" t="s">
        <v>3674</v>
      </c>
      <c r="CA260" s="0" t="s">
        <v>3674</v>
      </c>
      <c r="CB260" s="0" t="s">
        <v>228</v>
      </c>
      <c r="CC260" s="0" t="s">
        <v>228</v>
      </c>
      <c r="CD260" s="0" t="s">
        <v>228</v>
      </c>
      <c r="CE260" s="0" t="s">
        <v>228</v>
      </c>
      <c r="CF260" s="0" t="s">
        <v>228</v>
      </c>
      <c r="CG260" s="0" t="s">
        <v>3674</v>
      </c>
      <c r="CH260" s="0" t="s">
        <v>228</v>
      </c>
      <c r="CI260" s="0" t="s">
        <v>228</v>
      </c>
      <c r="CJ260" s="0" t="s">
        <v>228</v>
      </c>
      <c r="CK260" s="0" t="s">
        <v>228</v>
      </c>
      <c r="CL260" s="0" t="s">
        <v>228</v>
      </c>
      <c r="CM260" s="0" t="s">
        <v>4784</v>
      </c>
      <c r="CN260" s="0" t="s">
        <v>4784</v>
      </c>
      <c r="CO260" s="0" t="s">
        <v>228</v>
      </c>
      <c r="CP260" s="0" t="s">
        <v>228</v>
      </c>
      <c r="CQ260" s="0" t="s">
        <v>228</v>
      </c>
      <c r="CR260" s="0" t="s">
        <v>228</v>
      </c>
      <c r="CS260" s="0" t="s">
        <v>3654</v>
      </c>
      <c r="CT260" s="0" t="s">
        <v>3568</v>
      </c>
      <c r="CU260" s="0" t="s">
        <v>3569</v>
      </c>
      <c r="CV260" s="0" t="s">
        <v>418</v>
      </c>
      <c r="CW260" s="0" t="s">
        <v>3656</v>
      </c>
      <c r="CX260" s="0" t="s">
        <v>419</v>
      </c>
      <c r="CY260" s="0" t="s">
        <v>418</v>
      </c>
      <c r="CZ260" s="0" t="s">
        <v>3657</v>
      </c>
      <c r="DA260" s="0" t="s">
        <v>3658</v>
      </c>
      <c r="DB260" s="0" t="s">
        <v>3656</v>
      </c>
      <c r="DC260" s="0" t="s">
        <v>362</v>
      </c>
      <c r="DD260" s="0" t="s">
        <v>3572</v>
      </c>
      <c r="DE260" s="0" t="s">
        <v>4785</v>
      </c>
    </row>
    <row customHeight="1" ht="11.25">
      <c r="A261" s="1353" t="s">
        <v>228</v>
      </c>
      <c r="B261" s="0" t="s">
        <v>228</v>
      </c>
      <c r="C261" s="0" t="s">
        <v>228</v>
      </c>
      <c r="D261" s="0" t="s">
        <v>228</v>
      </c>
      <c r="E261" s="0" t="s">
        <v>228</v>
      </c>
      <c r="F261" s="0" t="s">
        <v>228</v>
      </c>
      <c r="G261" s="0" t="s">
        <v>228</v>
      </c>
      <c r="H261" s="0" t="s">
        <v>228</v>
      </c>
      <c r="I261" s="0" t="s">
        <v>3555</v>
      </c>
      <c r="J261" s="0" t="s">
        <v>228</v>
      </c>
      <c r="K261" s="0" t="s">
        <v>228</v>
      </c>
      <c r="L261" s="0" t="s">
        <v>228</v>
      </c>
      <c r="M261" s="0" t="s">
        <v>228</v>
      </c>
      <c r="N261" s="0" t="s">
        <v>228</v>
      </c>
      <c r="O261" s="0" t="s">
        <v>228</v>
      </c>
      <c r="P261" s="0" t="s">
        <v>228</v>
      </c>
      <c r="Q261" s="0" t="s">
        <v>228</v>
      </c>
      <c r="R261" s="0" t="s">
        <v>4786</v>
      </c>
      <c r="S261" s="0" t="s">
        <v>228</v>
      </c>
      <c r="T261" s="0" t="s">
        <v>228</v>
      </c>
      <c r="U261" s="0" t="s">
        <v>101</v>
      </c>
      <c r="V261" s="0" t="s">
        <v>228</v>
      </c>
      <c r="W261" s="0" t="s">
        <v>228</v>
      </c>
      <c r="X261" s="0" t="s">
        <v>3557</v>
      </c>
      <c r="Y261" s="0" t="s">
        <v>228</v>
      </c>
      <c r="Z261" s="0" t="s">
        <v>160</v>
      </c>
      <c r="AA261" s="0" t="s">
        <v>151</v>
      </c>
      <c r="AB261" s="0" t="s">
        <v>151</v>
      </c>
      <c r="AC261" s="0" t="s">
        <v>2315</v>
      </c>
      <c r="AD261" s="0" t="s">
        <v>2315</v>
      </c>
      <c r="AE261" s="0" t="s">
        <v>2316</v>
      </c>
      <c r="AF261" s="0" t="s">
        <v>4787</v>
      </c>
      <c r="AG261" s="0" t="s">
        <v>4788</v>
      </c>
      <c r="AH261" s="0" t="s">
        <v>4067</v>
      </c>
      <c r="AI261" s="0" t="s">
        <v>4789</v>
      </c>
      <c r="AJ261" s="0" t="s">
        <v>3652</v>
      </c>
      <c r="AK261" s="0" t="s">
        <v>4790</v>
      </c>
      <c r="AL261" s="0" t="s">
        <v>3581</v>
      </c>
      <c r="AM261" s="0" t="s">
        <v>3565</v>
      </c>
      <c r="AN261" s="0" t="s">
        <v>3654</v>
      </c>
      <c r="AO261" s="0" t="s">
        <v>4184</v>
      </c>
      <c r="AP261" s="0" t="s">
        <v>228</v>
      </c>
      <c r="AQ261" s="0" t="s">
        <v>228</v>
      </c>
      <c r="AR261" s="0" t="s">
        <v>228</v>
      </c>
      <c r="AS261" s="0" t="s">
        <v>228</v>
      </c>
      <c r="AT261" s="0" t="s">
        <v>228</v>
      </c>
      <c r="AU261" s="0" t="s">
        <v>228</v>
      </c>
      <c r="AV261" s="0" t="s">
        <v>228</v>
      </c>
      <c r="AW261" s="0" t="s">
        <v>228</v>
      </c>
      <c r="AX261" s="0" t="s">
        <v>228</v>
      </c>
      <c r="AY261" s="0" t="s">
        <v>228</v>
      </c>
      <c r="AZ261" s="0" t="s">
        <v>228</v>
      </c>
      <c r="BA261" s="0" t="s">
        <v>228</v>
      </c>
      <c r="BB261" s="0" t="s">
        <v>228</v>
      </c>
      <c r="BC261" s="0" t="s">
        <v>228</v>
      </c>
      <c r="BD261" s="0" t="s">
        <v>228</v>
      </c>
      <c r="BE261" s="0" t="s">
        <v>228</v>
      </c>
      <c r="BF261" s="0" t="s">
        <v>228</v>
      </c>
      <c r="BG261" s="0" t="s">
        <v>228</v>
      </c>
      <c r="BH261" s="0" t="s">
        <v>228</v>
      </c>
      <c r="BI261" s="0" t="s">
        <v>228</v>
      </c>
      <c r="BJ261" s="0" t="s">
        <v>228</v>
      </c>
      <c r="BK261" s="0" t="s">
        <v>228</v>
      </c>
      <c r="BL261" s="0" t="s">
        <v>228</v>
      </c>
      <c r="BM261" s="0" t="s">
        <v>228</v>
      </c>
      <c r="BN261" s="0" t="s">
        <v>228</v>
      </c>
      <c r="BO261" s="0" t="s">
        <v>228</v>
      </c>
      <c r="BP261" s="0" t="s">
        <v>228</v>
      </c>
      <c r="BQ261" s="0" t="s">
        <v>228</v>
      </c>
      <c r="BR261" s="0" t="s">
        <v>228</v>
      </c>
      <c r="BS261" s="0" t="s">
        <v>228</v>
      </c>
      <c r="BT261" s="0" t="s">
        <v>228</v>
      </c>
      <c r="BU261" s="0" t="s">
        <v>228</v>
      </c>
      <c r="BV261" s="0" t="s">
        <v>228</v>
      </c>
      <c r="BW261" s="0" t="s">
        <v>228</v>
      </c>
      <c r="BX261" s="0" t="s">
        <v>228</v>
      </c>
      <c r="BY261" s="0" t="s">
        <v>228</v>
      </c>
      <c r="BZ261" s="0" t="s">
        <v>228</v>
      </c>
      <c r="CA261" s="0" t="s">
        <v>228</v>
      </c>
      <c r="CB261" s="0" t="s">
        <v>228</v>
      </c>
      <c r="CC261" s="0" t="s">
        <v>228</v>
      </c>
      <c r="CD261" s="0" t="s">
        <v>228</v>
      </c>
      <c r="CE261" s="0" t="s">
        <v>228</v>
      </c>
      <c r="CF261" s="0" t="s">
        <v>228</v>
      </c>
      <c r="CG261" s="0" t="s">
        <v>228</v>
      </c>
      <c r="CH261" s="0" t="s">
        <v>228</v>
      </c>
      <c r="CI261" s="0" t="s">
        <v>228</v>
      </c>
      <c r="CJ261" s="0" t="s">
        <v>228</v>
      </c>
      <c r="CK261" s="0" t="s">
        <v>228</v>
      </c>
      <c r="CL261" s="0" t="s">
        <v>228</v>
      </c>
      <c r="CM261" s="0" t="s">
        <v>228</v>
      </c>
      <c r="CN261" s="0" t="s">
        <v>228</v>
      </c>
      <c r="CO261" s="0" t="s">
        <v>228</v>
      </c>
      <c r="CP261" s="0" t="s">
        <v>228</v>
      </c>
      <c r="CQ261" s="0" t="s">
        <v>228</v>
      </c>
      <c r="CR261" s="0" t="s">
        <v>228</v>
      </c>
      <c r="CS261" s="0" t="s">
        <v>228</v>
      </c>
      <c r="CT261" s="0" t="s">
        <v>3568</v>
      </c>
      <c r="CU261" s="0" t="s">
        <v>3569</v>
      </c>
      <c r="CV261" s="0" t="s">
        <v>418</v>
      </c>
      <c r="CW261" s="0" t="s">
        <v>3656</v>
      </c>
      <c r="CX261" s="0" t="s">
        <v>419</v>
      </c>
      <c r="CY261" s="0" t="s">
        <v>418</v>
      </c>
      <c r="CZ261" s="0" t="s">
        <v>3657</v>
      </c>
      <c r="DA261" s="0" t="s">
        <v>3658</v>
      </c>
      <c r="DB261" s="0" t="s">
        <v>3656</v>
      </c>
      <c r="DC261" s="0" t="s">
        <v>362</v>
      </c>
      <c r="DD261" s="0" t="s">
        <v>3572</v>
      </c>
      <c r="DE261" s="0" t="s">
        <v>4791</v>
      </c>
    </row>
    <row customHeight="1" ht="11.25">
      <c r="A262" s="1353" t="s">
        <v>228</v>
      </c>
      <c r="B262" s="0" t="s">
        <v>228</v>
      </c>
      <c r="C262" s="0" t="s">
        <v>228</v>
      </c>
      <c r="D262" s="0" t="s">
        <v>228</v>
      </c>
      <c r="E262" s="0" t="s">
        <v>228</v>
      </c>
      <c r="F262" s="0" t="s">
        <v>228</v>
      </c>
      <c r="G262" s="0" t="s">
        <v>228</v>
      </c>
      <c r="H262" s="0" t="s">
        <v>228</v>
      </c>
      <c r="I262" s="0" t="s">
        <v>3555</v>
      </c>
      <c r="J262" s="0" t="s">
        <v>228</v>
      </c>
      <c r="K262" s="0" t="s">
        <v>228</v>
      </c>
      <c r="L262" s="0" t="s">
        <v>228</v>
      </c>
      <c r="M262" s="0" t="s">
        <v>228</v>
      </c>
      <c r="N262" s="0" t="s">
        <v>228</v>
      </c>
      <c r="O262" s="0" t="s">
        <v>228</v>
      </c>
      <c r="P262" s="0" t="s">
        <v>228</v>
      </c>
      <c r="Q262" s="0" t="s">
        <v>228</v>
      </c>
      <c r="R262" s="0" t="s">
        <v>4792</v>
      </c>
      <c r="S262" s="0" t="s">
        <v>228</v>
      </c>
      <c r="T262" s="0" t="s">
        <v>228</v>
      </c>
      <c r="U262" s="0" t="s">
        <v>101</v>
      </c>
      <c r="V262" s="0" t="s">
        <v>228</v>
      </c>
      <c r="W262" s="0" t="s">
        <v>228</v>
      </c>
      <c r="X262" s="0" t="s">
        <v>3661</v>
      </c>
      <c r="Y262" s="0" t="s">
        <v>228</v>
      </c>
      <c r="Z262" s="0" t="s">
        <v>151</v>
      </c>
      <c r="AA262" s="0" t="s">
        <v>151</v>
      </c>
      <c r="AB262" s="0" t="s">
        <v>160</v>
      </c>
      <c r="AC262" s="0" t="s">
        <v>2315</v>
      </c>
      <c r="AD262" s="0" t="s">
        <v>2315</v>
      </c>
      <c r="AE262" s="0" t="s">
        <v>2316</v>
      </c>
      <c r="AF262" s="0" t="s">
        <v>4596</v>
      </c>
      <c r="AG262" s="0" t="s">
        <v>4597</v>
      </c>
      <c r="AH262" s="0" t="s">
        <v>3651</v>
      </c>
      <c r="AI262" s="0" t="s">
        <v>3651</v>
      </c>
      <c r="AJ262" s="0" t="s">
        <v>228</v>
      </c>
      <c r="AK262" s="0" t="s">
        <v>228</v>
      </c>
      <c r="AL262" s="0" t="s">
        <v>228</v>
      </c>
      <c r="AM262" s="0" t="s">
        <v>228</v>
      </c>
      <c r="AN262" s="0" t="s">
        <v>228</v>
      </c>
      <c r="AO262" s="0" t="s">
        <v>228</v>
      </c>
      <c r="AP262" s="0" t="s">
        <v>228</v>
      </c>
      <c r="AQ262" s="0" t="s">
        <v>228</v>
      </c>
      <c r="AR262" s="0" t="s">
        <v>228</v>
      </c>
      <c r="AS262" s="0" t="s">
        <v>228</v>
      </c>
      <c r="AT262" s="0" t="s">
        <v>228</v>
      </c>
      <c r="AU262" s="0" t="s">
        <v>228</v>
      </c>
      <c r="AV262" s="0" t="s">
        <v>228</v>
      </c>
      <c r="AW262" s="0" t="s">
        <v>228</v>
      </c>
      <c r="AX262" s="0" t="s">
        <v>228</v>
      </c>
      <c r="AY262" s="0" t="s">
        <v>228</v>
      </c>
      <c r="AZ262" s="0" t="s">
        <v>228</v>
      </c>
      <c r="BA262" s="0" t="s">
        <v>228</v>
      </c>
      <c r="BB262" s="0" t="s">
        <v>228</v>
      </c>
      <c r="BC262" s="0" t="s">
        <v>228</v>
      </c>
      <c r="BD262" s="0" t="s">
        <v>228</v>
      </c>
      <c r="BE262" s="0" t="s">
        <v>3652</v>
      </c>
      <c r="BF262" s="0" t="s">
        <v>4598</v>
      </c>
      <c r="BG262" s="0" t="s">
        <v>111</v>
      </c>
      <c r="BH262" s="0" t="s">
        <v>3665</v>
      </c>
      <c r="BI262" s="0" t="s">
        <v>122</v>
      </c>
      <c r="BJ262" s="0" t="s">
        <v>228</v>
      </c>
      <c r="BK262" s="0" t="s">
        <v>3684</v>
      </c>
      <c r="BL262" s="0" t="s">
        <v>2315</v>
      </c>
      <c r="BM262" s="0" t="s">
        <v>2315</v>
      </c>
      <c r="BN262" s="0" t="s">
        <v>3875</v>
      </c>
      <c r="BO262" s="0" t="s">
        <v>4596</v>
      </c>
      <c r="BP262" s="0" t="s">
        <v>4793</v>
      </c>
      <c r="BQ262" s="0" t="s">
        <v>3651</v>
      </c>
      <c r="BR262" s="0" t="s">
        <v>3651</v>
      </c>
      <c r="BS262" s="0" t="s">
        <v>228</v>
      </c>
      <c r="BT262" s="0" t="s">
        <v>3727</v>
      </c>
      <c r="BU262" s="0" t="s">
        <v>4794</v>
      </c>
      <c r="BV262" s="0" t="s">
        <v>4794</v>
      </c>
      <c r="BW262" s="0" t="s">
        <v>3674</v>
      </c>
      <c r="BX262" s="0" t="s">
        <v>3674</v>
      </c>
      <c r="BY262" s="0" t="s">
        <v>3674</v>
      </c>
      <c r="BZ262" s="0" t="s">
        <v>3674</v>
      </c>
      <c r="CA262" s="0" t="s">
        <v>3674</v>
      </c>
      <c r="CB262" s="0" t="s">
        <v>228</v>
      </c>
      <c r="CC262" s="0" t="s">
        <v>228</v>
      </c>
      <c r="CD262" s="0" t="s">
        <v>228</v>
      </c>
      <c r="CE262" s="0" t="s">
        <v>228</v>
      </c>
      <c r="CF262" s="0" t="s">
        <v>228</v>
      </c>
      <c r="CG262" s="0" t="s">
        <v>3674</v>
      </c>
      <c r="CH262" s="0" t="s">
        <v>228</v>
      </c>
      <c r="CI262" s="0" t="s">
        <v>228</v>
      </c>
      <c r="CJ262" s="0" t="s">
        <v>228</v>
      </c>
      <c r="CK262" s="0" t="s">
        <v>228</v>
      </c>
      <c r="CL262" s="0" t="s">
        <v>228</v>
      </c>
      <c r="CM262" s="0" t="s">
        <v>4794</v>
      </c>
      <c r="CN262" s="0" t="s">
        <v>4794</v>
      </c>
      <c r="CO262" s="0" t="s">
        <v>228</v>
      </c>
      <c r="CP262" s="0" t="s">
        <v>228</v>
      </c>
      <c r="CQ262" s="0" t="s">
        <v>228</v>
      </c>
      <c r="CR262" s="0" t="s">
        <v>228</v>
      </c>
      <c r="CS262" s="0" t="s">
        <v>3628</v>
      </c>
      <c r="CT262" s="0" t="s">
        <v>3568</v>
      </c>
      <c r="CU262" s="0" t="s">
        <v>3569</v>
      </c>
      <c r="CV262" s="0" t="s">
        <v>418</v>
      </c>
      <c r="CW262" s="0" t="s">
        <v>3656</v>
      </c>
      <c r="CX262" s="0" t="s">
        <v>419</v>
      </c>
      <c r="CY262" s="0" t="s">
        <v>418</v>
      </c>
      <c r="CZ262" s="0" t="s">
        <v>3657</v>
      </c>
      <c r="DA262" s="0" t="s">
        <v>3658</v>
      </c>
      <c r="DB262" s="0" t="s">
        <v>3656</v>
      </c>
      <c r="DC262" s="0" t="s">
        <v>362</v>
      </c>
      <c r="DD262" s="0" t="s">
        <v>3572</v>
      </c>
      <c r="DE262" s="0" t="s">
        <v>4599</v>
      </c>
    </row>
    <row customHeight="1" ht="11.25">
      <c r="A263" s="1353" t="s">
        <v>228</v>
      </c>
      <c r="B263" s="0" t="s">
        <v>228</v>
      </c>
      <c r="C263" s="0" t="s">
        <v>228</v>
      </c>
      <c r="D263" s="0" t="s">
        <v>228</v>
      </c>
      <c r="E263" s="0" t="s">
        <v>228</v>
      </c>
      <c r="F263" s="0" t="s">
        <v>228</v>
      </c>
      <c r="G263" s="0" t="s">
        <v>228</v>
      </c>
      <c r="H263" s="0" t="s">
        <v>228</v>
      </c>
      <c r="I263" s="0" t="s">
        <v>3555</v>
      </c>
      <c r="J263" s="0" t="s">
        <v>228</v>
      </c>
      <c r="K263" s="0" t="s">
        <v>228</v>
      </c>
      <c r="L263" s="0" t="s">
        <v>228</v>
      </c>
      <c r="M263" s="0" t="s">
        <v>228</v>
      </c>
      <c r="N263" s="0" t="s">
        <v>228</v>
      </c>
      <c r="O263" s="0" t="s">
        <v>228</v>
      </c>
      <c r="P263" s="0" t="s">
        <v>228</v>
      </c>
      <c r="Q263" s="0" t="s">
        <v>228</v>
      </c>
      <c r="R263" s="0" t="s">
        <v>4795</v>
      </c>
      <c r="S263" s="0" t="s">
        <v>228</v>
      </c>
      <c r="T263" s="0" t="s">
        <v>228</v>
      </c>
      <c r="U263" s="0" t="s">
        <v>101</v>
      </c>
      <c r="V263" s="0" t="s">
        <v>228</v>
      </c>
      <c r="W263" s="0" t="s">
        <v>228</v>
      </c>
      <c r="X263" s="0" t="s">
        <v>3557</v>
      </c>
      <c r="Y263" s="0" t="s">
        <v>228</v>
      </c>
      <c r="Z263" s="0" t="s">
        <v>160</v>
      </c>
      <c r="AA263" s="0" t="s">
        <v>151</v>
      </c>
      <c r="AB263" s="0" t="s">
        <v>151</v>
      </c>
      <c r="AC263" s="0" t="s">
        <v>2288</v>
      </c>
      <c r="AD263" s="0" t="s">
        <v>2288</v>
      </c>
      <c r="AE263" s="0" t="s">
        <v>2289</v>
      </c>
      <c r="AF263" s="0" t="s">
        <v>4608</v>
      </c>
      <c r="AG263" s="0" t="s">
        <v>4609</v>
      </c>
      <c r="AH263" s="0" t="s">
        <v>4796</v>
      </c>
      <c r="AI263" s="0" t="s">
        <v>3608</v>
      </c>
      <c r="AJ263" s="0" t="s">
        <v>4797</v>
      </c>
      <c r="AK263" s="0" t="s">
        <v>4613</v>
      </c>
      <c r="AL263" s="0" t="s">
        <v>3681</v>
      </c>
      <c r="AM263" s="0" t="s">
        <v>4614</v>
      </c>
      <c r="AN263" s="0" t="s">
        <v>3566</v>
      </c>
      <c r="AO263" s="0" t="s">
        <v>3854</v>
      </c>
      <c r="AP263" s="0" t="s">
        <v>228</v>
      </c>
      <c r="AQ263" s="0" t="s">
        <v>228</v>
      </c>
      <c r="AR263" s="0" t="s">
        <v>228</v>
      </c>
      <c r="AS263" s="0" t="s">
        <v>228</v>
      </c>
      <c r="AT263" s="0" t="s">
        <v>228</v>
      </c>
      <c r="AU263" s="0" t="s">
        <v>228</v>
      </c>
      <c r="AV263" s="0" t="s">
        <v>228</v>
      </c>
      <c r="AW263" s="0" t="s">
        <v>228</v>
      </c>
      <c r="AX263" s="0" t="s">
        <v>228</v>
      </c>
      <c r="AY263" s="0" t="s">
        <v>228</v>
      </c>
      <c r="AZ263" s="0" t="s">
        <v>228</v>
      </c>
      <c r="BA263" s="0" t="s">
        <v>228</v>
      </c>
      <c r="BB263" s="0" t="s">
        <v>228</v>
      </c>
      <c r="BC263" s="0" t="s">
        <v>228</v>
      </c>
      <c r="BD263" s="0" t="s">
        <v>228</v>
      </c>
      <c r="BE263" s="0" t="s">
        <v>228</v>
      </c>
      <c r="BF263" s="0" t="s">
        <v>228</v>
      </c>
      <c r="BG263" s="0" t="s">
        <v>228</v>
      </c>
      <c r="BH263" s="0" t="s">
        <v>228</v>
      </c>
      <c r="BI263" s="0" t="s">
        <v>228</v>
      </c>
      <c r="BJ263" s="0" t="s">
        <v>228</v>
      </c>
      <c r="BK263" s="0" t="s">
        <v>228</v>
      </c>
      <c r="BL263" s="0" t="s">
        <v>228</v>
      </c>
      <c r="BM263" s="0" t="s">
        <v>228</v>
      </c>
      <c r="BN263" s="0" t="s">
        <v>228</v>
      </c>
      <c r="BO263" s="0" t="s">
        <v>228</v>
      </c>
      <c r="BP263" s="0" t="s">
        <v>228</v>
      </c>
      <c r="BQ263" s="0" t="s">
        <v>228</v>
      </c>
      <c r="BR263" s="0" t="s">
        <v>228</v>
      </c>
      <c r="BS263" s="0" t="s">
        <v>228</v>
      </c>
      <c r="BT263" s="0" t="s">
        <v>228</v>
      </c>
      <c r="BU263" s="0" t="s">
        <v>228</v>
      </c>
      <c r="BV263" s="0" t="s">
        <v>228</v>
      </c>
      <c r="BW263" s="0" t="s">
        <v>228</v>
      </c>
      <c r="BX263" s="0" t="s">
        <v>228</v>
      </c>
      <c r="BY263" s="0" t="s">
        <v>228</v>
      </c>
      <c r="BZ263" s="0" t="s">
        <v>228</v>
      </c>
      <c r="CA263" s="0" t="s">
        <v>228</v>
      </c>
      <c r="CB263" s="0" t="s">
        <v>228</v>
      </c>
      <c r="CC263" s="0" t="s">
        <v>228</v>
      </c>
      <c r="CD263" s="0" t="s">
        <v>228</v>
      </c>
      <c r="CE263" s="0" t="s">
        <v>228</v>
      </c>
      <c r="CF263" s="0" t="s">
        <v>228</v>
      </c>
      <c r="CG263" s="0" t="s">
        <v>228</v>
      </c>
      <c r="CH263" s="0" t="s">
        <v>228</v>
      </c>
      <c r="CI263" s="0" t="s">
        <v>228</v>
      </c>
      <c r="CJ263" s="0" t="s">
        <v>228</v>
      </c>
      <c r="CK263" s="0" t="s">
        <v>228</v>
      </c>
      <c r="CL263" s="0" t="s">
        <v>228</v>
      </c>
      <c r="CM263" s="0" t="s">
        <v>228</v>
      </c>
      <c r="CN263" s="0" t="s">
        <v>228</v>
      </c>
      <c r="CO263" s="0" t="s">
        <v>228</v>
      </c>
      <c r="CP263" s="0" t="s">
        <v>228</v>
      </c>
      <c r="CQ263" s="0" t="s">
        <v>228</v>
      </c>
      <c r="CR263" s="0" t="s">
        <v>228</v>
      </c>
      <c r="CS263" s="0" t="s">
        <v>228</v>
      </c>
      <c r="CT263" s="0" t="s">
        <v>3568</v>
      </c>
      <c r="CU263" s="0" t="s">
        <v>3569</v>
      </c>
      <c r="CV263" s="0" t="s">
        <v>418</v>
      </c>
      <c r="CW263" s="0" t="s">
        <v>3570</v>
      </c>
      <c r="CX263" s="0" t="s">
        <v>419</v>
      </c>
      <c r="CY263" s="0" t="s">
        <v>418</v>
      </c>
      <c r="CZ263" s="0" t="s">
        <v>3571</v>
      </c>
      <c r="DA263" s="0" t="s">
        <v>420</v>
      </c>
      <c r="DB263" s="0" t="s">
        <v>3570</v>
      </c>
      <c r="DC263" s="0" t="s">
        <v>362</v>
      </c>
      <c r="DD263" s="0" t="s">
        <v>3572</v>
      </c>
      <c r="DE263" s="0" t="s">
        <v>4798</v>
      </c>
    </row>
    <row customHeight="1" ht="11.25">
      <c r="A264" s="1353" t="s">
        <v>228</v>
      </c>
      <c r="B264" s="0" t="s">
        <v>228</v>
      </c>
      <c r="C264" s="0" t="s">
        <v>228</v>
      </c>
      <c r="D264" s="0" t="s">
        <v>228</v>
      </c>
      <c r="E264" s="0" t="s">
        <v>228</v>
      </c>
      <c r="F264" s="0" t="s">
        <v>228</v>
      </c>
      <c r="G264" s="0" t="s">
        <v>228</v>
      </c>
      <c r="H264" s="0" t="s">
        <v>228</v>
      </c>
      <c r="I264" s="0" t="s">
        <v>3555</v>
      </c>
      <c r="J264" s="0" t="s">
        <v>228</v>
      </c>
      <c r="K264" s="0" t="s">
        <v>228</v>
      </c>
      <c r="L264" s="0" t="s">
        <v>228</v>
      </c>
      <c r="M264" s="0" t="s">
        <v>228</v>
      </c>
      <c r="N264" s="0" t="s">
        <v>228</v>
      </c>
      <c r="O264" s="0" t="s">
        <v>228</v>
      </c>
      <c r="P264" s="0" t="s">
        <v>228</v>
      </c>
      <c r="Q264" s="0" t="s">
        <v>228</v>
      </c>
      <c r="R264" s="0" t="s">
        <v>4799</v>
      </c>
      <c r="S264" s="0" t="s">
        <v>228</v>
      </c>
      <c r="T264" s="0" t="s">
        <v>228</v>
      </c>
      <c r="U264" s="0" t="s">
        <v>101</v>
      </c>
      <c r="V264" s="0" t="s">
        <v>228</v>
      </c>
      <c r="W264" s="0" t="s">
        <v>228</v>
      </c>
      <c r="X264" s="0" t="s">
        <v>3557</v>
      </c>
      <c r="Y264" s="0" t="s">
        <v>228</v>
      </c>
      <c r="Z264" s="0" t="s">
        <v>160</v>
      </c>
      <c r="AA264" s="0" t="s">
        <v>151</v>
      </c>
      <c r="AB264" s="0" t="s">
        <v>151</v>
      </c>
      <c r="AC264" s="0" t="s">
        <v>2288</v>
      </c>
      <c r="AD264" s="0" t="s">
        <v>2288</v>
      </c>
      <c r="AE264" s="0" t="s">
        <v>2289</v>
      </c>
      <c r="AF264" s="0" t="s">
        <v>4608</v>
      </c>
      <c r="AG264" s="0" t="s">
        <v>4609</v>
      </c>
      <c r="AH264" s="0" t="s">
        <v>4800</v>
      </c>
      <c r="AI264" s="0" t="s">
        <v>3608</v>
      </c>
      <c r="AJ264" s="0" t="s">
        <v>4801</v>
      </c>
      <c r="AK264" s="0" t="s">
        <v>4613</v>
      </c>
      <c r="AL264" s="0" t="s">
        <v>3681</v>
      </c>
      <c r="AM264" s="0" t="s">
        <v>4614</v>
      </c>
      <c r="AN264" s="0" t="s">
        <v>3566</v>
      </c>
      <c r="AO264" s="0" t="s">
        <v>3854</v>
      </c>
      <c r="AP264" s="0" t="s">
        <v>228</v>
      </c>
      <c r="AQ264" s="0" t="s">
        <v>228</v>
      </c>
      <c r="AR264" s="0" t="s">
        <v>228</v>
      </c>
      <c r="AS264" s="0" t="s">
        <v>228</v>
      </c>
      <c r="AT264" s="0" t="s">
        <v>228</v>
      </c>
      <c r="AU264" s="0" t="s">
        <v>228</v>
      </c>
      <c r="AV264" s="0" t="s">
        <v>228</v>
      </c>
      <c r="AW264" s="0" t="s">
        <v>228</v>
      </c>
      <c r="AX264" s="0" t="s">
        <v>228</v>
      </c>
      <c r="AY264" s="0" t="s">
        <v>228</v>
      </c>
      <c r="AZ264" s="0" t="s">
        <v>228</v>
      </c>
      <c r="BA264" s="0" t="s">
        <v>228</v>
      </c>
      <c r="BB264" s="0" t="s">
        <v>228</v>
      </c>
      <c r="BC264" s="0" t="s">
        <v>228</v>
      </c>
      <c r="BD264" s="0" t="s">
        <v>228</v>
      </c>
      <c r="BE264" s="0" t="s">
        <v>228</v>
      </c>
      <c r="BF264" s="0" t="s">
        <v>228</v>
      </c>
      <c r="BG264" s="0" t="s">
        <v>228</v>
      </c>
      <c r="BH264" s="0" t="s">
        <v>228</v>
      </c>
      <c r="BI264" s="0" t="s">
        <v>228</v>
      </c>
      <c r="BJ264" s="0" t="s">
        <v>228</v>
      </c>
      <c r="BK264" s="0" t="s">
        <v>228</v>
      </c>
      <c r="BL264" s="0" t="s">
        <v>228</v>
      </c>
      <c r="BM264" s="0" t="s">
        <v>228</v>
      </c>
      <c r="BN264" s="0" t="s">
        <v>228</v>
      </c>
      <c r="BO264" s="0" t="s">
        <v>228</v>
      </c>
      <c r="BP264" s="0" t="s">
        <v>228</v>
      </c>
      <c r="BQ264" s="0" t="s">
        <v>228</v>
      </c>
      <c r="BR264" s="0" t="s">
        <v>228</v>
      </c>
      <c r="BS264" s="0" t="s">
        <v>228</v>
      </c>
      <c r="BT264" s="0" t="s">
        <v>228</v>
      </c>
      <c r="BU264" s="0" t="s">
        <v>228</v>
      </c>
      <c r="BV264" s="0" t="s">
        <v>228</v>
      </c>
      <c r="BW264" s="0" t="s">
        <v>228</v>
      </c>
      <c r="BX264" s="0" t="s">
        <v>228</v>
      </c>
      <c r="BY264" s="0" t="s">
        <v>228</v>
      </c>
      <c r="BZ264" s="0" t="s">
        <v>228</v>
      </c>
      <c r="CA264" s="0" t="s">
        <v>228</v>
      </c>
      <c r="CB264" s="0" t="s">
        <v>228</v>
      </c>
      <c r="CC264" s="0" t="s">
        <v>228</v>
      </c>
      <c r="CD264" s="0" t="s">
        <v>228</v>
      </c>
      <c r="CE264" s="0" t="s">
        <v>228</v>
      </c>
      <c r="CF264" s="0" t="s">
        <v>228</v>
      </c>
      <c r="CG264" s="0" t="s">
        <v>228</v>
      </c>
      <c r="CH264" s="0" t="s">
        <v>228</v>
      </c>
      <c r="CI264" s="0" t="s">
        <v>228</v>
      </c>
      <c r="CJ264" s="0" t="s">
        <v>228</v>
      </c>
      <c r="CK264" s="0" t="s">
        <v>228</v>
      </c>
      <c r="CL264" s="0" t="s">
        <v>228</v>
      </c>
      <c r="CM264" s="0" t="s">
        <v>228</v>
      </c>
      <c r="CN264" s="0" t="s">
        <v>228</v>
      </c>
      <c r="CO264" s="0" t="s">
        <v>228</v>
      </c>
      <c r="CP264" s="0" t="s">
        <v>228</v>
      </c>
      <c r="CQ264" s="0" t="s">
        <v>228</v>
      </c>
      <c r="CR264" s="0" t="s">
        <v>228</v>
      </c>
      <c r="CS264" s="0" t="s">
        <v>228</v>
      </c>
      <c r="CT264" s="0" t="s">
        <v>3568</v>
      </c>
      <c r="CU264" s="0" t="s">
        <v>3569</v>
      </c>
      <c r="CV264" s="0" t="s">
        <v>418</v>
      </c>
      <c r="CW264" s="0" t="s">
        <v>3570</v>
      </c>
      <c r="CX264" s="0" t="s">
        <v>419</v>
      </c>
      <c r="CY264" s="0" t="s">
        <v>418</v>
      </c>
      <c r="CZ264" s="0" t="s">
        <v>3571</v>
      </c>
      <c r="DA264" s="0" t="s">
        <v>420</v>
      </c>
      <c r="DB264" s="0" t="s">
        <v>3570</v>
      </c>
      <c r="DC264" s="0" t="s">
        <v>362</v>
      </c>
      <c r="DD264" s="0" t="s">
        <v>3572</v>
      </c>
      <c r="DE264" s="0" t="s">
        <v>4802</v>
      </c>
    </row>
    <row customHeight="1" ht="11.25">
      <c r="A265" s="1353" t="s">
        <v>228</v>
      </c>
      <c r="B265" s="0" t="s">
        <v>228</v>
      </c>
      <c r="C265" s="0" t="s">
        <v>228</v>
      </c>
      <c r="D265" s="0" t="s">
        <v>228</v>
      </c>
      <c r="E265" s="0" t="s">
        <v>228</v>
      </c>
      <c r="F265" s="0" t="s">
        <v>228</v>
      </c>
      <c r="G265" s="0" t="s">
        <v>228</v>
      </c>
      <c r="H265" s="0" t="s">
        <v>228</v>
      </c>
      <c r="I265" s="0" t="s">
        <v>3555</v>
      </c>
      <c r="J265" s="0" t="s">
        <v>228</v>
      </c>
      <c r="K265" s="0" t="s">
        <v>228</v>
      </c>
      <c r="L265" s="0" t="s">
        <v>228</v>
      </c>
      <c r="M265" s="0" t="s">
        <v>228</v>
      </c>
      <c r="N265" s="0" t="s">
        <v>228</v>
      </c>
      <c r="O265" s="0" t="s">
        <v>228</v>
      </c>
      <c r="P265" s="0" t="s">
        <v>228</v>
      </c>
      <c r="Q265" s="0" t="s">
        <v>228</v>
      </c>
      <c r="R265" s="0" t="s">
        <v>4803</v>
      </c>
      <c r="S265" s="0" t="s">
        <v>228</v>
      </c>
      <c r="T265" s="0" t="s">
        <v>228</v>
      </c>
      <c r="U265" s="0" t="s">
        <v>101</v>
      </c>
      <c r="V265" s="0" t="s">
        <v>228</v>
      </c>
      <c r="W265" s="0" t="s">
        <v>228</v>
      </c>
      <c r="X265" s="0" t="s">
        <v>3557</v>
      </c>
      <c r="Y265" s="0" t="s">
        <v>228</v>
      </c>
      <c r="Z265" s="0" t="s">
        <v>160</v>
      </c>
      <c r="AA265" s="0" t="s">
        <v>151</v>
      </c>
      <c r="AB265" s="0" t="s">
        <v>151</v>
      </c>
      <c r="AC265" s="0" t="s">
        <v>2317</v>
      </c>
      <c r="AD265" s="0" t="s">
        <v>2317</v>
      </c>
      <c r="AE265" s="0" t="s">
        <v>2318</v>
      </c>
      <c r="AF265" s="0" t="s">
        <v>4745</v>
      </c>
      <c r="AG265" s="0" t="s">
        <v>4746</v>
      </c>
      <c r="AH265" s="0" t="s">
        <v>3747</v>
      </c>
      <c r="AI265" s="0" t="s">
        <v>4626</v>
      </c>
      <c r="AJ265" s="0" t="s">
        <v>3579</v>
      </c>
      <c r="AK265" s="0" t="s">
        <v>3619</v>
      </c>
      <c r="AL265" s="0" t="s">
        <v>3581</v>
      </c>
      <c r="AM265" s="0" t="s">
        <v>3565</v>
      </c>
      <c r="AN265" s="0" t="s">
        <v>3628</v>
      </c>
      <c r="AO265" s="0" t="s">
        <v>4277</v>
      </c>
      <c r="AP265" s="0" t="s">
        <v>228</v>
      </c>
      <c r="AQ265" s="0" t="s">
        <v>228</v>
      </c>
      <c r="AR265" s="0" t="s">
        <v>228</v>
      </c>
      <c r="AS265" s="0" t="s">
        <v>228</v>
      </c>
      <c r="AT265" s="0" t="s">
        <v>228</v>
      </c>
      <c r="AU265" s="0" t="s">
        <v>228</v>
      </c>
      <c r="AV265" s="0" t="s">
        <v>228</v>
      </c>
      <c r="AW265" s="0" t="s">
        <v>228</v>
      </c>
      <c r="AX265" s="0" t="s">
        <v>228</v>
      </c>
      <c r="AY265" s="0" t="s">
        <v>228</v>
      </c>
      <c r="AZ265" s="0" t="s">
        <v>228</v>
      </c>
      <c r="BA265" s="0" t="s">
        <v>228</v>
      </c>
      <c r="BB265" s="0" t="s">
        <v>228</v>
      </c>
      <c r="BC265" s="0" t="s">
        <v>228</v>
      </c>
      <c r="BD265" s="0" t="s">
        <v>228</v>
      </c>
      <c r="BE265" s="0" t="s">
        <v>228</v>
      </c>
      <c r="BF265" s="0" t="s">
        <v>228</v>
      </c>
      <c r="BG265" s="0" t="s">
        <v>228</v>
      </c>
      <c r="BH265" s="0" t="s">
        <v>228</v>
      </c>
      <c r="BI265" s="0" t="s">
        <v>228</v>
      </c>
      <c r="BJ265" s="0" t="s">
        <v>228</v>
      </c>
      <c r="BK265" s="0" t="s">
        <v>228</v>
      </c>
      <c r="BL265" s="0" t="s">
        <v>228</v>
      </c>
      <c r="BM265" s="0" t="s">
        <v>228</v>
      </c>
      <c r="BN265" s="0" t="s">
        <v>228</v>
      </c>
      <c r="BO265" s="0" t="s">
        <v>228</v>
      </c>
      <c r="BP265" s="0" t="s">
        <v>228</v>
      </c>
      <c r="BQ265" s="0" t="s">
        <v>228</v>
      </c>
      <c r="BR265" s="0" t="s">
        <v>228</v>
      </c>
      <c r="BS265" s="0" t="s">
        <v>228</v>
      </c>
      <c r="BT265" s="0" t="s">
        <v>228</v>
      </c>
      <c r="BU265" s="0" t="s">
        <v>228</v>
      </c>
      <c r="BV265" s="0" t="s">
        <v>228</v>
      </c>
      <c r="BW265" s="0" t="s">
        <v>228</v>
      </c>
      <c r="BX265" s="0" t="s">
        <v>228</v>
      </c>
      <c r="BY265" s="0" t="s">
        <v>228</v>
      </c>
      <c r="BZ265" s="0" t="s">
        <v>228</v>
      </c>
      <c r="CA265" s="0" t="s">
        <v>228</v>
      </c>
      <c r="CB265" s="0" t="s">
        <v>228</v>
      </c>
      <c r="CC265" s="0" t="s">
        <v>228</v>
      </c>
      <c r="CD265" s="0" t="s">
        <v>228</v>
      </c>
      <c r="CE265" s="0" t="s">
        <v>228</v>
      </c>
      <c r="CF265" s="0" t="s">
        <v>228</v>
      </c>
      <c r="CG265" s="0" t="s">
        <v>228</v>
      </c>
      <c r="CH265" s="0" t="s">
        <v>228</v>
      </c>
      <c r="CI265" s="0" t="s">
        <v>228</v>
      </c>
      <c r="CJ265" s="0" t="s">
        <v>228</v>
      </c>
      <c r="CK265" s="0" t="s">
        <v>228</v>
      </c>
      <c r="CL265" s="0" t="s">
        <v>228</v>
      </c>
      <c r="CM265" s="0" t="s">
        <v>228</v>
      </c>
      <c r="CN265" s="0" t="s">
        <v>228</v>
      </c>
      <c r="CO265" s="0" t="s">
        <v>228</v>
      </c>
      <c r="CP265" s="0" t="s">
        <v>228</v>
      </c>
      <c r="CQ265" s="0" t="s">
        <v>228</v>
      </c>
      <c r="CR265" s="0" t="s">
        <v>228</v>
      </c>
      <c r="CS265" s="0" t="s">
        <v>228</v>
      </c>
      <c r="CT265" s="0" t="s">
        <v>3568</v>
      </c>
      <c r="CU265" s="0" t="s">
        <v>3864</v>
      </c>
      <c r="CV265" s="0" t="s">
        <v>418</v>
      </c>
      <c r="CW265" s="0" t="s">
        <v>3622</v>
      </c>
      <c r="CX265" s="0" t="s">
        <v>419</v>
      </c>
      <c r="CY265" s="0" t="s">
        <v>418</v>
      </c>
      <c r="CZ265" s="0" t="s">
        <v>3623</v>
      </c>
      <c r="DA265" s="0" t="s">
        <v>3624</v>
      </c>
      <c r="DB265" s="0" t="s">
        <v>3622</v>
      </c>
      <c r="DC265" s="0" t="s">
        <v>362</v>
      </c>
      <c r="DD265" s="0" t="s">
        <v>3572</v>
      </c>
      <c r="DE265" s="0" t="s">
        <v>4804</v>
      </c>
    </row>
    <row customHeight="1" ht="11.25">
      <c r="A266" s="1353" t="s">
        <v>228</v>
      </c>
      <c r="B266" s="0" t="s">
        <v>228</v>
      </c>
      <c r="C266" s="0" t="s">
        <v>228</v>
      </c>
      <c r="D266" s="0" t="s">
        <v>228</v>
      </c>
      <c r="E266" s="0" t="s">
        <v>228</v>
      </c>
      <c r="F266" s="0" t="s">
        <v>228</v>
      </c>
      <c r="G266" s="0" t="s">
        <v>228</v>
      </c>
      <c r="H266" s="0" t="s">
        <v>228</v>
      </c>
      <c r="I266" s="0" t="s">
        <v>3555</v>
      </c>
      <c r="J266" s="0" t="s">
        <v>228</v>
      </c>
      <c r="K266" s="0" t="s">
        <v>228</v>
      </c>
      <c r="L266" s="0" t="s">
        <v>228</v>
      </c>
      <c r="M266" s="0" t="s">
        <v>228</v>
      </c>
      <c r="N266" s="0" t="s">
        <v>228</v>
      </c>
      <c r="O266" s="0" t="s">
        <v>228</v>
      </c>
      <c r="P266" s="0" t="s">
        <v>228</v>
      </c>
      <c r="Q266" s="0" t="s">
        <v>228</v>
      </c>
      <c r="R266" s="0" t="s">
        <v>3648</v>
      </c>
      <c r="S266" s="0" t="s">
        <v>228</v>
      </c>
      <c r="T266" s="0" t="s">
        <v>228</v>
      </c>
      <c r="U266" s="0" t="s">
        <v>101</v>
      </c>
      <c r="V266" s="0" t="s">
        <v>228</v>
      </c>
      <c r="W266" s="0" t="s">
        <v>228</v>
      </c>
      <c r="X266" s="0" t="s">
        <v>3557</v>
      </c>
      <c r="Y266" s="0" t="s">
        <v>228</v>
      </c>
      <c r="Z266" s="0" t="s">
        <v>160</v>
      </c>
      <c r="AA266" s="0" t="s">
        <v>151</v>
      </c>
      <c r="AB266" s="0" t="s">
        <v>151</v>
      </c>
      <c r="AC266" s="0" t="s">
        <v>2317</v>
      </c>
      <c r="AD266" s="0" t="s">
        <v>2317</v>
      </c>
      <c r="AE266" s="0" t="s">
        <v>2318</v>
      </c>
      <c r="AF266" s="0" t="s">
        <v>4544</v>
      </c>
      <c r="AG266" s="0" t="s">
        <v>4545</v>
      </c>
      <c r="AH266" s="0" t="s">
        <v>4805</v>
      </c>
      <c r="AI266" s="0" t="s">
        <v>3771</v>
      </c>
      <c r="AJ266" s="0" t="s">
        <v>3579</v>
      </c>
      <c r="AK266" s="0" t="s">
        <v>3619</v>
      </c>
      <c r="AL266" s="0" t="s">
        <v>3581</v>
      </c>
      <c r="AM266" s="0" t="s">
        <v>3565</v>
      </c>
      <c r="AN266" s="0" t="s">
        <v>3620</v>
      </c>
      <c r="AO266" s="0" t="s">
        <v>3772</v>
      </c>
      <c r="AP266" s="0" t="s">
        <v>228</v>
      </c>
      <c r="AQ266" s="0" t="s">
        <v>228</v>
      </c>
      <c r="AR266" s="0" t="s">
        <v>228</v>
      </c>
      <c r="AS266" s="0" t="s">
        <v>228</v>
      </c>
      <c r="AT266" s="0" t="s">
        <v>228</v>
      </c>
      <c r="AU266" s="0" t="s">
        <v>228</v>
      </c>
      <c r="AV266" s="0" t="s">
        <v>228</v>
      </c>
      <c r="AW266" s="0" t="s">
        <v>228</v>
      </c>
      <c r="AX266" s="0" t="s">
        <v>228</v>
      </c>
      <c r="AY266" s="0" t="s">
        <v>228</v>
      </c>
      <c r="AZ266" s="0" t="s">
        <v>228</v>
      </c>
      <c r="BA266" s="0" t="s">
        <v>228</v>
      </c>
      <c r="BB266" s="0" t="s">
        <v>228</v>
      </c>
      <c r="BC266" s="0" t="s">
        <v>228</v>
      </c>
      <c r="BD266" s="0" t="s">
        <v>228</v>
      </c>
      <c r="BE266" s="0" t="s">
        <v>228</v>
      </c>
      <c r="BF266" s="0" t="s">
        <v>228</v>
      </c>
      <c r="BG266" s="0" t="s">
        <v>228</v>
      </c>
      <c r="BH266" s="0" t="s">
        <v>228</v>
      </c>
      <c r="BI266" s="0" t="s">
        <v>228</v>
      </c>
      <c r="BJ266" s="0" t="s">
        <v>228</v>
      </c>
      <c r="BK266" s="0" t="s">
        <v>228</v>
      </c>
      <c r="BL266" s="0" t="s">
        <v>228</v>
      </c>
      <c r="BM266" s="0" t="s">
        <v>228</v>
      </c>
      <c r="BN266" s="0" t="s">
        <v>228</v>
      </c>
      <c r="BO266" s="0" t="s">
        <v>228</v>
      </c>
      <c r="BP266" s="0" t="s">
        <v>228</v>
      </c>
      <c r="BQ266" s="0" t="s">
        <v>228</v>
      </c>
      <c r="BR266" s="0" t="s">
        <v>228</v>
      </c>
      <c r="BS266" s="0" t="s">
        <v>228</v>
      </c>
      <c r="BT266" s="0" t="s">
        <v>228</v>
      </c>
      <c r="BU266" s="0" t="s">
        <v>228</v>
      </c>
      <c r="BV266" s="0" t="s">
        <v>228</v>
      </c>
      <c r="BW266" s="0" t="s">
        <v>228</v>
      </c>
      <c r="BX266" s="0" t="s">
        <v>228</v>
      </c>
      <c r="BY266" s="0" t="s">
        <v>228</v>
      </c>
      <c r="BZ266" s="0" t="s">
        <v>228</v>
      </c>
      <c r="CA266" s="0" t="s">
        <v>228</v>
      </c>
      <c r="CB266" s="0" t="s">
        <v>228</v>
      </c>
      <c r="CC266" s="0" t="s">
        <v>228</v>
      </c>
      <c r="CD266" s="0" t="s">
        <v>228</v>
      </c>
      <c r="CE266" s="0" t="s">
        <v>228</v>
      </c>
      <c r="CF266" s="0" t="s">
        <v>228</v>
      </c>
      <c r="CG266" s="0" t="s">
        <v>228</v>
      </c>
      <c r="CH266" s="0" t="s">
        <v>228</v>
      </c>
      <c r="CI266" s="0" t="s">
        <v>228</v>
      </c>
      <c r="CJ266" s="0" t="s">
        <v>228</v>
      </c>
      <c r="CK266" s="0" t="s">
        <v>228</v>
      </c>
      <c r="CL266" s="0" t="s">
        <v>228</v>
      </c>
      <c r="CM266" s="0" t="s">
        <v>228</v>
      </c>
      <c r="CN266" s="0" t="s">
        <v>228</v>
      </c>
      <c r="CO266" s="0" t="s">
        <v>228</v>
      </c>
      <c r="CP266" s="0" t="s">
        <v>228</v>
      </c>
      <c r="CQ266" s="0" t="s">
        <v>228</v>
      </c>
      <c r="CR266" s="0" t="s">
        <v>228</v>
      </c>
      <c r="CS266" s="0" t="s">
        <v>228</v>
      </c>
      <c r="CT266" s="0" t="s">
        <v>3568</v>
      </c>
      <c r="CU266" s="0" t="s">
        <v>3569</v>
      </c>
      <c r="CV266" s="0" t="s">
        <v>418</v>
      </c>
      <c r="CW266" s="0" t="s">
        <v>3622</v>
      </c>
      <c r="CX266" s="0" t="s">
        <v>419</v>
      </c>
      <c r="CY266" s="0" t="s">
        <v>418</v>
      </c>
      <c r="CZ266" s="0" t="s">
        <v>3623</v>
      </c>
      <c r="DA266" s="0" t="s">
        <v>3624</v>
      </c>
      <c r="DB266" s="0" t="s">
        <v>3622</v>
      </c>
      <c r="DC266" s="0" t="s">
        <v>362</v>
      </c>
      <c r="DD266" s="0" t="s">
        <v>3572</v>
      </c>
      <c r="DE266" s="0" t="s">
        <v>4806</v>
      </c>
    </row>
    <row customHeight="1" ht="11.25">
      <c r="A267" s="1353" t="s">
        <v>228</v>
      </c>
      <c r="B267" s="0" t="s">
        <v>228</v>
      </c>
      <c r="C267" s="0" t="s">
        <v>228</v>
      </c>
      <c r="D267" s="0" t="s">
        <v>228</v>
      </c>
      <c r="E267" s="0" t="s">
        <v>228</v>
      </c>
      <c r="F267" s="0" t="s">
        <v>228</v>
      </c>
      <c r="G267" s="0" t="s">
        <v>228</v>
      </c>
      <c r="H267" s="0" t="s">
        <v>228</v>
      </c>
      <c r="I267" s="0" t="s">
        <v>3555</v>
      </c>
      <c r="J267" s="0" t="s">
        <v>228</v>
      </c>
      <c r="K267" s="0" t="s">
        <v>228</v>
      </c>
      <c r="L267" s="0" t="s">
        <v>228</v>
      </c>
      <c r="M267" s="0" t="s">
        <v>228</v>
      </c>
      <c r="N267" s="0" t="s">
        <v>228</v>
      </c>
      <c r="O267" s="0" t="s">
        <v>228</v>
      </c>
      <c r="P267" s="0" t="s">
        <v>228</v>
      </c>
      <c r="Q267" s="0" t="s">
        <v>228</v>
      </c>
      <c r="R267" s="0" t="s">
        <v>4807</v>
      </c>
      <c r="S267" s="0" t="s">
        <v>228</v>
      </c>
      <c r="T267" s="0" t="s">
        <v>228</v>
      </c>
      <c r="U267" s="0" t="s">
        <v>101</v>
      </c>
      <c r="V267" s="0" t="s">
        <v>228</v>
      </c>
      <c r="W267" s="0" t="s">
        <v>228</v>
      </c>
      <c r="X267" s="0" t="s">
        <v>3557</v>
      </c>
      <c r="Y267" s="0" t="s">
        <v>228</v>
      </c>
      <c r="Z267" s="0" t="s">
        <v>160</v>
      </c>
      <c r="AA267" s="0" t="s">
        <v>151</v>
      </c>
      <c r="AB267" s="0" t="s">
        <v>151</v>
      </c>
      <c r="AC267" s="0" t="s">
        <v>2317</v>
      </c>
      <c r="AD267" s="0" t="s">
        <v>2317</v>
      </c>
      <c r="AE267" s="0" t="s">
        <v>2318</v>
      </c>
      <c r="AF267" s="0" t="s">
        <v>4808</v>
      </c>
      <c r="AG267" s="0" t="s">
        <v>4809</v>
      </c>
      <c r="AH267" s="0" t="s">
        <v>3747</v>
      </c>
      <c r="AI267" s="0" t="s">
        <v>4748</v>
      </c>
      <c r="AJ267" s="0" t="s">
        <v>3579</v>
      </c>
      <c r="AK267" s="0" t="s">
        <v>3749</v>
      </c>
      <c r="AL267" s="0" t="s">
        <v>3581</v>
      </c>
      <c r="AM267" s="0" t="s">
        <v>3565</v>
      </c>
      <c r="AN267" s="0" t="s">
        <v>3628</v>
      </c>
      <c r="AO267" s="0" t="s">
        <v>3701</v>
      </c>
      <c r="AP267" s="0" t="s">
        <v>228</v>
      </c>
      <c r="AQ267" s="0" t="s">
        <v>228</v>
      </c>
      <c r="AR267" s="0" t="s">
        <v>228</v>
      </c>
      <c r="AS267" s="0" t="s">
        <v>228</v>
      </c>
      <c r="AT267" s="0" t="s">
        <v>228</v>
      </c>
      <c r="AU267" s="0" t="s">
        <v>228</v>
      </c>
      <c r="AV267" s="0" t="s">
        <v>228</v>
      </c>
      <c r="AW267" s="0" t="s">
        <v>228</v>
      </c>
      <c r="AX267" s="0" t="s">
        <v>228</v>
      </c>
      <c r="AY267" s="0" t="s">
        <v>228</v>
      </c>
      <c r="AZ267" s="0" t="s">
        <v>228</v>
      </c>
      <c r="BA267" s="0" t="s">
        <v>228</v>
      </c>
      <c r="BB267" s="0" t="s">
        <v>228</v>
      </c>
      <c r="BC267" s="0" t="s">
        <v>228</v>
      </c>
      <c r="BD267" s="0" t="s">
        <v>228</v>
      </c>
      <c r="BE267" s="0" t="s">
        <v>228</v>
      </c>
      <c r="BF267" s="0" t="s">
        <v>228</v>
      </c>
      <c r="BG267" s="0" t="s">
        <v>228</v>
      </c>
      <c r="BH267" s="0" t="s">
        <v>228</v>
      </c>
      <c r="BI267" s="0" t="s">
        <v>228</v>
      </c>
      <c r="BJ267" s="0" t="s">
        <v>228</v>
      </c>
      <c r="BK267" s="0" t="s">
        <v>228</v>
      </c>
      <c r="BL267" s="0" t="s">
        <v>228</v>
      </c>
      <c r="BM267" s="0" t="s">
        <v>228</v>
      </c>
      <c r="BN267" s="0" t="s">
        <v>228</v>
      </c>
      <c r="BO267" s="0" t="s">
        <v>228</v>
      </c>
      <c r="BP267" s="0" t="s">
        <v>228</v>
      </c>
      <c r="BQ267" s="0" t="s">
        <v>228</v>
      </c>
      <c r="BR267" s="0" t="s">
        <v>228</v>
      </c>
      <c r="BS267" s="0" t="s">
        <v>228</v>
      </c>
      <c r="BT267" s="0" t="s">
        <v>228</v>
      </c>
      <c r="BU267" s="0" t="s">
        <v>228</v>
      </c>
      <c r="BV267" s="0" t="s">
        <v>228</v>
      </c>
      <c r="BW267" s="0" t="s">
        <v>228</v>
      </c>
      <c r="BX267" s="0" t="s">
        <v>228</v>
      </c>
      <c r="BY267" s="0" t="s">
        <v>228</v>
      </c>
      <c r="BZ267" s="0" t="s">
        <v>228</v>
      </c>
      <c r="CA267" s="0" t="s">
        <v>228</v>
      </c>
      <c r="CB267" s="0" t="s">
        <v>228</v>
      </c>
      <c r="CC267" s="0" t="s">
        <v>228</v>
      </c>
      <c r="CD267" s="0" t="s">
        <v>228</v>
      </c>
      <c r="CE267" s="0" t="s">
        <v>228</v>
      </c>
      <c r="CF267" s="0" t="s">
        <v>228</v>
      </c>
      <c r="CG267" s="0" t="s">
        <v>228</v>
      </c>
      <c r="CH267" s="0" t="s">
        <v>228</v>
      </c>
      <c r="CI267" s="0" t="s">
        <v>228</v>
      </c>
      <c r="CJ267" s="0" t="s">
        <v>228</v>
      </c>
      <c r="CK267" s="0" t="s">
        <v>228</v>
      </c>
      <c r="CL267" s="0" t="s">
        <v>228</v>
      </c>
      <c r="CM267" s="0" t="s">
        <v>228</v>
      </c>
      <c r="CN267" s="0" t="s">
        <v>228</v>
      </c>
      <c r="CO267" s="0" t="s">
        <v>228</v>
      </c>
      <c r="CP267" s="0" t="s">
        <v>228</v>
      </c>
      <c r="CQ267" s="0" t="s">
        <v>228</v>
      </c>
      <c r="CR267" s="0" t="s">
        <v>228</v>
      </c>
      <c r="CS267" s="0" t="s">
        <v>228</v>
      </c>
      <c r="CT267" s="0" t="s">
        <v>3568</v>
      </c>
      <c r="CU267" s="0" t="s">
        <v>3569</v>
      </c>
      <c r="CV267" s="0" t="s">
        <v>418</v>
      </c>
      <c r="CW267" s="0" t="s">
        <v>3622</v>
      </c>
      <c r="CX267" s="0" t="s">
        <v>419</v>
      </c>
      <c r="CY267" s="0" t="s">
        <v>418</v>
      </c>
      <c r="CZ267" s="0" t="s">
        <v>3623</v>
      </c>
      <c r="DA267" s="0" t="s">
        <v>3624</v>
      </c>
      <c r="DB267" s="0" t="s">
        <v>3622</v>
      </c>
      <c r="DC267" s="0" t="s">
        <v>362</v>
      </c>
      <c r="DD267" s="0" t="s">
        <v>3572</v>
      </c>
      <c r="DE267" s="0" t="s">
        <v>4810</v>
      </c>
    </row>
    <row customHeight="1" ht="11.25">
      <c r="A268" s="1353" t="s">
        <v>228</v>
      </c>
      <c r="B268" s="0" t="s">
        <v>228</v>
      </c>
      <c r="C268" s="0" t="s">
        <v>228</v>
      </c>
      <c r="D268" s="0" t="s">
        <v>228</v>
      </c>
      <c r="E268" s="0" t="s">
        <v>228</v>
      </c>
      <c r="F268" s="0" t="s">
        <v>228</v>
      </c>
      <c r="G268" s="0" t="s">
        <v>228</v>
      </c>
      <c r="H268" s="0" t="s">
        <v>228</v>
      </c>
      <c r="I268" s="0" t="s">
        <v>3555</v>
      </c>
      <c r="J268" s="0" t="s">
        <v>228</v>
      </c>
      <c r="K268" s="0" t="s">
        <v>228</v>
      </c>
      <c r="L268" s="0" t="s">
        <v>228</v>
      </c>
      <c r="M268" s="0" t="s">
        <v>228</v>
      </c>
      <c r="N268" s="0" t="s">
        <v>228</v>
      </c>
      <c r="O268" s="0" t="s">
        <v>228</v>
      </c>
      <c r="P268" s="0" t="s">
        <v>228</v>
      </c>
      <c r="Q268" s="0" t="s">
        <v>228</v>
      </c>
      <c r="R268" s="0" t="s">
        <v>4811</v>
      </c>
      <c r="S268" s="0" t="s">
        <v>228</v>
      </c>
      <c r="T268" s="0" t="s">
        <v>228</v>
      </c>
      <c r="U268" s="0" t="s">
        <v>101</v>
      </c>
      <c r="V268" s="0" t="s">
        <v>228</v>
      </c>
      <c r="W268" s="0" t="s">
        <v>228</v>
      </c>
      <c r="X268" s="0" t="s">
        <v>3661</v>
      </c>
      <c r="Y268" s="0" t="s">
        <v>228</v>
      </c>
      <c r="Z268" s="0" t="s">
        <v>151</v>
      </c>
      <c r="AA268" s="0" t="s">
        <v>151</v>
      </c>
      <c r="AB268" s="0" t="s">
        <v>160</v>
      </c>
      <c r="AC268" s="0" t="s">
        <v>2317</v>
      </c>
      <c r="AD268" s="0" t="s">
        <v>2317</v>
      </c>
      <c r="AE268" s="0" t="s">
        <v>2318</v>
      </c>
      <c r="AF268" s="0" t="s">
        <v>4544</v>
      </c>
      <c r="AG268" s="0" t="s">
        <v>4545</v>
      </c>
      <c r="AH268" s="0" t="s">
        <v>3651</v>
      </c>
      <c r="AI268" s="0" t="s">
        <v>3651</v>
      </c>
      <c r="AJ268" s="0" t="s">
        <v>228</v>
      </c>
      <c r="AK268" s="0" t="s">
        <v>228</v>
      </c>
      <c r="AL268" s="0" t="s">
        <v>228</v>
      </c>
      <c r="AM268" s="0" t="s">
        <v>228</v>
      </c>
      <c r="AN268" s="0" t="s">
        <v>228</v>
      </c>
      <c r="AO268" s="0" t="s">
        <v>228</v>
      </c>
      <c r="AP268" s="0" t="s">
        <v>228</v>
      </c>
      <c r="AQ268" s="0" t="s">
        <v>228</v>
      </c>
      <c r="AR268" s="0" t="s">
        <v>228</v>
      </c>
      <c r="AS268" s="0" t="s">
        <v>228</v>
      </c>
      <c r="AT268" s="0" t="s">
        <v>228</v>
      </c>
      <c r="AU268" s="0" t="s">
        <v>228</v>
      </c>
      <c r="AV268" s="0" t="s">
        <v>228</v>
      </c>
      <c r="AW268" s="0" t="s">
        <v>228</v>
      </c>
      <c r="AX268" s="0" t="s">
        <v>228</v>
      </c>
      <c r="AY268" s="0" t="s">
        <v>228</v>
      </c>
      <c r="AZ268" s="0" t="s">
        <v>228</v>
      </c>
      <c r="BA268" s="0" t="s">
        <v>228</v>
      </c>
      <c r="BB268" s="0" t="s">
        <v>228</v>
      </c>
      <c r="BC268" s="0" t="s">
        <v>228</v>
      </c>
      <c r="BD268" s="0" t="s">
        <v>228</v>
      </c>
      <c r="BE268" s="0" t="s">
        <v>3652</v>
      </c>
      <c r="BF268" s="0" t="s">
        <v>3619</v>
      </c>
      <c r="BG268" s="0" t="s">
        <v>111</v>
      </c>
      <c r="BH268" s="0" t="s">
        <v>3665</v>
      </c>
      <c r="BI268" s="0" t="s">
        <v>122</v>
      </c>
      <c r="BJ268" s="0" t="s">
        <v>228</v>
      </c>
      <c r="BK268" s="0" t="s">
        <v>3684</v>
      </c>
      <c r="BL268" s="0" t="s">
        <v>2317</v>
      </c>
      <c r="BM268" s="0" t="s">
        <v>2317</v>
      </c>
      <c r="BN268" s="0" t="s">
        <v>3740</v>
      </c>
      <c r="BO268" s="0" t="s">
        <v>4544</v>
      </c>
      <c r="BP268" s="0" t="s">
        <v>4812</v>
      </c>
      <c r="BQ268" s="0" t="s">
        <v>3651</v>
      </c>
      <c r="BR268" s="0" t="s">
        <v>3651</v>
      </c>
      <c r="BS268" s="0" t="s">
        <v>228</v>
      </c>
      <c r="BT268" s="0" t="s">
        <v>3727</v>
      </c>
      <c r="BU268" s="0" t="s">
        <v>4813</v>
      </c>
      <c r="BV268" s="0" t="s">
        <v>4813</v>
      </c>
      <c r="BW268" s="0" t="s">
        <v>3674</v>
      </c>
      <c r="BX268" s="0" t="s">
        <v>3674</v>
      </c>
      <c r="BY268" s="0" t="s">
        <v>3674</v>
      </c>
      <c r="BZ268" s="0" t="s">
        <v>3674</v>
      </c>
      <c r="CA268" s="0" t="s">
        <v>3674</v>
      </c>
      <c r="CB268" s="0" t="s">
        <v>228</v>
      </c>
      <c r="CC268" s="0" t="s">
        <v>228</v>
      </c>
      <c r="CD268" s="0" t="s">
        <v>228</v>
      </c>
      <c r="CE268" s="0" t="s">
        <v>228</v>
      </c>
      <c r="CF268" s="0" t="s">
        <v>228</v>
      </c>
      <c r="CG268" s="0" t="s">
        <v>3674</v>
      </c>
      <c r="CH268" s="0" t="s">
        <v>228</v>
      </c>
      <c r="CI268" s="0" t="s">
        <v>228</v>
      </c>
      <c r="CJ268" s="0" t="s">
        <v>228</v>
      </c>
      <c r="CK268" s="0" t="s">
        <v>228</v>
      </c>
      <c r="CL268" s="0" t="s">
        <v>228</v>
      </c>
      <c r="CM268" s="0" t="s">
        <v>4813</v>
      </c>
      <c r="CN268" s="0" t="s">
        <v>4813</v>
      </c>
      <c r="CO268" s="0" t="s">
        <v>228</v>
      </c>
      <c r="CP268" s="0" t="s">
        <v>228</v>
      </c>
      <c r="CQ268" s="0" t="s">
        <v>228</v>
      </c>
      <c r="CR268" s="0" t="s">
        <v>228</v>
      </c>
      <c r="CS268" s="0" t="s">
        <v>3743</v>
      </c>
      <c r="CT268" s="0" t="s">
        <v>3568</v>
      </c>
      <c r="CU268" s="0" t="s">
        <v>3569</v>
      </c>
      <c r="CV268" s="0" t="s">
        <v>418</v>
      </c>
      <c r="CW268" s="0" t="s">
        <v>3622</v>
      </c>
      <c r="CX268" s="0" t="s">
        <v>419</v>
      </c>
      <c r="CY268" s="0" t="s">
        <v>418</v>
      </c>
      <c r="CZ268" s="0" t="s">
        <v>3623</v>
      </c>
      <c r="DA268" s="0" t="s">
        <v>3624</v>
      </c>
      <c r="DB268" s="0" t="s">
        <v>3622</v>
      </c>
      <c r="DC268" s="0" t="s">
        <v>362</v>
      </c>
      <c r="DD268" s="0" t="s">
        <v>3572</v>
      </c>
      <c r="DE268" s="0" t="s">
        <v>4814</v>
      </c>
    </row>
    <row customHeight="1" ht="11.25">
      <c r="A269" s="1353" t="s">
        <v>228</v>
      </c>
      <c r="B269" s="0" t="s">
        <v>228</v>
      </c>
      <c r="C269" s="0" t="s">
        <v>228</v>
      </c>
      <c r="D269" s="0" t="s">
        <v>228</v>
      </c>
      <c r="E269" s="0" t="s">
        <v>228</v>
      </c>
      <c r="F269" s="0" t="s">
        <v>228</v>
      </c>
      <c r="G269" s="0" t="s">
        <v>228</v>
      </c>
      <c r="H269" s="0" t="s">
        <v>228</v>
      </c>
      <c r="I269" s="0" t="s">
        <v>3555</v>
      </c>
      <c r="J269" s="0" t="s">
        <v>228</v>
      </c>
      <c r="K269" s="0" t="s">
        <v>228</v>
      </c>
      <c r="L269" s="0" t="s">
        <v>228</v>
      </c>
      <c r="M269" s="0" t="s">
        <v>228</v>
      </c>
      <c r="N269" s="0" t="s">
        <v>228</v>
      </c>
      <c r="O269" s="0" t="s">
        <v>228</v>
      </c>
      <c r="P269" s="0" t="s">
        <v>228</v>
      </c>
      <c r="Q269" s="0" t="s">
        <v>228</v>
      </c>
      <c r="R269" s="0" t="s">
        <v>3648</v>
      </c>
      <c r="S269" s="0" t="s">
        <v>228</v>
      </c>
      <c r="T269" s="0" t="s">
        <v>228</v>
      </c>
      <c r="U269" s="0" t="s">
        <v>101</v>
      </c>
      <c r="V269" s="0" t="s">
        <v>228</v>
      </c>
      <c r="W269" s="0" t="s">
        <v>228</v>
      </c>
      <c r="X269" s="0" t="s">
        <v>3557</v>
      </c>
      <c r="Y269" s="0" t="s">
        <v>228</v>
      </c>
      <c r="Z269" s="0" t="s">
        <v>160</v>
      </c>
      <c r="AA269" s="0" t="s">
        <v>151</v>
      </c>
      <c r="AB269" s="0" t="s">
        <v>151</v>
      </c>
      <c r="AC269" s="0" t="s">
        <v>2317</v>
      </c>
      <c r="AD269" s="0" t="s">
        <v>2317</v>
      </c>
      <c r="AE269" s="0" t="s">
        <v>2318</v>
      </c>
      <c r="AF269" s="0" t="s">
        <v>4815</v>
      </c>
      <c r="AG269" s="0" t="s">
        <v>4816</v>
      </c>
      <c r="AH269" s="0" t="s">
        <v>3761</v>
      </c>
      <c r="AI269" s="0" t="s">
        <v>3651</v>
      </c>
      <c r="AJ269" s="0" t="s">
        <v>3579</v>
      </c>
      <c r="AK269" s="0" t="s">
        <v>3619</v>
      </c>
      <c r="AL269" s="0" t="s">
        <v>3581</v>
      </c>
      <c r="AM269" s="0" t="s">
        <v>3565</v>
      </c>
      <c r="AN269" s="0" t="s">
        <v>3628</v>
      </c>
      <c r="AO269" s="0" t="s">
        <v>3701</v>
      </c>
      <c r="AP269" s="0" t="s">
        <v>228</v>
      </c>
      <c r="AQ269" s="0" t="s">
        <v>228</v>
      </c>
      <c r="AR269" s="0" t="s">
        <v>228</v>
      </c>
      <c r="AS269" s="0" t="s">
        <v>228</v>
      </c>
      <c r="AT269" s="0" t="s">
        <v>228</v>
      </c>
      <c r="AU269" s="0" t="s">
        <v>228</v>
      </c>
      <c r="AV269" s="0" t="s">
        <v>228</v>
      </c>
      <c r="AW269" s="0" t="s">
        <v>228</v>
      </c>
      <c r="AX269" s="0" t="s">
        <v>228</v>
      </c>
      <c r="AY269" s="0" t="s">
        <v>228</v>
      </c>
      <c r="AZ269" s="0" t="s">
        <v>228</v>
      </c>
      <c r="BA269" s="0" t="s">
        <v>228</v>
      </c>
      <c r="BB269" s="0" t="s">
        <v>228</v>
      </c>
      <c r="BC269" s="0" t="s">
        <v>228</v>
      </c>
      <c r="BD269" s="0" t="s">
        <v>228</v>
      </c>
      <c r="BE269" s="0" t="s">
        <v>228</v>
      </c>
      <c r="BF269" s="0" t="s">
        <v>228</v>
      </c>
      <c r="BG269" s="0" t="s">
        <v>228</v>
      </c>
      <c r="BH269" s="0" t="s">
        <v>228</v>
      </c>
      <c r="BI269" s="0" t="s">
        <v>228</v>
      </c>
      <c r="BJ269" s="0" t="s">
        <v>228</v>
      </c>
      <c r="BK269" s="0" t="s">
        <v>228</v>
      </c>
      <c r="BL269" s="0" t="s">
        <v>228</v>
      </c>
      <c r="BM269" s="0" t="s">
        <v>228</v>
      </c>
      <c r="BN269" s="0" t="s">
        <v>228</v>
      </c>
      <c r="BO269" s="0" t="s">
        <v>228</v>
      </c>
      <c r="BP269" s="0" t="s">
        <v>228</v>
      </c>
      <c r="BQ269" s="0" t="s">
        <v>228</v>
      </c>
      <c r="BR269" s="0" t="s">
        <v>228</v>
      </c>
      <c r="BS269" s="0" t="s">
        <v>228</v>
      </c>
      <c r="BT269" s="0" t="s">
        <v>228</v>
      </c>
      <c r="BU269" s="0" t="s">
        <v>228</v>
      </c>
      <c r="BV269" s="0" t="s">
        <v>228</v>
      </c>
      <c r="BW269" s="0" t="s">
        <v>228</v>
      </c>
      <c r="BX269" s="0" t="s">
        <v>228</v>
      </c>
      <c r="BY269" s="0" t="s">
        <v>228</v>
      </c>
      <c r="BZ269" s="0" t="s">
        <v>228</v>
      </c>
      <c r="CA269" s="0" t="s">
        <v>228</v>
      </c>
      <c r="CB269" s="0" t="s">
        <v>228</v>
      </c>
      <c r="CC269" s="0" t="s">
        <v>228</v>
      </c>
      <c r="CD269" s="0" t="s">
        <v>228</v>
      </c>
      <c r="CE269" s="0" t="s">
        <v>228</v>
      </c>
      <c r="CF269" s="0" t="s">
        <v>228</v>
      </c>
      <c r="CG269" s="0" t="s">
        <v>228</v>
      </c>
      <c r="CH269" s="0" t="s">
        <v>228</v>
      </c>
      <c r="CI269" s="0" t="s">
        <v>228</v>
      </c>
      <c r="CJ269" s="0" t="s">
        <v>228</v>
      </c>
      <c r="CK269" s="0" t="s">
        <v>228</v>
      </c>
      <c r="CL269" s="0" t="s">
        <v>228</v>
      </c>
      <c r="CM269" s="0" t="s">
        <v>228</v>
      </c>
      <c r="CN269" s="0" t="s">
        <v>228</v>
      </c>
      <c r="CO269" s="0" t="s">
        <v>228</v>
      </c>
      <c r="CP269" s="0" t="s">
        <v>228</v>
      </c>
      <c r="CQ269" s="0" t="s">
        <v>228</v>
      </c>
      <c r="CR269" s="0" t="s">
        <v>228</v>
      </c>
      <c r="CS269" s="0" t="s">
        <v>228</v>
      </c>
      <c r="CT269" s="0" t="s">
        <v>3568</v>
      </c>
      <c r="CU269" s="0" t="s">
        <v>3569</v>
      </c>
      <c r="CV269" s="0" t="s">
        <v>418</v>
      </c>
      <c r="CW269" s="0" t="s">
        <v>3622</v>
      </c>
      <c r="CX269" s="0" t="s">
        <v>419</v>
      </c>
      <c r="CY269" s="0" t="s">
        <v>418</v>
      </c>
      <c r="CZ269" s="0" t="s">
        <v>3623</v>
      </c>
      <c r="DA269" s="0" t="s">
        <v>3624</v>
      </c>
      <c r="DB269" s="0" t="s">
        <v>3622</v>
      </c>
      <c r="DC269" s="0" t="s">
        <v>362</v>
      </c>
      <c r="DD269" s="0" t="s">
        <v>3572</v>
      </c>
      <c r="DE269" s="0" t="s">
        <v>4817</v>
      </c>
    </row>
    <row customHeight="1" ht="11.25">
      <c r="A270" s="1353" t="s">
        <v>228</v>
      </c>
      <c r="B270" s="0" t="s">
        <v>228</v>
      </c>
      <c r="C270" s="0" t="s">
        <v>228</v>
      </c>
      <c r="D270" s="0" t="s">
        <v>228</v>
      </c>
      <c r="E270" s="0" t="s">
        <v>228</v>
      </c>
      <c r="F270" s="0" t="s">
        <v>228</v>
      </c>
      <c r="G270" s="0" t="s">
        <v>228</v>
      </c>
      <c r="H270" s="0" t="s">
        <v>228</v>
      </c>
      <c r="I270" s="0" t="s">
        <v>3555</v>
      </c>
      <c r="J270" s="0" t="s">
        <v>228</v>
      </c>
      <c r="K270" s="0" t="s">
        <v>228</v>
      </c>
      <c r="L270" s="0" t="s">
        <v>228</v>
      </c>
      <c r="M270" s="0" t="s">
        <v>228</v>
      </c>
      <c r="N270" s="0" t="s">
        <v>228</v>
      </c>
      <c r="O270" s="0" t="s">
        <v>228</v>
      </c>
      <c r="P270" s="0" t="s">
        <v>228</v>
      </c>
      <c r="Q270" s="0" t="s">
        <v>228</v>
      </c>
      <c r="R270" s="0" t="s">
        <v>3648</v>
      </c>
      <c r="S270" s="0" t="s">
        <v>228</v>
      </c>
      <c r="T270" s="0" t="s">
        <v>228</v>
      </c>
      <c r="U270" s="0" t="s">
        <v>101</v>
      </c>
      <c r="V270" s="0" t="s">
        <v>228</v>
      </c>
      <c r="W270" s="0" t="s">
        <v>228</v>
      </c>
      <c r="X270" s="0" t="s">
        <v>3557</v>
      </c>
      <c r="Y270" s="0" t="s">
        <v>228</v>
      </c>
      <c r="Z270" s="0" t="s">
        <v>160</v>
      </c>
      <c r="AA270" s="0" t="s">
        <v>151</v>
      </c>
      <c r="AB270" s="0" t="s">
        <v>151</v>
      </c>
      <c r="AC270" s="0" t="s">
        <v>2317</v>
      </c>
      <c r="AD270" s="0" t="s">
        <v>2317</v>
      </c>
      <c r="AE270" s="0" t="s">
        <v>2318</v>
      </c>
      <c r="AF270" s="0" t="s">
        <v>4815</v>
      </c>
      <c r="AG270" s="0" t="s">
        <v>4816</v>
      </c>
      <c r="AH270" s="0" t="s">
        <v>4818</v>
      </c>
      <c r="AI270" s="0" t="s">
        <v>3651</v>
      </c>
      <c r="AJ270" s="0" t="s">
        <v>3579</v>
      </c>
      <c r="AK270" s="0" t="s">
        <v>3749</v>
      </c>
      <c r="AL270" s="0" t="s">
        <v>3581</v>
      </c>
      <c r="AM270" s="0" t="s">
        <v>3565</v>
      </c>
      <c r="AN270" s="0" t="s">
        <v>3628</v>
      </c>
      <c r="AO270" s="0" t="s">
        <v>4819</v>
      </c>
      <c r="AP270" s="0" t="s">
        <v>228</v>
      </c>
      <c r="AQ270" s="0" t="s">
        <v>228</v>
      </c>
      <c r="AR270" s="0" t="s">
        <v>228</v>
      </c>
      <c r="AS270" s="0" t="s">
        <v>228</v>
      </c>
      <c r="AT270" s="0" t="s">
        <v>228</v>
      </c>
      <c r="AU270" s="0" t="s">
        <v>228</v>
      </c>
      <c r="AV270" s="0" t="s">
        <v>228</v>
      </c>
      <c r="AW270" s="0" t="s">
        <v>228</v>
      </c>
      <c r="AX270" s="0" t="s">
        <v>228</v>
      </c>
      <c r="AY270" s="0" t="s">
        <v>228</v>
      </c>
      <c r="AZ270" s="0" t="s">
        <v>228</v>
      </c>
      <c r="BA270" s="0" t="s">
        <v>228</v>
      </c>
      <c r="BB270" s="0" t="s">
        <v>228</v>
      </c>
      <c r="BC270" s="0" t="s">
        <v>228</v>
      </c>
      <c r="BD270" s="0" t="s">
        <v>228</v>
      </c>
      <c r="BE270" s="0" t="s">
        <v>228</v>
      </c>
      <c r="BF270" s="0" t="s">
        <v>228</v>
      </c>
      <c r="BG270" s="0" t="s">
        <v>228</v>
      </c>
      <c r="BH270" s="0" t="s">
        <v>228</v>
      </c>
      <c r="BI270" s="0" t="s">
        <v>228</v>
      </c>
      <c r="BJ270" s="0" t="s">
        <v>228</v>
      </c>
      <c r="BK270" s="0" t="s">
        <v>228</v>
      </c>
      <c r="BL270" s="0" t="s">
        <v>228</v>
      </c>
      <c r="BM270" s="0" t="s">
        <v>228</v>
      </c>
      <c r="BN270" s="0" t="s">
        <v>228</v>
      </c>
      <c r="BO270" s="0" t="s">
        <v>228</v>
      </c>
      <c r="BP270" s="0" t="s">
        <v>228</v>
      </c>
      <c r="BQ270" s="0" t="s">
        <v>228</v>
      </c>
      <c r="BR270" s="0" t="s">
        <v>228</v>
      </c>
      <c r="BS270" s="0" t="s">
        <v>228</v>
      </c>
      <c r="BT270" s="0" t="s">
        <v>228</v>
      </c>
      <c r="BU270" s="0" t="s">
        <v>228</v>
      </c>
      <c r="BV270" s="0" t="s">
        <v>228</v>
      </c>
      <c r="BW270" s="0" t="s">
        <v>228</v>
      </c>
      <c r="BX270" s="0" t="s">
        <v>228</v>
      </c>
      <c r="BY270" s="0" t="s">
        <v>228</v>
      </c>
      <c r="BZ270" s="0" t="s">
        <v>228</v>
      </c>
      <c r="CA270" s="0" t="s">
        <v>228</v>
      </c>
      <c r="CB270" s="0" t="s">
        <v>228</v>
      </c>
      <c r="CC270" s="0" t="s">
        <v>228</v>
      </c>
      <c r="CD270" s="0" t="s">
        <v>228</v>
      </c>
      <c r="CE270" s="0" t="s">
        <v>228</v>
      </c>
      <c r="CF270" s="0" t="s">
        <v>228</v>
      </c>
      <c r="CG270" s="0" t="s">
        <v>228</v>
      </c>
      <c r="CH270" s="0" t="s">
        <v>228</v>
      </c>
      <c r="CI270" s="0" t="s">
        <v>228</v>
      </c>
      <c r="CJ270" s="0" t="s">
        <v>228</v>
      </c>
      <c r="CK270" s="0" t="s">
        <v>228</v>
      </c>
      <c r="CL270" s="0" t="s">
        <v>228</v>
      </c>
      <c r="CM270" s="0" t="s">
        <v>228</v>
      </c>
      <c r="CN270" s="0" t="s">
        <v>228</v>
      </c>
      <c r="CO270" s="0" t="s">
        <v>228</v>
      </c>
      <c r="CP270" s="0" t="s">
        <v>228</v>
      </c>
      <c r="CQ270" s="0" t="s">
        <v>228</v>
      </c>
      <c r="CR270" s="0" t="s">
        <v>228</v>
      </c>
      <c r="CS270" s="0" t="s">
        <v>228</v>
      </c>
      <c r="CT270" s="0" t="s">
        <v>3568</v>
      </c>
      <c r="CU270" s="0" t="s">
        <v>3569</v>
      </c>
      <c r="CV270" s="0" t="s">
        <v>418</v>
      </c>
      <c r="CW270" s="0" t="s">
        <v>3622</v>
      </c>
      <c r="CX270" s="0" t="s">
        <v>419</v>
      </c>
      <c r="CY270" s="0" t="s">
        <v>418</v>
      </c>
      <c r="CZ270" s="0" t="s">
        <v>3623</v>
      </c>
      <c r="DA270" s="0" t="s">
        <v>3624</v>
      </c>
      <c r="DB270" s="0" t="s">
        <v>3622</v>
      </c>
      <c r="DC270" s="0" t="s">
        <v>362</v>
      </c>
      <c r="DD270" s="0" t="s">
        <v>3572</v>
      </c>
      <c r="DE270" s="0" t="s">
        <v>4820</v>
      </c>
    </row>
    <row customHeight="1" ht="11.25">
      <c r="A271" s="1353" t="s">
        <v>228</v>
      </c>
      <c r="B271" s="0" t="s">
        <v>228</v>
      </c>
      <c r="C271" s="0" t="s">
        <v>228</v>
      </c>
      <c r="D271" s="0" t="s">
        <v>228</v>
      </c>
      <c r="E271" s="0" t="s">
        <v>228</v>
      </c>
      <c r="F271" s="0" t="s">
        <v>228</v>
      </c>
      <c r="G271" s="0" t="s">
        <v>228</v>
      </c>
      <c r="H271" s="0" t="s">
        <v>228</v>
      </c>
      <c r="I271" s="0" t="s">
        <v>3555</v>
      </c>
      <c r="J271" s="0" t="s">
        <v>228</v>
      </c>
      <c r="K271" s="0" t="s">
        <v>228</v>
      </c>
      <c r="L271" s="0" t="s">
        <v>228</v>
      </c>
      <c r="M271" s="0" t="s">
        <v>228</v>
      </c>
      <c r="N271" s="0" t="s">
        <v>228</v>
      </c>
      <c r="O271" s="0" t="s">
        <v>228</v>
      </c>
      <c r="P271" s="0" t="s">
        <v>228</v>
      </c>
      <c r="Q271" s="0" t="s">
        <v>228</v>
      </c>
      <c r="R271" s="0" t="s">
        <v>3648</v>
      </c>
      <c r="S271" s="0" t="s">
        <v>228</v>
      </c>
      <c r="T271" s="0" t="s">
        <v>228</v>
      </c>
      <c r="U271" s="0" t="s">
        <v>101</v>
      </c>
      <c r="V271" s="0" t="s">
        <v>228</v>
      </c>
      <c r="W271" s="0" t="s">
        <v>228</v>
      </c>
      <c r="X271" s="0" t="s">
        <v>3557</v>
      </c>
      <c r="Y271" s="0" t="s">
        <v>228</v>
      </c>
      <c r="Z271" s="0" t="s">
        <v>160</v>
      </c>
      <c r="AA271" s="0" t="s">
        <v>151</v>
      </c>
      <c r="AB271" s="0" t="s">
        <v>151</v>
      </c>
      <c r="AC271" s="0" t="s">
        <v>2315</v>
      </c>
      <c r="AD271" s="0" t="s">
        <v>2315</v>
      </c>
      <c r="AE271" s="0" t="s">
        <v>2316</v>
      </c>
      <c r="AF271" s="0" t="s">
        <v>4821</v>
      </c>
      <c r="AG271" s="0" t="s">
        <v>4822</v>
      </c>
      <c r="AH271" s="0" t="s">
        <v>4823</v>
      </c>
      <c r="AI271" s="0" t="s">
        <v>3651</v>
      </c>
      <c r="AJ271" s="0" t="s">
        <v>4601</v>
      </c>
      <c r="AK271" s="0" t="s">
        <v>4500</v>
      </c>
      <c r="AL271" s="0" t="s">
        <v>3581</v>
      </c>
      <c r="AM271" s="0" t="s">
        <v>3565</v>
      </c>
      <c r="AN271" s="0" t="s">
        <v>3654</v>
      </c>
      <c r="AO271" s="0" t="s">
        <v>3934</v>
      </c>
      <c r="AP271" s="0" t="s">
        <v>228</v>
      </c>
      <c r="AQ271" s="0" t="s">
        <v>228</v>
      </c>
      <c r="AR271" s="0" t="s">
        <v>228</v>
      </c>
      <c r="AS271" s="0" t="s">
        <v>228</v>
      </c>
      <c r="AT271" s="0" t="s">
        <v>228</v>
      </c>
      <c r="AU271" s="0" t="s">
        <v>228</v>
      </c>
      <c r="AV271" s="0" t="s">
        <v>228</v>
      </c>
      <c r="AW271" s="0" t="s">
        <v>228</v>
      </c>
      <c r="AX271" s="0" t="s">
        <v>228</v>
      </c>
      <c r="AY271" s="0" t="s">
        <v>228</v>
      </c>
      <c r="AZ271" s="0" t="s">
        <v>228</v>
      </c>
      <c r="BA271" s="0" t="s">
        <v>228</v>
      </c>
      <c r="BB271" s="0" t="s">
        <v>228</v>
      </c>
      <c r="BC271" s="0" t="s">
        <v>228</v>
      </c>
      <c r="BD271" s="0" t="s">
        <v>228</v>
      </c>
      <c r="BE271" s="0" t="s">
        <v>228</v>
      </c>
      <c r="BF271" s="0" t="s">
        <v>228</v>
      </c>
      <c r="BG271" s="0" t="s">
        <v>228</v>
      </c>
      <c r="BH271" s="0" t="s">
        <v>228</v>
      </c>
      <c r="BI271" s="0" t="s">
        <v>228</v>
      </c>
      <c r="BJ271" s="0" t="s">
        <v>228</v>
      </c>
      <c r="BK271" s="0" t="s">
        <v>228</v>
      </c>
      <c r="BL271" s="0" t="s">
        <v>228</v>
      </c>
      <c r="BM271" s="0" t="s">
        <v>228</v>
      </c>
      <c r="BN271" s="0" t="s">
        <v>228</v>
      </c>
      <c r="BO271" s="0" t="s">
        <v>228</v>
      </c>
      <c r="BP271" s="0" t="s">
        <v>228</v>
      </c>
      <c r="BQ271" s="0" t="s">
        <v>228</v>
      </c>
      <c r="BR271" s="0" t="s">
        <v>228</v>
      </c>
      <c r="BS271" s="0" t="s">
        <v>228</v>
      </c>
      <c r="BT271" s="0" t="s">
        <v>228</v>
      </c>
      <c r="BU271" s="0" t="s">
        <v>228</v>
      </c>
      <c r="BV271" s="0" t="s">
        <v>228</v>
      </c>
      <c r="BW271" s="0" t="s">
        <v>228</v>
      </c>
      <c r="BX271" s="0" t="s">
        <v>228</v>
      </c>
      <c r="BY271" s="0" t="s">
        <v>228</v>
      </c>
      <c r="BZ271" s="0" t="s">
        <v>228</v>
      </c>
      <c r="CA271" s="0" t="s">
        <v>228</v>
      </c>
      <c r="CB271" s="0" t="s">
        <v>228</v>
      </c>
      <c r="CC271" s="0" t="s">
        <v>228</v>
      </c>
      <c r="CD271" s="0" t="s">
        <v>228</v>
      </c>
      <c r="CE271" s="0" t="s">
        <v>228</v>
      </c>
      <c r="CF271" s="0" t="s">
        <v>228</v>
      </c>
      <c r="CG271" s="0" t="s">
        <v>228</v>
      </c>
      <c r="CH271" s="0" t="s">
        <v>228</v>
      </c>
      <c r="CI271" s="0" t="s">
        <v>228</v>
      </c>
      <c r="CJ271" s="0" t="s">
        <v>228</v>
      </c>
      <c r="CK271" s="0" t="s">
        <v>228</v>
      </c>
      <c r="CL271" s="0" t="s">
        <v>228</v>
      </c>
      <c r="CM271" s="0" t="s">
        <v>228</v>
      </c>
      <c r="CN271" s="0" t="s">
        <v>228</v>
      </c>
      <c r="CO271" s="0" t="s">
        <v>228</v>
      </c>
      <c r="CP271" s="0" t="s">
        <v>228</v>
      </c>
      <c r="CQ271" s="0" t="s">
        <v>228</v>
      </c>
      <c r="CR271" s="0" t="s">
        <v>228</v>
      </c>
      <c r="CS271" s="0" t="s">
        <v>228</v>
      </c>
      <c r="CT271" s="0" t="s">
        <v>3568</v>
      </c>
      <c r="CU271" s="0" t="s">
        <v>3569</v>
      </c>
      <c r="CV271" s="0" t="s">
        <v>418</v>
      </c>
      <c r="CW271" s="0" t="s">
        <v>3656</v>
      </c>
      <c r="CX271" s="0" t="s">
        <v>419</v>
      </c>
      <c r="CY271" s="0" t="s">
        <v>418</v>
      </c>
      <c r="CZ271" s="0" t="s">
        <v>3657</v>
      </c>
      <c r="DA271" s="0" t="s">
        <v>3658</v>
      </c>
      <c r="DB271" s="0" t="s">
        <v>3656</v>
      </c>
      <c r="DC271" s="0" t="s">
        <v>362</v>
      </c>
      <c r="DD271" s="0" t="s">
        <v>3572</v>
      </c>
      <c r="DE271" s="0" t="s">
        <v>4824</v>
      </c>
    </row>
    <row customHeight="1" ht="11.25">
      <c r="A272" s="1353" t="s">
        <v>228</v>
      </c>
      <c r="B272" s="0" t="s">
        <v>228</v>
      </c>
      <c r="C272" s="0" t="s">
        <v>228</v>
      </c>
      <c r="D272" s="0" t="s">
        <v>228</v>
      </c>
      <c r="E272" s="0" t="s">
        <v>228</v>
      </c>
      <c r="F272" s="0" t="s">
        <v>228</v>
      </c>
      <c r="G272" s="0" t="s">
        <v>228</v>
      </c>
      <c r="H272" s="0" t="s">
        <v>228</v>
      </c>
      <c r="I272" s="0" t="s">
        <v>3555</v>
      </c>
      <c r="J272" s="0" t="s">
        <v>228</v>
      </c>
      <c r="K272" s="0" t="s">
        <v>228</v>
      </c>
      <c r="L272" s="0" t="s">
        <v>228</v>
      </c>
      <c r="M272" s="0" t="s">
        <v>228</v>
      </c>
      <c r="N272" s="0" t="s">
        <v>228</v>
      </c>
      <c r="O272" s="0" t="s">
        <v>228</v>
      </c>
      <c r="P272" s="0" t="s">
        <v>228</v>
      </c>
      <c r="Q272" s="0" t="s">
        <v>228</v>
      </c>
      <c r="R272" s="0" t="s">
        <v>4825</v>
      </c>
      <c r="S272" s="0" t="s">
        <v>228</v>
      </c>
      <c r="T272" s="0" t="s">
        <v>228</v>
      </c>
      <c r="U272" s="0" t="s">
        <v>101</v>
      </c>
      <c r="V272" s="0" t="s">
        <v>228</v>
      </c>
      <c r="W272" s="0" t="s">
        <v>228</v>
      </c>
      <c r="X272" s="0" t="s">
        <v>3557</v>
      </c>
      <c r="Y272" s="0" t="s">
        <v>228</v>
      </c>
      <c r="Z272" s="0" t="s">
        <v>160</v>
      </c>
      <c r="AA272" s="0" t="s">
        <v>151</v>
      </c>
      <c r="AB272" s="0" t="s">
        <v>151</v>
      </c>
      <c r="AC272" s="0" t="s">
        <v>2715</v>
      </c>
      <c r="AD272" s="0" t="s">
        <v>2715</v>
      </c>
      <c r="AE272" s="0" t="s">
        <v>2716</v>
      </c>
      <c r="AF272" s="0" t="s">
        <v>3594</v>
      </c>
      <c r="AG272" s="0" t="s">
        <v>3595</v>
      </c>
      <c r="AH272" s="0" t="s">
        <v>3642</v>
      </c>
      <c r="AI272" s="0" t="s">
        <v>3643</v>
      </c>
      <c r="AJ272" s="0" t="s">
        <v>3644</v>
      </c>
      <c r="AK272" s="0" t="s">
        <v>4826</v>
      </c>
      <c r="AL272" s="0" t="s">
        <v>3681</v>
      </c>
      <c r="AM272" s="0" t="s">
        <v>3565</v>
      </c>
      <c r="AN272" s="0" t="s">
        <v>4827</v>
      </c>
      <c r="AO272" s="0" t="s">
        <v>4828</v>
      </c>
      <c r="AP272" s="0" t="s">
        <v>228</v>
      </c>
      <c r="AQ272" s="0" t="s">
        <v>228</v>
      </c>
      <c r="AR272" s="0" t="s">
        <v>228</v>
      </c>
      <c r="AS272" s="0" t="s">
        <v>228</v>
      </c>
      <c r="AT272" s="0" t="s">
        <v>228</v>
      </c>
      <c r="AU272" s="0" t="s">
        <v>228</v>
      </c>
      <c r="AV272" s="0" t="s">
        <v>228</v>
      </c>
      <c r="AW272" s="0" t="s">
        <v>228</v>
      </c>
      <c r="AX272" s="0" t="s">
        <v>228</v>
      </c>
      <c r="AY272" s="0" t="s">
        <v>228</v>
      </c>
      <c r="AZ272" s="0" t="s">
        <v>228</v>
      </c>
      <c r="BA272" s="0" t="s">
        <v>228</v>
      </c>
      <c r="BB272" s="0" t="s">
        <v>228</v>
      </c>
      <c r="BC272" s="0" t="s">
        <v>228</v>
      </c>
      <c r="BD272" s="0" t="s">
        <v>228</v>
      </c>
      <c r="BE272" s="0" t="s">
        <v>228</v>
      </c>
      <c r="BF272" s="0" t="s">
        <v>228</v>
      </c>
      <c r="BG272" s="0" t="s">
        <v>228</v>
      </c>
      <c r="BH272" s="0" t="s">
        <v>228</v>
      </c>
      <c r="BI272" s="0" t="s">
        <v>228</v>
      </c>
      <c r="BJ272" s="0" t="s">
        <v>228</v>
      </c>
      <c r="BK272" s="0" t="s">
        <v>228</v>
      </c>
      <c r="BL272" s="0" t="s">
        <v>228</v>
      </c>
      <c r="BM272" s="0" t="s">
        <v>228</v>
      </c>
      <c r="BN272" s="0" t="s">
        <v>228</v>
      </c>
      <c r="BO272" s="0" t="s">
        <v>228</v>
      </c>
      <c r="BP272" s="0" t="s">
        <v>228</v>
      </c>
      <c r="BQ272" s="0" t="s">
        <v>228</v>
      </c>
      <c r="BR272" s="0" t="s">
        <v>228</v>
      </c>
      <c r="BS272" s="0" t="s">
        <v>228</v>
      </c>
      <c r="BT272" s="0" t="s">
        <v>228</v>
      </c>
      <c r="BU272" s="0" t="s">
        <v>228</v>
      </c>
      <c r="BV272" s="0" t="s">
        <v>228</v>
      </c>
      <c r="BW272" s="0" t="s">
        <v>228</v>
      </c>
      <c r="BX272" s="0" t="s">
        <v>228</v>
      </c>
      <c r="BY272" s="0" t="s">
        <v>228</v>
      </c>
      <c r="BZ272" s="0" t="s">
        <v>228</v>
      </c>
      <c r="CA272" s="0" t="s">
        <v>228</v>
      </c>
      <c r="CB272" s="0" t="s">
        <v>228</v>
      </c>
      <c r="CC272" s="0" t="s">
        <v>228</v>
      </c>
      <c r="CD272" s="0" t="s">
        <v>228</v>
      </c>
      <c r="CE272" s="0" t="s">
        <v>228</v>
      </c>
      <c r="CF272" s="0" t="s">
        <v>228</v>
      </c>
      <c r="CG272" s="0" t="s">
        <v>228</v>
      </c>
      <c r="CH272" s="0" t="s">
        <v>228</v>
      </c>
      <c r="CI272" s="0" t="s">
        <v>228</v>
      </c>
      <c r="CJ272" s="0" t="s">
        <v>228</v>
      </c>
      <c r="CK272" s="0" t="s">
        <v>228</v>
      </c>
      <c r="CL272" s="0" t="s">
        <v>228</v>
      </c>
      <c r="CM272" s="0" t="s">
        <v>228</v>
      </c>
      <c r="CN272" s="0" t="s">
        <v>228</v>
      </c>
      <c r="CO272" s="0" t="s">
        <v>228</v>
      </c>
      <c r="CP272" s="0" t="s">
        <v>228</v>
      </c>
      <c r="CQ272" s="0" t="s">
        <v>228</v>
      </c>
      <c r="CR272" s="0" t="s">
        <v>228</v>
      </c>
      <c r="CS272" s="0" t="s">
        <v>228</v>
      </c>
      <c r="CT272" s="0" t="s">
        <v>3568</v>
      </c>
      <c r="CU272" s="0" t="s">
        <v>3569</v>
      </c>
      <c r="CV272" s="0" t="s">
        <v>418</v>
      </c>
      <c r="CW272" s="0" t="s">
        <v>3602</v>
      </c>
      <c r="CX272" s="0" t="s">
        <v>3603</v>
      </c>
      <c r="CY272" s="0" t="s">
        <v>418</v>
      </c>
      <c r="CZ272" s="0" t="s">
        <v>504</v>
      </c>
      <c r="DA272" s="0" t="s">
        <v>3604</v>
      </c>
      <c r="DB272" s="0" t="s">
        <v>3602</v>
      </c>
      <c r="DC272" s="0" t="s">
        <v>362</v>
      </c>
      <c r="DD272" s="0" t="s">
        <v>3572</v>
      </c>
      <c r="DE272" s="0" t="s">
        <v>3647</v>
      </c>
    </row>
    <row customHeight="1" ht="11.25">
      <c r="A273" s="1353" t="s">
        <v>228</v>
      </c>
      <c r="B273" s="0" t="s">
        <v>228</v>
      </c>
      <c r="C273" s="0" t="s">
        <v>228</v>
      </c>
      <c r="D273" s="0" t="s">
        <v>228</v>
      </c>
      <c r="E273" s="0" t="s">
        <v>228</v>
      </c>
      <c r="F273" s="0" t="s">
        <v>228</v>
      </c>
      <c r="G273" s="0" t="s">
        <v>228</v>
      </c>
      <c r="H273" s="0" t="s">
        <v>228</v>
      </c>
      <c r="I273" s="0" t="s">
        <v>3555</v>
      </c>
      <c r="J273" s="0" t="s">
        <v>228</v>
      </c>
      <c r="K273" s="0" t="s">
        <v>228</v>
      </c>
      <c r="L273" s="0" t="s">
        <v>228</v>
      </c>
      <c r="M273" s="0" t="s">
        <v>228</v>
      </c>
      <c r="N273" s="0" t="s">
        <v>228</v>
      </c>
      <c r="O273" s="0" t="s">
        <v>228</v>
      </c>
      <c r="P273" s="0" t="s">
        <v>228</v>
      </c>
      <c r="Q273" s="0" t="s">
        <v>228</v>
      </c>
      <c r="R273" s="0" t="s">
        <v>3684</v>
      </c>
      <c r="S273" s="0" t="s">
        <v>228</v>
      </c>
      <c r="T273" s="0" t="s">
        <v>228</v>
      </c>
      <c r="U273" s="0" t="s">
        <v>101</v>
      </c>
      <c r="V273" s="0" t="s">
        <v>228</v>
      </c>
      <c r="W273" s="0" t="s">
        <v>228</v>
      </c>
      <c r="X273" s="0" t="s">
        <v>3557</v>
      </c>
      <c r="Y273" s="0" t="s">
        <v>228</v>
      </c>
      <c r="Z273" s="0" t="s">
        <v>160</v>
      </c>
      <c r="AA273" s="0" t="s">
        <v>151</v>
      </c>
      <c r="AB273" s="0" t="s">
        <v>151</v>
      </c>
      <c r="AC273" s="0" t="s">
        <v>2311</v>
      </c>
      <c r="AD273" s="0" t="s">
        <v>2311</v>
      </c>
      <c r="AE273" s="0" t="s">
        <v>2312</v>
      </c>
      <c r="AF273" s="0" t="s">
        <v>4567</v>
      </c>
      <c r="AG273" s="0" t="s">
        <v>4568</v>
      </c>
      <c r="AH273" s="0" t="s">
        <v>4829</v>
      </c>
      <c r="AI273" s="0" t="s">
        <v>3721</v>
      </c>
      <c r="AJ273" s="0" t="s">
        <v>4355</v>
      </c>
      <c r="AK273" s="0" t="s">
        <v>3808</v>
      </c>
      <c r="AL273" s="0" t="s">
        <v>3681</v>
      </c>
      <c r="AM273" s="0" t="s">
        <v>3565</v>
      </c>
      <c r="AN273" s="0" t="s">
        <v>3582</v>
      </c>
      <c r="AO273" s="0" t="s">
        <v>4574</v>
      </c>
      <c r="AP273" s="0" t="s">
        <v>228</v>
      </c>
      <c r="AQ273" s="0" t="s">
        <v>228</v>
      </c>
      <c r="AR273" s="0" t="s">
        <v>228</v>
      </c>
      <c r="AS273" s="0" t="s">
        <v>228</v>
      </c>
      <c r="AT273" s="0" t="s">
        <v>228</v>
      </c>
      <c r="AU273" s="0" t="s">
        <v>228</v>
      </c>
      <c r="AV273" s="0" t="s">
        <v>228</v>
      </c>
      <c r="AW273" s="0" t="s">
        <v>228</v>
      </c>
      <c r="AX273" s="0" t="s">
        <v>228</v>
      </c>
      <c r="AY273" s="0" t="s">
        <v>228</v>
      </c>
      <c r="AZ273" s="0" t="s">
        <v>228</v>
      </c>
      <c r="BA273" s="0" t="s">
        <v>228</v>
      </c>
      <c r="BB273" s="0" t="s">
        <v>228</v>
      </c>
      <c r="BC273" s="0" t="s">
        <v>228</v>
      </c>
      <c r="BD273" s="0" t="s">
        <v>228</v>
      </c>
      <c r="BE273" s="0" t="s">
        <v>228</v>
      </c>
      <c r="BF273" s="0" t="s">
        <v>228</v>
      </c>
      <c r="BG273" s="0" t="s">
        <v>228</v>
      </c>
      <c r="BH273" s="0" t="s">
        <v>228</v>
      </c>
      <c r="BI273" s="0" t="s">
        <v>228</v>
      </c>
      <c r="BJ273" s="0" t="s">
        <v>228</v>
      </c>
      <c r="BK273" s="0" t="s">
        <v>228</v>
      </c>
      <c r="BL273" s="0" t="s">
        <v>228</v>
      </c>
      <c r="BM273" s="0" t="s">
        <v>228</v>
      </c>
      <c r="BN273" s="0" t="s">
        <v>228</v>
      </c>
      <c r="BO273" s="0" t="s">
        <v>228</v>
      </c>
      <c r="BP273" s="0" t="s">
        <v>228</v>
      </c>
      <c r="BQ273" s="0" t="s">
        <v>228</v>
      </c>
      <c r="BR273" s="0" t="s">
        <v>228</v>
      </c>
      <c r="BS273" s="0" t="s">
        <v>228</v>
      </c>
      <c r="BT273" s="0" t="s">
        <v>228</v>
      </c>
      <c r="BU273" s="0" t="s">
        <v>228</v>
      </c>
      <c r="BV273" s="0" t="s">
        <v>228</v>
      </c>
      <c r="BW273" s="0" t="s">
        <v>228</v>
      </c>
      <c r="BX273" s="0" t="s">
        <v>228</v>
      </c>
      <c r="BY273" s="0" t="s">
        <v>228</v>
      </c>
      <c r="BZ273" s="0" t="s">
        <v>228</v>
      </c>
      <c r="CA273" s="0" t="s">
        <v>228</v>
      </c>
      <c r="CB273" s="0" t="s">
        <v>228</v>
      </c>
      <c r="CC273" s="0" t="s">
        <v>228</v>
      </c>
      <c r="CD273" s="0" t="s">
        <v>228</v>
      </c>
      <c r="CE273" s="0" t="s">
        <v>228</v>
      </c>
      <c r="CF273" s="0" t="s">
        <v>228</v>
      </c>
      <c r="CG273" s="0" t="s">
        <v>228</v>
      </c>
      <c r="CH273" s="0" t="s">
        <v>228</v>
      </c>
      <c r="CI273" s="0" t="s">
        <v>228</v>
      </c>
      <c r="CJ273" s="0" t="s">
        <v>228</v>
      </c>
      <c r="CK273" s="0" t="s">
        <v>228</v>
      </c>
      <c r="CL273" s="0" t="s">
        <v>228</v>
      </c>
      <c r="CM273" s="0" t="s">
        <v>228</v>
      </c>
      <c r="CN273" s="0" t="s">
        <v>228</v>
      </c>
      <c r="CO273" s="0" t="s">
        <v>228</v>
      </c>
      <c r="CP273" s="0" t="s">
        <v>228</v>
      </c>
      <c r="CQ273" s="0" t="s">
        <v>228</v>
      </c>
      <c r="CR273" s="0" t="s">
        <v>228</v>
      </c>
      <c r="CS273" s="0" t="s">
        <v>228</v>
      </c>
      <c r="CT273" s="0" t="s">
        <v>3568</v>
      </c>
      <c r="CU273" s="0" t="s">
        <v>3569</v>
      </c>
      <c r="CV273" s="0" t="s">
        <v>418</v>
      </c>
      <c r="CW273" s="0" t="s">
        <v>3584</v>
      </c>
      <c r="CX273" s="0" t="s">
        <v>419</v>
      </c>
      <c r="CY273" s="0" t="s">
        <v>418</v>
      </c>
      <c r="CZ273" s="0" t="s">
        <v>3585</v>
      </c>
      <c r="DA273" s="0" t="s">
        <v>3586</v>
      </c>
      <c r="DB273" s="0" t="s">
        <v>3584</v>
      </c>
      <c r="DC273" s="0" t="s">
        <v>362</v>
      </c>
      <c r="DD273" s="0" t="s">
        <v>3572</v>
      </c>
      <c r="DE273" s="0" t="s">
        <v>4830</v>
      </c>
    </row>
    <row customHeight="1" ht="11.25">
      <c r="A274" s="1353" t="s">
        <v>228</v>
      </c>
      <c r="B274" s="0" t="s">
        <v>228</v>
      </c>
      <c r="C274" s="0" t="s">
        <v>228</v>
      </c>
      <c r="D274" s="0" t="s">
        <v>228</v>
      </c>
      <c r="E274" s="0" t="s">
        <v>228</v>
      </c>
      <c r="F274" s="0" t="s">
        <v>228</v>
      </c>
      <c r="G274" s="0" t="s">
        <v>228</v>
      </c>
      <c r="H274" s="0" t="s">
        <v>228</v>
      </c>
      <c r="I274" s="0" t="s">
        <v>3555</v>
      </c>
      <c r="J274" s="0" t="s">
        <v>228</v>
      </c>
      <c r="K274" s="0" t="s">
        <v>228</v>
      </c>
      <c r="L274" s="0" t="s">
        <v>228</v>
      </c>
      <c r="M274" s="0" t="s">
        <v>228</v>
      </c>
      <c r="N274" s="0" t="s">
        <v>228</v>
      </c>
      <c r="O274" s="0" t="s">
        <v>228</v>
      </c>
      <c r="P274" s="0" t="s">
        <v>228</v>
      </c>
      <c r="Q274" s="0" t="s">
        <v>228</v>
      </c>
      <c r="R274" s="0" t="s">
        <v>3718</v>
      </c>
      <c r="S274" s="0" t="s">
        <v>228</v>
      </c>
      <c r="T274" s="0" t="s">
        <v>228</v>
      </c>
      <c r="U274" s="0" t="s">
        <v>101</v>
      </c>
      <c r="V274" s="0" t="s">
        <v>228</v>
      </c>
      <c r="W274" s="0" t="s">
        <v>228</v>
      </c>
      <c r="X274" s="0" t="s">
        <v>3661</v>
      </c>
      <c r="Y274" s="0" t="s">
        <v>228</v>
      </c>
      <c r="Z274" s="0" t="s">
        <v>151</v>
      </c>
      <c r="AA274" s="0" t="s">
        <v>151</v>
      </c>
      <c r="AB274" s="0" t="s">
        <v>160</v>
      </c>
      <c r="AC274" s="0" t="s">
        <v>2311</v>
      </c>
      <c r="AD274" s="0" t="s">
        <v>2311</v>
      </c>
      <c r="AE274" s="0" t="s">
        <v>2312</v>
      </c>
      <c r="AF274" s="0" t="s">
        <v>3708</v>
      </c>
      <c r="AG274" s="0" t="s">
        <v>3709</v>
      </c>
      <c r="AH274" s="0" t="s">
        <v>3708</v>
      </c>
      <c r="AI274" s="0" t="s">
        <v>3721</v>
      </c>
      <c r="AJ274" s="0" t="s">
        <v>228</v>
      </c>
      <c r="AK274" s="0" t="s">
        <v>228</v>
      </c>
      <c r="AL274" s="0" t="s">
        <v>228</v>
      </c>
      <c r="AM274" s="0" t="s">
        <v>228</v>
      </c>
      <c r="AN274" s="0" t="s">
        <v>228</v>
      </c>
      <c r="AO274" s="0" t="s">
        <v>228</v>
      </c>
      <c r="AP274" s="0" t="s">
        <v>228</v>
      </c>
      <c r="AQ274" s="0" t="s">
        <v>228</v>
      </c>
      <c r="AR274" s="0" t="s">
        <v>228</v>
      </c>
      <c r="AS274" s="0" t="s">
        <v>228</v>
      </c>
      <c r="AT274" s="0" t="s">
        <v>228</v>
      </c>
      <c r="AU274" s="0" t="s">
        <v>228</v>
      </c>
      <c r="AV274" s="0" t="s">
        <v>228</v>
      </c>
      <c r="AW274" s="0" t="s">
        <v>228</v>
      </c>
      <c r="AX274" s="0" t="s">
        <v>228</v>
      </c>
      <c r="AY274" s="0" t="s">
        <v>228</v>
      </c>
      <c r="AZ274" s="0" t="s">
        <v>228</v>
      </c>
      <c r="BA274" s="0" t="s">
        <v>228</v>
      </c>
      <c r="BB274" s="0" t="s">
        <v>228</v>
      </c>
      <c r="BC274" s="0" t="s">
        <v>228</v>
      </c>
      <c r="BD274" s="0" t="s">
        <v>228</v>
      </c>
      <c r="BE274" s="0" t="s">
        <v>3722</v>
      </c>
      <c r="BF274" s="0" t="s">
        <v>3722</v>
      </c>
      <c r="BG274" s="0" t="s">
        <v>111</v>
      </c>
      <c r="BH274" s="0" t="s">
        <v>3665</v>
      </c>
      <c r="BI274" s="0" t="s">
        <v>122</v>
      </c>
      <c r="BJ274" s="0" t="s">
        <v>228</v>
      </c>
      <c r="BK274" s="0" t="s">
        <v>3684</v>
      </c>
      <c r="BL274" s="0" t="s">
        <v>2311</v>
      </c>
      <c r="BM274" s="0" t="s">
        <v>2311</v>
      </c>
      <c r="BN274" s="0" t="s">
        <v>3723</v>
      </c>
      <c r="BO274" s="0" t="s">
        <v>3708</v>
      </c>
      <c r="BP274" s="0" t="s">
        <v>4831</v>
      </c>
      <c r="BQ274" s="0" t="s">
        <v>3710</v>
      </c>
      <c r="BR274" s="0" t="s">
        <v>4832</v>
      </c>
      <c r="BS274" s="0" t="s">
        <v>228</v>
      </c>
      <c r="BT274" s="0" t="s">
        <v>3727</v>
      </c>
      <c r="BU274" s="0" t="s">
        <v>4833</v>
      </c>
      <c r="BV274" s="0" t="s">
        <v>4833</v>
      </c>
      <c r="BW274" s="0" t="s">
        <v>3674</v>
      </c>
      <c r="BX274" s="0" t="s">
        <v>3674</v>
      </c>
      <c r="BY274" s="0" t="s">
        <v>3674</v>
      </c>
      <c r="BZ274" s="0" t="s">
        <v>3674</v>
      </c>
      <c r="CA274" s="0" t="s">
        <v>3674</v>
      </c>
      <c r="CB274" s="0" t="s">
        <v>228</v>
      </c>
      <c r="CC274" s="0" t="s">
        <v>228</v>
      </c>
      <c r="CD274" s="0" t="s">
        <v>228</v>
      </c>
      <c r="CE274" s="0" t="s">
        <v>228</v>
      </c>
      <c r="CF274" s="0" t="s">
        <v>228</v>
      </c>
      <c r="CG274" s="0" t="s">
        <v>3674</v>
      </c>
      <c r="CH274" s="0" t="s">
        <v>228</v>
      </c>
      <c r="CI274" s="0" t="s">
        <v>228</v>
      </c>
      <c r="CJ274" s="0" t="s">
        <v>228</v>
      </c>
      <c r="CK274" s="0" t="s">
        <v>228</v>
      </c>
      <c r="CL274" s="0" t="s">
        <v>228</v>
      </c>
      <c r="CM274" s="0" t="s">
        <v>4833</v>
      </c>
      <c r="CN274" s="0" t="s">
        <v>4833</v>
      </c>
      <c r="CO274" s="0" t="s">
        <v>228</v>
      </c>
      <c r="CP274" s="0" t="s">
        <v>228</v>
      </c>
      <c r="CQ274" s="0" t="s">
        <v>228</v>
      </c>
      <c r="CR274" s="0" t="s">
        <v>228</v>
      </c>
      <c r="CS274" s="0" t="s">
        <v>3582</v>
      </c>
      <c r="CT274" s="0" t="s">
        <v>3568</v>
      </c>
      <c r="CU274" s="0" t="s">
        <v>3569</v>
      </c>
      <c r="CV274" s="0" t="s">
        <v>418</v>
      </c>
      <c r="CW274" s="0" t="s">
        <v>3584</v>
      </c>
      <c r="CX274" s="0" t="s">
        <v>419</v>
      </c>
      <c r="CY274" s="0" t="s">
        <v>418</v>
      </c>
      <c r="CZ274" s="0" t="s">
        <v>3585</v>
      </c>
      <c r="DA274" s="0" t="s">
        <v>3586</v>
      </c>
      <c r="DB274" s="0" t="s">
        <v>3584</v>
      </c>
      <c r="DC274" s="0" t="s">
        <v>362</v>
      </c>
      <c r="DD274" s="0" t="s">
        <v>3572</v>
      </c>
      <c r="DE274" s="0" t="s">
        <v>4834</v>
      </c>
    </row>
    <row customHeight="1" ht="11.25">
      <c r="A275" s="1353" t="s">
        <v>228</v>
      </c>
      <c r="B275" s="0" t="s">
        <v>228</v>
      </c>
      <c r="C275" s="0" t="s">
        <v>228</v>
      </c>
      <c r="D275" s="0" t="s">
        <v>228</v>
      </c>
      <c r="E275" s="0" t="s">
        <v>228</v>
      </c>
      <c r="F275" s="0" t="s">
        <v>228</v>
      </c>
      <c r="G275" s="0" t="s">
        <v>228</v>
      </c>
      <c r="H275" s="0" t="s">
        <v>228</v>
      </c>
      <c r="I275" s="0" t="s">
        <v>3555</v>
      </c>
      <c r="J275" s="0" t="s">
        <v>228</v>
      </c>
      <c r="K275" s="0" t="s">
        <v>228</v>
      </c>
      <c r="L275" s="0" t="s">
        <v>228</v>
      </c>
      <c r="M275" s="0" t="s">
        <v>228</v>
      </c>
      <c r="N275" s="0" t="s">
        <v>228</v>
      </c>
      <c r="O275" s="0" t="s">
        <v>228</v>
      </c>
      <c r="P275" s="0" t="s">
        <v>228</v>
      </c>
      <c r="Q275" s="0" t="s">
        <v>228</v>
      </c>
      <c r="R275" s="0" t="s">
        <v>4835</v>
      </c>
      <c r="S275" s="0" t="s">
        <v>228</v>
      </c>
      <c r="T275" s="0" t="s">
        <v>228</v>
      </c>
      <c r="U275" s="0" t="s">
        <v>101</v>
      </c>
      <c r="V275" s="0" t="s">
        <v>228</v>
      </c>
      <c r="W275" s="0" t="s">
        <v>228</v>
      </c>
      <c r="X275" s="0" t="s">
        <v>3557</v>
      </c>
      <c r="Y275" s="0" t="s">
        <v>228</v>
      </c>
      <c r="Z275" s="0" t="s">
        <v>160</v>
      </c>
      <c r="AA275" s="0" t="s">
        <v>151</v>
      </c>
      <c r="AB275" s="0" t="s">
        <v>151</v>
      </c>
      <c r="AC275" s="0" t="s">
        <v>2317</v>
      </c>
      <c r="AD275" s="0" t="s">
        <v>2317</v>
      </c>
      <c r="AE275" s="0" t="s">
        <v>2318</v>
      </c>
      <c r="AF275" s="0" t="s">
        <v>3826</v>
      </c>
      <c r="AG275" s="0" t="s">
        <v>3827</v>
      </c>
      <c r="AH275" s="0" t="s">
        <v>4836</v>
      </c>
      <c r="AI275" s="0" t="s">
        <v>4393</v>
      </c>
      <c r="AJ275" s="0" t="s">
        <v>3579</v>
      </c>
      <c r="AK275" s="0" t="s">
        <v>3808</v>
      </c>
      <c r="AL275" s="0" t="s">
        <v>3581</v>
      </c>
      <c r="AM275" s="0" t="s">
        <v>3565</v>
      </c>
      <c r="AN275" s="0" t="s">
        <v>3628</v>
      </c>
      <c r="AO275" s="0" t="s">
        <v>3757</v>
      </c>
      <c r="AP275" s="0" t="s">
        <v>228</v>
      </c>
      <c r="AQ275" s="0" t="s">
        <v>228</v>
      </c>
      <c r="AR275" s="0" t="s">
        <v>228</v>
      </c>
      <c r="AS275" s="0" t="s">
        <v>228</v>
      </c>
      <c r="AT275" s="0" t="s">
        <v>228</v>
      </c>
      <c r="AU275" s="0" t="s">
        <v>228</v>
      </c>
      <c r="AV275" s="0" t="s">
        <v>228</v>
      </c>
      <c r="AW275" s="0" t="s">
        <v>228</v>
      </c>
      <c r="AX275" s="0" t="s">
        <v>228</v>
      </c>
      <c r="AY275" s="0" t="s">
        <v>228</v>
      </c>
      <c r="AZ275" s="0" t="s">
        <v>228</v>
      </c>
      <c r="BA275" s="0" t="s">
        <v>228</v>
      </c>
      <c r="BB275" s="0" t="s">
        <v>228</v>
      </c>
      <c r="BC275" s="0" t="s">
        <v>228</v>
      </c>
      <c r="BD275" s="0" t="s">
        <v>228</v>
      </c>
      <c r="BE275" s="0" t="s">
        <v>228</v>
      </c>
      <c r="BF275" s="0" t="s">
        <v>228</v>
      </c>
      <c r="BG275" s="0" t="s">
        <v>228</v>
      </c>
      <c r="BH275" s="0" t="s">
        <v>228</v>
      </c>
      <c r="BI275" s="0" t="s">
        <v>228</v>
      </c>
      <c r="BJ275" s="0" t="s">
        <v>228</v>
      </c>
      <c r="BK275" s="0" t="s">
        <v>228</v>
      </c>
      <c r="BL275" s="0" t="s">
        <v>228</v>
      </c>
      <c r="BM275" s="0" t="s">
        <v>228</v>
      </c>
      <c r="BN275" s="0" t="s">
        <v>228</v>
      </c>
      <c r="BO275" s="0" t="s">
        <v>228</v>
      </c>
      <c r="BP275" s="0" t="s">
        <v>228</v>
      </c>
      <c r="BQ275" s="0" t="s">
        <v>228</v>
      </c>
      <c r="BR275" s="0" t="s">
        <v>228</v>
      </c>
      <c r="BS275" s="0" t="s">
        <v>228</v>
      </c>
      <c r="BT275" s="0" t="s">
        <v>228</v>
      </c>
      <c r="BU275" s="0" t="s">
        <v>228</v>
      </c>
      <c r="BV275" s="0" t="s">
        <v>228</v>
      </c>
      <c r="BW275" s="0" t="s">
        <v>228</v>
      </c>
      <c r="BX275" s="0" t="s">
        <v>228</v>
      </c>
      <c r="BY275" s="0" t="s">
        <v>228</v>
      </c>
      <c r="BZ275" s="0" t="s">
        <v>228</v>
      </c>
      <c r="CA275" s="0" t="s">
        <v>228</v>
      </c>
      <c r="CB275" s="0" t="s">
        <v>228</v>
      </c>
      <c r="CC275" s="0" t="s">
        <v>228</v>
      </c>
      <c r="CD275" s="0" t="s">
        <v>228</v>
      </c>
      <c r="CE275" s="0" t="s">
        <v>228</v>
      </c>
      <c r="CF275" s="0" t="s">
        <v>228</v>
      </c>
      <c r="CG275" s="0" t="s">
        <v>228</v>
      </c>
      <c r="CH275" s="0" t="s">
        <v>228</v>
      </c>
      <c r="CI275" s="0" t="s">
        <v>228</v>
      </c>
      <c r="CJ275" s="0" t="s">
        <v>228</v>
      </c>
      <c r="CK275" s="0" t="s">
        <v>228</v>
      </c>
      <c r="CL275" s="0" t="s">
        <v>228</v>
      </c>
      <c r="CM275" s="0" t="s">
        <v>228</v>
      </c>
      <c r="CN275" s="0" t="s">
        <v>228</v>
      </c>
      <c r="CO275" s="0" t="s">
        <v>228</v>
      </c>
      <c r="CP275" s="0" t="s">
        <v>228</v>
      </c>
      <c r="CQ275" s="0" t="s">
        <v>228</v>
      </c>
      <c r="CR275" s="0" t="s">
        <v>228</v>
      </c>
      <c r="CS275" s="0" t="s">
        <v>228</v>
      </c>
      <c r="CT275" s="0" t="s">
        <v>3568</v>
      </c>
      <c r="CU275" s="0" t="s">
        <v>3569</v>
      </c>
      <c r="CV275" s="0" t="s">
        <v>418</v>
      </c>
      <c r="CW275" s="0" t="s">
        <v>3622</v>
      </c>
      <c r="CX275" s="0" t="s">
        <v>419</v>
      </c>
      <c r="CY275" s="0" t="s">
        <v>418</v>
      </c>
      <c r="CZ275" s="0" t="s">
        <v>3623</v>
      </c>
      <c r="DA275" s="0" t="s">
        <v>3624</v>
      </c>
      <c r="DB275" s="0" t="s">
        <v>3622</v>
      </c>
      <c r="DC275" s="0" t="s">
        <v>362</v>
      </c>
      <c r="DD275" s="0" t="s">
        <v>3572</v>
      </c>
      <c r="DE275" s="0" t="s">
        <v>4837</v>
      </c>
    </row>
    <row customHeight="1" ht="11.25">
      <c r="A276" s="1353" t="s">
        <v>228</v>
      </c>
      <c r="B276" s="0" t="s">
        <v>228</v>
      </c>
      <c r="C276" s="0" t="s">
        <v>228</v>
      </c>
      <c r="D276" s="0" t="s">
        <v>228</v>
      </c>
      <c r="E276" s="0" t="s">
        <v>228</v>
      </c>
      <c r="F276" s="0" t="s">
        <v>228</v>
      </c>
      <c r="G276" s="0" t="s">
        <v>228</v>
      </c>
      <c r="H276" s="0" t="s">
        <v>228</v>
      </c>
      <c r="I276" s="0" t="s">
        <v>3555</v>
      </c>
      <c r="J276" s="0" t="s">
        <v>228</v>
      </c>
      <c r="K276" s="0" t="s">
        <v>228</v>
      </c>
      <c r="L276" s="0" t="s">
        <v>228</v>
      </c>
      <c r="M276" s="0" t="s">
        <v>228</v>
      </c>
      <c r="N276" s="0" t="s">
        <v>228</v>
      </c>
      <c r="O276" s="0" t="s">
        <v>228</v>
      </c>
      <c r="P276" s="0" t="s">
        <v>228</v>
      </c>
      <c r="Q276" s="0" t="s">
        <v>228</v>
      </c>
      <c r="R276" s="0" t="s">
        <v>4838</v>
      </c>
      <c r="S276" s="0" t="s">
        <v>228</v>
      </c>
      <c r="T276" s="0" t="s">
        <v>228</v>
      </c>
      <c r="U276" s="0" t="s">
        <v>101</v>
      </c>
      <c r="V276" s="0" t="s">
        <v>228</v>
      </c>
      <c r="W276" s="0" t="s">
        <v>228</v>
      </c>
      <c r="X276" s="0" t="s">
        <v>3557</v>
      </c>
      <c r="Y276" s="0" t="s">
        <v>228</v>
      </c>
      <c r="Z276" s="0" t="s">
        <v>160</v>
      </c>
      <c r="AA276" s="0" t="s">
        <v>151</v>
      </c>
      <c r="AB276" s="0" t="s">
        <v>151</v>
      </c>
      <c r="AC276" s="0" t="s">
        <v>2317</v>
      </c>
      <c r="AD276" s="0" t="s">
        <v>2317</v>
      </c>
      <c r="AE276" s="0" t="s">
        <v>2318</v>
      </c>
      <c r="AF276" s="0" t="s">
        <v>3826</v>
      </c>
      <c r="AG276" s="0" t="s">
        <v>3827</v>
      </c>
      <c r="AH276" s="0" t="s">
        <v>4839</v>
      </c>
      <c r="AI276" s="0" t="s">
        <v>4626</v>
      </c>
      <c r="AJ276" s="0" t="s">
        <v>3579</v>
      </c>
      <c r="AK276" s="0" t="s">
        <v>3619</v>
      </c>
      <c r="AL276" s="0" t="s">
        <v>3581</v>
      </c>
      <c r="AM276" s="0" t="s">
        <v>3565</v>
      </c>
      <c r="AN276" s="0" t="s">
        <v>3628</v>
      </c>
      <c r="AO276" s="0" t="s">
        <v>3695</v>
      </c>
      <c r="AP276" s="0" t="s">
        <v>228</v>
      </c>
      <c r="AQ276" s="0" t="s">
        <v>228</v>
      </c>
      <c r="AR276" s="0" t="s">
        <v>228</v>
      </c>
      <c r="AS276" s="0" t="s">
        <v>228</v>
      </c>
      <c r="AT276" s="0" t="s">
        <v>228</v>
      </c>
      <c r="AU276" s="0" t="s">
        <v>228</v>
      </c>
      <c r="AV276" s="0" t="s">
        <v>228</v>
      </c>
      <c r="AW276" s="0" t="s">
        <v>228</v>
      </c>
      <c r="AX276" s="0" t="s">
        <v>228</v>
      </c>
      <c r="AY276" s="0" t="s">
        <v>228</v>
      </c>
      <c r="AZ276" s="0" t="s">
        <v>228</v>
      </c>
      <c r="BA276" s="0" t="s">
        <v>228</v>
      </c>
      <c r="BB276" s="0" t="s">
        <v>228</v>
      </c>
      <c r="BC276" s="0" t="s">
        <v>228</v>
      </c>
      <c r="BD276" s="0" t="s">
        <v>228</v>
      </c>
      <c r="BE276" s="0" t="s">
        <v>228</v>
      </c>
      <c r="BF276" s="0" t="s">
        <v>228</v>
      </c>
      <c r="BG276" s="0" t="s">
        <v>228</v>
      </c>
      <c r="BH276" s="0" t="s">
        <v>228</v>
      </c>
      <c r="BI276" s="0" t="s">
        <v>228</v>
      </c>
      <c r="BJ276" s="0" t="s">
        <v>228</v>
      </c>
      <c r="BK276" s="0" t="s">
        <v>228</v>
      </c>
      <c r="BL276" s="0" t="s">
        <v>228</v>
      </c>
      <c r="BM276" s="0" t="s">
        <v>228</v>
      </c>
      <c r="BN276" s="0" t="s">
        <v>228</v>
      </c>
      <c r="BO276" s="0" t="s">
        <v>228</v>
      </c>
      <c r="BP276" s="0" t="s">
        <v>228</v>
      </c>
      <c r="BQ276" s="0" t="s">
        <v>228</v>
      </c>
      <c r="BR276" s="0" t="s">
        <v>228</v>
      </c>
      <c r="BS276" s="0" t="s">
        <v>228</v>
      </c>
      <c r="BT276" s="0" t="s">
        <v>228</v>
      </c>
      <c r="BU276" s="0" t="s">
        <v>228</v>
      </c>
      <c r="BV276" s="0" t="s">
        <v>228</v>
      </c>
      <c r="BW276" s="0" t="s">
        <v>228</v>
      </c>
      <c r="BX276" s="0" t="s">
        <v>228</v>
      </c>
      <c r="BY276" s="0" t="s">
        <v>228</v>
      </c>
      <c r="BZ276" s="0" t="s">
        <v>228</v>
      </c>
      <c r="CA276" s="0" t="s">
        <v>228</v>
      </c>
      <c r="CB276" s="0" t="s">
        <v>228</v>
      </c>
      <c r="CC276" s="0" t="s">
        <v>228</v>
      </c>
      <c r="CD276" s="0" t="s">
        <v>228</v>
      </c>
      <c r="CE276" s="0" t="s">
        <v>228</v>
      </c>
      <c r="CF276" s="0" t="s">
        <v>228</v>
      </c>
      <c r="CG276" s="0" t="s">
        <v>228</v>
      </c>
      <c r="CH276" s="0" t="s">
        <v>228</v>
      </c>
      <c r="CI276" s="0" t="s">
        <v>228</v>
      </c>
      <c r="CJ276" s="0" t="s">
        <v>228</v>
      </c>
      <c r="CK276" s="0" t="s">
        <v>228</v>
      </c>
      <c r="CL276" s="0" t="s">
        <v>228</v>
      </c>
      <c r="CM276" s="0" t="s">
        <v>228</v>
      </c>
      <c r="CN276" s="0" t="s">
        <v>228</v>
      </c>
      <c r="CO276" s="0" t="s">
        <v>228</v>
      </c>
      <c r="CP276" s="0" t="s">
        <v>228</v>
      </c>
      <c r="CQ276" s="0" t="s">
        <v>228</v>
      </c>
      <c r="CR276" s="0" t="s">
        <v>228</v>
      </c>
      <c r="CS276" s="0" t="s">
        <v>228</v>
      </c>
      <c r="CT276" s="0" t="s">
        <v>3568</v>
      </c>
      <c r="CU276" s="0" t="s">
        <v>3569</v>
      </c>
      <c r="CV276" s="0" t="s">
        <v>418</v>
      </c>
      <c r="CW276" s="0" t="s">
        <v>3622</v>
      </c>
      <c r="CX276" s="0" t="s">
        <v>419</v>
      </c>
      <c r="CY276" s="0" t="s">
        <v>418</v>
      </c>
      <c r="CZ276" s="0" t="s">
        <v>3623</v>
      </c>
      <c r="DA276" s="0" t="s">
        <v>3624</v>
      </c>
      <c r="DB276" s="0" t="s">
        <v>3622</v>
      </c>
      <c r="DC276" s="0" t="s">
        <v>362</v>
      </c>
      <c r="DD276" s="0" t="s">
        <v>3572</v>
      </c>
      <c r="DE276" s="0" t="s">
        <v>4840</v>
      </c>
    </row>
    <row customHeight="1" ht="11.25">
      <c r="A277" s="1353" t="s">
        <v>228</v>
      </c>
      <c r="B277" s="0" t="s">
        <v>228</v>
      </c>
      <c r="C277" s="0" t="s">
        <v>228</v>
      </c>
      <c r="D277" s="0" t="s">
        <v>228</v>
      </c>
      <c r="E277" s="0" t="s">
        <v>228</v>
      </c>
      <c r="F277" s="0" t="s">
        <v>228</v>
      </c>
      <c r="G277" s="0" t="s">
        <v>228</v>
      </c>
      <c r="H277" s="0" t="s">
        <v>228</v>
      </c>
      <c r="I277" s="0" t="s">
        <v>3555</v>
      </c>
      <c r="J277" s="0" t="s">
        <v>228</v>
      </c>
      <c r="K277" s="0" t="s">
        <v>228</v>
      </c>
      <c r="L277" s="0" t="s">
        <v>228</v>
      </c>
      <c r="M277" s="0" t="s">
        <v>228</v>
      </c>
      <c r="N277" s="0" t="s">
        <v>228</v>
      </c>
      <c r="O277" s="0" t="s">
        <v>228</v>
      </c>
      <c r="P277" s="0" t="s">
        <v>228</v>
      </c>
      <c r="Q277" s="0" t="s">
        <v>228</v>
      </c>
      <c r="R277" s="0" t="s">
        <v>3975</v>
      </c>
      <c r="S277" s="0" t="s">
        <v>228</v>
      </c>
      <c r="T277" s="0" t="s">
        <v>228</v>
      </c>
      <c r="U277" s="0" t="s">
        <v>101</v>
      </c>
      <c r="V277" s="0" t="s">
        <v>228</v>
      </c>
      <c r="W277" s="0" t="s">
        <v>228</v>
      </c>
      <c r="X277" s="0" t="s">
        <v>3557</v>
      </c>
      <c r="Y277" s="0" t="s">
        <v>228</v>
      </c>
      <c r="Z277" s="0" t="s">
        <v>160</v>
      </c>
      <c r="AA277" s="0" t="s">
        <v>151</v>
      </c>
      <c r="AB277" s="0" t="s">
        <v>151</v>
      </c>
      <c r="AC277" s="0" t="s">
        <v>2317</v>
      </c>
      <c r="AD277" s="0" t="s">
        <v>2317</v>
      </c>
      <c r="AE277" s="0" t="s">
        <v>2318</v>
      </c>
      <c r="AF277" s="0" t="s">
        <v>3849</v>
      </c>
      <c r="AG277" s="0" t="s">
        <v>3850</v>
      </c>
      <c r="AH277" s="0" t="s">
        <v>3828</v>
      </c>
      <c r="AI277" s="0" t="s">
        <v>4657</v>
      </c>
      <c r="AJ277" s="0" t="s">
        <v>3579</v>
      </c>
      <c r="AK277" s="0" t="s">
        <v>3808</v>
      </c>
      <c r="AL277" s="0" t="s">
        <v>3581</v>
      </c>
      <c r="AM277" s="0" t="s">
        <v>3565</v>
      </c>
      <c r="AN277" s="0" t="s">
        <v>3628</v>
      </c>
      <c r="AO277" s="0" t="s">
        <v>3689</v>
      </c>
      <c r="AP277" s="0" t="s">
        <v>228</v>
      </c>
      <c r="AQ277" s="0" t="s">
        <v>228</v>
      </c>
      <c r="AR277" s="0" t="s">
        <v>228</v>
      </c>
      <c r="AS277" s="0" t="s">
        <v>228</v>
      </c>
      <c r="AT277" s="0" t="s">
        <v>228</v>
      </c>
      <c r="AU277" s="0" t="s">
        <v>228</v>
      </c>
      <c r="AV277" s="0" t="s">
        <v>228</v>
      </c>
      <c r="AW277" s="0" t="s">
        <v>228</v>
      </c>
      <c r="AX277" s="0" t="s">
        <v>228</v>
      </c>
      <c r="AY277" s="0" t="s">
        <v>228</v>
      </c>
      <c r="AZ277" s="0" t="s">
        <v>228</v>
      </c>
      <c r="BA277" s="0" t="s">
        <v>228</v>
      </c>
      <c r="BB277" s="0" t="s">
        <v>228</v>
      </c>
      <c r="BC277" s="0" t="s">
        <v>228</v>
      </c>
      <c r="BD277" s="0" t="s">
        <v>228</v>
      </c>
      <c r="BE277" s="0" t="s">
        <v>228</v>
      </c>
      <c r="BF277" s="0" t="s">
        <v>228</v>
      </c>
      <c r="BG277" s="0" t="s">
        <v>228</v>
      </c>
      <c r="BH277" s="0" t="s">
        <v>228</v>
      </c>
      <c r="BI277" s="0" t="s">
        <v>228</v>
      </c>
      <c r="BJ277" s="0" t="s">
        <v>228</v>
      </c>
      <c r="BK277" s="0" t="s">
        <v>228</v>
      </c>
      <c r="BL277" s="0" t="s">
        <v>228</v>
      </c>
      <c r="BM277" s="0" t="s">
        <v>228</v>
      </c>
      <c r="BN277" s="0" t="s">
        <v>228</v>
      </c>
      <c r="BO277" s="0" t="s">
        <v>228</v>
      </c>
      <c r="BP277" s="0" t="s">
        <v>228</v>
      </c>
      <c r="BQ277" s="0" t="s">
        <v>228</v>
      </c>
      <c r="BR277" s="0" t="s">
        <v>228</v>
      </c>
      <c r="BS277" s="0" t="s">
        <v>228</v>
      </c>
      <c r="BT277" s="0" t="s">
        <v>228</v>
      </c>
      <c r="BU277" s="0" t="s">
        <v>228</v>
      </c>
      <c r="BV277" s="0" t="s">
        <v>228</v>
      </c>
      <c r="BW277" s="0" t="s">
        <v>228</v>
      </c>
      <c r="BX277" s="0" t="s">
        <v>228</v>
      </c>
      <c r="BY277" s="0" t="s">
        <v>228</v>
      </c>
      <c r="BZ277" s="0" t="s">
        <v>228</v>
      </c>
      <c r="CA277" s="0" t="s">
        <v>228</v>
      </c>
      <c r="CB277" s="0" t="s">
        <v>228</v>
      </c>
      <c r="CC277" s="0" t="s">
        <v>228</v>
      </c>
      <c r="CD277" s="0" t="s">
        <v>228</v>
      </c>
      <c r="CE277" s="0" t="s">
        <v>228</v>
      </c>
      <c r="CF277" s="0" t="s">
        <v>228</v>
      </c>
      <c r="CG277" s="0" t="s">
        <v>228</v>
      </c>
      <c r="CH277" s="0" t="s">
        <v>228</v>
      </c>
      <c r="CI277" s="0" t="s">
        <v>228</v>
      </c>
      <c r="CJ277" s="0" t="s">
        <v>228</v>
      </c>
      <c r="CK277" s="0" t="s">
        <v>228</v>
      </c>
      <c r="CL277" s="0" t="s">
        <v>228</v>
      </c>
      <c r="CM277" s="0" t="s">
        <v>228</v>
      </c>
      <c r="CN277" s="0" t="s">
        <v>228</v>
      </c>
      <c r="CO277" s="0" t="s">
        <v>228</v>
      </c>
      <c r="CP277" s="0" t="s">
        <v>228</v>
      </c>
      <c r="CQ277" s="0" t="s">
        <v>228</v>
      </c>
      <c r="CR277" s="0" t="s">
        <v>228</v>
      </c>
      <c r="CS277" s="0" t="s">
        <v>228</v>
      </c>
      <c r="CT277" s="0" t="s">
        <v>3568</v>
      </c>
      <c r="CU277" s="0" t="s">
        <v>3569</v>
      </c>
      <c r="CV277" s="0" t="s">
        <v>418</v>
      </c>
      <c r="CW277" s="0" t="s">
        <v>3622</v>
      </c>
      <c r="CX277" s="0" t="s">
        <v>419</v>
      </c>
      <c r="CY277" s="0" t="s">
        <v>418</v>
      </c>
      <c r="CZ277" s="0" t="s">
        <v>3623</v>
      </c>
      <c r="DA277" s="0" t="s">
        <v>3624</v>
      </c>
      <c r="DB277" s="0" t="s">
        <v>3622</v>
      </c>
      <c r="DC277" s="0" t="s">
        <v>362</v>
      </c>
      <c r="DD277" s="0" t="s">
        <v>3572</v>
      </c>
      <c r="DE277" s="0" t="s">
        <v>4841</v>
      </c>
    </row>
    <row customHeight="1" ht="11.25">
      <c r="A278" s="1353" t="s">
        <v>228</v>
      </c>
      <c r="B278" s="0" t="s">
        <v>228</v>
      </c>
      <c r="C278" s="0" t="s">
        <v>228</v>
      </c>
      <c r="D278" s="0" t="s">
        <v>228</v>
      </c>
      <c r="E278" s="0" t="s">
        <v>228</v>
      </c>
      <c r="F278" s="0" t="s">
        <v>228</v>
      </c>
      <c r="G278" s="0" t="s">
        <v>228</v>
      </c>
      <c r="H278" s="0" t="s">
        <v>228</v>
      </c>
      <c r="I278" s="0" t="s">
        <v>3555</v>
      </c>
      <c r="J278" s="0" t="s">
        <v>228</v>
      </c>
      <c r="K278" s="0" t="s">
        <v>228</v>
      </c>
      <c r="L278" s="0" t="s">
        <v>228</v>
      </c>
      <c r="M278" s="0" t="s">
        <v>228</v>
      </c>
      <c r="N278" s="0" t="s">
        <v>228</v>
      </c>
      <c r="O278" s="0" t="s">
        <v>228</v>
      </c>
      <c r="P278" s="0" t="s">
        <v>228</v>
      </c>
      <c r="Q278" s="0" t="s">
        <v>228</v>
      </c>
      <c r="R278" s="0" t="s">
        <v>4842</v>
      </c>
      <c r="S278" s="0" t="s">
        <v>228</v>
      </c>
      <c r="T278" s="0" t="s">
        <v>228</v>
      </c>
      <c r="U278" s="0" t="s">
        <v>101</v>
      </c>
      <c r="V278" s="0" t="s">
        <v>228</v>
      </c>
      <c r="W278" s="0" t="s">
        <v>228</v>
      </c>
      <c r="X278" s="0" t="s">
        <v>3557</v>
      </c>
      <c r="Y278" s="0" t="s">
        <v>228</v>
      </c>
      <c r="Z278" s="0" t="s">
        <v>160</v>
      </c>
      <c r="AA278" s="0" t="s">
        <v>151</v>
      </c>
      <c r="AB278" s="0" t="s">
        <v>151</v>
      </c>
      <c r="AC278" s="0" t="s">
        <v>2317</v>
      </c>
      <c r="AD278" s="0" t="s">
        <v>2317</v>
      </c>
      <c r="AE278" s="0" t="s">
        <v>2318</v>
      </c>
      <c r="AF278" s="0" t="s">
        <v>3849</v>
      </c>
      <c r="AG278" s="0" t="s">
        <v>3850</v>
      </c>
      <c r="AH278" s="0" t="s">
        <v>3851</v>
      </c>
      <c r="AI278" s="0" t="s">
        <v>4843</v>
      </c>
      <c r="AJ278" s="0" t="s">
        <v>3579</v>
      </c>
      <c r="AK278" s="0" t="s">
        <v>3808</v>
      </c>
      <c r="AL278" s="0" t="s">
        <v>3581</v>
      </c>
      <c r="AM278" s="0" t="s">
        <v>3565</v>
      </c>
      <c r="AN278" s="0" t="s">
        <v>3620</v>
      </c>
      <c r="AO278" s="0" t="s">
        <v>4844</v>
      </c>
      <c r="AP278" s="0" t="s">
        <v>228</v>
      </c>
      <c r="AQ278" s="0" t="s">
        <v>228</v>
      </c>
      <c r="AR278" s="0" t="s">
        <v>228</v>
      </c>
      <c r="AS278" s="0" t="s">
        <v>228</v>
      </c>
      <c r="AT278" s="0" t="s">
        <v>228</v>
      </c>
      <c r="AU278" s="0" t="s">
        <v>228</v>
      </c>
      <c r="AV278" s="0" t="s">
        <v>228</v>
      </c>
      <c r="AW278" s="0" t="s">
        <v>228</v>
      </c>
      <c r="AX278" s="0" t="s">
        <v>228</v>
      </c>
      <c r="AY278" s="0" t="s">
        <v>228</v>
      </c>
      <c r="AZ278" s="0" t="s">
        <v>228</v>
      </c>
      <c r="BA278" s="0" t="s">
        <v>228</v>
      </c>
      <c r="BB278" s="0" t="s">
        <v>228</v>
      </c>
      <c r="BC278" s="0" t="s">
        <v>228</v>
      </c>
      <c r="BD278" s="0" t="s">
        <v>228</v>
      </c>
      <c r="BE278" s="0" t="s">
        <v>228</v>
      </c>
      <c r="BF278" s="0" t="s">
        <v>228</v>
      </c>
      <c r="BG278" s="0" t="s">
        <v>228</v>
      </c>
      <c r="BH278" s="0" t="s">
        <v>228</v>
      </c>
      <c r="BI278" s="0" t="s">
        <v>228</v>
      </c>
      <c r="BJ278" s="0" t="s">
        <v>228</v>
      </c>
      <c r="BK278" s="0" t="s">
        <v>228</v>
      </c>
      <c r="BL278" s="0" t="s">
        <v>228</v>
      </c>
      <c r="BM278" s="0" t="s">
        <v>228</v>
      </c>
      <c r="BN278" s="0" t="s">
        <v>228</v>
      </c>
      <c r="BO278" s="0" t="s">
        <v>228</v>
      </c>
      <c r="BP278" s="0" t="s">
        <v>228</v>
      </c>
      <c r="BQ278" s="0" t="s">
        <v>228</v>
      </c>
      <c r="BR278" s="0" t="s">
        <v>228</v>
      </c>
      <c r="BS278" s="0" t="s">
        <v>228</v>
      </c>
      <c r="BT278" s="0" t="s">
        <v>228</v>
      </c>
      <c r="BU278" s="0" t="s">
        <v>228</v>
      </c>
      <c r="BV278" s="0" t="s">
        <v>228</v>
      </c>
      <c r="BW278" s="0" t="s">
        <v>228</v>
      </c>
      <c r="BX278" s="0" t="s">
        <v>228</v>
      </c>
      <c r="BY278" s="0" t="s">
        <v>228</v>
      </c>
      <c r="BZ278" s="0" t="s">
        <v>228</v>
      </c>
      <c r="CA278" s="0" t="s">
        <v>228</v>
      </c>
      <c r="CB278" s="0" t="s">
        <v>228</v>
      </c>
      <c r="CC278" s="0" t="s">
        <v>228</v>
      </c>
      <c r="CD278" s="0" t="s">
        <v>228</v>
      </c>
      <c r="CE278" s="0" t="s">
        <v>228</v>
      </c>
      <c r="CF278" s="0" t="s">
        <v>228</v>
      </c>
      <c r="CG278" s="0" t="s">
        <v>228</v>
      </c>
      <c r="CH278" s="0" t="s">
        <v>228</v>
      </c>
      <c r="CI278" s="0" t="s">
        <v>228</v>
      </c>
      <c r="CJ278" s="0" t="s">
        <v>228</v>
      </c>
      <c r="CK278" s="0" t="s">
        <v>228</v>
      </c>
      <c r="CL278" s="0" t="s">
        <v>228</v>
      </c>
      <c r="CM278" s="0" t="s">
        <v>228</v>
      </c>
      <c r="CN278" s="0" t="s">
        <v>228</v>
      </c>
      <c r="CO278" s="0" t="s">
        <v>228</v>
      </c>
      <c r="CP278" s="0" t="s">
        <v>228</v>
      </c>
      <c r="CQ278" s="0" t="s">
        <v>228</v>
      </c>
      <c r="CR278" s="0" t="s">
        <v>228</v>
      </c>
      <c r="CS278" s="0" t="s">
        <v>228</v>
      </c>
      <c r="CT278" s="0" t="s">
        <v>3568</v>
      </c>
      <c r="CU278" s="0" t="s">
        <v>3569</v>
      </c>
      <c r="CV278" s="0" t="s">
        <v>418</v>
      </c>
      <c r="CW278" s="0" t="s">
        <v>3622</v>
      </c>
      <c r="CX278" s="0" t="s">
        <v>419</v>
      </c>
      <c r="CY278" s="0" t="s">
        <v>418</v>
      </c>
      <c r="CZ278" s="0" t="s">
        <v>3623</v>
      </c>
      <c r="DA278" s="0" t="s">
        <v>3624</v>
      </c>
      <c r="DB278" s="0" t="s">
        <v>3622</v>
      </c>
      <c r="DC278" s="0" t="s">
        <v>362</v>
      </c>
      <c r="DD278" s="0" t="s">
        <v>3572</v>
      </c>
      <c r="DE278" s="0" t="s">
        <v>4845</v>
      </c>
    </row>
    <row customHeight="1" ht="11.25">
      <c r="A279" s="1353" t="s">
        <v>228</v>
      </c>
      <c r="B279" s="0" t="s">
        <v>228</v>
      </c>
      <c r="C279" s="0" t="s">
        <v>228</v>
      </c>
      <c r="D279" s="0" t="s">
        <v>228</v>
      </c>
      <c r="E279" s="0" t="s">
        <v>228</v>
      </c>
      <c r="F279" s="0" t="s">
        <v>228</v>
      </c>
      <c r="G279" s="0" t="s">
        <v>228</v>
      </c>
      <c r="H279" s="0" t="s">
        <v>228</v>
      </c>
      <c r="I279" s="0" t="s">
        <v>3555</v>
      </c>
      <c r="J279" s="0" t="s">
        <v>228</v>
      </c>
      <c r="K279" s="0" t="s">
        <v>228</v>
      </c>
      <c r="L279" s="0" t="s">
        <v>228</v>
      </c>
      <c r="M279" s="0" t="s">
        <v>228</v>
      </c>
      <c r="N279" s="0" t="s">
        <v>228</v>
      </c>
      <c r="O279" s="0" t="s">
        <v>228</v>
      </c>
      <c r="P279" s="0" t="s">
        <v>228</v>
      </c>
      <c r="Q279" s="0" t="s">
        <v>228</v>
      </c>
      <c r="R279" s="0" t="s">
        <v>4846</v>
      </c>
      <c r="S279" s="0" t="s">
        <v>228</v>
      </c>
      <c r="T279" s="0" t="s">
        <v>228</v>
      </c>
      <c r="U279" s="0" t="s">
        <v>101</v>
      </c>
      <c r="V279" s="0" t="s">
        <v>228</v>
      </c>
      <c r="W279" s="0" t="s">
        <v>228</v>
      </c>
      <c r="X279" s="0" t="s">
        <v>3557</v>
      </c>
      <c r="Y279" s="0" t="s">
        <v>228</v>
      </c>
      <c r="Z279" s="0" t="s">
        <v>160</v>
      </c>
      <c r="AA279" s="0" t="s">
        <v>151</v>
      </c>
      <c r="AB279" s="0" t="s">
        <v>151</v>
      </c>
      <c r="AC279" s="0" t="s">
        <v>2290</v>
      </c>
      <c r="AD279" s="0" t="s">
        <v>2290</v>
      </c>
      <c r="AE279" s="0" t="s">
        <v>2292</v>
      </c>
      <c r="AF279" s="0" t="s">
        <v>4847</v>
      </c>
      <c r="AG279" s="0" t="s">
        <v>4848</v>
      </c>
      <c r="AH279" s="0" t="s">
        <v>4849</v>
      </c>
      <c r="AI279" s="0" t="s">
        <v>4850</v>
      </c>
      <c r="AJ279" s="0" t="s">
        <v>3644</v>
      </c>
      <c r="AK279" s="0" t="s">
        <v>4613</v>
      </c>
      <c r="AL279" s="0" t="s">
        <v>3646</v>
      </c>
      <c r="AM279" s="0" t="s">
        <v>3565</v>
      </c>
      <c r="AN279" s="0" t="s">
        <v>4188</v>
      </c>
      <c r="AO279" s="0" t="s">
        <v>3854</v>
      </c>
      <c r="AP279" s="0" t="s">
        <v>228</v>
      </c>
      <c r="AQ279" s="0" t="s">
        <v>228</v>
      </c>
      <c r="AR279" s="0" t="s">
        <v>228</v>
      </c>
      <c r="AS279" s="0" t="s">
        <v>228</v>
      </c>
      <c r="AT279" s="0" t="s">
        <v>228</v>
      </c>
      <c r="AU279" s="0" t="s">
        <v>228</v>
      </c>
      <c r="AV279" s="0" t="s">
        <v>228</v>
      </c>
      <c r="AW279" s="0" t="s">
        <v>228</v>
      </c>
      <c r="AX279" s="0" t="s">
        <v>228</v>
      </c>
      <c r="AY279" s="0" t="s">
        <v>228</v>
      </c>
      <c r="AZ279" s="0" t="s">
        <v>228</v>
      </c>
      <c r="BA279" s="0" t="s">
        <v>228</v>
      </c>
      <c r="BB279" s="0" t="s">
        <v>228</v>
      </c>
      <c r="BC279" s="0" t="s">
        <v>228</v>
      </c>
      <c r="BD279" s="0" t="s">
        <v>228</v>
      </c>
      <c r="BE279" s="0" t="s">
        <v>228</v>
      </c>
      <c r="BF279" s="0" t="s">
        <v>228</v>
      </c>
      <c r="BG279" s="0" t="s">
        <v>228</v>
      </c>
      <c r="BH279" s="0" t="s">
        <v>228</v>
      </c>
      <c r="BI279" s="0" t="s">
        <v>228</v>
      </c>
      <c r="BJ279" s="0" t="s">
        <v>228</v>
      </c>
      <c r="BK279" s="0" t="s">
        <v>228</v>
      </c>
      <c r="BL279" s="0" t="s">
        <v>228</v>
      </c>
      <c r="BM279" s="0" t="s">
        <v>228</v>
      </c>
      <c r="BN279" s="0" t="s">
        <v>228</v>
      </c>
      <c r="BO279" s="0" t="s">
        <v>228</v>
      </c>
      <c r="BP279" s="0" t="s">
        <v>228</v>
      </c>
      <c r="BQ279" s="0" t="s">
        <v>228</v>
      </c>
      <c r="BR279" s="0" t="s">
        <v>228</v>
      </c>
      <c r="BS279" s="0" t="s">
        <v>228</v>
      </c>
      <c r="BT279" s="0" t="s">
        <v>228</v>
      </c>
      <c r="BU279" s="0" t="s">
        <v>228</v>
      </c>
      <c r="BV279" s="0" t="s">
        <v>228</v>
      </c>
      <c r="BW279" s="0" t="s">
        <v>228</v>
      </c>
      <c r="BX279" s="0" t="s">
        <v>228</v>
      </c>
      <c r="BY279" s="0" t="s">
        <v>228</v>
      </c>
      <c r="BZ279" s="0" t="s">
        <v>228</v>
      </c>
      <c r="CA279" s="0" t="s">
        <v>228</v>
      </c>
      <c r="CB279" s="0" t="s">
        <v>228</v>
      </c>
      <c r="CC279" s="0" t="s">
        <v>228</v>
      </c>
      <c r="CD279" s="0" t="s">
        <v>228</v>
      </c>
      <c r="CE279" s="0" t="s">
        <v>228</v>
      </c>
      <c r="CF279" s="0" t="s">
        <v>228</v>
      </c>
      <c r="CG279" s="0" t="s">
        <v>228</v>
      </c>
      <c r="CH279" s="0" t="s">
        <v>228</v>
      </c>
      <c r="CI279" s="0" t="s">
        <v>228</v>
      </c>
      <c r="CJ279" s="0" t="s">
        <v>228</v>
      </c>
      <c r="CK279" s="0" t="s">
        <v>228</v>
      </c>
      <c r="CL279" s="0" t="s">
        <v>228</v>
      </c>
      <c r="CM279" s="0" t="s">
        <v>228</v>
      </c>
      <c r="CN279" s="0" t="s">
        <v>228</v>
      </c>
      <c r="CO279" s="0" t="s">
        <v>228</v>
      </c>
      <c r="CP279" s="0" t="s">
        <v>228</v>
      </c>
      <c r="CQ279" s="0" t="s">
        <v>228</v>
      </c>
      <c r="CR279" s="0" t="s">
        <v>228</v>
      </c>
      <c r="CS279" s="0" t="s">
        <v>228</v>
      </c>
      <c r="CT279" s="0" t="s">
        <v>3568</v>
      </c>
      <c r="CU279" s="0" t="s">
        <v>3569</v>
      </c>
      <c r="CV279" s="0" t="s">
        <v>418</v>
      </c>
      <c r="CW279" s="0" t="s">
        <v>3570</v>
      </c>
      <c r="CX279" s="0" t="s">
        <v>419</v>
      </c>
      <c r="CY279" s="0" t="s">
        <v>418</v>
      </c>
      <c r="CZ279" s="0" t="s">
        <v>3571</v>
      </c>
      <c r="DA279" s="0" t="s">
        <v>420</v>
      </c>
      <c r="DB279" s="0" t="s">
        <v>3570</v>
      </c>
      <c r="DC279" s="0" t="s">
        <v>362</v>
      </c>
      <c r="DD279" s="0" t="s">
        <v>3572</v>
      </c>
      <c r="DE279" s="0" t="s">
        <v>4851</v>
      </c>
    </row>
    <row customHeight="1" ht="11.25">
      <c r="A280" s="1353" t="s">
        <v>228</v>
      </c>
      <c r="B280" s="0" t="s">
        <v>228</v>
      </c>
      <c r="C280" s="0" t="s">
        <v>228</v>
      </c>
      <c r="D280" s="0" t="s">
        <v>228</v>
      </c>
      <c r="E280" s="0" t="s">
        <v>228</v>
      </c>
      <c r="F280" s="0" t="s">
        <v>228</v>
      </c>
      <c r="G280" s="0" t="s">
        <v>228</v>
      </c>
      <c r="H280" s="0" t="s">
        <v>228</v>
      </c>
      <c r="I280" s="0" t="s">
        <v>3555</v>
      </c>
      <c r="J280" s="0" t="s">
        <v>228</v>
      </c>
      <c r="K280" s="0" t="s">
        <v>228</v>
      </c>
      <c r="L280" s="0" t="s">
        <v>228</v>
      </c>
      <c r="M280" s="0" t="s">
        <v>228</v>
      </c>
      <c r="N280" s="0" t="s">
        <v>228</v>
      </c>
      <c r="O280" s="0" t="s">
        <v>228</v>
      </c>
      <c r="P280" s="0" t="s">
        <v>228</v>
      </c>
      <c r="Q280" s="0" t="s">
        <v>228</v>
      </c>
      <c r="R280" s="0" t="s">
        <v>4852</v>
      </c>
      <c r="S280" s="0" t="s">
        <v>228</v>
      </c>
      <c r="T280" s="0" t="s">
        <v>228</v>
      </c>
      <c r="U280" s="0" t="s">
        <v>101</v>
      </c>
      <c r="V280" s="0" t="s">
        <v>228</v>
      </c>
      <c r="W280" s="0" t="s">
        <v>228</v>
      </c>
      <c r="X280" s="0" t="s">
        <v>3557</v>
      </c>
      <c r="Y280" s="0" t="s">
        <v>228</v>
      </c>
      <c r="Z280" s="0" t="s">
        <v>160</v>
      </c>
      <c r="AA280" s="0" t="s">
        <v>151</v>
      </c>
      <c r="AB280" s="0" t="s">
        <v>151</v>
      </c>
      <c r="AC280" s="0" t="s">
        <v>2290</v>
      </c>
      <c r="AD280" s="0" t="s">
        <v>2290</v>
      </c>
      <c r="AE280" s="0" t="s">
        <v>2292</v>
      </c>
      <c r="AF280" s="0" t="s">
        <v>4847</v>
      </c>
      <c r="AG280" s="0" t="s">
        <v>4848</v>
      </c>
      <c r="AH280" s="0" t="s">
        <v>4853</v>
      </c>
      <c r="AI280" s="0" t="s">
        <v>4854</v>
      </c>
      <c r="AJ280" s="0" t="s">
        <v>4855</v>
      </c>
      <c r="AK280" s="0" t="s">
        <v>3674</v>
      </c>
      <c r="AL280" s="0" t="s">
        <v>3599</v>
      </c>
      <c r="AM280" s="0" t="s">
        <v>3565</v>
      </c>
      <c r="AN280" s="0" t="s">
        <v>4189</v>
      </c>
      <c r="AO280" s="0" t="s">
        <v>4856</v>
      </c>
      <c r="AP280" s="0" t="s">
        <v>228</v>
      </c>
      <c r="AQ280" s="0" t="s">
        <v>228</v>
      </c>
      <c r="AR280" s="0" t="s">
        <v>228</v>
      </c>
      <c r="AS280" s="0" t="s">
        <v>228</v>
      </c>
      <c r="AT280" s="0" t="s">
        <v>228</v>
      </c>
      <c r="AU280" s="0" t="s">
        <v>228</v>
      </c>
      <c r="AV280" s="0" t="s">
        <v>228</v>
      </c>
      <c r="AW280" s="0" t="s">
        <v>228</v>
      </c>
      <c r="AX280" s="0" t="s">
        <v>228</v>
      </c>
      <c r="AY280" s="0" t="s">
        <v>228</v>
      </c>
      <c r="AZ280" s="0" t="s">
        <v>228</v>
      </c>
      <c r="BA280" s="0" t="s">
        <v>228</v>
      </c>
      <c r="BB280" s="0" t="s">
        <v>228</v>
      </c>
      <c r="BC280" s="0" t="s">
        <v>228</v>
      </c>
      <c r="BD280" s="0" t="s">
        <v>228</v>
      </c>
      <c r="BE280" s="0" t="s">
        <v>228</v>
      </c>
      <c r="BF280" s="0" t="s">
        <v>228</v>
      </c>
      <c r="BG280" s="0" t="s">
        <v>228</v>
      </c>
      <c r="BH280" s="0" t="s">
        <v>228</v>
      </c>
      <c r="BI280" s="0" t="s">
        <v>228</v>
      </c>
      <c r="BJ280" s="0" t="s">
        <v>228</v>
      </c>
      <c r="BK280" s="0" t="s">
        <v>228</v>
      </c>
      <c r="BL280" s="0" t="s">
        <v>228</v>
      </c>
      <c r="BM280" s="0" t="s">
        <v>228</v>
      </c>
      <c r="BN280" s="0" t="s">
        <v>228</v>
      </c>
      <c r="BO280" s="0" t="s">
        <v>228</v>
      </c>
      <c r="BP280" s="0" t="s">
        <v>228</v>
      </c>
      <c r="BQ280" s="0" t="s">
        <v>228</v>
      </c>
      <c r="BR280" s="0" t="s">
        <v>228</v>
      </c>
      <c r="BS280" s="0" t="s">
        <v>228</v>
      </c>
      <c r="BT280" s="0" t="s">
        <v>228</v>
      </c>
      <c r="BU280" s="0" t="s">
        <v>228</v>
      </c>
      <c r="BV280" s="0" t="s">
        <v>228</v>
      </c>
      <c r="BW280" s="0" t="s">
        <v>228</v>
      </c>
      <c r="BX280" s="0" t="s">
        <v>228</v>
      </c>
      <c r="BY280" s="0" t="s">
        <v>228</v>
      </c>
      <c r="BZ280" s="0" t="s">
        <v>228</v>
      </c>
      <c r="CA280" s="0" t="s">
        <v>228</v>
      </c>
      <c r="CB280" s="0" t="s">
        <v>228</v>
      </c>
      <c r="CC280" s="0" t="s">
        <v>228</v>
      </c>
      <c r="CD280" s="0" t="s">
        <v>228</v>
      </c>
      <c r="CE280" s="0" t="s">
        <v>228</v>
      </c>
      <c r="CF280" s="0" t="s">
        <v>228</v>
      </c>
      <c r="CG280" s="0" t="s">
        <v>228</v>
      </c>
      <c r="CH280" s="0" t="s">
        <v>228</v>
      </c>
      <c r="CI280" s="0" t="s">
        <v>228</v>
      </c>
      <c r="CJ280" s="0" t="s">
        <v>228</v>
      </c>
      <c r="CK280" s="0" t="s">
        <v>228</v>
      </c>
      <c r="CL280" s="0" t="s">
        <v>228</v>
      </c>
      <c r="CM280" s="0" t="s">
        <v>228</v>
      </c>
      <c r="CN280" s="0" t="s">
        <v>228</v>
      </c>
      <c r="CO280" s="0" t="s">
        <v>228</v>
      </c>
      <c r="CP280" s="0" t="s">
        <v>228</v>
      </c>
      <c r="CQ280" s="0" t="s">
        <v>228</v>
      </c>
      <c r="CR280" s="0" t="s">
        <v>228</v>
      </c>
      <c r="CS280" s="0" t="s">
        <v>228</v>
      </c>
      <c r="CT280" s="0" t="s">
        <v>3568</v>
      </c>
      <c r="CU280" s="0" t="s">
        <v>3569</v>
      </c>
      <c r="CV280" s="0" t="s">
        <v>418</v>
      </c>
      <c r="CW280" s="0" t="s">
        <v>3570</v>
      </c>
      <c r="CX280" s="0" t="s">
        <v>419</v>
      </c>
      <c r="CY280" s="0" t="s">
        <v>418</v>
      </c>
      <c r="CZ280" s="0" t="s">
        <v>3571</v>
      </c>
      <c r="DA280" s="0" t="s">
        <v>420</v>
      </c>
      <c r="DB280" s="0" t="s">
        <v>3570</v>
      </c>
      <c r="DC280" s="0" t="s">
        <v>362</v>
      </c>
      <c r="DD280" s="0" t="s">
        <v>3572</v>
      </c>
      <c r="DE280" s="0" t="s">
        <v>4857</v>
      </c>
    </row>
    <row customHeight="1" ht="11.25">
      <c r="A281" s="1353" t="s">
        <v>228</v>
      </c>
      <c r="B281" s="0" t="s">
        <v>228</v>
      </c>
      <c r="C281" s="0" t="s">
        <v>228</v>
      </c>
      <c r="D281" s="0" t="s">
        <v>228</v>
      </c>
      <c r="E281" s="0" t="s">
        <v>228</v>
      </c>
      <c r="F281" s="0" t="s">
        <v>228</v>
      </c>
      <c r="G281" s="0" t="s">
        <v>228</v>
      </c>
      <c r="H281" s="0" t="s">
        <v>228</v>
      </c>
      <c r="I281" s="0" t="s">
        <v>3555</v>
      </c>
      <c r="J281" s="0" t="s">
        <v>228</v>
      </c>
      <c r="K281" s="0" t="s">
        <v>228</v>
      </c>
      <c r="L281" s="0" t="s">
        <v>228</v>
      </c>
      <c r="M281" s="0" t="s">
        <v>228</v>
      </c>
      <c r="N281" s="0" t="s">
        <v>228</v>
      </c>
      <c r="O281" s="0" t="s">
        <v>228</v>
      </c>
      <c r="P281" s="0" t="s">
        <v>228</v>
      </c>
      <c r="Q281" s="0" t="s">
        <v>228</v>
      </c>
      <c r="R281" s="0" t="s">
        <v>3718</v>
      </c>
      <c r="S281" s="0" t="s">
        <v>228</v>
      </c>
      <c r="T281" s="0" t="s">
        <v>228</v>
      </c>
      <c r="U281" s="0" t="s">
        <v>101</v>
      </c>
      <c r="V281" s="0" t="s">
        <v>228</v>
      </c>
      <c r="W281" s="0" t="s">
        <v>228</v>
      </c>
      <c r="X281" s="0" t="s">
        <v>3661</v>
      </c>
      <c r="Y281" s="0" t="s">
        <v>228</v>
      </c>
      <c r="Z281" s="0" t="s">
        <v>151</v>
      </c>
      <c r="AA281" s="0" t="s">
        <v>151</v>
      </c>
      <c r="AB281" s="0" t="s">
        <v>160</v>
      </c>
      <c r="AC281" s="0" t="s">
        <v>2311</v>
      </c>
      <c r="AD281" s="0" t="s">
        <v>2311</v>
      </c>
      <c r="AE281" s="0" t="s">
        <v>2312</v>
      </c>
      <c r="AF281" s="0" t="s">
        <v>4709</v>
      </c>
      <c r="AG281" s="0" t="s">
        <v>4710</v>
      </c>
      <c r="AH281" s="0" t="s">
        <v>4412</v>
      </c>
      <c r="AI281" s="0" t="s">
        <v>4858</v>
      </c>
      <c r="AJ281" s="0" t="s">
        <v>228</v>
      </c>
      <c r="AK281" s="0" t="s">
        <v>228</v>
      </c>
      <c r="AL281" s="0" t="s">
        <v>228</v>
      </c>
      <c r="AM281" s="0" t="s">
        <v>228</v>
      </c>
      <c r="AN281" s="0" t="s">
        <v>228</v>
      </c>
      <c r="AO281" s="0" t="s">
        <v>228</v>
      </c>
      <c r="AP281" s="0" t="s">
        <v>228</v>
      </c>
      <c r="AQ281" s="0" t="s">
        <v>228</v>
      </c>
      <c r="AR281" s="0" t="s">
        <v>228</v>
      </c>
      <c r="AS281" s="0" t="s">
        <v>228</v>
      </c>
      <c r="AT281" s="0" t="s">
        <v>228</v>
      </c>
      <c r="AU281" s="0" t="s">
        <v>228</v>
      </c>
      <c r="AV281" s="0" t="s">
        <v>228</v>
      </c>
      <c r="AW281" s="0" t="s">
        <v>228</v>
      </c>
      <c r="AX281" s="0" t="s">
        <v>228</v>
      </c>
      <c r="AY281" s="0" t="s">
        <v>228</v>
      </c>
      <c r="AZ281" s="0" t="s">
        <v>228</v>
      </c>
      <c r="BA281" s="0" t="s">
        <v>228</v>
      </c>
      <c r="BB281" s="0" t="s">
        <v>228</v>
      </c>
      <c r="BC281" s="0" t="s">
        <v>228</v>
      </c>
      <c r="BD281" s="0" t="s">
        <v>228</v>
      </c>
      <c r="BE281" s="0" t="s">
        <v>3722</v>
      </c>
      <c r="BF281" s="0" t="s">
        <v>3722</v>
      </c>
      <c r="BG281" s="0" t="s">
        <v>111</v>
      </c>
      <c r="BH281" s="0" t="s">
        <v>3665</v>
      </c>
      <c r="BI281" s="0" t="s">
        <v>122</v>
      </c>
      <c r="BJ281" s="0" t="s">
        <v>228</v>
      </c>
      <c r="BK281" s="0" t="s">
        <v>3684</v>
      </c>
      <c r="BL281" s="0" t="s">
        <v>2311</v>
      </c>
      <c r="BM281" s="0" t="s">
        <v>2311</v>
      </c>
      <c r="BN281" s="0" t="s">
        <v>3723</v>
      </c>
      <c r="BO281" s="0" t="s">
        <v>4709</v>
      </c>
      <c r="BP281" s="0" t="s">
        <v>4859</v>
      </c>
      <c r="BQ281" s="0" t="s">
        <v>4415</v>
      </c>
      <c r="BR281" s="0" t="s">
        <v>4416</v>
      </c>
      <c r="BS281" s="0" t="s">
        <v>228</v>
      </c>
      <c r="BT281" s="0" t="s">
        <v>3727</v>
      </c>
      <c r="BU281" s="0" t="s">
        <v>4860</v>
      </c>
      <c r="BV281" s="0" t="s">
        <v>4860</v>
      </c>
      <c r="BW281" s="0" t="s">
        <v>3674</v>
      </c>
      <c r="BX281" s="0" t="s">
        <v>3674</v>
      </c>
      <c r="BY281" s="0" t="s">
        <v>3674</v>
      </c>
      <c r="BZ281" s="0" t="s">
        <v>3674</v>
      </c>
      <c r="CA281" s="0" t="s">
        <v>3674</v>
      </c>
      <c r="CB281" s="0" t="s">
        <v>228</v>
      </c>
      <c r="CC281" s="0" t="s">
        <v>228</v>
      </c>
      <c r="CD281" s="0" t="s">
        <v>228</v>
      </c>
      <c r="CE281" s="0" t="s">
        <v>228</v>
      </c>
      <c r="CF281" s="0" t="s">
        <v>228</v>
      </c>
      <c r="CG281" s="0" t="s">
        <v>3674</v>
      </c>
      <c r="CH281" s="0" t="s">
        <v>228</v>
      </c>
      <c r="CI281" s="0" t="s">
        <v>228</v>
      </c>
      <c r="CJ281" s="0" t="s">
        <v>228</v>
      </c>
      <c r="CK281" s="0" t="s">
        <v>228</v>
      </c>
      <c r="CL281" s="0" t="s">
        <v>228</v>
      </c>
      <c r="CM281" s="0" t="s">
        <v>4860</v>
      </c>
      <c r="CN281" s="0" t="s">
        <v>4860</v>
      </c>
      <c r="CO281" s="0" t="s">
        <v>228</v>
      </c>
      <c r="CP281" s="0" t="s">
        <v>228</v>
      </c>
      <c r="CQ281" s="0" t="s">
        <v>228</v>
      </c>
      <c r="CR281" s="0" t="s">
        <v>228</v>
      </c>
      <c r="CS281" s="0" t="s">
        <v>3582</v>
      </c>
      <c r="CT281" s="0" t="s">
        <v>3568</v>
      </c>
      <c r="CU281" s="0" t="s">
        <v>3569</v>
      </c>
      <c r="CV281" s="0" t="s">
        <v>418</v>
      </c>
      <c r="CW281" s="0" t="s">
        <v>3584</v>
      </c>
      <c r="CX281" s="0" t="s">
        <v>419</v>
      </c>
      <c r="CY281" s="0" t="s">
        <v>418</v>
      </c>
      <c r="CZ281" s="0" t="s">
        <v>3585</v>
      </c>
      <c r="DA281" s="0" t="s">
        <v>3586</v>
      </c>
      <c r="DB281" s="0" t="s">
        <v>3584</v>
      </c>
      <c r="DC281" s="0" t="s">
        <v>362</v>
      </c>
      <c r="DD281" s="0" t="s">
        <v>3572</v>
      </c>
      <c r="DE281" s="0" t="s">
        <v>4861</v>
      </c>
    </row>
    <row customHeight="1" ht="11.25">
      <c r="A282" s="1353" t="s">
        <v>228</v>
      </c>
      <c r="B282" s="0" t="s">
        <v>228</v>
      </c>
      <c r="C282" s="0" t="s">
        <v>228</v>
      </c>
      <c r="D282" s="0" t="s">
        <v>228</v>
      </c>
      <c r="E282" s="0" t="s">
        <v>228</v>
      </c>
      <c r="F282" s="0" t="s">
        <v>228</v>
      </c>
      <c r="G282" s="0" t="s">
        <v>228</v>
      </c>
      <c r="H282" s="0" t="s">
        <v>228</v>
      </c>
      <c r="I282" s="0" t="s">
        <v>3555</v>
      </c>
      <c r="J282" s="0" t="s">
        <v>228</v>
      </c>
      <c r="K282" s="0" t="s">
        <v>228</v>
      </c>
      <c r="L282" s="0" t="s">
        <v>228</v>
      </c>
      <c r="M282" s="0" t="s">
        <v>228</v>
      </c>
      <c r="N282" s="0" t="s">
        <v>228</v>
      </c>
      <c r="O282" s="0" t="s">
        <v>228</v>
      </c>
      <c r="P282" s="0" t="s">
        <v>228</v>
      </c>
      <c r="Q282" s="0" t="s">
        <v>228</v>
      </c>
      <c r="R282" s="0" t="s">
        <v>4862</v>
      </c>
      <c r="S282" s="0" t="s">
        <v>228</v>
      </c>
      <c r="T282" s="0" t="s">
        <v>228</v>
      </c>
      <c r="U282" s="0" t="s">
        <v>101</v>
      </c>
      <c r="V282" s="0" t="s">
        <v>228</v>
      </c>
      <c r="W282" s="0" t="s">
        <v>228</v>
      </c>
      <c r="X282" s="0" t="s">
        <v>3557</v>
      </c>
      <c r="Y282" s="0" t="s">
        <v>228</v>
      </c>
      <c r="Z282" s="0" t="s">
        <v>160</v>
      </c>
      <c r="AA282" s="0" t="s">
        <v>151</v>
      </c>
      <c r="AB282" s="0" t="s">
        <v>151</v>
      </c>
      <c r="AC282" s="0" t="s">
        <v>2311</v>
      </c>
      <c r="AD282" s="0" t="s">
        <v>2311</v>
      </c>
      <c r="AE282" s="0" t="s">
        <v>2312</v>
      </c>
      <c r="AF282" s="0" t="s">
        <v>4709</v>
      </c>
      <c r="AG282" s="0" t="s">
        <v>4710</v>
      </c>
      <c r="AH282" s="0" t="s">
        <v>4415</v>
      </c>
      <c r="AI282" s="0" t="s">
        <v>4863</v>
      </c>
      <c r="AJ282" s="0" t="s">
        <v>3579</v>
      </c>
      <c r="AK282" s="0" t="s">
        <v>3580</v>
      </c>
      <c r="AL282" s="0" t="s">
        <v>3581</v>
      </c>
      <c r="AM282" s="0" t="s">
        <v>3565</v>
      </c>
      <c r="AN282" s="0" t="s">
        <v>3582</v>
      </c>
      <c r="AO282" s="0" t="s">
        <v>4864</v>
      </c>
      <c r="AP282" s="0" t="s">
        <v>228</v>
      </c>
      <c r="AQ282" s="0" t="s">
        <v>228</v>
      </c>
      <c r="AR282" s="0" t="s">
        <v>228</v>
      </c>
      <c r="AS282" s="0" t="s">
        <v>228</v>
      </c>
      <c r="AT282" s="0" t="s">
        <v>228</v>
      </c>
      <c r="AU282" s="0" t="s">
        <v>228</v>
      </c>
      <c r="AV282" s="0" t="s">
        <v>228</v>
      </c>
      <c r="AW282" s="0" t="s">
        <v>228</v>
      </c>
      <c r="AX282" s="0" t="s">
        <v>228</v>
      </c>
      <c r="AY282" s="0" t="s">
        <v>228</v>
      </c>
      <c r="AZ282" s="0" t="s">
        <v>228</v>
      </c>
      <c r="BA282" s="0" t="s">
        <v>228</v>
      </c>
      <c r="BB282" s="0" t="s">
        <v>228</v>
      </c>
      <c r="BC282" s="0" t="s">
        <v>228</v>
      </c>
      <c r="BD282" s="0" t="s">
        <v>228</v>
      </c>
      <c r="BE282" s="0" t="s">
        <v>228</v>
      </c>
      <c r="BF282" s="0" t="s">
        <v>228</v>
      </c>
      <c r="BG282" s="0" t="s">
        <v>228</v>
      </c>
      <c r="BH282" s="0" t="s">
        <v>228</v>
      </c>
      <c r="BI282" s="0" t="s">
        <v>228</v>
      </c>
      <c r="BJ282" s="0" t="s">
        <v>228</v>
      </c>
      <c r="BK282" s="0" t="s">
        <v>228</v>
      </c>
      <c r="BL282" s="0" t="s">
        <v>228</v>
      </c>
      <c r="BM282" s="0" t="s">
        <v>228</v>
      </c>
      <c r="BN282" s="0" t="s">
        <v>228</v>
      </c>
      <c r="BO282" s="0" t="s">
        <v>228</v>
      </c>
      <c r="BP282" s="0" t="s">
        <v>228</v>
      </c>
      <c r="BQ282" s="0" t="s">
        <v>228</v>
      </c>
      <c r="BR282" s="0" t="s">
        <v>228</v>
      </c>
      <c r="BS282" s="0" t="s">
        <v>228</v>
      </c>
      <c r="BT282" s="0" t="s">
        <v>228</v>
      </c>
      <c r="BU282" s="0" t="s">
        <v>228</v>
      </c>
      <c r="BV282" s="0" t="s">
        <v>228</v>
      </c>
      <c r="BW282" s="0" t="s">
        <v>228</v>
      </c>
      <c r="BX282" s="0" t="s">
        <v>228</v>
      </c>
      <c r="BY282" s="0" t="s">
        <v>228</v>
      </c>
      <c r="BZ282" s="0" t="s">
        <v>228</v>
      </c>
      <c r="CA282" s="0" t="s">
        <v>228</v>
      </c>
      <c r="CB282" s="0" t="s">
        <v>228</v>
      </c>
      <c r="CC282" s="0" t="s">
        <v>228</v>
      </c>
      <c r="CD282" s="0" t="s">
        <v>228</v>
      </c>
      <c r="CE282" s="0" t="s">
        <v>228</v>
      </c>
      <c r="CF282" s="0" t="s">
        <v>228</v>
      </c>
      <c r="CG282" s="0" t="s">
        <v>228</v>
      </c>
      <c r="CH282" s="0" t="s">
        <v>228</v>
      </c>
      <c r="CI282" s="0" t="s">
        <v>228</v>
      </c>
      <c r="CJ282" s="0" t="s">
        <v>228</v>
      </c>
      <c r="CK282" s="0" t="s">
        <v>228</v>
      </c>
      <c r="CL282" s="0" t="s">
        <v>228</v>
      </c>
      <c r="CM282" s="0" t="s">
        <v>228</v>
      </c>
      <c r="CN282" s="0" t="s">
        <v>228</v>
      </c>
      <c r="CO282" s="0" t="s">
        <v>228</v>
      </c>
      <c r="CP282" s="0" t="s">
        <v>228</v>
      </c>
      <c r="CQ282" s="0" t="s">
        <v>228</v>
      </c>
      <c r="CR282" s="0" t="s">
        <v>228</v>
      </c>
      <c r="CS282" s="0" t="s">
        <v>228</v>
      </c>
      <c r="CT282" s="0" t="s">
        <v>3568</v>
      </c>
      <c r="CU282" s="0" t="s">
        <v>3569</v>
      </c>
      <c r="CV282" s="0" t="s">
        <v>418</v>
      </c>
      <c r="CW282" s="0" t="s">
        <v>3584</v>
      </c>
      <c r="CX282" s="0" t="s">
        <v>419</v>
      </c>
      <c r="CY282" s="0" t="s">
        <v>418</v>
      </c>
      <c r="CZ282" s="0" t="s">
        <v>3585</v>
      </c>
      <c r="DA282" s="0" t="s">
        <v>3586</v>
      </c>
      <c r="DB282" s="0" t="s">
        <v>3584</v>
      </c>
      <c r="DC282" s="0" t="s">
        <v>362</v>
      </c>
      <c r="DD282" s="0" t="s">
        <v>3572</v>
      </c>
      <c r="DE282" s="0" t="s">
        <v>4865</v>
      </c>
    </row>
    <row customHeight="1" ht="11.25">
      <c r="A283" s="1353" t="s">
        <v>228</v>
      </c>
      <c r="B283" s="0" t="s">
        <v>228</v>
      </c>
      <c r="C283" s="0" t="s">
        <v>228</v>
      </c>
      <c r="D283" s="0" t="s">
        <v>228</v>
      </c>
      <c r="E283" s="0" t="s">
        <v>228</v>
      </c>
      <c r="F283" s="0" t="s">
        <v>228</v>
      </c>
      <c r="G283" s="0" t="s">
        <v>228</v>
      </c>
      <c r="H283" s="0" t="s">
        <v>228</v>
      </c>
      <c r="I283" s="0" t="s">
        <v>3555</v>
      </c>
      <c r="J283" s="0" t="s">
        <v>228</v>
      </c>
      <c r="K283" s="0" t="s">
        <v>228</v>
      </c>
      <c r="L283" s="0" t="s">
        <v>228</v>
      </c>
      <c r="M283" s="0" t="s">
        <v>228</v>
      </c>
      <c r="N283" s="0" t="s">
        <v>228</v>
      </c>
      <c r="O283" s="0" t="s">
        <v>228</v>
      </c>
      <c r="P283" s="0" t="s">
        <v>228</v>
      </c>
      <c r="Q283" s="0" t="s">
        <v>228</v>
      </c>
      <c r="R283" s="0" t="s">
        <v>3718</v>
      </c>
      <c r="S283" s="0" t="s">
        <v>228</v>
      </c>
      <c r="T283" s="0" t="s">
        <v>228</v>
      </c>
      <c r="U283" s="0" t="s">
        <v>101</v>
      </c>
      <c r="V283" s="0" t="s">
        <v>228</v>
      </c>
      <c r="W283" s="0" t="s">
        <v>228</v>
      </c>
      <c r="X283" s="0" t="s">
        <v>3661</v>
      </c>
      <c r="Y283" s="0" t="s">
        <v>228</v>
      </c>
      <c r="Z283" s="0" t="s">
        <v>151</v>
      </c>
      <c r="AA283" s="0" t="s">
        <v>151</v>
      </c>
      <c r="AB283" s="0" t="s">
        <v>160</v>
      </c>
      <c r="AC283" s="0" t="s">
        <v>2311</v>
      </c>
      <c r="AD283" s="0" t="s">
        <v>2311</v>
      </c>
      <c r="AE283" s="0" t="s">
        <v>2312</v>
      </c>
      <c r="AF283" s="0" t="s">
        <v>3575</v>
      </c>
      <c r="AG283" s="0" t="s">
        <v>3576</v>
      </c>
      <c r="AH283" s="0" t="s">
        <v>3577</v>
      </c>
      <c r="AI283" s="0" t="s">
        <v>3578</v>
      </c>
      <c r="AJ283" s="0" t="s">
        <v>228</v>
      </c>
      <c r="AK283" s="0" t="s">
        <v>228</v>
      </c>
      <c r="AL283" s="0" t="s">
        <v>228</v>
      </c>
      <c r="AM283" s="0" t="s">
        <v>228</v>
      </c>
      <c r="AN283" s="0" t="s">
        <v>228</v>
      </c>
      <c r="AO283" s="0" t="s">
        <v>228</v>
      </c>
      <c r="AP283" s="0" t="s">
        <v>228</v>
      </c>
      <c r="AQ283" s="0" t="s">
        <v>228</v>
      </c>
      <c r="AR283" s="0" t="s">
        <v>228</v>
      </c>
      <c r="AS283" s="0" t="s">
        <v>228</v>
      </c>
      <c r="AT283" s="0" t="s">
        <v>228</v>
      </c>
      <c r="AU283" s="0" t="s">
        <v>228</v>
      </c>
      <c r="AV283" s="0" t="s">
        <v>228</v>
      </c>
      <c r="AW283" s="0" t="s">
        <v>228</v>
      </c>
      <c r="AX283" s="0" t="s">
        <v>228</v>
      </c>
      <c r="AY283" s="0" t="s">
        <v>228</v>
      </c>
      <c r="AZ283" s="0" t="s">
        <v>228</v>
      </c>
      <c r="BA283" s="0" t="s">
        <v>228</v>
      </c>
      <c r="BB283" s="0" t="s">
        <v>228</v>
      </c>
      <c r="BC283" s="0" t="s">
        <v>228</v>
      </c>
      <c r="BD283" s="0" t="s">
        <v>228</v>
      </c>
      <c r="BE283" s="0" t="s">
        <v>3722</v>
      </c>
      <c r="BF283" s="0" t="s">
        <v>3722</v>
      </c>
      <c r="BG283" s="0" t="s">
        <v>111</v>
      </c>
      <c r="BH283" s="0" t="s">
        <v>3665</v>
      </c>
      <c r="BI283" s="0" t="s">
        <v>122</v>
      </c>
      <c r="BJ283" s="0" t="s">
        <v>228</v>
      </c>
      <c r="BK283" s="0" t="s">
        <v>3684</v>
      </c>
      <c r="BL283" s="0" t="s">
        <v>2311</v>
      </c>
      <c r="BM283" s="0" t="s">
        <v>2311</v>
      </c>
      <c r="BN283" s="0" t="s">
        <v>3723</v>
      </c>
      <c r="BO283" s="0" t="s">
        <v>3575</v>
      </c>
      <c r="BP283" s="0" t="s">
        <v>4866</v>
      </c>
      <c r="BQ283" s="0" t="s">
        <v>3577</v>
      </c>
      <c r="BR283" s="0" t="s">
        <v>4485</v>
      </c>
      <c r="BS283" s="0" t="s">
        <v>228</v>
      </c>
      <c r="BT283" s="0" t="s">
        <v>3727</v>
      </c>
      <c r="BU283" s="0" t="s">
        <v>4867</v>
      </c>
      <c r="BV283" s="0" t="s">
        <v>4867</v>
      </c>
      <c r="BW283" s="0" t="s">
        <v>3674</v>
      </c>
      <c r="BX283" s="0" t="s">
        <v>3674</v>
      </c>
      <c r="BY283" s="0" t="s">
        <v>3674</v>
      </c>
      <c r="BZ283" s="0" t="s">
        <v>3674</v>
      </c>
      <c r="CA283" s="0" t="s">
        <v>3674</v>
      </c>
      <c r="CB283" s="0" t="s">
        <v>228</v>
      </c>
      <c r="CC283" s="0" t="s">
        <v>228</v>
      </c>
      <c r="CD283" s="0" t="s">
        <v>228</v>
      </c>
      <c r="CE283" s="0" t="s">
        <v>228</v>
      </c>
      <c r="CF283" s="0" t="s">
        <v>228</v>
      </c>
      <c r="CG283" s="0" t="s">
        <v>3674</v>
      </c>
      <c r="CH283" s="0" t="s">
        <v>228</v>
      </c>
      <c r="CI283" s="0" t="s">
        <v>228</v>
      </c>
      <c r="CJ283" s="0" t="s">
        <v>228</v>
      </c>
      <c r="CK283" s="0" t="s">
        <v>228</v>
      </c>
      <c r="CL283" s="0" t="s">
        <v>228</v>
      </c>
      <c r="CM283" s="0" t="s">
        <v>4867</v>
      </c>
      <c r="CN283" s="0" t="s">
        <v>4867</v>
      </c>
      <c r="CO283" s="0" t="s">
        <v>228</v>
      </c>
      <c r="CP283" s="0" t="s">
        <v>228</v>
      </c>
      <c r="CQ283" s="0" t="s">
        <v>228</v>
      </c>
      <c r="CR283" s="0" t="s">
        <v>228</v>
      </c>
      <c r="CS283" s="0" t="s">
        <v>3582</v>
      </c>
      <c r="CT283" s="0" t="s">
        <v>3568</v>
      </c>
      <c r="CU283" s="0" t="s">
        <v>3569</v>
      </c>
      <c r="CV283" s="0" t="s">
        <v>418</v>
      </c>
      <c r="CW283" s="0" t="s">
        <v>3584</v>
      </c>
      <c r="CX283" s="0" t="s">
        <v>419</v>
      </c>
      <c r="CY283" s="0" t="s">
        <v>418</v>
      </c>
      <c r="CZ283" s="0" t="s">
        <v>3585</v>
      </c>
      <c r="DA283" s="0" t="s">
        <v>3586</v>
      </c>
      <c r="DB283" s="0" t="s">
        <v>3584</v>
      </c>
      <c r="DC283" s="0" t="s">
        <v>362</v>
      </c>
      <c r="DD283" s="0" t="s">
        <v>3572</v>
      </c>
      <c r="DE283" s="0" t="s">
        <v>3587</v>
      </c>
    </row>
    <row customHeight="1" ht="11.25">
      <c r="A284" s="1353" t="s">
        <v>228</v>
      </c>
      <c r="B284" s="0" t="s">
        <v>228</v>
      </c>
      <c r="C284" s="0" t="s">
        <v>228</v>
      </c>
      <c r="D284" s="0" t="s">
        <v>228</v>
      </c>
      <c r="E284" s="0" t="s">
        <v>228</v>
      </c>
      <c r="F284" s="0" t="s">
        <v>228</v>
      </c>
      <c r="G284" s="0" t="s">
        <v>228</v>
      </c>
      <c r="H284" s="0" t="s">
        <v>228</v>
      </c>
      <c r="I284" s="0" t="s">
        <v>3555</v>
      </c>
      <c r="J284" s="0" t="s">
        <v>228</v>
      </c>
      <c r="K284" s="0" t="s">
        <v>228</v>
      </c>
      <c r="L284" s="0" t="s">
        <v>228</v>
      </c>
      <c r="M284" s="0" t="s">
        <v>228</v>
      </c>
      <c r="N284" s="0" t="s">
        <v>228</v>
      </c>
      <c r="O284" s="0" t="s">
        <v>228</v>
      </c>
      <c r="P284" s="0" t="s">
        <v>228</v>
      </c>
      <c r="Q284" s="0" t="s">
        <v>228</v>
      </c>
      <c r="R284" s="0" t="s">
        <v>3648</v>
      </c>
      <c r="S284" s="0" t="s">
        <v>228</v>
      </c>
      <c r="T284" s="0" t="s">
        <v>228</v>
      </c>
      <c r="U284" s="0" t="s">
        <v>101</v>
      </c>
      <c r="V284" s="0" t="s">
        <v>228</v>
      </c>
      <c r="W284" s="0" t="s">
        <v>228</v>
      </c>
      <c r="X284" s="0" t="s">
        <v>3557</v>
      </c>
      <c r="Y284" s="0" t="s">
        <v>228</v>
      </c>
      <c r="Z284" s="0" t="s">
        <v>160</v>
      </c>
      <c r="AA284" s="0" t="s">
        <v>151</v>
      </c>
      <c r="AB284" s="0" t="s">
        <v>151</v>
      </c>
      <c r="AC284" s="0" t="s">
        <v>2317</v>
      </c>
      <c r="AD284" s="0" t="s">
        <v>2317</v>
      </c>
      <c r="AE284" s="0" t="s">
        <v>2318</v>
      </c>
      <c r="AF284" s="0" t="s">
        <v>3826</v>
      </c>
      <c r="AG284" s="0" t="s">
        <v>3827</v>
      </c>
      <c r="AH284" s="0" t="s">
        <v>4868</v>
      </c>
      <c r="AI284" s="0" t="s">
        <v>4869</v>
      </c>
      <c r="AJ284" s="0" t="s">
        <v>3579</v>
      </c>
      <c r="AK284" s="0" t="s">
        <v>3833</v>
      </c>
      <c r="AL284" s="0" t="s">
        <v>3581</v>
      </c>
      <c r="AM284" s="0" t="s">
        <v>3565</v>
      </c>
      <c r="AN284" s="0" t="s">
        <v>3620</v>
      </c>
      <c r="AO284" s="0" t="s">
        <v>3845</v>
      </c>
      <c r="AP284" s="0" t="s">
        <v>228</v>
      </c>
      <c r="AQ284" s="0" t="s">
        <v>228</v>
      </c>
      <c r="AR284" s="0" t="s">
        <v>228</v>
      </c>
      <c r="AS284" s="0" t="s">
        <v>228</v>
      </c>
      <c r="AT284" s="0" t="s">
        <v>228</v>
      </c>
      <c r="AU284" s="0" t="s">
        <v>228</v>
      </c>
      <c r="AV284" s="0" t="s">
        <v>228</v>
      </c>
      <c r="AW284" s="0" t="s">
        <v>228</v>
      </c>
      <c r="AX284" s="0" t="s">
        <v>228</v>
      </c>
      <c r="AY284" s="0" t="s">
        <v>228</v>
      </c>
      <c r="AZ284" s="0" t="s">
        <v>228</v>
      </c>
      <c r="BA284" s="0" t="s">
        <v>228</v>
      </c>
      <c r="BB284" s="0" t="s">
        <v>228</v>
      </c>
      <c r="BC284" s="0" t="s">
        <v>228</v>
      </c>
      <c r="BD284" s="0" t="s">
        <v>228</v>
      </c>
      <c r="BE284" s="0" t="s">
        <v>228</v>
      </c>
      <c r="BF284" s="0" t="s">
        <v>228</v>
      </c>
      <c r="BG284" s="0" t="s">
        <v>228</v>
      </c>
      <c r="BH284" s="0" t="s">
        <v>228</v>
      </c>
      <c r="BI284" s="0" t="s">
        <v>228</v>
      </c>
      <c r="BJ284" s="0" t="s">
        <v>228</v>
      </c>
      <c r="BK284" s="0" t="s">
        <v>228</v>
      </c>
      <c r="BL284" s="0" t="s">
        <v>228</v>
      </c>
      <c r="BM284" s="0" t="s">
        <v>228</v>
      </c>
      <c r="BN284" s="0" t="s">
        <v>228</v>
      </c>
      <c r="BO284" s="0" t="s">
        <v>228</v>
      </c>
      <c r="BP284" s="0" t="s">
        <v>228</v>
      </c>
      <c r="BQ284" s="0" t="s">
        <v>228</v>
      </c>
      <c r="BR284" s="0" t="s">
        <v>228</v>
      </c>
      <c r="BS284" s="0" t="s">
        <v>228</v>
      </c>
      <c r="BT284" s="0" t="s">
        <v>228</v>
      </c>
      <c r="BU284" s="0" t="s">
        <v>228</v>
      </c>
      <c r="BV284" s="0" t="s">
        <v>228</v>
      </c>
      <c r="BW284" s="0" t="s">
        <v>228</v>
      </c>
      <c r="BX284" s="0" t="s">
        <v>228</v>
      </c>
      <c r="BY284" s="0" t="s">
        <v>228</v>
      </c>
      <c r="BZ284" s="0" t="s">
        <v>228</v>
      </c>
      <c r="CA284" s="0" t="s">
        <v>228</v>
      </c>
      <c r="CB284" s="0" t="s">
        <v>228</v>
      </c>
      <c r="CC284" s="0" t="s">
        <v>228</v>
      </c>
      <c r="CD284" s="0" t="s">
        <v>228</v>
      </c>
      <c r="CE284" s="0" t="s">
        <v>228</v>
      </c>
      <c r="CF284" s="0" t="s">
        <v>228</v>
      </c>
      <c r="CG284" s="0" t="s">
        <v>228</v>
      </c>
      <c r="CH284" s="0" t="s">
        <v>228</v>
      </c>
      <c r="CI284" s="0" t="s">
        <v>228</v>
      </c>
      <c r="CJ284" s="0" t="s">
        <v>228</v>
      </c>
      <c r="CK284" s="0" t="s">
        <v>228</v>
      </c>
      <c r="CL284" s="0" t="s">
        <v>228</v>
      </c>
      <c r="CM284" s="0" t="s">
        <v>228</v>
      </c>
      <c r="CN284" s="0" t="s">
        <v>228</v>
      </c>
      <c r="CO284" s="0" t="s">
        <v>228</v>
      </c>
      <c r="CP284" s="0" t="s">
        <v>228</v>
      </c>
      <c r="CQ284" s="0" t="s">
        <v>228</v>
      </c>
      <c r="CR284" s="0" t="s">
        <v>228</v>
      </c>
      <c r="CS284" s="0" t="s">
        <v>228</v>
      </c>
      <c r="CT284" s="0" t="s">
        <v>3568</v>
      </c>
      <c r="CU284" s="0" t="s">
        <v>3569</v>
      </c>
      <c r="CV284" s="0" t="s">
        <v>418</v>
      </c>
      <c r="CW284" s="0" t="s">
        <v>3622</v>
      </c>
      <c r="CX284" s="0" t="s">
        <v>419</v>
      </c>
      <c r="CY284" s="0" t="s">
        <v>418</v>
      </c>
      <c r="CZ284" s="0" t="s">
        <v>3623</v>
      </c>
      <c r="DA284" s="0" t="s">
        <v>3624</v>
      </c>
      <c r="DB284" s="0" t="s">
        <v>3622</v>
      </c>
      <c r="DC284" s="0" t="s">
        <v>362</v>
      </c>
      <c r="DD284" s="0" t="s">
        <v>3572</v>
      </c>
      <c r="DE284" s="0" t="s">
        <v>4870</v>
      </c>
    </row>
    <row customHeight="1" ht="11.25">
      <c r="A285" s="1353" t="s">
        <v>228</v>
      </c>
      <c r="B285" s="0" t="s">
        <v>228</v>
      </c>
      <c r="C285" s="0" t="s">
        <v>228</v>
      </c>
      <c r="D285" s="0" t="s">
        <v>228</v>
      </c>
      <c r="E285" s="0" t="s">
        <v>228</v>
      </c>
      <c r="F285" s="0" t="s">
        <v>228</v>
      </c>
      <c r="G285" s="0" t="s">
        <v>228</v>
      </c>
      <c r="H285" s="0" t="s">
        <v>228</v>
      </c>
      <c r="I285" s="0" t="s">
        <v>3555</v>
      </c>
      <c r="J285" s="0" t="s">
        <v>228</v>
      </c>
      <c r="K285" s="0" t="s">
        <v>228</v>
      </c>
      <c r="L285" s="0" t="s">
        <v>228</v>
      </c>
      <c r="M285" s="0" t="s">
        <v>228</v>
      </c>
      <c r="N285" s="0" t="s">
        <v>228</v>
      </c>
      <c r="O285" s="0" t="s">
        <v>228</v>
      </c>
      <c r="P285" s="0" t="s">
        <v>228</v>
      </c>
      <c r="Q285" s="0" t="s">
        <v>228</v>
      </c>
      <c r="R285" s="0" t="s">
        <v>3648</v>
      </c>
      <c r="S285" s="0" t="s">
        <v>228</v>
      </c>
      <c r="T285" s="0" t="s">
        <v>228</v>
      </c>
      <c r="U285" s="0" t="s">
        <v>101</v>
      </c>
      <c r="V285" s="0" t="s">
        <v>228</v>
      </c>
      <c r="W285" s="0" t="s">
        <v>228</v>
      </c>
      <c r="X285" s="0" t="s">
        <v>3557</v>
      </c>
      <c r="Y285" s="0" t="s">
        <v>228</v>
      </c>
      <c r="Z285" s="0" t="s">
        <v>160</v>
      </c>
      <c r="AA285" s="0" t="s">
        <v>151</v>
      </c>
      <c r="AB285" s="0" t="s">
        <v>151</v>
      </c>
      <c r="AC285" s="0" t="s">
        <v>2317</v>
      </c>
      <c r="AD285" s="0" t="s">
        <v>2317</v>
      </c>
      <c r="AE285" s="0" t="s">
        <v>2318</v>
      </c>
      <c r="AF285" s="0" t="s">
        <v>3826</v>
      </c>
      <c r="AG285" s="0" t="s">
        <v>3827</v>
      </c>
      <c r="AH285" s="0" t="s">
        <v>4170</v>
      </c>
      <c r="AI285" s="0" t="s">
        <v>4871</v>
      </c>
      <c r="AJ285" s="0" t="s">
        <v>3627</v>
      </c>
      <c r="AK285" s="0" t="s">
        <v>3619</v>
      </c>
      <c r="AL285" s="0" t="s">
        <v>3581</v>
      </c>
      <c r="AM285" s="0" t="s">
        <v>3565</v>
      </c>
      <c r="AN285" s="0" t="s">
        <v>3628</v>
      </c>
      <c r="AO285" s="0" t="s">
        <v>3829</v>
      </c>
      <c r="AP285" s="0" t="s">
        <v>228</v>
      </c>
      <c r="AQ285" s="0" t="s">
        <v>228</v>
      </c>
      <c r="AR285" s="0" t="s">
        <v>228</v>
      </c>
      <c r="AS285" s="0" t="s">
        <v>228</v>
      </c>
      <c r="AT285" s="0" t="s">
        <v>228</v>
      </c>
      <c r="AU285" s="0" t="s">
        <v>228</v>
      </c>
      <c r="AV285" s="0" t="s">
        <v>228</v>
      </c>
      <c r="AW285" s="0" t="s">
        <v>228</v>
      </c>
      <c r="AX285" s="0" t="s">
        <v>228</v>
      </c>
      <c r="AY285" s="0" t="s">
        <v>228</v>
      </c>
      <c r="AZ285" s="0" t="s">
        <v>228</v>
      </c>
      <c r="BA285" s="0" t="s">
        <v>228</v>
      </c>
      <c r="BB285" s="0" t="s">
        <v>228</v>
      </c>
      <c r="BC285" s="0" t="s">
        <v>228</v>
      </c>
      <c r="BD285" s="0" t="s">
        <v>228</v>
      </c>
      <c r="BE285" s="0" t="s">
        <v>228</v>
      </c>
      <c r="BF285" s="0" t="s">
        <v>228</v>
      </c>
      <c r="BG285" s="0" t="s">
        <v>228</v>
      </c>
      <c r="BH285" s="0" t="s">
        <v>228</v>
      </c>
      <c r="BI285" s="0" t="s">
        <v>228</v>
      </c>
      <c r="BJ285" s="0" t="s">
        <v>228</v>
      </c>
      <c r="BK285" s="0" t="s">
        <v>228</v>
      </c>
      <c r="BL285" s="0" t="s">
        <v>228</v>
      </c>
      <c r="BM285" s="0" t="s">
        <v>228</v>
      </c>
      <c r="BN285" s="0" t="s">
        <v>228</v>
      </c>
      <c r="BO285" s="0" t="s">
        <v>228</v>
      </c>
      <c r="BP285" s="0" t="s">
        <v>228</v>
      </c>
      <c r="BQ285" s="0" t="s">
        <v>228</v>
      </c>
      <c r="BR285" s="0" t="s">
        <v>228</v>
      </c>
      <c r="BS285" s="0" t="s">
        <v>228</v>
      </c>
      <c r="BT285" s="0" t="s">
        <v>228</v>
      </c>
      <c r="BU285" s="0" t="s">
        <v>228</v>
      </c>
      <c r="BV285" s="0" t="s">
        <v>228</v>
      </c>
      <c r="BW285" s="0" t="s">
        <v>228</v>
      </c>
      <c r="BX285" s="0" t="s">
        <v>228</v>
      </c>
      <c r="BY285" s="0" t="s">
        <v>228</v>
      </c>
      <c r="BZ285" s="0" t="s">
        <v>228</v>
      </c>
      <c r="CA285" s="0" t="s">
        <v>228</v>
      </c>
      <c r="CB285" s="0" t="s">
        <v>228</v>
      </c>
      <c r="CC285" s="0" t="s">
        <v>228</v>
      </c>
      <c r="CD285" s="0" t="s">
        <v>228</v>
      </c>
      <c r="CE285" s="0" t="s">
        <v>228</v>
      </c>
      <c r="CF285" s="0" t="s">
        <v>228</v>
      </c>
      <c r="CG285" s="0" t="s">
        <v>228</v>
      </c>
      <c r="CH285" s="0" t="s">
        <v>228</v>
      </c>
      <c r="CI285" s="0" t="s">
        <v>228</v>
      </c>
      <c r="CJ285" s="0" t="s">
        <v>228</v>
      </c>
      <c r="CK285" s="0" t="s">
        <v>228</v>
      </c>
      <c r="CL285" s="0" t="s">
        <v>228</v>
      </c>
      <c r="CM285" s="0" t="s">
        <v>228</v>
      </c>
      <c r="CN285" s="0" t="s">
        <v>228</v>
      </c>
      <c r="CO285" s="0" t="s">
        <v>228</v>
      </c>
      <c r="CP285" s="0" t="s">
        <v>228</v>
      </c>
      <c r="CQ285" s="0" t="s">
        <v>228</v>
      </c>
      <c r="CR285" s="0" t="s">
        <v>228</v>
      </c>
      <c r="CS285" s="0" t="s">
        <v>228</v>
      </c>
      <c r="CT285" s="0" t="s">
        <v>3568</v>
      </c>
      <c r="CU285" s="0" t="s">
        <v>3569</v>
      </c>
      <c r="CV285" s="0" t="s">
        <v>418</v>
      </c>
      <c r="CW285" s="0" t="s">
        <v>3622</v>
      </c>
      <c r="CX285" s="0" t="s">
        <v>419</v>
      </c>
      <c r="CY285" s="0" t="s">
        <v>418</v>
      </c>
      <c r="CZ285" s="0" t="s">
        <v>3623</v>
      </c>
      <c r="DA285" s="0" t="s">
        <v>3624</v>
      </c>
      <c r="DB285" s="0" t="s">
        <v>3622</v>
      </c>
      <c r="DC285" s="0" t="s">
        <v>362</v>
      </c>
      <c r="DD285" s="0" t="s">
        <v>3572</v>
      </c>
      <c r="DE285" s="0" t="s">
        <v>4872</v>
      </c>
    </row>
    <row customHeight="1" ht="11.25">
      <c r="A286" s="1353" t="s">
        <v>228</v>
      </c>
      <c r="B286" s="0" t="s">
        <v>228</v>
      </c>
      <c r="C286" s="0" t="s">
        <v>228</v>
      </c>
      <c r="D286" s="0" t="s">
        <v>228</v>
      </c>
      <c r="E286" s="0" t="s">
        <v>228</v>
      </c>
      <c r="F286" s="0" t="s">
        <v>228</v>
      </c>
      <c r="G286" s="0" t="s">
        <v>228</v>
      </c>
      <c r="H286" s="0" t="s">
        <v>228</v>
      </c>
      <c r="I286" s="0" t="s">
        <v>3555</v>
      </c>
      <c r="J286" s="0" t="s">
        <v>228</v>
      </c>
      <c r="K286" s="0" t="s">
        <v>228</v>
      </c>
      <c r="L286" s="0" t="s">
        <v>228</v>
      </c>
      <c r="M286" s="0" t="s">
        <v>228</v>
      </c>
      <c r="N286" s="0" t="s">
        <v>228</v>
      </c>
      <c r="O286" s="0" t="s">
        <v>228</v>
      </c>
      <c r="P286" s="0" t="s">
        <v>228</v>
      </c>
      <c r="Q286" s="0" t="s">
        <v>228</v>
      </c>
      <c r="R286" s="0" t="s">
        <v>4873</v>
      </c>
      <c r="S286" s="0" t="s">
        <v>228</v>
      </c>
      <c r="T286" s="0" t="s">
        <v>228</v>
      </c>
      <c r="U286" s="0" t="s">
        <v>101</v>
      </c>
      <c r="V286" s="0" t="s">
        <v>228</v>
      </c>
      <c r="W286" s="0" t="s">
        <v>228</v>
      </c>
      <c r="X286" s="0" t="s">
        <v>3661</v>
      </c>
      <c r="Y286" s="0" t="s">
        <v>228</v>
      </c>
      <c r="Z286" s="0" t="s">
        <v>151</v>
      </c>
      <c r="AA286" s="0" t="s">
        <v>151</v>
      </c>
      <c r="AB286" s="0" t="s">
        <v>160</v>
      </c>
      <c r="AC286" s="0" t="s">
        <v>2315</v>
      </c>
      <c r="AD286" s="0" t="s">
        <v>2315</v>
      </c>
      <c r="AE286" s="0" t="s">
        <v>2316</v>
      </c>
      <c r="AF286" s="0" t="s">
        <v>4640</v>
      </c>
      <c r="AG286" s="0" t="s">
        <v>4641</v>
      </c>
      <c r="AH286" s="0" t="s">
        <v>3651</v>
      </c>
      <c r="AI286" s="0" t="s">
        <v>3651</v>
      </c>
      <c r="AJ286" s="0" t="s">
        <v>228</v>
      </c>
      <c r="AK286" s="0" t="s">
        <v>228</v>
      </c>
      <c r="AL286" s="0" t="s">
        <v>228</v>
      </c>
      <c r="AM286" s="0" t="s">
        <v>228</v>
      </c>
      <c r="AN286" s="0" t="s">
        <v>228</v>
      </c>
      <c r="AO286" s="0" t="s">
        <v>228</v>
      </c>
      <c r="AP286" s="0" t="s">
        <v>228</v>
      </c>
      <c r="AQ286" s="0" t="s">
        <v>228</v>
      </c>
      <c r="AR286" s="0" t="s">
        <v>228</v>
      </c>
      <c r="AS286" s="0" t="s">
        <v>228</v>
      </c>
      <c r="AT286" s="0" t="s">
        <v>228</v>
      </c>
      <c r="AU286" s="0" t="s">
        <v>228</v>
      </c>
      <c r="AV286" s="0" t="s">
        <v>228</v>
      </c>
      <c r="AW286" s="0" t="s">
        <v>228</v>
      </c>
      <c r="AX286" s="0" t="s">
        <v>228</v>
      </c>
      <c r="AY286" s="0" t="s">
        <v>228</v>
      </c>
      <c r="AZ286" s="0" t="s">
        <v>228</v>
      </c>
      <c r="BA286" s="0" t="s">
        <v>228</v>
      </c>
      <c r="BB286" s="0" t="s">
        <v>228</v>
      </c>
      <c r="BC286" s="0" t="s">
        <v>228</v>
      </c>
      <c r="BD286" s="0" t="s">
        <v>228</v>
      </c>
      <c r="BE286" s="0" t="s">
        <v>3652</v>
      </c>
      <c r="BF286" s="0" t="s">
        <v>4642</v>
      </c>
      <c r="BG286" s="0" t="s">
        <v>111</v>
      </c>
      <c r="BH286" s="0" t="s">
        <v>3665</v>
      </c>
      <c r="BI286" s="0" t="s">
        <v>122</v>
      </c>
      <c r="BJ286" s="0" t="s">
        <v>228</v>
      </c>
      <c r="BK286" s="0" t="s">
        <v>3684</v>
      </c>
      <c r="BL286" s="0" t="s">
        <v>2315</v>
      </c>
      <c r="BM286" s="0" t="s">
        <v>2315</v>
      </c>
      <c r="BN286" s="0" t="s">
        <v>3875</v>
      </c>
      <c r="BO286" s="0" t="s">
        <v>4640</v>
      </c>
      <c r="BP286" s="0" t="s">
        <v>4874</v>
      </c>
      <c r="BQ286" s="0" t="s">
        <v>3651</v>
      </c>
      <c r="BR286" s="0" t="s">
        <v>3651</v>
      </c>
      <c r="BS286" s="0" t="s">
        <v>228</v>
      </c>
      <c r="BT286" s="0" t="s">
        <v>3727</v>
      </c>
      <c r="BU286" s="0" t="s">
        <v>4875</v>
      </c>
      <c r="BV286" s="0" t="s">
        <v>4875</v>
      </c>
      <c r="BW286" s="0" t="s">
        <v>3674</v>
      </c>
      <c r="BX286" s="0" t="s">
        <v>3674</v>
      </c>
      <c r="BY286" s="0" t="s">
        <v>3674</v>
      </c>
      <c r="BZ286" s="0" t="s">
        <v>3674</v>
      </c>
      <c r="CA286" s="0" t="s">
        <v>3674</v>
      </c>
      <c r="CB286" s="0" t="s">
        <v>228</v>
      </c>
      <c r="CC286" s="0" t="s">
        <v>228</v>
      </c>
      <c r="CD286" s="0" t="s">
        <v>228</v>
      </c>
      <c r="CE286" s="0" t="s">
        <v>228</v>
      </c>
      <c r="CF286" s="0" t="s">
        <v>228</v>
      </c>
      <c r="CG286" s="0" t="s">
        <v>3674</v>
      </c>
      <c r="CH286" s="0" t="s">
        <v>228</v>
      </c>
      <c r="CI286" s="0" t="s">
        <v>228</v>
      </c>
      <c r="CJ286" s="0" t="s">
        <v>228</v>
      </c>
      <c r="CK286" s="0" t="s">
        <v>228</v>
      </c>
      <c r="CL286" s="0" t="s">
        <v>228</v>
      </c>
      <c r="CM286" s="0" t="s">
        <v>4875</v>
      </c>
      <c r="CN286" s="0" t="s">
        <v>4875</v>
      </c>
      <c r="CO286" s="0" t="s">
        <v>228</v>
      </c>
      <c r="CP286" s="0" t="s">
        <v>228</v>
      </c>
      <c r="CQ286" s="0" t="s">
        <v>228</v>
      </c>
      <c r="CR286" s="0" t="s">
        <v>228</v>
      </c>
      <c r="CS286" s="0" t="s">
        <v>3628</v>
      </c>
      <c r="CT286" s="0" t="s">
        <v>3568</v>
      </c>
      <c r="CU286" s="0" t="s">
        <v>3569</v>
      </c>
      <c r="CV286" s="0" t="s">
        <v>418</v>
      </c>
      <c r="CW286" s="0" t="s">
        <v>3656</v>
      </c>
      <c r="CX286" s="0" t="s">
        <v>419</v>
      </c>
      <c r="CY286" s="0" t="s">
        <v>418</v>
      </c>
      <c r="CZ286" s="0" t="s">
        <v>3657</v>
      </c>
      <c r="DA286" s="0" t="s">
        <v>3658</v>
      </c>
      <c r="DB286" s="0" t="s">
        <v>3656</v>
      </c>
      <c r="DC286" s="0" t="s">
        <v>362</v>
      </c>
      <c r="DD286" s="0" t="s">
        <v>3572</v>
      </c>
      <c r="DE286" s="0" t="s">
        <v>4643</v>
      </c>
    </row>
    <row customHeight="1" ht="11.25">
      <c r="A287" s="1353" t="s">
        <v>228</v>
      </c>
      <c r="B287" s="0" t="s">
        <v>228</v>
      </c>
      <c r="C287" s="0" t="s">
        <v>228</v>
      </c>
      <c r="D287" s="0" t="s">
        <v>228</v>
      </c>
      <c r="E287" s="0" t="s">
        <v>228</v>
      </c>
      <c r="F287" s="0" t="s">
        <v>228</v>
      </c>
      <c r="G287" s="0" t="s">
        <v>228</v>
      </c>
      <c r="H287" s="0" t="s">
        <v>228</v>
      </c>
      <c r="I287" s="0" t="s">
        <v>3555</v>
      </c>
      <c r="J287" s="0" t="s">
        <v>228</v>
      </c>
      <c r="K287" s="0" t="s">
        <v>228</v>
      </c>
      <c r="L287" s="0" t="s">
        <v>228</v>
      </c>
      <c r="M287" s="0" t="s">
        <v>228</v>
      </c>
      <c r="N287" s="0" t="s">
        <v>228</v>
      </c>
      <c r="O287" s="0" t="s">
        <v>228</v>
      </c>
      <c r="P287" s="0" t="s">
        <v>228</v>
      </c>
      <c r="Q287" s="0" t="s">
        <v>228</v>
      </c>
      <c r="R287" s="0" t="s">
        <v>4876</v>
      </c>
      <c r="S287" s="0" t="s">
        <v>228</v>
      </c>
      <c r="T287" s="0" t="s">
        <v>228</v>
      </c>
      <c r="U287" s="0" t="s">
        <v>101</v>
      </c>
      <c r="V287" s="0" t="s">
        <v>228</v>
      </c>
      <c r="W287" s="0" t="s">
        <v>228</v>
      </c>
      <c r="X287" s="0" t="s">
        <v>3661</v>
      </c>
      <c r="Y287" s="0" t="s">
        <v>228</v>
      </c>
      <c r="Z287" s="0" t="s">
        <v>151</v>
      </c>
      <c r="AA287" s="0" t="s">
        <v>151</v>
      </c>
      <c r="AB287" s="0" t="s">
        <v>160</v>
      </c>
      <c r="AC287" s="0" t="s">
        <v>2315</v>
      </c>
      <c r="AD287" s="0" t="s">
        <v>2315</v>
      </c>
      <c r="AE287" s="0" t="s">
        <v>2316</v>
      </c>
      <c r="AF287" s="0" t="s">
        <v>4821</v>
      </c>
      <c r="AG287" s="0" t="s">
        <v>4822</v>
      </c>
      <c r="AH287" s="0" t="s">
        <v>3651</v>
      </c>
      <c r="AI287" s="0" t="s">
        <v>3651</v>
      </c>
      <c r="AJ287" s="0" t="s">
        <v>228</v>
      </c>
      <c r="AK287" s="0" t="s">
        <v>228</v>
      </c>
      <c r="AL287" s="0" t="s">
        <v>228</v>
      </c>
      <c r="AM287" s="0" t="s">
        <v>228</v>
      </c>
      <c r="AN287" s="0" t="s">
        <v>228</v>
      </c>
      <c r="AO287" s="0" t="s">
        <v>228</v>
      </c>
      <c r="AP287" s="0" t="s">
        <v>228</v>
      </c>
      <c r="AQ287" s="0" t="s">
        <v>228</v>
      </c>
      <c r="AR287" s="0" t="s">
        <v>228</v>
      </c>
      <c r="AS287" s="0" t="s">
        <v>228</v>
      </c>
      <c r="AT287" s="0" t="s">
        <v>228</v>
      </c>
      <c r="AU287" s="0" t="s">
        <v>228</v>
      </c>
      <c r="AV287" s="0" t="s">
        <v>228</v>
      </c>
      <c r="AW287" s="0" t="s">
        <v>228</v>
      </c>
      <c r="AX287" s="0" t="s">
        <v>228</v>
      </c>
      <c r="AY287" s="0" t="s">
        <v>228</v>
      </c>
      <c r="AZ287" s="0" t="s">
        <v>228</v>
      </c>
      <c r="BA287" s="0" t="s">
        <v>228</v>
      </c>
      <c r="BB287" s="0" t="s">
        <v>228</v>
      </c>
      <c r="BC287" s="0" t="s">
        <v>228</v>
      </c>
      <c r="BD287" s="0" t="s">
        <v>228</v>
      </c>
      <c r="BE287" s="0" t="s">
        <v>4601</v>
      </c>
      <c r="BF287" s="0" t="s">
        <v>4500</v>
      </c>
      <c r="BG287" s="0" t="s">
        <v>111</v>
      </c>
      <c r="BH287" s="0" t="s">
        <v>3665</v>
      </c>
      <c r="BI287" s="0" t="s">
        <v>122</v>
      </c>
      <c r="BJ287" s="0" t="s">
        <v>228</v>
      </c>
      <c r="BK287" s="0" t="s">
        <v>3684</v>
      </c>
      <c r="BL287" s="0" t="s">
        <v>2315</v>
      </c>
      <c r="BM287" s="0" t="s">
        <v>2315</v>
      </c>
      <c r="BN287" s="0" t="s">
        <v>3875</v>
      </c>
      <c r="BO287" s="0" t="s">
        <v>4821</v>
      </c>
      <c r="BP287" s="0" t="s">
        <v>4877</v>
      </c>
      <c r="BQ287" s="0" t="s">
        <v>3651</v>
      </c>
      <c r="BR287" s="0" t="s">
        <v>3651</v>
      </c>
      <c r="BS287" s="0" t="s">
        <v>228</v>
      </c>
      <c r="BT287" s="0" t="s">
        <v>3727</v>
      </c>
      <c r="BU287" s="0" t="s">
        <v>4878</v>
      </c>
      <c r="BV287" s="0" t="s">
        <v>4878</v>
      </c>
      <c r="BW287" s="0" t="s">
        <v>3674</v>
      </c>
      <c r="BX287" s="0" t="s">
        <v>3674</v>
      </c>
      <c r="BY287" s="0" t="s">
        <v>3674</v>
      </c>
      <c r="BZ287" s="0" t="s">
        <v>3674</v>
      </c>
      <c r="CA287" s="0" t="s">
        <v>3674</v>
      </c>
      <c r="CB287" s="0" t="s">
        <v>228</v>
      </c>
      <c r="CC287" s="0" t="s">
        <v>228</v>
      </c>
      <c r="CD287" s="0" t="s">
        <v>228</v>
      </c>
      <c r="CE287" s="0" t="s">
        <v>228</v>
      </c>
      <c r="CF287" s="0" t="s">
        <v>228</v>
      </c>
      <c r="CG287" s="0" t="s">
        <v>3674</v>
      </c>
      <c r="CH287" s="0" t="s">
        <v>228</v>
      </c>
      <c r="CI287" s="0" t="s">
        <v>228</v>
      </c>
      <c r="CJ287" s="0" t="s">
        <v>228</v>
      </c>
      <c r="CK287" s="0" t="s">
        <v>228</v>
      </c>
      <c r="CL287" s="0" t="s">
        <v>228</v>
      </c>
      <c r="CM287" s="0" t="s">
        <v>4878</v>
      </c>
      <c r="CN287" s="0" t="s">
        <v>4878</v>
      </c>
      <c r="CO287" s="0" t="s">
        <v>228</v>
      </c>
      <c r="CP287" s="0" t="s">
        <v>228</v>
      </c>
      <c r="CQ287" s="0" t="s">
        <v>228</v>
      </c>
      <c r="CR287" s="0" t="s">
        <v>228</v>
      </c>
      <c r="CS287" s="0" t="s">
        <v>3563</v>
      </c>
      <c r="CT287" s="0" t="s">
        <v>3568</v>
      </c>
      <c r="CU287" s="0" t="s">
        <v>3569</v>
      </c>
      <c r="CV287" s="0" t="s">
        <v>418</v>
      </c>
      <c r="CW287" s="0" t="s">
        <v>3656</v>
      </c>
      <c r="CX287" s="0" t="s">
        <v>419</v>
      </c>
      <c r="CY287" s="0" t="s">
        <v>418</v>
      </c>
      <c r="CZ287" s="0" t="s">
        <v>3657</v>
      </c>
      <c r="DA287" s="0" t="s">
        <v>3658</v>
      </c>
      <c r="DB287" s="0" t="s">
        <v>3656</v>
      </c>
      <c r="DC287" s="0" t="s">
        <v>362</v>
      </c>
      <c r="DD287" s="0" t="s">
        <v>3572</v>
      </c>
      <c r="DE287" s="0" t="s">
        <v>4879</v>
      </c>
    </row>
    <row customHeight="1" ht="11.25">
      <c r="A288" s="1353" t="s">
        <v>228</v>
      </c>
      <c r="B288" s="0" t="s">
        <v>228</v>
      </c>
      <c r="C288" s="0" t="s">
        <v>228</v>
      </c>
      <c r="D288" s="0" t="s">
        <v>228</v>
      </c>
      <c r="E288" s="0" t="s">
        <v>228</v>
      </c>
      <c r="F288" s="0" t="s">
        <v>228</v>
      </c>
      <c r="G288" s="0" t="s">
        <v>228</v>
      </c>
      <c r="H288" s="0" t="s">
        <v>228</v>
      </c>
      <c r="I288" s="0" t="s">
        <v>3555</v>
      </c>
      <c r="J288" s="0" t="s">
        <v>228</v>
      </c>
      <c r="K288" s="0" t="s">
        <v>228</v>
      </c>
      <c r="L288" s="0" t="s">
        <v>228</v>
      </c>
      <c r="M288" s="0" t="s">
        <v>228</v>
      </c>
      <c r="N288" s="0" t="s">
        <v>228</v>
      </c>
      <c r="O288" s="0" t="s">
        <v>228</v>
      </c>
      <c r="P288" s="0" t="s">
        <v>228</v>
      </c>
      <c r="Q288" s="0" t="s">
        <v>228</v>
      </c>
      <c r="R288" s="0" t="s">
        <v>4880</v>
      </c>
      <c r="S288" s="0" t="s">
        <v>228</v>
      </c>
      <c r="T288" s="0" t="s">
        <v>228</v>
      </c>
      <c r="U288" s="0" t="s">
        <v>101</v>
      </c>
      <c r="V288" s="0" t="s">
        <v>228</v>
      </c>
      <c r="W288" s="0" t="s">
        <v>228</v>
      </c>
      <c r="X288" s="0" t="s">
        <v>3557</v>
      </c>
      <c r="Y288" s="0" t="s">
        <v>228</v>
      </c>
      <c r="Z288" s="0" t="s">
        <v>160</v>
      </c>
      <c r="AA288" s="0" t="s">
        <v>151</v>
      </c>
      <c r="AB288" s="0" t="s">
        <v>151</v>
      </c>
      <c r="AC288" s="0" t="s">
        <v>2311</v>
      </c>
      <c r="AD288" s="0" t="s">
        <v>2311</v>
      </c>
      <c r="AE288" s="0" t="s">
        <v>2312</v>
      </c>
      <c r="AF288" s="0" t="s">
        <v>4116</v>
      </c>
      <c r="AG288" s="0" t="s">
        <v>4117</v>
      </c>
      <c r="AH288" s="0" t="s">
        <v>4881</v>
      </c>
      <c r="AI288" s="0" t="s">
        <v>3926</v>
      </c>
      <c r="AJ288" s="0" t="s">
        <v>3652</v>
      </c>
      <c r="AK288" s="0" t="s">
        <v>3652</v>
      </c>
      <c r="AL288" s="0" t="s">
        <v>3581</v>
      </c>
      <c r="AM288" s="0" t="s">
        <v>3565</v>
      </c>
      <c r="AN288" s="0" t="s">
        <v>3628</v>
      </c>
      <c r="AO288" s="0" t="s">
        <v>4184</v>
      </c>
      <c r="AP288" s="0" t="s">
        <v>228</v>
      </c>
      <c r="AQ288" s="0" t="s">
        <v>228</v>
      </c>
      <c r="AR288" s="0" t="s">
        <v>228</v>
      </c>
      <c r="AS288" s="0" t="s">
        <v>228</v>
      </c>
      <c r="AT288" s="0" t="s">
        <v>228</v>
      </c>
      <c r="AU288" s="0" t="s">
        <v>228</v>
      </c>
      <c r="AV288" s="0" t="s">
        <v>228</v>
      </c>
      <c r="AW288" s="0" t="s">
        <v>228</v>
      </c>
      <c r="AX288" s="0" t="s">
        <v>228</v>
      </c>
      <c r="AY288" s="0" t="s">
        <v>228</v>
      </c>
      <c r="AZ288" s="0" t="s">
        <v>228</v>
      </c>
      <c r="BA288" s="0" t="s">
        <v>228</v>
      </c>
      <c r="BB288" s="0" t="s">
        <v>228</v>
      </c>
      <c r="BC288" s="0" t="s">
        <v>228</v>
      </c>
      <c r="BD288" s="0" t="s">
        <v>228</v>
      </c>
      <c r="BE288" s="0" t="s">
        <v>228</v>
      </c>
      <c r="BF288" s="0" t="s">
        <v>228</v>
      </c>
      <c r="BG288" s="0" t="s">
        <v>228</v>
      </c>
      <c r="BH288" s="0" t="s">
        <v>228</v>
      </c>
      <c r="BI288" s="0" t="s">
        <v>228</v>
      </c>
      <c r="BJ288" s="0" t="s">
        <v>228</v>
      </c>
      <c r="BK288" s="0" t="s">
        <v>228</v>
      </c>
      <c r="BL288" s="0" t="s">
        <v>228</v>
      </c>
      <c r="BM288" s="0" t="s">
        <v>228</v>
      </c>
      <c r="BN288" s="0" t="s">
        <v>228</v>
      </c>
      <c r="BO288" s="0" t="s">
        <v>228</v>
      </c>
      <c r="BP288" s="0" t="s">
        <v>228</v>
      </c>
      <c r="BQ288" s="0" t="s">
        <v>228</v>
      </c>
      <c r="BR288" s="0" t="s">
        <v>228</v>
      </c>
      <c r="BS288" s="0" t="s">
        <v>228</v>
      </c>
      <c r="BT288" s="0" t="s">
        <v>228</v>
      </c>
      <c r="BU288" s="0" t="s">
        <v>228</v>
      </c>
      <c r="BV288" s="0" t="s">
        <v>228</v>
      </c>
      <c r="BW288" s="0" t="s">
        <v>228</v>
      </c>
      <c r="BX288" s="0" t="s">
        <v>228</v>
      </c>
      <c r="BY288" s="0" t="s">
        <v>228</v>
      </c>
      <c r="BZ288" s="0" t="s">
        <v>228</v>
      </c>
      <c r="CA288" s="0" t="s">
        <v>228</v>
      </c>
      <c r="CB288" s="0" t="s">
        <v>228</v>
      </c>
      <c r="CC288" s="0" t="s">
        <v>228</v>
      </c>
      <c r="CD288" s="0" t="s">
        <v>228</v>
      </c>
      <c r="CE288" s="0" t="s">
        <v>228</v>
      </c>
      <c r="CF288" s="0" t="s">
        <v>228</v>
      </c>
      <c r="CG288" s="0" t="s">
        <v>228</v>
      </c>
      <c r="CH288" s="0" t="s">
        <v>228</v>
      </c>
      <c r="CI288" s="0" t="s">
        <v>228</v>
      </c>
      <c r="CJ288" s="0" t="s">
        <v>228</v>
      </c>
      <c r="CK288" s="0" t="s">
        <v>228</v>
      </c>
      <c r="CL288" s="0" t="s">
        <v>228</v>
      </c>
      <c r="CM288" s="0" t="s">
        <v>228</v>
      </c>
      <c r="CN288" s="0" t="s">
        <v>228</v>
      </c>
      <c r="CO288" s="0" t="s">
        <v>228</v>
      </c>
      <c r="CP288" s="0" t="s">
        <v>228</v>
      </c>
      <c r="CQ288" s="0" t="s">
        <v>228</v>
      </c>
      <c r="CR288" s="0" t="s">
        <v>228</v>
      </c>
      <c r="CS288" s="0" t="s">
        <v>228</v>
      </c>
      <c r="CT288" s="0" t="s">
        <v>3568</v>
      </c>
      <c r="CU288" s="0" t="s">
        <v>3569</v>
      </c>
      <c r="CV288" s="0" t="s">
        <v>418</v>
      </c>
      <c r="CW288" s="0" t="s">
        <v>3584</v>
      </c>
      <c r="CX288" s="0" t="s">
        <v>419</v>
      </c>
      <c r="CY288" s="0" t="s">
        <v>418</v>
      </c>
      <c r="CZ288" s="0" t="s">
        <v>3585</v>
      </c>
      <c r="DA288" s="0" t="s">
        <v>3586</v>
      </c>
      <c r="DB288" s="0" t="s">
        <v>3584</v>
      </c>
      <c r="DC288" s="0" t="s">
        <v>362</v>
      </c>
      <c r="DD288" s="0" t="s">
        <v>3572</v>
      </c>
      <c r="DE288" s="0" t="s">
        <v>4882</v>
      </c>
    </row>
    <row customHeight="1" ht="11.25">
      <c r="A289" s="1353" t="s">
        <v>228</v>
      </c>
      <c r="B289" s="0" t="s">
        <v>228</v>
      </c>
      <c r="C289" s="0" t="s">
        <v>228</v>
      </c>
      <c r="D289" s="0" t="s">
        <v>228</v>
      </c>
      <c r="E289" s="0" t="s">
        <v>228</v>
      </c>
      <c r="F289" s="0" t="s">
        <v>228</v>
      </c>
      <c r="G289" s="0" t="s">
        <v>228</v>
      </c>
      <c r="H289" s="0" t="s">
        <v>228</v>
      </c>
      <c r="I289" s="0" t="s">
        <v>3555</v>
      </c>
      <c r="J289" s="0" t="s">
        <v>228</v>
      </c>
      <c r="K289" s="0" t="s">
        <v>228</v>
      </c>
      <c r="L289" s="0" t="s">
        <v>228</v>
      </c>
      <c r="M289" s="0" t="s">
        <v>228</v>
      </c>
      <c r="N289" s="0" t="s">
        <v>228</v>
      </c>
      <c r="O289" s="0" t="s">
        <v>228</v>
      </c>
      <c r="P289" s="0" t="s">
        <v>228</v>
      </c>
      <c r="Q289" s="0" t="s">
        <v>228</v>
      </c>
      <c r="R289" s="0" t="s">
        <v>4883</v>
      </c>
      <c r="S289" s="0" t="s">
        <v>228</v>
      </c>
      <c r="T289" s="0" t="s">
        <v>228</v>
      </c>
      <c r="U289" s="0" t="s">
        <v>101</v>
      </c>
      <c r="V289" s="0" t="s">
        <v>228</v>
      </c>
      <c r="W289" s="0" t="s">
        <v>228</v>
      </c>
      <c r="X289" s="0" t="s">
        <v>3661</v>
      </c>
      <c r="Y289" s="0" t="s">
        <v>228</v>
      </c>
      <c r="Z289" s="0" t="s">
        <v>151</v>
      </c>
      <c r="AA289" s="0" t="s">
        <v>151</v>
      </c>
      <c r="AB289" s="0" t="s">
        <v>160</v>
      </c>
      <c r="AC289" s="0" t="s">
        <v>2715</v>
      </c>
      <c r="AD289" s="0" t="s">
        <v>2715</v>
      </c>
      <c r="AE289" s="0" t="s">
        <v>2716</v>
      </c>
      <c r="AF289" s="0" t="s">
        <v>3594</v>
      </c>
      <c r="AG289" s="0" t="s">
        <v>3595</v>
      </c>
      <c r="AH289" s="0" t="s">
        <v>3642</v>
      </c>
      <c r="AI289" s="0" t="s">
        <v>3643</v>
      </c>
      <c r="AJ289" s="0" t="s">
        <v>228</v>
      </c>
      <c r="AK289" s="0" t="s">
        <v>228</v>
      </c>
      <c r="AL289" s="0" t="s">
        <v>228</v>
      </c>
      <c r="AM289" s="0" t="s">
        <v>228</v>
      </c>
      <c r="AN289" s="0" t="s">
        <v>228</v>
      </c>
      <c r="AO289" s="0" t="s">
        <v>228</v>
      </c>
      <c r="AP289" s="0" t="s">
        <v>228</v>
      </c>
      <c r="AQ289" s="0" t="s">
        <v>228</v>
      </c>
      <c r="AR289" s="0" t="s">
        <v>228</v>
      </c>
      <c r="AS289" s="0" t="s">
        <v>228</v>
      </c>
      <c r="AT289" s="0" t="s">
        <v>228</v>
      </c>
      <c r="AU289" s="0" t="s">
        <v>228</v>
      </c>
      <c r="AV289" s="0" t="s">
        <v>228</v>
      </c>
      <c r="AW289" s="0" t="s">
        <v>228</v>
      </c>
      <c r="AX289" s="0" t="s">
        <v>228</v>
      </c>
      <c r="AY289" s="0" t="s">
        <v>228</v>
      </c>
      <c r="AZ289" s="0" t="s">
        <v>228</v>
      </c>
      <c r="BA289" s="0" t="s">
        <v>228</v>
      </c>
      <c r="BB289" s="0" t="s">
        <v>228</v>
      </c>
      <c r="BC289" s="0" t="s">
        <v>228</v>
      </c>
      <c r="BD289" s="0" t="s">
        <v>228</v>
      </c>
      <c r="BE289" s="0" t="s">
        <v>4884</v>
      </c>
      <c r="BF289" s="0" t="s">
        <v>4885</v>
      </c>
      <c r="BG289" s="0" t="s">
        <v>111</v>
      </c>
      <c r="BH289" s="0" t="s">
        <v>3665</v>
      </c>
      <c r="BI289" s="0" t="s">
        <v>122</v>
      </c>
      <c r="BJ289" s="0" t="s">
        <v>228</v>
      </c>
      <c r="BK289" s="0" t="s">
        <v>4886</v>
      </c>
      <c r="BL289" s="0" t="s">
        <v>2715</v>
      </c>
      <c r="BM289" s="0" t="s">
        <v>2715</v>
      </c>
      <c r="BN289" s="0" t="s">
        <v>3667</v>
      </c>
      <c r="BO289" s="0" t="s">
        <v>3594</v>
      </c>
      <c r="BP289" s="0" t="s">
        <v>3668</v>
      </c>
      <c r="BQ289" s="0" t="s">
        <v>4016</v>
      </c>
      <c r="BR289" s="0" t="s">
        <v>3643</v>
      </c>
      <c r="BS289" s="0" t="s">
        <v>228</v>
      </c>
      <c r="BT289" s="0" t="s">
        <v>3670</v>
      </c>
      <c r="BU289" s="0" t="s">
        <v>4887</v>
      </c>
      <c r="BV289" s="0" t="s">
        <v>4888</v>
      </c>
      <c r="BW289" s="0" t="s">
        <v>4889</v>
      </c>
      <c r="BX289" s="0" t="s">
        <v>4890</v>
      </c>
      <c r="BY289" s="0" t="s">
        <v>4891</v>
      </c>
      <c r="BZ289" s="0" t="s">
        <v>4892</v>
      </c>
      <c r="CA289" s="0" t="s">
        <v>4893</v>
      </c>
      <c r="CB289" s="0" t="s">
        <v>3674</v>
      </c>
      <c r="CC289" s="0" t="s">
        <v>3674</v>
      </c>
      <c r="CD289" s="0" t="s">
        <v>3674</v>
      </c>
      <c r="CE289" s="0" t="s">
        <v>3674</v>
      </c>
      <c r="CF289" s="0" t="s">
        <v>4893</v>
      </c>
      <c r="CG289" s="0" t="s">
        <v>4894</v>
      </c>
      <c r="CH289" s="0" t="s">
        <v>4894</v>
      </c>
      <c r="CI289" s="0" t="s">
        <v>3674</v>
      </c>
      <c r="CJ289" s="0" t="s">
        <v>3674</v>
      </c>
      <c r="CK289" s="0" t="s">
        <v>3674</v>
      </c>
      <c r="CL289" s="0" t="s">
        <v>3674</v>
      </c>
      <c r="CM289" s="0" t="s">
        <v>4895</v>
      </c>
      <c r="CN289" s="0" t="s">
        <v>4896</v>
      </c>
      <c r="CO289" s="0" t="s">
        <v>4889</v>
      </c>
      <c r="CP289" s="0" t="s">
        <v>4890</v>
      </c>
      <c r="CQ289" s="0" t="s">
        <v>4891</v>
      </c>
      <c r="CR289" s="0" t="s">
        <v>4897</v>
      </c>
      <c r="CS289" s="0" t="s">
        <v>3675</v>
      </c>
      <c r="CT289" s="0" t="s">
        <v>3568</v>
      </c>
      <c r="CU289" s="0" t="s">
        <v>3569</v>
      </c>
      <c r="CV289" s="0" t="s">
        <v>418</v>
      </c>
      <c r="CW289" s="0" t="s">
        <v>3676</v>
      </c>
      <c r="CX289" s="0" t="s">
        <v>3603</v>
      </c>
      <c r="CY289" s="0" t="s">
        <v>418</v>
      </c>
      <c r="CZ289" s="0" t="s">
        <v>504</v>
      </c>
      <c r="DA289" s="0" t="s">
        <v>3604</v>
      </c>
      <c r="DB289" s="0" t="s">
        <v>3676</v>
      </c>
      <c r="DC289" s="0" t="s">
        <v>362</v>
      </c>
      <c r="DD289" s="0" t="s">
        <v>3572</v>
      </c>
      <c r="DE289" s="0" t="s">
        <v>3647</v>
      </c>
    </row>
    <row customHeight="1" ht="11.25">
      <c r="A290" s="1353" t="s">
        <v>228</v>
      </c>
      <c r="B290" s="0" t="s">
        <v>228</v>
      </c>
      <c r="C290" s="0" t="s">
        <v>228</v>
      </c>
      <c r="D290" s="0" t="s">
        <v>228</v>
      </c>
      <c r="E290" s="0" t="s">
        <v>228</v>
      </c>
      <c r="F290" s="0" t="s">
        <v>228</v>
      </c>
      <c r="G290" s="0" t="s">
        <v>228</v>
      </c>
      <c r="H290" s="0" t="s">
        <v>228</v>
      </c>
      <c r="I290" s="0" t="s">
        <v>3555</v>
      </c>
      <c r="J290" s="0" t="s">
        <v>228</v>
      </c>
      <c r="K290" s="0" t="s">
        <v>228</v>
      </c>
      <c r="L290" s="0" t="s">
        <v>228</v>
      </c>
      <c r="M290" s="0" t="s">
        <v>228</v>
      </c>
      <c r="N290" s="0" t="s">
        <v>228</v>
      </c>
      <c r="O290" s="0" t="s">
        <v>228</v>
      </c>
      <c r="P290" s="0" t="s">
        <v>228</v>
      </c>
      <c r="Q290" s="0" t="s">
        <v>228</v>
      </c>
      <c r="R290" s="0" t="s">
        <v>4898</v>
      </c>
      <c r="S290" s="0" t="s">
        <v>228</v>
      </c>
      <c r="T290" s="0" t="s">
        <v>228</v>
      </c>
      <c r="U290" s="0" t="s">
        <v>101</v>
      </c>
      <c r="V290" s="0" t="s">
        <v>228</v>
      </c>
      <c r="W290" s="0" t="s">
        <v>228</v>
      </c>
      <c r="X290" s="0" t="s">
        <v>3661</v>
      </c>
      <c r="Y290" s="0" t="s">
        <v>228</v>
      </c>
      <c r="Z290" s="0" t="s">
        <v>151</v>
      </c>
      <c r="AA290" s="0" t="s">
        <v>151</v>
      </c>
      <c r="AB290" s="0" t="s">
        <v>160</v>
      </c>
      <c r="AC290" s="0" t="s">
        <v>2715</v>
      </c>
      <c r="AD290" s="0" t="s">
        <v>2715</v>
      </c>
      <c r="AE290" s="0" t="s">
        <v>2716</v>
      </c>
      <c r="AF290" s="0" t="s">
        <v>3594</v>
      </c>
      <c r="AG290" s="0" t="s">
        <v>3595</v>
      </c>
      <c r="AH290" s="0" t="s">
        <v>3669</v>
      </c>
      <c r="AI290" s="0" t="s">
        <v>3608</v>
      </c>
      <c r="AJ290" s="0" t="s">
        <v>228</v>
      </c>
      <c r="AK290" s="0" t="s">
        <v>228</v>
      </c>
      <c r="AL290" s="0" t="s">
        <v>228</v>
      </c>
      <c r="AM290" s="0" t="s">
        <v>228</v>
      </c>
      <c r="AN290" s="0" t="s">
        <v>228</v>
      </c>
      <c r="AO290" s="0" t="s">
        <v>228</v>
      </c>
      <c r="AP290" s="0" t="s">
        <v>228</v>
      </c>
      <c r="AQ290" s="0" t="s">
        <v>228</v>
      </c>
      <c r="AR290" s="0" t="s">
        <v>228</v>
      </c>
      <c r="AS290" s="0" t="s">
        <v>228</v>
      </c>
      <c r="AT290" s="0" t="s">
        <v>228</v>
      </c>
      <c r="AU290" s="0" t="s">
        <v>228</v>
      </c>
      <c r="AV290" s="0" t="s">
        <v>228</v>
      </c>
      <c r="AW290" s="0" t="s">
        <v>228</v>
      </c>
      <c r="AX290" s="0" t="s">
        <v>228</v>
      </c>
      <c r="AY290" s="0" t="s">
        <v>228</v>
      </c>
      <c r="AZ290" s="0" t="s">
        <v>228</v>
      </c>
      <c r="BA290" s="0" t="s">
        <v>228</v>
      </c>
      <c r="BB290" s="0" t="s">
        <v>228</v>
      </c>
      <c r="BC290" s="0" t="s">
        <v>228</v>
      </c>
      <c r="BD290" s="0" t="s">
        <v>228</v>
      </c>
      <c r="BE290" s="0" t="s">
        <v>3679</v>
      </c>
      <c r="BF290" s="0" t="s">
        <v>4899</v>
      </c>
      <c r="BG290" s="0" t="s">
        <v>111</v>
      </c>
      <c r="BH290" s="0" t="s">
        <v>3665</v>
      </c>
      <c r="BI290" s="0" t="s">
        <v>122</v>
      </c>
      <c r="BJ290" s="0" t="s">
        <v>228</v>
      </c>
      <c r="BK290" s="0" t="s">
        <v>4900</v>
      </c>
      <c r="BL290" s="0" t="s">
        <v>2715</v>
      </c>
      <c r="BM290" s="0" t="s">
        <v>2715</v>
      </c>
      <c r="BN290" s="0" t="s">
        <v>3667</v>
      </c>
      <c r="BO290" s="0" t="s">
        <v>3594</v>
      </c>
      <c r="BP290" s="0" t="s">
        <v>3668</v>
      </c>
      <c r="BQ290" s="0" t="s">
        <v>3669</v>
      </c>
      <c r="BR290" s="0" t="s">
        <v>3608</v>
      </c>
      <c r="BS290" s="0" t="s">
        <v>228</v>
      </c>
      <c r="BT290" s="0" t="s">
        <v>3670</v>
      </c>
      <c r="BU290" s="0" t="s">
        <v>4901</v>
      </c>
      <c r="BV290" s="0" t="s">
        <v>4902</v>
      </c>
      <c r="BW290" s="0" t="s">
        <v>4903</v>
      </c>
      <c r="BX290" s="0" t="s">
        <v>4904</v>
      </c>
      <c r="BY290" s="0" t="s">
        <v>3674</v>
      </c>
      <c r="BZ290" s="0" t="s">
        <v>3674</v>
      </c>
      <c r="CA290" s="0" t="s">
        <v>4905</v>
      </c>
      <c r="CB290" s="0" t="s">
        <v>3674</v>
      </c>
      <c r="CC290" s="0" t="s">
        <v>4905</v>
      </c>
      <c r="CD290" s="0" t="s">
        <v>3674</v>
      </c>
      <c r="CE290" s="0" t="s">
        <v>3674</v>
      </c>
      <c r="CF290" s="0" t="s">
        <v>3674</v>
      </c>
      <c r="CG290" s="0" t="s">
        <v>3674</v>
      </c>
      <c r="CH290" s="0" t="s">
        <v>3674</v>
      </c>
      <c r="CI290" s="0" t="s">
        <v>3674</v>
      </c>
      <c r="CJ290" s="0" t="s">
        <v>3674</v>
      </c>
      <c r="CK290" s="0" t="s">
        <v>3674</v>
      </c>
      <c r="CL290" s="0" t="s">
        <v>3674</v>
      </c>
      <c r="CM290" s="0" t="s">
        <v>4906</v>
      </c>
      <c r="CN290" s="0" t="s">
        <v>4902</v>
      </c>
      <c r="CO290" s="0" t="s">
        <v>4907</v>
      </c>
      <c r="CP290" s="0" t="s">
        <v>4904</v>
      </c>
      <c r="CQ290" s="0" t="s">
        <v>3674</v>
      </c>
      <c r="CR290" s="0" t="s">
        <v>3674</v>
      </c>
      <c r="CS290" s="0" t="s">
        <v>3675</v>
      </c>
      <c r="CT290" s="0" t="s">
        <v>3568</v>
      </c>
      <c r="CU290" s="0" t="s">
        <v>3569</v>
      </c>
      <c r="CV290" s="0" t="s">
        <v>418</v>
      </c>
      <c r="CW290" s="0" t="s">
        <v>3676</v>
      </c>
      <c r="CX290" s="0" t="s">
        <v>3603</v>
      </c>
      <c r="CY290" s="0" t="s">
        <v>418</v>
      </c>
      <c r="CZ290" s="0" t="s">
        <v>504</v>
      </c>
      <c r="DA290" s="0" t="s">
        <v>3604</v>
      </c>
      <c r="DB290" s="0" t="s">
        <v>3676</v>
      </c>
      <c r="DC290" s="0" t="s">
        <v>362</v>
      </c>
      <c r="DD290" s="0" t="s">
        <v>3572</v>
      </c>
      <c r="DE290" s="0" t="s">
        <v>3683</v>
      </c>
    </row>
    <row customHeight="1" ht="11.25">
      <c r="A291" s="1353" t="s">
        <v>228</v>
      </c>
      <c r="B291" s="0" t="s">
        <v>228</v>
      </c>
      <c r="C291" s="0" t="s">
        <v>228</v>
      </c>
      <c r="D291" s="0" t="s">
        <v>228</v>
      </c>
      <c r="E291" s="0" t="s">
        <v>228</v>
      </c>
      <c r="F291" s="0" t="s">
        <v>228</v>
      </c>
      <c r="G291" s="0" t="s">
        <v>228</v>
      </c>
      <c r="H291" s="0" t="s">
        <v>228</v>
      </c>
      <c r="I291" s="0" t="s">
        <v>3555</v>
      </c>
      <c r="J291" s="0" t="s">
        <v>228</v>
      </c>
      <c r="K291" s="0" t="s">
        <v>228</v>
      </c>
      <c r="L291" s="0" t="s">
        <v>228</v>
      </c>
      <c r="M291" s="0" t="s">
        <v>228</v>
      </c>
      <c r="N291" s="0" t="s">
        <v>228</v>
      </c>
      <c r="O291" s="0" t="s">
        <v>228</v>
      </c>
      <c r="P291" s="0" t="s">
        <v>228</v>
      </c>
      <c r="Q291" s="0" t="s">
        <v>228</v>
      </c>
      <c r="R291" s="0" t="s">
        <v>4459</v>
      </c>
      <c r="S291" s="0" t="s">
        <v>228</v>
      </c>
      <c r="T291" s="0" t="s">
        <v>228</v>
      </c>
      <c r="U291" s="0" t="s">
        <v>101</v>
      </c>
      <c r="V291" s="0" t="s">
        <v>228</v>
      </c>
      <c r="W291" s="0" t="s">
        <v>228</v>
      </c>
      <c r="X291" s="0" t="s">
        <v>3557</v>
      </c>
      <c r="Y291" s="0" t="s">
        <v>228</v>
      </c>
      <c r="Z291" s="0" t="s">
        <v>160</v>
      </c>
      <c r="AA291" s="0" t="s">
        <v>151</v>
      </c>
      <c r="AB291" s="0" t="s">
        <v>151</v>
      </c>
      <c r="AC291" s="0" t="s">
        <v>2715</v>
      </c>
      <c r="AD291" s="0" t="s">
        <v>2715</v>
      </c>
      <c r="AE291" s="0" t="s">
        <v>2716</v>
      </c>
      <c r="AF291" s="0" t="s">
        <v>3594</v>
      </c>
      <c r="AG291" s="0" t="s">
        <v>3595</v>
      </c>
      <c r="AH291" s="0" t="s">
        <v>4908</v>
      </c>
      <c r="AI291" s="0" t="s">
        <v>3608</v>
      </c>
      <c r="AJ291" s="0" t="s">
        <v>4909</v>
      </c>
      <c r="AK291" s="0" t="s">
        <v>4460</v>
      </c>
      <c r="AL291" s="0" t="s">
        <v>3681</v>
      </c>
      <c r="AM291" s="0" t="s">
        <v>3565</v>
      </c>
      <c r="AN291" s="0" t="s">
        <v>4910</v>
      </c>
      <c r="AO291" s="0" t="s">
        <v>4073</v>
      </c>
      <c r="AP291" s="0" t="s">
        <v>228</v>
      </c>
      <c r="AQ291" s="0" t="s">
        <v>228</v>
      </c>
      <c r="AR291" s="0" t="s">
        <v>228</v>
      </c>
      <c r="AS291" s="0" t="s">
        <v>228</v>
      </c>
      <c r="AT291" s="0" t="s">
        <v>228</v>
      </c>
      <c r="AU291" s="0" t="s">
        <v>228</v>
      </c>
      <c r="AV291" s="0" t="s">
        <v>228</v>
      </c>
      <c r="AW291" s="0" t="s">
        <v>228</v>
      </c>
      <c r="AX291" s="0" t="s">
        <v>228</v>
      </c>
      <c r="AY291" s="0" t="s">
        <v>228</v>
      </c>
      <c r="AZ291" s="0" t="s">
        <v>228</v>
      </c>
      <c r="BA291" s="0" t="s">
        <v>228</v>
      </c>
      <c r="BB291" s="0" t="s">
        <v>228</v>
      </c>
      <c r="BC291" s="0" t="s">
        <v>228</v>
      </c>
      <c r="BD291" s="0" t="s">
        <v>228</v>
      </c>
      <c r="BE291" s="0" t="s">
        <v>228</v>
      </c>
      <c r="BF291" s="0" t="s">
        <v>228</v>
      </c>
      <c r="BG291" s="0" t="s">
        <v>228</v>
      </c>
      <c r="BH291" s="0" t="s">
        <v>228</v>
      </c>
      <c r="BI291" s="0" t="s">
        <v>228</v>
      </c>
      <c r="BJ291" s="0" t="s">
        <v>228</v>
      </c>
      <c r="BK291" s="0" t="s">
        <v>228</v>
      </c>
      <c r="BL291" s="0" t="s">
        <v>228</v>
      </c>
      <c r="BM291" s="0" t="s">
        <v>228</v>
      </c>
      <c r="BN291" s="0" t="s">
        <v>228</v>
      </c>
      <c r="BO291" s="0" t="s">
        <v>228</v>
      </c>
      <c r="BP291" s="0" t="s">
        <v>228</v>
      </c>
      <c r="BQ291" s="0" t="s">
        <v>228</v>
      </c>
      <c r="BR291" s="0" t="s">
        <v>228</v>
      </c>
      <c r="BS291" s="0" t="s">
        <v>228</v>
      </c>
      <c r="BT291" s="0" t="s">
        <v>228</v>
      </c>
      <c r="BU291" s="0" t="s">
        <v>228</v>
      </c>
      <c r="BV291" s="0" t="s">
        <v>228</v>
      </c>
      <c r="BW291" s="0" t="s">
        <v>228</v>
      </c>
      <c r="BX291" s="0" t="s">
        <v>228</v>
      </c>
      <c r="BY291" s="0" t="s">
        <v>228</v>
      </c>
      <c r="BZ291" s="0" t="s">
        <v>228</v>
      </c>
      <c r="CA291" s="0" t="s">
        <v>228</v>
      </c>
      <c r="CB291" s="0" t="s">
        <v>228</v>
      </c>
      <c r="CC291" s="0" t="s">
        <v>228</v>
      </c>
      <c r="CD291" s="0" t="s">
        <v>228</v>
      </c>
      <c r="CE291" s="0" t="s">
        <v>228</v>
      </c>
      <c r="CF291" s="0" t="s">
        <v>228</v>
      </c>
      <c r="CG291" s="0" t="s">
        <v>228</v>
      </c>
      <c r="CH291" s="0" t="s">
        <v>228</v>
      </c>
      <c r="CI291" s="0" t="s">
        <v>228</v>
      </c>
      <c r="CJ291" s="0" t="s">
        <v>228</v>
      </c>
      <c r="CK291" s="0" t="s">
        <v>228</v>
      </c>
      <c r="CL291" s="0" t="s">
        <v>228</v>
      </c>
      <c r="CM291" s="0" t="s">
        <v>228</v>
      </c>
      <c r="CN291" s="0" t="s">
        <v>228</v>
      </c>
      <c r="CO291" s="0" t="s">
        <v>228</v>
      </c>
      <c r="CP291" s="0" t="s">
        <v>228</v>
      </c>
      <c r="CQ291" s="0" t="s">
        <v>228</v>
      </c>
      <c r="CR291" s="0" t="s">
        <v>228</v>
      </c>
      <c r="CS291" s="0" t="s">
        <v>228</v>
      </c>
      <c r="CT291" s="0" t="s">
        <v>3568</v>
      </c>
      <c r="CU291" s="0" t="s">
        <v>3569</v>
      </c>
      <c r="CV291" s="0" t="s">
        <v>418</v>
      </c>
      <c r="CW291" s="0" t="s">
        <v>3602</v>
      </c>
      <c r="CX291" s="0" t="s">
        <v>3603</v>
      </c>
      <c r="CY291" s="0" t="s">
        <v>418</v>
      </c>
      <c r="CZ291" s="0" t="s">
        <v>504</v>
      </c>
      <c r="DA291" s="0" t="s">
        <v>3604</v>
      </c>
      <c r="DB291" s="0" t="s">
        <v>3602</v>
      </c>
      <c r="DC291" s="0" t="s">
        <v>362</v>
      </c>
      <c r="DD291" s="0" t="s">
        <v>3572</v>
      </c>
      <c r="DE291" s="0" t="s">
        <v>4911</v>
      </c>
    </row>
    <row customHeight="1" ht="11.25">
      <c r="A292" s="1353" t="s">
        <v>228</v>
      </c>
      <c r="B292" s="0" t="s">
        <v>228</v>
      </c>
      <c r="C292" s="0" t="s">
        <v>228</v>
      </c>
      <c r="D292" s="0" t="s">
        <v>228</v>
      </c>
      <c r="E292" s="0" t="s">
        <v>228</v>
      </c>
      <c r="F292" s="0" t="s">
        <v>228</v>
      </c>
      <c r="G292" s="0" t="s">
        <v>228</v>
      </c>
      <c r="H292" s="0" t="s">
        <v>228</v>
      </c>
      <c r="I292" s="0" t="s">
        <v>3555</v>
      </c>
      <c r="J292" s="0" t="s">
        <v>228</v>
      </c>
      <c r="K292" s="0" t="s">
        <v>228</v>
      </c>
      <c r="L292" s="0" t="s">
        <v>228</v>
      </c>
      <c r="M292" s="0" t="s">
        <v>228</v>
      </c>
      <c r="N292" s="0" t="s">
        <v>228</v>
      </c>
      <c r="O292" s="0" t="s">
        <v>228</v>
      </c>
      <c r="P292" s="0" t="s">
        <v>228</v>
      </c>
      <c r="Q292" s="0" t="s">
        <v>228</v>
      </c>
      <c r="R292" s="0" t="s">
        <v>3718</v>
      </c>
      <c r="S292" s="0" t="s">
        <v>228</v>
      </c>
      <c r="T292" s="0" t="s">
        <v>228</v>
      </c>
      <c r="U292" s="0" t="s">
        <v>101</v>
      </c>
      <c r="V292" s="0" t="s">
        <v>228</v>
      </c>
      <c r="W292" s="0" t="s">
        <v>228</v>
      </c>
      <c r="X292" s="0" t="s">
        <v>3661</v>
      </c>
      <c r="Y292" s="0" t="s">
        <v>228</v>
      </c>
      <c r="Z292" s="0" t="s">
        <v>151</v>
      </c>
      <c r="AA292" s="0" t="s">
        <v>151</v>
      </c>
      <c r="AB292" s="0" t="s">
        <v>160</v>
      </c>
      <c r="AC292" s="0" t="s">
        <v>2290</v>
      </c>
      <c r="AD292" s="0" t="s">
        <v>2290</v>
      </c>
      <c r="AE292" s="0" t="s">
        <v>2292</v>
      </c>
      <c r="AF292" s="0" t="s">
        <v>4912</v>
      </c>
      <c r="AG292" s="0" t="s">
        <v>4913</v>
      </c>
      <c r="AH292" s="0" t="s">
        <v>4914</v>
      </c>
      <c r="AI292" s="0" t="s">
        <v>3651</v>
      </c>
      <c r="AJ292" s="0" t="s">
        <v>228</v>
      </c>
      <c r="AK292" s="0" t="s">
        <v>228</v>
      </c>
      <c r="AL292" s="0" t="s">
        <v>228</v>
      </c>
      <c r="AM292" s="0" t="s">
        <v>228</v>
      </c>
      <c r="AN292" s="0" t="s">
        <v>228</v>
      </c>
      <c r="AO292" s="0" t="s">
        <v>228</v>
      </c>
      <c r="AP292" s="0" t="s">
        <v>228</v>
      </c>
      <c r="AQ292" s="0" t="s">
        <v>228</v>
      </c>
      <c r="AR292" s="0" t="s">
        <v>228</v>
      </c>
      <c r="AS292" s="0" t="s">
        <v>228</v>
      </c>
      <c r="AT292" s="0" t="s">
        <v>228</v>
      </c>
      <c r="AU292" s="0" t="s">
        <v>228</v>
      </c>
      <c r="AV292" s="0" t="s">
        <v>228</v>
      </c>
      <c r="AW292" s="0" t="s">
        <v>228</v>
      </c>
      <c r="AX292" s="0" t="s">
        <v>228</v>
      </c>
      <c r="AY292" s="0" t="s">
        <v>228</v>
      </c>
      <c r="AZ292" s="0" t="s">
        <v>228</v>
      </c>
      <c r="BA292" s="0" t="s">
        <v>228</v>
      </c>
      <c r="BB292" s="0" t="s">
        <v>228</v>
      </c>
      <c r="BC292" s="0" t="s">
        <v>228</v>
      </c>
      <c r="BD292" s="0" t="s">
        <v>228</v>
      </c>
      <c r="BE292" s="0" t="s">
        <v>4915</v>
      </c>
      <c r="BF292" s="0" t="s">
        <v>4916</v>
      </c>
      <c r="BG292" s="0" t="s">
        <v>111</v>
      </c>
      <c r="BH292" s="0" t="s">
        <v>3665</v>
      </c>
      <c r="BI292" s="0" t="s">
        <v>122</v>
      </c>
      <c r="BJ292" s="0" t="s">
        <v>228</v>
      </c>
      <c r="BK292" s="0" t="s">
        <v>3651</v>
      </c>
      <c r="BL292" s="0" t="s">
        <v>2290</v>
      </c>
      <c r="BM292" s="0" t="s">
        <v>2290</v>
      </c>
      <c r="BN292" s="0" t="s">
        <v>4917</v>
      </c>
      <c r="BO292" s="0" t="s">
        <v>4912</v>
      </c>
      <c r="BP292" s="0" t="s">
        <v>4918</v>
      </c>
      <c r="BQ292" s="0" t="s">
        <v>4914</v>
      </c>
      <c r="BR292" s="0" t="s">
        <v>3651</v>
      </c>
      <c r="BS292" s="0" t="s">
        <v>228</v>
      </c>
      <c r="BT292" s="0" t="s">
        <v>3727</v>
      </c>
      <c r="BU292" s="0" t="s">
        <v>4919</v>
      </c>
      <c r="BV292" s="0" t="s">
        <v>4920</v>
      </c>
      <c r="BW292" s="0" t="s">
        <v>3674</v>
      </c>
      <c r="BX292" s="0" t="s">
        <v>4921</v>
      </c>
      <c r="BY292" s="0" t="s">
        <v>3674</v>
      </c>
      <c r="BZ292" s="0" t="s">
        <v>4922</v>
      </c>
      <c r="CA292" s="0" t="s">
        <v>3674</v>
      </c>
      <c r="CB292" s="0" t="s">
        <v>228</v>
      </c>
      <c r="CC292" s="0" t="s">
        <v>228</v>
      </c>
      <c r="CD292" s="0" t="s">
        <v>228</v>
      </c>
      <c r="CE292" s="0" t="s">
        <v>228</v>
      </c>
      <c r="CF292" s="0" t="s">
        <v>228</v>
      </c>
      <c r="CG292" s="0" t="s">
        <v>3674</v>
      </c>
      <c r="CH292" s="0" t="s">
        <v>228</v>
      </c>
      <c r="CI292" s="0" t="s">
        <v>228</v>
      </c>
      <c r="CJ292" s="0" t="s">
        <v>228</v>
      </c>
      <c r="CK292" s="0" t="s">
        <v>228</v>
      </c>
      <c r="CL292" s="0" t="s">
        <v>228</v>
      </c>
      <c r="CM292" s="0" t="s">
        <v>4919</v>
      </c>
      <c r="CN292" s="0" t="s">
        <v>4920</v>
      </c>
      <c r="CO292" s="0" t="s">
        <v>3674</v>
      </c>
      <c r="CP292" s="0" t="s">
        <v>4921</v>
      </c>
      <c r="CQ292" s="0" t="s">
        <v>3674</v>
      </c>
      <c r="CR292" s="0" t="s">
        <v>4922</v>
      </c>
      <c r="CS292" s="0" t="s">
        <v>4188</v>
      </c>
      <c r="CT292" s="0" t="s">
        <v>3568</v>
      </c>
      <c r="CU292" s="0" t="s">
        <v>3569</v>
      </c>
      <c r="CV292" s="0" t="s">
        <v>418</v>
      </c>
      <c r="CW292" s="0" t="s">
        <v>4923</v>
      </c>
      <c r="CX292" s="0" t="s">
        <v>419</v>
      </c>
      <c r="CY292" s="0" t="s">
        <v>418</v>
      </c>
      <c r="CZ292" s="0" t="s">
        <v>319</v>
      </c>
      <c r="DA292" s="0" t="s">
        <v>420</v>
      </c>
      <c r="DB292" s="0" t="s">
        <v>4924</v>
      </c>
      <c r="DC292" s="0" t="s">
        <v>362</v>
      </c>
      <c r="DD292" s="0" t="s">
        <v>3572</v>
      </c>
      <c r="DE292" s="0" t="s">
        <v>4925</v>
      </c>
    </row>
    <row customHeight="1" ht="11.25">
      <c r="A293" s="1353" t="s">
        <v>228</v>
      </c>
      <c r="B293" s="0" t="s">
        <v>228</v>
      </c>
      <c r="C293" s="0" t="s">
        <v>228</v>
      </c>
      <c r="D293" s="0" t="s">
        <v>228</v>
      </c>
      <c r="E293" s="0" t="s">
        <v>228</v>
      </c>
      <c r="F293" s="0" t="s">
        <v>228</v>
      </c>
      <c r="G293" s="0" t="s">
        <v>228</v>
      </c>
      <c r="H293" s="0" t="s">
        <v>228</v>
      </c>
      <c r="I293" s="0" t="s">
        <v>3555</v>
      </c>
      <c r="J293" s="0" t="s">
        <v>228</v>
      </c>
      <c r="K293" s="0" t="s">
        <v>228</v>
      </c>
      <c r="L293" s="0" t="s">
        <v>228</v>
      </c>
      <c r="M293" s="0" t="s">
        <v>228</v>
      </c>
      <c r="N293" s="0" t="s">
        <v>228</v>
      </c>
      <c r="O293" s="0" t="s">
        <v>228</v>
      </c>
      <c r="P293" s="0" t="s">
        <v>228</v>
      </c>
      <c r="Q293" s="0" t="s">
        <v>228</v>
      </c>
      <c r="R293" s="0" t="s">
        <v>4926</v>
      </c>
      <c r="S293" s="0" t="s">
        <v>228</v>
      </c>
      <c r="T293" s="0" t="s">
        <v>228</v>
      </c>
      <c r="U293" s="0" t="s">
        <v>101</v>
      </c>
      <c r="V293" s="0" t="s">
        <v>228</v>
      </c>
      <c r="W293" s="0" t="s">
        <v>228</v>
      </c>
      <c r="X293" s="0" t="s">
        <v>3661</v>
      </c>
      <c r="Y293" s="0" t="s">
        <v>228</v>
      </c>
      <c r="Z293" s="0" t="s">
        <v>151</v>
      </c>
      <c r="AA293" s="0" t="s">
        <v>151</v>
      </c>
      <c r="AB293" s="0" t="s">
        <v>160</v>
      </c>
      <c r="AC293" s="0" t="s">
        <v>2317</v>
      </c>
      <c r="AD293" s="0" t="s">
        <v>2317</v>
      </c>
      <c r="AE293" s="0" t="s">
        <v>2318</v>
      </c>
      <c r="AF293" s="0" t="s">
        <v>3963</v>
      </c>
      <c r="AG293" s="0" t="s">
        <v>3964</v>
      </c>
      <c r="AH293" s="0" t="s">
        <v>3651</v>
      </c>
      <c r="AI293" s="0" t="s">
        <v>3651</v>
      </c>
      <c r="AJ293" s="0" t="s">
        <v>228</v>
      </c>
      <c r="AK293" s="0" t="s">
        <v>228</v>
      </c>
      <c r="AL293" s="0" t="s">
        <v>228</v>
      </c>
      <c r="AM293" s="0" t="s">
        <v>228</v>
      </c>
      <c r="AN293" s="0" t="s">
        <v>228</v>
      </c>
      <c r="AO293" s="0" t="s">
        <v>228</v>
      </c>
      <c r="AP293" s="0" t="s">
        <v>228</v>
      </c>
      <c r="AQ293" s="0" t="s">
        <v>228</v>
      </c>
      <c r="AR293" s="0" t="s">
        <v>228</v>
      </c>
      <c r="AS293" s="0" t="s">
        <v>228</v>
      </c>
      <c r="AT293" s="0" t="s">
        <v>228</v>
      </c>
      <c r="AU293" s="0" t="s">
        <v>228</v>
      </c>
      <c r="AV293" s="0" t="s">
        <v>228</v>
      </c>
      <c r="AW293" s="0" t="s">
        <v>228</v>
      </c>
      <c r="AX293" s="0" t="s">
        <v>228</v>
      </c>
      <c r="AY293" s="0" t="s">
        <v>228</v>
      </c>
      <c r="AZ293" s="0" t="s">
        <v>228</v>
      </c>
      <c r="BA293" s="0" t="s">
        <v>228</v>
      </c>
      <c r="BB293" s="0" t="s">
        <v>228</v>
      </c>
      <c r="BC293" s="0" t="s">
        <v>228</v>
      </c>
      <c r="BD293" s="0" t="s">
        <v>228</v>
      </c>
      <c r="BE293" s="0" t="s">
        <v>3627</v>
      </c>
      <c r="BF293" s="0" t="s">
        <v>3853</v>
      </c>
      <c r="BG293" s="0" t="s">
        <v>111</v>
      </c>
      <c r="BH293" s="0" t="s">
        <v>3665</v>
      </c>
      <c r="BI293" s="0" t="s">
        <v>122</v>
      </c>
      <c r="BJ293" s="0" t="s">
        <v>228</v>
      </c>
      <c r="BK293" s="0" t="s">
        <v>3684</v>
      </c>
      <c r="BL293" s="0" t="s">
        <v>2317</v>
      </c>
      <c r="BM293" s="0" t="s">
        <v>2317</v>
      </c>
      <c r="BN293" s="0" t="s">
        <v>3740</v>
      </c>
      <c r="BO293" s="0" t="s">
        <v>3963</v>
      </c>
      <c r="BP293" s="0" t="s">
        <v>4927</v>
      </c>
      <c r="BQ293" s="0" t="s">
        <v>3651</v>
      </c>
      <c r="BR293" s="0" t="s">
        <v>3651</v>
      </c>
      <c r="BS293" s="0" t="s">
        <v>228</v>
      </c>
      <c r="BT293" s="0" t="s">
        <v>3727</v>
      </c>
      <c r="BU293" s="0" t="s">
        <v>4928</v>
      </c>
      <c r="BV293" s="0" t="s">
        <v>4928</v>
      </c>
      <c r="BW293" s="0" t="s">
        <v>3674</v>
      </c>
      <c r="BX293" s="0" t="s">
        <v>3674</v>
      </c>
      <c r="BY293" s="0" t="s">
        <v>3674</v>
      </c>
      <c r="BZ293" s="0" t="s">
        <v>3674</v>
      </c>
      <c r="CA293" s="0" t="s">
        <v>3674</v>
      </c>
      <c r="CB293" s="0" t="s">
        <v>228</v>
      </c>
      <c r="CC293" s="0" t="s">
        <v>228</v>
      </c>
      <c r="CD293" s="0" t="s">
        <v>228</v>
      </c>
      <c r="CE293" s="0" t="s">
        <v>228</v>
      </c>
      <c r="CF293" s="0" t="s">
        <v>228</v>
      </c>
      <c r="CG293" s="0" t="s">
        <v>3674</v>
      </c>
      <c r="CH293" s="0" t="s">
        <v>228</v>
      </c>
      <c r="CI293" s="0" t="s">
        <v>228</v>
      </c>
      <c r="CJ293" s="0" t="s">
        <v>228</v>
      </c>
      <c r="CK293" s="0" t="s">
        <v>228</v>
      </c>
      <c r="CL293" s="0" t="s">
        <v>228</v>
      </c>
      <c r="CM293" s="0" t="s">
        <v>4928</v>
      </c>
      <c r="CN293" s="0" t="s">
        <v>4928</v>
      </c>
      <c r="CO293" s="0" t="s">
        <v>228</v>
      </c>
      <c r="CP293" s="0" t="s">
        <v>228</v>
      </c>
      <c r="CQ293" s="0" t="s">
        <v>228</v>
      </c>
      <c r="CR293" s="0" t="s">
        <v>228</v>
      </c>
      <c r="CS293" s="0" t="s">
        <v>3743</v>
      </c>
      <c r="CT293" s="0" t="s">
        <v>3568</v>
      </c>
      <c r="CU293" s="0" t="s">
        <v>3569</v>
      </c>
      <c r="CV293" s="0" t="s">
        <v>418</v>
      </c>
      <c r="CW293" s="0" t="s">
        <v>3622</v>
      </c>
      <c r="CX293" s="0" t="s">
        <v>419</v>
      </c>
      <c r="CY293" s="0" t="s">
        <v>418</v>
      </c>
      <c r="CZ293" s="0" t="s">
        <v>3623</v>
      </c>
      <c r="DA293" s="0" t="s">
        <v>3624</v>
      </c>
      <c r="DB293" s="0" t="s">
        <v>3622</v>
      </c>
      <c r="DC293" s="0" t="s">
        <v>362</v>
      </c>
      <c r="DD293" s="0" t="s">
        <v>3572</v>
      </c>
      <c r="DE293" s="0" t="s">
        <v>4929</v>
      </c>
    </row>
    <row customHeight="1" ht="11.25">
      <c r="A294" s="1353" t="s">
        <v>228</v>
      </c>
      <c r="B294" s="0" t="s">
        <v>228</v>
      </c>
      <c r="C294" s="0" t="s">
        <v>228</v>
      </c>
      <c r="D294" s="0" t="s">
        <v>228</v>
      </c>
      <c r="E294" s="0" t="s">
        <v>228</v>
      </c>
      <c r="F294" s="0" t="s">
        <v>228</v>
      </c>
      <c r="G294" s="0" t="s">
        <v>228</v>
      </c>
      <c r="H294" s="0" t="s">
        <v>228</v>
      </c>
      <c r="I294" s="0" t="s">
        <v>3555</v>
      </c>
      <c r="J294" s="0" t="s">
        <v>228</v>
      </c>
      <c r="K294" s="0" t="s">
        <v>228</v>
      </c>
      <c r="L294" s="0" t="s">
        <v>228</v>
      </c>
      <c r="M294" s="0" t="s">
        <v>228</v>
      </c>
      <c r="N294" s="0" t="s">
        <v>228</v>
      </c>
      <c r="O294" s="0" t="s">
        <v>228</v>
      </c>
      <c r="P294" s="0" t="s">
        <v>228</v>
      </c>
      <c r="Q294" s="0" t="s">
        <v>228</v>
      </c>
      <c r="R294" s="0" t="s">
        <v>4930</v>
      </c>
      <c r="S294" s="0" t="s">
        <v>228</v>
      </c>
      <c r="T294" s="0" t="s">
        <v>228</v>
      </c>
      <c r="U294" s="0" t="s">
        <v>101</v>
      </c>
      <c r="V294" s="0" t="s">
        <v>228</v>
      </c>
      <c r="W294" s="0" t="s">
        <v>228</v>
      </c>
      <c r="X294" s="0" t="s">
        <v>3661</v>
      </c>
      <c r="Y294" s="0" t="s">
        <v>228</v>
      </c>
      <c r="Z294" s="0" t="s">
        <v>151</v>
      </c>
      <c r="AA294" s="0" t="s">
        <v>151</v>
      </c>
      <c r="AB294" s="0" t="s">
        <v>160</v>
      </c>
      <c r="AC294" s="0" t="s">
        <v>2317</v>
      </c>
      <c r="AD294" s="0" t="s">
        <v>2317</v>
      </c>
      <c r="AE294" s="0" t="s">
        <v>2318</v>
      </c>
      <c r="AF294" s="0" t="s">
        <v>3963</v>
      </c>
      <c r="AG294" s="0" t="s">
        <v>3964</v>
      </c>
      <c r="AH294" s="0" t="s">
        <v>3651</v>
      </c>
      <c r="AI294" s="0" t="s">
        <v>3651</v>
      </c>
      <c r="AJ294" s="0" t="s">
        <v>228</v>
      </c>
      <c r="AK294" s="0" t="s">
        <v>228</v>
      </c>
      <c r="AL294" s="0" t="s">
        <v>228</v>
      </c>
      <c r="AM294" s="0" t="s">
        <v>228</v>
      </c>
      <c r="AN294" s="0" t="s">
        <v>228</v>
      </c>
      <c r="AO294" s="0" t="s">
        <v>228</v>
      </c>
      <c r="AP294" s="0" t="s">
        <v>228</v>
      </c>
      <c r="AQ294" s="0" t="s">
        <v>228</v>
      </c>
      <c r="AR294" s="0" t="s">
        <v>228</v>
      </c>
      <c r="AS294" s="0" t="s">
        <v>228</v>
      </c>
      <c r="AT294" s="0" t="s">
        <v>228</v>
      </c>
      <c r="AU294" s="0" t="s">
        <v>228</v>
      </c>
      <c r="AV294" s="0" t="s">
        <v>228</v>
      </c>
      <c r="AW294" s="0" t="s">
        <v>228</v>
      </c>
      <c r="AX294" s="0" t="s">
        <v>228</v>
      </c>
      <c r="AY294" s="0" t="s">
        <v>228</v>
      </c>
      <c r="AZ294" s="0" t="s">
        <v>228</v>
      </c>
      <c r="BA294" s="0" t="s">
        <v>228</v>
      </c>
      <c r="BB294" s="0" t="s">
        <v>228</v>
      </c>
      <c r="BC294" s="0" t="s">
        <v>228</v>
      </c>
      <c r="BD294" s="0" t="s">
        <v>228</v>
      </c>
      <c r="BE294" s="0" t="s">
        <v>3627</v>
      </c>
      <c r="BF294" s="0" t="s">
        <v>3853</v>
      </c>
      <c r="BG294" s="0" t="s">
        <v>111</v>
      </c>
      <c r="BH294" s="0" t="s">
        <v>3665</v>
      </c>
      <c r="BI294" s="0" t="s">
        <v>122</v>
      </c>
      <c r="BJ294" s="0" t="s">
        <v>228</v>
      </c>
      <c r="BK294" s="0" t="s">
        <v>3684</v>
      </c>
      <c r="BL294" s="0" t="s">
        <v>2317</v>
      </c>
      <c r="BM294" s="0" t="s">
        <v>2317</v>
      </c>
      <c r="BN294" s="0" t="s">
        <v>3740</v>
      </c>
      <c r="BO294" s="0" t="s">
        <v>3963</v>
      </c>
      <c r="BP294" s="0" t="s">
        <v>4927</v>
      </c>
      <c r="BQ294" s="0" t="s">
        <v>3651</v>
      </c>
      <c r="BR294" s="0" t="s">
        <v>3651</v>
      </c>
      <c r="BS294" s="0" t="s">
        <v>228</v>
      </c>
      <c r="BT294" s="0" t="s">
        <v>4238</v>
      </c>
      <c r="BU294" s="0" t="s">
        <v>4931</v>
      </c>
      <c r="BV294" s="0" t="s">
        <v>4931</v>
      </c>
      <c r="BW294" s="0" t="s">
        <v>3674</v>
      </c>
      <c r="BX294" s="0" t="s">
        <v>3674</v>
      </c>
      <c r="BY294" s="0" t="s">
        <v>3674</v>
      </c>
      <c r="BZ294" s="0" t="s">
        <v>3674</v>
      </c>
      <c r="CA294" s="0" t="s">
        <v>3674</v>
      </c>
      <c r="CB294" s="0" t="s">
        <v>228</v>
      </c>
      <c r="CC294" s="0" t="s">
        <v>228</v>
      </c>
      <c r="CD294" s="0" t="s">
        <v>228</v>
      </c>
      <c r="CE294" s="0" t="s">
        <v>228</v>
      </c>
      <c r="CF294" s="0" t="s">
        <v>228</v>
      </c>
      <c r="CG294" s="0" t="s">
        <v>3674</v>
      </c>
      <c r="CH294" s="0" t="s">
        <v>228</v>
      </c>
      <c r="CI294" s="0" t="s">
        <v>228</v>
      </c>
      <c r="CJ294" s="0" t="s">
        <v>228</v>
      </c>
      <c r="CK294" s="0" t="s">
        <v>228</v>
      </c>
      <c r="CL294" s="0" t="s">
        <v>228</v>
      </c>
      <c r="CM294" s="0" t="s">
        <v>4931</v>
      </c>
      <c r="CN294" s="0" t="s">
        <v>4931</v>
      </c>
      <c r="CO294" s="0" t="s">
        <v>228</v>
      </c>
      <c r="CP294" s="0" t="s">
        <v>228</v>
      </c>
      <c r="CQ294" s="0" t="s">
        <v>228</v>
      </c>
      <c r="CR294" s="0" t="s">
        <v>228</v>
      </c>
      <c r="CS294" s="0" t="s">
        <v>3743</v>
      </c>
      <c r="CT294" s="0" t="s">
        <v>3568</v>
      </c>
      <c r="CU294" s="0" t="s">
        <v>3569</v>
      </c>
      <c r="CV294" s="0" t="s">
        <v>418</v>
      </c>
      <c r="CW294" s="0" t="s">
        <v>3622</v>
      </c>
      <c r="CX294" s="0" t="s">
        <v>419</v>
      </c>
      <c r="CY294" s="0" t="s">
        <v>418</v>
      </c>
      <c r="CZ294" s="0" t="s">
        <v>3623</v>
      </c>
      <c r="DA294" s="0" t="s">
        <v>3624</v>
      </c>
      <c r="DB294" s="0" t="s">
        <v>3622</v>
      </c>
      <c r="DC294" s="0" t="s">
        <v>362</v>
      </c>
      <c r="DD294" s="0" t="s">
        <v>3572</v>
      </c>
      <c r="DE294" s="0" t="s">
        <v>4929</v>
      </c>
    </row>
    <row customHeight="1" ht="11.25">
      <c r="A295" s="1353" t="s">
        <v>228</v>
      </c>
      <c r="B295" s="0" t="s">
        <v>228</v>
      </c>
      <c r="C295" s="0" t="s">
        <v>228</v>
      </c>
      <c r="D295" s="0" t="s">
        <v>228</v>
      </c>
      <c r="E295" s="0" t="s">
        <v>228</v>
      </c>
      <c r="F295" s="0" t="s">
        <v>228</v>
      </c>
      <c r="G295" s="0" t="s">
        <v>228</v>
      </c>
      <c r="H295" s="0" t="s">
        <v>228</v>
      </c>
      <c r="I295" s="0" t="s">
        <v>3555</v>
      </c>
      <c r="J295" s="0" t="s">
        <v>228</v>
      </c>
      <c r="K295" s="0" t="s">
        <v>228</v>
      </c>
      <c r="L295" s="0" t="s">
        <v>228</v>
      </c>
      <c r="M295" s="0" t="s">
        <v>228</v>
      </c>
      <c r="N295" s="0" t="s">
        <v>228</v>
      </c>
      <c r="O295" s="0" t="s">
        <v>228</v>
      </c>
      <c r="P295" s="0" t="s">
        <v>228</v>
      </c>
      <c r="Q295" s="0" t="s">
        <v>228</v>
      </c>
      <c r="R295" s="0" t="s">
        <v>3588</v>
      </c>
      <c r="S295" s="0" t="s">
        <v>228</v>
      </c>
      <c r="T295" s="0" t="s">
        <v>228</v>
      </c>
      <c r="U295" s="0" t="s">
        <v>101</v>
      </c>
      <c r="V295" s="0" t="s">
        <v>228</v>
      </c>
      <c r="W295" s="0" t="s">
        <v>228</v>
      </c>
      <c r="X295" s="0" t="s">
        <v>3557</v>
      </c>
      <c r="Y295" s="0" t="s">
        <v>228</v>
      </c>
      <c r="Z295" s="0" t="s">
        <v>160</v>
      </c>
      <c r="AA295" s="0" t="s">
        <v>151</v>
      </c>
      <c r="AB295" s="0" t="s">
        <v>151</v>
      </c>
      <c r="AC295" s="0" t="s">
        <v>2317</v>
      </c>
      <c r="AD295" s="0" t="s">
        <v>2317</v>
      </c>
      <c r="AE295" s="0" t="s">
        <v>2318</v>
      </c>
      <c r="AF295" s="0" t="s">
        <v>3963</v>
      </c>
      <c r="AG295" s="0" t="s">
        <v>3964</v>
      </c>
      <c r="AH295" s="0" t="s">
        <v>4472</v>
      </c>
      <c r="AI295" s="0" t="s">
        <v>4646</v>
      </c>
      <c r="AJ295" s="0" t="s">
        <v>3627</v>
      </c>
      <c r="AK295" s="0" t="s">
        <v>3853</v>
      </c>
      <c r="AL295" s="0" t="s">
        <v>3581</v>
      </c>
      <c r="AM295" s="0" t="s">
        <v>3565</v>
      </c>
      <c r="AN295" s="0" t="s">
        <v>3628</v>
      </c>
      <c r="AO295" s="0" t="s">
        <v>3823</v>
      </c>
      <c r="AP295" s="0" t="s">
        <v>228</v>
      </c>
      <c r="AQ295" s="0" t="s">
        <v>228</v>
      </c>
      <c r="AR295" s="0" t="s">
        <v>228</v>
      </c>
      <c r="AS295" s="0" t="s">
        <v>228</v>
      </c>
      <c r="AT295" s="0" t="s">
        <v>228</v>
      </c>
      <c r="AU295" s="0" t="s">
        <v>228</v>
      </c>
      <c r="AV295" s="0" t="s">
        <v>228</v>
      </c>
      <c r="AW295" s="0" t="s">
        <v>228</v>
      </c>
      <c r="AX295" s="0" t="s">
        <v>228</v>
      </c>
      <c r="AY295" s="0" t="s">
        <v>228</v>
      </c>
      <c r="AZ295" s="0" t="s">
        <v>228</v>
      </c>
      <c r="BA295" s="0" t="s">
        <v>228</v>
      </c>
      <c r="BB295" s="0" t="s">
        <v>228</v>
      </c>
      <c r="BC295" s="0" t="s">
        <v>228</v>
      </c>
      <c r="BD295" s="0" t="s">
        <v>228</v>
      </c>
      <c r="BE295" s="0" t="s">
        <v>228</v>
      </c>
      <c r="BF295" s="0" t="s">
        <v>228</v>
      </c>
      <c r="BG295" s="0" t="s">
        <v>228</v>
      </c>
      <c r="BH295" s="0" t="s">
        <v>228</v>
      </c>
      <c r="BI295" s="0" t="s">
        <v>228</v>
      </c>
      <c r="BJ295" s="0" t="s">
        <v>228</v>
      </c>
      <c r="BK295" s="0" t="s">
        <v>228</v>
      </c>
      <c r="BL295" s="0" t="s">
        <v>228</v>
      </c>
      <c r="BM295" s="0" t="s">
        <v>228</v>
      </c>
      <c r="BN295" s="0" t="s">
        <v>228</v>
      </c>
      <c r="BO295" s="0" t="s">
        <v>228</v>
      </c>
      <c r="BP295" s="0" t="s">
        <v>228</v>
      </c>
      <c r="BQ295" s="0" t="s">
        <v>228</v>
      </c>
      <c r="BR295" s="0" t="s">
        <v>228</v>
      </c>
      <c r="BS295" s="0" t="s">
        <v>228</v>
      </c>
      <c r="BT295" s="0" t="s">
        <v>228</v>
      </c>
      <c r="BU295" s="0" t="s">
        <v>228</v>
      </c>
      <c r="BV295" s="0" t="s">
        <v>228</v>
      </c>
      <c r="BW295" s="0" t="s">
        <v>228</v>
      </c>
      <c r="BX295" s="0" t="s">
        <v>228</v>
      </c>
      <c r="BY295" s="0" t="s">
        <v>228</v>
      </c>
      <c r="BZ295" s="0" t="s">
        <v>228</v>
      </c>
      <c r="CA295" s="0" t="s">
        <v>228</v>
      </c>
      <c r="CB295" s="0" t="s">
        <v>228</v>
      </c>
      <c r="CC295" s="0" t="s">
        <v>228</v>
      </c>
      <c r="CD295" s="0" t="s">
        <v>228</v>
      </c>
      <c r="CE295" s="0" t="s">
        <v>228</v>
      </c>
      <c r="CF295" s="0" t="s">
        <v>228</v>
      </c>
      <c r="CG295" s="0" t="s">
        <v>228</v>
      </c>
      <c r="CH295" s="0" t="s">
        <v>228</v>
      </c>
      <c r="CI295" s="0" t="s">
        <v>228</v>
      </c>
      <c r="CJ295" s="0" t="s">
        <v>228</v>
      </c>
      <c r="CK295" s="0" t="s">
        <v>228</v>
      </c>
      <c r="CL295" s="0" t="s">
        <v>228</v>
      </c>
      <c r="CM295" s="0" t="s">
        <v>228</v>
      </c>
      <c r="CN295" s="0" t="s">
        <v>228</v>
      </c>
      <c r="CO295" s="0" t="s">
        <v>228</v>
      </c>
      <c r="CP295" s="0" t="s">
        <v>228</v>
      </c>
      <c r="CQ295" s="0" t="s">
        <v>228</v>
      </c>
      <c r="CR295" s="0" t="s">
        <v>228</v>
      </c>
      <c r="CS295" s="0" t="s">
        <v>228</v>
      </c>
      <c r="CT295" s="0" t="s">
        <v>3568</v>
      </c>
      <c r="CU295" s="0" t="s">
        <v>3569</v>
      </c>
      <c r="CV295" s="0" t="s">
        <v>418</v>
      </c>
      <c r="CW295" s="0" t="s">
        <v>3622</v>
      </c>
      <c r="CX295" s="0" t="s">
        <v>419</v>
      </c>
      <c r="CY295" s="0" t="s">
        <v>418</v>
      </c>
      <c r="CZ295" s="0" t="s">
        <v>3623</v>
      </c>
      <c r="DA295" s="0" t="s">
        <v>3624</v>
      </c>
      <c r="DB295" s="0" t="s">
        <v>3622</v>
      </c>
      <c r="DC295" s="0" t="s">
        <v>362</v>
      </c>
      <c r="DD295" s="0" t="s">
        <v>3572</v>
      </c>
      <c r="DE295" s="0" t="s">
        <v>4671</v>
      </c>
    </row>
    <row customHeight="1" ht="11.25">
      <c r="A296" s="1353" t="s">
        <v>228</v>
      </c>
      <c r="B296" s="0" t="s">
        <v>228</v>
      </c>
      <c r="C296" s="0" t="s">
        <v>228</v>
      </c>
      <c r="D296" s="0" t="s">
        <v>228</v>
      </c>
      <c r="E296" s="0" t="s">
        <v>228</v>
      </c>
      <c r="F296" s="0" t="s">
        <v>228</v>
      </c>
      <c r="G296" s="0" t="s">
        <v>228</v>
      </c>
      <c r="H296" s="0" t="s">
        <v>228</v>
      </c>
      <c r="I296" s="0" t="s">
        <v>3555</v>
      </c>
      <c r="J296" s="0" t="s">
        <v>228</v>
      </c>
      <c r="K296" s="0" t="s">
        <v>228</v>
      </c>
      <c r="L296" s="0" t="s">
        <v>228</v>
      </c>
      <c r="M296" s="0" t="s">
        <v>228</v>
      </c>
      <c r="N296" s="0" t="s">
        <v>228</v>
      </c>
      <c r="O296" s="0" t="s">
        <v>228</v>
      </c>
      <c r="P296" s="0" t="s">
        <v>228</v>
      </c>
      <c r="Q296" s="0" t="s">
        <v>228</v>
      </c>
      <c r="R296" s="0" t="s">
        <v>4932</v>
      </c>
      <c r="S296" s="0" t="s">
        <v>228</v>
      </c>
      <c r="T296" s="0" t="s">
        <v>228</v>
      </c>
      <c r="U296" s="0" t="s">
        <v>101</v>
      </c>
      <c r="V296" s="0" t="s">
        <v>228</v>
      </c>
      <c r="W296" s="0" t="s">
        <v>228</v>
      </c>
      <c r="X296" s="0" t="s">
        <v>3661</v>
      </c>
      <c r="Y296" s="0" t="s">
        <v>228</v>
      </c>
      <c r="Z296" s="0" t="s">
        <v>151</v>
      </c>
      <c r="AA296" s="0" t="s">
        <v>151</v>
      </c>
      <c r="AB296" s="0" t="s">
        <v>160</v>
      </c>
      <c r="AC296" s="0" t="s">
        <v>2315</v>
      </c>
      <c r="AD296" s="0" t="s">
        <v>2315</v>
      </c>
      <c r="AE296" s="0" t="s">
        <v>2316</v>
      </c>
      <c r="AF296" s="0" t="s">
        <v>4765</v>
      </c>
      <c r="AG296" s="0" t="s">
        <v>4766</v>
      </c>
      <c r="AH296" s="0" t="s">
        <v>3651</v>
      </c>
      <c r="AI296" s="0" t="s">
        <v>3651</v>
      </c>
      <c r="AJ296" s="0" t="s">
        <v>228</v>
      </c>
      <c r="AK296" s="0" t="s">
        <v>228</v>
      </c>
      <c r="AL296" s="0" t="s">
        <v>228</v>
      </c>
      <c r="AM296" s="0" t="s">
        <v>228</v>
      </c>
      <c r="AN296" s="0" t="s">
        <v>228</v>
      </c>
      <c r="AO296" s="0" t="s">
        <v>228</v>
      </c>
      <c r="AP296" s="0" t="s">
        <v>228</v>
      </c>
      <c r="AQ296" s="0" t="s">
        <v>228</v>
      </c>
      <c r="AR296" s="0" t="s">
        <v>228</v>
      </c>
      <c r="AS296" s="0" t="s">
        <v>228</v>
      </c>
      <c r="AT296" s="0" t="s">
        <v>228</v>
      </c>
      <c r="AU296" s="0" t="s">
        <v>228</v>
      </c>
      <c r="AV296" s="0" t="s">
        <v>228</v>
      </c>
      <c r="AW296" s="0" t="s">
        <v>228</v>
      </c>
      <c r="AX296" s="0" t="s">
        <v>228</v>
      </c>
      <c r="AY296" s="0" t="s">
        <v>228</v>
      </c>
      <c r="AZ296" s="0" t="s">
        <v>228</v>
      </c>
      <c r="BA296" s="0" t="s">
        <v>228</v>
      </c>
      <c r="BB296" s="0" t="s">
        <v>228</v>
      </c>
      <c r="BC296" s="0" t="s">
        <v>228</v>
      </c>
      <c r="BD296" s="0" t="s">
        <v>228</v>
      </c>
      <c r="BE296" s="0" t="s">
        <v>3652</v>
      </c>
      <c r="BF296" s="0" t="s">
        <v>4768</v>
      </c>
      <c r="BG296" s="0" t="s">
        <v>111</v>
      </c>
      <c r="BH296" s="0" t="s">
        <v>3665</v>
      </c>
      <c r="BI296" s="0" t="s">
        <v>122</v>
      </c>
      <c r="BJ296" s="0" t="s">
        <v>228</v>
      </c>
      <c r="BK296" s="0" t="s">
        <v>3684</v>
      </c>
      <c r="BL296" s="0" t="s">
        <v>2315</v>
      </c>
      <c r="BM296" s="0" t="s">
        <v>2315</v>
      </c>
      <c r="BN296" s="0" t="s">
        <v>3875</v>
      </c>
      <c r="BO296" s="0" t="s">
        <v>4765</v>
      </c>
      <c r="BP296" s="0" t="s">
        <v>4933</v>
      </c>
      <c r="BQ296" s="0" t="s">
        <v>3651</v>
      </c>
      <c r="BR296" s="0" t="s">
        <v>3651</v>
      </c>
      <c r="BS296" s="0" t="s">
        <v>228</v>
      </c>
      <c r="BT296" s="0" t="s">
        <v>3727</v>
      </c>
      <c r="BU296" s="0" t="s">
        <v>4934</v>
      </c>
      <c r="BV296" s="0" t="s">
        <v>4934</v>
      </c>
      <c r="BW296" s="0" t="s">
        <v>3674</v>
      </c>
      <c r="BX296" s="0" t="s">
        <v>3674</v>
      </c>
      <c r="BY296" s="0" t="s">
        <v>3674</v>
      </c>
      <c r="BZ296" s="0" t="s">
        <v>3674</v>
      </c>
      <c r="CA296" s="0" t="s">
        <v>3674</v>
      </c>
      <c r="CB296" s="0" t="s">
        <v>228</v>
      </c>
      <c r="CC296" s="0" t="s">
        <v>228</v>
      </c>
      <c r="CD296" s="0" t="s">
        <v>228</v>
      </c>
      <c r="CE296" s="0" t="s">
        <v>228</v>
      </c>
      <c r="CF296" s="0" t="s">
        <v>228</v>
      </c>
      <c r="CG296" s="0" t="s">
        <v>3674</v>
      </c>
      <c r="CH296" s="0" t="s">
        <v>228</v>
      </c>
      <c r="CI296" s="0" t="s">
        <v>228</v>
      </c>
      <c r="CJ296" s="0" t="s">
        <v>228</v>
      </c>
      <c r="CK296" s="0" t="s">
        <v>228</v>
      </c>
      <c r="CL296" s="0" t="s">
        <v>228</v>
      </c>
      <c r="CM296" s="0" t="s">
        <v>4934</v>
      </c>
      <c r="CN296" s="0" t="s">
        <v>4934</v>
      </c>
      <c r="CO296" s="0" t="s">
        <v>228</v>
      </c>
      <c r="CP296" s="0" t="s">
        <v>228</v>
      </c>
      <c r="CQ296" s="0" t="s">
        <v>228</v>
      </c>
      <c r="CR296" s="0" t="s">
        <v>228</v>
      </c>
      <c r="CS296" s="0" t="s">
        <v>3563</v>
      </c>
      <c r="CT296" s="0" t="s">
        <v>3568</v>
      </c>
      <c r="CU296" s="0" t="s">
        <v>3569</v>
      </c>
      <c r="CV296" s="0" t="s">
        <v>418</v>
      </c>
      <c r="CW296" s="0" t="s">
        <v>3656</v>
      </c>
      <c r="CX296" s="0" t="s">
        <v>419</v>
      </c>
      <c r="CY296" s="0" t="s">
        <v>418</v>
      </c>
      <c r="CZ296" s="0" t="s">
        <v>3657</v>
      </c>
      <c r="DA296" s="0" t="s">
        <v>3658</v>
      </c>
      <c r="DB296" s="0" t="s">
        <v>3656</v>
      </c>
      <c r="DC296" s="0" t="s">
        <v>362</v>
      </c>
      <c r="DD296" s="0" t="s">
        <v>3572</v>
      </c>
      <c r="DE296" s="0" t="s">
        <v>4935</v>
      </c>
    </row>
    <row customHeight="1" ht="11.25">
      <c r="A297" s="1353" t="s">
        <v>228</v>
      </c>
      <c r="B297" s="0" t="s">
        <v>228</v>
      </c>
      <c r="C297" s="0" t="s">
        <v>228</v>
      </c>
      <c r="D297" s="0" t="s">
        <v>228</v>
      </c>
      <c r="E297" s="0" t="s">
        <v>228</v>
      </c>
      <c r="F297" s="0" t="s">
        <v>228</v>
      </c>
      <c r="G297" s="0" t="s">
        <v>228</v>
      </c>
      <c r="H297" s="0" t="s">
        <v>228</v>
      </c>
      <c r="I297" s="0" t="s">
        <v>3555</v>
      </c>
      <c r="J297" s="0" t="s">
        <v>228</v>
      </c>
      <c r="K297" s="0" t="s">
        <v>228</v>
      </c>
      <c r="L297" s="0" t="s">
        <v>228</v>
      </c>
      <c r="M297" s="0" t="s">
        <v>228</v>
      </c>
      <c r="N297" s="0" t="s">
        <v>228</v>
      </c>
      <c r="O297" s="0" t="s">
        <v>228</v>
      </c>
      <c r="P297" s="0" t="s">
        <v>228</v>
      </c>
      <c r="Q297" s="0" t="s">
        <v>228</v>
      </c>
      <c r="R297" s="0" t="s">
        <v>4936</v>
      </c>
      <c r="S297" s="0" t="s">
        <v>228</v>
      </c>
      <c r="T297" s="0" t="s">
        <v>228</v>
      </c>
      <c r="U297" s="0" t="s">
        <v>101</v>
      </c>
      <c r="V297" s="0" t="s">
        <v>228</v>
      </c>
      <c r="W297" s="0" t="s">
        <v>228</v>
      </c>
      <c r="X297" s="0" t="s">
        <v>3661</v>
      </c>
      <c r="Y297" s="0" t="s">
        <v>228</v>
      </c>
      <c r="Z297" s="0" t="s">
        <v>151</v>
      </c>
      <c r="AA297" s="0" t="s">
        <v>151</v>
      </c>
      <c r="AB297" s="0" t="s">
        <v>160</v>
      </c>
      <c r="AC297" s="0" t="s">
        <v>2721</v>
      </c>
      <c r="AD297" s="0" t="s">
        <v>2721</v>
      </c>
      <c r="AE297" s="0" t="s">
        <v>2722</v>
      </c>
      <c r="AF297" s="0" t="s">
        <v>4024</v>
      </c>
      <c r="AG297" s="0" t="s">
        <v>4025</v>
      </c>
      <c r="AH297" s="0" t="s">
        <v>4146</v>
      </c>
      <c r="AI297" s="0" t="s">
        <v>151</v>
      </c>
      <c r="AJ297" s="0" t="s">
        <v>228</v>
      </c>
      <c r="AK297" s="0" t="s">
        <v>228</v>
      </c>
      <c r="AL297" s="0" t="s">
        <v>228</v>
      </c>
      <c r="AM297" s="0" t="s">
        <v>228</v>
      </c>
      <c r="AN297" s="0" t="s">
        <v>228</v>
      </c>
      <c r="AO297" s="0" t="s">
        <v>228</v>
      </c>
      <c r="AP297" s="0" t="s">
        <v>228</v>
      </c>
      <c r="AQ297" s="0" t="s">
        <v>228</v>
      </c>
      <c r="AR297" s="0" t="s">
        <v>228</v>
      </c>
      <c r="AS297" s="0" t="s">
        <v>228</v>
      </c>
      <c r="AT297" s="0" t="s">
        <v>228</v>
      </c>
      <c r="AU297" s="0" t="s">
        <v>228</v>
      </c>
      <c r="AV297" s="0" t="s">
        <v>228</v>
      </c>
      <c r="AW297" s="0" t="s">
        <v>228</v>
      </c>
      <c r="AX297" s="0" t="s">
        <v>228</v>
      </c>
      <c r="AY297" s="0" t="s">
        <v>228</v>
      </c>
      <c r="AZ297" s="0" t="s">
        <v>228</v>
      </c>
      <c r="BA297" s="0" t="s">
        <v>228</v>
      </c>
      <c r="BB297" s="0" t="s">
        <v>228</v>
      </c>
      <c r="BC297" s="0" t="s">
        <v>228</v>
      </c>
      <c r="BD297" s="0" t="s">
        <v>228</v>
      </c>
      <c r="BE297" s="0" t="s">
        <v>4937</v>
      </c>
      <c r="BF297" s="0" t="s">
        <v>4938</v>
      </c>
      <c r="BG297" s="0" t="s">
        <v>111</v>
      </c>
      <c r="BH297" s="0" t="s">
        <v>3665</v>
      </c>
      <c r="BI297" s="0" t="s">
        <v>122</v>
      </c>
      <c r="BJ297" s="0" t="s">
        <v>228</v>
      </c>
      <c r="BK297" s="0" t="s">
        <v>4939</v>
      </c>
      <c r="BL297" s="0" t="s">
        <v>2721</v>
      </c>
      <c r="BM297" s="0" t="s">
        <v>2721</v>
      </c>
      <c r="BN297" s="0" t="s">
        <v>4149</v>
      </c>
      <c r="BO297" s="0" t="s">
        <v>4024</v>
      </c>
      <c r="BP297" s="0" t="s">
        <v>4150</v>
      </c>
      <c r="BQ297" s="0" t="s">
        <v>4940</v>
      </c>
      <c r="BR297" s="0" t="s">
        <v>489</v>
      </c>
      <c r="BS297" s="0" t="s">
        <v>228</v>
      </c>
      <c r="BT297" s="0" t="s">
        <v>3670</v>
      </c>
      <c r="BU297" s="0" t="s">
        <v>4941</v>
      </c>
      <c r="BV297" s="0" t="s">
        <v>4942</v>
      </c>
      <c r="BW297" s="0" t="s">
        <v>4943</v>
      </c>
      <c r="BX297" s="0" t="s">
        <v>4944</v>
      </c>
      <c r="BY297" s="0" t="s">
        <v>3674</v>
      </c>
      <c r="BZ297" s="0" t="s">
        <v>3674</v>
      </c>
      <c r="CA297" s="0" t="s">
        <v>3674</v>
      </c>
      <c r="CB297" s="0" t="s">
        <v>3674</v>
      </c>
      <c r="CC297" s="0" t="s">
        <v>3674</v>
      </c>
      <c r="CD297" s="0" t="s">
        <v>3674</v>
      </c>
      <c r="CE297" s="0" t="s">
        <v>3674</v>
      </c>
      <c r="CF297" s="0" t="s">
        <v>3674</v>
      </c>
      <c r="CG297" s="0" t="s">
        <v>3674</v>
      </c>
      <c r="CH297" s="0" t="s">
        <v>3674</v>
      </c>
      <c r="CI297" s="0" t="s">
        <v>3674</v>
      </c>
      <c r="CJ297" s="0" t="s">
        <v>3674</v>
      </c>
      <c r="CK297" s="0" t="s">
        <v>3674</v>
      </c>
      <c r="CL297" s="0" t="s">
        <v>3674</v>
      </c>
      <c r="CM297" s="0" t="s">
        <v>4941</v>
      </c>
      <c r="CN297" s="0" t="s">
        <v>4942</v>
      </c>
      <c r="CO297" s="0" t="s">
        <v>4943</v>
      </c>
      <c r="CP297" s="0" t="s">
        <v>4944</v>
      </c>
      <c r="CQ297" s="0" t="s">
        <v>3674</v>
      </c>
      <c r="CR297" s="0" t="s">
        <v>3674</v>
      </c>
      <c r="CS297" s="0" t="s">
        <v>4606</v>
      </c>
      <c r="CT297" s="0" t="s">
        <v>3568</v>
      </c>
      <c r="CU297" s="0" t="s">
        <v>3569</v>
      </c>
      <c r="CV297" s="0" t="s">
        <v>4030</v>
      </c>
      <c r="CW297" s="0" t="s">
        <v>4031</v>
      </c>
      <c r="CX297" s="0" t="s">
        <v>3603</v>
      </c>
      <c r="CY297" s="0" t="s">
        <v>4030</v>
      </c>
      <c r="CZ297" s="0" t="s">
        <v>3608</v>
      </c>
      <c r="DA297" s="0" t="s">
        <v>4032</v>
      </c>
      <c r="DB297" s="0" t="s">
        <v>3676</v>
      </c>
      <c r="DC297" s="0" t="s">
        <v>362</v>
      </c>
      <c r="DD297" s="0" t="s">
        <v>3572</v>
      </c>
      <c r="DE297" s="0" t="s">
        <v>4156</v>
      </c>
    </row>
    <row customHeight="1" ht="11.25">
      <c r="A298" s="1353" t="s">
        <v>228</v>
      </c>
      <c r="B298" s="0" t="s">
        <v>228</v>
      </c>
      <c r="C298" s="0" t="s">
        <v>228</v>
      </c>
      <c r="D298" s="0" t="s">
        <v>228</v>
      </c>
      <c r="E298" s="0" t="s">
        <v>228</v>
      </c>
      <c r="F298" s="0" t="s">
        <v>228</v>
      </c>
      <c r="G298" s="0" t="s">
        <v>228</v>
      </c>
      <c r="H298" s="0" t="s">
        <v>228</v>
      </c>
      <c r="I298" s="0" t="s">
        <v>3555</v>
      </c>
      <c r="J298" s="0" t="s">
        <v>228</v>
      </c>
      <c r="K298" s="0" t="s">
        <v>228</v>
      </c>
      <c r="L298" s="0" t="s">
        <v>228</v>
      </c>
      <c r="M298" s="0" t="s">
        <v>228</v>
      </c>
      <c r="N298" s="0" t="s">
        <v>228</v>
      </c>
      <c r="O298" s="0" t="s">
        <v>228</v>
      </c>
      <c r="P298" s="0" t="s">
        <v>228</v>
      </c>
      <c r="Q298" s="0" t="s">
        <v>228</v>
      </c>
      <c r="R298" s="0" t="s">
        <v>4945</v>
      </c>
      <c r="S298" s="0" t="s">
        <v>228</v>
      </c>
      <c r="T298" s="0" t="s">
        <v>228</v>
      </c>
      <c r="U298" s="0" t="s">
        <v>101</v>
      </c>
      <c r="V298" s="0" t="s">
        <v>228</v>
      </c>
      <c r="W298" s="0" t="s">
        <v>228</v>
      </c>
      <c r="X298" s="0" t="s">
        <v>3661</v>
      </c>
      <c r="Y298" s="0" t="s">
        <v>228</v>
      </c>
      <c r="Z298" s="0" t="s">
        <v>151</v>
      </c>
      <c r="AA298" s="0" t="s">
        <v>151</v>
      </c>
      <c r="AB298" s="0" t="s">
        <v>160</v>
      </c>
      <c r="AC298" s="0" t="s">
        <v>2721</v>
      </c>
      <c r="AD298" s="0" t="s">
        <v>2721</v>
      </c>
      <c r="AE298" s="0" t="s">
        <v>2722</v>
      </c>
      <c r="AF298" s="0" t="s">
        <v>4024</v>
      </c>
      <c r="AG298" s="0" t="s">
        <v>4025</v>
      </c>
      <c r="AH298" s="0" t="s">
        <v>4146</v>
      </c>
      <c r="AI298" s="0" t="s">
        <v>151</v>
      </c>
      <c r="AJ298" s="0" t="s">
        <v>228</v>
      </c>
      <c r="AK298" s="0" t="s">
        <v>228</v>
      </c>
      <c r="AL298" s="0" t="s">
        <v>228</v>
      </c>
      <c r="AM298" s="0" t="s">
        <v>228</v>
      </c>
      <c r="AN298" s="0" t="s">
        <v>228</v>
      </c>
      <c r="AO298" s="0" t="s">
        <v>228</v>
      </c>
      <c r="AP298" s="0" t="s">
        <v>228</v>
      </c>
      <c r="AQ298" s="0" t="s">
        <v>228</v>
      </c>
      <c r="AR298" s="0" t="s">
        <v>228</v>
      </c>
      <c r="AS298" s="0" t="s">
        <v>228</v>
      </c>
      <c r="AT298" s="0" t="s">
        <v>228</v>
      </c>
      <c r="AU298" s="0" t="s">
        <v>228</v>
      </c>
      <c r="AV298" s="0" t="s">
        <v>228</v>
      </c>
      <c r="AW298" s="0" t="s">
        <v>228</v>
      </c>
      <c r="AX298" s="0" t="s">
        <v>228</v>
      </c>
      <c r="AY298" s="0" t="s">
        <v>228</v>
      </c>
      <c r="AZ298" s="0" t="s">
        <v>228</v>
      </c>
      <c r="BA298" s="0" t="s">
        <v>228</v>
      </c>
      <c r="BB298" s="0" t="s">
        <v>228</v>
      </c>
      <c r="BC298" s="0" t="s">
        <v>228</v>
      </c>
      <c r="BD298" s="0" t="s">
        <v>228</v>
      </c>
      <c r="BE298" s="0" t="s">
        <v>4027</v>
      </c>
      <c r="BF298" s="0" t="s">
        <v>4296</v>
      </c>
      <c r="BG298" s="0" t="s">
        <v>111</v>
      </c>
      <c r="BH298" s="0" t="s">
        <v>3665</v>
      </c>
      <c r="BI298" s="0" t="s">
        <v>122</v>
      </c>
      <c r="BJ298" s="0" t="s">
        <v>228</v>
      </c>
      <c r="BK298" s="0" t="s">
        <v>4295</v>
      </c>
      <c r="BL298" s="0" t="s">
        <v>2721</v>
      </c>
      <c r="BM298" s="0" t="s">
        <v>2721</v>
      </c>
      <c r="BN298" s="0" t="s">
        <v>4149</v>
      </c>
      <c r="BO298" s="0" t="s">
        <v>4024</v>
      </c>
      <c r="BP298" s="0" t="s">
        <v>4150</v>
      </c>
      <c r="BQ298" s="0" t="s">
        <v>4946</v>
      </c>
      <c r="BR298" s="0" t="s">
        <v>151</v>
      </c>
      <c r="BS298" s="0" t="s">
        <v>228</v>
      </c>
      <c r="BT298" s="0" t="s">
        <v>3670</v>
      </c>
      <c r="BU298" s="0" t="s">
        <v>4947</v>
      </c>
      <c r="BV298" s="0" t="s">
        <v>4948</v>
      </c>
      <c r="BW298" s="0" t="s">
        <v>4949</v>
      </c>
      <c r="BX298" s="0" t="s">
        <v>3674</v>
      </c>
      <c r="BY298" s="0" t="s">
        <v>3674</v>
      </c>
      <c r="BZ298" s="0" t="s">
        <v>3674</v>
      </c>
      <c r="CA298" s="0" t="s">
        <v>3674</v>
      </c>
      <c r="CB298" s="0" t="s">
        <v>3674</v>
      </c>
      <c r="CC298" s="0" t="s">
        <v>3674</v>
      </c>
      <c r="CD298" s="0" t="s">
        <v>3674</v>
      </c>
      <c r="CE298" s="0" t="s">
        <v>3674</v>
      </c>
      <c r="CF298" s="0" t="s">
        <v>3674</v>
      </c>
      <c r="CG298" s="0" t="s">
        <v>3674</v>
      </c>
      <c r="CH298" s="0" t="s">
        <v>3674</v>
      </c>
      <c r="CI298" s="0" t="s">
        <v>3674</v>
      </c>
      <c r="CJ298" s="0" t="s">
        <v>3674</v>
      </c>
      <c r="CK298" s="0" t="s">
        <v>3674</v>
      </c>
      <c r="CL298" s="0" t="s">
        <v>3674</v>
      </c>
      <c r="CM298" s="0" t="s">
        <v>4947</v>
      </c>
      <c r="CN298" s="0" t="s">
        <v>4948</v>
      </c>
      <c r="CO298" s="0" t="s">
        <v>4949</v>
      </c>
      <c r="CP298" s="0" t="s">
        <v>3674</v>
      </c>
      <c r="CQ298" s="0" t="s">
        <v>3674</v>
      </c>
      <c r="CR298" s="0" t="s">
        <v>3674</v>
      </c>
      <c r="CS298" s="0" t="s">
        <v>4950</v>
      </c>
      <c r="CT298" s="0" t="s">
        <v>3568</v>
      </c>
      <c r="CU298" s="0" t="s">
        <v>3569</v>
      </c>
      <c r="CV298" s="0" t="s">
        <v>4030</v>
      </c>
      <c r="CW298" s="0" t="s">
        <v>4031</v>
      </c>
      <c r="CX298" s="0" t="s">
        <v>3603</v>
      </c>
      <c r="CY298" s="0" t="s">
        <v>4030</v>
      </c>
      <c r="CZ298" s="0" t="s">
        <v>3608</v>
      </c>
      <c r="DA298" s="0" t="s">
        <v>4032</v>
      </c>
      <c r="DB298" s="0" t="s">
        <v>3676</v>
      </c>
      <c r="DC298" s="0" t="s">
        <v>362</v>
      </c>
      <c r="DD298" s="0" t="s">
        <v>3572</v>
      </c>
      <c r="DE298" s="0" t="s">
        <v>4156</v>
      </c>
    </row>
    <row customHeight="1" ht="11.25">
      <c r="A299" s="1353" t="s">
        <v>228</v>
      </c>
      <c r="B299" s="0" t="s">
        <v>228</v>
      </c>
      <c r="C299" s="0" t="s">
        <v>228</v>
      </c>
      <c r="D299" s="0" t="s">
        <v>228</v>
      </c>
      <c r="E299" s="0" t="s">
        <v>228</v>
      </c>
      <c r="F299" s="0" t="s">
        <v>228</v>
      </c>
      <c r="G299" s="0" t="s">
        <v>228</v>
      </c>
      <c r="H299" s="0" t="s">
        <v>228</v>
      </c>
      <c r="I299" s="0" t="s">
        <v>3555</v>
      </c>
      <c r="J299" s="0" t="s">
        <v>228</v>
      </c>
      <c r="K299" s="0" t="s">
        <v>228</v>
      </c>
      <c r="L299" s="0" t="s">
        <v>228</v>
      </c>
      <c r="M299" s="0" t="s">
        <v>228</v>
      </c>
      <c r="N299" s="0" t="s">
        <v>228</v>
      </c>
      <c r="O299" s="0" t="s">
        <v>228</v>
      </c>
      <c r="P299" s="0" t="s">
        <v>228</v>
      </c>
      <c r="Q299" s="0" t="s">
        <v>228</v>
      </c>
      <c r="R299" s="0" t="s">
        <v>4951</v>
      </c>
      <c r="S299" s="0" t="s">
        <v>228</v>
      </c>
      <c r="T299" s="0" t="s">
        <v>228</v>
      </c>
      <c r="U299" s="0" t="s">
        <v>101</v>
      </c>
      <c r="V299" s="0" t="s">
        <v>228</v>
      </c>
      <c r="W299" s="0" t="s">
        <v>228</v>
      </c>
      <c r="X299" s="0" t="s">
        <v>3661</v>
      </c>
      <c r="Y299" s="0" t="s">
        <v>228</v>
      </c>
      <c r="Z299" s="0" t="s">
        <v>151</v>
      </c>
      <c r="AA299" s="0" t="s">
        <v>151</v>
      </c>
      <c r="AB299" s="0" t="s">
        <v>160</v>
      </c>
      <c r="AC299" s="0" t="s">
        <v>2317</v>
      </c>
      <c r="AD299" s="0" t="s">
        <v>2317</v>
      </c>
      <c r="AE299" s="0" t="s">
        <v>2318</v>
      </c>
      <c r="AF299" s="0" t="s">
        <v>3826</v>
      </c>
      <c r="AG299" s="0" t="s">
        <v>3827</v>
      </c>
      <c r="AH299" s="0" t="s">
        <v>3651</v>
      </c>
      <c r="AI299" s="0" t="s">
        <v>3651</v>
      </c>
      <c r="AJ299" s="0" t="s">
        <v>228</v>
      </c>
      <c r="AK299" s="0" t="s">
        <v>228</v>
      </c>
      <c r="AL299" s="0" t="s">
        <v>228</v>
      </c>
      <c r="AM299" s="0" t="s">
        <v>228</v>
      </c>
      <c r="AN299" s="0" t="s">
        <v>228</v>
      </c>
      <c r="AO299" s="0" t="s">
        <v>228</v>
      </c>
      <c r="AP299" s="0" t="s">
        <v>228</v>
      </c>
      <c r="AQ299" s="0" t="s">
        <v>228</v>
      </c>
      <c r="AR299" s="0" t="s">
        <v>228</v>
      </c>
      <c r="AS299" s="0" t="s">
        <v>228</v>
      </c>
      <c r="AT299" s="0" t="s">
        <v>228</v>
      </c>
      <c r="AU299" s="0" t="s">
        <v>228</v>
      </c>
      <c r="AV299" s="0" t="s">
        <v>228</v>
      </c>
      <c r="AW299" s="0" t="s">
        <v>228</v>
      </c>
      <c r="AX299" s="0" t="s">
        <v>228</v>
      </c>
      <c r="AY299" s="0" t="s">
        <v>228</v>
      </c>
      <c r="AZ299" s="0" t="s">
        <v>228</v>
      </c>
      <c r="BA299" s="0" t="s">
        <v>228</v>
      </c>
      <c r="BB299" s="0" t="s">
        <v>228</v>
      </c>
      <c r="BC299" s="0" t="s">
        <v>228</v>
      </c>
      <c r="BD299" s="0" t="s">
        <v>228</v>
      </c>
      <c r="BE299" s="0" t="s">
        <v>3654</v>
      </c>
      <c r="BF299" s="0" t="s">
        <v>3563</v>
      </c>
      <c r="BG299" s="0" t="s">
        <v>111</v>
      </c>
      <c r="BH299" s="0" t="s">
        <v>3665</v>
      </c>
      <c r="BI299" s="0" t="s">
        <v>122</v>
      </c>
      <c r="BJ299" s="0" t="s">
        <v>228</v>
      </c>
      <c r="BK299" s="0" t="s">
        <v>4952</v>
      </c>
      <c r="BL299" s="0" t="s">
        <v>2317</v>
      </c>
      <c r="BM299" s="0" t="s">
        <v>2317</v>
      </c>
      <c r="BN299" s="0" t="s">
        <v>3740</v>
      </c>
      <c r="BO299" s="0" t="s">
        <v>3826</v>
      </c>
      <c r="BP299" s="0" t="s">
        <v>4953</v>
      </c>
      <c r="BQ299" s="0" t="s">
        <v>3651</v>
      </c>
      <c r="BR299" s="0" t="s">
        <v>3651</v>
      </c>
      <c r="BS299" s="0" t="s">
        <v>228</v>
      </c>
      <c r="BT299" s="0" t="s">
        <v>3727</v>
      </c>
      <c r="BU299" s="0" t="s">
        <v>4954</v>
      </c>
      <c r="BV299" s="0" t="s">
        <v>4954</v>
      </c>
      <c r="BW299" s="0" t="s">
        <v>3674</v>
      </c>
      <c r="BX299" s="0" t="s">
        <v>3674</v>
      </c>
      <c r="BY299" s="0" t="s">
        <v>3674</v>
      </c>
      <c r="BZ299" s="0" t="s">
        <v>3674</v>
      </c>
      <c r="CA299" s="0" t="s">
        <v>3674</v>
      </c>
      <c r="CB299" s="0" t="s">
        <v>228</v>
      </c>
      <c r="CC299" s="0" t="s">
        <v>228</v>
      </c>
      <c r="CD299" s="0" t="s">
        <v>228</v>
      </c>
      <c r="CE299" s="0" t="s">
        <v>228</v>
      </c>
      <c r="CF299" s="0" t="s">
        <v>228</v>
      </c>
      <c r="CG299" s="0" t="s">
        <v>3674</v>
      </c>
      <c r="CH299" s="0" t="s">
        <v>228</v>
      </c>
      <c r="CI299" s="0" t="s">
        <v>228</v>
      </c>
      <c r="CJ299" s="0" t="s">
        <v>228</v>
      </c>
      <c r="CK299" s="0" t="s">
        <v>228</v>
      </c>
      <c r="CL299" s="0" t="s">
        <v>228</v>
      </c>
      <c r="CM299" s="0" t="s">
        <v>4954</v>
      </c>
      <c r="CN299" s="0" t="s">
        <v>4954</v>
      </c>
      <c r="CO299" s="0" t="s">
        <v>228</v>
      </c>
      <c r="CP299" s="0" t="s">
        <v>228</v>
      </c>
      <c r="CQ299" s="0" t="s">
        <v>228</v>
      </c>
      <c r="CR299" s="0" t="s">
        <v>228</v>
      </c>
      <c r="CS299" s="0" t="s">
        <v>3628</v>
      </c>
      <c r="CT299" s="0" t="s">
        <v>3568</v>
      </c>
      <c r="CU299" s="0" t="s">
        <v>3569</v>
      </c>
      <c r="CV299" s="0" t="s">
        <v>418</v>
      </c>
      <c r="CW299" s="0" t="s">
        <v>3622</v>
      </c>
      <c r="CX299" s="0" t="s">
        <v>419</v>
      </c>
      <c r="CY299" s="0" t="s">
        <v>418</v>
      </c>
      <c r="CZ299" s="0" t="s">
        <v>3623</v>
      </c>
      <c r="DA299" s="0" t="s">
        <v>3624</v>
      </c>
      <c r="DB299" s="0" t="s">
        <v>3622</v>
      </c>
      <c r="DC299" s="0" t="s">
        <v>362</v>
      </c>
      <c r="DD299" s="0" t="s">
        <v>3572</v>
      </c>
      <c r="DE299" s="0" t="s">
        <v>4955</v>
      </c>
    </row>
    <row customHeight="1" ht="11.25">
      <c r="A300" s="1353" t="s">
        <v>228</v>
      </c>
      <c r="B300" s="0" t="s">
        <v>228</v>
      </c>
      <c r="C300" s="0" t="s">
        <v>228</v>
      </c>
      <c r="D300" s="0" t="s">
        <v>228</v>
      </c>
      <c r="E300" s="0" t="s">
        <v>228</v>
      </c>
      <c r="F300" s="0" t="s">
        <v>228</v>
      </c>
      <c r="G300" s="0" t="s">
        <v>228</v>
      </c>
      <c r="H300" s="0" t="s">
        <v>228</v>
      </c>
      <c r="I300" s="0" t="s">
        <v>3555</v>
      </c>
      <c r="J300" s="0" t="s">
        <v>228</v>
      </c>
      <c r="K300" s="0" t="s">
        <v>228</v>
      </c>
      <c r="L300" s="0" t="s">
        <v>228</v>
      </c>
      <c r="M300" s="0" t="s">
        <v>228</v>
      </c>
      <c r="N300" s="0" t="s">
        <v>228</v>
      </c>
      <c r="O300" s="0" t="s">
        <v>228</v>
      </c>
      <c r="P300" s="0" t="s">
        <v>228</v>
      </c>
      <c r="Q300" s="0" t="s">
        <v>228</v>
      </c>
      <c r="R300" s="0" t="s">
        <v>3648</v>
      </c>
      <c r="S300" s="0" t="s">
        <v>228</v>
      </c>
      <c r="T300" s="0" t="s">
        <v>228</v>
      </c>
      <c r="U300" s="0" t="s">
        <v>101</v>
      </c>
      <c r="V300" s="0" t="s">
        <v>228</v>
      </c>
      <c r="W300" s="0" t="s">
        <v>228</v>
      </c>
      <c r="X300" s="0" t="s">
        <v>3557</v>
      </c>
      <c r="Y300" s="0" t="s">
        <v>228</v>
      </c>
      <c r="Z300" s="0" t="s">
        <v>160</v>
      </c>
      <c r="AA300" s="0" t="s">
        <v>151</v>
      </c>
      <c r="AB300" s="0" t="s">
        <v>151</v>
      </c>
      <c r="AC300" s="0" t="s">
        <v>2317</v>
      </c>
      <c r="AD300" s="0" t="s">
        <v>2317</v>
      </c>
      <c r="AE300" s="0" t="s">
        <v>2318</v>
      </c>
      <c r="AF300" s="0" t="s">
        <v>3738</v>
      </c>
      <c r="AG300" s="0" t="s">
        <v>3739</v>
      </c>
      <c r="AH300" s="0" t="s">
        <v>4956</v>
      </c>
      <c r="AI300" s="0" t="s">
        <v>3626</v>
      </c>
      <c r="AJ300" s="0" t="s">
        <v>3579</v>
      </c>
      <c r="AK300" s="0" t="s">
        <v>3749</v>
      </c>
      <c r="AL300" s="0" t="s">
        <v>3581</v>
      </c>
      <c r="AM300" s="0" t="s">
        <v>3565</v>
      </c>
      <c r="AN300" s="0" t="s">
        <v>3620</v>
      </c>
      <c r="AO300" s="0" t="s">
        <v>4530</v>
      </c>
      <c r="AP300" s="0" t="s">
        <v>228</v>
      </c>
      <c r="AQ300" s="0" t="s">
        <v>228</v>
      </c>
      <c r="AR300" s="0" t="s">
        <v>228</v>
      </c>
      <c r="AS300" s="0" t="s">
        <v>228</v>
      </c>
      <c r="AT300" s="0" t="s">
        <v>228</v>
      </c>
      <c r="AU300" s="0" t="s">
        <v>228</v>
      </c>
      <c r="AV300" s="0" t="s">
        <v>228</v>
      </c>
      <c r="AW300" s="0" t="s">
        <v>228</v>
      </c>
      <c r="AX300" s="0" t="s">
        <v>228</v>
      </c>
      <c r="AY300" s="0" t="s">
        <v>228</v>
      </c>
      <c r="AZ300" s="0" t="s">
        <v>228</v>
      </c>
      <c r="BA300" s="0" t="s">
        <v>228</v>
      </c>
      <c r="BB300" s="0" t="s">
        <v>228</v>
      </c>
      <c r="BC300" s="0" t="s">
        <v>228</v>
      </c>
      <c r="BD300" s="0" t="s">
        <v>228</v>
      </c>
      <c r="BE300" s="0" t="s">
        <v>228</v>
      </c>
      <c r="BF300" s="0" t="s">
        <v>228</v>
      </c>
      <c r="BG300" s="0" t="s">
        <v>228</v>
      </c>
      <c r="BH300" s="0" t="s">
        <v>228</v>
      </c>
      <c r="BI300" s="0" t="s">
        <v>228</v>
      </c>
      <c r="BJ300" s="0" t="s">
        <v>228</v>
      </c>
      <c r="BK300" s="0" t="s">
        <v>228</v>
      </c>
      <c r="BL300" s="0" t="s">
        <v>228</v>
      </c>
      <c r="BM300" s="0" t="s">
        <v>228</v>
      </c>
      <c r="BN300" s="0" t="s">
        <v>228</v>
      </c>
      <c r="BO300" s="0" t="s">
        <v>228</v>
      </c>
      <c r="BP300" s="0" t="s">
        <v>228</v>
      </c>
      <c r="BQ300" s="0" t="s">
        <v>228</v>
      </c>
      <c r="BR300" s="0" t="s">
        <v>228</v>
      </c>
      <c r="BS300" s="0" t="s">
        <v>228</v>
      </c>
      <c r="BT300" s="0" t="s">
        <v>228</v>
      </c>
      <c r="BU300" s="0" t="s">
        <v>228</v>
      </c>
      <c r="BV300" s="0" t="s">
        <v>228</v>
      </c>
      <c r="BW300" s="0" t="s">
        <v>228</v>
      </c>
      <c r="BX300" s="0" t="s">
        <v>228</v>
      </c>
      <c r="BY300" s="0" t="s">
        <v>228</v>
      </c>
      <c r="BZ300" s="0" t="s">
        <v>228</v>
      </c>
      <c r="CA300" s="0" t="s">
        <v>228</v>
      </c>
      <c r="CB300" s="0" t="s">
        <v>228</v>
      </c>
      <c r="CC300" s="0" t="s">
        <v>228</v>
      </c>
      <c r="CD300" s="0" t="s">
        <v>228</v>
      </c>
      <c r="CE300" s="0" t="s">
        <v>228</v>
      </c>
      <c r="CF300" s="0" t="s">
        <v>228</v>
      </c>
      <c r="CG300" s="0" t="s">
        <v>228</v>
      </c>
      <c r="CH300" s="0" t="s">
        <v>228</v>
      </c>
      <c r="CI300" s="0" t="s">
        <v>228</v>
      </c>
      <c r="CJ300" s="0" t="s">
        <v>228</v>
      </c>
      <c r="CK300" s="0" t="s">
        <v>228</v>
      </c>
      <c r="CL300" s="0" t="s">
        <v>228</v>
      </c>
      <c r="CM300" s="0" t="s">
        <v>228</v>
      </c>
      <c r="CN300" s="0" t="s">
        <v>228</v>
      </c>
      <c r="CO300" s="0" t="s">
        <v>228</v>
      </c>
      <c r="CP300" s="0" t="s">
        <v>228</v>
      </c>
      <c r="CQ300" s="0" t="s">
        <v>228</v>
      </c>
      <c r="CR300" s="0" t="s">
        <v>228</v>
      </c>
      <c r="CS300" s="0" t="s">
        <v>228</v>
      </c>
      <c r="CT300" s="0" t="s">
        <v>3568</v>
      </c>
      <c r="CU300" s="0" t="s">
        <v>3569</v>
      </c>
      <c r="CV300" s="0" t="s">
        <v>418</v>
      </c>
      <c r="CW300" s="0" t="s">
        <v>3622</v>
      </c>
      <c r="CX300" s="0" t="s">
        <v>419</v>
      </c>
      <c r="CY300" s="0" t="s">
        <v>418</v>
      </c>
      <c r="CZ300" s="0" t="s">
        <v>3623</v>
      </c>
      <c r="DA300" s="0" t="s">
        <v>3624</v>
      </c>
      <c r="DB300" s="0" t="s">
        <v>3622</v>
      </c>
      <c r="DC300" s="0" t="s">
        <v>362</v>
      </c>
      <c r="DD300" s="0" t="s">
        <v>3572</v>
      </c>
      <c r="DE300" s="0" t="s">
        <v>4957</v>
      </c>
    </row>
    <row customHeight="1" ht="11.25">
      <c r="A301" s="1353" t="s">
        <v>228</v>
      </c>
      <c r="B301" s="0" t="s">
        <v>228</v>
      </c>
      <c r="C301" s="0" t="s">
        <v>228</v>
      </c>
      <c r="D301" s="0" t="s">
        <v>228</v>
      </c>
      <c r="E301" s="0" t="s">
        <v>228</v>
      </c>
      <c r="F301" s="0" t="s">
        <v>228</v>
      </c>
      <c r="G301" s="0" t="s">
        <v>228</v>
      </c>
      <c r="H301" s="0" t="s">
        <v>228</v>
      </c>
      <c r="I301" s="0" t="s">
        <v>3555</v>
      </c>
      <c r="J301" s="0" t="s">
        <v>228</v>
      </c>
      <c r="K301" s="0" t="s">
        <v>228</v>
      </c>
      <c r="L301" s="0" t="s">
        <v>228</v>
      </c>
      <c r="M301" s="0" t="s">
        <v>228</v>
      </c>
      <c r="N301" s="0" t="s">
        <v>228</v>
      </c>
      <c r="O301" s="0" t="s">
        <v>228</v>
      </c>
      <c r="P301" s="0" t="s">
        <v>228</v>
      </c>
      <c r="Q301" s="0" t="s">
        <v>228</v>
      </c>
      <c r="R301" s="0" t="s">
        <v>4958</v>
      </c>
      <c r="S301" s="0" t="s">
        <v>228</v>
      </c>
      <c r="T301" s="0" t="s">
        <v>228</v>
      </c>
      <c r="U301" s="0" t="s">
        <v>101</v>
      </c>
      <c r="V301" s="0" t="s">
        <v>228</v>
      </c>
      <c r="W301" s="0" t="s">
        <v>228</v>
      </c>
      <c r="X301" s="0" t="s">
        <v>3557</v>
      </c>
      <c r="Y301" s="0" t="s">
        <v>228</v>
      </c>
      <c r="Z301" s="0" t="s">
        <v>160</v>
      </c>
      <c r="AA301" s="0" t="s">
        <v>151</v>
      </c>
      <c r="AB301" s="0" t="s">
        <v>151</v>
      </c>
      <c r="AC301" s="0" t="s">
        <v>2715</v>
      </c>
      <c r="AD301" s="0" t="s">
        <v>2715</v>
      </c>
      <c r="AE301" s="0" t="s">
        <v>2716</v>
      </c>
      <c r="AF301" s="0" t="s">
        <v>3594</v>
      </c>
      <c r="AG301" s="0" t="s">
        <v>3595</v>
      </c>
      <c r="AH301" s="0" t="s">
        <v>3731</v>
      </c>
      <c r="AI301" s="0" t="s">
        <v>4959</v>
      </c>
      <c r="AJ301" s="0" t="s">
        <v>3636</v>
      </c>
      <c r="AK301" s="0" t="s">
        <v>4960</v>
      </c>
      <c r="AL301" s="0" t="s">
        <v>3599</v>
      </c>
      <c r="AM301" s="0" t="s">
        <v>3565</v>
      </c>
      <c r="AN301" s="0" t="s">
        <v>4675</v>
      </c>
      <c r="AO301" s="0" t="s">
        <v>4676</v>
      </c>
      <c r="AP301" s="0" t="s">
        <v>228</v>
      </c>
      <c r="AQ301" s="0" t="s">
        <v>228</v>
      </c>
      <c r="AR301" s="0" t="s">
        <v>228</v>
      </c>
      <c r="AS301" s="0" t="s">
        <v>228</v>
      </c>
      <c r="AT301" s="0" t="s">
        <v>228</v>
      </c>
      <c r="AU301" s="0" t="s">
        <v>228</v>
      </c>
      <c r="AV301" s="0" t="s">
        <v>228</v>
      </c>
      <c r="AW301" s="0" t="s">
        <v>228</v>
      </c>
      <c r="AX301" s="0" t="s">
        <v>228</v>
      </c>
      <c r="AY301" s="0" t="s">
        <v>228</v>
      </c>
      <c r="AZ301" s="0" t="s">
        <v>228</v>
      </c>
      <c r="BA301" s="0" t="s">
        <v>228</v>
      </c>
      <c r="BB301" s="0" t="s">
        <v>228</v>
      </c>
      <c r="BC301" s="0" t="s">
        <v>228</v>
      </c>
      <c r="BD301" s="0" t="s">
        <v>228</v>
      </c>
      <c r="BE301" s="0" t="s">
        <v>228</v>
      </c>
      <c r="BF301" s="0" t="s">
        <v>228</v>
      </c>
      <c r="BG301" s="0" t="s">
        <v>228</v>
      </c>
      <c r="BH301" s="0" t="s">
        <v>228</v>
      </c>
      <c r="BI301" s="0" t="s">
        <v>228</v>
      </c>
      <c r="BJ301" s="0" t="s">
        <v>228</v>
      </c>
      <c r="BK301" s="0" t="s">
        <v>228</v>
      </c>
      <c r="BL301" s="0" t="s">
        <v>228</v>
      </c>
      <c r="BM301" s="0" t="s">
        <v>228</v>
      </c>
      <c r="BN301" s="0" t="s">
        <v>228</v>
      </c>
      <c r="BO301" s="0" t="s">
        <v>228</v>
      </c>
      <c r="BP301" s="0" t="s">
        <v>228</v>
      </c>
      <c r="BQ301" s="0" t="s">
        <v>228</v>
      </c>
      <c r="BR301" s="0" t="s">
        <v>228</v>
      </c>
      <c r="BS301" s="0" t="s">
        <v>228</v>
      </c>
      <c r="BT301" s="0" t="s">
        <v>228</v>
      </c>
      <c r="BU301" s="0" t="s">
        <v>228</v>
      </c>
      <c r="BV301" s="0" t="s">
        <v>228</v>
      </c>
      <c r="BW301" s="0" t="s">
        <v>228</v>
      </c>
      <c r="BX301" s="0" t="s">
        <v>228</v>
      </c>
      <c r="BY301" s="0" t="s">
        <v>228</v>
      </c>
      <c r="BZ301" s="0" t="s">
        <v>228</v>
      </c>
      <c r="CA301" s="0" t="s">
        <v>228</v>
      </c>
      <c r="CB301" s="0" t="s">
        <v>228</v>
      </c>
      <c r="CC301" s="0" t="s">
        <v>228</v>
      </c>
      <c r="CD301" s="0" t="s">
        <v>228</v>
      </c>
      <c r="CE301" s="0" t="s">
        <v>228</v>
      </c>
      <c r="CF301" s="0" t="s">
        <v>228</v>
      </c>
      <c r="CG301" s="0" t="s">
        <v>228</v>
      </c>
      <c r="CH301" s="0" t="s">
        <v>228</v>
      </c>
      <c r="CI301" s="0" t="s">
        <v>228</v>
      </c>
      <c r="CJ301" s="0" t="s">
        <v>228</v>
      </c>
      <c r="CK301" s="0" t="s">
        <v>228</v>
      </c>
      <c r="CL301" s="0" t="s">
        <v>228</v>
      </c>
      <c r="CM301" s="0" t="s">
        <v>228</v>
      </c>
      <c r="CN301" s="0" t="s">
        <v>228</v>
      </c>
      <c r="CO301" s="0" t="s">
        <v>228</v>
      </c>
      <c r="CP301" s="0" t="s">
        <v>228</v>
      </c>
      <c r="CQ301" s="0" t="s">
        <v>228</v>
      </c>
      <c r="CR301" s="0" t="s">
        <v>228</v>
      </c>
      <c r="CS301" s="0" t="s">
        <v>228</v>
      </c>
      <c r="CT301" s="0" t="s">
        <v>3568</v>
      </c>
      <c r="CU301" s="0" t="s">
        <v>3569</v>
      </c>
      <c r="CV301" s="0" t="s">
        <v>418</v>
      </c>
      <c r="CW301" s="0" t="s">
        <v>3602</v>
      </c>
      <c r="CX301" s="0" t="s">
        <v>3603</v>
      </c>
      <c r="CY301" s="0" t="s">
        <v>418</v>
      </c>
      <c r="CZ301" s="0" t="s">
        <v>504</v>
      </c>
      <c r="DA301" s="0" t="s">
        <v>3604</v>
      </c>
      <c r="DB301" s="0" t="s">
        <v>3602</v>
      </c>
      <c r="DC301" s="0" t="s">
        <v>362</v>
      </c>
      <c r="DD301" s="0" t="s">
        <v>3572</v>
      </c>
      <c r="DE301" s="0" t="s">
        <v>4961</v>
      </c>
    </row>
    <row customHeight="1" ht="11.25">
      <c r="A302" s="1353" t="s">
        <v>228</v>
      </c>
      <c r="B302" s="0" t="s">
        <v>228</v>
      </c>
      <c r="C302" s="0" t="s">
        <v>228</v>
      </c>
      <c r="D302" s="0" t="s">
        <v>228</v>
      </c>
      <c r="E302" s="0" t="s">
        <v>228</v>
      </c>
      <c r="F302" s="0" t="s">
        <v>228</v>
      </c>
      <c r="G302" s="0" t="s">
        <v>228</v>
      </c>
      <c r="H302" s="0" t="s">
        <v>228</v>
      </c>
      <c r="I302" s="0" t="s">
        <v>3555</v>
      </c>
      <c r="J302" s="0" t="s">
        <v>228</v>
      </c>
      <c r="K302" s="0" t="s">
        <v>228</v>
      </c>
      <c r="L302" s="0" t="s">
        <v>228</v>
      </c>
      <c r="M302" s="0" t="s">
        <v>228</v>
      </c>
      <c r="N302" s="0" t="s">
        <v>228</v>
      </c>
      <c r="O302" s="0" t="s">
        <v>228</v>
      </c>
      <c r="P302" s="0" t="s">
        <v>228</v>
      </c>
      <c r="Q302" s="0" t="s">
        <v>228</v>
      </c>
      <c r="R302" s="0" t="s">
        <v>4962</v>
      </c>
      <c r="S302" s="0" t="s">
        <v>228</v>
      </c>
      <c r="T302" s="0" t="s">
        <v>228</v>
      </c>
      <c r="U302" s="0" t="s">
        <v>101</v>
      </c>
      <c r="V302" s="0" t="s">
        <v>228</v>
      </c>
      <c r="W302" s="0" t="s">
        <v>228</v>
      </c>
      <c r="X302" s="0" t="s">
        <v>3557</v>
      </c>
      <c r="Y302" s="0" t="s">
        <v>228</v>
      </c>
      <c r="Z302" s="0" t="s">
        <v>160</v>
      </c>
      <c r="AA302" s="0" t="s">
        <v>151</v>
      </c>
      <c r="AB302" s="0" t="s">
        <v>151</v>
      </c>
      <c r="AC302" s="0" t="s">
        <v>2311</v>
      </c>
      <c r="AD302" s="0" t="s">
        <v>2311</v>
      </c>
      <c r="AE302" s="0" t="s">
        <v>2312</v>
      </c>
      <c r="AF302" s="0" t="s">
        <v>4034</v>
      </c>
      <c r="AG302" s="0" t="s">
        <v>4035</v>
      </c>
      <c r="AH302" s="0" t="s">
        <v>4039</v>
      </c>
      <c r="AI302" s="0" t="s">
        <v>4963</v>
      </c>
      <c r="AJ302" s="0" t="s">
        <v>3579</v>
      </c>
      <c r="AK302" s="0" t="s">
        <v>3579</v>
      </c>
      <c r="AL302" s="0" t="s">
        <v>3681</v>
      </c>
      <c r="AM302" s="0" t="s">
        <v>3565</v>
      </c>
      <c r="AN302" s="0" t="s">
        <v>3582</v>
      </c>
      <c r="AO302" s="0" t="s">
        <v>3823</v>
      </c>
      <c r="AP302" s="0" t="s">
        <v>228</v>
      </c>
      <c r="AQ302" s="0" t="s">
        <v>228</v>
      </c>
      <c r="AR302" s="0" t="s">
        <v>228</v>
      </c>
      <c r="AS302" s="0" t="s">
        <v>228</v>
      </c>
      <c r="AT302" s="0" t="s">
        <v>228</v>
      </c>
      <c r="AU302" s="0" t="s">
        <v>228</v>
      </c>
      <c r="AV302" s="0" t="s">
        <v>228</v>
      </c>
      <c r="AW302" s="0" t="s">
        <v>228</v>
      </c>
      <c r="AX302" s="0" t="s">
        <v>228</v>
      </c>
      <c r="AY302" s="0" t="s">
        <v>228</v>
      </c>
      <c r="AZ302" s="0" t="s">
        <v>228</v>
      </c>
      <c r="BA302" s="0" t="s">
        <v>228</v>
      </c>
      <c r="BB302" s="0" t="s">
        <v>228</v>
      </c>
      <c r="BC302" s="0" t="s">
        <v>228</v>
      </c>
      <c r="BD302" s="0" t="s">
        <v>228</v>
      </c>
      <c r="BE302" s="0" t="s">
        <v>228</v>
      </c>
      <c r="BF302" s="0" t="s">
        <v>228</v>
      </c>
      <c r="BG302" s="0" t="s">
        <v>228</v>
      </c>
      <c r="BH302" s="0" t="s">
        <v>228</v>
      </c>
      <c r="BI302" s="0" t="s">
        <v>228</v>
      </c>
      <c r="BJ302" s="0" t="s">
        <v>228</v>
      </c>
      <c r="BK302" s="0" t="s">
        <v>228</v>
      </c>
      <c r="BL302" s="0" t="s">
        <v>228</v>
      </c>
      <c r="BM302" s="0" t="s">
        <v>228</v>
      </c>
      <c r="BN302" s="0" t="s">
        <v>228</v>
      </c>
      <c r="BO302" s="0" t="s">
        <v>228</v>
      </c>
      <c r="BP302" s="0" t="s">
        <v>228</v>
      </c>
      <c r="BQ302" s="0" t="s">
        <v>228</v>
      </c>
      <c r="BR302" s="0" t="s">
        <v>228</v>
      </c>
      <c r="BS302" s="0" t="s">
        <v>228</v>
      </c>
      <c r="BT302" s="0" t="s">
        <v>228</v>
      </c>
      <c r="BU302" s="0" t="s">
        <v>228</v>
      </c>
      <c r="BV302" s="0" t="s">
        <v>228</v>
      </c>
      <c r="BW302" s="0" t="s">
        <v>228</v>
      </c>
      <c r="BX302" s="0" t="s">
        <v>228</v>
      </c>
      <c r="BY302" s="0" t="s">
        <v>228</v>
      </c>
      <c r="BZ302" s="0" t="s">
        <v>228</v>
      </c>
      <c r="CA302" s="0" t="s">
        <v>228</v>
      </c>
      <c r="CB302" s="0" t="s">
        <v>228</v>
      </c>
      <c r="CC302" s="0" t="s">
        <v>228</v>
      </c>
      <c r="CD302" s="0" t="s">
        <v>228</v>
      </c>
      <c r="CE302" s="0" t="s">
        <v>228</v>
      </c>
      <c r="CF302" s="0" t="s">
        <v>228</v>
      </c>
      <c r="CG302" s="0" t="s">
        <v>228</v>
      </c>
      <c r="CH302" s="0" t="s">
        <v>228</v>
      </c>
      <c r="CI302" s="0" t="s">
        <v>228</v>
      </c>
      <c r="CJ302" s="0" t="s">
        <v>228</v>
      </c>
      <c r="CK302" s="0" t="s">
        <v>228</v>
      </c>
      <c r="CL302" s="0" t="s">
        <v>228</v>
      </c>
      <c r="CM302" s="0" t="s">
        <v>228</v>
      </c>
      <c r="CN302" s="0" t="s">
        <v>228</v>
      </c>
      <c r="CO302" s="0" t="s">
        <v>228</v>
      </c>
      <c r="CP302" s="0" t="s">
        <v>228</v>
      </c>
      <c r="CQ302" s="0" t="s">
        <v>228</v>
      </c>
      <c r="CR302" s="0" t="s">
        <v>228</v>
      </c>
      <c r="CS302" s="0" t="s">
        <v>228</v>
      </c>
      <c r="CT302" s="0" t="s">
        <v>3568</v>
      </c>
      <c r="CU302" s="0" t="s">
        <v>3569</v>
      </c>
      <c r="CV302" s="0" t="s">
        <v>418</v>
      </c>
      <c r="CW302" s="0" t="s">
        <v>3584</v>
      </c>
      <c r="CX302" s="0" t="s">
        <v>419</v>
      </c>
      <c r="CY302" s="0" t="s">
        <v>418</v>
      </c>
      <c r="CZ302" s="0" t="s">
        <v>3585</v>
      </c>
      <c r="DA302" s="0" t="s">
        <v>3586</v>
      </c>
      <c r="DB302" s="0" t="s">
        <v>3584</v>
      </c>
      <c r="DC302" s="0" t="s">
        <v>362</v>
      </c>
      <c r="DD302" s="0" t="s">
        <v>3572</v>
      </c>
      <c r="DE302" s="0" t="s">
        <v>4964</v>
      </c>
    </row>
    <row customHeight="1" ht="11.25">
      <c r="A303" s="1353" t="s">
        <v>228</v>
      </c>
      <c r="B303" s="0" t="s">
        <v>228</v>
      </c>
      <c r="C303" s="0" t="s">
        <v>228</v>
      </c>
      <c r="D303" s="0" t="s">
        <v>228</v>
      </c>
      <c r="E303" s="0" t="s">
        <v>228</v>
      </c>
      <c r="F303" s="0" t="s">
        <v>228</v>
      </c>
      <c r="G303" s="0" t="s">
        <v>228</v>
      </c>
      <c r="H303" s="0" t="s">
        <v>228</v>
      </c>
      <c r="I303" s="0" t="s">
        <v>3555</v>
      </c>
      <c r="J303" s="0" t="s">
        <v>228</v>
      </c>
      <c r="K303" s="0" t="s">
        <v>228</v>
      </c>
      <c r="L303" s="0" t="s">
        <v>228</v>
      </c>
      <c r="M303" s="0" t="s">
        <v>228</v>
      </c>
      <c r="N303" s="0" t="s">
        <v>228</v>
      </c>
      <c r="O303" s="0" t="s">
        <v>228</v>
      </c>
      <c r="P303" s="0" t="s">
        <v>228</v>
      </c>
      <c r="Q303" s="0" t="s">
        <v>228</v>
      </c>
      <c r="R303" s="0" t="s">
        <v>4965</v>
      </c>
      <c r="S303" s="0" t="s">
        <v>228</v>
      </c>
      <c r="T303" s="0" t="s">
        <v>228</v>
      </c>
      <c r="U303" s="0" t="s">
        <v>101</v>
      </c>
      <c r="V303" s="0" t="s">
        <v>228</v>
      </c>
      <c r="W303" s="0" t="s">
        <v>228</v>
      </c>
      <c r="X303" s="0" t="s">
        <v>3661</v>
      </c>
      <c r="Y303" s="0" t="s">
        <v>228</v>
      </c>
      <c r="Z303" s="0" t="s">
        <v>151</v>
      </c>
      <c r="AA303" s="0" t="s">
        <v>151</v>
      </c>
      <c r="AB303" s="0" t="s">
        <v>160</v>
      </c>
      <c r="AC303" s="0" t="s">
        <v>2317</v>
      </c>
      <c r="AD303" s="0" t="s">
        <v>2317</v>
      </c>
      <c r="AE303" s="0" t="s">
        <v>2318</v>
      </c>
      <c r="AF303" s="0" t="s">
        <v>4487</v>
      </c>
      <c r="AG303" s="0" t="s">
        <v>4488</v>
      </c>
      <c r="AH303" s="0" t="s">
        <v>3651</v>
      </c>
      <c r="AI303" s="0" t="s">
        <v>3651</v>
      </c>
      <c r="AJ303" s="0" t="s">
        <v>228</v>
      </c>
      <c r="AK303" s="0" t="s">
        <v>228</v>
      </c>
      <c r="AL303" s="0" t="s">
        <v>228</v>
      </c>
      <c r="AM303" s="0" t="s">
        <v>228</v>
      </c>
      <c r="AN303" s="0" t="s">
        <v>228</v>
      </c>
      <c r="AO303" s="0" t="s">
        <v>228</v>
      </c>
      <c r="AP303" s="0" t="s">
        <v>228</v>
      </c>
      <c r="AQ303" s="0" t="s">
        <v>228</v>
      </c>
      <c r="AR303" s="0" t="s">
        <v>228</v>
      </c>
      <c r="AS303" s="0" t="s">
        <v>228</v>
      </c>
      <c r="AT303" s="0" t="s">
        <v>228</v>
      </c>
      <c r="AU303" s="0" t="s">
        <v>228</v>
      </c>
      <c r="AV303" s="0" t="s">
        <v>228</v>
      </c>
      <c r="AW303" s="0" t="s">
        <v>228</v>
      </c>
      <c r="AX303" s="0" t="s">
        <v>228</v>
      </c>
      <c r="AY303" s="0" t="s">
        <v>228</v>
      </c>
      <c r="AZ303" s="0" t="s">
        <v>228</v>
      </c>
      <c r="BA303" s="0" t="s">
        <v>228</v>
      </c>
      <c r="BB303" s="0" t="s">
        <v>228</v>
      </c>
      <c r="BC303" s="0" t="s">
        <v>228</v>
      </c>
      <c r="BD303" s="0" t="s">
        <v>228</v>
      </c>
      <c r="BE303" s="0" t="s">
        <v>3579</v>
      </c>
      <c r="BF303" s="0" t="s">
        <v>4751</v>
      </c>
      <c r="BG303" s="0" t="s">
        <v>111</v>
      </c>
      <c r="BH303" s="0" t="s">
        <v>3665</v>
      </c>
      <c r="BI303" s="0" t="s">
        <v>122</v>
      </c>
      <c r="BJ303" s="0" t="s">
        <v>228</v>
      </c>
      <c r="BK303" s="0" t="s">
        <v>3684</v>
      </c>
      <c r="BL303" s="0" t="s">
        <v>2317</v>
      </c>
      <c r="BM303" s="0" t="s">
        <v>2317</v>
      </c>
      <c r="BN303" s="0" t="s">
        <v>3740</v>
      </c>
      <c r="BO303" s="0" t="s">
        <v>4487</v>
      </c>
      <c r="BP303" s="0" t="s">
        <v>4966</v>
      </c>
      <c r="BQ303" s="0" t="s">
        <v>3651</v>
      </c>
      <c r="BR303" s="0" t="s">
        <v>3651</v>
      </c>
      <c r="BS303" s="0" t="s">
        <v>228</v>
      </c>
      <c r="BT303" s="0" t="s">
        <v>3727</v>
      </c>
      <c r="BU303" s="0" t="s">
        <v>4967</v>
      </c>
      <c r="BV303" s="0" t="s">
        <v>4967</v>
      </c>
      <c r="BW303" s="0" t="s">
        <v>3674</v>
      </c>
      <c r="BX303" s="0" t="s">
        <v>3674</v>
      </c>
      <c r="BY303" s="0" t="s">
        <v>3674</v>
      </c>
      <c r="BZ303" s="0" t="s">
        <v>3674</v>
      </c>
      <c r="CA303" s="0" t="s">
        <v>3674</v>
      </c>
      <c r="CB303" s="0" t="s">
        <v>228</v>
      </c>
      <c r="CC303" s="0" t="s">
        <v>228</v>
      </c>
      <c r="CD303" s="0" t="s">
        <v>228</v>
      </c>
      <c r="CE303" s="0" t="s">
        <v>228</v>
      </c>
      <c r="CF303" s="0" t="s">
        <v>228</v>
      </c>
      <c r="CG303" s="0" t="s">
        <v>3674</v>
      </c>
      <c r="CH303" s="0" t="s">
        <v>228</v>
      </c>
      <c r="CI303" s="0" t="s">
        <v>228</v>
      </c>
      <c r="CJ303" s="0" t="s">
        <v>228</v>
      </c>
      <c r="CK303" s="0" t="s">
        <v>228</v>
      </c>
      <c r="CL303" s="0" t="s">
        <v>228</v>
      </c>
      <c r="CM303" s="0" t="s">
        <v>4967</v>
      </c>
      <c r="CN303" s="0" t="s">
        <v>4967</v>
      </c>
      <c r="CO303" s="0" t="s">
        <v>228</v>
      </c>
      <c r="CP303" s="0" t="s">
        <v>228</v>
      </c>
      <c r="CQ303" s="0" t="s">
        <v>228</v>
      </c>
      <c r="CR303" s="0" t="s">
        <v>228</v>
      </c>
      <c r="CS303" s="0" t="s">
        <v>3743</v>
      </c>
      <c r="CT303" s="0" t="s">
        <v>3568</v>
      </c>
      <c r="CU303" s="0" t="s">
        <v>3569</v>
      </c>
      <c r="CV303" s="0" t="s">
        <v>418</v>
      </c>
      <c r="CW303" s="0" t="s">
        <v>3622</v>
      </c>
      <c r="CX303" s="0" t="s">
        <v>419</v>
      </c>
      <c r="CY303" s="0" t="s">
        <v>418</v>
      </c>
      <c r="CZ303" s="0" t="s">
        <v>3623</v>
      </c>
      <c r="DA303" s="0" t="s">
        <v>3624</v>
      </c>
      <c r="DB303" s="0" t="s">
        <v>3622</v>
      </c>
      <c r="DC303" s="0" t="s">
        <v>362</v>
      </c>
      <c r="DD303" s="0" t="s">
        <v>3572</v>
      </c>
      <c r="DE303" s="0" t="s">
        <v>4968</v>
      </c>
    </row>
    <row customHeight="1" ht="11.25">
      <c r="A304" s="1353" t="s">
        <v>228</v>
      </c>
      <c r="B304" s="0" t="s">
        <v>228</v>
      </c>
      <c r="C304" s="0" t="s">
        <v>228</v>
      </c>
      <c r="D304" s="0" t="s">
        <v>228</v>
      </c>
      <c r="E304" s="0" t="s">
        <v>228</v>
      </c>
      <c r="F304" s="0" t="s">
        <v>228</v>
      </c>
      <c r="G304" s="0" t="s">
        <v>228</v>
      </c>
      <c r="H304" s="0" t="s">
        <v>228</v>
      </c>
      <c r="I304" s="0" t="s">
        <v>3555</v>
      </c>
      <c r="J304" s="0" t="s">
        <v>228</v>
      </c>
      <c r="K304" s="0" t="s">
        <v>228</v>
      </c>
      <c r="L304" s="0" t="s">
        <v>228</v>
      </c>
      <c r="M304" s="0" t="s">
        <v>228</v>
      </c>
      <c r="N304" s="0" t="s">
        <v>228</v>
      </c>
      <c r="O304" s="0" t="s">
        <v>228</v>
      </c>
      <c r="P304" s="0" t="s">
        <v>228</v>
      </c>
      <c r="Q304" s="0" t="s">
        <v>228</v>
      </c>
      <c r="R304" s="0" t="s">
        <v>4969</v>
      </c>
      <c r="S304" s="0" t="s">
        <v>228</v>
      </c>
      <c r="T304" s="0" t="s">
        <v>228</v>
      </c>
      <c r="U304" s="0" t="s">
        <v>101</v>
      </c>
      <c r="V304" s="0" t="s">
        <v>228</v>
      </c>
      <c r="W304" s="0" t="s">
        <v>228</v>
      </c>
      <c r="X304" s="0" t="s">
        <v>3557</v>
      </c>
      <c r="Y304" s="0" t="s">
        <v>228</v>
      </c>
      <c r="Z304" s="0" t="s">
        <v>160</v>
      </c>
      <c r="AA304" s="0" t="s">
        <v>151</v>
      </c>
      <c r="AB304" s="0" t="s">
        <v>151</v>
      </c>
      <c r="AC304" s="0" t="s">
        <v>2715</v>
      </c>
      <c r="AD304" s="0" t="s">
        <v>2715</v>
      </c>
      <c r="AE304" s="0" t="s">
        <v>2716</v>
      </c>
      <c r="AF304" s="0" t="s">
        <v>3594</v>
      </c>
      <c r="AG304" s="0" t="s">
        <v>3595</v>
      </c>
      <c r="AH304" s="0" t="s">
        <v>4970</v>
      </c>
      <c r="AI304" s="0" t="s">
        <v>4971</v>
      </c>
      <c r="AJ304" s="0" t="s">
        <v>3985</v>
      </c>
      <c r="AK304" s="0" t="s">
        <v>3674</v>
      </c>
      <c r="AL304" s="0" t="s">
        <v>3599</v>
      </c>
      <c r="AM304" s="0" t="s">
        <v>3565</v>
      </c>
      <c r="AN304" s="0" t="s">
        <v>4972</v>
      </c>
      <c r="AO304" s="0" t="s">
        <v>4973</v>
      </c>
      <c r="AP304" s="0" t="s">
        <v>228</v>
      </c>
      <c r="AQ304" s="0" t="s">
        <v>228</v>
      </c>
      <c r="AR304" s="0" t="s">
        <v>228</v>
      </c>
      <c r="AS304" s="0" t="s">
        <v>228</v>
      </c>
      <c r="AT304" s="0" t="s">
        <v>228</v>
      </c>
      <c r="AU304" s="0" t="s">
        <v>228</v>
      </c>
      <c r="AV304" s="0" t="s">
        <v>228</v>
      </c>
      <c r="AW304" s="0" t="s">
        <v>228</v>
      </c>
      <c r="AX304" s="0" t="s">
        <v>228</v>
      </c>
      <c r="AY304" s="0" t="s">
        <v>228</v>
      </c>
      <c r="AZ304" s="0" t="s">
        <v>228</v>
      </c>
      <c r="BA304" s="0" t="s">
        <v>228</v>
      </c>
      <c r="BB304" s="0" t="s">
        <v>228</v>
      </c>
      <c r="BC304" s="0" t="s">
        <v>228</v>
      </c>
      <c r="BD304" s="0" t="s">
        <v>228</v>
      </c>
      <c r="BE304" s="0" t="s">
        <v>228</v>
      </c>
      <c r="BF304" s="0" t="s">
        <v>228</v>
      </c>
      <c r="BG304" s="0" t="s">
        <v>228</v>
      </c>
      <c r="BH304" s="0" t="s">
        <v>228</v>
      </c>
      <c r="BI304" s="0" t="s">
        <v>228</v>
      </c>
      <c r="BJ304" s="0" t="s">
        <v>228</v>
      </c>
      <c r="BK304" s="0" t="s">
        <v>228</v>
      </c>
      <c r="BL304" s="0" t="s">
        <v>228</v>
      </c>
      <c r="BM304" s="0" t="s">
        <v>228</v>
      </c>
      <c r="BN304" s="0" t="s">
        <v>228</v>
      </c>
      <c r="BO304" s="0" t="s">
        <v>228</v>
      </c>
      <c r="BP304" s="0" t="s">
        <v>228</v>
      </c>
      <c r="BQ304" s="0" t="s">
        <v>228</v>
      </c>
      <c r="BR304" s="0" t="s">
        <v>228</v>
      </c>
      <c r="BS304" s="0" t="s">
        <v>228</v>
      </c>
      <c r="BT304" s="0" t="s">
        <v>228</v>
      </c>
      <c r="BU304" s="0" t="s">
        <v>228</v>
      </c>
      <c r="BV304" s="0" t="s">
        <v>228</v>
      </c>
      <c r="BW304" s="0" t="s">
        <v>228</v>
      </c>
      <c r="BX304" s="0" t="s">
        <v>228</v>
      </c>
      <c r="BY304" s="0" t="s">
        <v>228</v>
      </c>
      <c r="BZ304" s="0" t="s">
        <v>228</v>
      </c>
      <c r="CA304" s="0" t="s">
        <v>228</v>
      </c>
      <c r="CB304" s="0" t="s">
        <v>228</v>
      </c>
      <c r="CC304" s="0" t="s">
        <v>228</v>
      </c>
      <c r="CD304" s="0" t="s">
        <v>228</v>
      </c>
      <c r="CE304" s="0" t="s">
        <v>228</v>
      </c>
      <c r="CF304" s="0" t="s">
        <v>228</v>
      </c>
      <c r="CG304" s="0" t="s">
        <v>228</v>
      </c>
      <c r="CH304" s="0" t="s">
        <v>228</v>
      </c>
      <c r="CI304" s="0" t="s">
        <v>228</v>
      </c>
      <c r="CJ304" s="0" t="s">
        <v>228</v>
      </c>
      <c r="CK304" s="0" t="s">
        <v>228</v>
      </c>
      <c r="CL304" s="0" t="s">
        <v>228</v>
      </c>
      <c r="CM304" s="0" t="s">
        <v>228</v>
      </c>
      <c r="CN304" s="0" t="s">
        <v>228</v>
      </c>
      <c r="CO304" s="0" t="s">
        <v>228</v>
      </c>
      <c r="CP304" s="0" t="s">
        <v>228</v>
      </c>
      <c r="CQ304" s="0" t="s">
        <v>228</v>
      </c>
      <c r="CR304" s="0" t="s">
        <v>228</v>
      </c>
      <c r="CS304" s="0" t="s">
        <v>228</v>
      </c>
      <c r="CT304" s="0" t="s">
        <v>3568</v>
      </c>
      <c r="CU304" s="0" t="s">
        <v>3569</v>
      </c>
      <c r="CV304" s="0" t="s">
        <v>418</v>
      </c>
      <c r="CW304" s="0" t="s">
        <v>3602</v>
      </c>
      <c r="CX304" s="0" t="s">
        <v>3603</v>
      </c>
      <c r="CY304" s="0" t="s">
        <v>418</v>
      </c>
      <c r="CZ304" s="0" t="s">
        <v>504</v>
      </c>
      <c r="DA304" s="0" t="s">
        <v>3604</v>
      </c>
      <c r="DB304" s="0" t="s">
        <v>3602</v>
      </c>
      <c r="DC304" s="0" t="s">
        <v>362</v>
      </c>
      <c r="DD304" s="0" t="s">
        <v>3572</v>
      </c>
      <c r="DE304" s="0" t="s">
        <v>4974</v>
      </c>
    </row>
    <row customHeight="1" ht="11.25">
      <c r="A305" s="1353" t="s">
        <v>228</v>
      </c>
      <c r="B305" s="0" t="s">
        <v>228</v>
      </c>
      <c r="C305" s="0" t="s">
        <v>228</v>
      </c>
      <c r="D305" s="0" t="s">
        <v>228</v>
      </c>
      <c r="E305" s="0" t="s">
        <v>228</v>
      </c>
      <c r="F305" s="0" t="s">
        <v>228</v>
      </c>
      <c r="G305" s="0" t="s">
        <v>228</v>
      </c>
      <c r="H305" s="0" t="s">
        <v>228</v>
      </c>
      <c r="I305" s="0" t="s">
        <v>3555</v>
      </c>
      <c r="J305" s="0" t="s">
        <v>228</v>
      </c>
      <c r="K305" s="0" t="s">
        <v>228</v>
      </c>
      <c r="L305" s="0" t="s">
        <v>228</v>
      </c>
      <c r="M305" s="0" t="s">
        <v>228</v>
      </c>
      <c r="N305" s="0" t="s">
        <v>228</v>
      </c>
      <c r="O305" s="0" t="s">
        <v>228</v>
      </c>
      <c r="P305" s="0" t="s">
        <v>228</v>
      </c>
      <c r="Q305" s="0" t="s">
        <v>228</v>
      </c>
      <c r="R305" s="0" t="s">
        <v>3648</v>
      </c>
      <c r="S305" s="0" t="s">
        <v>228</v>
      </c>
      <c r="T305" s="0" t="s">
        <v>228</v>
      </c>
      <c r="U305" s="0" t="s">
        <v>101</v>
      </c>
      <c r="V305" s="0" t="s">
        <v>228</v>
      </c>
      <c r="W305" s="0" t="s">
        <v>228</v>
      </c>
      <c r="X305" s="0" t="s">
        <v>3557</v>
      </c>
      <c r="Y305" s="0" t="s">
        <v>228</v>
      </c>
      <c r="Z305" s="0" t="s">
        <v>160</v>
      </c>
      <c r="AA305" s="0" t="s">
        <v>151</v>
      </c>
      <c r="AB305" s="0" t="s">
        <v>151</v>
      </c>
      <c r="AC305" s="0" t="s">
        <v>2317</v>
      </c>
      <c r="AD305" s="0" t="s">
        <v>2317</v>
      </c>
      <c r="AE305" s="0" t="s">
        <v>2318</v>
      </c>
      <c r="AF305" s="0" t="s">
        <v>3759</v>
      </c>
      <c r="AG305" s="0" t="s">
        <v>3760</v>
      </c>
      <c r="AH305" s="0" t="s">
        <v>4975</v>
      </c>
      <c r="AI305" s="0" t="s">
        <v>4976</v>
      </c>
      <c r="AJ305" s="0" t="s">
        <v>4514</v>
      </c>
      <c r="AK305" s="0" t="s">
        <v>3749</v>
      </c>
      <c r="AL305" s="0" t="s">
        <v>3581</v>
      </c>
      <c r="AM305" s="0" t="s">
        <v>3565</v>
      </c>
      <c r="AN305" s="0" t="s">
        <v>3628</v>
      </c>
      <c r="AO305" s="0" t="s">
        <v>3712</v>
      </c>
      <c r="AP305" s="0" t="s">
        <v>228</v>
      </c>
      <c r="AQ305" s="0" t="s">
        <v>228</v>
      </c>
      <c r="AR305" s="0" t="s">
        <v>228</v>
      </c>
      <c r="AS305" s="0" t="s">
        <v>228</v>
      </c>
      <c r="AT305" s="0" t="s">
        <v>228</v>
      </c>
      <c r="AU305" s="0" t="s">
        <v>228</v>
      </c>
      <c r="AV305" s="0" t="s">
        <v>228</v>
      </c>
      <c r="AW305" s="0" t="s">
        <v>228</v>
      </c>
      <c r="AX305" s="0" t="s">
        <v>228</v>
      </c>
      <c r="AY305" s="0" t="s">
        <v>228</v>
      </c>
      <c r="AZ305" s="0" t="s">
        <v>228</v>
      </c>
      <c r="BA305" s="0" t="s">
        <v>228</v>
      </c>
      <c r="BB305" s="0" t="s">
        <v>228</v>
      </c>
      <c r="BC305" s="0" t="s">
        <v>228</v>
      </c>
      <c r="BD305" s="0" t="s">
        <v>228</v>
      </c>
      <c r="BE305" s="0" t="s">
        <v>228</v>
      </c>
      <c r="BF305" s="0" t="s">
        <v>228</v>
      </c>
      <c r="BG305" s="0" t="s">
        <v>228</v>
      </c>
      <c r="BH305" s="0" t="s">
        <v>228</v>
      </c>
      <c r="BI305" s="0" t="s">
        <v>228</v>
      </c>
      <c r="BJ305" s="0" t="s">
        <v>228</v>
      </c>
      <c r="BK305" s="0" t="s">
        <v>228</v>
      </c>
      <c r="BL305" s="0" t="s">
        <v>228</v>
      </c>
      <c r="BM305" s="0" t="s">
        <v>228</v>
      </c>
      <c r="BN305" s="0" t="s">
        <v>228</v>
      </c>
      <c r="BO305" s="0" t="s">
        <v>228</v>
      </c>
      <c r="BP305" s="0" t="s">
        <v>228</v>
      </c>
      <c r="BQ305" s="0" t="s">
        <v>228</v>
      </c>
      <c r="BR305" s="0" t="s">
        <v>228</v>
      </c>
      <c r="BS305" s="0" t="s">
        <v>228</v>
      </c>
      <c r="BT305" s="0" t="s">
        <v>228</v>
      </c>
      <c r="BU305" s="0" t="s">
        <v>228</v>
      </c>
      <c r="BV305" s="0" t="s">
        <v>228</v>
      </c>
      <c r="BW305" s="0" t="s">
        <v>228</v>
      </c>
      <c r="BX305" s="0" t="s">
        <v>228</v>
      </c>
      <c r="BY305" s="0" t="s">
        <v>228</v>
      </c>
      <c r="BZ305" s="0" t="s">
        <v>228</v>
      </c>
      <c r="CA305" s="0" t="s">
        <v>228</v>
      </c>
      <c r="CB305" s="0" t="s">
        <v>228</v>
      </c>
      <c r="CC305" s="0" t="s">
        <v>228</v>
      </c>
      <c r="CD305" s="0" t="s">
        <v>228</v>
      </c>
      <c r="CE305" s="0" t="s">
        <v>228</v>
      </c>
      <c r="CF305" s="0" t="s">
        <v>228</v>
      </c>
      <c r="CG305" s="0" t="s">
        <v>228</v>
      </c>
      <c r="CH305" s="0" t="s">
        <v>228</v>
      </c>
      <c r="CI305" s="0" t="s">
        <v>228</v>
      </c>
      <c r="CJ305" s="0" t="s">
        <v>228</v>
      </c>
      <c r="CK305" s="0" t="s">
        <v>228</v>
      </c>
      <c r="CL305" s="0" t="s">
        <v>228</v>
      </c>
      <c r="CM305" s="0" t="s">
        <v>228</v>
      </c>
      <c r="CN305" s="0" t="s">
        <v>228</v>
      </c>
      <c r="CO305" s="0" t="s">
        <v>228</v>
      </c>
      <c r="CP305" s="0" t="s">
        <v>228</v>
      </c>
      <c r="CQ305" s="0" t="s">
        <v>228</v>
      </c>
      <c r="CR305" s="0" t="s">
        <v>228</v>
      </c>
      <c r="CS305" s="0" t="s">
        <v>228</v>
      </c>
      <c r="CT305" s="0" t="s">
        <v>3568</v>
      </c>
      <c r="CU305" s="0" t="s">
        <v>3569</v>
      </c>
      <c r="CV305" s="0" t="s">
        <v>418</v>
      </c>
      <c r="CW305" s="0" t="s">
        <v>3622</v>
      </c>
      <c r="CX305" s="0" t="s">
        <v>419</v>
      </c>
      <c r="CY305" s="0" t="s">
        <v>418</v>
      </c>
      <c r="CZ305" s="0" t="s">
        <v>3623</v>
      </c>
      <c r="DA305" s="0" t="s">
        <v>3624</v>
      </c>
      <c r="DB305" s="0" t="s">
        <v>3622</v>
      </c>
      <c r="DC305" s="0" t="s">
        <v>362</v>
      </c>
      <c r="DD305" s="0" t="s">
        <v>3572</v>
      </c>
      <c r="DE305" s="0" t="s">
        <v>4977</v>
      </c>
    </row>
    <row customHeight="1" ht="11.25">
      <c r="A306" s="1353" t="s">
        <v>228</v>
      </c>
      <c r="B306" s="0" t="s">
        <v>228</v>
      </c>
      <c r="C306" s="0" t="s">
        <v>228</v>
      </c>
      <c r="D306" s="0" t="s">
        <v>228</v>
      </c>
      <c r="E306" s="0" t="s">
        <v>228</v>
      </c>
      <c r="F306" s="0" t="s">
        <v>228</v>
      </c>
      <c r="G306" s="0" t="s">
        <v>228</v>
      </c>
      <c r="H306" s="0" t="s">
        <v>228</v>
      </c>
      <c r="I306" s="0" t="s">
        <v>3555</v>
      </c>
      <c r="J306" s="0" t="s">
        <v>228</v>
      </c>
      <c r="K306" s="0" t="s">
        <v>228</v>
      </c>
      <c r="L306" s="0" t="s">
        <v>228</v>
      </c>
      <c r="M306" s="0" t="s">
        <v>228</v>
      </c>
      <c r="N306" s="0" t="s">
        <v>228</v>
      </c>
      <c r="O306" s="0" t="s">
        <v>228</v>
      </c>
      <c r="P306" s="0" t="s">
        <v>228</v>
      </c>
      <c r="Q306" s="0" t="s">
        <v>228</v>
      </c>
      <c r="R306" s="0" t="s">
        <v>4978</v>
      </c>
      <c r="S306" s="0" t="s">
        <v>228</v>
      </c>
      <c r="T306" s="0" t="s">
        <v>228</v>
      </c>
      <c r="U306" s="0" t="s">
        <v>101</v>
      </c>
      <c r="V306" s="0" t="s">
        <v>228</v>
      </c>
      <c r="W306" s="0" t="s">
        <v>228</v>
      </c>
      <c r="X306" s="0" t="s">
        <v>3661</v>
      </c>
      <c r="Y306" s="0" t="s">
        <v>228</v>
      </c>
      <c r="Z306" s="0" t="s">
        <v>151</v>
      </c>
      <c r="AA306" s="0" t="s">
        <v>151</v>
      </c>
      <c r="AB306" s="0" t="s">
        <v>160</v>
      </c>
      <c r="AC306" s="0" t="s">
        <v>2315</v>
      </c>
      <c r="AD306" s="0" t="s">
        <v>2315</v>
      </c>
      <c r="AE306" s="0" t="s">
        <v>2316</v>
      </c>
      <c r="AF306" s="0" t="s">
        <v>4787</v>
      </c>
      <c r="AG306" s="0" t="s">
        <v>4788</v>
      </c>
      <c r="AH306" s="0" t="s">
        <v>3651</v>
      </c>
      <c r="AI306" s="0" t="s">
        <v>3651</v>
      </c>
      <c r="AJ306" s="0" t="s">
        <v>228</v>
      </c>
      <c r="AK306" s="0" t="s">
        <v>228</v>
      </c>
      <c r="AL306" s="0" t="s">
        <v>228</v>
      </c>
      <c r="AM306" s="0" t="s">
        <v>228</v>
      </c>
      <c r="AN306" s="0" t="s">
        <v>228</v>
      </c>
      <c r="AO306" s="0" t="s">
        <v>228</v>
      </c>
      <c r="AP306" s="0" t="s">
        <v>228</v>
      </c>
      <c r="AQ306" s="0" t="s">
        <v>228</v>
      </c>
      <c r="AR306" s="0" t="s">
        <v>228</v>
      </c>
      <c r="AS306" s="0" t="s">
        <v>228</v>
      </c>
      <c r="AT306" s="0" t="s">
        <v>228</v>
      </c>
      <c r="AU306" s="0" t="s">
        <v>228</v>
      </c>
      <c r="AV306" s="0" t="s">
        <v>228</v>
      </c>
      <c r="AW306" s="0" t="s">
        <v>228</v>
      </c>
      <c r="AX306" s="0" t="s">
        <v>228</v>
      </c>
      <c r="AY306" s="0" t="s">
        <v>228</v>
      </c>
      <c r="AZ306" s="0" t="s">
        <v>228</v>
      </c>
      <c r="BA306" s="0" t="s">
        <v>228</v>
      </c>
      <c r="BB306" s="0" t="s">
        <v>228</v>
      </c>
      <c r="BC306" s="0" t="s">
        <v>228</v>
      </c>
      <c r="BD306" s="0" t="s">
        <v>228</v>
      </c>
      <c r="BE306" s="0" t="s">
        <v>3652</v>
      </c>
      <c r="BF306" s="0" t="s">
        <v>4790</v>
      </c>
      <c r="BG306" s="0" t="s">
        <v>111</v>
      </c>
      <c r="BH306" s="0" t="s">
        <v>3665</v>
      </c>
      <c r="BI306" s="0" t="s">
        <v>122</v>
      </c>
      <c r="BJ306" s="0" t="s">
        <v>228</v>
      </c>
      <c r="BK306" s="0" t="s">
        <v>3684</v>
      </c>
      <c r="BL306" s="0" t="s">
        <v>2315</v>
      </c>
      <c r="BM306" s="0" t="s">
        <v>2315</v>
      </c>
      <c r="BN306" s="0" t="s">
        <v>3875</v>
      </c>
      <c r="BO306" s="0" t="s">
        <v>4787</v>
      </c>
      <c r="BP306" s="0" t="s">
        <v>4979</v>
      </c>
      <c r="BQ306" s="0" t="s">
        <v>3651</v>
      </c>
      <c r="BR306" s="0" t="s">
        <v>3651</v>
      </c>
      <c r="BS306" s="0" t="s">
        <v>228</v>
      </c>
      <c r="BT306" s="0" t="s">
        <v>3727</v>
      </c>
      <c r="BU306" s="0" t="s">
        <v>4980</v>
      </c>
      <c r="BV306" s="0" t="s">
        <v>4980</v>
      </c>
      <c r="BW306" s="0" t="s">
        <v>3674</v>
      </c>
      <c r="BX306" s="0" t="s">
        <v>3674</v>
      </c>
      <c r="BY306" s="0" t="s">
        <v>3674</v>
      </c>
      <c r="BZ306" s="0" t="s">
        <v>3674</v>
      </c>
      <c r="CA306" s="0" t="s">
        <v>3674</v>
      </c>
      <c r="CB306" s="0" t="s">
        <v>228</v>
      </c>
      <c r="CC306" s="0" t="s">
        <v>228</v>
      </c>
      <c r="CD306" s="0" t="s">
        <v>228</v>
      </c>
      <c r="CE306" s="0" t="s">
        <v>228</v>
      </c>
      <c r="CF306" s="0" t="s">
        <v>228</v>
      </c>
      <c r="CG306" s="0" t="s">
        <v>3674</v>
      </c>
      <c r="CH306" s="0" t="s">
        <v>228</v>
      </c>
      <c r="CI306" s="0" t="s">
        <v>228</v>
      </c>
      <c r="CJ306" s="0" t="s">
        <v>228</v>
      </c>
      <c r="CK306" s="0" t="s">
        <v>228</v>
      </c>
      <c r="CL306" s="0" t="s">
        <v>228</v>
      </c>
      <c r="CM306" s="0" t="s">
        <v>4980</v>
      </c>
      <c r="CN306" s="0" t="s">
        <v>4980</v>
      </c>
      <c r="CO306" s="0" t="s">
        <v>228</v>
      </c>
      <c r="CP306" s="0" t="s">
        <v>228</v>
      </c>
      <c r="CQ306" s="0" t="s">
        <v>228</v>
      </c>
      <c r="CR306" s="0" t="s">
        <v>228</v>
      </c>
      <c r="CS306" s="0" t="s">
        <v>3654</v>
      </c>
      <c r="CT306" s="0" t="s">
        <v>3568</v>
      </c>
      <c r="CU306" s="0" t="s">
        <v>3569</v>
      </c>
      <c r="CV306" s="0" t="s">
        <v>418</v>
      </c>
      <c r="CW306" s="0" t="s">
        <v>3656</v>
      </c>
      <c r="CX306" s="0" t="s">
        <v>419</v>
      </c>
      <c r="CY306" s="0" t="s">
        <v>418</v>
      </c>
      <c r="CZ306" s="0" t="s">
        <v>3657</v>
      </c>
      <c r="DA306" s="0" t="s">
        <v>3658</v>
      </c>
      <c r="DB306" s="0" t="s">
        <v>3656</v>
      </c>
      <c r="DC306" s="0" t="s">
        <v>362</v>
      </c>
      <c r="DD306" s="0" t="s">
        <v>3572</v>
      </c>
      <c r="DE306" s="0" t="s">
        <v>4981</v>
      </c>
    </row>
    <row customHeight="1" ht="11.25">
      <c r="A307" s="1353" t="s">
        <v>228</v>
      </c>
      <c r="B307" s="0" t="s">
        <v>228</v>
      </c>
      <c r="C307" s="0" t="s">
        <v>228</v>
      </c>
      <c r="D307" s="0" t="s">
        <v>228</v>
      </c>
      <c r="E307" s="0" t="s">
        <v>228</v>
      </c>
      <c r="F307" s="0" t="s">
        <v>228</v>
      </c>
      <c r="G307" s="0" t="s">
        <v>228</v>
      </c>
      <c r="H307" s="0" t="s">
        <v>228</v>
      </c>
      <c r="I307" s="0" t="s">
        <v>3555</v>
      </c>
      <c r="J307" s="0" t="s">
        <v>228</v>
      </c>
      <c r="K307" s="0" t="s">
        <v>228</v>
      </c>
      <c r="L307" s="0" t="s">
        <v>228</v>
      </c>
      <c r="M307" s="0" t="s">
        <v>228</v>
      </c>
      <c r="N307" s="0" t="s">
        <v>228</v>
      </c>
      <c r="O307" s="0" t="s">
        <v>228</v>
      </c>
      <c r="P307" s="0" t="s">
        <v>228</v>
      </c>
      <c r="Q307" s="0" t="s">
        <v>228</v>
      </c>
      <c r="R307" s="0" t="s">
        <v>4982</v>
      </c>
      <c r="S307" s="0" t="s">
        <v>228</v>
      </c>
      <c r="T307" s="0" t="s">
        <v>228</v>
      </c>
      <c r="U307" s="0" t="s">
        <v>101</v>
      </c>
      <c r="V307" s="0" t="s">
        <v>228</v>
      </c>
      <c r="W307" s="0" t="s">
        <v>228</v>
      </c>
      <c r="X307" s="0" t="s">
        <v>3557</v>
      </c>
      <c r="Y307" s="0" t="s">
        <v>228</v>
      </c>
      <c r="Z307" s="0" t="s">
        <v>160</v>
      </c>
      <c r="AA307" s="0" t="s">
        <v>151</v>
      </c>
      <c r="AB307" s="0" t="s">
        <v>151</v>
      </c>
      <c r="AC307" s="0" t="s">
        <v>2290</v>
      </c>
      <c r="AD307" s="0" t="s">
        <v>2290</v>
      </c>
      <c r="AE307" s="0" t="s">
        <v>2292</v>
      </c>
      <c r="AF307" s="0" t="s">
        <v>4912</v>
      </c>
      <c r="AG307" s="0" t="s">
        <v>4913</v>
      </c>
      <c r="AH307" s="0" t="s">
        <v>4983</v>
      </c>
      <c r="AI307" s="0" t="s">
        <v>4984</v>
      </c>
      <c r="AJ307" s="0" t="s">
        <v>4985</v>
      </c>
      <c r="AK307" s="0" t="s">
        <v>4986</v>
      </c>
      <c r="AL307" s="0" t="s">
        <v>3646</v>
      </c>
      <c r="AM307" s="0" t="s">
        <v>3565</v>
      </c>
      <c r="AN307" s="0" t="s">
        <v>3582</v>
      </c>
      <c r="AO307" s="0" t="s">
        <v>3823</v>
      </c>
      <c r="AP307" s="0" t="s">
        <v>228</v>
      </c>
      <c r="AQ307" s="0" t="s">
        <v>228</v>
      </c>
      <c r="AR307" s="0" t="s">
        <v>228</v>
      </c>
      <c r="AS307" s="0" t="s">
        <v>228</v>
      </c>
      <c r="AT307" s="0" t="s">
        <v>228</v>
      </c>
      <c r="AU307" s="0" t="s">
        <v>228</v>
      </c>
      <c r="AV307" s="0" t="s">
        <v>228</v>
      </c>
      <c r="AW307" s="0" t="s">
        <v>228</v>
      </c>
      <c r="AX307" s="0" t="s">
        <v>228</v>
      </c>
      <c r="AY307" s="0" t="s">
        <v>228</v>
      </c>
      <c r="AZ307" s="0" t="s">
        <v>228</v>
      </c>
      <c r="BA307" s="0" t="s">
        <v>228</v>
      </c>
      <c r="BB307" s="0" t="s">
        <v>228</v>
      </c>
      <c r="BC307" s="0" t="s">
        <v>228</v>
      </c>
      <c r="BD307" s="0" t="s">
        <v>228</v>
      </c>
      <c r="BE307" s="0" t="s">
        <v>228</v>
      </c>
      <c r="BF307" s="0" t="s">
        <v>228</v>
      </c>
      <c r="BG307" s="0" t="s">
        <v>228</v>
      </c>
      <c r="BH307" s="0" t="s">
        <v>228</v>
      </c>
      <c r="BI307" s="0" t="s">
        <v>228</v>
      </c>
      <c r="BJ307" s="0" t="s">
        <v>228</v>
      </c>
      <c r="BK307" s="0" t="s">
        <v>228</v>
      </c>
      <c r="BL307" s="0" t="s">
        <v>228</v>
      </c>
      <c r="BM307" s="0" t="s">
        <v>228</v>
      </c>
      <c r="BN307" s="0" t="s">
        <v>228</v>
      </c>
      <c r="BO307" s="0" t="s">
        <v>228</v>
      </c>
      <c r="BP307" s="0" t="s">
        <v>228</v>
      </c>
      <c r="BQ307" s="0" t="s">
        <v>228</v>
      </c>
      <c r="BR307" s="0" t="s">
        <v>228</v>
      </c>
      <c r="BS307" s="0" t="s">
        <v>228</v>
      </c>
      <c r="BT307" s="0" t="s">
        <v>228</v>
      </c>
      <c r="BU307" s="0" t="s">
        <v>228</v>
      </c>
      <c r="BV307" s="0" t="s">
        <v>228</v>
      </c>
      <c r="BW307" s="0" t="s">
        <v>228</v>
      </c>
      <c r="BX307" s="0" t="s">
        <v>228</v>
      </c>
      <c r="BY307" s="0" t="s">
        <v>228</v>
      </c>
      <c r="BZ307" s="0" t="s">
        <v>228</v>
      </c>
      <c r="CA307" s="0" t="s">
        <v>228</v>
      </c>
      <c r="CB307" s="0" t="s">
        <v>228</v>
      </c>
      <c r="CC307" s="0" t="s">
        <v>228</v>
      </c>
      <c r="CD307" s="0" t="s">
        <v>228</v>
      </c>
      <c r="CE307" s="0" t="s">
        <v>228</v>
      </c>
      <c r="CF307" s="0" t="s">
        <v>228</v>
      </c>
      <c r="CG307" s="0" t="s">
        <v>228</v>
      </c>
      <c r="CH307" s="0" t="s">
        <v>228</v>
      </c>
      <c r="CI307" s="0" t="s">
        <v>228</v>
      </c>
      <c r="CJ307" s="0" t="s">
        <v>228</v>
      </c>
      <c r="CK307" s="0" t="s">
        <v>228</v>
      </c>
      <c r="CL307" s="0" t="s">
        <v>228</v>
      </c>
      <c r="CM307" s="0" t="s">
        <v>228</v>
      </c>
      <c r="CN307" s="0" t="s">
        <v>228</v>
      </c>
      <c r="CO307" s="0" t="s">
        <v>228</v>
      </c>
      <c r="CP307" s="0" t="s">
        <v>228</v>
      </c>
      <c r="CQ307" s="0" t="s">
        <v>228</v>
      </c>
      <c r="CR307" s="0" t="s">
        <v>228</v>
      </c>
      <c r="CS307" s="0" t="s">
        <v>228</v>
      </c>
      <c r="CT307" s="0" t="s">
        <v>3568</v>
      </c>
      <c r="CU307" s="0" t="s">
        <v>3569</v>
      </c>
      <c r="CV307" s="0" t="s">
        <v>418</v>
      </c>
      <c r="CW307" s="0" t="s">
        <v>4924</v>
      </c>
      <c r="CX307" s="0" t="s">
        <v>419</v>
      </c>
      <c r="CY307" s="0" t="s">
        <v>418</v>
      </c>
      <c r="CZ307" s="0" t="s">
        <v>319</v>
      </c>
      <c r="DA307" s="0" t="s">
        <v>420</v>
      </c>
      <c r="DB307" s="0" t="s">
        <v>4924</v>
      </c>
      <c r="DC307" s="0" t="s">
        <v>362</v>
      </c>
      <c r="DD307" s="0" t="s">
        <v>3572</v>
      </c>
      <c r="DE307" s="0" t="s">
        <v>4987</v>
      </c>
    </row>
    <row customHeight="1" ht="11.25">
      <c r="A308" s="1353" t="s">
        <v>228</v>
      </c>
      <c r="B308" s="0" t="s">
        <v>228</v>
      </c>
      <c r="C308" s="0" t="s">
        <v>228</v>
      </c>
      <c r="D308" s="0" t="s">
        <v>228</v>
      </c>
      <c r="E308" s="0" t="s">
        <v>228</v>
      </c>
      <c r="F308" s="0" t="s">
        <v>228</v>
      </c>
      <c r="G308" s="0" t="s">
        <v>228</v>
      </c>
      <c r="H308" s="0" t="s">
        <v>228</v>
      </c>
      <c r="I308" s="0" t="s">
        <v>3555</v>
      </c>
      <c r="J308" s="0" t="s">
        <v>228</v>
      </c>
      <c r="K308" s="0" t="s">
        <v>228</v>
      </c>
      <c r="L308" s="0" t="s">
        <v>228</v>
      </c>
      <c r="M308" s="0" t="s">
        <v>228</v>
      </c>
      <c r="N308" s="0" t="s">
        <v>228</v>
      </c>
      <c r="O308" s="0" t="s">
        <v>228</v>
      </c>
      <c r="P308" s="0" t="s">
        <v>228</v>
      </c>
      <c r="Q308" s="0" t="s">
        <v>228</v>
      </c>
      <c r="R308" s="0" t="s">
        <v>4988</v>
      </c>
      <c r="S308" s="0" t="s">
        <v>228</v>
      </c>
      <c r="T308" s="0" t="s">
        <v>228</v>
      </c>
      <c r="U308" s="0" t="s">
        <v>101</v>
      </c>
      <c r="V308" s="0" t="s">
        <v>228</v>
      </c>
      <c r="W308" s="0" t="s">
        <v>228</v>
      </c>
      <c r="X308" s="0" t="s">
        <v>3557</v>
      </c>
      <c r="Y308" s="0" t="s">
        <v>228</v>
      </c>
      <c r="Z308" s="0" t="s">
        <v>160</v>
      </c>
      <c r="AA308" s="0" t="s">
        <v>151</v>
      </c>
      <c r="AB308" s="0" t="s">
        <v>151</v>
      </c>
      <c r="AC308" s="0" t="s">
        <v>2290</v>
      </c>
      <c r="AD308" s="0" t="s">
        <v>2290</v>
      </c>
      <c r="AE308" s="0" t="s">
        <v>2292</v>
      </c>
      <c r="AF308" s="0" t="s">
        <v>4989</v>
      </c>
      <c r="AG308" s="0" t="s">
        <v>4990</v>
      </c>
      <c r="AH308" s="0" t="s">
        <v>4991</v>
      </c>
      <c r="AI308" s="0" t="s">
        <v>4992</v>
      </c>
      <c r="AJ308" s="0" t="s">
        <v>4993</v>
      </c>
      <c r="AK308" s="0" t="s">
        <v>4994</v>
      </c>
      <c r="AL308" s="0" t="s">
        <v>3646</v>
      </c>
      <c r="AM308" s="0" t="s">
        <v>3565</v>
      </c>
      <c r="AN308" s="0" t="s">
        <v>3582</v>
      </c>
      <c r="AO308" s="0" t="s">
        <v>3823</v>
      </c>
      <c r="AP308" s="0" t="s">
        <v>228</v>
      </c>
      <c r="AQ308" s="0" t="s">
        <v>228</v>
      </c>
      <c r="AR308" s="0" t="s">
        <v>228</v>
      </c>
      <c r="AS308" s="0" t="s">
        <v>228</v>
      </c>
      <c r="AT308" s="0" t="s">
        <v>228</v>
      </c>
      <c r="AU308" s="0" t="s">
        <v>228</v>
      </c>
      <c r="AV308" s="0" t="s">
        <v>228</v>
      </c>
      <c r="AW308" s="0" t="s">
        <v>228</v>
      </c>
      <c r="AX308" s="0" t="s">
        <v>228</v>
      </c>
      <c r="AY308" s="0" t="s">
        <v>228</v>
      </c>
      <c r="AZ308" s="0" t="s">
        <v>228</v>
      </c>
      <c r="BA308" s="0" t="s">
        <v>228</v>
      </c>
      <c r="BB308" s="0" t="s">
        <v>228</v>
      </c>
      <c r="BC308" s="0" t="s">
        <v>228</v>
      </c>
      <c r="BD308" s="0" t="s">
        <v>228</v>
      </c>
      <c r="BE308" s="0" t="s">
        <v>228</v>
      </c>
      <c r="BF308" s="0" t="s">
        <v>228</v>
      </c>
      <c r="BG308" s="0" t="s">
        <v>228</v>
      </c>
      <c r="BH308" s="0" t="s">
        <v>228</v>
      </c>
      <c r="BI308" s="0" t="s">
        <v>228</v>
      </c>
      <c r="BJ308" s="0" t="s">
        <v>228</v>
      </c>
      <c r="BK308" s="0" t="s">
        <v>228</v>
      </c>
      <c r="BL308" s="0" t="s">
        <v>228</v>
      </c>
      <c r="BM308" s="0" t="s">
        <v>228</v>
      </c>
      <c r="BN308" s="0" t="s">
        <v>228</v>
      </c>
      <c r="BO308" s="0" t="s">
        <v>228</v>
      </c>
      <c r="BP308" s="0" t="s">
        <v>228</v>
      </c>
      <c r="BQ308" s="0" t="s">
        <v>228</v>
      </c>
      <c r="BR308" s="0" t="s">
        <v>228</v>
      </c>
      <c r="BS308" s="0" t="s">
        <v>228</v>
      </c>
      <c r="BT308" s="0" t="s">
        <v>228</v>
      </c>
      <c r="BU308" s="0" t="s">
        <v>228</v>
      </c>
      <c r="BV308" s="0" t="s">
        <v>228</v>
      </c>
      <c r="BW308" s="0" t="s">
        <v>228</v>
      </c>
      <c r="BX308" s="0" t="s">
        <v>228</v>
      </c>
      <c r="BY308" s="0" t="s">
        <v>228</v>
      </c>
      <c r="BZ308" s="0" t="s">
        <v>228</v>
      </c>
      <c r="CA308" s="0" t="s">
        <v>228</v>
      </c>
      <c r="CB308" s="0" t="s">
        <v>228</v>
      </c>
      <c r="CC308" s="0" t="s">
        <v>228</v>
      </c>
      <c r="CD308" s="0" t="s">
        <v>228</v>
      </c>
      <c r="CE308" s="0" t="s">
        <v>228</v>
      </c>
      <c r="CF308" s="0" t="s">
        <v>228</v>
      </c>
      <c r="CG308" s="0" t="s">
        <v>228</v>
      </c>
      <c r="CH308" s="0" t="s">
        <v>228</v>
      </c>
      <c r="CI308" s="0" t="s">
        <v>228</v>
      </c>
      <c r="CJ308" s="0" t="s">
        <v>228</v>
      </c>
      <c r="CK308" s="0" t="s">
        <v>228</v>
      </c>
      <c r="CL308" s="0" t="s">
        <v>228</v>
      </c>
      <c r="CM308" s="0" t="s">
        <v>228</v>
      </c>
      <c r="CN308" s="0" t="s">
        <v>228</v>
      </c>
      <c r="CO308" s="0" t="s">
        <v>228</v>
      </c>
      <c r="CP308" s="0" t="s">
        <v>228</v>
      </c>
      <c r="CQ308" s="0" t="s">
        <v>228</v>
      </c>
      <c r="CR308" s="0" t="s">
        <v>228</v>
      </c>
      <c r="CS308" s="0" t="s">
        <v>228</v>
      </c>
      <c r="CT308" s="0" t="s">
        <v>3568</v>
      </c>
      <c r="CU308" s="0" t="s">
        <v>3569</v>
      </c>
      <c r="CV308" s="0" t="s">
        <v>418</v>
      </c>
      <c r="CW308" s="0" t="s">
        <v>4924</v>
      </c>
      <c r="CX308" s="0" t="s">
        <v>419</v>
      </c>
      <c r="CY308" s="0" t="s">
        <v>418</v>
      </c>
      <c r="CZ308" s="0" t="s">
        <v>319</v>
      </c>
      <c r="DA308" s="0" t="s">
        <v>420</v>
      </c>
      <c r="DB308" s="0" t="s">
        <v>4924</v>
      </c>
      <c r="DC308" s="0" t="s">
        <v>362</v>
      </c>
      <c r="DD308" s="0" t="s">
        <v>3572</v>
      </c>
      <c r="DE308" s="0" t="s">
        <v>4995</v>
      </c>
    </row>
    <row customHeight="1" ht="11.25">
      <c r="A309" s="1353" t="s">
        <v>228</v>
      </c>
      <c r="B309" s="0" t="s">
        <v>228</v>
      </c>
      <c r="C309" s="0" t="s">
        <v>228</v>
      </c>
      <c r="D309" s="0" t="s">
        <v>228</v>
      </c>
      <c r="E309" s="0" t="s">
        <v>228</v>
      </c>
      <c r="F309" s="0" t="s">
        <v>228</v>
      </c>
      <c r="G309" s="0" t="s">
        <v>228</v>
      </c>
      <c r="H309" s="0" t="s">
        <v>228</v>
      </c>
      <c r="I309" s="0" t="s">
        <v>3555</v>
      </c>
      <c r="J309" s="0" t="s">
        <v>228</v>
      </c>
      <c r="K309" s="0" t="s">
        <v>228</v>
      </c>
      <c r="L309" s="0" t="s">
        <v>228</v>
      </c>
      <c r="M309" s="0" t="s">
        <v>228</v>
      </c>
      <c r="N309" s="0" t="s">
        <v>228</v>
      </c>
      <c r="O309" s="0" t="s">
        <v>228</v>
      </c>
      <c r="P309" s="0" t="s">
        <v>228</v>
      </c>
      <c r="Q309" s="0" t="s">
        <v>228</v>
      </c>
      <c r="R309" s="0" t="s">
        <v>3684</v>
      </c>
      <c r="S309" s="0" t="s">
        <v>228</v>
      </c>
      <c r="T309" s="0" t="s">
        <v>228</v>
      </c>
      <c r="U309" s="0" t="s">
        <v>101</v>
      </c>
      <c r="V309" s="0" t="s">
        <v>228</v>
      </c>
      <c r="W309" s="0" t="s">
        <v>228</v>
      </c>
      <c r="X309" s="0" t="s">
        <v>3557</v>
      </c>
      <c r="Y309" s="0" t="s">
        <v>228</v>
      </c>
      <c r="Z309" s="0" t="s">
        <v>160</v>
      </c>
      <c r="AA309" s="0" t="s">
        <v>151</v>
      </c>
      <c r="AB309" s="0" t="s">
        <v>151</v>
      </c>
      <c r="AC309" s="0" t="s">
        <v>2311</v>
      </c>
      <c r="AD309" s="0" t="s">
        <v>2311</v>
      </c>
      <c r="AE309" s="0" t="s">
        <v>2312</v>
      </c>
      <c r="AF309" s="0" t="s">
        <v>4520</v>
      </c>
      <c r="AG309" s="0" t="s">
        <v>4521</v>
      </c>
      <c r="AH309" s="0" t="s">
        <v>4523</v>
      </c>
      <c r="AI309" s="0" t="s">
        <v>4996</v>
      </c>
      <c r="AJ309" s="0" t="s">
        <v>3579</v>
      </c>
      <c r="AK309" s="0" t="s">
        <v>3580</v>
      </c>
      <c r="AL309" s="0" t="s">
        <v>3581</v>
      </c>
      <c r="AM309" s="0" t="s">
        <v>3565</v>
      </c>
      <c r="AN309" s="0" t="s">
        <v>3582</v>
      </c>
      <c r="AO309" s="0" t="s">
        <v>3772</v>
      </c>
      <c r="AP309" s="0" t="s">
        <v>228</v>
      </c>
      <c r="AQ309" s="0" t="s">
        <v>228</v>
      </c>
      <c r="AR309" s="0" t="s">
        <v>228</v>
      </c>
      <c r="AS309" s="0" t="s">
        <v>228</v>
      </c>
      <c r="AT309" s="0" t="s">
        <v>228</v>
      </c>
      <c r="AU309" s="0" t="s">
        <v>228</v>
      </c>
      <c r="AV309" s="0" t="s">
        <v>228</v>
      </c>
      <c r="AW309" s="0" t="s">
        <v>228</v>
      </c>
      <c r="AX309" s="0" t="s">
        <v>228</v>
      </c>
      <c r="AY309" s="0" t="s">
        <v>228</v>
      </c>
      <c r="AZ309" s="0" t="s">
        <v>228</v>
      </c>
      <c r="BA309" s="0" t="s">
        <v>228</v>
      </c>
      <c r="BB309" s="0" t="s">
        <v>228</v>
      </c>
      <c r="BC309" s="0" t="s">
        <v>228</v>
      </c>
      <c r="BD309" s="0" t="s">
        <v>228</v>
      </c>
      <c r="BE309" s="0" t="s">
        <v>228</v>
      </c>
      <c r="BF309" s="0" t="s">
        <v>228</v>
      </c>
      <c r="BG309" s="0" t="s">
        <v>228</v>
      </c>
      <c r="BH309" s="0" t="s">
        <v>228</v>
      </c>
      <c r="BI309" s="0" t="s">
        <v>228</v>
      </c>
      <c r="BJ309" s="0" t="s">
        <v>228</v>
      </c>
      <c r="BK309" s="0" t="s">
        <v>228</v>
      </c>
      <c r="BL309" s="0" t="s">
        <v>228</v>
      </c>
      <c r="BM309" s="0" t="s">
        <v>228</v>
      </c>
      <c r="BN309" s="0" t="s">
        <v>228</v>
      </c>
      <c r="BO309" s="0" t="s">
        <v>228</v>
      </c>
      <c r="BP309" s="0" t="s">
        <v>228</v>
      </c>
      <c r="BQ309" s="0" t="s">
        <v>228</v>
      </c>
      <c r="BR309" s="0" t="s">
        <v>228</v>
      </c>
      <c r="BS309" s="0" t="s">
        <v>228</v>
      </c>
      <c r="BT309" s="0" t="s">
        <v>228</v>
      </c>
      <c r="BU309" s="0" t="s">
        <v>228</v>
      </c>
      <c r="BV309" s="0" t="s">
        <v>228</v>
      </c>
      <c r="BW309" s="0" t="s">
        <v>228</v>
      </c>
      <c r="BX309" s="0" t="s">
        <v>228</v>
      </c>
      <c r="BY309" s="0" t="s">
        <v>228</v>
      </c>
      <c r="BZ309" s="0" t="s">
        <v>228</v>
      </c>
      <c r="CA309" s="0" t="s">
        <v>228</v>
      </c>
      <c r="CB309" s="0" t="s">
        <v>228</v>
      </c>
      <c r="CC309" s="0" t="s">
        <v>228</v>
      </c>
      <c r="CD309" s="0" t="s">
        <v>228</v>
      </c>
      <c r="CE309" s="0" t="s">
        <v>228</v>
      </c>
      <c r="CF309" s="0" t="s">
        <v>228</v>
      </c>
      <c r="CG309" s="0" t="s">
        <v>228</v>
      </c>
      <c r="CH309" s="0" t="s">
        <v>228</v>
      </c>
      <c r="CI309" s="0" t="s">
        <v>228</v>
      </c>
      <c r="CJ309" s="0" t="s">
        <v>228</v>
      </c>
      <c r="CK309" s="0" t="s">
        <v>228</v>
      </c>
      <c r="CL309" s="0" t="s">
        <v>228</v>
      </c>
      <c r="CM309" s="0" t="s">
        <v>228</v>
      </c>
      <c r="CN309" s="0" t="s">
        <v>228</v>
      </c>
      <c r="CO309" s="0" t="s">
        <v>228</v>
      </c>
      <c r="CP309" s="0" t="s">
        <v>228</v>
      </c>
      <c r="CQ309" s="0" t="s">
        <v>228</v>
      </c>
      <c r="CR309" s="0" t="s">
        <v>228</v>
      </c>
      <c r="CS309" s="0" t="s">
        <v>228</v>
      </c>
      <c r="CT309" s="0" t="s">
        <v>3568</v>
      </c>
      <c r="CU309" s="0" t="s">
        <v>3569</v>
      </c>
      <c r="CV309" s="0" t="s">
        <v>418</v>
      </c>
      <c r="CW309" s="0" t="s">
        <v>3584</v>
      </c>
      <c r="CX309" s="0" t="s">
        <v>419</v>
      </c>
      <c r="CY309" s="0" t="s">
        <v>418</v>
      </c>
      <c r="CZ309" s="0" t="s">
        <v>3585</v>
      </c>
      <c r="DA309" s="0" t="s">
        <v>3586</v>
      </c>
      <c r="DB309" s="0" t="s">
        <v>3584</v>
      </c>
      <c r="DC309" s="0" t="s">
        <v>362</v>
      </c>
      <c r="DD309" s="0" t="s">
        <v>3572</v>
      </c>
      <c r="DE309" s="0" t="s">
        <v>4997</v>
      </c>
    </row>
    <row customHeight="1" ht="11.25">
      <c r="A310" s="1353" t="s">
        <v>228</v>
      </c>
      <c r="B310" s="0" t="s">
        <v>228</v>
      </c>
      <c r="C310" s="0" t="s">
        <v>228</v>
      </c>
      <c r="D310" s="0" t="s">
        <v>228</v>
      </c>
      <c r="E310" s="0" t="s">
        <v>228</v>
      </c>
      <c r="F310" s="0" t="s">
        <v>228</v>
      </c>
      <c r="G310" s="0" t="s">
        <v>228</v>
      </c>
      <c r="H310" s="0" t="s">
        <v>228</v>
      </c>
      <c r="I310" s="0" t="s">
        <v>3555</v>
      </c>
      <c r="J310" s="0" t="s">
        <v>228</v>
      </c>
      <c r="K310" s="0" t="s">
        <v>228</v>
      </c>
      <c r="L310" s="0" t="s">
        <v>228</v>
      </c>
      <c r="M310" s="0" t="s">
        <v>228</v>
      </c>
      <c r="N310" s="0" t="s">
        <v>228</v>
      </c>
      <c r="O310" s="0" t="s">
        <v>228</v>
      </c>
      <c r="P310" s="0" t="s">
        <v>228</v>
      </c>
      <c r="Q310" s="0" t="s">
        <v>228</v>
      </c>
      <c r="R310" s="0" t="s">
        <v>3782</v>
      </c>
      <c r="S310" s="0" t="s">
        <v>228</v>
      </c>
      <c r="T310" s="0" t="s">
        <v>228</v>
      </c>
      <c r="U310" s="0" t="s">
        <v>101</v>
      </c>
      <c r="V310" s="0" t="s">
        <v>228</v>
      </c>
      <c r="W310" s="0" t="s">
        <v>228</v>
      </c>
      <c r="X310" s="0" t="s">
        <v>3661</v>
      </c>
      <c r="Y310" s="0" t="s">
        <v>228</v>
      </c>
      <c r="Z310" s="0" t="s">
        <v>151</v>
      </c>
      <c r="AA310" s="0" t="s">
        <v>151</v>
      </c>
      <c r="AB310" s="0" t="s">
        <v>160</v>
      </c>
      <c r="AC310" s="0" t="s">
        <v>2311</v>
      </c>
      <c r="AD310" s="0" t="s">
        <v>2311</v>
      </c>
      <c r="AE310" s="0" t="s">
        <v>2312</v>
      </c>
      <c r="AF310" s="0" t="s">
        <v>3697</v>
      </c>
      <c r="AG310" s="0" t="s">
        <v>3698</v>
      </c>
      <c r="AH310" s="0" t="s">
        <v>3697</v>
      </c>
      <c r="AI310" s="0" t="s">
        <v>3721</v>
      </c>
      <c r="AJ310" s="0" t="s">
        <v>228</v>
      </c>
      <c r="AK310" s="0" t="s">
        <v>228</v>
      </c>
      <c r="AL310" s="0" t="s">
        <v>228</v>
      </c>
      <c r="AM310" s="0" t="s">
        <v>228</v>
      </c>
      <c r="AN310" s="0" t="s">
        <v>228</v>
      </c>
      <c r="AO310" s="0" t="s">
        <v>228</v>
      </c>
      <c r="AP310" s="0" t="s">
        <v>228</v>
      </c>
      <c r="AQ310" s="0" t="s">
        <v>228</v>
      </c>
      <c r="AR310" s="0" t="s">
        <v>228</v>
      </c>
      <c r="AS310" s="0" t="s">
        <v>228</v>
      </c>
      <c r="AT310" s="0" t="s">
        <v>228</v>
      </c>
      <c r="AU310" s="0" t="s">
        <v>228</v>
      </c>
      <c r="AV310" s="0" t="s">
        <v>228</v>
      </c>
      <c r="AW310" s="0" t="s">
        <v>228</v>
      </c>
      <c r="AX310" s="0" t="s">
        <v>228</v>
      </c>
      <c r="AY310" s="0" t="s">
        <v>228</v>
      </c>
      <c r="AZ310" s="0" t="s">
        <v>228</v>
      </c>
      <c r="BA310" s="0" t="s">
        <v>228</v>
      </c>
      <c r="BB310" s="0" t="s">
        <v>228</v>
      </c>
      <c r="BC310" s="0" t="s">
        <v>228</v>
      </c>
      <c r="BD310" s="0" t="s">
        <v>228</v>
      </c>
      <c r="BE310" s="0" t="s">
        <v>3722</v>
      </c>
      <c r="BF310" s="0" t="s">
        <v>3722</v>
      </c>
      <c r="BG310" s="0" t="s">
        <v>111</v>
      </c>
      <c r="BH310" s="0" t="s">
        <v>3665</v>
      </c>
      <c r="BI310" s="0" t="s">
        <v>122</v>
      </c>
      <c r="BJ310" s="0" t="s">
        <v>228</v>
      </c>
      <c r="BK310" s="0" t="s">
        <v>3684</v>
      </c>
      <c r="BL310" s="0" t="s">
        <v>2311</v>
      </c>
      <c r="BM310" s="0" t="s">
        <v>2311</v>
      </c>
      <c r="BN310" s="0" t="s">
        <v>3723</v>
      </c>
      <c r="BO310" s="0" t="s">
        <v>3697</v>
      </c>
      <c r="BP310" s="0" t="s">
        <v>4998</v>
      </c>
      <c r="BQ310" s="0" t="s">
        <v>3699</v>
      </c>
      <c r="BR310" s="0" t="s">
        <v>4693</v>
      </c>
      <c r="BS310" s="0" t="s">
        <v>228</v>
      </c>
      <c r="BT310" s="0" t="s">
        <v>3727</v>
      </c>
      <c r="BU310" s="0" t="s">
        <v>4999</v>
      </c>
      <c r="BV310" s="0" t="s">
        <v>4999</v>
      </c>
      <c r="BW310" s="0" t="s">
        <v>3674</v>
      </c>
      <c r="BX310" s="0" t="s">
        <v>3674</v>
      </c>
      <c r="BY310" s="0" t="s">
        <v>3674</v>
      </c>
      <c r="BZ310" s="0" t="s">
        <v>3674</v>
      </c>
      <c r="CA310" s="0" t="s">
        <v>3674</v>
      </c>
      <c r="CB310" s="0" t="s">
        <v>228</v>
      </c>
      <c r="CC310" s="0" t="s">
        <v>228</v>
      </c>
      <c r="CD310" s="0" t="s">
        <v>228</v>
      </c>
      <c r="CE310" s="0" t="s">
        <v>228</v>
      </c>
      <c r="CF310" s="0" t="s">
        <v>228</v>
      </c>
      <c r="CG310" s="0" t="s">
        <v>3674</v>
      </c>
      <c r="CH310" s="0" t="s">
        <v>228</v>
      </c>
      <c r="CI310" s="0" t="s">
        <v>228</v>
      </c>
      <c r="CJ310" s="0" t="s">
        <v>228</v>
      </c>
      <c r="CK310" s="0" t="s">
        <v>228</v>
      </c>
      <c r="CL310" s="0" t="s">
        <v>228</v>
      </c>
      <c r="CM310" s="0" t="s">
        <v>4999</v>
      </c>
      <c r="CN310" s="0" t="s">
        <v>4999</v>
      </c>
      <c r="CO310" s="0" t="s">
        <v>228</v>
      </c>
      <c r="CP310" s="0" t="s">
        <v>228</v>
      </c>
      <c r="CQ310" s="0" t="s">
        <v>228</v>
      </c>
      <c r="CR310" s="0" t="s">
        <v>228</v>
      </c>
      <c r="CS310" s="0" t="s">
        <v>3582</v>
      </c>
      <c r="CT310" s="0" t="s">
        <v>3568</v>
      </c>
      <c r="CU310" s="0" t="s">
        <v>3569</v>
      </c>
      <c r="CV310" s="0" t="s">
        <v>418</v>
      </c>
      <c r="CW310" s="0" t="s">
        <v>3584</v>
      </c>
      <c r="CX310" s="0" t="s">
        <v>419</v>
      </c>
      <c r="CY310" s="0" t="s">
        <v>418</v>
      </c>
      <c r="CZ310" s="0" t="s">
        <v>3585</v>
      </c>
      <c r="DA310" s="0" t="s">
        <v>3586</v>
      </c>
      <c r="DB310" s="0" t="s">
        <v>3584</v>
      </c>
      <c r="DC310" s="0" t="s">
        <v>362</v>
      </c>
      <c r="DD310" s="0" t="s">
        <v>3572</v>
      </c>
      <c r="DE310" s="0" t="s">
        <v>5000</v>
      </c>
    </row>
    <row customHeight="1" ht="11.25">
      <c r="A311" s="1353" t="s">
        <v>228</v>
      </c>
      <c r="B311" s="0" t="s">
        <v>228</v>
      </c>
      <c r="C311" s="0" t="s">
        <v>228</v>
      </c>
      <c r="D311" s="0" t="s">
        <v>228</v>
      </c>
      <c r="E311" s="0" t="s">
        <v>228</v>
      </c>
      <c r="F311" s="0" t="s">
        <v>228</v>
      </c>
      <c r="G311" s="0" t="s">
        <v>228</v>
      </c>
      <c r="H311" s="0" t="s">
        <v>228</v>
      </c>
      <c r="I311" s="0" t="s">
        <v>3555</v>
      </c>
      <c r="J311" s="0" t="s">
        <v>228</v>
      </c>
      <c r="K311" s="0" t="s">
        <v>228</v>
      </c>
      <c r="L311" s="0" t="s">
        <v>228</v>
      </c>
      <c r="M311" s="0" t="s">
        <v>228</v>
      </c>
      <c r="N311" s="0" t="s">
        <v>228</v>
      </c>
      <c r="O311" s="0" t="s">
        <v>228</v>
      </c>
      <c r="P311" s="0" t="s">
        <v>228</v>
      </c>
      <c r="Q311" s="0" t="s">
        <v>228</v>
      </c>
      <c r="R311" s="0" t="s">
        <v>5001</v>
      </c>
      <c r="S311" s="0" t="s">
        <v>228</v>
      </c>
      <c r="T311" s="0" t="s">
        <v>228</v>
      </c>
      <c r="U311" s="0" t="s">
        <v>101</v>
      </c>
      <c r="V311" s="0" t="s">
        <v>228</v>
      </c>
      <c r="W311" s="0" t="s">
        <v>228</v>
      </c>
      <c r="X311" s="0" t="s">
        <v>3661</v>
      </c>
      <c r="Y311" s="0" t="s">
        <v>228</v>
      </c>
      <c r="Z311" s="0" t="s">
        <v>151</v>
      </c>
      <c r="AA311" s="0" t="s">
        <v>151</v>
      </c>
      <c r="AB311" s="0" t="s">
        <v>160</v>
      </c>
      <c r="AC311" s="0" t="s">
        <v>2317</v>
      </c>
      <c r="AD311" s="0" t="s">
        <v>2317</v>
      </c>
      <c r="AE311" s="0" t="s">
        <v>2318</v>
      </c>
      <c r="AF311" s="0" t="s">
        <v>4745</v>
      </c>
      <c r="AG311" s="0" t="s">
        <v>4746</v>
      </c>
      <c r="AH311" s="0" t="s">
        <v>3651</v>
      </c>
      <c r="AI311" s="0" t="s">
        <v>3651</v>
      </c>
      <c r="AJ311" s="0" t="s">
        <v>228</v>
      </c>
      <c r="AK311" s="0" t="s">
        <v>228</v>
      </c>
      <c r="AL311" s="0" t="s">
        <v>228</v>
      </c>
      <c r="AM311" s="0" t="s">
        <v>228</v>
      </c>
      <c r="AN311" s="0" t="s">
        <v>228</v>
      </c>
      <c r="AO311" s="0" t="s">
        <v>228</v>
      </c>
      <c r="AP311" s="0" t="s">
        <v>228</v>
      </c>
      <c r="AQ311" s="0" t="s">
        <v>228</v>
      </c>
      <c r="AR311" s="0" t="s">
        <v>228</v>
      </c>
      <c r="AS311" s="0" t="s">
        <v>228</v>
      </c>
      <c r="AT311" s="0" t="s">
        <v>228</v>
      </c>
      <c r="AU311" s="0" t="s">
        <v>228</v>
      </c>
      <c r="AV311" s="0" t="s">
        <v>228</v>
      </c>
      <c r="AW311" s="0" t="s">
        <v>228</v>
      </c>
      <c r="AX311" s="0" t="s">
        <v>228</v>
      </c>
      <c r="AY311" s="0" t="s">
        <v>228</v>
      </c>
      <c r="AZ311" s="0" t="s">
        <v>228</v>
      </c>
      <c r="BA311" s="0" t="s">
        <v>228</v>
      </c>
      <c r="BB311" s="0" t="s">
        <v>228</v>
      </c>
      <c r="BC311" s="0" t="s">
        <v>228</v>
      </c>
      <c r="BD311" s="0" t="s">
        <v>228</v>
      </c>
      <c r="BE311" s="0" t="s">
        <v>3579</v>
      </c>
      <c r="BF311" s="0" t="s">
        <v>3619</v>
      </c>
      <c r="BG311" s="0" t="s">
        <v>111</v>
      </c>
      <c r="BH311" s="0" t="s">
        <v>3665</v>
      </c>
      <c r="BI311" s="0" t="s">
        <v>122</v>
      </c>
      <c r="BJ311" s="0" t="s">
        <v>228</v>
      </c>
      <c r="BK311" s="0" t="s">
        <v>3684</v>
      </c>
      <c r="BL311" s="0" t="s">
        <v>2317</v>
      </c>
      <c r="BM311" s="0" t="s">
        <v>2317</v>
      </c>
      <c r="BN311" s="0" t="s">
        <v>3740</v>
      </c>
      <c r="BO311" s="0" t="s">
        <v>4745</v>
      </c>
      <c r="BP311" s="0" t="s">
        <v>5002</v>
      </c>
      <c r="BQ311" s="0" t="s">
        <v>3651</v>
      </c>
      <c r="BR311" s="0" t="s">
        <v>3651</v>
      </c>
      <c r="BS311" s="0" t="s">
        <v>228</v>
      </c>
      <c r="BT311" s="0" t="s">
        <v>3727</v>
      </c>
      <c r="BU311" s="0" t="s">
        <v>5003</v>
      </c>
      <c r="BV311" s="0" t="s">
        <v>5003</v>
      </c>
      <c r="BW311" s="0" t="s">
        <v>3674</v>
      </c>
      <c r="BX311" s="0" t="s">
        <v>3674</v>
      </c>
      <c r="BY311" s="0" t="s">
        <v>3674</v>
      </c>
      <c r="BZ311" s="0" t="s">
        <v>3674</v>
      </c>
      <c r="CA311" s="0" t="s">
        <v>3674</v>
      </c>
      <c r="CB311" s="0" t="s">
        <v>228</v>
      </c>
      <c r="CC311" s="0" t="s">
        <v>228</v>
      </c>
      <c r="CD311" s="0" t="s">
        <v>228</v>
      </c>
      <c r="CE311" s="0" t="s">
        <v>228</v>
      </c>
      <c r="CF311" s="0" t="s">
        <v>228</v>
      </c>
      <c r="CG311" s="0" t="s">
        <v>3674</v>
      </c>
      <c r="CH311" s="0" t="s">
        <v>228</v>
      </c>
      <c r="CI311" s="0" t="s">
        <v>228</v>
      </c>
      <c r="CJ311" s="0" t="s">
        <v>228</v>
      </c>
      <c r="CK311" s="0" t="s">
        <v>228</v>
      </c>
      <c r="CL311" s="0" t="s">
        <v>228</v>
      </c>
      <c r="CM311" s="0" t="s">
        <v>5003</v>
      </c>
      <c r="CN311" s="0" t="s">
        <v>5003</v>
      </c>
      <c r="CO311" s="0" t="s">
        <v>228</v>
      </c>
      <c r="CP311" s="0" t="s">
        <v>228</v>
      </c>
      <c r="CQ311" s="0" t="s">
        <v>228</v>
      </c>
      <c r="CR311" s="0" t="s">
        <v>228</v>
      </c>
      <c r="CS311" s="0" t="s">
        <v>3743</v>
      </c>
      <c r="CT311" s="0" t="s">
        <v>3568</v>
      </c>
      <c r="CU311" s="0" t="s">
        <v>3569</v>
      </c>
      <c r="CV311" s="0" t="s">
        <v>418</v>
      </c>
      <c r="CW311" s="0" t="s">
        <v>3622</v>
      </c>
      <c r="CX311" s="0" t="s">
        <v>419</v>
      </c>
      <c r="CY311" s="0" t="s">
        <v>418</v>
      </c>
      <c r="CZ311" s="0" t="s">
        <v>3623</v>
      </c>
      <c r="DA311" s="0" t="s">
        <v>3624</v>
      </c>
      <c r="DB311" s="0" t="s">
        <v>3622</v>
      </c>
      <c r="DC311" s="0" t="s">
        <v>362</v>
      </c>
      <c r="DD311" s="0" t="s">
        <v>3572</v>
      </c>
      <c r="DE311" s="0" t="s">
        <v>5004</v>
      </c>
    </row>
    <row customHeight="1" ht="11.25">
      <c r="A312" s="1353" t="s">
        <v>228</v>
      </c>
      <c r="B312" s="0" t="s">
        <v>228</v>
      </c>
      <c r="C312" s="0" t="s">
        <v>228</v>
      </c>
      <c r="D312" s="0" t="s">
        <v>228</v>
      </c>
      <c r="E312" s="0" t="s">
        <v>228</v>
      </c>
      <c r="F312" s="0" t="s">
        <v>228</v>
      </c>
      <c r="G312" s="0" t="s">
        <v>228</v>
      </c>
      <c r="H312" s="0" t="s">
        <v>228</v>
      </c>
      <c r="I312" s="0" t="s">
        <v>3555</v>
      </c>
      <c r="J312" s="0" t="s">
        <v>228</v>
      </c>
      <c r="K312" s="0" t="s">
        <v>228</v>
      </c>
      <c r="L312" s="0" t="s">
        <v>228</v>
      </c>
      <c r="M312" s="0" t="s">
        <v>228</v>
      </c>
      <c r="N312" s="0" t="s">
        <v>228</v>
      </c>
      <c r="O312" s="0" t="s">
        <v>228</v>
      </c>
      <c r="P312" s="0" t="s">
        <v>228</v>
      </c>
      <c r="Q312" s="0" t="s">
        <v>228</v>
      </c>
      <c r="R312" s="0" t="s">
        <v>5005</v>
      </c>
      <c r="S312" s="0" t="s">
        <v>228</v>
      </c>
      <c r="T312" s="0" t="s">
        <v>228</v>
      </c>
      <c r="U312" s="0" t="s">
        <v>101</v>
      </c>
      <c r="V312" s="0" t="s">
        <v>228</v>
      </c>
      <c r="W312" s="0" t="s">
        <v>228</v>
      </c>
      <c r="X312" s="0" t="s">
        <v>3557</v>
      </c>
      <c r="Y312" s="0" t="s">
        <v>228</v>
      </c>
      <c r="Z312" s="0" t="s">
        <v>160</v>
      </c>
      <c r="AA312" s="0" t="s">
        <v>151</v>
      </c>
      <c r="AB312" s="0" t="s">
        <v>151</v>
      </c>
      <c r="AC312" s="0" t="s">
        <v>2317</v>
      </c>
      <c r="AD312" s="0" t="s">
        <v>2317</v>
      </c>
      <c r="AE312" s="0" t="s">
        <v>2318</v>
      </c>
      <c r="AF312" s="0" t="s">
        <v>3799</v>
      </c>
      <c r="AG312" s="0" t="s">
        <v>3800</v>
      </c>
      <c r="AH312" s="0" t="s">
        <v>5006</v>
      </c>
      <c r="AI312" s="0" t="s">
        <v>4049</v>
      </c>
      <c r="AJ312" s="0" t="s">
        <v>3627</v>
      </c>
      <c r="AK312" s="0" t="s">
        <v>3749</v>
      </c>
      <c r="AL312" s="0" t="s">
        <v>3581</v>
      </c>
      <c r="AM312" s="0" t="s">
        <v>3565</v>
      </c>
      <c r="AN312" s="0" t="s">
        <v>3563</v>
      </c>
      <c r="AO312" s="0" t="s">
        <v>4533</v>
      </c>
      <c r="AP312" s="0" t="s">
        <v>228</v>
      </c>
      <c r="AQ312" s="0" t="s">
        <v>228</v>
      </c>
      <c r="AR312" s="0" t="s">
        <v>228</v>
      </c>
      <c r="AS312" s="0" t="s">
        <v>228</v>
      </c>
      <c r="AT312" s="0" t="s">
        <v>228</v>
      </c>
      <c r="AU312" s="0" t="s">
        <v>228</v>
      </c>
      <c r="AV312" s="0" t="s">
        <v>228</v>
      </c>
      <c r="AW312" s="0" t="s">
        <v>228</v>
      </c>
      <c r="AX312" s="0" t="s">
        <v>228</v>
      </c>
      <c r="AY312" s="0" t="s">
        <v>228</v>
      </c>
      <c r="AZ312" s="0" t="s">
        <v>228</v>
      </c>
      <c r="BA312" s="0" t="s">
        <v>228</v>
      </c>
      <c r="BB312" s="0" t="s">
        <v>228</v>
      </c>
      <c r="BC312" s="0" t="s">
        <v>228</v>
      </c>
      <c r="BD312" s="0" t="s">
        <v>228</v>
      </c>
      <c r="BE312" s="0" t="s">
        <v>228</v>
      </c>
      <c r="BF312" s="0" t="s">
        <v>228</v>
      </c>
      <c r="BG312" s="0" t="s">
        <v>228</v>
      </c>
      <c r="BH312" s="0" t="s">
        <v>228</v>
      </c>
      <c r="BI312" s="0" t="s">
        <v>228</v>
      </c>
      <c r="BJ312" s="0" t="s">
        <v>228</v>
      </c>
      <c r="BK312" s="0" t="s">
        <v>228</v>
      </c>
      <c r="BL312" s="0" t="s">
        <v>228</v>
      </c>
      <c r="BM312" s="0" t="s">
        <v>228</v>
      </c>
      <c r="BN312" s="0" t="s">
        <v>228</v>
      </c>
      <c r="BO312" s="0" t="s">
        <v>228</v>
      </c>
      <c r="BP312" s="0" t="s">
        <v>228</v>
      </c>
      <c r="BQ312" s="0" t="s">
        <v>228</v>
      </c>
      <c r="BR312" s="0" t="s">
        <v>228</v>
      </c>
      <c r="BS312" s="0" t="s">
        <v>228</v>
      </c>
      <c r="BT312" s="0" t="s">
        <v>228</v>
      </c>
      <c r="BU312" s="0" t="s">
        <v>228</v>
      </c>
      <c r="BV312" s="0" t="s">
        <v>228</v>
      </c>
      <c r="BW312" s="0" t="s">
        <v>228</v>
      </c>
      <c r="BX312" s="0" t="s">
        <v>228</v>
      </c>
      <c r="BY312" s="0" t="s">
        <v>228</v>
      </c>
      <c r="BZ312" s="0" t="s">
        <v>228</v>
      </c>
      <c r="CA312" s="0" t="s">
        <v>228</v>
      </c>
      <c r="CB312" s="0" t="s">
        <v>228</v>
      </c>
      <c r="CC312" s="0" t="s">
        <v>228</v>
      </c>
      <c r="CD312" s="0" t="s">
        <v>228</v>
      </c>
      <c r="CE312" s="0" t="s">
        <v>228</v>
      </c>
      <c r="CF312" s="0" t="s">
        <v>228</v>
      </c>
      <c r="CG312" s="0" t="s">
        <v>228</v>
      </c>
      <c r="CH312" s="0" t="s">
        <v>228</v>
      </c>
      <c r="CI312" s="0" t="s">
        <v>228</v>
      </c>
      <c r="CJ312" s="0" t="s">
        <v>228</v>
      </c>
      <c r="CK312" s="0" t="s">
        <v>228</v>
      </c>
      <c r="CL312" s="0" t="s">
        <v>228</v>
      </c>
      <c r="CM312" s="0" t="s">
        <v>228</v>
      </c>
      <c r="CN312" s="0" t="s">
        <v>228</v>
      </c>
      <c r="CO312" s="0" t="s">
        <v>228</v>
      </c>
      <c r="CP312" s="0" t="s">
        <v>228</v>
      </c>
      <c r="CQ312" s="0" t="s">
        <v>228</v>
      </c>
      <c r="CR312" s="0" t="s">
        <v>228</v>
      </c>
      <c r="CS312" s="0" t="s">
        <v>228</v>
      </c>
      <c r="CT312" s="0" t="s">
        <v>3568</v>
      </c>
      <c r="CU312" s="0" t="s">
        <v>3569</v>
      </c>
      <c r="CV312" s="0" t="s">
        <v>418</v>
      </c>
      <c r="CW312" s="0" t="s">
        <v>3622</v>
      </c>
      <c r="CX312" s="0" t="s">
        <v>419</v>
      </c>
      <c r="CY312" s="0" t="s">
        <v>418</v>
      </c>
      <c r="CZ312" s="0" t="s">
        <v>3623</v>
      </c>
      <c r="DA312" s="0" t="s">
        <v>3624</v>
      </c>
      <c r="DB312" s="0" t="s">
        <v>3622</v>
      </c>
      <c r="DC312" s="0" t="s">
        <v>362</v>
      </c>
      <c r="DD312" s="0" t="s">
        <v>3572</v>
      </c>
      <c r="DE312" s="0" t="s">
        <v>5007</v>
      </c>
    </row>
    <row customHeight="1" ht="11.25">
      <c r="A313" s="1353" t="s">
        <v>228</v>
      </c>
      <c r="B313" s="0" t="s">
        <v>228</v>
      </c>
      <c r="C313" s="0" t="s">
        <v>228</v>
      </c>
      <c r="D313" s="0" t="s">
        <v>228</v>
      </c>
      <c r="E313" s="0" t="s">
        <v>228</v>
      </c>
      <c r="F313" s="0" t="s">
        <v>228</v>
      </c>
      <c r="G313" s="0" t="s">
        <v>228</v>
      </c>
      <c r="H313" s="0" t="s">
        <v>228</v>
      </c>
      <c r="I313" s="0" t="s">
        <v>3555</v>
      </c>
      <c r="J313" s="0" t="s">
        <v>228</v>
      </c>
      <c r="K313" s="0" t="s">
        <v>228</v>
      </c>
      <c r="L313" s="0" t="s">
        <v>228</v>
      </c>
      <c r="M313" s="0" t="s">
        <v>228</v>
      </c>
      <c r="N313" s="0" t="s">
        <v>228</v>
      </c>
      <c r="O313" s="0" t="s">
        <v>228</v>
      </c>
      <c r="P313" s="0" t="s">
        <v>228</v>
      </c>
      <c r="Q313" s="0" t="s">
        <v>228</v>
      </c>
      <c r="R313" s="0" t="s">
        <v>3648</v>
      </c>
      <c r="S313" s="0" t="s">
        <v>228</v>
      </c>
      <c r="T313" s="0" t="s">
        <v>228</v>
      </c>
      <c r="U313" s="0" t="s">
        <v>101</v>
      </c>
      <c r="V313" s="0" t="s">
        <v>228</v>
      </c>
      <c r="W313" s="0" t="s">
        <v>228</v>
      </c>
      <c r="X313" s="0" t="s">
        <v>3557</v>
      </c>
      <c r="Y313" s="0" t="s">
        <v>228</v>
      </c>
      <c r="Z313" s="0" t="s">
        <v>160</v>
      </c>
      <c r="AA313" s="0" t="s">
        <v>151</v>
      </c>
      <c r="AB313" s="0" t="s">
        <v>151</v>
      </c>
      <c r="AC313" s="0" t="s">
        <v>2315</v>
      </c>
      <c r="AD313" s="0" t="s">
        <v>2315</v>
      </c>
      <c r="AE313" s="0" t="s">
        <v>2316</v>
      </c>
      <c r="AF313" s="0" t="s">
        <v>3871</v>
      </c>
      <c r="AG313" s="0" t="s">
        <v>3872</v>
      </c>
      <c r="AH313" s="0" t="s">
        <v>3693</v>
      </c>
      <c r="AI313" s="0" t="s">
        <v>5008</v>
      </c>
      <c r="AJ313" s="0" t="s">
        <v>3853</v>
      </c>
      <c r="AK313" s="0" t="s">
        <v>3891</v>
      </c>
      <c r="AL313" s="0" t="s">
        <v>3581</v>
      </c>
      <c r="AM313" s="0" t="s">
        <v>3565</v>
      </c>
      <c r="AN313" s="0" t="s">
        <v>3654</v>
      </c>
      <c r="AO313" s="0" t="s">
        <v>3655</v>
      </c>
      <c r="AP313" s="0" t="s">
        <v>228</v>
      </c>
      <c r="AQ313" s="0" t="s">
        <v>228</v>
      </c>
      <c r="AR313" s="0" t="s">
        <v>228</v>
      </c>
      <c r="AS313" s="0" t="s">
        <v>228</v>
      </c>
      <c r="AT313" s="0" t="s">
        <v>228</v>
      </c>
      <c r="AU313" s="0" t="s">
        <v>228</v>
      </c>
      <c r="AV313" s="0" t="s">
        <v>228</v>
      </c>
      <c r="AW313" s="0" t="s">
        <v>228</v>
      </c>
      <c r="AX313" s="0" t="s">
        <v>228</v>
      </c>
      <c r="AY313" s="0" t="s">
        <v>228</v>
      </c>
      <c r="AZ313" s="0" t="s">
        <v>228</v>
      </c>
      <c r="BA313" s="0" t="s">
        <v>228</v>
      </c>
      <c r="BB313" s="0" t="s">
        <v>228</v>
      </c>
      <c r="BC313" s="0" t="s">
        <v>228</v>
      </c>
      <c r="BD313" s="0" t="s">
        <v>228</v>
      </c>
      <c r="BE313" s="0" t="s">
        <v>228</v>
      </c>
      <c r="BF313" s="0" t="s">
        <v>228</v>
      </c>
      <c r="BG313" s="0" t="s">
        <v>228</v>
      </c>
      <c r="BH313" s="0" t="s">
        <v>228</v>
      </c>
      <c r="BI313" s="0" t="s">
        <v>228</v>
      </c>
      <c r="BJ313" s="0" t="s">
        <v>228</v>
      </c>
      <c r="BK313" s="0" t="s">
        <v>228</v>
      </c>
      <c r="BL313" s="0" t="s">
        <v>228</v>
      </c>
      <c r="BM313" s="0" t="s">
        <v>228</v>
      </c>
      <c r="BN313" s="0" t="s">
        <v>228</v>
      </c>
      <c r="BO313" s="0" t="s">
        <v>228</v>
      </c>
      <c r="BP313" s="0" t="s">
        <v>228</v>
      </c>
      <c r="BQ313" s="0" t="s">
        <v>228</v>
      </c>
      <c r="BR313" s="0" t="s">
        <v>228</v>
      </c>
      <c r="BS313" s="0" t="s">
        <v>228</v>
      </c>
      <c r="BT313" s="0" t="s">
        <v>228</v>
      </c>
      <c r="BU313" s="0" t="s">
        <v>228</v>
      </c>
      <c r="BV313" s="0" t="s">
        <v>228</v>
      </c>
      <c r="BW313" s="0" t="s">
        <v>228</v>
      </c>
      <c r="BX313" s="0" t="s">
        <v>228</v>
      </c>
      <c r="BY313" s="0" t="s">
        <v>228</v>
      </c>
      <c r="BZ313" s="0" t="s">
        <v>228</v>
      </c>
      <c r="CA313" s="0" t="s">
        <v>228</v>
      </c>
      <c r="CB313" s="0" t="s">
        <v>228</v>
      </c>
      <c r="CC313" s="0" t="s">
        <v>228</v>
      </c>
      <c r="CD313" s="0" t="s">
        <v>228</v>
      </c>
      <c r="CE313" s="0" t="s">
        <v>228</v>
      </c>
      <c r="CF313" s="0" t="s">
        <v>228</v>
      </c>
      <c r="CG313" s="0" t="s">
        <v>228</v>
      </c>
      <c r="CH313" s="0" t="s">
        <v>228</v>
      </c>
      <c r="CI313" s="0" t="s">
        <v>228</v>
      </c>
      <c r="CJ313" s="0" t="s">
        <v>228</v>
      </c>
      <c r="CK313" s="0" t="s">
        <v>228</v>
      </c>
      <c r="CL313" s="0" t="s">
        <v>228</v>
      </c>
      <c r="CM313" s="0" t="s">
        <v>228</v>
      </c>
      <c r="CN313" s="0" t="s">
        <v>228</v>
      </c>
      <c r="CO313" s="0" t="s">
        <v>228</v>
      </c>
      <c r="CP313" s="0" t="s">
        <v>228</v>
      </c>
      <c r="CQ313" s="0" t="s">
        <v>228</v>
      </c>
      <c r="CR313" s="0" t="s">
        <v>228</v>
      </c>
      <c r="CS313" s="0" t="s">
        <v>228</v>
      </c>
      <c r="CT313" s="0" t="s">
        <v>3568</v>
      </c>
      <c r="CU313" s="0" t="s">
        <v>3569</v>
      </c>
      <c r="CV313" s="0" t="s">
        <v>418</v>
      </c>
      <c r="CW313" s="0" t="s">
        <v>3656</v>
      </c>
      <c r="CX313" s="0" t="s">
        <v>419</v>
      </c>
      <c r="CY313" s="0" t="s">
        <v>418</v>
      </c>
      <c r="CZ313" s="0" t="s">
        <v>3657</v>
      </c>
      <c r="DA313" s="0" t="s">
        <v>3658</v>
      </c>
      <c r="DB313" s="0" t="s">
        <v>3656</v>
      </c>
      <c r="DC313" s="0" t="s">
        <v>362</v>
      </c>
      <c r="DD313" s="0" t="s">
        <v>3572</v>
      </c>
      <c r="DE313" s="0" t="s">
        <v>5009</v>
      </c>
    </row>
    <row customHeight="1" ht="11.25">
      <c r="A314" s="1353" t="s">
        <v>228</v>
      </c>
      <c r="B314" s="0" t="s">
        <v>228</v>
      </c>
      <c r="C314" s="0" t="s">
        <v>228</v>
      </c>
      <c r="D314" s="0" t="s">
        <v>228</v>
      </c>
      <c r="E314" s="0" t="s">
        <v>228</v>
      </c>
      <c r="F314" s="0" t="s">
        <v>228</v>
      </c>
      <c r="G314" s="0" t="s">
        <v>228</v>
      </c>
      <c r="H314" s="0" t="s">
        <v>228</v>
      </c>
      <c r="I314" s="0" t="s">
        <v>3555</v>
      </c>
      <c r="J314" s="0" t="s">
        <v>228</v>
      </c>
      <c r="K314" s="0" t="s">
        <v>228</v>
      </c>
      <c r="L314" s="0" t="s">
        <v>228</v>
      </c>
      <c r="M314" s="0" t="s">
        <v>228</v>
      </c>
      <c r="N314" s="0" t="s">
        <v>228</v>
      </c>
      <c r="O314" s="0" t="s">
        <v>228</v>
      </c>
      <c r="P314" s="0" t="s">
        <v>228</v>
      </c>
      <c r="Q314" s="0" t="s">
        <v>228</v>
      </c>
      <c r="R314" s="0" t="s">
        <v>3648</v>
      </c>
      <c r="S314" s="0" t="s">
        <v>228</v>
      </c>
      <c r="T314" s="0" t="s">
        <v>228</v>
      </c>
      <c r="U314" s="0" t="s">
        <v>101</v>
      </c>
      <c r="V314" s="0" t="s">
        <v>228</v>
      </c>
      <c r="W314" s="0" t="s">
        <v>228</v>
      </c>
      <c r="X314" s="0" t="s">
        <v>3557</v>
      </c>
      <c r="Y314" s="0" t="s">
        <v>228</v>
      </c>
      <c r="Z314" s="0" t="s">
        <v>160</v>
      </c>
      <c r="AA314" s="0" t="s">
        <v>151</v>
      </c>
      <c r="AB314" s="0" t="s">
        <v>151</v>
      </c>
      <c r="AC314" s="0" t="s">
        <v>2315</v>
      </c>
      <c r="AD314" s="0" t="s">
        <v>2315</v>
      </c>
      <c r="AE314" s="0" t="s">
        <v>2316</v>
      </c>
      <c r="AF314" s="0" t="s">
        <v>3871</v>
      </c>
      <c r="AG314" s="0" t="s">
        <v>3872</v>
      </c>
      <c r="AH314" s="0" t="s">
        <v>5010</v>
      </c>
      <c r="AI314" s="0" t="s">
        <v>5011</v>
      </c>
      <c r="AJ314" s="0" t="s">
        <v>3652</v>
      </c>
      <c r="AK314" s="0" t="s">
        <v>5012</v>
      </c>
      <c r="AL314" s="0" t="s">
        <v>3581</v>
      </c>
      <c r="AM314" s="0" t="s">
        <v>3565</v>
      </c>
      <c r="AN314" s="0" t="s">
        <v>3654</v>
      </c>
      <c r="AO314" s="0" t="s">
        <v>3655</v>
      </c>
      <c r="AP314" s="0" t="s">
        <v>228</v>
      </c>
      <c r="AQ314" s="0" t="s">
        <v>228</v>
      </c>
      <c r="AR314" s="0" t="s">
        <v>228</v>
      </c>
      <c r="AS314" s="0" t="s">
        <v>228</v>
      </c>
      <c r="AT314" s="0" t="s">
        <v>228</v>
      </c>
      <c r="AU314" s="0" t="s">
        <v>228</v>
      </c>
      <c r="AV314" s="0" t="s">
        <v>228</v>
      </c>
      <c r="AW314" s="0" t="s">
        <v>228</v>
      </c>
      <c r="AX314" s="0" t="s">
        <v>228</v>
      </c>
      <c r="AY314" s="0" t="s">
        <v>228</v>
      </c>
      <c r="AZ314" s="0" t="s">
        <v>228</v>
      </c>
      <c r="BA314" s="0" t="s">
        <v>228</v>
      </c>
      <c r="BB314" s="0" t="s">
        <v>228</v>
      </c>
      <c r="BC314" s="0" t="s">
        <v>228</v>
      </c>
      <c r="BD314" s="0" t="s">
        <v>228</v>
      </c>
      <c r="BE314" s="0" t="s">
        <v>228</v>
      </c>
      <c r="BF314" s="0" t="s">
        <v>228</v>
      </c>
      <c r="BG314" s="0" t="s">
        <v>228</v>
      </c>
      <c r="BH314" s="0" t="s">
        <v>228</v>
      </c>
      <c r="BI314" s="0" t="s">
        <v>228</v>
      </c>
      <c r="BJ314" s="0" t="s">
        <v>228</v>
      </c>
      <c r="BK314" s="0" t="s">
        <v>228</v>
      </c>
      <c r="BL314" s="0" t="s">
        <v>228</v>
      </c>
      <c r="BM314" s="0" t="s">
        <v>228</v>
      </c>
      <c r="BN314" s="0" t="s">
        <v>228</v>
      </c>
      <c r="BO314" s="0" t="s">
        <v>228</v>
      </c>
      <c r="BP314" s="0" t="s">
        <v>228</v>
      </c>
      <c r="BQ314" s="0" t="s">
        <v>228</v>
      </c>
      <c r="BR314" s="0" t="s">
        <v>228</v>
      </c>
      <c r="BS314" s="0" t="s">
        <v>228</v>
      </c>
      <c r="BT314" s="0" t="s">
        <v>228</v>
      </c>
      <c r="BU314" s="0" t="s">
        <v>228</v>
      </c>
      <c r="BV314" s="0" t="s">
        <v>228</v>
      </c>
      <c r="BW314" s="0" t="s">
        <v>228</v>
      </c>
      <c r="BX314" s="0" t="s">
        <v>228</v>
      </c>
      <c r="BY314" s="0" t="s">
        <v>228</v>
      </c>
      <c r="BZ314" s="0" t="s">
        <v>228</v>
      </c>
      <c r="CA314" s="0" t="s">
        <v>228</v>
      </c>
      <c r="CB314" s="0" t="s">
        <v>228</v>
      </c>
      <c r="CC314" s="0" t="s">
        <v>228</v>
      </c>
      <c r="CD314" s="0" t="s">
        <v>228</v>
      </c>
      <c r="CE314" s="0" t="s">
        <v>228</v>
      </c>
      <c r="CF314" s="0" t="s">
        <v>228</v>
      </c>
      <c r="CG314" s="0" t="s">
        <v>228</v>
      </c>
      <c r="CH314" s="0" t="s">
        <v>228</v>
      </c>
      <c r="CI314" s="0" t="s">
        <v>228</v>
      </c>
      <c r="CJ314" s="0" t="s">
        <v>228</v>
      </c>
      <c r="CK314" s="0" t="s">
        <v>228</v>
      </c>
      <c r="CL314" s="0" t="s">
        <v>228</v>
      </c>
      <c r="CM314" s="0" t="s">
        <v>228</v>
      </c>
      <c r="CN314" s="0" t="s">
        <v>228</v>
      </c>
      <c r="CO314" s="0" t="s">
        <v>228</v>
      </c>
      <c r="CP314" s="0" t="s">
        <v>228</v>
      </c>
      <c r="CQ314" s="0" t="s">
        <v>228</v>
      </c>
      <c r="CR314" s="0" t="s">
        <v>228</v>
      </c>
      <c r="CS314" s="0" t="s">
        <v>228</v>
      </c>
      <c r="CT314" s="0" t="s">
        <v>3568</v>
      </c>
      <c r="CU314" s="0" t="s">
        <v>3569</v>
      </c>
      <c r="CV314" s="0" t="s">
        <v>418</v>
      </c>
      <c r="CW314" s="0" t="s">
        <v>3656</v>
      </c>
      <c r="CX314" s="0" t="s">
        <v>419</v>
      </c>
      <c r="CY314" s="0" t="s">
        <v>418</v>
      </c>
      <c r="CZ314" s="0" t="s">
        <v>3657</v>
      </c>
      <c r="DA314" s="0" t="s">
        <v>3658</v>
      </c>
      <c r="DB314" s="0" t="s">
        <v>3656</v>
      </c>
      <c r="DC314" s="0" t="s">
        <v>362</v>
      </c>
      <c r="DD314" s="0" t="s">
        <v>3572</v>
      </c>
      <c r="DE314" s="0" t="s">
        <v>5013</v>
      </c>
    </row>
    <row customHeight="1" ht="11.25">
      <c r="A315" s="1353" t="s">
        <v>228</v>
      </c>
      <c r="B315" s="0" t="s">
        <v>228</v>
      </c>
      <c r="C315" s="0" t="s">
        <v>228</v>
      </c>
      <c r="D315" s="0" t="s">
        <v>228</v>
      </c>
      <c r="E315" s="0" t="s">
        <v>228</v>
      </c>
      <c r="F315" s="0" t="s">
        <v>228</v>
      </c>
      <c r="G315" s="0" t="s">
        <v>228</v>
      </c>
      <c r="H315" s="0" t="s">
        <v>228</v>
      </c>
      <c r="I315" s="0" t="s">
        <v>3555</v>
      </c>
      <c r="J315" s="0" t="s">
        <v>228</v>
      </c>
      <c r="K315" s="0" t="s">
        <v>228</v>
      </c>
      <c r="L315" s="0" t="s">
        <v>228</v>
      </c>
      <c r="M315" s="0" t="s">
        <v>228</v>
      </c>
      <c r="N315" s="0" t="s">
        <v>228</v>
      </c>
      <c r="O315" s="0" t="s">
        <v>228</v>
      </c>
      <c r="P315" s="0" t="s">
        <v>228</v>
      </c>
      <c r="Q315" s="0" t="s">
        <v>228</v>
      </c>
      <c r="R315" s="0" t="s">
        <v>3648</v>
      </c>
      <c r="S315" s="0" t="s">
        <v>228</v>
      </c>
      <c r="T315" s="0" t="s">
        <v>228</v>
      </c>
      <c r="U315" s="0" t="s">
        <v>101</v>
      </c>
      <c r="V315" s="0" t="s">
        <v>228</v>
      </c>
      <c r="W315" s="0" t="s">
        <v>228</v>
      </c>
      <c r="X315" s="0" t="s">
        <v>3557</v>
      </c>
      <c r="Y315" s="0" t="s">
        <v>228</v>
      </c>
      <c r="Z315" s="0" t="s">
        <v>160</v>
      </c>
      <c r="AA315" s="0" t="s">
        <v>151</v>
      </c>
      <c r="AB315" s="0" t="s">
        <v>151</v>
      </c>
      <c r="AC315" s="0" t="s">
        <v>2315</v>
      </c>
      <c r="AD315" s="0" t="s">
        <v>2315</v>
      </c>
      <c r="AE315" s="0" t="s">
        <v>2316</v>
      </c>
      <c r="AF315" s="0" t="s">
        <v>3880</v>
      </c>
      <c r="AG315" s="0" t="s">
        <v>3881</v>
      </c>
      <c r="AH315" s="0" t="s">
        <v>3693</v>
      </c>
      <c r="AI315" s="0" t="s">
        <v>5014</v>
      </c>
      <c r="AJ315" s="0" t="s">
        <v>3652</v>
      </c>
      <c r="AK315" s="0" t="s">
        <v>3891</v>
      </c>
      <c r="AL315" s="0" t="s">
        <v>3581</v>
      </c>
      <c r="AM315" s="0" t="s">
        <v>3565</v>
      </c>
      <c r="AN315" s="0" t="s">
        <v>3654</v>
      </c>
      <c r="AO315" s="0" t="s">
        <v>3701</v>
      </c>
      <c r="AP315" s="0" t="s">
        <v>228</v>
      </c>
      <c r="AQ315" s="0" t="s">
        <v>228</v>
      </c>
      <c r="AR315" s="0" t="s">
        <v>228</v>
      </c>
      <c r="AS315" s="0" t="s">
        <v>228</v>
      </c>
      <c r="AT315" s="0" t="s">
        <v>228</v>
      </c>
      <c r="AU315" s="0" t="s">
        <v>228</v>
      </c>
      <c r="AV315" s="0" t="s">
        <v>228</v>
      </c>
      <c r="AW315" s="0" t="s">
        <v>228</v>
      </c>
      <c r="AX315" s="0" t="s">
        <v>228</v>
      </c>
      <c r="AY315" s="0" t="s">
        <v>228</v>
      </c>
      <c r="AZ315" s="0" t="s">
        <v>228</v>
      </c>
      <c r="BA315" s="0" t="s">
        <v>228</v>
      </c>
      <c r="BB315" s="0" t="s">
        <v>228</v>
      </c>
      <c r="BC315" s="0" t="s">
        <v>228</v>
      </c>
      <c r="BD315" s="0" t="s">
        <v>228</v>
      </c>
      <c r="BE315" s="0" t="s">
        <v>228</v>
      </c>
      <c r="BF315" s="0" t="s">
        <v>228</v>
      </c>
      <c r="BG315" s="0" t="s">
        <v>228</v>
      </c>
      <c r="BH315" s="0" t="s">
        <v>228</v>
      </c>
      <c r="BI315" s="0" t="s">
        <v>228</v>
      </c>
      <c r="BJ315" s="0" t="s">
        <v>228</v>
      </c>
      <c r="BK315" s="0" t="s">
        <v>228</v>
      </c>
      <c r="BL315" s="0" t="s">
        <v>228</v>
      </c>
      <c r="BM315" s="0" t="s">
        <v>228</v>
      </c>
      <c r="BN315" s="0" t="s">
        <v>228</v>
      </c>
      <c r="BO315" s="0" t="s">
        <v>228</v>
      </c>
      <c r="BP315" s="0" t="s">
        <v>228</v>
      </c>
      <c r="BQ315" s="0" t="s">
        <v>228</v>
      </c>
      <c r="BR315" s="0" t="s">
        <v>228</v>
      </c>
      <c r="BS315" s="0" t="s">
        <v>228</v>
      </c>
      <c r="BT315" s="0" t="s">
        <v>228</v>
      </c>
      <c r="BU315" s="0" t="s">
        <v>228</v>
      </c>
      <c r="BV315" s="0" t="s">
        <v>228</v>
      </c>
      <c r="BW315" s="0" t="s">
        <v>228</v>
      </c>
      <c r="BX315" s="0" t="s">
        <v>228</v>
      </c>
      <c r="BY315" s="0" t="s">
        <v>228</v>
      </c>
      <c r="BZ315" s="0" t="s">
        <v>228</v>
      </c>
      <c r="CA315" s="0" t="s">
        <v>228</v>
      </c>
      <c r="CB315" s="0" t="s">
        <v>228</v>
      </c>
      <c r="CC315" s="0" t="s">
        <v>228</v>
      </c>
      <c r="CD315" s="0" t="s">
        <v>228</v>
      </c>
      <c r="CE315" s="0" t="s">
        <v>228</v>
      </c>
      <c r="CF315" s="0" t="s">
        <v>228</v>
      </c>
      <c r="CG315" s="0" t="s">
        <v>228</v>
      </c>
      <c r="CH315" s="0" t="s">
        <v>228</v>
      </c>
      <c r="CI315" s="0" t="s">
        <v>228</v>
      </c>
      <c r="CJ315" s="0" t="s">
        <v>228</v>
      </c>
      <c r="CK315" s="0" t="s">
        <v>228</v>
      </c>
      <c r="CL315" s="0" t="s">
        <v>228</v>
      </c>
      <c r="CM315" s="0" t="s">
        <v>228</v>
      </c>
      <c r="CN315" s="0" t="s">
        <v>228</v>
      </c>
      <c r="CO315" s="0" t="s">
        <v>228</v>
      </c>
      <c r="CP315" s="0" t="s">
        <v>228</v>
      </c>
      <c r="CQ315" s="0" t="s">
        <v>228</v>
      </c>
      <c r="CR315" s="0" t="s">
        <v>228</v>
      </c>
      <c r="CS315" s="0" t="s">
        <v>228</v>
      </c>
      <c r="CT315" s="0" t="s">
        <v>3568</v>
      </c>
      <c r="CU315" s="0" t="s">
        <v>3569</v>
      </c>
      <c r="CV315" s="0" t="s">
        <v>418</v>
      </c>
      <c r="CW315" s="0" t="s">
        <v>3656</v>
      </c>
      <c r="CX315" s="0" t="s">
        <v>419</v>
      </c>
      <c r="CY315" s="0" t="s">
        <v>418</v>
      </c>
      <c r="CZ315" s="0" t="s">
        <v>3657</v>
      </c>
      <c r="DA315" s="0" t="s">
        <v>3658</v>
      </c>
      <c r="DB315" s="0" t="s">
        <v>3656</v>
      </c>
      <c r="DC315" s="0" t="s">
        <v>362</v>
      </c>
      <c r="DD315" s="0" t="s">
        <v>3572</v>
      </c>
      <c r="DE315" s="0" t="s">
        <v>5015</v>
      </c>
    </row>
    <row customHeight="1" ht="11.25">
      <c r="A316" s="1353" t="s">
        <v>228</v>
      </c>
      <c r="B316" s="0" t="s">
        <v>228</v>
      </c>
      <c r="C316" s="0" t="s">
        <v>228</v>
      </c>
      <c r="D316" s="0" t="s">
        <v>228</v>
      </c>
      <c r="E316" s="0" t="s">
        <v>228</v>
      </c>
      <c r="F316" s="0" t="s">
        <v>228</v>
      </c>
      <c r="G316" s="0" t="s">
        <v>228</v>
      </c>
      <c r="H316" s="0" t="s">
        <v>228</v>
      </c>
      <c r="I316" s="0" t="s">
        <v>3555</v>
      </c>
      <c r="J316" s="0" t="s">
        <v>228</v>
      </c>
      <c r="K316" s="0" t="s">
        <v>228</v>
      </c>
      <c r="L316" s="0" t="s">
        <v>228</v>
      </c>
      <c r="M316" s="0" t="s">
        <v>228</v>
      </c>
      <c r="N316" s="0" t="s">
        <v>228</v>
      </c>
      <c r="O316" s="0" t="s">
        <v>228</v>
      </c>
      <c r="P316" s="0" t="s">
        <v>228</v>
      </c>
      <c r="Q316" s="0" t="s">
        <v>228</v>
      </c>
      <c r="R316" s="0" t="s">
        <v>3648</v>
      </c>
      <c r="S316" s="0" t="s">
        <v>228</v>
      </c>
      <c r="T316" s="0" t="s">
        <v>228</v>
      </c>
      <c r="U316" s="0" t="s">
        <v>101</v>
      </c>
      <c r="V316" s="0" t="s">
        <v>228</v>
      </c>
      <c r="W316" s="0" t="s">
        <v>228</v>
      </c>
      <c r="X316" s="0" t="s">
        <v>3557</v>
      </c>
      <c r="Y316" s="0" t="s">
        <v>228</v>
      </c>
      <c r="Z316" s="0" t="s">
        <v>160</v>
      </c>
      <c r="AA316" s="0" t="s">
        <v>151</v>
      </c>
      <c r="AB316" s="0" t="s">
        <v>151</v>
      </c>
      <c r="AC316" s="0" t="s">
        <v>2315</v>
      </c>
      <c r="AD316" s="0" t="s">
        <v>2315</v>
      </c>
      <c r="AE316" s="0" t="s">
        <v>2316</v>
      </c>
      <c r="AF316" s="0" t="s">
        <v>3880</v>
      </c>
      <c r="AG316" s="0" t="s">
        <v>3881</v>
      </c>
      <c r="AH316" s="0" t="s">
        <v>3693</v>
      </c>
      <c r="AI316" s="0" t="s">
        <v>5016</v>
      </c>
      <c r="AJ316" s="0" t="s">
        <v>3652</v>
      </c>
      <c r="AK316" s="0" t="s">
        <v>5017</v>
      </c>
      <c r="AL316" s="0" t="s">
        <v>3581</v>
      </c>
      <c r="AM316" s="0" t="s">
        <v>3565</v>
      </c>
      <c r="AN316" s="0" t="s">
        <v>3654</v>
      </c>
      <c r="AO316" s="0" t="s">
        <v>3655</v>
      </c>
      <c r="AP316" s="0" t="s">
        <v>228</v>
      </c>
      <c r="AQ316" s="0" t="s">
        <v>228</v>
      </c>
      <c r="AR316" s="0" t="s">
        <v>228</v>
      </c>
      <c r="AS316" s="0" t="s">
        <v>228</v>
      </c>
      <c r="AT316" s="0" t="s">
        <v>228</v>
      </c>
      <c r="AU316" s="0" t="s">
        <v>228</v>
      </c>
      <c r="AV316" s="0" t="s">
        <v>228</v>
      </c>
      <c r="AW316" s="0" t="s">
        <v>228</v>
      </c>
      <c r="AX316" s="0" t="s">
        <v>228</v>
      </c>
      <c r="AY316" s="0" t="s">
        <v>228</v>
      </c>
      <c r="AZ316" s="0" t="s">
        <v>228</v>
      </c>
      <c r="BA316" s="0" t="s">
        <v>228</v>
      </c>
      <c r="BB316" s="0" t="s">
        <v>228</v>
      </c>
      <c r="BC316" s="0" t="s">
        <v>228</v>
      </c>
      <c r="BD316" s="0" t="s">
        <v>228</v>
      </c>
      <c r="BE316" s="0" t="s">
        <v>228</v>
      </c>
      <c r="BF316" s="0" t="s">
        <v>228</v>
      </c>
      <c r="BG316" s="0" t="s">
        <v>228</v>
      </c>
      <c r="BH316" s="0" t="s">
        <v>228</v>
      </c>
      <c r="BI316" s="0" t="s">
        <v>228</v>
      </c>
      <c r="BJ316" s="0" t="s">
        <v>228</v>
      </c>
      <c r="BK316" s="0" t="s">
        <v>228</v>
      </c>
      <c r="BL316" s="0" t="s">
        <v>228</v>
      </c>
      <c r="BM316" s="0" t="s">
        <v>228</v>
      </c>
      <c r="BN316" s="0" t="s">
        <v>228</v>
      </c>
      <c r="BO316" s="0" t="s">
        <v>228</v>
      </c>
      <c r="BP316" s="0" t="s">
        <v>228</v>
      </c>
      <c r="BQ316" s="0" t="s">
        <v>228</v>
      </c>
      <c r="BR316" s="0" t="s">
        <v>228</v>
      </c>
      <c r="BS316" s="0" t="s">
        <v>228</v>
      </c>
      <c r="BT316" s="0" t="s">
        <v>228</v>
      </c>
      <c r="BU316" s="0" t="s">
        <v>228</v>
      </c>
      <c r="BV316" s="0" t="s">
        <v>228</v>
      </c>
      <c r="BW316" s="0" t="s">
        <v>228</v>
      </c>
      <c r="BX316" s="0" t="s">
        <v>228</v>
      </c>
      <c r="BY316" s="0" t="s">
        <v>228</v>
      </c>
      <c r="BZ316" s="0" t="s">
        <v>228</v>
      </c>
      <c r="CA316" s="0" t="s">
        <v>228</v>
      </c>
      <c r="CB316" s="0" t="s">
        <v>228</v>
      </c>
      <c r="CC316" s="0" t="s">
        <v>228</v>
      </c>
      <c r="CD316" s="0" t="s">
        <v>228</v>
      </c>
      <c r="CE316" s="0" t="s">
        <v>228</v>
      </c>
      <c r="CF316" s="0" t="s">
        <v>228</v>
      </c>
      <c r="CG316" s="0" t="s">
        <v>228</v>
      </c>
      <c r="CH316" s="0" t="s">
        <v>228</v>
      </c>
      <c r="CI316" s="0" t="s">
        <v>228</v>
      </c>
      <c r="CJ316" s="0" t="s">
        <v>228</v>
      </c>
      <c r="CK316" s="0" t="s">
        <v>228</v>
      </c>
      <c r="CL316" s="0" t="s">
        <v>228</v>
      </c>
      <c r="CM316" s="0" t="s">
        <v>228</v>
      </c>
      <c r="CN316" s="0" t="s">
        <v>228</v>
      </c>
      <c r="CO316" s="0" t="s">
        <v>228</v>
      </c>
      <c r="CP316" s="0" t="s">
        <v>228</v>
      </c>
      <c r="CQ316" s="0" t="s">
        <v>228</v>
      </c>
      <c r="CR316" s="0" t="s">
        <v>228</v>
      </c>
      <c r="CS316" s="0" t="s">
        <v>228</v>
      </c>
      <c r="CT316" s="0" t="s">
        <v>3568</v>
      </c>
      <c r="CU316" s="0" t="s">
        <v>3569</v>
      </c>
      <c r="CV316" s="0" t="s">
        <v>418</v>
      </c>
      <c r="CW316" s="0" t="s">
        <v>3656</v>
      </c>
      <c r="CX316" s="0" t="s">
        <v>419</v>
      </c>
      <c r="CY316" s="0" t="s">
        <v>418</v>
      </c>
      <c r="CZ316" s="0" t="s">
        <v>3657</v>
      </c>
      <c r="DA316" s="0" t="s">
        <v>3658</v>
      </c>
      <c r="DB316" s="0" t="s">
        <v>3656</v>
      </c>
      <c r="DC316" s="0" t="s">
        <v>362</v>
      </c>
      <c r="DD316" s="0" t="s">
        <v>3572</v>
      </c>
      <c r="DE316" s="0" t="s">
        <v>5018</v>
      </c>
    </row>
    <row customHeight="1" ht="11.25">
      <c r="A317" s="1353" t="s">
        <v>228</v>
      </c>
      <c r="B317" s="0" t="s">
        <v>228</v>
      </c>
      <c r="C317" s="0" t="s">
        <v>228</v>
      </c>
      <c r="D317" s="0" t="s">
        <v>228</v>
      </c>
      <c r="E317" s="0" t="s">
        <v>228</v>
      </c>
      <c r="F317" s="0" t="s">
        <v>228</v>
      </c>
      <c r="G317" s="0" t="s">
        <v>228</v>
      </c>
      <c r="H317" s="0" t="s">
        <v>228</v>
      </c>
      <c r="I317" s="0" t="s">
        <v>3555</v>
      </c>
      <c r="J317" s="0" t="s">
        <v>228</v>
      </c>
      <c r="K317" s="0" t="s">
        <v>228</v>
      </c>
      <c r="L317" s="0" t="s">
        <v>228</v>
      </c>
      <c r="M317" s="0" t="s">
        <v>228</v>
      </c>
      <c r="N317" s="0" t="s">
        <v>228</v>
      </c>
      <c r="O317" s="0" t="s">
        <v>228</v>
      </c>
      <c r="P317" s="0" t="s">
        <v>228</v>
      </c>
      <c r="Q317" s="0" t="s">
        <v>228</v>
      </c>
      <c r="R317" s="0" t="s">
        <v>3648</v>
      </c>
      <c r="S317" s="0" t="s">
        <v>228</v>
      </c>
      <c r="T317" s="0" t="s">
        <v>228</v>
      </c>
      <c r="U317" s="0" t="s">
        <v>101</v>
      </c>
      <c r="V317" s="0" t="s">
        <v>228</v>
      </c>
      <c r="W317" s="0" t="s">
        <v>228</v>
      </c>
      <c r="X317" s="0" t="s">
        <v>3557</v>
      </c>
      <c r="Y317" s="0" t="s">
        <v>228</v>
      </c>
      <c r="Z317" s="0" t="s">
        <v>160</v>
      </c>
      <c r="AA317" s="0" t="s">
        <v>151</v>
      </c>
      <c r="AB317" s="0" t="s">
        <v>151</v>
      </c>
      <c r="AC317" s="0" t="s">
        <v>2315</v>
      </c>
      <c r="AD317" s="0" t="s">
        <v>2315</v>
      </c>
      <c r="AE317" s="0" t="s">
        <v>2316</v>
      </c>
      <c r="AF317" s="0" t="s">
        <v>3880</v>
      </c>
      <c r="AG317" s="0" t="s">
        <v>3881</v>
      </c>
      <c r="AH317" s="0" t="s">
        <v>5019</v>
      </c>
      <c r="AI317" s="0" t="s">
        <v>5020</v>
      </c>
      <c r="AJ317" s="0" t="s">
        <v>3652</v>
      </c>
      <c r="AK317" s="0" t="s">
        <v>4494</v>
      </c>
      <c r="AL317" s="0" t="s">
        <v>3581</v>
      </c>
      <c r="AM317" s="0" t="s">
        <v>3565</v>
      </c>
      <c r="AN317" s="0" t="s">
        <v>3654</v>
      </c>
      <c r="AO317" s="0" t="s">
        <v>3701</v>
      </c>
      <c r="AP317" s="0" t="s">
        <v>228</v>
      </c>
      <c r="AQ317" s="0" t="s">
        <v>228</v>
      </c>
      <c r="AR317" s="0" t="s">
        <v>228</v>
      </c>
      <c r="AS317" s="0" t="s">
        <v>228</v>
      </c>
      <c r="AT317" s="0" t="s">
        <v>228</v>
      </c>
      <c r="AU317" s="0" t="s">
        <v>228</v>
      </c>
      <c r="AV317" s="0" t="s">
        <v>228</v>
      </c>
      <c r="AW317" s="0" t="s">
        <v>228</v>
      </c>
      <c r="AX317" s="0" t="s">
        <v>228</v>
      </c>
      <c r="AY317" s="0" t="s">
        <v>228</v>
      </c>
      <c r="AZ317" s="0" t="s">
        <v>228</v>
      </c>
      <c r="BA317" s="0" t="s">
        <v>228</v>
      </c>
      <c r="BB317" s="0" t="s">
        <v>228</v>
      </c>
      <c r="BC317" s="0" t="s">
        <v>228</v>
      </c>
      <c r="BD317" s="0" t="s">
        <v>228</v>
      </c>
      <c r="BE317" s="0" t="s">
        <v>228</v>
      </c>
      <c r="BF317" s="0" t="s">
        <v>228</v>
      </c>
      <c r="BG317" s="0" t="s">
        <v>228</v>
      </c>
      <c r="BH317" s="0" t="s">
        <v>228</v>
      </c>
      <c r="BI317" s="0" t="s">
        <v>228</v>
      </c>
      <c r="BJ317" s="0" t="s">
        <v>228</v>
      </c>
      <c r="BK317" s="0" t="s">
        <v>228</v>
      </c>
      <c r="BL317" s="0" t="s">
        <v>228</v>
      </c>
      <c r="BM317" s="0" t="s">
        <v>228</v>
      </c>
      <c r="BN317" s="0" t="s">
        <v>228</v>
      </c>
      <c r="BO317" s="0" t="s">
        <v>228</v>
      </c>
      <c r="BP317" s="0" t="s">
        <v>228</v>
      </c>
      <c r="BQ317" s="0" t="s">
        <v>228</v>
      </c>
      <c r="BR317" s="0" t="s">
        <v>228</v>
      </c>
      <c r="BS317" s="0" t="s">
        <v>228</v>
      </c>
      <c r="BT317" s="0" t="s">
        <v>228</v>
      </c>
      <c r="BU317" s="0" t="s">
        <v>228</v>
      </c>
      <c r="BV317" s="0" t="s">
        <v>228</v>
      </c>
      <c r="BW317" s="0" t="s">
        <v>228</v>
      </c>
      <c r="BX317" s="0" t="s">
        <v>228</v>
      </c>
      <c r="BY317" s="0" t="s">
        <v>228</v>
      </c>
      <c r="BZ317" s="0" t="s">
        <v>228</v>
      </c>
      <c r="CA317" s="0" t="s">
        <v>228</v>
      </c>
      <c r="CB317" s="0" t="s">
        <v>228</v>
      </c>
      <c r="CC317" s="0" t="s">
        <v>228</v>
      </c>
      <c r="CD317" s="0" t="s">
        <v>228</v>
      </c>
      <c r="CE317" s="0" t="s">
        <v>228</v>
      </c>
      <c r="CF317" s="0" t="s">
        <v>228</v>
      </c>
      <c r="CG317" s="0" t="s">
        <v>228</v>
      </c>
      <c r="CH317" s="0" t="s">
        <v>228</v>
      </c>
      <c r="CI317" s="0" t="s">
        <v>228</v>
      </c>
      <c r="CJ317" s="0" t="s">
        <v>228</v>
      </c>
      <c r="CK317" s="0" t="s">
        <v>228</v>
      </c>
      <c r="CL317" s="0" t="s">
        <v>228</v>
      </c>
      <c r="CM317" s="0" t="s">
        <v>228</v>
      </c>
      <c r="CN317" s="0" t="s">
        <v>228</v>
      </c>
      <c r="CO317" s="0" t="s">
        <v>228</v>
      </c>
      <c r="CP317" s="0" t="s">
        <v>228</v>
      </c>
      <c r="CQ317" s="0" t="s">
        <v>228</v>
      </c>
      <c r="CR317" s="0" t="s">
        <v>228</v>
      </c>
      <c r="CS317" s="0" t="s">
        <v>228</v>
      </c>
      <c r="CT317" s="0" t="s">
        <v>3568</v>
      </c>
      <c r="CU317" s="0" t="s">
        <v>3569</v>
      </c>
      <c r="CV317" s="0" t="s">
        <v>418</v>
      </c>
      <c r="CW317" s="0" t="s">
        <v>3656</v>
      </c>
      <c r="CX317" s="0" t="s">
        <v>419</v>
      </c>
      <c r="CY317" s="0" t="s">
        <v>418</v>
      </c>
      <c r="CZ317" s="0" t="s">
        <v>3657</v>
      </c>
      <c r="DA317" s="0" t="s">
        <v>3658</v>
      </c>
      <c r="DB317" s="0" t="s">
        <v>3656</v>
      </c>
      <c r="DC317" s="0" t="s">
        <v>362</v>
      </c>
      <c r="DD317" s="0" t="s">
        <v>3572</v>
      </c>
      <c r="DE317" s="0" t="s">
        <v>5021</v>
      </c>
    </row>
    <row customHeight="1" ht="11.25">
      <c r="A318" s="1353" t="s">
        <v>228</v>
      </c>
      <c r="B318" s="0" t="s">
        <v>228</v>
      </c>
      <c r="C318" s="0" t="s">
        <v>228</v>
      </c>
      <c r="D318" s="0" t="s">
        <v>228</v>
      </c>
      <c r="E318" s="0" t="s">
        <v>228</v>
      </c>
      <c r="F318" s="0" t="s">
        <v>228</v>
      </c>
      <c r="G318" s="0" t="s">
        <v>228</v>
      </c>
      <c r="H318" s="0" t="s">
        <v>228</v>
      </c>
      <c r="I318" s="0" t="s">
        <v>3555</v>
      </c>
      <c r="J318" s="0" t="s">
        <v>228</v>
      </c>
      <c r="K318" s="0" t="s">
        <v>228</v>
      </c>
      <c r="L318" s="0" t="s">
        <v>228</v>
      </c>
      <c r="M318" s="0" t="s">
        <v>228</v>
      </c>
      <c r="N318" s="0" t="s">
        <v>228</v>
      </c>
      <c r="O318" s="0" t="s">
        <v>228</v>
      </c>
      <c r="P318" s="0" t="s">
        <v>228</v>
      </c>
      <c r="Q318" s="0" t="s">
        <v>228</v>
      </c>
      <c r="R318" s="0" t="s">
        <v>5022</v>
      </c>
      <c r="S318" s="0" t="s">
        <v>228</v>
      </c>
      <c r="T318" s="0" t="s">
        <v>228</v>
      </c>
      <c r="U318" s="0" t="s">
        <v>101</v>
      </c>
      <c r="V318" s="0" t="s">
        <v>228</v>
      </c>
      <c r="W318" s="0" t="s">
        <v>228</v>
      </c>
      <c r="X318" s="0" t="s">
        <v>3557</v>
      </c>
      <c r="Y318" s="0" t="s">
        <v>228</v>
      </c>
      <c r="Z318" s="0" t="s">
        <v>160</v>
      </c>
      <c r="AA318" s="0" t="s">
        <v>151</v>
      </c>
      <c r="AB318" s="0" t="s">
        <v>151</v>
      </c>
      <c r="AC318" s="0" t="s">
        <v>2290</v>
      </c>
      <c r="AD318" s="0" t="s">
        <v>2290</v>
      </c>
      <c r="AE318" s="0" t="s">
        <v>2292</v>
      </c>
      <c r="AF318" s="0" t="s">
        <v>3558</v>
      </c>
      <c r="AG318" s="0" t="s">
        <v>3559</v>
      </c>
      <c r="AH318" s="0" t="s">
        <v>5023</v>
      </c>
      <c r="AI318" s="0" t="s">
        <v>1690</v>
      </c>
      <c r="AJ318" s="0" t="s">
        <v>5024</v>
      </c>
      <c r="AK318" s="0" t="s">
        <v>4613</v>
      </c>
      <c r="AL318" s="0" t="s">
        <v>3564</v>
      </c>
      <c r="AM318" s="0" t="s">
        <v>3565</v>
      </c>
      <c r="AN318" s="0" t="s">
        <v>3900</v>
      </c>
      <c r="AO318" s="0" t="s">
        <v>3854</v>
      </c>
      <c r="AP318" s="0" t="s">
        <v>228</v>
      </c>
      <c r="AQ318" s="0" t="s">
        <v>228</v>
      </c>
      <c r="AR318" s="0" t="s">
        <v>228</v>
      </c>
      <c r="AS318" s="0" t="s">
        <v>228</v>
      </c>
      <c r="AT318" s="0" t="s">
        <v>228</v>
      </c>
      <c r="AU318" s="0" t="s">
        <v>228</v>
      </c>
      <c r="AV318" s="0" t="s">
        <v>228</v>
      </c>
      <c r="AW318" s="0" t="s">
        <v>228</v>
      </c>
      <c r="AX318" s="0" t="s">
        <v>228</v>
      </c>
      <c r="AY318" s="0" t="s">
        <v>228</v>
      </c>
      <c r="AZ318" s="0" t="s">
        <v>228</v>
      </c>
      <c r="BA318" s="0" t="s">
        <v>228</v>
      </c>
      <c r="BB318" s="0" t="s">
        <v>228</v>
      </c>
      <c r="BC318" s="0" t="s">
        <v>228</v>
      </c>
      <c r="BD318" s="0" t="s">
        <v>228</v>
      </c>
      <c r="BE318" s="0" t="s">
        <v>228</v>
      </c>
      <c r="BF318" s="0" t="s">
        <v>228</v>
      </c>
      <c r="BG318" s="0" t="s">
        <v>228</v>
      </c>
      <c r="BH318" s="0" t="s">
        <v>228</v>
      </c>
      <c r="BI318" s="0" t="s">
        <v>228</v>
      </c>
      <c r="BJ318" s="0" t="s">
        <v>228</v>
      </c>
      <c r="BK318" s="0" t="s">
        <v>228</v>
      </c>
      <c r="BL318" s="0" t="s">
        <v>228</v>
      </c>
      <c r="BM318" s="0" t="s">
        <v>228</v>
      </c>
      <c r="BN318" s="0" t="s">
        <v>228</v>
      </c>
      <c r="BO318" s="0" t="s">
        <v>228</v>
      </c>
      <c r="BP318" s="0" t="s">
        <v>228</v>
      </c>
      <c r="BQ318" s="0" t="s">
        <v>228</v>
      </c>
      <c r="BR318" s="0" t="s">
        <v>228</v>
      </c>
      <c r="BS318" s="0" t="s">
        <v>228</v>
      </c>
      <c r="BT318" s="0" t="s">
        <v>228</v>
      </c>
      <c r="BU318" s="0" t="s">
        <v>228</v>
      </c>
      <c r="BV318" s="0" t="s">
        <v>228</v>
      </c>
      <c r="BW318" s="0" t="s">
        <v>228</v>
      </c>
      <c r="BX318" s="0" t="s">
        <v>228</v>
      </c>
      <c r="BY318" s="0" t="s">
        <v>228</v>
      </c>
      <c r="BZ318" s="0" t="s">
        <v>228</v>
      </c>
      <c r="CA318" s="0" t="s">
        <v>228</v>
      </c>
      <c r="CB318" s="0" t="s">
        <v>228</v>
      </c>
      <c r="CC318" s="0" t="s">
        <v>228</v>
      </c>
      <c r="CD318" s="0" t="s">
        <v>228</v>
      </c>
      <c r="CE318" s="0" t="s">
        <v>228</v>
      </c>
      <c r="CF318" s="0" t="s">
        <v>228</v>
      </c>
      <c r="CG318" s="0" t="s">
        <v>228</v>
      </c>
      <c r="CH318" s="0" t="s">
        <v>228</v>
      </c>
      <c r="CI318" s="0" t="s">
        <v>228</v>
      </c>
      <c r="CJ318" s="0" t="s">
        <v>228</v>
      </c>
      <c r="CK318" s="0" t="s">
        <v>228</v>
      </c>
      <c r="CL318" s="0" t="s">
        <v>228</v>
      </c>
      <c r="CM318" s="0" t="s">
        <v>228</v>
      </c>
      <c r="CN318" s="0" t="s">
        <v>228</v>
      </c>
      <c r="CO318" s="0" t="s">
        <v>228</v>
      </c>
      <c r="CP318" s="0" t="s">
        <v>228</v>
      </c>
      <c r="CQ318" s="0" t="s">
        <v>228</v>
      </c>
      <c r="CR318" s="0" t="s">
        <v>228</v>
      </c>
      <c r="CS318" s="0" t="s">
        <v>228</v>
      </c>
      <c r="CT318" s="0" t="s">
        <v>3568</v>
      </c>
      <c r="CU318" s="0" t="s">
        <v>3569</v>
      </c>
      <c r="CV318" s="0" t="s">
        <v>418</v>
      </c>
      <c r="CW318" s="0" t="s">
        <v>3570</v>
      </c>
      <c r="CX318" s="0" t="s">
        <v>419</v>
      </c>
      <c r="CY318" s="0" t="s">
        <v>418</v>
      </c>
      <c r="CZ318" s="0" t="s">
        <v>3571</v>
      </c>
      <c r="DA318" s="0" t="s">
        <v>420</v>
      </c>
      <c r="DB318" s="0" t="s">
        <v>3570</v>
      </c>
      <c r="DC318" s="0" t="s">
        <v>362</v>
      </c>
      <c r="DD318" s="0" t="s">
        <v>3572</v>
      </c>
      <c r="DE318" s="0" t="s">
        <v>5025</v>
      </c>
    </row>
    <row customHeight="1" ht="11.25">
      <c r="A319" s="1353" t="s">
        <v>228</v>
      </c>
      <c r="B319" s="0" t="s">
        <v>228</v>
      </c>
      <c r="C319" s="0" t="s">
        <v>228</v>
      </c>
      <c r="D319" s="0" t="s">
        <v>228</v>
      </c>
      <c r="E319" s="0" t="s">
        <v>228</v>
      </c>
      <c r="F319" s="0" t="s">
        <v>228</v>
      </c>
      <c r="G319" s="0" t="s">
        <v>228</v>
      </c>
      <c r="H319" s="0" t="s">
        <v>228</v>
      </c>
      <c r="I319" s="0" t="s">
        <v>3555</v>
      </c>
      <c r="J319" s="0" t="s">
        <v>228</v>
      </c>
      <c r="K319" s="0" t="s">
        <v>228</v>
      </c>
      <c r="L319" s="0" t="s">
        <v>228</v>
      </c>
      <c r="M319" s="0" t="s">
        <v>228</v>
      </c>
      <c r="N319" s="0" t="s">
        <v>228</v>
      </c>
      <c r="O319" s="0" t="s">
        <v>228</v>
      </c>
      <c r="P319" s="0" t="s">
        <v>228</v>
      </c>
      <c r="Q319" s="0" t="s">
        <v>228</v>
      </c>
      <c r="R319" s="0" t="s">
        <v>5026</v>
      </c>
      <c r="S319" s="0" t="s">
        <v>228</v>
      </c>
      <c r="T319" s="0" t="s">
        <v>228</v>
      </c>
      <c r="U319" s="0" t="s">
        <v>101</v>
      </c>
      <c r="V319" s="0" t="s">
        <v>228</v>
      </c>
      <c r="W319" s="0" t="s">
        <v>228</v>
      </c>
      <c r="X319" s="0" t="s">
        <v>3557</v>
      </c>
      <c r="Y319" s="0" t="s">
        <v>228</v>
      </c>
      <c r="Z319" s="0" t="s">
        <v>160</v>
      </c>
      <c r="AA319" s="0" t="s">
        <v>151</v>
      </c>
      <c r="AB319" s="0" t="s">
        <v>151</v>
      </c>
      <c r="AC319" s="0" t="s">
        <v>2290</v>
      </c>
      <c r="AD319" s="0" t="s">
        <v>2290</v>
      </c>
      <c r="AE319" s="0" t="s">
        <v>2292</v>
      </c>
      <c r="AF319" s="0" t="s">
        <v>3558</v>
      </c>
      <c r="AG319" s="0" t="s">
        <v>3559</v>
      </c>
      <c r="AH319" s="0" t="s">
        <v>5027</v>
      </c>
      <c r="AI319" s="0" t="s">
        <v>5028</v>
      </c>
      <c r="AJ319" s="0" t="s">
        <v>5029</v>
      </c>
      <c r="AK319" s="0" t="s">
        <v>3562</v>
      </c>
      <c r="AL319" s="0" t="s">
        <v>3564</v>
      </c>
      <c r="AM319" s="0" t="s">
        <v>3565</v>
      </c>
      <c r="AN319" s="0" t="s">
        <v>3900</v>
      </c>
      <c r="AO319" s="0" t="s">
        <v>3956</v>
      </c>
      <c r="AP319" s="0" t="s">
        <v>228</v>
      </c>
      <c r="AQ319" s="0" t="s">
        <v>228</v>
      </c>
      <c r="AR319" s="0" t="s">
        <v>228</v>
      </c>
      <c r="AS319" s="0" t="s">
        <v>228</v>
      </c>
      <c r="AT319" s="0" t="s">
        <v>228</v>
      </c>
      <c r="AU319" s="0" t="s">
        <v>228</v>
      </c>
      <c r="AV319" s="0" t="s">
        <v>228</v>
      </c>
      <c r="AW319" s="0" t="s">
        <v>228</v>
      </c>
      <c r="AX319" s="0" t="s">
        <v>228</v>
      </c>
      <c r="AY319" s="0" t="s">
        <v>228</v>
      </c>
      <c r="AZ319" s="0" t="s">
        <v>228</v>
      </c>
      <c r="BA319" s="0" t="s">
        <v>228</v>
      </c>
      <c r="BB319" s="0" t="s">
        <v>228</v>
      </c>
      <c r="BC319" s="0" t="s">
        <v>228</v>
      </c>
      <c r="BD319" s="0" t="s">
        <v>228</v>
      </c>
      <c r="BE319" s="0" t="s">
        <v>228</v>
      </c>
      <c r="BF319" s="0" t="s">
        <v>228</v>
      </c>
      <c r="BG319" s="0" t="s">
        <v>228</v>
      </c>
      <c r="BH319" s="0" t="s">
        <v>228</v>
      </c>
      <c r="BI319" s="0" t="s">
        <v>228</v>
      </c>
      <c r="BJ319" s="0" t="s">
        <v>228</v>
      </c>
      <c r="BK319" s="0" t="s">
        <v>228</v>
      </c>
      <c r="BL319" s="0" t="s">
        <v>228</v>
      </c>
      <c r="BM319" s="0" t="s">
        <v>228</v>
      </c>
      <c r="BN319" s="0" t="s">
        <v>228</v>
      </c>
      <c r="BO319" s="0" t="s">
        <v>228</v>
      </c>
      <c r="BP319" s="0" t="s">
        <v>228</v>
      </c>
      <c r="BQ319" s="0" t="s">
        <v>228</v>
      </c>
      <c r="BR319" s="0" t="s">
        <v>228</v>
      </c>
      <c r="BS319" s="0" t="s">
        <v>228</v>
      </c>
      <c r="BT319" s="0" t="s">
        <v>228</v>
      </c>
      <c r="BU319" s="0" t="s">
        <v>228</v>
      </c>
      <c r="BV319" s="0" t="s">
        <v>228</v>
      </c>
      <c r="BW319" s="0" t="s">
        <v>228</v>
      </c>
      <c r="BX319" s="0" t="s">
        <v>228</v>
      </c>
      <c r="BY319" s="0" t="s">
        <v>228</v>
      </c>
      <c r="BZ319" s="0" t="s">
        <v>228</v>
      </c>
      <c r="CA319" s="0" t="s">
        <v>228</v>
      </c>
      <c r="CB319" s="0" t="s">
        <v>228</v>
      </c>
      <c r="CC319" s="0" t="s">
        <v>228</v>
      </c>
      <c r="CD319" s="0" t="s">
        <v>228</v>
      </c>
      <c r="CE319" s="0" t="s">
        <v>228</v>
      </c>
      <c r="CF319" s="0" t="s">
        <v>228</v>
      </c>
      <c r="CG319" s="0" t="s">
        <v>228</v>
      </c>
      <c r="CH319" s="0" t="s">
        <v>228</v>
      </c>
      <c r="CI319" s="0" t="s">
        <v>228</v>
      </c>
      <c r="CJ319" s="0" t="s">
        <v>228</v>
      </c>
      <c r="CK319" s="0" t="s">
        <v>228</v>
      </c>
      <c r="CL319" s="0" t="s">
        <v>228</v>
      </c>
      <c r="CM319" s="0" t="s">
        <v>228</v>
      </c>
      <c r="CN319" s="0" t="s">
        <v>228</v>
      </c>
      <c r="CO319" s="0" t="s">
        <v>228</v>
      </c>
      <c r="CP319" s="0" t="s">
        <v>228</v>
      </c>
      <c r="CQ319" s="0" t="s">
        <v>228</v>
      </c>
      <c r="CR319" s="0" t="s">
        <v>228</v>
      </c>
      <c r="CS319" s="0" t="s">
        <v>228</v>
      </c>
      <c r="CT319" s="0" t="s">
        <v>3568</v>
      </c>
      <c r="CU319" s="0" t="s">
        <v>3569</v>
      </c>
      <c r="CV319" s="0" t="s">
        <v>418</v>
      </c>
      <c r="CW319" s="0" t="s">
        <v>3570</v>
      </c>
      <c r="CX319" s="0" t="s">
        <v>419</v>
      </c>
      <c r="CY319" s="0" t="s">
        <v>418</v>
      </c>
      <c r="CZ319" s="0" t="s">
        <v>3571</v>
      </c>
      <c r="DA319" s="0" t="s">
        <v>420</v>
      </c>
      <c r="DB319" s="0" t="s">
        <v>3570</v>
      </c>
      <c r="DC319" s="0" t="s">
        <v>362</v>
      </c>
      <c r="DD319" s="0" t="s">
        <v>3572</v>
      </c>
      <c r="DE319" s="0" t="s">
        <v>5030</v>
      </c>
    </row>
    <row customHeight="1" ht="11.25">
      <c r="A320" s="1353" t="s">
        <v>228</v>
      </c>
      <c r="B320" s="0" t="s">
        <v>228</v>
      </c>
      <c r="C320" s="0" t="s">
        <v>228</v>
      </c>
      <c r="D320" s="0" t="s">
        <v>228</v>
      </c>
      <c r="E320" s="0" t="s">
        <v>228</v>
      </c>
      <c r="F320" s="0" t="s">
        <v>228</v>
      </c>
      <c r="G320" s="0" t="s">
        <v>228</v>
      </c>
      <c r="H320" s="0" t="s">
        <v>228</v>
      </c>
      <c r="I320" s="0" t="s">
        <v>3555</v>
      </c>
      <c r="J320" s="0" t="s">
        <v>228</v>
      </c>
      <c r="K320" s="0" t="s">
        <v>228</v>
      </c>
      <c r="L320" s="0" t="s">
        <v>228</v>
      </c>
      <c r="M320" s="0" t="s">
        <v>228</v>
      </c>
      <c r="N320" s="0" t="s">
        <v>228</v>
      </c>
      <c r="O320" s="0" t="s">
        <v>228</v>
      </c>
      <c r="P320" s="0" t="s">
        <v>228</v>
      </c>
      <c r="Q320" s="0" t="s">
        <v>228</v>
      </c>
      <c r="R320" s="0" t="s">
        <v>5031</v>
      </c>
      <c r="S320" s="0" t="s">
        <v>228</v>
      </c>
      <c r="T320" s="0" t="s">
        <v>228</v>
      </c>
      <c r="U320" s="0" t="s">
        <v>101</v>
      </c>
      <c r="V320" s="0" t="s">
        <v>228</v>
      </c>
      <c r="W320" s="0" t="s">
        <v>228</v>
      </c>
      <c r="X320" s="0" t="s">
        <v>3661</v>
      </c>
      <c r="Y320" s="0" t="s">
        <v>228</v>
      </c>
      <c r="Z320" s="0" t="s">
        <v>151</v>
      </c>
      <c r="AA320" s="0" t="s">
        <v>151</v>
      </c>
      <c r="AB320" s="0" t="s">
        <v>160</v>
      </c>
      <c r="AC320" s="0" t="s">
        <v>2317</v>
      </c>
      <c r="AD320" s="0" t="s">
        <v>2317</v>
      </c>
      <c r="AE320" s="0" t="s">
        <v>2318</v>
      </c>
      <c r="AF320" s="0" t="s">
        <v>4808</v>
      </c>
      <c r="AG320" s="0" t="s">
        <v>4809</v>
      </c>
      <c r="AH320" s="0" t="s">
        <v>3651</v>
      </c>
      <c r="AI320" s="0" t="s">
        <v>3651</v>
      </c>
      <c r="AJ320" s="0" t="s">
        <v>228</v>
      </c>
      <c r="AK320" s="0" t="s">
        <v>228</v>
      </c>
      <c r="AL320" s="0" t="s">
        <v>228</v>
      </c>
      <c r="AM320" s="0" t="s">
        <v>228</v>
      </c>
      <c r="AN320" s="0" t="s">
        <v>228</v>
      </c>
      <c r="AO320" s="0" t="s">
        <v>228</v>
      </c>
      <c r="AP320" s="0" t="s">
        <v>228</v>
      </c>
      <c r="AQ320" s="0" t="s">
        <v>228</v>
      </c>
      <c r="AR320" s="0" t="s">
        <v>228</v>
      </c>
      <c r="AS320" s="0" t="s">
        <v>228</v>
      </c>
      <c r="AT320" s="0" t="s">
        <v>228</v>
      </c>
      <c r="AU320" s="0" t="s">
        <v>228</v>
      </c>
      <c r="AV320" s="0" t="s">
        <v>228</v>
      </c>
      <c r="AW320" s="0" t="s">
        <v>228</v>
      </c>
      <c r="AX320" s="0" t="s">
        <v>228</v>
      </c>
      <c r="AY320" s="0" t="s">
        <v>228</v>
      </c>
      <c r="AZ320" s="0" t="s">
        <v>228</v>
      </c>
      <c r="BA320" s="0" t="s">
        <v>228</v>
      </c>
      <c r="BB320" s="0" t="s">
        <v>228</v>
      </c>
      <c r="BC320" s="0" t="s">
        <v>228</v>
      </c>
      <c r="BD320" s="0" t="s">
        <v>228</v>
      </c>
      <c r="BE320" s="0" t="s">
        <v>3579</v>
      </c>
      <c r="BF320" s="0" t="s">
        <v>3749</v>
      </c>
      <c r="BG320" s="0" t="s">
        <v>111</v>
      </c>
      <c r="BH320" s="0" t="s">
        <v>3665</v>
      </c>
      <c r="BI320" s="0" t="s">
        <v>122</v>
      </c>
      <c r="BJ320" s="0" t="s">
        <v>228</v>
      </c>
      <c r="BK320" s="0" t="s">
        <v>3684</v>
      </c>
      <c r="BL320" s="0" t="s">
        <v>2317</v>
      </c>
      <c r="BM320" s="0" t="s">
        <v>2317</v>
      </c>
      <c r="BN320" s="0" t="s">
        <v>3740</v>
      </c>
      <c r="BO320" s="0" t="s">
        <v>4808</v>
      </c>
      <c r="BP320" s="0" t="s">
        <v>5032</v>
      </c>
      <c r="BQ320" s="0" t="s">
        <v>3651</v>
      </c>
      <c r="BR320" s="0" t="s">
        <v>3651</v>
      </c>
      <c r="BS320" s="0" t="s">
        <v>228</v>
      </c>
      <c r="BT320" s="0" t="s">
        <v>3727</v>
      </c>
      <c r="BU320" s="0" t="s">
        <v>5033</v>
      </c>
      <c r="BV320" s="0" t="s">
        <v>5033</v>
      </c>
      <c r="BW320" s="0" t="s">
        <v>3674</v>
      </c>
      <c r="BX320" s="0" t="s">
        <v>3674</v>
      </c>
      <c r="BY320" s="0" t="s">
        <v>3674</v>
      </c>
      <c r="BZ320" s="0" t="s">
        <v>3674</v>
      </c>
      <c r="CA320" s="0" t="s">
        <v>3674</v>
      </c>
      <c r="CB320" s="0" t="s">
        <v>228</v>
      </c>
      <c r="CC320" s="0" t="s">
        <v>228</v>
      </c>
      <c r="CD320" s="0" t="s">
        <v>228</v>
      </c>
      <c r="CE320" s="0" t="s">
        <v>228</v>
      </c>
      <c r="CF320" s="0" t="s">
        <v>228</v>
      </c>
      <c r="CG320" s="0" t="s">
        <v>3674</v>
      </c>
      <c r="CH320" s="0" t="s">
        <v>228</v>
      </c>
      <c r="CI320" s="0" t="s">
        <v>228</v>
      </c>
      <c r="CJ320" s="0" t="s">
        <v>228</v>
      </c>
      <c r="CK320" s="0" t="s">
        <v>228</v>
      </c>
      <c r="CL320" s="0" t="s">
        <v>228</v>
      </c>
      <c r="CM320" s="0" t="s">
        <v>5033</v>
      </c>
      <c r="CN320" s="0" t="s">
        <v>5033</v>
      </c>
      <c r="CO320" s="0" t="s">
        <v>228</v>
      </c>
      <c r="CP320" s="0" t="s">
        <v>228</v>
      </c>
      <c r="CQ320" s="0" t="s">
        <v>228</v>
      </c>
      <c r="CR320" s="0" t="s">
        <v>228</v>
      </c>
      <c r="CS320" s="0" t="s">
        <v>3743</v>
      </c>
      <c r="CT320" s="0" t="s">
        <v>3568</v>
      </c>
      <c r="CU320" s="0" t="s">
        <v>3569</v>
      </c>
      <c r="CV320" s="0" t="s">
        <v>418</v>
      </c>
      <c r="CW320" s="0" t="s">
        <v>3622</v>
      </c>
      <c r="CX320" s="0" t="s">
        <v>419</v>
      </c>
      <c r="CY320" s="0" t="s">
        <v>418</v>
      </c>
      <c r="CZ320" s="0" t="s">
        <v>3623</v>
      </c>
      <c r="DA320" s="0" t="s">
        <v>3624</v>
      </c>
      <c r="DB320" s="0" t="s">
        <v>3622</v>
      </c>
      <c r="DC320" s="0" t="s">
        <v>362</v>
      </c>
      <c r="DD320" s="0" t="s">
        <v>3572</v>
      </c>
      <c r="DE320" s="0" t="s">
        <v>5034</v>
      </c>
    </row>
    <row customHeight="1" ht="11.25">
      <c r="A321" s="1353" t="s">
        <v>228</v>
      </c>
      <c r="B321" s="0" t="s">
        <v>228</v>
      </c>
      <c r="C321" s="0" t="s">
        <v>228</v>
      </c>
      <c r="D321" s="0" t="s">
        <v>228</v>
      </c>
      <c r="E321" s="0" t="s">
        <v>228</v>
      </c>
      <c r="F321" s="0" t="s">
        <v>228</v>
      </c>
      <c r="G321" s="0" t="s">
        <v>228</v>
      </c>
      <c r="H321" s="0" t="s">
        <v>228</v>
      </c>
      <c r="I321" s="0" t="s">
        <v>3555</v>
      </c>
      <c r="J321" s="0" t="s">
        <v>228</v>
      </c>
      <c r="K321" s="0" t="s">
        <v>228</v>
      </c>
      <c r="L321" s="0" t="s">
        <v>228</v>
      </c>
      <c r="M321" s="0" t="s">
        <v>228</v>
      </c>
      <c r="N321" s="0" t="s">
        <v>228</v>
      </c>
      <c r="O321" s="0" t="s">
        <v>228</v>
      </c>
      <c r="P321" s="0" t="s">
        <v>228</v>
      </c>
      <c r="Q321" s="0" t="s">
        <v>228</v>
      </c>
      <c r="R321" s="0" t="s">
        <v>5035</v>
      </c>
      <c r="S321" s="0" t="s">
        <v>228</v>
      </c>
      <c r="T321" s="0" t="s">
        <v>228</v>
      </c>
      <c r="U321" s="0" t="s">
        <v>101</v>
      </c>
      <c r="V321" s="0" t="s">
        <v>228</v>
      </c>
      <c r="W321" s="0" t="s">
        <v>228</v>
      </c>
      <c r="X321" s="0" t="s">
        <v>3661</v>
      </c>
      <c r="Y321" s="0" t="s">
        <v>228</v>
      </c>
      <c r="Z321" s="0" t="s">
        <v>151</v>
      </c>
      <c r="AA321" s="0" t="s">
        <v>151</v>
      </c>
      <c r="AB321" s="0" t="s">
        <v>160</v>
      </c>
      <c r="AC321" s="0" t="s">
        <v>2317</v>
      </c>
      <c r="AD321" s="0" t="s">
        <v>2317</v>
      </c>
      <c r="AE321" s="0" t="s">
        <v>2318</v>
      </c>
      <c r="AF321" s="0" t="s">
        <v>4815</v>
      </c>
      <c r="AG321" s="0" t="s">
        <v>4816</v>
      </c>
      <c r="AH321" s="0" t="s">
        <v>3651</v>
      </c>
      <c r="AI321" s="0" t="s">
        <v>3651</v>
      </c>
      <c r="AJ321" s="0" t="s">
        <v>228</v>
      </c>
      <c r="AK321" s="0" t="s">
        <v>228</v>
      </c>
      <c r="AL321" s="0" t="s">
        <v>228</v>
      </c>
      <c r="AM321" s="0" t="s">
        <v>228</v>
      </c>
      <c r="AN321" s="0" t="s">
        <v>228</v>
      </c>
      <c r="AO321" s="0" t="s">
        <v>228</v>
      </c>
      <c r="AP321" s="0" t="s">
        <v>228</v>
      </c>
      <c r="AQ321" s="0" t="s">
        <v>228</v>
      </c>
      <c r="AR321" s="0" t="s">
        <v>228</v>
      </c>
      <c r="AS321" s="0" t="s">
        <v>228</v>
      </c>
      <c r="AT321" s="0" t="s">
        <v>228</v>
      </c>
      <c r="AU321" s="0" t="s">
        <v>228</v>
      </c>
      <c r="AV321" s="0" t="s">
        <v>228</v>
      </c>
      <c r="AW321" s="0" t="s">
        <v>228</v>
      </c>
      <c r="AX321" s="0" t="s">
        <v>228</v>
      </c>
      <c r="AY321" s="0" t="s">
        <v>228</v>
      </c>
      <c r="AZ321" s="0" t="s">
        <v>228</v>
      </c>
      <c r="BA321" s="0" t="s">
        <v>228</v>
      </c>
      <c r="BB321" s="0" t="s">
        <v>228</v>
      </c>
      <c r="BC321" s="0" t="s">
        <v>228</v>
      </c>
      <c r="BD321" s="0" t="s">
        <v>228</v>
      </c>
      <c r="BE321" s="0" t="s">
        <v>3652</v>
      </c>
      <c r="BF321" s="0" t="s">
        <v>3619</v>
      </c>
      <c r="BG321" s="0" t="s">
        <v>111</v>
      </c>
      <c r="BH321" s="0" t="s">
        <v>3665</v>
      </c>
      <c r="BI321" s="0" t="s">
        <v>122</v>
      </c>
      <c r="BJ321" s="0" t="s">
        <v>228</v>
      </c>
      <c r="BK321" s="0" t="s">
        <v>3684</v>
      </c>
      <c r="BL321" s="0" t="s">
        <v>2317</v>
      </c>
      <c r="BM321" s="0" t="s">
        <v>2317</v>
      </c>
      <c r="BN321" s="0" t="s">
        <v>3740</v>
      </c>
      <c r="BO321" s="0" t="s">
        <v>4815</v>
      </c>
      <c r="BP321" s="0" t="s">
        <v>5036</v>
      </c>
      <c r="BQ321" s="0" t="s">
        <v>3651</v>
      </c>
      <c r="BR321" s="0" t="s">
        <v>3651</v>
      </c>
      <c r="BS321" s="0" t="s">
        <v>228</v>
      </c>
      <c r="BT321" s="0" t="s">
        <v>3727</v>
      </c>
      <c r="BU321" s="0" t="s">
        <v>5037</v>
      </c>
      <c r="BV321" s="0" t="s">
        <v>5037</v>
      </c>
      <c r="BW321" s="0" t="s">
        <v>3674</v>
      </c>
      <c r="BX321" s="0" t="s">
        <v>3674</v>
      </c>
      <c r="BY321" s="0" t="s">
        <v>3674</v>
      </c>
      <c r="BZ321" s="0" t="s">
        <v>3674</v>
      </c>
      <c r="CA321" s="0" t="s">
        <v>3674</v>
      </c>
      <c r="CB321" s="0" t="s">
        <v>228</v>
      </c>
      <c r="CC321" s="0" t="s">
        <v>228</v>
      </c>
      <c r="CD321" s="0" t="s">
        <v>228</v>
      </c>
      <c r="CE321" s="0" t="s">
        <v>228</v>
      </c>
      <c r="CF321" s="0" t="s">
        <v>228</v>
      </c>
      <c r="CG321" s="0" t="s">
        <v>3674</v>
      </c>
      <c r="CH321" s="0" t="s">
        <v>228</v>
      </c>
      <c r="CI321" s="0" t="s">
        <v>228</v>
      </c>
      <c r="CJ321" s="0" t="s">
        <v>228</v>
      </c>
      <c r="CK321" s="0" t="s">
        <v>228</v>
      </c>
      <c r="CL321" s="0" t="s">
        <v>228</v>
      </c>
      <c r="CM321" s="0" t="s">
        <v>5037</v>
      </c>
      <c r="CN321" s="0" t="s">
        <v>5037</v>
      </c>
      <c r="CO321" s="0" t="s">
        <v>228</v>
      </c>
      <c r="CP321" s="0" t="s">
        <v>228</v>
      </c>
      <c r="CQ321" s="0" t="s">
        <v>228</v>
      </c>
      <c r="CR321" s="0" t="s">
        <v>228</v>
      </c>
      <c r="CS321" s="0" t="s">
        <v>3743</v>
      </c>
      <c r="CT321" s="0" t="s">
        <v>3568</v>
      </c>
      <c r="CU321" s="0" t="s">
        <v>3569</v>
      </c>
      <c r="CV321" s="0" t="s">
        <v>418</v>
      </c>
      <c r="CW321" s="0" t="s">
        <v>3622</v>
      </c>
      <c r="CX321" s="0" t="s">
        <v>419</v>
      </c>
      <c r="CY321" s="0" t="s">
        <v>418</v>
      </c>
      <c r="CZ321" s="0" t="s">
        <v>3623</v>
      </c>
      <c r="DA321" s="0" t="s">
        <v>3624</v>
      </c>
      <c r="DB321" s="0" t="s">
        <v>3622</v>
      </c>
      <c r="DC321" s="0" t="s">
        <v>362</v>
      </c>
      <c r="DD321" s="0" t="s">
        <v>3572</v>
      </c>
      <c r="DE321" s="0" t="s">
        <v>5038</v>
      </c>
    </row>
    <row customHeight="1" ht="11.25">
      <c r="A322" s="1353" t="s">
        <v>228</v>
      </c>
      <c r="B322" s="0" t="s">
        <v>228</v>
      </c>
      <c r="C322" s="0" t="s">
        <v>228</v>
      </c>
      <c r="D322" s="0" t="s">
        <v>228</v>
      </c>
      <c r="E322" s="0" t="s">
        <v>228</v>
      </c>
      <c r="F322" s="0" t="s">
        <v>228</v>
      </c>
      <c r="G322" s="0" t="s">
        <v>228</v>
      </c>
      <c r="H322" s="0" t="s">
        <v>228</v>
      </c>
      <c r="I322" s="0" t="s">
        <v>3555</v>
      </c>
      <c r="J322" s="0" t="s">
        <v>228</v>
      </c>
      <c r="K322" s="0" t="s">
        <v>228</v>
      </c>
      <c r="L322" s="0" t="s">
        <v>228</v>
      </c>
      <c r="M322" s="0" t="s">
        <v>228</v>
      </c>
      <c r="N322" s="0" t="s">
        <v>228</v>
      </c>
      <c r="O322" s="0" t="s">
        <v>228</v>
      </c>
      <c r="P322" s="0" t="s">
        <v>228</v>
      </c>
      <c r="Q322" s="0" t="s">
        <v>228</v>
      </c>
      <c r="R322" s="0" t="s">
        <v>3648</v>
      </c>
      <c r="S322" s="0" t="s">
        <v>228</v>
      </c>
      <c r="T322" s="0" t="s">
        <v>228</v>
      </c>
      <c r="U322" s="0" t="s">
        <v>101</v>
      </c>
      <c r="V322" s="0" t="s">
        <v>228</v>
      </c>
      <c r="W322" s="0" t="s">
        <v>228</v>
      </c>
      <c r="X322" s="0" t="s">
        <v>3557</v>
      </c>
      <c r="Y322" s="0" t="s">
        <v>228</v>
      </c>
      <c r="Z322" s="0" t="s">
        <v>160</v>
      </c>
      <c r="AA322" s="0" t="s">
        <v>151</v>
      </c>
      <c r="AB322" s="0" t="s">
        <v>151</v>
      </c>
      <c r="AC322" s="0" t="s">
        <v>2317</v>
      </c>
      <c r="AD322" s="0" t="s">
        <v>2317</v>
      </c>
      <c r="AE322" s="0" t="s">
        <v>2318</v>
      </c>
      <c r="AF322" s="0" t="s">
        <v>4815</v>
      </c>
      <c r="AG322" s="0" t="s">
        <v>4816</v>
      </c>
      <c r="AH322" s="0" t="s">
        <v>4207</v>
      </c>
      <c r="AI322" s="0" t="s">
        <v>3651</v>
      </c>
      <c r="AJ322" s="0" t="s">
        <v>3579</v>
      </c>
      <c r="AK322" s="0" t="s">
        <v>3619</v>
      </c>
      <c r="AL322" s="0" t="s">
        <v>3581</v>
      </c>
      <c r="AM322" s="0" t="s">
        <v>3565</v>
      </c>
      <c r="AN322" s="0" t="s">
        <v>3620</v>
      </c>
      <c r="AO322" s="0" t="s">
        <v>3583</v>
      </c>
      <c r="AP322" s="0" t="s">
        <v>228</v>
      </c>
      <c r="AQ322" s="0" t="s">
        <v>228</v>
      </c>
      <c r="AR322" s="0" t="s">
        <v>228</v>
      </c>
      <c r="AS322" s="0" t="s">
        <v>228</v>
      </c>
      <c r="AT322" s="0" t="s">
        <v>228</v>
      </c>
      <c r="AU322" s="0" t="s">
        <v>228</v>
      </c>
      <c r="AV322" s="0" t="s">
        <v>228</v>
      </c>
      <c r="AW322" s="0" t="s">
        <v>228</v>
      </c>
      <c r="AX322" s="0" t="s">
        <v>228</v>
      </c>
      <c r="AY322" s="0" t="s">
        <v>228</v>
      </c>
      <c r="AZ322" s="0" t="s">
        <v>228</v>
      </c>
      <c r="BA322" s="0" t="s">
        <v>228</v>
      </c>
      <c r="BB322" s="0" t="s">
        <v>228</v>
      </c>
      <c r="BC322" s="0" t="s">
        <v>228</v>
      </c>
      <c r="BD322" s="0" t="s">
        <v>228</v>
      </c>
      <c r="BE322" s="0" t="s">
        <v>228</v>
      </c>
      <c r="BF322" s="0" t="s">
        <v>228</v>
      </c>
      <c r="BG322" s="0" t="s">
        <v>228</v>
      </c>
      <c r="BH322" s="0" t="s">
        <v>228</v>
      </c>
      <c r="BI322" s="0" t="s">
        <v>228</v>
      </c>
      <c r="BJ322" s="0" t="s">
        <v>228</v>
      </c>
      <c r="BK322" s="0" t="s">
        <v>228</v>
      </c>
      <c r="BL322" s="0" t="s">
        <v>228</v>
      </c>
      <c r="BM322" s="0" t="s">
        <v>228</v>
      </c>
      <c r="BN322" s="0" t="s">
        <v>228</v>
      </c>
      <c r="BO322" s="0" t="s">
        <v>228</v>
      </c>
      <c r="BP322" s="0" t="s">
        <v>228</v>
      </c>
      <c r="BQ322" s="0" t="s">
        <v>228</v>
      </c>
      <c r="BR322" s="0" t="s">
        <v>228</v>
      </c>
      <c r="BS322" s="0" t="s">
        <v>228</v>
      </c>
      <c r="BT322" s="0" t="s">
        <v>228</v>
      </c>
      <c r="BU322" s="0" t="s">
        <v>228</v>
      </c>
      <c r="BV322" s="0" t="s">
        <v>228</v>
      </c>
      <c r="BW322" s="0" t="s">
        <v>228</v>
      </c>
      <c r="BX322" s="0" t="s">
        <v>228</v>
      </c>
      <c r="BY322" s="0" t="s">
        <v>228</v>
      </c>
      <c r="BZ322" s="0" t="s">
        <v>228</v>
      </c>
      <c r="CA322" s="0" t="s">
        <v>228</v>
      </c>
      <c r="CB322" s="0" t="s">
        <v>228</v>
      </c>
      <c r="CC322" s="0" t="s">
        <v>228</v>
      </c>
      <c r="CD322" s="0" t="s">
        <v>228</v>
      </c>
      <c r="CE322" s="0" t="s">
        <v>228</v>
      </c>
      <c r="CF322" s="0" t="s">
        <v>228</v>
      </c>
      <c r="CG322" s="0" t="s">
        <v>228</v>
      </c>
      <c r="CH322" s="0" t="s">
        <v>228</v>
      </c>
      <c r="CI322" s="0" t="s">
        <v>228</v>
      </c>
      <c r="CJ322" s="0" t="s">
        <v>228</v>
      </c>
      <c r="CK322" s="0" t="s">
        <v>228</v>
      </c>
      <c r="CL322" s="0" t="s">
        <v>228</v>
      </c>
      <c r="CM322" s="0" t="s">
        <v>228</v>
      </c>
      <c r="CN322" s="0" t="s">
        <v>228</v>
      </c>
      <c r="CO322" s="0" t="s">
        <v>228</v>
      </c>
      <c r="CP322" s="0" t="s">
        <v>228</v>
      </c>
      <c r="CQ322" s="0" t="s">
        <v>228</v>
      </c>
      <c r="CR322" s="0" t="s">
        <v>228</v>
      </c>
      <c r="CS322" s="0" t="s">
        <v>228</v>
      </c>
      <c r="CT322" s="0" t="s">
        <v>3568</v>
      </c>
      <c r="CU322" s="0" t="s">
        <v>3569</v>
      </c>
      <c r="CV322" s="0" t="s">
        <v>418</v>
      </c>
      <c r="CW322" s="0" t="s">
        <v>3622</v>
      </c>
      <c r="CX322" s="0" t="s">
        <v>419</v>
      </c>
      <c r="CY322" s="0" t="s">
        <v>418</v>
      </c>
      <c r="CZ322" s="0" t="s">
        <v>3623</v>
      </c>
      <c r="DA322" s="0" t="s">
        <v>3624</v>
      </c>
      <c r="DB322" s="0" t="s">
        <v>3622</v>
      </c>
      <c r="DC322" s="0" t="s">
        <v>362</v>
      </c>
      <c r="DD322" s="0" t="s">
        <v>3572</v>
      </c>
      <c r="DE322" s="0" t="s">
        <v>5039</v>
      </c>
    </row>
    <row customHeight="1" ht="11.25">
      <c r="A323" s="1353" t="s">
        <v>228</v>
      </c>
      <c r="B323" s="0" t="s">
        <v>228</v>
      </c>
      <c r="C323" s="0" t="s">
        <v>228</v>
      </c>
      <c r="D323" s="0" t="s">
        <v>228</v>
      </c>
      <c r="E323" s="0" t="s">
        <v>228</v>
      </c>
      <c r="F323" s="0" t="s">
        <v>228</v>
      </c>
      <c r="G323" s="0" t="s">
        <v>228</v>
      </c>
      <c r="H323" s="0" t="s">
        <v>228</v>
      </c>
      <c r="I323" s="0" t="s">
        <v>3555</v>
      </c>
      <c r="J323" s="0" t="s">
        <v>228</v>
      </c>
      <c r="K323" s="0" t="s">
        <v>228</v>
      </c>
      <c r="L323" s="0" t="s">
        <v>228</v>
      </c>
      <c r="M323" s="0" t="s">
        <v>228</v>
      </c>
      <c r="N323" s="0" t="s">
        <v>228</v>
      </c>
      <c r="O323" s="0" t="s">
        <v>228</v>
      </c>
      <c r="P323" s="0" t="s">
        <v>228</v>
      </c>
      <c r="Q323" s="0" t="s">
        <v>228</v>
      </c>
      <c r="R323" s="0" t="s">
        <v>3648</v>
      </c>
      <c r="S323" s="0" t="s">
        <v>228</v>
      </c>
      <c r="T323" s="0" t="s">
        <v>228</v>
      </c>
      <c r="U323" s="0" t="s">
        <v>101</v>
      </c>
      <c r="V323" s="0" t="s">
        <v>228</v>
      </c>
      <c r="W323" s="0" t="s">
        <v>228</v>
      </c>
      <c r="X323" s="0" t="s">
        <v>3557</v>
      </c>
      <c r="Y323" s="0" t="s">
        <v>228</v>
      </c>
      <c r="Z323" s="0" t="s">
        <v>160</v>
      </c>
      <c r="AA323" s="0" t="s">
        <v>151</v>
      </c>
      <c r="AB323" s="0" t="s">
        <v>151</v>
      </c>
      <c r="AC323" s="0" t="s">
        <v>2317</v>
      </c>
      <c r="AD323" s="0" t="s">
        <v>2317</v>
      </c>
      <c r="AE323" s="0" t="s">
        <v>2318</v>
      </c>
      <c r="AF323" s="0" t="s">
        <v>3918</v>
      </c>
      <c r="AG323" s="0" t="s">
        <v>3919</v>
      </c>
      <c r="AH323" s="0" t="s">
        <v>3965</v>
      </c>
      <c r="AI323" s="0" t="s">
        <v>4657</v>
      </c>
      <c r="AJ323" s="0" t="s">
        <v>3579</v>
      </c>
      <c r="AK323" s="0" t="s">
        <v>3619</v>
      </c>
      <c r="AL323" s="0" t="s">
        <v>3581</v>
      </c>
      <c r="AM323" s="0" t="s">
        <v>3565</v>
      </c>
      <c r="AN323" s="0" t="s">
        <v>3620</v>
      </c>
      <c r="AO323" s="0" t="s">
        <v>3915</v>
      </c>
      <c r="AP323" s="0" t="s">
        <v>228</v>
      </c>
      <c r="AQ323" s="0" t="s">
        <v>228</v>
      </c>
      <c r="AR323" s="0" t="s">
        <v>228</v>
      </c>
      <c r="AS323" s="0" t="s">
        <v>228</v>
      </c>
      <c r="AT323" s="0" t="s">
        <v>228</v>
      </c>
      <c r="AU323" s="0" t="s">
        <v>228</v>
      </c>
      <c r="AV323" s="0" t="s">
        <v>228</v>
      </c>
      <c r="AW323" s="0" t="s">
        <v>228</v>
      </c>
      <c r="AX323" s="0" t="s">
        <v>228</v>
      </c>
      <c r="AY323" s="0" t="s">
        <v>228</v>
      </c>
      <c r="AZ323" s="0" t="s">
        <v>228</v>
      </c>
      <c r="BA323" s="0" t="s">
        <v>228</v>
      </c>
      <c r="BB323" s="0" t="s">
        <v>228</v>
      </c>
      <c r="BC323" s="0" t="s">
        <v>228</v>
      </c>
      <c r="BD323" s="0" t="s">
        <v>228</v>
      </c>
      <c r="BE323" s="0" t="s">
        <v>228</v>
      </c>
      <c r="BF323" s="0" t="s">
        <v>228</v>
      </c>
      <c r="BG323" s="0" t="s">
        <v>228</v>
      </c>
      <c r="BH323" s="0" t="s">
        <v>228</v>
      </c>
      <c r="BI323" s="0" t="s">
        <v>228</v>
      </c>
      <c r="BJ323" s="0" t="s">
        <v>228</v>
      </c>
      <c r="BK323" s="0" t="s">
        <v>228</v>
      </c>
      <c r="BL323" s="0" t="s">
        <v>228</v>
      </c>
      <c r="BM323" s="0" t="s">
        <v>228</v>
      </c>
      <c r="BN323" s="0" t="s">
        <v>228</v>
      </c>
      <c r="BO323" s="0" t="s">
        <v>228</v>
      </c>
      <c r="BP323" s="0" t="s">
        <v>228</v>
      </c>
      <c r="BQ323" s="0" t="s">
        <v>228</v>
      </c>
      <c r="BR323" s="0" t="s">
        <v>228</v>
      </c>
      <c r="BS323" s="0" t="s">
        <v>228</v>
      </c>
      <c r="BT323" s="0" t="s">
        <v>228</v>
      </c>
      <c r="BU323" s="0" t="s">
        <v>228</v>
      </c>
      <c r="BV323" s="0" t="s">
        <v>228</v>
      </c>
      <c r="BW323" s="0" t="s">
        <v>228</v>
      </c>
      <c r="BX323" s="0" t="s">
        <v>228</v>
      </c>
      <c r="BY323" s="0" t="s">
        <v>228</v>
      </c>
      <c r="BZ323" s="0" t="s">
        <v>228</v>
      </c>
      <c r="CA323" s="0" t="s">
        <v>228</v>
      </c>
      <c r="CB323" s="0" t="s">
        <v>228</v>
      </c>
      <c r="CC323" s="0" t="s">
        <v>228</v>
      </c>
      <c r="CD323" s="0" t="s">
        <v>228</v>
      </c>
      <c r="CE323" s="0" t="s">
        <v>228</v>
      </c>
      <c r="CF323" s="0" t="s">
        <v>228</v>
      </c>
      <c r="CG323" s="0" t="s">
        <v>228</v>
      </c>
      <c r="CH323" s="0" t="s">
        <v>228</v>
      </c>
      <c r="CI323" s="0" t="s">
        <v>228</v>
      </c>
      <c r="CJ323" s="0" t="s">
        <v>228</v>
      </c>
      <c r="CK323" s="0" t="s">
        <v>228</v>
      </c>
      <c r="CL323" s="0" t="s">
        <v>228</v>
      </c>
      <c r="CM323" s="0" t="s">
        <v>228</v>
      </c>
      <c r="CN323" s="0" t="s">
        <v>228</v>
      </c>
      <c r="CO323" s="0" t="s">
        <v>228</v>
      </c>
      <c r="CP323" s="0" t="s">
        <v>228</v>
      </c>
      <c r="CQ323" s="0" t="s">
        <v>228</v>
      </c>
      <c r="CR323" s="0" t="s">
        <v>228</v>
      </c>
      <c r="CS323" s="0" t="s">
        <v>228</v>
      </c>
      <c r="CT323" s="0" t="s">
        <v>3568</v>
      </c>
      <c r="CU323" s="0" t="s">
        <v>3569</v>
      </c>
      <c r="CV323" s="0" t="s">
        <v>418</v>
      </c>
      <c r="CW323" s="0" t="s">
        <v>3622</v>
      </c>
      <c r="CX323" s="0" t="s">
        <v>419</v>
      </c>
      <c r="CY323" s="0" t="s">
        <v>418</v>
      </c>
      <c r="CZ323" s="0" t="s">
        <v>3623</v>
      </c>
      <c r="DA323" s="0" t="s">
        <v>3624</v>
      </c>
      <c r="DB323" s="0" t="s">
        <v>3622</v>
      </c>
      <c r="DC323" s="0" t="s">
        <v>362</v>
      </c>
      <c r="DD323" s="0" t="s">
        <v>3572</v>
      </c>
      <c r="DE323" s="0" t="s">
        <v>5040</v>
      </c>
    </row>
    <row customHeight="1" ht="11.25">
      <c r="A324" s="1353" t="s">
        <v>228</v>
      </c>
      <c r="B324" s="0" t="s">
        <v>228</v>
      </c>
      <c r="C324" s="0" t="s">
        <v>228</v>
      </c>
      <c r="D324" s="0" t="s">
        <v>228</v>
      </c>
      <c r="E324" s="0" t="s">
        <v>228</v>
      </c>
      <c r="F324" s="0" t="s">
        <v>228</v>
      </c>
      <c r="G324" s="0" t="s">
        <v>228</v>
      </c>
      <c r="H324" s="0" t="s">
        <v>228</v>
      </c>
      <c r="I324" s="0" t="s">
        <v>3555</v>
      </c>
      <c r="J324" s="0" t="s">
        <v>228</v>
      </c>
      <c r="K324" s="0" t="s">
        <v>228</v>
      </c>
      <c r="L324" s="0" t="s">
        <v>228</v>
      </c>
      <c r="M324" s="0" t="s">
        <v>228</v>
      </c>
      <c r="N324" s="0" t="s">
        <v>228</v>
      </c>
      <c r="O324" s="0" t="s">
        <v>228</v>
      </c>
      <c r="P324" s="0" t="s">
        <v>228</v>
      </c>
      <c r="Q324" s="0" t="s">
        <v>228</v>
      </c>
      <c r="R324" s="0" t="s">
        <v>3648</v>
      </c>
      <c r="S324" s="0" t="s">
        <v>228</v>
      </c>
      <c r="T324" s="0" t="s">
        <v>228</v>
      </c>
      <c r="U324" s="0" t="s">
        <v>101</v>
      </c>
      <c r="V324" s="0" t="s">
        <v>228</v>
      </c>
      <c r="W324" s="0" t="s">
        <v>228</v>
      </c>
      <c r="X324" s="0" t="s">
        <v>3557</v>
      </c>
      <c r="Y324" s="0" t="s">
        <v>228</v>
      </c>
      <c r="Z324" s="0" t="s">
        <v>160</v>
      </c>
      <c r="AA324" s="0" t="s">
        <v>151</v>
      </c>
      <c r="AB324" s="0" t="s">
        <v>151</v>
      </c>
      <c r="AC324" s="0" t="s">
        <v>2317</v>
      </c>
      <c r="AD324" s="0" t="s">
        <v>2317</v>
      </c>
      <c r="AE324" s="0" t="s">
        <v>2318</v>
      </c>
      <c r="AF324" s="0" t="s">
        <v>3918</v>
      </c>
      <c r="AG324" s="0" t="s">
        <v>3919</v>
      </c>
      <c r="AH324" s="0" t="s">
        <v>4203</v>
      </c>
      <c r="AI324" s="0" t="s">
        <v>4049</v>
      </c>
      <c r="AJ324" s="0" t="s">
        <v>3579</v>
      </c>
      <c r="AK324" s="0" t="s">
        <v>3619</v>
      </c>
      <c r="AL324" s="0" t="s">
        <v>3581</v>
      </c>
      <c r="AM324" s="0" t="s">
        <v>3565</v>
      </c>
      <c r="AN324" s="0" t="s">
        <v>3900</v>
      </c>
      <c r="AO324" s="0" t="s">
        <v>4578</v>
      </c>
      <c r="AP324" s="0" t="s">
        <v>228</v>
      </c>
      <c r="AQ324" s="0" t="s">
        <v>228</v>
      </c>
      <c r="AR324" s="0" t="s">
        <v>228</v>
      </c>
      <c r="AS324" s="0" t="s">
        <v>228</v>
      </c>
      <c r="AT324" s="0" t="s">
        <v>228</v>
      </c>
      <c r="AU324" s="0" t="s">
        <v>228</v>
      </c>
      <c r="AV324" s="0" t="s">
        <v>228</v>
      </c>
      <c r="AW324" s="0" t="s">
        <v>228</v>
      </c>
      <c r="AX324" s="0" t="s">
        <v>228</v>
      </c>
      <c r="AY324" s="0" t="s">
        <v>228</v>
      </c>
      <c r="AZ324" s="0" t="s">
        <v>228</v>
      </c>
      <c r="BA324" s="0" t="s">
        <v>228</v>
      </c>
      <c r="BB324" s="0" t="s">
        <v>228</v>
      </c>
      <c r="BC324" s="0" t="s">
        <v>228</v>
      </c>
      <c r="BD324" s="0" t="s">
        <v>228</v>
      </c>
      <c r="BE324" s="0" t="s">
        <v>228</v>
      </c>
      <c r="BF324" s="0" t="s">
        <v>228</v>
      </c>
      <c r="BG324" s="0" t="s">
        <v>228</v>
      </c>
      <c r="BH324" s="0" t="s">
        <v>228</v>
      </c>
      <c r="BI324" s="0" t="s">
        <v>228</v>
      </c>
      <c r="BJ324" s="0" t="s">
        <v>228</v>
      </c>
      <c r="BK324" s="0" t="s">
        <v>228</v>
      </c>
      <c r="BL324" s="0" t="s">
        <v>228</v>
      </c>
      <c r="BM324" s="0" t="s">
        <v>228</v>
      </c>
      <c r="BN324" s="0" t="s">
        <v>228</v>
      </c>
      <c r="BO324" s="0" t="s">
        <v>228</v>
      </c>
      <c r="BP324" s="0" t="s">
        <v>228</v>
      </c>
      <c r="BQ324" s="0" t="s">
        <v>228</v>
      </c>
      <c r="BR324" s="0" t="s">
        <v>228</v>
      </c>
      <c r="BS324" s="0" t="s">
        <v>228</v>
      </c>
      <c r="BT324" s="0" t="s">
        <v>228</v>
      </c>
      <c r="BU324" s="0" t="s">
        <v>228</v>
      </c>
      <c r="BV324" s="0" t="s">
        <v>228</v>
      </c>
      <c r="BW324" s="0" t="s">
        <v>228</v>
      </c>
      <c r="BX324" s="0" t="s">
        <v>228</v>
      </c>
      <c r="BY324" s="0" t="s">
        <v>228</v>
      </c>
      <c r="BZ324" s="0" t="s">
        <v>228</v>
      </c>
      <c r="CA324" s="0" t="s">
        <v>228</v>
      </c>
      <c r="CB324" s="0" t="s">
        <v>228</v>
      </c>
      <c r="CC324" s="0" t="s">
        <v>228</v>
      </c>
      <c r="CD324" s="0" t="s">
        <v>228</v>
      </c>
      <c r="CE324" s="0" t="s">
        <v>228</v>
      </c>
      <c r="CF324" s="0" t="s">
        <v>228</v>
      </c>
      <c r="CG324" s="0" t="s">
        <v>228</v>
      </c>
      <c r="CH324" s="0" t="s">
        <v>228</v>
      </c>
      <c r="CI324" s="0" t="s">
        <v>228</v>
      </c>
      <c r="CJ324" s="0" t="s">
        <v>228</v>
      </c>
      <c r="CK324" s="0" t="s">
        <v>228</v>
      </c>
      <c r="CL324" s="0" t="s">
        <v>228</v>
      </c>
      <c r="CM324" s="0" t="s">
        <v>228</v>
      </c>
      <c r="CN324" s="0" t="s">
        <v>228</v>
      </c>
      <c r="CO324" s="0" t="s">
        <v>228</v>
      </c>
      <c r="CP324" s="0" t="s">
        <v>228</v>
      </c>
      <c r="CQ324" s="0" t="s">
        <v>228</v>
      </c>
      <c r="CR324" s="0" t="s">
        <v>228</v>
      </c>
      <c r="CS324" s="0" t="s">
        <v>228</v>
      </c>
      <c r="CT324" s="0" t="s">
        <v>3568</v>
      </c>
      <c r="CU324" s="0" t="s">
        <v>3569</v>
      </c>
      <c r="CV324" s="0" t="s">
        <v>418</v>
      </c>
      <c r="CW324" s="0" t="s">
        <v>3622</v>
      </c>
      <c r="CX324" s="0" t="s">
        <v>419</v>
      </c>
      <c r="CY324" s="0" t="s">
        <v>418</v>
      </c>
      <c r="CZ324" s="0" t="s">
        <v>3623</v>
      </c>
      <c r="DA324" s="0" t="s">
        <v>3624</v>
      </c>
      <c r="DB324" s="0" t="s">
        <v>3622</v>
      </c>
      <c r="DC324" s="0" t="s">
        <v>362</v>
      </c>
      <c r="DD324" s="0" t="s">
        <v>3572</v>
      </c>
      <c r="DE324" s="0" t="s">
        <v>5041</v>
      </c>
    </row>
    <row customHeight="1" ht="11.25">
      <c r="A325" s="1353" t="s">
        <v>228</v>
      </c>
      <c r="B325" s="0" t="s">
        <v>228</v>
      </c>
      <c r="C325" s="0" t="s">
        <v>228</v>
      </c>
      <c r="D325" s="0" t="s">
        <v>228</v>
      </c>
      <c r="E325" s="0" t="s">
        <v>228</v>
      </c>
      <c r="F325" s="0" t="s">
        <v>228</v>
      </c>
      <c r="G325" s="0" t="s">
        <v>228</v>
      </c>
      <c r="H325" s="0" t="s">
        <v>228</v>
      </c>
      <c r="I325" s="0" t="s">
        <v>3555</v>
      </c>
      <c r="J325" s="0" t="s">
        <v>228</v>
      </c>
      <c r="K325" s="0" t="s">
        <v>228</v>
      </c>
      <c r="L325" s="0" t="s">
        <v>228</v>
      </c>
      <c r="M325" s="0" t="s">
        <v>228</v>
      </c>
      <c r="N325" s="0" t="s">
        <v>228</v>
      </c>
      <c r="O325" s="0" t="s">
        <v>228</v>
      </c>
      <c r="P325" s="0" t="s">
        <v>228</v>
      </c>
      <c r="Q325" s="0" t="s">
        <v>228</v>
      </c>
      <c r="R325" s="0" t="s">
        <v>3648</v>
      </c>
      <c r="S325" s="0" t="s">
        <v>228</v>
      </c>
      <c r="T325" s="0" t="s">
        <v>228</v>
      </c>
      <c r="U325" s="0" t="s">
        <v>101</v>
      </c>
      <c r="V325" s="0" t="s">
        <v>228</v>
      </c>
      <c r="W325" s="0" t="s">
        <v>228</v>
      </c>
      <c r="X325" s="0" t="s">
        <v>3557</v>
      </c>
      <c r="Y325" s="0" t="s">
        <v>228</v>
      </c>
      <c r="Z325" s="0" t="s">
        <v>160</v>
      </c>
      <c r="AA325" s="0" t="s">
        <v>151</v>
      </c>
      <c r="AB325" s="0" t="s">
        <v>151</v>
      </c>
      <c r="AC325" s="0" t="s">
        <v>2315</v>
      </c>
      <c r="AD325" s="0" t="s">
        <v>2315</v>
      </c>
      <c r="AE325" s="0" t="s">
        <v>2316</v>
      </c>
      <c r="AF325" s="0" t="s">
        <v>5042</v>
      </c>
      <c r="AG325" s="0" t="s">
        <v>5043</v>
      </c>
      <c r="AH325" s="0" t="s">
        <v>3651</v>
      </c>
      <c r="AI325" s="0" t="s">
        <v>3651</v>
      </c>
      <c r="AJ325" s="0" t="s">
        <v>4601</v>
      </c>
      <c r="AK325" s="0" t="s">
        <v>3653</v>
      </c>
      <c r="AL325" s="0" t="s">
        <v>3581</v>
      </c>
      <c r="AM325" s="0" t="s">
        <v>3565</v>
      </c>
      <c r="AN325" s="0" t="s">
        <v>3654</v>
      </c>
      <c r="AO325" s="0" t="s">
        <v>3655</v>
      </c>
      <c r="AP325" s="0" t="s">
        <v>228</v>
      </c>
      <c r="AQ325" s="0" t="s">
        <v>228</v>
      </c>
      <c r="AR325" s="0" t="s">
        <v>228</v>
      </c>
      <c r="AS325" s="0" t="s">
        <v>228</v>
      </c>
      <c r="AT325" s="0" t="s">
        <v>228</v>
      </c>
      <c r="AU325" s="0" t="s">
        <v>228</v>
      </c>
      <c r="AV325" s="0" t="s">
        <v>228</v>
      </c>
      <c r="AW325" s="0" t="s">
        <v>228</v>
      </c>
      <c r="AX325" s="0" t="s">
        <v>228</v>
      </c>
      <c r="AY325" s="0" t="s">
        <v>228</v>
      </c>
      <c r="AZ325" s="0" t="s">
        <v>228</v>
      </c>
      <c r="BA325" s="0" t="s">
        <v>228</v>
      </c>
      <c r="BB325" s="0" t="s">
        <v>228</v>
      </c>
      <c r="BC325" s="0" t="s">
        <v>228</v>
      </c>
      <c r="BD325" s="0" t="s">
        <v>228</v>
      </c>
      <c r="BE325" s="0" t="s">
        <v>228</v>
      </c>
      <c r="BF325" s="0" t="s">
        <v>228</v>
      </c>
      <c r="BG325" s="0" t="s">
        <v>228</v>
      </c>
      <c r="BH325" s="0" t="s">
        <v>228</v>
      </c>
      <c r="BI325" s="0" t="s">
        <v>228</v>
      </c>
      <c r="BJ325" s="0" t="s">
        <v>228</v>
      </c>
      <c r="BK325" s="0" t="s">
        <v>228</v>
      </c>
      <c r="BL325" s="0" t="s">
        <v>228</v>
      </c>
      <c r="BM325" s="0" t="s">
        <v>228</v>
      </c>
      <c r="BN325" s="0" t="s">
        <v>228</v>
      </c>
      <c r="BO325" s="0" t="s">
        <v>228</v>
      </c>
      <c r="BP325" s="0" t="s">
        <v>228</v>
      </c>
      <c r="BQ325" s="0" t="s">
        <v>228</v>
      </c>
      <c r="BR325" s="0" t="s">
        <v>228</v>
      </c>
      <c r="BS325" s="0" t="s">
        <v>228</v>
      </c>
      <c r="BT325" s="0" t="s">
        <v>228</v>
      </c>
      <c r="BU325" s="0" t="s">
        <v>228</v>
      </c>
      <c r="BV325" s="0" t="s">
        <v>228</v>
      </c>
      <c r="BW325" s="0" t="s">
        <v>228</v>
      </c>
      <c r="BX325" s="0" t="s">
        <v>228</v>
      </c>
      <c r="BY325" s="0" t="s">
        <v>228</v>
      </c>
      <c r="BZ325" s="0" t="s">
        <v>228</v>
      </c>
      <c r="CA325" s="0" t="s">
        <v>228</v>
      </c>
      <c r="CB325" s="0" t="s">
        <v>228</v>
      </c>
      <c r="CC325" s="0" t="s">
        <v>228</v>
      </c>
      <c r="CD325" s="0" t="s">
        <v>228</v>
      </c>
      <c r="CE325" s="0" t="s">
        <v>228</v>
      </c>
      <c r="CF325" s="0" t="s">
        <v>228</v>
      </c>
      <c r="CG325" s="0" t="s">
        <v>228</v>
      </c>
      <c r="CH325" s="0" t="s">
        <v>228</v>
      </c>
      <c r="CI325" s="0" t="s">
        <v>228</v>
      </c>
      <c r="CJ325" s="0" t="s">
        <v>228</v>
      </c>
      <c r="CK325" s="0" t="s">
        <v>228</v>
      </c>
      <c r="CL325" s="0" t="s">
        <v>228</v>
      </c>
      <c r="CM325" s="0" t="s">
        <v>228</v>
      </c>
      <c r="CN325" s="0" t="s">
        <v>228</v>
      </c>
      <c r="CO325" s="0" t="s">
        <v>228</v>
      </c>
      <c r="CP325" s="0" t="s">
        <v>228</v>
      </c>
      <c r="CQ325" s="0" t="s">
        <v>228</v>
      </c>
      <c r="CR325" s="0" t="s">
        <v>228</v>
      </c>
      <c r="CS325" s="0" t="s">
        <v>228</v>
      </c>
      <c r="CT325" s="0" t="s">
        <v>3568</v>
      </c>
      <c r="CU325" s="0" t="s">
        <v>3569</v>
      </c>
      <c r="CV325" s="0" t="s">
        <v>418</v>
      </c>
      <c r="CW325" s="0" t="s">
        <v>3656</v>
      </c>
      <c r="CX325" s="0" t="s">
        <v>419</v>
      </c>
      <c r="CY325" s="0" t="s">
        <v>418</v>
      </c>
      <c r="CZ325" s="0" t="s">
        <v>3657</v>
      </c>
      <c r="DA325" s="0" t="s">
        <v>3658</v>
      </c>
      <c r="DB325" s="0" t="s">
        <v>3656</v>
      </c>
      <c r="DC325" s="0" t="s">
        <v>362</v>
      </c>
      <c r="DD325" s="0" t="s">
        <v>3572</v>
      </c>
      <c r="DE325" s="0" t="s">
        <v>5044</v>
      </c>
    </row>
    <row customHeight="1" ht="11.25">
      <c r="A326" s="1353" t="s">
        <v>228</v>
      </c>
      <c r="B326" s="0" t="s">
        <v>228</v>
      </c>
      <c r="C326" s="0" t="s">
        <v>228</v>
      </c>
      <c r="D326" s="0" t="s">
        <v>228</v>
      </c>
      <c r="E326" s="0" t="s">
        <v>228</v>
      </c>
      <c r="F326" s="0" t="s">
        <v>228</v>
      </c>
      <c r="G326" s="0" t="s">
        <v>228</v>
      </c>
      <c r="H326" s="0" t="s">
        <v>228</v>
      </c>
      <c r="I326" s="0" t="s">
        <v>3555</v>
      </c>
      <c r="J326" s="0" t="s">
        <v>228</v>
      </c>
      <c r="K326" s="0" t="s">
        <v>228</v>
      </c>
      <c r="L326" s="0" t="s">
        <v>228</v>
      </c>
      <c r="M326" s="0" t="s">
        <v>228</v>
      </c>
      <c r="N326" s="0" t="s">
        <v>228</v>
      </c>
      <c r="O326" s="0" t="s">
        <v>228</v>
      </c>
      <c r="P326" s="0" t="s">
        <v>228</v>
      </c>
      <c r="Q326" s="0" t="s">
        <v>228</v>
      </c>
      <c r="R326" s="0" t="s">
        <v>5045</v>
      </c>
      <c r="S326" s="0" t="s">
        <v>228</v>
      </c>
      <c r="T326" s="0" t="s">
        <v>228</v>
      </c>
      <c r="U326" s="0" t="s">
        <v>101</v>
      </c>
      <c r="V326" s="0" t="s">
        <v>228</v>
      </c>
      <c r="W326" s="0" t="s">
        <v>228</v>
      </c>
      <c r="X326" s="0" t="s">
        <v>3661</v>
      </c>
      <c r="Y326" s="0" t="s">
        <v>228</v>
      </c>
      <c r="Z326" s="0" t="s">
        <v>151</v>
      </c>
      <c r="AA326" s="0" t="s">
        <v>151</v>
      </c>
      <c r="AB326" s="0" t="s">
        <v>160</v>
      </c>
      <c r="AC326" s="0" t="s">
        <v>2315</v>
      </c>
      <c r="AD326" s="0" t="s">
        <v>2315</v>
      </c>
      <c r="AE326" s="0" t="s">
        <v>2316</v>
      </c>
      <c r="AF326" s="0" t="s">
        <v>5042</v>
      </c>
      <c r="AG326" s="0" t="s">
        <v>5043</v>
      </c>
      <c r="AH326" s="0" t="s">
        <v>3651</v>
      </c>
      <c r="AI326" s="0" t="s">
        <v>3651</v>
      </c>
      <c r="AJ326" s="0" t="s">
        <v>228</v>
      </c>
      <c r="AK326" s="0" t="s">
        <v>228</v>
      </c>
      <c r="AL326" s="0" t="s">
        <v>228</v>
      </c>
      <c r="AM326" s="0" t="s">
        <v>228</v>
      </c>
      <c r="AN326" s="0" t="s">
        <v>228</v>
      </c>
      <c r="AO326" s="0" t="s">
        <v>228</v>
      </c>
      <c r="AP326" s="0" t="s">
        <v>228</v>
      </c>
      <c r="AQ326" s="0" t="s">
        <v>228</v>
      </c>
      <c r="AR326" s="0" t="s">
        <v>228</v>
      </c>
      <c r="AS326" s="0" t="s">
        <v>228</v>
      </c>
      <c r="AT326" s="0" t="s">
        <v>228</v>
      </c>
      <c r="AU326" s="0" t="s">
        <v>228</v>
      </c>
      <c r="AV326" s="0" t="s">
        <v>228</v>
      </c>
      <c r="AW326" s="0" t="s">
        <v>228</v>
      </c>
      <c r="AX326" s="0" t="s">
        <v>228</v>
      </c>
      <c r="AY326" s="0" t="s">
        <v>228</v>
      </c>
      <c r="AZ326" s="0" t="s">
        <v>228</v>
      </c>
      <c r="BA326" s="0" t="s">
        <v>228</v>
      </c>
      <c r="BB326" s="0" t="s">
        <v>228</v>
      </c>
      <c r="BC326" s="0" t="s">
        <v>228</v>
      </c>
      <c r="BD326" s="0" t="s">
        <v>228</v>
      </c>
      <c r="BE326" s="0" t="s">
        <v>4601</v>
      </c>
      <c r="BF326" s="0" t="s">
        <v>3653</v>
      </c>
      <c r="BG326" s="0" t="s">
        <v>111</v>
      </c>
      <c r="BH326" s="0" t="s">
        <v>3665</v>
      </c>
      <c r="BI326" s="0" t="s">
        <v>122</v>
      </c>
      <c r="BJ326" s="0" t="s">
        <v>228</v>
      </c>
      <c r="BK326" s="0" t="s">
        <v>3684</v>
      </c>
      <c r="BL326" s="0" t="s">
        <v>2315</v>
      </c>
      <c r="BM326" s="0" t="s">
        <v>2315</v>
      </c>
      <c r="BN326" s="0" t="s">
        <v>3875</v>
      </c>
      <c r="BO326" s="0" t="s">
        <v>5042</v>
      </c>
      <c r="BP326" s="0" t="s">
        <v>5046</v>
      </c>
      <c r="BQ326" s="0" t="s">
        <v>3651</v>
      </c>
      <c r="BR326" s="0" t="s">
        <v>3651</v>
      </c>
      <c r="BS326" s="0" t="s">
        <v>228</v>
      </c>
      <c r="BT326" s="0" t="s">
        <v>3727</v>
      </c>
      <c r="BU326" s="0" t="s">
        <v>5047</v>
      </c>
      <c r="BV326" s="0" t="s">
        <v>5047</v>
      </c>
      <c r="BW326" s="0" t="s">
        <v>3674</v>
      </c>
      <c r="BX326" s="0" t="s">
        <v>3674</v>
      </c>
      <c r="BY326" s="0" t="s">
        <v>3674</v>
      </c>
      <c r="BZ326" s="0" t="s">
        <v>3674</v>
      </c>
      <c r="CA326" s="0" t="s">
        <v>3674</v>
      </c>
      <c r="CB326" s="0" t="s">
        <v>228</v>
      </c>
      <c r="CC326" s="0" t="s">
        <v>228</v>
      </c>
      <c r="CD326" s="0" t="s">
        <v>228</v>
      </c>
      <c r="CE326" s="0" t="s">
        <v>228</v>
      </c>
      <c r="CF326" s="0" t="s">
        <v>228</v>
      </c>
      <c r="CG326" s="0" t="s">
        <v>3674</v>
      </c>
      <c r="CH326" s="0" t="s">
        <v>228</v>
      </c>
      <c r="CI326" s="0" t="s">
        <v>228</v>
      </c>
      <c r="CJ326" s="0" t="s">
        <v>228</v>
      </c>
      <c r="CK326" s="0" t="s">
        <v>228</v>
      </c>
      <c r="CL326" s="0" t="s">
        <v>228</v>
      </c>
      <c r="CM326" s="0" t="s">
        <v>5047</v>
      </c>
      <c r="CN326" s="0" t="s">
        <v>5047</v>
      </c>
      <c r="CO326" s="0" t="s">
        <v>228</v>
      </c>
      <c r="CP326" s="0" t="s">
        <v>228</v>
      </c>
      <c r="CQ326" s="0" t="s">
        <v>228</v>
      </c>
      <c r="CR326" s="0" t="s">
        <v>228</v>
      </c>
      <c r="CS326" s="0" t="s">
        <v>3563</v>
      </c>
      <c r="CT326" s="0" t="s">
        <v>3568</v>
      </c>
      <c r="CU326" s="0" t="s">
        <v>3569</v>
      </c>
      <c r="CV326" s="0" t="s">
        <v>418</v>
      </c>
      <c r="CW326" s="0" t="s">
        <v>3656</v>
      </c>
      <c r="CX326" s="0" t="s">
        <v>419</v>
      </c>
      <c r="CY326" s="0" t="s">
        <v>418</v>
      </c>
      <c r="CZ326" s="0" t="s">
        <v>3657</v>
      </c>
      <c r="DA326" s="0" t="s">
        <v>3658</v>
      </c>
      <c r="DB326" s="0" t="s">
        <v>3656</v>
      </c>
      <c r="DC326" s="0" t="s">
        <v>362</v>
      </c>
      <c r="DD326" s="0" t="s">
        <v>3572</v>
      </c>
      <c r="DE326" s="0" t="s">
        <v>5044</v>
      </c>
    </row>
    <row customHeight="1" ht="11.25">
      <c r="A327" s="1353" t="s">
        <v>228</v>
      </c>
      <c r="B327" s="0" t="s">
        <v>228</v>
      </c>
      <c r="C327" s="0" t="s">
        <v>228</v>
      </c>
      <c r="D327" s="0" t="s">
        <v>228</v>
      </c>
      <c r="E327" s="0" t="s">
        <v>228</v>
      </c>
      <c r="F327" s="0" t="s">
        <v>228</v>
      </c>
      <c r="G327" s="0" t="s">
        <v>228</v>
      </c>
      <c r="H327" s="0" t="s">
        <v>228</v>
      </c>
      <c r="I327" s="0" t="s">
        <v>3555</v>
      </c>
      <c r="J327" s="0" t="s">
        <v>228</v>
      </c>
      <c r="K327" s="0" t="s">
        <v>228</v>
      </c>
      <c r="L327" s="0" t="s">
        <v>228</v>
      </c>
      <c r="M327" s="0" t="s">
        <v>228</v>
      </c>
      <c r="N327" s="0" t="s">
        <v>228</v>
      </c>
      <c r="O327" s="0" t="s">
        <v>228</v>
      </c>
      <c r="P327" s="0" t="s">
        <v>228</v>
      </c>
      <c r="Q327" s="0" t="s">
        <v>228</v>
      </c>
      <c r="R327" s="0" t="s">
        <v>5048</v>
      </c>
      <c r="S327" s="0" t="s">
        <v>228</v>
      </c>
      <c r="T327" s="0" t="s">
        <v>228</v>
      </c>
      <c r="U327" s="0" t="s">
        <v>101</v>
      </c>
      <c r="V327" s="0" t="s">
        <v>228</v>
      </c>
      <c r="W327" s="0" t="s">
        <v>228</v>
      </c>
      <c r="X327" s="0" t="s">
        <v>3557</v>
      </c>
      <c r="Y327" s="0" t="s">
        <v>228</v>
      </c>
      <c r="Z327" s="0" t="s">
        <v>160</v>
      </c>
      <c r="AA327" s="0" t="s">
        <v>151</v>
      </c>
      <c r="AB327" s="0" t="s">
        <v>151</v>
      </c>
      <c r="AC327" s="0" t="s">
        <v>2715</v>
      </c>
      <c r="AD327" s="0" t="s">
        <v>2715</v>
      </c>
      <c r="AE327" s="0" t="s">
        <v>2716</v>
      </c>
      <c r="AF327" s="0" t="s">
        <v>3594</v>
      </c>
      <c r="AG327" s="0" t="s">
        <v>3595</v>
      </c>
      <c r="AH327" s="0" t="s">
        <v>4260</v>
      </c>
      <c r="AI327" s="0" t="s">
        <v>4261</v>
      </c>
      <c r="AJ327" s="0" t="s">
        <v>3793</v>
      </c>
      <c r="AK327" s="0" t="s">
        <v>4262</v>
      </c>
      <c r="AL327" s="0" t="s">
        <v>3564</v>
      </c>
      <c r="AM327" s="0" t="s">
        <v>3565</v>
      </c>
      <c r="AN327" s="0" t="s">
        <v>4263</v>
      </c>
      <c r="AO327" s="0" t="s">
        <v>4264</v>
      </c>
      <c r="AP327" s="0" t="s">
        <v>228</v>
      </c>
      <c r="AQ327" s="0" t="s">
        <v>228</v>
      </c>
      <c r="AR327" s="0" t="s">
        <v>228</v>
      </c>
      <c r="AS327" s="0" t="s">
        <v>228</v>
      </c>
      <c r="AT327" s="0" t="s">
        <v>228</v>
      </c>
      <c r="AU327" s="0" t="s">
        <v>228</v>
      </c>
      <c r="AV327" s="0" t="s">
        <v>228</v>
      </c>
      <c r="AW327" s="0" t="s">
        <v>228</v>
      </c>
      <c r="AX327" s="0" t="s">
        <v>228</v>
      </c>
      <c r="AY327" s="0" t="s">
        <v>228</v>
      </c>
      <c r="AZ327" s="0" t="s">
        <v>228</v>
      </c>
      <c r="BA327" s="0" t="s">
        <v>228</v>
      </c>
      <c r="BB327" s="0" t="s">
        <v>228</v>
      </c>
      <c r="BC327" s="0" t="s">
        <v>228</v>
      </c>
      <c r="BD327" s="0" t="s">
        <v>228</v>
      </c>
      <c r="BE327" s="0" t="s">
        <v>228</v>
      </c>
      <c r="BF327" s="0" t="s">
        <v>228</v>
      </c>
      <c r="BG327" s="0" t="s">
        <v>228</v>
      </c>
      <c r="BH327" s="0" t="s">
        <v>228</v>
      </c>
      <c r="BI327" s="0" t="s">
        <v>228</v>
      </c>
      <c r="BJ327" s="0" t="s">
        <v>228</v>
      </c>
      <c r="BK327" s="0" t="s">
        <v>228</v>
      </c>
      <c r="BL327" s="0" t="s">
        <v>228</v>
      </c>
      <c r="BM327" s="0" t="s">
        <v>228</v>
      </c>
      <c r="BN327" s="0" t="s">
        <v>228</v>
      </c>
      <c r="BO327" s="0" t="s">
        <v>228</v>
      </c>
      <c r="BP327" s="0" t="s">
        <v>228</v>
      </c>
      <c r="BQ327" s="0" t="s">
        <v>228</v>
      </c>
      <c r="BR327" s="0" t="s">
        <v>228</v>
      </c>
      <c r="BS327" s="0" t="s">
        <v>228</v>
      </c>
      <c r="BT327" s="0" t="s">
        <v>228</v>
      </c>
      <c r="BU327" s="0" t="s">
        <v>228</v>
      </c>
      <c r="BV327" s="0" t="s">
        <v>228</v>
      </c>
      <c r="BW327" s="0" t="s">
        <v>228</v>
      </c>
      <c r="BX327" s="0" t="s">
        <v>228</v>
      </c>
      <c r="BY327" s="0" t="s">
        <v>228</v>
      </c>
      <c r="BZ327" s="0" t="s">
        <v>228</v>
      </c>
      <c r="CA327" s="0" t="s">
        <v>228</v>
      </c>
      <c r="CB327" s="0" t="s">
        <v>228</v>
      </c>
      <c r="CC327" s="0" t="s">
        <v>228</v>
      </c>
      <c r="CD327" s="0" t="s">
        <v>228</v>
      </c>
      <c r="CE327" s="0" t="s">
        <v>228</v>
      </c>
      <c r="CF327" s="0" t="s">
        <v>228</v>
      </c>
      <c r="CG327" s="0" t="s">
        <v>228</v>
      </c>
      <c r="CH327" s="0" t="s">
        <v>228</v>
      </c>
      <c r="CI327" s="0" t="s">
        <v>228</v>
      </c>
      <c r="CJ327" s="0" t="s">
        <v>228</v>
      </c>
      <c r="CK327" s="0" t="s">
        <v>228</v>
      </c>
      <c r="CL327" s="0" t="s">
        <v>228</v>
      </c>
      <c r="CM327" s="0" t="s">
        <v>228</v>
      </c>
      <c r="CN327" s="0" t="s">
        <v>228</v>
      </c>
      <c r="CO327" s="0" t="s">
        <v>228</v>
      </c>
      <c r="CP327" s="0" t="s">
        <v>228</v>
      </c>
      <c r="CQ327" s="0" t="s">
        <v>228</v>
      </c>
      <c r="CR327" s="0" t="s">
        <v>228</v>
      </c>
      <c r="CS327" s="0" t="s">
        <v>228</v>
      </c>
      <c r="CT327" s="0" t="s">
        <v>3568</v>
      </c>
      <c r="CU327" s="0" t="s">
        <v>3569</v>
      </c>
      <c r="CV327" s="0" t="s">
        <v>418</v>
      </c>
      <c r="CW327" s="0" t="s">
        <v>3602</v>
      </c>
      <c r="CX327" s="0" t="s">
        <v>3603</v>
      </c>
      <c r="CY327" s="0" t="s">
        <v>418</v>
      </c>
      <c r="CZ327" s="0" t="s">
        <v>504</v>
      </c>
      <c r="DA327" s="0" t="s">
        <v>3604</v>
      </c>
      <c r="DB327" s="0" t="s">
        <v>3602</v>
      </c>
      <c r="DC327" s="0" t="s">
        <v>362</v>
      </c>
      <c r="DD327" s="0" t="s">
        <v>3572</v>
      </c>
      <c r="DE327" s="0" t="s">
        <v>4265</v>
      </c>
    </row>
    <row customHeight="1" ht="11.25">
      <c r="A328" s="1353" t="s">
        <v>228</v>
      </c>
      <c r="B328" s="0" t="s">
        <v>228</v>
      </c>
      <c r="C328" s="0" t="s">
        <v>228</v>
      </c>
      <c r="D328" s="0" t="s">
        <v>228</v>
      </c>
      <c r="E328" s="0" t="s">
        <v>228</v>
      </c>
      <c r="F328" s="0" t="s">
        <v>228</v>
      </c>
      <c r="G328" s="0" t="s">
        <v>228</v>
      </c>
      <c r="H328" s="0" t="s">
        <v>228</v>
      </c>
      <c r="I328" s="0" t="s">
        <v>3555</v>
      </c>
      <c r="J328" s="0" t="s">
        <v>228</v>
      </c>
      <c r="K328" s="0" t="s">
        <v>228</v>
      </c>
      <c r="L328" s="0" t="s">
        <v>228</v>
      </c>
      <c r="M328" s="0" t="s">
        <v>228</v>
      </c>
      <c r="N328" s="0" t="s">
        <v>228</v>
      </c>
      <c r="O328" s="0" t="s">
        <v>228</v>
      </c>
      <c r="P328" s="0" t="s">
        <v>228</v>
      </c>
      <c r="Q328" s="0" t="s">
        <v>228</v>
      </c>
      <c r="R328" s="0" t="s">
        <v>5049</v>
      </c>
      <c r="S328" s="0" t="s">
        <v>228</v>
      </c>
      <c r="T328" s="0" t="s">
        <v>228</v>
      </c>
      <c r="U328" s="0" t="s">
        <v>101</v>
      </c>
      <c r="V328" s="0" t="s">
        <v>228</v>
      </c>
      <c r="W328" s="0" t="s">
        <v>228</v>
      </c>
      <c r="X328" s="0" t="s">
        <v>3557</v>
      </c>
      <c r="Y328" s="0" t="s">
        <v>228</v>
      </c>
      <c r="Z328" s="0" t="s">
        <v>160</v>
      </c>
      <c r="AA328" s="0" t="s">
        <v>151</v>
      </c>
      <c r="AB328" s="0" t="s">
        <v>151</v>
      </c>
      <c r="AC328" s="0" t="s">
        <v>2715</v>
      </c>
      <c r="AD328" s="0" t="s">
        <v>2715</v>
      </c>
      <c r="AE328" s="0" t="s">
        <v>2716</v>
      </c>
      <c r="AF328" s="0" t="s">
        <v>3594</v>
      </c>
      <c r="AG328" s="0" t="s">
        <v>3595</v>
      </c>
      <c r="AH328" s="0" t="s">
        <v>3731</v>
      </c>
      <c r="AI328" s="0" t="s">
        <v>4959</v>
      </c>
      <c r="AJ328" s="0" t="s">
        <v>3636</v>
      </c>
      <c r="AK328" s="0" t="s">
        <v>4960</v>
      </c>
      <c r="AL328" s="0" t="s">
        <v>3599</v>
      </c>
      <c r="AM328" s="0" t="s">
        <v>3565</v>
      </c>
      <c r="AN328" s="0" t="s">
        <v>4675</v>
      </c>
      <c r="AO328" s="0" t="s">
        <v>4676</v>
      </c>
      <c r="AP328" s="0" t="s">
        <v>228</v>
      </c>
      <c r="AQ328" s="0" t="s">
        <v>228</v>
      </c>
      <c r="AR328" s="0" t="s">
        <v>228</v>
      </c>
      <c r="AS328" s="0" t="s">
        <v>228</v>
      </c>
      <c r="AT328" s="0" t="s">
        <v>228</v>
      </c>
      <c r="AU328" s="0" t="s">
        <v>228</v>
      </c>
      <c r="AV328" s="0" t="s">
        <v>228</v>
      </c>
      <c r="AW328" s="0" t="s">
        <v>228</v>
      </c>
      <c r="AX328" s="0" t="s">
        <v>228</v>
      </c>
      <c r="AY328" s="0" t="s">
        <v>228</v>
      </c>
      <c r="AZ328" s="0" t="s">
        <v>228</v>
      </c>
      <c r="BA328" s="0" t="s">
        <v>228</v>
      </c>
      <c r="BB328" s="0" t="s">
        <v>228</v>
      </c>
      <c r="BC328" s="0" t="s">
        <v>228</v>
      </c>
      <c r="BD328" s="0" t="s">
        <v>228</v>
      </c>
      <c r="BE328" s="0" t="s">
        <v>228</v>
      </c>
      <c r="BF328" s="0" t="s">
        <v>228</v>
      </c>
      <c r="BG328" s="0" t="s">
        <v>228</v>
      </c>
      <c r="BH328" s="0" t="s">
        <v>228</v>
      </c>
      <c r="BI328" s="0" t="s">
        <v>228</v>
      </c>
      <c r="BJ328" s="0" t="s">
        <v>228</v>
      </c>
      <c r="BK328" s="0" t="s">
        <v>228</v>
      </c>
      <c r="BL328" s="0" t="s">
        <v>228</v>
      </c>
      <c r="BM328" s="0" t="s">
        <v>228</v>
      </c>
      <c r="BN328" s="0" t="s">
        <v>228</v>
      </c>
      <c r="BO328" s="0" t="s">
        <v>228</v>
      </c>
      <c r="BP328" s="0" t="s">
        <v>228</v>
      </c>
      <c r="BQ328" s="0" t="s">
        <v>228</v>
      </c>
      <c r="BR328" s="0" t="s">
        <v>228</v>
      </c>
      <c r="BS328" s="0" t="s">
        <v>228</v>
      </c>
      <c r="BT328" s="0" t="s">
        <v>228</v>
      </c>
      <c r="BU328" s="0" t="s">
        <v>228</v>
      </c>
      <c r="BV328" s="0" t="s">
        <v>228</v>
      </c>
      <c r="BW328" s="0" t="s">
        <v>228</v>
      </c>
      <c r="BX328" s="0" t="s">
        <v>228</v>
      </c>
      <c r="BY328" s="0" t="s">
        <v>228</v>
      </c>
      <c r="BZ328" s="0" t="s">
        <v>228</v>
      </c>
      <c r="CA328" s="0" t="s">
        <v>228</v>
      </c>
      <c r="CB328" s="0" t="s">
        <v>228</v>
      </c>
      <c r="CC328" s="0" t="s">
        <v>228</v>
      </c>
      <c r="CD328" s="0" t="s">
        <v>228</v>
      </c>
      <c r="CE328" s="0" t="s">
        <v>228</v>
      </c>
      <c r="CF328" s="0" t="s">
        <v>228</v>
      </c>
      <c r="CG328" s="0" t="s">
        <v>228</v>
      </c>
      <c r="CH328" s="0" t="s">
        <v>228</v>
      </c>
      <c r="CI328" s="0" t="s">
        <v>228</v>
      </c>
      <c r="CJ328" s="0" t="s">
        <v>228</v>
      </c>
      <c r="CK328" s="0" t="s">
        <v>228</v>
      </c>
      <c r="CL328" s="0" t="s">
        <v>228</v>
      </c>
      <c r="CM328" s="0" t="s">
        <v>228</v>
      </c>
      <c r="CN328" s="0" t="s">
        <v>228</v>
      </c>
      <c r="CO328" s="0" t="s">
        <v>228</v>
      </c>
      <c r="CP328" s="0" t="s">
        <v>228</v>
      </c>
      <c r="CQ328" s="0" t="s">
        <v>228</v>
      </c>
      <c r="CR328" s="0" t="s">
        <v>228</v>
      </c>
      <c r="CS328" s="0" t="s">
        <v>228</v>
      </c>
      <c r="CT328" s="0" t="s">
        <v>3568</v>
      </c>
      <c r="CU328" s="0" t="s">
        <v>3569</v>
      </c>
      <c r="CV328" s="0" t="s">
        <v>418</v>
      </c>
      <c r="CW328" s="0" t="s">
        <v>3602</v>
      </c>
      <c r="CX328" s="0" t="s">
        <v>3603</v>
      </c>
      <c r="CY328" s="0" t="s">
        <v>418</v>
      </c>
      <c r="CZ328" s="0" t="s">
        <v>504</v>
      </c>
      <c r="DA328" s="0" t="s">
        <v>3604</v>
      </c>
      <c r="DB328" s="0" t="s">
        <v>3602</v>
      </c>
      <c r="DC328" s="0" t="s">
        <v>362</v>
      </c>
      <c r="DD328" s="0" t="s">
        <v>3572</v>
      </c>
      <c r="DE328" s="0" t="s">
        <v>4961</v>
      </c>
    </row>
    <row customHeight="1" ht="11.25">
      <c r="A329" s="1353" t="s">
        <v>228</v>
      </c>
      <c r="B329" s="0" t="s">
        <v>228</v>
      </c>
      <c r="C329" s="0" t="s">
        <v>228</v>
      </c>
      <c r="D329" s="0" t="s">
        <v>228</v>
      </c>
      <c r="E329" s="0" t="s">
        <v>228</v>
      </c>
      <c r="F329" s="0" t="s">
        <v>228</v>
      </c>
      <c r="G329" s="0" t="s">
        <v>228</v>
      </c>
      <c r="H329" s="0" t="s">
        <v>228</v>
      </c>
      <c r="I329" s="0" t="s">
        <v>3555</v>
      </c>
      <c r="J329" s="0" t="s">
        <v>228</v>
      </c>
      <c r="K329" s="0" t="s">
        <v>228</v>
      </c>
      <c r="L329" s="0" t="s">
        <v>228</v>
      </c>
      <c r="M329" s="0" t="s">
        <v>228</v>
      </c>
      <c r="N329" s="0" t="s">
        <v>228</v>
      </c>
      <c r="O329" s="0" t="s">
        <v>228</v>
      </c>
      <c r="P329" s="0" t="s">
        <v>228</v>
      </c>
      <c r="Q329" s="0" t="s">
        <v>228</v>
      </c>
      <c r="R329" s="0" t="s">
        <v>3574</v>
      </c>
      <c r="S329" s="0" t="s">
        <v>228</v>
      </c>
      <c r="T329" s="0" t="s">
        <v>228</v>
      </c>
      <c r="U329" s="0" t="s">
        <v>101</v>
      </c>
      <c r="V329" s="0" t="s">
        <v>228</v>
      </c>
      <c r="W329" s="0" t="s">
        <v>228</v>
      </c>
      <c r="X329" s="0" t="s">
        <v>3557</v>
      </c>
      <c r="Y329" s="0" t="s">
        <v>228</v>
      </c>
      <c r="Z329" s="0" t="s">
        <v>160</v>
      </c>
      <c r="AA329" s="0" t="s">
        <v>151</v>
      </c>
      <c r="AB329" s="0" t="s">
        <v>151</v>
      </c>
      <c r="AC329" s="0" t="s">
        <v>2317</v>
      </c>
      <c r="AD329" s="0" t="s">
        <v>2317</v>
      </c>
      <c r="AE329" s="0" t="s">
        <v>2318</v>
      </c>
      <c r="AF329" s="0" t="s">
        <v>4053</v>
      </c>
      <c r="AG329" s="0" t="s">
        <v>4054</v>
      </c>
      <c r="AH329" s="0" t="s">
        <v>4055</v>
      </c>
      <c r="AI329" s="0" t="s">
        <v>3807</v>
      </c>
      <c r="AJ329" s="0" t="s">
        <v>3579</v>
      </c>
      <c r="AK329" s="0" t="s">
        <v>3808</v>
      </c>
      <c r="AL329" s="0" t="s">
        <v>3581</v>
      </c>
      <c r="AM329" s="0" t="s">
        <v>3565</v>
      </c>
      <c r="AN329" s="0" t="s">
        <v>3620</v>
      </c>
      <c r="AO329" s="0" t="s">
        <v>3712</v>
      </c>
      <c r="AP329" s="0" t="s">
        <v>228</v>
      </c>
      <c r="AQ329" s="0" t="s">
        <v>228</v>
      </c>
      <c r="AR329" s="0" t="s">
        <v>228</v>
      </c>
      <c r="AS329" s="0" t="s">
        <v>228</v>
      </c>
      <c r="AT329" s="0" t="s">
        <v>228</v>
      </c>
      <c r="AU329" s="0" t="s">
        <v>228</v>
      </c>
      <c r="AV329" s="0" t="s">
        <v>228</v>
      </c>
      <c r="AW329" s="0" t="s">
        <v>228</v>
      </c>
      <c r="AX329" s="0" t="s">
        <v>228</v>
      </c>
      <c r="AY329" s="0" t="s">
        <v>228</v>
      </c>
      <c r="AZ329" s="0" t="s">
        <v>228</v>
      </c>
      <c r="BA329" s="0" t="s">
        <v>228</v>
      </c>
      <c r="BB329" s="0" t="s">
        <v>228</v>
      </c>
      <c r="BC329" s="0" t="s">
        <v>228</v>
      </c>
      <c r="BD329" s="0" t="s">
        <v>228</v>
      </c>
      <c r="BE329" s="0" t="s">
        <v>228</v>
      </c>
      <c r="BF329" s="0" t="s">
        <v>228</v>
      </c>
      <c r="BG329" s="0" t="s">
        <v>228</v>
      </c>
      <c r="BH329" s="0" t="s">
        <v>228</v>
      </c>
      <c r="BI329" s="0" t="s">
        <v>228</v>
      </c>
      <c r="BJ329" s="0" t="s">
        <v>228</v>
      </c>
      <c r="BK329" s="0" t="s">
        <v>228</v>
      </c>
      <c r="BL329" s="0" t="s">
        <v>228</v>
      </c>
      <c r="BM329" s="0" t="s">
        <v>228</v>
      </c>
      <c r="BN329" s="0" t="s">
        <v>228</v>
      </c>
      <c r="BO329" s="0" t="s">
        <v>228</v>
      </c>
      <c r="BP329" s="0" t="s">
        <v>228</v>
      </c>
      <c r="BQ329" s="0" t="s">
        <v>228</v>
      </c>
      <c r="BR329" s="0" t="s">
        <v>228</v>
      </c>
      <c r="BS329" s="0" t="s">
        <v>228</v>
      </c>
      <c r="BT329" s="0" t="s">
        <v>228</v>
      </c>
      <c r="BU329" s="0" t="s">
        <v>228</v>
      </c>
      <c r="BV329" s="0" t="s">
        <v>228</v>
      </c>
      <c r="BW329" s="0" t="s">
        <v>228</v>
      </c>
      <c r="BX329" s="0" t="s">
        <v>228</v>
      </c>
      <c r="BY329" s="0" t="s">
        <v>228</v>
      </c>
      <c r="BZ329" s="0" t="s">
        <v>228</v>
      </c>
      <c r="CA329" s="0" t="s">
        <v>228</v>
      </c>
      <c r="CB329" s="0" t="s">
        <v>228</v>
      </c>
      <c r="CC329" s="0" t="s">
        <v>228</v>
      </c>
      <c r="CD329" s="0" t="s">
        <v>228</v>
      </c>
      <c r="CE329" s="0" t="s">
        <v>228</v>
      </c>
      <c r="CF329" s="0" t="s">
        <v>228</v>
      </c>
      <c r="CG329" s="0" t="s">
        <v>228</v>
      </c>
      <c r="CH329" s="0" t="s">
        <v>228</v>
      </c>
      <c r="CI329" s="0" t="s">
        <v>228</v>
      </c>
      <c r="CJ329" s="0" t="s">
        <v>228</v>
      </c>
      <c r="CK329" s="0" t="s">
        <v>228</v>
      </c>
      <c r="CL329" s="0" t="s">
        <v>228</v>
      </c>
      <c r="CM329" s="0" t="s">
        <v>228</v>
      </c>
      <c r="CN329" s="0" t="s">
        <v>228</v>
      </c>
      <c r="CO329" s="0" t="s">
        <v>228</v>
      </c>
      <c r="CP329" s="0" t="s">
        <v>228</v>
      </c>
      <c r="CQ329" s="0" t="s">
        <v>228</v>
      </c>
      <c r="CR329" s="0" t="s">
        <v>228</v>
      </c>
      <c r="CS329" s="0" t="s">
        <v>228</v>
      </c>
      <c r="CT329" s="0" t="s">
        <v>3568</v>
      </c>
      <c r="CU329" s="0" t="s">
        <v>3569</v>
      </c>
      <c r="CV329" s="0" t="s">
        <v>418</v>
      </c>
      <c r="CW329" s="0" t="s">
        <v>3622</v>
      </c>
      <c r="CX329" s="0" t="s">
        <v>419</v>
      </c>
      <c r="CY329" s="0" t="s">
        <v>418</v>
      </c>
      <c r="CZ329" s="0" t="s">
        <v>3623</v>
      </c>
      <c r="DA329" s="0" t="s">
        <v>3624</v>
      </c>
      <c r="DB329" s="0" t="s">
        <v>3622</v>
      </c>
      <c r="DC329" s="0" t="s">
        <v>362</v>
      </c>
      <c r="DD329" s="0" t="s">
        <v>3572</v>
      </c>
      <c r="DE329" s="0" t="s">
        <v>4056</v>
      </c>
    </row>
    <row customHeight="1" ht="11.25">
      <c r="A330" s="1353" t="s">
        <v>228</v>
      </c>
      <c r="B330" s="0" t="s">
        <v>228</v>
      </c>
      <c r="C330" s="0" t="s">
        <v>228</v>
      </c>
      <c r="D330" s="0" t="s">
        <v>228</v>
      </c>
      <c r="E330" s="0" t="s">
        <v>228</v>
      </c>
      <c r="F330" s="0" t="s">
        <v>228</v>
      </c>
      <c r="G330" s="0" t="s">
        <v>228</v>
      </c>
      <c r="H330" s="0" t="s">
        <v>228</v>
      </c>
      <c r="I330" s="0" t="s">
        <v>3555</v>
      </c>
      <c r="J330" s="0" t="s">
        <v>228</v>
      </c>
      <c r="K330" s="0" t="s">
        <v>228</v>
      </c>
      <c r="L330" s="0" t="s">
        <v>228</v>
      </c>
      <c r="M330" s="0" t="s">
        <v>228</v>
      </c>
      <c r="N330" s="0" t="s">
        <v>228</v>
      </c>
      <c r="O330" s="0" t="s">
        <v>228</v>
      </c>
      <c r="P330" s="0" t="s">
        <v>228</v>
      </c>
      <c r="Q330" s="0" t="s">
        <v>228</v>
      </c>
      <c r="R330" s="0" t="s">
        <v>4502</v>
      </c>
      <c r="S330" s="0" t="s">
        <v>228</v>
      </c>
      <c r="T330" s="0" t="s">
        <v>228</v>
      </c>
      <c r="U330" s="0" t="s">
        <v>101</v>
      </c>
      <c r="V330" s="0" t="s">
        <v>228</v>
      </c>
      <c r="W330" s="0" t="s">
        <v>228</v>
      </c>
      <c r="X330" s="0" t="s">
        <v>3661</v>
      </c>
      <c r="Y330" s="0" t="s">
        <v>228</v>
      </c>
      <c r="Z330" s="0" t="s">
        <v>151</v>
      </c>
      <c r="AA330" s="0" t="s">
        <v>151</v>
      </c>
      <c r="AB330" s="0" t="s">
        <v>160</v>
      </c>
      <c r="AC330" s="0" t="s">
        <v>2317</v>
      </c>
      <c r="AD330" s="0" t="s">
        <v>2317</v>
      </c>
      <c r="AE330" s="0" t="s">
        <v>2318</v>
      </c>
      <c r="AF330" s="0" t="s">
        <v>4053</v>
      </c>
      <c r="AG330" s="0" t="s">
        <v>4054</v>
      </c>
      <c r="AH330" s="0" t="s">
        <v>3651</v>
      </c>
      <c r="AI330" s="0" t="s">
        <v>3651</v>
      </c>
      <c r="AJ330" s="0" t="s">
        <v>228</v>
      </c>
      <c r="AK330" s="0" t="s">
        <v>228</v>
      </c>
      <c r="AL330" s="0" t="s">
        <v>228</v>
      </c>
      <c r="AM330" s="0" t="s">
        <v>228</v>
      </c>
      <c r="AN330" s="0" t="s">
        <v>228</v>
      </c>
      <c r="AO330" s="0" t="s">
        <v>228</v>
      </c>
      <c r="AP330" s="0" t="s">
        <v>228</v>
      </c>
      <c r="AQ330" s="0" t="s">
        <v>228</v>
      </c>
      <c r="AR330" s="0" t="s">
        <v>228</v>
      </c>
      <c r="AS330" s="0" t="s">
        <v>228</v>
      </c>
      <c r="AT330" s="0" t="s">
        <v>228</v>
      </c>
      <c r="AU330" s="0" t="s">
        <v>228</v>
      </c>
      <c r="AV330" s="0" t="s">
        <v>228</v>
      </c>
      <c r="AW330" s="0" t="s">
        <v>228</v>
      </c>
      <c r="AX330" s="0" t="s">
        <v>228</v>
      </c>
      <c r="AY330" s="0" t="s">
        <v>228</v>
      </c>
      <c r="AZ330" s="0" t="s">
        <v>228</v>
      </c>
      <c r="BA330" s="0" t="s">
        <v>228</v>
      </c>
      <c r="BB330" s="0" t="s">
        <v>228</v>
      </c>
      <c r="BC330" s="0" t="s">
        <v>228</v>
      </c>
      <c r="BD330" s="0" t="s">
        <v>228</v>
      </c>
      <c r="BE330" s="0" t="s">
        <v>3627</v>
      </c>
      <c r="BF330" s="0" t="s">
        <v>3619</v>
      </c>
      <c r="BG330" s="0" t="s">
        <v>111</v>
      </c>
      <c r="BH330" s="0" t="s">
        <v>3665</v>
      </c>
      <c r="BI330" s="0" t="s">
        <v>122</v>
      </c>
      <c r="BJ330" s="0" t="s">
        <v>228</v>
      </c>
      <c r="BK330" s="0" t="s">
        <v>3684</v>
      </c>
      <c r="BL330" s="0" t="s">
        <v>2317</v>
      </c>
      <c r="BM330" s="0" t="s">
        <v>2317</v>
      </c>
      <c r="BN330" s="0" t="s">
        <v>3740</v>
      </c>
      <c r="BO330" s="0" t="s">
        <v>4053</v>
      </c>
      <c r="BP330" s="0" t="s">
        <v>4503</v>
      </c>
      <c r="BQ330" s="0" t="s">
        <v>3651</v>
      </c>
      <c r="BR330" s="0" t="s">
        <v>3651</v>
      </c>
      <c r="BS330" s="0" t="s">
        <v>228</v>
      </c>
      <c r="BT330" s="0" t="s">
        <v>3727</v>
      </c>
      <c r="BU330" s="0" t="s">
        <v>4504</v>
      </c>
      <c r="BV330" s="0" t="s">
        <v>4504</v>
      </c>
      <c r="BW330" s="0" t="s">
        <v>3674</v>
      </c>
      <c r="BX330" s="0" t="s">
        <v>3674</v>
      </c>
      <c r="BY330" s="0" t="s">
        <v>3674</v>
      </c>
      <c r="BZ330" s="0" t="s">
        <v>3674</v>
      </c>
      <c r="CA330" s="0" t="s">
        <v>3674</v>
      </c>
      <c r="CB330" s="0" t="s">
        <v>228</v>
      </c>
      <c r="CC330" s="0" t="s">
        <v>228</v>
      </c>
      <c r="CD330" s="0" t="s">
        <v>228</v>
      </c>
      <c r="CE330" s="0" t="s">
        <v>228</v>
      </c>
      <c r="CF330" s="0" t="s">
        <v>228</v>
      </c>
      <c r="CG330" s="0" t="s">
        <v>3674</v>
      </c>
      <c r="CH330" s="0" t="s">
        <v>228</v>
      </c>
      <c r="CI330" s="0" t="s">
        <v>228</v>
      </c>
      <c r="CJ330" s="0" t="s">
        <v>228</v>
      </c>
      <c r="CK330" s="0" t="s">
        <v>228</v>
      </c>
      <c r="CL330" s="0" t="s">
        <v>228</v>
      </c>
      <c r="CM330" s="0" t="s">
        <v>4504</v>
      </c>
      <c r="CN330" s="0" t="s">
        <v>4504</v>
      </c>
      <c r="CO330" s="0" t="s">
        <v>228</v>
      </c>
      <c r="CP330" s="0" t="s">
        <v>228</v>
      </c>
      <c r="CQ330" s="0" t="s">
        <v>228</v>
      </c>
      <c r="CR330" s="0" t="s">
        <v>228</v>
      </c>
      <c r="CS330" s="0" t="s">
        <v>3743</v>
      </c>
      <c r="CT330" s="0" t="s">
        <v>3568</v>
      </c>
      <c r="CU330" s="0" t="s">
        <v>3569</v>
      </c>
      <c r="CV330" s="0" t="s">
        <v>418</v>
      </c>
      <c r="CW330" s="0" t="s">
        <v>3622</v>
      </c>
      <c r="CX330" s="0" t="s">
        <v>419</v>
      </c>
      <c r="CY330" s="0" t="s">
        <v>418</v>
      </c>
      <c r="CZ330" s="0" t="s">
        <v>3623</v>
      </c>
      <c r="DA330" s="0" t="s">
        <v>3624</v>
      </c>
      <c r="DB330" s="0" t="s">
        <v>3622</v>
      </c>
      <c r="DC330" s="0" t="s">
        <v>362</v>
      </c>
      <c r="DD330" s="0" t="s">
        <v>3572</v>
      </c>
      <c r="DE330" s="0" t="s">
        <v>4505</v>
      </c>
    </row>
    <row customHeight="1" ht="11.25">
      <c r="A331" s="1353" t="s">
        <v>228</v>
      </c>
      <c r="B331" s="0" t="s">
        <v>228</v>
      </c>
      <c r="C331" s="0" t="s">
        <v>228</v>
      </c>
      <c r="D331" s="0" t="s">
        <v>228</v>
      </c>
      <c r="E331" s="0" t="s">
        <v>228</v>
      </c>
      <c r="F331" s="0" t="s">
        <v>228</v>
      </c>
      <c r="G331" s="0" t="s">
        <v>228</v>
      </c>
      <c r="H331" s="0" t="s">
        <v>228</v>
      </c>
      <c r="I331" s="0" t="s">
        <v>3555</v>
      </c>
      <c r="J331" s="0" t="s">
        <v>228</v>
      </c>
      <c r="K331" s="0" t="s">
        <v>228</v>
      </c>
      <c r="L331" s="0" t="s">
        <v>228</v>
      </c>
      <c r="M331" s="0" t="s">
        <v>228</v>
      </c>
      <c r="N331" s="0" t="s">
        <v>228</v>
      </c>
      <c r="O331" s="0" t="s">
        <v>228</v>
      </c>
      <c r="P331" s="0" t="s">
        <v>228</v>
      </c>
      <c r="Q331" s="0" t="s">
        <v>228</v>
      </c>
      <c r="R331" s="0" t="s">
        <v>5050</v>
      </c>
      <c r="S331" s="0" t="s">
        <v>228</v>
      </c>
      <c r="T331" s="0" t="s">
        <v>228</v>
      </c>
      <c r="U331" s="0" t="s">
        <v>101</v>
      </c>
      <c r="V331" s="0" t="s">
        <v>228</v>
      </c>
      <c r="W331" s="0" t="s">
        <v>228</v>
      </c>
      <c r="X331" s="0" t="s">
        <v>3557</v>
      </c>
      <c r="Y331" s="0" t="s">
        <v>228</v>
      </c>
      <c r="Z331" s="0" t="s">
        <v>160</v>
      </c>
      <c r="AA331" s="0" t="s">
        <v>151</v>
      </c>
      <c r="AB331" s="0" t="s">
        <v>151</v>
      </c>
      <c r="AC331" s="0" t="s">
        <v>2715</v>
      </c>
      <c r="AD331" s="0" t="s">
        <v>2715</v>
      </c>
      <c r="AE331" s="0" t="s">
        <v>2716</v>
      </c>
      <c r="AF331" s="0" t="s">
        <v>3594</v>
      </c>
      <c r="AG331" s="0" t="s">
        <v>3595</v>
      </c>
      <c r="AH331" s="0" t="s">
        <v>4227</v>
      </c>
      <c r="AI331" s="0" t="s">
        <v>4228</v>
      </c>
      <c r="AJ331" s="0" t="s">
        <v>3951</v>
      </c>
      <c r="AK331" s="0" t="s">
        <v>4229</v>
      </c>
      <c r="AL331" s="0" t="s">
        <v>3599</v>
      </c>
      <c r="AM331" s="0" t="s">
        <v>3565</v>
      </c>
      <c r="AN331" s="0" t="s">
        <v>4230</v>
      </c>
      <c r="AO331" s="0" t="s">
        <v>4231</v>
      </c>
      <c r="AP331" s="0" t="s">
        <v>228</v>
      </c>
      <c r="AQ331" s="0" t="s">
        <v>228</v>
      </c>
      <c r="AR331" s="0" t="s">
        <v>228</v>
      </c>
      <c r="AS331" s="0" t="s">
        <v>228</v>
      </c>
      <c r="AT331" s="0" t="s">
        <v>228</v>
      </c>
      <c r="AU331" s="0" t="s">
        <v>228</v>
      </c>
      <c r="AV331" s="0" t="s">
        <v>228</v>
      </c>
      <c r="AW331" s="0" t="s">
        <v>228</v>
      </c>
      <c r="AX331" s="0" t="s">
        <v>228</v>
      </c>
      <c r="AY331" s="0" t="s">
        <v>228</v>
      </c>
      <c r="AZ331" s="0" t="s">
        <v>228</v>
      </c>
      <c r="BA331" s="0" t="s">
        <v>228</v>
      </c>
      <c r="BB331" s="0" t="s">
        <v>228</v>
      </c>
      <c r="BC331" s="0" t="s">
        <v>228</v>
      </c>
      <c r="BD331" s="0" t="s">
        <v>228</v>
      </c>
      <c r="BE331" s="0" t="s">
        <v>228</v>
      </c>
      <c r="BF331" s="0" t="s">
        <v>228</v>
      </c>
      <c r="BG331" s="0" t="s">
        <v>228</v>
      </c>
      <c r="BH331" s="0" t="s">
        <v>228</v>
      </c>
      <c r="BI331" s="0" t="s">
        <v>228</v>
      </c>
      <c r="BJ331" s="0" t="s">
        <v>228</v>
      </c>
      <c r="BK331" s="0" t="s">
        <v>228</v>
      </c>
      <c r="BL331" s="0" t="s">
        <v>228</v>
      </c>
      <c r="BM331" s="0" t="s">
        <v>228</v>
      </c>
      <c r="BN331" s="0" t="s">
        <v>228</v>
      </c>
      <c r="BO331" s="0" t="s">
        <v>228</v>
      </c>
      <c r="BP331" s="0" t="s">
        <v>228</v>
      </c>
      <c r="BQ331" s="0" t="s">
        <v>228</v>
      </c>
      <c r="BR331" s="0" t="s">
        <v>228</v>
      </c>
      <c r="BS331" s="0" t="s">
        <v>228</v>
      </c>
      <c r="BT331" s="0" t="s">
        <v>228</v>
      </c>
      <c r="BU331" s="0" t="s">
        <v>228</v>
      </c>
      <c r="BV331" s="0" t="s">
        <v>228</v>
      </c>
      <c r="BW331" s="0" t="s">
        <v>228</v>
      </c>
      <c r="BX331" s="0" t="s">
        <v>228</v>
      </c>
      <c r="BY331" s="0" t="s">
        <v>228</v>
      </c>
      <c r="BZ331" s="0" t="s">
        <v>228</v>
      </c>
      <c r="CA331" s="0" t="s">
        <v>228</v>
      </c>
      <c r="CB331" s="0" t="s">
        <v>228</v>
      </c>
      <c r="CC331" s="0" t="s">
        <v>228</v>
      </c>
      <c r="CD331" s="0" t="s">
        <v>228</v>
      </c>
      <c r="CE331" s="0" t="s">
        <v>228</v>
      </c>
      <c r="CF331" s="0" t="s">
        <v>228</v>
      </c>
      <c r="CG331" s="0" t="s">
        <v>228</v>
      </c>
      <c r="CH331" s="0" t="s">
        <v>228</v>
      </c>
      <c r="CI331" s="0" t="s">
        <v>228</v>
      </c>
      <c r="CJ331" s="0" t="s">
        <v>228</v>
      </c>
      <c r="CK331" s="0" t="s">
        <v>228</v>
      </c>
      <c r="CL331" s="0" t="s">
        <v>228</v>
      </c>
      <c r="CM331" s="0" t="s">
        <v>228</v>
      </c>
      <c r="CN331" s="0" t="s">
        <v>228</v>
      </c>
      <c r="CO331" s="0" t="s">
        <v>228</v>
      </c>
      <c r="CP331" s="0" t="s">
        <v>228</v>
      </c>
      <c r="CQ331" s="0" t="s">
        <v>228</v>
      </c>
      <c r="CR331" s="0" t="s">
        <v>228</v>
      </c>
      <c r="CS331" s="0" t="s">
        <v>228</v>
      </c>
      <c r="CT331" s="0" t="s">
        <v>3568</v>
      </c>
      <c r="CU331" s="0" t="s">
        <v>3569</v>
      </c>
      <c r="CV331" s="0" t="s">
        <v>418</v>
      </c>
      <c r="CW331" s="0" t="s">
        <v>3602</v>
      </c>
      <c r="CX331" s="0" t="s">
        <v>3603</v>
      </c>
      <c r="CY331" s="0" t="s">
        <v>418</v>
      </c>
      <c r="CZ331" s="0" t="s">
        <v>504</v>
      </c>
      <c r="DA331" s="0" t="s">
        <v>3604</v>
      </c>
      <c r="DB331" s="0" t="s">
        <v>3602</v>
      </c>
      <c r="DC331" s="0" t="s">
        <v>362</v>
      </c>
      <c r="DD331" s="0" t="s">
        <v>3572</v>
      </c>
      <c r="DE331" s="0" t="s">
        <v>4232</v>
      </c>
    </row>
    <row customHeight="1" ht="11.25">
      <c r="A332" s="1353" t="s">
        <v>228</v>
      </c>
      <c r="B332" s="0" t="s">
        <v>228</v>
      </c>
      <c r="C332" s="0" t="s">
        <v>228</v>
      </c>
      <c r="D332" s="0" t="s">
        <v>228</v>
      </c>
      <c r="E332" s="0" t="s">
        <v>228</v>
      </c>
      <c r="F332" s="0" t="s">
        <v>228</v>
      </c>
      <c r="G332" s="0" t="s">
        <v>228</v>
      </c>
      <c r="H332" s="0" t="s">
        <v>228</v>
      </c>
      <c r="I332" s="0" t="s">
        <v>3555</v>
      </c>
      <c r="J332" s="0" t="s">
        <v>228</v>
      </c>
      <c r="K332" s="0" t="s">
        <v>228</v>
      </c>
      <c r="L332" s="0" t="s">
        <v>228</v>
      </c>
      <c r="M332" s="0" t="s">
        <v>228</v>
      </c>
      <c r="N332" s="0" t="s">
        <v>228</v>
      </c>
      <c r="O332" s="0" t="s">
        <v>228</v>
      </c>
      <c r="P332" s="0" t="s">
        <v>228</v>
      </c>
      <c r="Q332" s="0" t="s">
        <v>228</v>
      </c>
      <c r="R332" s="0" t="s">
        <v>3648</v>
      </c>
      <c r="S332" s="0" t="s">
        <v>228</v>
      </c>
      <c r="T332" s="0" t="s">
        <v>228</v>
      </c>
      <c r="U332" s="0" t="s">
        <v>101</v>
      </c>
      <c r="V332" s="0" t="s">
        <v>228</v>
      </c>
      <c r="W332" s="0" t="s">
        <v>228</v>
      </c>
      <c r="X332" s="0" t="s">
        <v>3557</v>
      </c>
      <c r="Y332" s="0" t="s">
        <v>228</v>
      </c>
      <c r="Z332" s="0" t="s">
        <v>160</v>
      </c>
      <c r="AA332" s="0" t="s">
        <v>151</v>
      </c>
      <c r="AB332" s="0" t="s">
        <v>151</v>
      </c>
      <c r="AC332" s="0" t="s">
        <v>2317</v>
      </c>
      <c r="AD332" s="0" t="s">
        <v>2317</v>
      </c>
      <c r="AE332" s="0" t="s">
        <v>2318</v>
      </c>
      <c r="AF332" s="0" t="s">
        <v>4695</v>
      </c>
      <c r="AG332" s="0" t="s">
        <v>4696</v>
      </c>
      <c r="AH332" s="0" t="s">
        <v>4540</v>
      </c>
      <c r="AI332" s="0" t="s">
        <v>3807</v>
      </c>
      <c r="AJ332" s="0" t="s">
        <v>3579</v>
      </c>
      <c r="AK332" s="0" t="s">
        <v>3749</v>
      </c>
      <c r="AL332" s="0" t="s">
        <v>3581</v>
      </c>
      <c r="AM332" s="0" t="s">
        <v>3565</v>
      </c>
      <c r="AN332" s="0" t="s">
        <v>3620</v>
      </c>
      <c r="AO332" s="0" t="s">
        <v>3757</v>
      </c>
      <c r="AP332" s="0" t="s">
        <v>228</v>
      </c>
      <c r="AQ332" s="0" t="s">
        <v>228</v>
      </c>
      <c r="AR332" s="0" t="s">
        <v>228</v>
      </c>
      <c r="AS332" s="0" t="s">
        <v>228</v>
      </c>
      <c r="AT332" s="0" t="s">
        <v>228</v>
      </c>
      <c r="AU332" s="0" t="s">
        <v>228</v>
      </c>
      <c r="AV332" s="0" t="s">
        <v>228</v>
      </c>
      <c r="AW332" s="0" t="s">
        <v>228</v>
      </c>
      <c r="AX332" s="0" t="s">
        <v>228</v>
      </c>
      <c r="AY332" s="0" t="s">
        <v>228</v>
      </c>
      <c r="AZ332" s="0" t="s">
        <v>228</v>
      </c>
      <c r="BA332" s="0" t="s">
        <v>228</v>
      </c>
      <c r="BB332" s="0" t="s">
        <v>228</v>
      </c>
      <c r="BC332" s="0" t="s">
        <v>228</v>
      </c>
      <c r="BD332" s="0" t="s">
        <v>228</v>
      </c>
      <c r="BE332" s="0" t="s">
        <v>228</v>
      </c>
      <c r="BF332" s="0" t="s">
        <v>228</v>
      </c>
      <c r="BG332" s="0" t="s">
        <v>228</v>
      </c>
      <c r="BH332" s="0" t="s">
        <v>228</v>
      </c>
      <c r="BI332" s="0" t="s">
        <v>228</v>
      </c>
      <c r="BJ332" s="0" t="s">
        <v>228</v>
      </c>
      <c r="BK332" s="0" t="s">
        <v>228</v>
      </c>
      <c r="BL332" s="0" t="s">
        <v>228</v>
      </c>
      <c r="BM332" s="0" t="s">
        <v>228</v>
      </c>
      <c r="BN332" s="0" t="s">
        <v>228</v>
      </c>
      <c r="BO332" s="0" t="s">
        <v>228</v>
      </c>
      <c r="BP332" s="0" t="s">
        <v>228</v>
      </c>
      <c r="BQ332" s="0" t="s">
        <v>228</v>
      </c>
      <c r="BR332" s="0" t="s">
        <v>228</v>
      </c>
      <c r="BS332" s="0" t="s">
        <v>228</v>
      </c>
      <c r="BT332" s="0" t="s">
        <v>228</v>
      </c>
      <c r="BU332" s="0" t="s">
        <v>228</v>
      </c>
      <c r="BV332" s="0" t="s">
        <v>228</v>
      </c>
      <c r="BW332" s="0" t="s">
        <v>228</v>
      </c>
      <c r="BX332" s="0" t="s">
        <v>228</v>
      </c>
      <c r="BY332" s="0" t="s">
        <v>228</v>
      </c>
      <c r="BZ332" s="0" t="s">
        <v>228</v>
      </c>
      <c r="CA332" s="0" t="s">
        <v>228</v>
      </c>
      <c r="CB332" s="0" t="s">
        <v>228</v>
      </c>
      <c r="CC332" s="0" t="s">
        <v>228</v>
      </c>
      <c r="CD332" s="0" t="s">
        <v>228</v>
      </c>
      <c r="CE332" s="0" t="s">
        <v>228</v>
      </c>
      <c r="CF332" s="0" t="s">
        <v>228</v>
      </c>
      <c r="CG332" s="0" t="s">
        <v>228</v>
      </c>
      <c r="CH332" s="0" t="s">
        <v>228</v>
      </c>
      <c r="CI332" s="0" t="s">
        <v>228</v>
      </c>
      <c r="CJ332" s="0" t="s">
        <v>228</v>
      </c>
      <c r="CK332" s="0" t="s">
        <v>228</v>
      </c>
      <c r="CL332" s="0" t="s">
        <v>228</v>
      </c>
      <c r="CM332" s="0" t="s">
        <v>228</v>
      </c>
      <c r="CN332" s="0" t="s">
        <v>228</v>
      </c>
      <c r="CO332" s="0" t="s">
        <v>228</v>
      </c>
      <c r="CP332" s="0" t="s">
        <v>228</v>
      </c>
      <c r="CQ332" s="0" t="s">
        <v>228</v>
      </c>
      <c r="CR332" s="0" t="s">
        <v>228</v>
      </c>
      <c r="CS332" s="0" t="s">
        <v>228</v>
      </c>
      <c r="CT332" s="0" t="s">
        <v>3568</v>
      </c>
      <c r="CU332" s="0" t="s">
        <v>3569</v>
      </c>
      <c r="CV332" s="0" t="s">
        <v>418</v>
      </c>
      <c r="CW332" s="0" t="s">
        <v>3622</v>
      </c>
      <c r="CX332" s="0" t="s">
        <v>419</v>
      </c>
      <c r="CY332" s="0" t="s">
        <v>418</v>
      </c>
      <c r="CZ332" s="0" t="s">
        <v>3623</v>
      </c>
      <c r="DA332" s="0" t="s">
        <v>3624</v>
      </c>
      <c r="DB332" s="0" t="s">
        <v>3622</v>
      </c>
      <c r="DC332" s="0" t="s">
        <v>362</v>
      </c>
      <c r="DD332" s="0" t="s">
        <v>3572</v>
      </c>
      <c r="DE332" s="0" t="s">
        <v>4697</v>
      </c>
    </row>
    <row customHeight="1" ht="11.25">
      <c r="A333" s="1353" t="s">
        <v>228</v>
      </c>
      <c r="B333" s="0" t="s">
        <v>228</v>
      </c>
      <c r="C333" s="0" t="s">
        <v>228</v>
      </c>
      <c r="D333" s="0" t="s">
        <v>228</v>
      </c>
      <c r="E333" s="0" t="s">
        <v>228</v>
      </c>
      <c r="F333" s="0" t="s">
        <v>228</v>
      </c>
      <c r="G333" s="0" t="s">
        <v>228</v>
      </c>
      <c r="H333" s="0" t="s">
        <v>228</v>
      </c>
      <c r="I333" s="0" t="s">
        <v>3555</v>
      </c>
      <c r="J333" s="0" t="s">
        <v>228</v>
      </c>
      <c r="K333" s="0" t="s">
        <v>228</v>
      </c>
      <c r="L333" s="0" t="s">
        <v>228</v>
      </c>
      <c r="M333" s="0" t="s">
        <v>228</v>
      </c>
      <c r="N333" s="0" t="s">
        <v>228</v>
      </c>
      <c r="O333" s="0" t="s">
        <v>228</v>
      </c>
      <c r="P333" s="0" t="s">
        <v>228</v>
      </c>
      <c r="Q333" s="0" t="s">
        <v>228</v>
      </c>
      <c r="R333" s="0" t="s">
        <v>4698</v>
      </c>
      <c r="S333" s="0" t="s">
        <v>228</v>
      </c>
      <c r="T333" s="0" t="s">
        <v>228</v>
      </c>
      <c r="U333" s="0" t="s">
        <v>101</v>
      </c>
      <c r="V333" s="0" t="s">
        <v>228</v>
      </c>
      <c r="W333" s="0" t="s">
        <v>228</v>
      </c>
      <c r="X333" s="0" t="s">
        <v>3661</v>
      </c>
      <c r="Y333" s="0" t="s">
        <v>228</v>
      </c>
      <c r="Z333" s="0" t="s">
        <v>151</v>
      </c>
      <c r="AA333" s="0" t="s">
        <v>151</v>
      </c>
      <c r="AB333" s="0" t="s">
        <v>160</v>
      </c>
      <c r="AC333" s="0" t="s">
        <v>2317</v>
      </c>
      <c r="AD333" s="0" t="s">
        <v>2317</v>
      </c>
      <c r="AE333" s="0" t="s">
        <v>2318</v>
      </c>
      <c r="AF333" s="0" t="s">
        <v>4695</v>
      </c>
      <c r="AG333" s="0" t="s">
        <v>4696</v>
      </c>
      <c r="AH333" s="0" t="s">
        <v>3651</v>
      </c>
      <c r="AI333" s="0" t="s">
        <v>3651</v>
      </c>
      <c r="AJ333" s="0" t="s">
        <v>228</v>
      </c>
      <c r="AK333" s="0" t="s">
        <v>228</v>
      </c>
      <c r="AL333" s="0" t="s">
        <v>228</v>
      </c>
      <c r="AM333" s="0" t="s">
        <v>228</v>
      </c>
      <c r="AN333" s="0" t="s">
        <v>228</v>
      </c>
      <c r="AO333" s="0" t="s">
        <v>228</v>
      </c>
      <c r="AP333" s="0" t="s">
        <v>228</v>
      </c>
      <c r="AQ333" s="0" t="s">
        <v>228</v>
      </c>
      <c r="AR333" s="0" t="s">
        <v>228</v>
      </c>
      <c r="AS333" s="0" t="s">
        <v>228</v>
      </c>
      <c r="AT333" s="0" t="s">
        <v>228</v>
      </c>
      <c r="AU333" s="0" t="s">
        <v>228</v>
      </c>
      <c r="AV333" s="0" t="s">
        <v>228</v>
      </c>
      <c r="AW333" s="0" t="s">
        <v>228</v>
      </c>
      <c r="AX333" s="0" t="s">
        <v>228</v>
      </c>
      <c r="AY333" s="0" t="s">
        <v>228</v>
      </c>
      <c r="AZ333" s="0" t="s">
        <v>228</v>
      </c>
      <c r="BA333" s="0" t="s">
        <v>228</v>
      </c>
      <c r="BB333" s="0" t="s">
        <v>228</v>
      </c>
      <c r="BC333" s="0" t="s">
        <v>228</v>
      </c>
      <c r="BD333" s="0" t="s">
        <v>228</v>
      </c>
      <c r="BE333" s="0" t="s">
        <v>3627</v>
      </c>
      <c r="BF333" s="0" t="s">
        <v>3619</v>
      </c>
      <c r="BG333" s="0" t="s">
        <v>111</v>
      </c>
      <c r="BH333" s="0" t="s">
        <v>3665</v>
      </c>
      <c r="BI333" s="0" t="s">
        <v>122</v>
      </c>
      <c r="BJ333" s="0" t="s">
        <v>228</v>
      </c>
      <c r="BK333" s="0" t="s">
        <v>3684</v>
      </c>
      <c r="BL333" s="0" t="s">
        <v>2317</v>
      </c>
      <c r="BM333" s="0" t="s">
        <v>2317</v>
      </c>
      <c r="BN333" s="0" t="s">
        <v>3740</v>
      </c>
      <c r="BO333" s="0" t="s">
        <v>4695</v>
      </c>
      <c r="BP333" s="0" t="s">
        <v>4699</v>
      </c>
      <c r="BQ333" s="0" t="s">
        <v>3651</v>
      </c>
      <c r="BR333" s="0" t="s">
        <v>3651</v>
      </c>
      <c r="BS333" s="0" t="s">
        <v>228</v>
      </c>
      <c r="BT333" s="0" t="s">
        <v>3727</v>
      </c>
      <c r="BU333" s="0" t="s">
        <v>4700</v>
      </c>
      <c r="BV333" s="0" t="s">
        <v>4700</v>
      </c>
      <c r="BW333" s="0" t="s">
        <v>3674</v>
      </c>
      <c r="BX333" s="0" t="s">
        <v>3674</v>
      </c>
      <c r="BY333" s="0" t="s">
        <v>3674</v>
      </c>
      <c r="BZ333" s="0" t="s">
        <v>3674</v>
      </c>
      <c r="CA333" s="0" t="s">
        <v>3674</v>
      </c>
      <c r="CB333" s="0" t="s">
        <v>228</v>
      </c>
      <c r="CC333" s="0" t="s">
        <v>228</v>
      </c>
      <c r="CD333" s="0" t="s">
        <v>228</v>
      </c>
      <c r="CE333" s="0" t="s">
        <v>228</v>
      </c>
      <c r="CF333" s="0" t="s">
        <v>228</v>
      </c>
      <c r="CG333" s="0" t="s">
        <v>3674</v>
      </c>
      <c r="CH333" s="0" t="s">
        <v>228</v>
      </c>
      <c r="CI333" s="0" t="s">
        <v>228</v>
      </c>
      <c r="CJ333" s="0" t="s">
        <v>228</v>
      </c>
      <c r="CK333" s="0" t="s">
        <v>228</v>
      </c>
      <c r="CL333" s="0" t="s">
        <v>228</v>
      </c>
      <c r="CM333" s="0" t="s">
        <v>4700</v>
      </c>
      <c r="CN333" s="0" t="s">
        <v>4700</v>
      </c>
      <c r="CO333" s="0" t="s">
        <v>228</v>
      </c>
      <c r="CP333" s="0" t="s">
        <v>228</v>
      </c>
      <c r="CQ333" s="0" t="s">
        <v>228</v>
      </c>
      <c r="CR333" s="0" t="s">
        <v>228</v>
      </c>
      <c r="CS333" s="0" t="s">
        <v>3743</v>
      </c>
      <c r="CT333" s="0" t="s">
        <v>3568</v>
      </c>
      <c r="CU333" s="0" t="s">
        <v>3569</v>
      </c>
      <c r="CV333" s="0" t="s">
        <v>418</v>
      </c>
      <c r="CW333" s="0" t="s">
        <v>3622</v>
      </c>
      <c r="CX333" s="0" t="s">
        <v>419</v>
      </c>
      <c r="CY333" s="0" t="s">
        <v>418</v>
      </c>
      <c r="CZ333" s="0" t="s">
        <v>3623</v>
      </c>
      <c r="DA333" s="0" t="s">
        <v>3624</v>
      </c>
      <c r="DB333" s="0" t="s">
        <v>3622</v>
      </c>
      <c r="DC333" s="0" t="s">
        <v>362</v>
      </c>
      <c r="DD333" s="0" t="s">
        <v>3572</v>
      </c>
      <c r="DE333" s="0" t="s">
        <v>4701</v>
      </c>
    </row>
    <row customHeight="1" ht="11.25">
      <c r="A334" s="1353" t="s">
        <v>228</v>
      </c>
      <c r="B334" s="0" t="s">
        <v>228</v>
      </c>
      <c r="C334" s="0" t="s">
        <v>228</v>
      </c>
      <c r="D334" s="0" t="s">
        <v>228</v>
      </c>
      <c r="E334" s="0" t="s">
        <v>228</v>
      </c>
      <c r="F334" s="0" t="s">
        <v>228</v>
      </c>
      <c r="G334" s="0" t="s">
        <v>228</v>
      </c>
      <c r="H334" s="0" t="s">
        <v>228</v>
      </c>
      <c r="I334" s="0" t="s">
        <v>3555</v>
      </c>
      <c r="J334" s="0" t="s">
        <v>228</v>
      </c>
      <c r="K334" s="0" t="s">
        <v>228</v>
      </c>
      <c r="L334" s="0" t="s">
        <v>228</v>
      </c>
      <c r="M334" s="0" t="s">
        <v>228</v>
      </c>
      <c r="N334" s="0" t="s">
        <v>228</v>
      </c>
      <c r="O334" s="0" t="s">
        <v>228</v>
      </c>
      <c r="P334" s="0" t="s">
        <v>228</v>
      </c>
      <c r="Q334" s="0" t="s">
        <v>228</v>
      </c>
      <c r="R334" s="0" t="s">
        <v>5051</v>
      </c>
      <c r="S334" s="0" t="s">
        <v>228</v>
      </c>
      <c r="T334" s="0" t="s">
        <v>228</v>
      </c>
      <c r="U334" s="0" t="s">
        <v>101</v>
      </c>
      <c r="V334" s="0" t="s">
        <v>228</v>
      </c>
      <c r="W334" s="0" t="s">
        <v>228</v>
      </c>
      <c r="X334" s="0" t="s">
        <v>3557</v>
      </c>
      <c r="Y334" s="0" t="s">
        <v>228</v>
      </c>
      <c r="Z334" s="0" t="s">
        <v>160</v>
      </c>
      <c r="AA334" s="0" t="s">
        <v>151</v>
      </c>
      <c r="AB334" s="0" t="s">
        <v>151</v>
      </c>
      <c r="AC334" s="0" t="s">
        <v>2715</v>
      </c>
      <c r="AD334" s="0" t="s">
        <v>2715</v>
      </c>
      <c r="AE334" s="0" t="s">
        <v>2716</v>
      </c>
      <c r="AF334" s="0" t="s">
        <v>3594</v>
      </c>
      <c r="AG334" s="0" t="s">
        <v>3595</v>
      </c>
      <c r="AH334" s="0" t="s">
        <v>3642</v>
      </c>
      <c r="AI334" s="0" t="s">
        <v>3643</v>
      </c>
      <c r="AJ334" s="0" t="s">
        <v>4129</v>
      </c>
      <c r="AK334" s="0" t="s">
        <v>4130</v>
      </c>
      <c r="AL334" s="0" t="s">
        <v>3681</v>
      </c>
      <c r="AM334" s="0" t="s">
        <v>3565</v>
      </c>
      <c r="AN334" s="0" t="s">
        <v>4131</v>
      </c>
      <c r="AO334" s="0" t="s">
        <v>4132</v>
      </c>
      <c r="AP334" s="0" t="s">
        <v>228</v>
      </c>
      <c r="AQ334" s="0" t="s">
        <v>228</v>
      </c>
      <c r="AR334" s="0" t="s">
        <v>228</v>
      </c>
      <c r="AS334" s="0" t="s">
        <v>228</v>
      </c>
      <c r="AT334" s="0" t="s">
        <v>228</v>
      </c>
      <c r="AU334" s="0" t="s">
        <v>228</v>
      </c>
      <c r="AV334" s="0" t="s">
        <v>228</v>
      </c>
      <c r="AW334" s="0" t="s">
        <v>228</v>
      </c>
      <c r="AX334" s="0" t="s">
        <v>228</v>
      </c>
      <c r="AY334" s="0" t="s">
        <v>228</v>
      </c>
      <c r="AZ334" s="0" t="s">
        <v>228</v>
      </c>
      <c r="BA334" s="0" t="s">
        <v>228</v>
      </c>
      <c r="BB334" s="0" t="s">
        <v>228</v>
      </c>
      <c r="BC334" s="0" t="s">
        <v>228</v>
      </c>
      <c r="BD334" s="0" t="s">
        <v>228</v>
      </c>
      <c r="BE334" s="0" t="s">
        <v>228</v>
      </c>
      <c r="BF334" s="0" t="s">
        <v>228</v>
      </c>
      <c r="BG334" s="0" t="s">
        <v>228</v>
      </c>
      <c r="BH334" s="0" t="s">
        <v>228</v>
      </c>
      <c r="BI334" s="0" t="s">
        <v>228</v>
      </c>
      <c r="BJ334" s="0" t="s">
        <v>228</v>
      </c>
      <c r="BK334" s="0" t="s">
        <v>228</v>
      </c>
      <c r="BL334" s="0" t="s">
        <v>228</v>
      </c>
      <c r="BM334" s="0" t="s">
        <v>228</v>
      </c>
      <c r="BN334" s="0" t="s">
        <v>228</v>
      </c>
      <c r="BO334" s="0" t="s">
        <v>228</v>
      </c>
      <c r="BP334" s="0" t="s">
        <v>228</v>
      </c>
      <c r="BQ334" s="0" t="s">
        <v>228</v>
      </c>
      <c r="BR334" s="0" t="s">
        <v>228</v>
      </c>
      <c r="BS334" s="0" t="s">
        <v>228</v>
      </c>
      <c r="BT334" s="0" t="s">
        <v>228</v>
      </c>
      <c r="BU334" s="0" t="s">
        <v>228</v>
      </c>
      <c r="BV334" s="0" t="s">
        <v>228</v>
      </c>
      <c r="BW334" s="0" t="s">
        <v>228</v>
      </c>
      <c r="BX334" s="0" t="s">
        <v>228</v>
      </c>
      <c r="BY334" s="0" t="s">
        <v>228</v>
      </c>
      <c r="BZ334" s="0" t="s">
        <v>228</v>
      </c>
      <c r="CA334" s="0" t="s">
        <v>228</v>
      </c>
      <c r="CB334" s="0" t="s">
        <v>228</v>
      </c>
      <c r="CC334" s="0" t="s">
        <v>228</v>
      </c>
      <c r="CD334" s="0" t="s">
        <v>228</v>
      </c>
      <c r="CE334" s="0" t="s">
        <v>228</v>
      </c>
      <c r="CF334" s="0" t="s">
        <v>228</v>
      </c>
      <c r="CG334" s="0" t="s">
        <v>228</v>
      </c>
      <c r="CH334" s="0" t="s">
        <v>228</v>
      </c>
      <c r="CI334" s="0" t="s">
        <v>228</v>
      </c>
      <c r="CJ334" s="0" t="s">
        <v>228</v>
      </c>
      <c r="CK334" s="0" t="s">
        <v>228</v>
      </c>
      <c r="CL334" s="0" t="s">
        <v>228</v>
      </c>
      <c r="CM334" s="0" t="s">
        <v>228</v>
      </c>
      <c r="CN334" s="0" t="s">
        <v>228</v>
      </c>
      <c r="CO334" s="0" t="s">
        <v>228</v>
      </c>
      <c r="CP334" s="0" t="s">
        <v>228</v>
      </c>
      <c r="CQ334" s="0" t="s">
        <v>228</v>
      </c>
      <c r="CR334" s="0" t="s">
        <v>228</v>
      </c>
      <c r="CS334" s="0" t="s">
        <v>228</v>
      </c>
      <c r="CT334" s="0" t="s">
        <v>3568</v>
      </c>
      <c r="CU334" s="0" t="s">
        <v>3569</v>
      </c>
      <c r="CV334" s="0" t="s">
        <v>418</v>
      </c>
      <c r="CW334" s="0" t="s">
        <v>3602</v>
      </c>
      <c r="CX334" s="0" t="s">
        <v>3603</v>
      </c>
      <c r="CY334" s="0" t="s">
        <v>418</v>
      </c>
      <c r="CZ334" s="0" t="s">
        <v>504</v>
      </c>
      <c r="DA334" s="0" t="s">
        <v>3604</v>
      </c>
      <c r="DB334" s="0" t="s">
        <v>3602</v>
      </c>
      <c r="DC334" s="0" t="s">
        <v>362</v>
      </c>
      <c r="DD334" s="0" t="s">
        <v>3572</v>
      </c>
      <c r="DE334" s="0" t="s">
        <v>3647</v>
      </c>
    </row>
    <row customHeight="1" ht="11.25">
      <c r="A335" s="1353" t="s">
        <v>228</v>
      </c>
      <c r="B335" s="0" t="s">
        <v>228</v>
      </c>
      <c r="C335" s="0" t="s">
        <v>228</v>
      </c>
      <c r="D335" s="0" t="s">
        <v>228</v>
      </c>
      <c r="E335" s="0" t="s">
        <v>228</v>
      </c>
      <c r="F335" s="0" t="s">
        <v>228</v>
      </c>
      <c r="G335" s="0" t="s">
        <v>228</v>
      </c>
      <c r="H335" s="0" t="s">
        <v>228</v>
      </c>
      <c r="I335" s="0" t="s">
        <v>3555</v>
      </c>
      <c r="J335" s="0" t="s">
        <v>228</v>
      </c>
      <c r="K335" s="0" t="s">
        <v>228</v>
      </c>
      <c r="L335" s="0" t="s">
        <v>228</v>
      </c>
      <c r="M335" s="0" t="s">
        <v>228</v>
      </c>
      <c r="N335" s="0" t="s">
        <v>228</v>
      </c>
      <c r="O335" s="0" t="s">
        <v>228</v>
      </c>
      <c r="P335" s="0" t="s">
        <v>228</v>
      </c>
      <c r="Q335" s="0" t="s">
        <v>228</v>
      </c>
      <c r="R335" s="0" t="s">
        <v>3648</v>
      </c>
      <c r="S335" s="0" t="s">
        <v>228</v>
      </c>
      <c r="T335" s="0" t="s">
        <v>228</v>
      </c>
      <c r="U335" s="0" t="s">
        <v>101</v>
      </c>
      <c r="V335" s="0" t="s">
        <v>228</v>
      </c>
      <c r="W335" s="0" t="s">
        <v>228</v>
      </c>
      <c r="X335" s="0" t="s">
        <v>3557</v>
      </c>
      <c r="Y335" s="0" t="s">
        <v>228</v>
      </c>
      <c r="Z335" s="0" t="s">
        <v>160</v>
      </c>
      <c r="AA335" s="0" t="s">
        <v>151</v>
      </c>
      <c r="AB335" s="0" t="s">
        <v>151</v>
      </c>
      <c r="AC335" s="0" t="s">
        <v>2317</v>
      </c>
      <c r="AD335" s="0" t="s">
        <v>2317</v>
      </c>
      <c r="AE335" s="0" t="s">
        <v>2318</v>
      </c>
      <c r="AF335" s="0" t="s">
        <v>4487</v>
      </c>
      <c r="AG335" s="0" t="s">
        <v>4488</v>
      </c>
      <c r="AH335" s="0" t="s">
        <v>4512</v>
      </c>
      <c r="AI335" s="0" t="s">
        <v>4513</v>
      </c>
      <c r="AJ335" s="0" t="s">
        <v>4514</v>
      </c>
      <c r="AK335" s="0" t="s">
        <v>4515</v>
      </c>
      <c r="AL335" s="0" t="s">
        <v>4292</v>
      </c>
      <c r="AM335" s="0" t="s">
        <v>3565</v>
      </c>
      <c r="AN335" s="0" t="s">
        <v>3620</v>
      </c>
      <c r="AO335" s="0" t="s">
        <v>3712</v>
      </c>
      <c r="AP335" s="0" t="s">
        <v>228</v>
      </c>
      <c r="AQ335" s="0" t="s">
        <v>228</v>
      </c>
      <c r="AR335" s="0" t="s">
        <v>228</v>
      </c>
      <c r="AS335" s="0" t="s">
        <v>228</v>
      </c>
      <c r="AT335" s="0" t="s">
        <v>228</v>
      </c>
      <c r="AU335" s="0" t="s">
        <v>228</v>
      </c>
      <c r="AV335" s="0" t="s">
        <v>228</v>
      </c>
      <c r="AW335" s="0" t="s">
        <v>228</v>
      </c>
      <c r="AX335" s="0" t="s">
        <v>228</v>
      </c>
      <c r="AY335" s="0" t="s">
        <v>228</v>
      </c>
      <c r="AZ335" s="0" t="s">
        <v>228</v>
      </c>
      <c r="BA335" s="0" t="s">
        <v>228</v>
      </c>
      <c r="BB335" s="0" t="s">
        <v>228</v>
      </c>
      <c r="BC335" s="0" t="s">
        <v>228</v>
      </c>
      <c r="BD335" s="0" t="s">
        <v>228</v>
      </c>
      <c r="BE335" s="0" t="s">
        <v>228</v>
      </c>
      <c r="BF335" s="0" t="s">
        <v>228</v>
      </c>
      <c r="BG335" s="0" t="s">
        <v>228</v>
      </c>
      <c r="BH335" s="0" t="s">
        <v>228</v>
      </c>
      <c r="BI335" s="0" t="s">
        <v>228</v>
      </c>
      <c r="BJ335" s="0" t="s">
        <v>228</v>
      </c>
      <c r="BK335" s="0" t="s">
        <v>228</v>
      </c>
      <c r="BL335" s="0" t="s">
        <v>228</v>
      </c>
      <c r="BM335" s="0" t="s">
        <v>228</v>
      </c>
      <c r="BN335" s="0" t="s">
        <v>228</v>
      </c>
      <c r="BO335" s="0" t="s">
        <v>228</v>
      </c>
      <c r="BP335" s="0" t="s">
        <v>228</v>
      </c>
      <c r="BQ335" s="0" t="s">
        <v>228</v>
      </c>
      <c r="BR335" s="0" t="s">
        <v>228</v>
      </c>
      <c r="BS335" s="0" t="s">
        <v>228</v>
      </c>
      <c r="BT335" s="0" t="s">
        <v>228</v>
      </c>
      <c r="BU335" s="0" t="s">
        <v>228</v>
      </c>
      <c r="BV335" s="0" t="s">
        <v>228</v>
      </c>
      <c r="BW335" s="0" t="s">
        <v>228</v>
      </c>
      <c r="BX335" s="0" t="s">
        <v>228</v>
      </c>
      <c r="BY335" s="0" t="s">
        <v>228</v>
      </c>
      <c r="BZ335" s="0" t="s">
        <v>228</v>
      </c>
      <c r="CA335" s="0" t="s">
        <v>228</v>
      </c>
      <c r="CB335" s="0" t="s">
        <v>228</v>
      </c>
      <c r="CC335" s="0" t="s">
        <v>228</v>
      </c>
      <c r="CD335" s="0" t="s">
        <v>228</v>
      </c>
      <c r="CE335" s="0" t="s">
        <v>228</v>
      </c>
      <c r="CF335" s="0" t="s">
        <v>228</v>
      </c>
      <c r="CG335" s="0" t="s">
        <v>228</v>
      </c>
      <c r="CH335" s="0" t="s">
        <v>228</v>
      </c>
      <c r="CI335" s="0" t="s">
        <v>228</v>
      </c>
      <c r="CJ335" s="0" t="s">
        <v>228</v>
      </c>
      <c r="CK335" s="0" t="s">
        <v>228</v>
      </c>
      <c r="CL335" s="0" t="s">
        <v>228</v>
      </c>
      <c r="CM335" s="0" t="s">
        <v>228</v>
      </c>
      <c r="CN335" s="0" t="s">
        <v>228</v>
      </c>
      <c r="CO335" s="0" t="s">
        <v>228</v>
      </c>
      <c r="CP335" s="0" t="s">
        <v>228</v>
      </c>
      <c r="CQ335" s="0" t="s">
        <v>228</v>
      </c>
      <c r="CR335" s="0" t="s">
        <v>228</v>
      </c>
      <c r="CS335" s="0" t="s">
        <v>228</v>
      </c>
      <c r="CT335" s="0" t="s">
        <v>3568</v>
      </c>
      <c r="CU335" s="0" t="s">
        <v>3569</v>
      </c>
      <c r="CV335" s="0" t="s">
        <v>418</v>
      </c>
      <c r="CW335" s="0" t="s">
        <v>3622</v>
      </c>
      <c r="CX335" s="0" t="s">
        <v>419</v>
      </c>
      <c r="CY335" s="0" t="s">
        <v>418</v>
      </c>
      <c r="CZ335" s="0" t="s">
        <v>3623</v>
      </c>
      <c r="DA335" s="0" t="s">
        <v>3624</v>
      </c>
      <c r="DB335" s="0" t="s">
        <v>3622</v>
      </c>
      <c r="DC335" s="0" t="s">
        <v>362</v>
      </c>
      <c r="DD335" s="0" t="s">
        <v>3572</v>
      </c>
      <c r="DE335" s="0" t="s">
        <v>4516</v>
      </c>
    </row>
    <row customHeight="1" ht="11.25">
      <c r="A336" s="1353" t="s">
        <v>228</v>
      </c>
      <c r="B336" s="0" t="s">
        <v>228</v>
      </c>
      <c r="C336" s="0" t="s">
        <v>228</v>
      </c>
      <c r="D336" s="0" t="s">
        <v>228</v>
      </c>
      <c r="E336" s="0" t="s">
        <v>228</v>
      </c>
      <c r="F336" s="0" t="s">
        <v>228</v>
      </c>
      <c r="G336" s="0" t="s">
        <v>228</v>
      </c>
      <c r="H336" s="0" t="s">
        <v>228</v>
      </c>
      <c r="I336" s="0" t="s">
        <v>3555</v>
      </c>
      <c r="J336" s="0" t="s">
        <v>228</v>
      </c>
      <c r="K336" s="0" t="s">
        <v>228</v>
      </c>
      <c r="L336" s="0" t="s">
        <v>228</v>
      </c>
      <c r="M336" s="0" t="s">
        <v>228</v>
      </c>
      <c r="N336" s="0" t="s">
        <v>228</v>
      </c>
      <c r="O336" s="0" t="s">
        <v>228</v>
      </c>
      <c r="P336" s="0" t="s">
        <v>228</v>
      </c>
      <c r="Q336" s="0" t="s">
        <v>228</v>
      </c>
      <c r="R336" s="0" t="s">
        <v>3648</v>
      </c>
      <c r="S336" s="0" t="s">
        <v>228</v>
      </c>
      <c r="T336" s="0" t="s">
        <v>228</v>
      </c>
      <c r="U336" s="0" t="s">
        <v>101</v>
      </c>
      <c r="V336" s="0" t="s">
        <v>228</v>
      </c>
      <c r="W336" s="0" t="s">
        <v>228</v>
      </c>
      <c r="X336" s="0" t="s">
        <v>3557</v>
      </c>
      <c r="Y336" s="0" t="s">
        <v>228</v>
      </c>
      <c r="Z336" s="0" t="s">
        <v>160</v>
      </c>
      <c r="AA336" s="0" t="s">
        <v>151</v>
      </c>
      <c r="AB336" s="0" t="s">
        <v>151</v>
      </c>
      <c r="AC336" s="0" t="s">
        <v>2317</v>
      </c>
      <c r="AD336" s="0" t="s">
        <v>2317</v>
      </c>
      <c r="AE336" s="0" t="s">
        <v>2318</v>
      </c>
      <c r="AF336" s="0" t="s">
        <v>4487</v>
      </c>
      <c r="AG336" s="0" t="s">
        <v>4488</v>
      </c>
      <c r="AH336" s="0" t="s">
        <v>4702</v>
      </c>
      <c r="AI336" s="0" t="s">
        <v>4626</v>
      </c>
      <c r="AJ336" s="0" t="s">
        <v>3652</v>
      </c>
      <c r="AK336" s="0" t="s">
        <v>3749</v>
      </c>
      <c r="AL336" s="0" t="s">
        <v>3581</v>
      </c>
      <c r="AM336" s="0" t="s">
        <v>3565</v>
      </c>
      <c r="AN336" s="0" t="s">
        <v>3628</v>
      </c>
      <c r="AO336" s="0" t="s">
        <v>3701</v>
      </c>
      <c r="AP336" s="0" t="s">
        <v>228</v>
      </c>
      <c r="AQ336" s="0" t="s">
        <v>228</v>
      </c>
      <c r="AR336" s="0" t="s">
        <v>228</v>
      </c>
      <c r="AS336" s="0" t="s">
        <v>228</v>
      </c>
      <c r="AT336" s="0" t="s">
        <v>228</v>
      </c>
      <c r="AU336" s="0" t="s">
        <v>228</v>
      </c>
      <c r="AV336" s="0" t="s">
        <v>228</v>
      </c>
      <c r="AW336" s="0" t="s">
        <v>228</v>
      </c>
      <c r="AX336" s="0" t="s">
        <v>228</v>
      </c>
      <c r="AY336" s="0" t="s">
        <v>228</v>
      </c>
      <c r="AZ336" s="0" t="s">
        <v>228</v>
      </c>
      <c r="BA336" s="0" t="s">
        <v>228</v>
      </c>
      <c r="BB336" s="0" t="s">
        <v>228</v>
      </c>
      <c r="BC336" s="0" t="s">
        <v>228</v>
      </c>
      <c r="BD336" s="0" t="s">
        <v>228</v>
      </c>
      <c r="BE336" s="0" t="s">
        <v>228</v>
      </c>
      <c r="BF336" s="0" t="s">
        <v>228</v>
      </c>
      <c r="BG336" s="0" t="s">
        <v>228</v>
      </c>
      <c r="BH336" s="0" t="s">
        <v>228</v>
      </c>
      <c r="BI336" s="0" t="s">
        <v>228</v>
      </c>
      <c r="BJ336" s="0" t="s">
        <v>228</v>
      </c>
      <c r="BK336" s="0" t="s">
        <v>228</v>
      </c>
      <c r="BL336" s="0" t="s">
        <v>228</v>
      </c>
      <c r="BM336" s="0" t="s">
        <v>228</v>
      </c>
      <c r="BN336" s="0" t="s">
        <v>228</v>
      </c>
      <c r="BO336" s="0" t="s">
        <v>228</v>
      </c>
      <c r="BP336" s="0" t="s">
        <v>228</v>
      </c>
      <c r="BQ336" s="0" t="s">
        <v>228</v>
      </c>
      <c r="BR336" s="0" t="s">
        <v>228</v>
      </c>
      <c r="BS336" s="0" t="s">
        <v>228</v>
      </c>
      <c r="BT336" s="0" t="s">
        <v>228</v>
      </c>
      <c r="BU336" s="0" t="s">
        <v>228</v>
      </c>
      <c r="BV336" s="0" t="s">
        <v>228</v>
      </c>
      <c r="BW336" s="0" t="s">
        <v>228</v>
      </c>
      <c r="BX336" s="0" t="s">
        <v>228</v>
      </c>
      <c r="BY336" s="0" t="s">
        <v>228</v>
      </c>
      <c r="BZ336" s="0" t="s">
        <v>228</v>
      </c>
      <c r="CA336" s="0" t="s">
        <v>228</v>
      </c>
      <c r="CB336" s="0" t="s">
        <v>228</v>
      </c>
      <c r="CC336" s="0" t="s">
        <v>228</v>
      </c>
      <c r="CD336" s="0" t="s">
        <v>228</v>
      </c>
      <c r="CE336" s="0" t="s">
        <v>228</v>
      </c>
      <c r="CF336" s="0" t="s">
        <v>228</v>
      </c>
      <c r="CG336" s="0" t="s">
        <v>228</v>
      </c>
      <c r="CH336" s="0" t="s">
        <v>228</v>
      </c>
      <c r="CI336" s="0" t="s">
        <v>228</v>
      </c>
      <c r="CJ336" s="0" t="s">
        <v>228</v>
      </c>
      <c r="CK336" s="0" t="s">
        <v>228</v>
      </c>
      <c r="CL336" s="0" t="s">
        <v>228</v>
      </c>
      <c r="CM336" s="0" t="s">
        <v>228</v>
      </c>
      <c r="CN336" s="0" t="s">
        <v>228</v>
      </c>
      <c r="CO336" s="0" t="s">
        <v>228</v>
      </c>
      <c r="CP336" s="0" t="s">
        <v>228</v>
      </c>
      <c r="CQ336" s="0" t="s">
        <v>228</v>
      </c>
      <c r="CR336" s="0" t="s">
        <v>228</v>
      </c>
      <c r="CS336" s="0" t="s">
        <v>228</v>
      </c>
      <c r="CT336" s="0" t="s">
        <v>3568</v>
      </c>
      <c r="CU336" s="0" t="s">
        <v>3569</v>
      </c>
      <c r="CV336" s="0" t="s">
        <v>418</v>
      </c>
      <c r="CW336" s="0" t="s">
        <v>3622</v>
      </c>
      <c r="CX336" s="0" t="s">
        <v>419</v>
      </c>
      <c r="CY336" s="0" t="s">
        <v>418</v>
      </c>
      <c r="CZ336" s="0" t="s">
        <v>3623</v>
      </c>
      <c r="DA336" s="0" t="s">
        <v>3624</v>
      </c>
      <c r="DB336" s="0" t="s">
        <v>3622</v>
      </c>
      <c r="DC336" s="0" t="s">
        <v>362</v>
      </c>
      <c r="DD336" s="0" t="s">
        <v>3572</v>
      </c>
      <c r="DE336" s="0" t="s">
        <v>4703</v>
      </c>
    </row>
    <row customHeight="1" ht="11.25">
      <c r="A337" s="1353" t="s">
        <v>228</v>
      </c>
      <c r="B337" s="0" t="s">
        <v>228</v>
      </c>
      <c r="C337" s="0" t="s">
        <v>228</v>
      </c>
      <c r="D337" s="0" t="s">
        <v>228</v>
      </c>
      <c r="E337" s="0" t="s">
        <v>228</v>
      </c>
      <c r="F337" s="0" t="s">
        <v>228</v>
      </c>
      <c r="G337" s="0" t="s">
        <v>228</v>
      </c>
      <c r="H337" s="0" t="s">
        <v>228</v>
      </c>
      <c r="I337" s="0" t="s">
        <v>3555</v>
      </c>
      <c r="J337" s="0" t="s">
        <v>228</v>
      </c>
      <c r="K337" s="0" t="s">
        <v>228</v>
      </c>
      <c r="L337" s="0" t="s">
        <v>228</v>
      </c>
      <c r="M337" s="0" t="s">
        <v>228</v>
      </c>
      <c r="N337" s="0" t="s">
        <v>228</v>
      </c>
      <c r="O337" s="0" t="s">
        <v>228</v>
      </c>
      <c r="P337" s="0" t="s">
        <v>228</v>
      </c>
      <c r="Q337" s="0" t="s">
        <v>228</v>
      </c>
      <c r="R337" s="0" t="s">
        <v>3648</v>
      </c>
      <c r="S337" s="0" t="s">
        <v>228</v>
      </c>
      <c r="T337" s="0" t="s">
        <v>228</v>
      </c>
      <c r="U337" s="0" t="s">
        <v>101</v>
      </c>
      <c r="V337" s="0" t="s">
        <v>228</v>
      </c>
      <c r="W337" s="0" t="s">
        <v>228</v>
      </c>
      <c r="X337" s="0" t="s">
        <v>3557</v>
      </c>
      <c r="Y337" s="0" t="s">
        <v>228</v>
      </c>
      <c r="Z337" s="0" t="s">
        <v>160</v>
      </c>
      <c r="AA337" s="0" t="s">
        <v>151</v>
      </c>
      <c r="AB337" s="0" t="s">
        <v>151</v>
      </c>
      <c r="AC337" s="0" t="s">
        <v>2317</v>
      </c>
      <c r="AD337" s="0" t="s">
        <v>2317</v>
      </c>
      <c r="AE337" s="0" t="s">
        <v>2318</v>
      </c>
      <c r="AF337" s="0" t="s">
        <v>4487</v>
      </c>
      <c r="AG337" s="0" t="s">
        <v>4488</v>
      </c>
      <c r="AH337" s="0" t="s">
        <v>4704</v>
      </c>
      <c r="AI337" s="0" t="s">
        <v>4705</v>
      </c>
      <c r="AJ337" s="0" t="s">
        <v>3579</v>
      </c>
      <c r="AK337" s="0" t="s">
        <v>3619</v>
      </c>
      <c r="AL337" s="0" t="s">
        <v>3581</v>
      </c>
      <c r="AM337" s="0" t="s">
        <v>3565</v>
      </c>
      <c r="AN337" s="0" t="s">
        <v>3628</v>
      </c>
      <c r="AO337" s="0" t="s">
        <v>4706</v>
      </c>
      <c r="AP337" s="0" t="s">
        <v>228</v>
      </c>
      <c r="AQ337" s="0" t="s">
        <v>228</v>
      </c>
      <c r="AR337" s="0" t="s">
        <v>228</v>
      </c>
      <c r="AS337" s="0" t="s">
        <v>228</v>
      </c>
      <c r="AT337" s="0" t="s">
        <v>228</v>
      </c>
      <c r="AU337" s="0" t="s">
        <v>228</v>
      </c>
      <c r="AV337" s="0" t="s">
        <v>228</v>
      </c>
      <c r="AW337" s="0" t="s">
        <v>228</v>
      </c>
      <c r="AX337" s="0" t="s">
        <v>228</v>
      </c>
      <c r="AY337" s="0" t="s">
        <v>228</v>
      </c>
      <c r="AZ337" s="0" t="s">
        <v>228</v>
      </c>
      <c r="BA337" s="0" t="s">
        <v>228</v>
      </c>
      <c r="BB337" s="0" t="s">
        <v>228</v>
      </c>
      <c r="BC337" s="0" t="s">
        <v>228</v>
      </c>
      <c r="BD337" s="0" t="s">
        <v>228</v>
      </c>
      <c r="BE337" s="0" t="s">
        <v>228</v>
      </c>
      <c r="BF337" s="0" t="s">
        <v>228</v>
      </c>
      <c r="BG337" s="0" t="s">
        <v>228</v>
      </c>
      <c r="BH337" s="0" t="s">
        <v>228</v>
      </c>
      <c r="BI337" s="0" t="s">
        <v>228</v>
      </c>
      <c r="BJ337" s="0" t="s">
        <v>228</v>
      </c>
      <c r="BK337" s="0" t="s">
        <v>228</v>
      </c>
      <c r="BL337" s="0" t="s">
        <v>228</v>
      </c>
      <c r="BM337" s="0" t="s">
        <v>228</v>
      </c>
      <c r="BN337" s="0" t="s">
        <v>228</v>
      </c>
      <c r="BO337" s="0" t="s">
        <v>228</v>
      </c>
      <c r="BP337" s="0" t="s">
        <v>228</v>
      </c>
      <c r="BQ337" s="0" t="s">
        <v>228</v>
      </c>
      <c r="BR337" s="0" t="s">
        <v>228</v>
      </c>
      <c r="BS337" s="0" t="s">
        <v>228</v>
      </c>
      <c r="BT337" s="0" t="s">
        <v>228</v>
      </c>
      <c r="BU337" s="0" t="s">
        <v>228</v>
      </c>
      <c r="BV337" s="0" t="s">
        <v>228</v>
      </c>
      <c r="BW337" s="0" t="s">
        <v>228</v>
      </c>
      <c r="BX337" s="0" t="s">
        <v>228</v>
      </c>
      <c r="BY337" s="0" t="s">
        <v>228</v>
      </c>
      <c r="BZ337" s="0" t="s">
        <v>228</v>
      </c>
      <c r="CA337" s="0" t="s">
        <v>228</v>
      </c>
      <c r="CB337" s="0" t="s">
        <v>228</v>
      </c>
      <c r="CC337" s="0" t="s">
        <v>228</v>
      </c>
      <c r="CD337" s="0" t="s">
        <v>228</v>
      </c>
      <c r="CE337" s="0" t="s">
        <v>228</v>
      </c>
      <c r="CF337" s="0" t="s">
        <v>228</v>
      </c>
      <c r="CG337" s="0" t="s">
        <v>228</v>
      </c>
      <c r="CH337" s="0" t="s">
        <v>228</v>
      </c>
      <c r="CI337" s="0" t="s">
        <v>228</v>
      </c>
      <c r="CJ337" s="0" t="s">
        <v>228</v>
      </c>
      <c r="CK337" s="0" t="s">
        <v>228</v>
      </c>
      <c r="CL337" s="0" t="s">
        <v>228</v>
      </c>
      <c r="CM337" s="0" t="s">
        <v>228</v>
      </c>
      <c r="CN337" s="0" t="s">
        <v>228</v>
      </c>
      <c r="CO337" s="0" t="s">
        <v>228</v>
      </c>
      <c r="CP337" s="0" t="s">
        <v>228</v>
      </c>
      <c r="CQ337" s="0" t="s">
        <v>228</v>
      </c>
      <c r="CR337" s="0" t="s">
        <v>228</v>
      </c>
      <c r="CS337" s="0" t="s">
        <v>228</v>
      </c>
      <c r="CT337" s="0" t="s">
        <v>3568</v>
      </c>
      <c r="CU337" s="0" t="s">
        <v>3569</v>
      </c>
      <c r="CV337" s="0" t="s">
        <v>418</v>
      </c>
      <c r="CW337" s="0" t="s">
        <v>3622</v>
      </c>
      <c r="CX337" s="0" t="s">
        <v>419</v>
      </c>
      <c r="CY337" s="0" t="s">
        <v>418</v>
      </c>
      <c r="CZ337" s="0" t="s">
        <v>3623</v>
      </c>
      <c r="DA337" s="0" t="s">
        <v>3624</v>
      </c>
      <c r="DB337" s="0" t="s">
        <v>3622</v>
      </c>
      <c r="DC337" s="0" t="s">
        <v>362</v>
      </c>
      <c r="DD337" s="0" t="s">
        <v>3572</v>
      </c>
      <c r="DE337" s="0" t="s">
        <v>4707</v>
      </c>
    </row>
    <row customHeight="1" ht="11.25">
      <c r="A338" s="1353" t="s">
        <v>228</v>
      </c>
      <c r="B338" s="0" t="s">
        <v>228</v>
      </c>
      <c r="C338" s="0" t="s">
        <v>228</v>
      </c>
      <c r="D338" s="0" t="s">
        <v>228</v>
      </c>
      <c r="E338" s="0" t="s">
        <v>228</v>
      </c>
      <c r="F338" s="0" t="s">
        <v>228</v>
      </c>
      <c r="G338" s="0" t="s">
        <v>228</v>
      </c>
      <c r="H338" s="0" t="s">
        <v>228</v>
      </c>
      <c r="I338" s="0" t="s">
        <v>3555</v>
      </c>
      <c r="J338" s="0" t="s">
        <v>228</v>
      </c>
      <c r="K338" s="0" t="s">
        <v>228</v>
      </c>
      <c r="L338" s="0" t="s">
        <v>228</v>
      </c>
      <c r="M338" s="0" t="s">
        <v>228</v>
      </c>
      <c r="N338" s="0" t="s">
        <v>228</v>
      </c>
      <c r="O338" s="0" t="s">
        <v>228</v>
      </c>
      <c r="P338" s="0" t="s">
        <v>228</v>
      </c>
      <c r="Q338" s="0" t="s">
        <v>228</v>
      </c>
      <c r="R338" s="0" t="s">
        <v>3648</v>
      </c>
      <c r="S338" s="0" t="s">
        <v>228</v>
      </c>
      <c r="T338" s="0" t="s">
        <v>228</v>
      </c>
      <c r="U338" s="0" t="s">
        <v>101</v>
      </c>
      <c r="V338" s="0" t="s">
        <v>228</v>
      </c>
      <c r="W338" s="0" t="s">
        <v>228</v>
      </c>
      <c r="X338" s="0" t="s">
        <v>3557</v>
      </c>
      <c r="Y338" s="0" t="s">
        <v>228</v>
      </c>
      <c r="Z338" s="0" t="s">
        <v>160</v>
      </c>
      <c r="AA338" s="0" t="s">
        <v>151</v>
      </c>
      <c r="AB338" s="0" t="s">
        <v>151</v>
      </c>
      <c r="AC338" s="0" t="s">
        <v>2317</v>
      </c>
      <c r="AD338" s="0" t="s">
        <v>2317</v>
      </c>
      <c r="AE338" s="0" t="s">
        <v>2318</v>
      </c>
      <c r="AF338" s="0" t="s">
        <v>4487</v>
      </c>
      <c r="AG338" s="0" t="s">
        <v>4488</v>
      </c>
      <c r="AH338" s="0" t="s">
        <v>3958</v>
      </c>
      <c r="AI338" s="0" t="s">
        <v>3926</v>
      </c>
      <c r="AJ338" s="0" t="s">
        <v>3579</v>
      </c>
      <c r="AK338" s="0" t="s">
        <v>3619</v>
      </c>
      <c r="AL338" s="0" t="s">
        <v>3581</v>
      </c>
      <c r="AM338" s="0" t="s">
        <v>3565</v>
      </c>
      <c r="AN338" s="0" t="s">
        <v>3628</v>
      </c>
      <c r="AO338" s="0" t="s">
        <v>3701</v>
      </c>
      <c r="AP338" s="0" t="s">
        <v>228</v>
      </c>
      <c r="AQ338" s="0" t="s">
        <v>228</v>
      </c>
      <c r="AR338" s="0" t="s">
        <v>228</v>
      </c>
      <c r="AS338" s="0" t="s">
        <v>228</v>
      </c>
      <c r="AT338" s="0" t="s">
        <v>228</v>
      </c>
      <c r="AU338" s="0" t="s">
        <v>228</v>
      </c>
      <c r="AV338" s="0" t="s">
        <v>228</v>
      </c>
      <c r="AW338" s="0" t="s">
        <v>228</v>
      </c>
      <c r="AX338" s="0" t="s">
        <v>228</v>
      </c>
      <c r="AY338" s="0" t="s">
        <v>228</v>
      </c>
      <c r="AZ338" s="0" t="s">
        <v>228</v>
      </c>
      <c r="BA338" s="0" t="s">
        <v>228</v>
      </c>
      <c r="BB338" s="0" t="s">
        <v>228</v>
      </c>
      <c r="BC338" s="0" t="s">
        <v>228</v>
      </c>
      <c r="BD338" s="0" t="s">
        <v>228</v>
      </c>
      <c r="BE338" s="0" t="s">
        <v>228</v>
      </c>
      <c r="BF338" s="0" t="s">
        <v>228</v>
      </c>
      <c r="BG338" s="0" t="s">
        <v>228</v>
      </c>
      <c r="BH338" s="0" t="s">
        <v>228</v>
      </c>
      <c r="BI338" s="0" t="s">
        <v>228</v>
      </c>
      <c r="BJ338" s="0" t="s">
        <v>228</v>
      </c>
      <c r="BK338" s="0" t="s">
        <v>228</v>
      </c>
      <c r="BL338" s="0" t="s">
        <v>228</v>
      </c>
      <c r="BM338" s="0" t="s">
        <v>228</v>
      </c>
      <c r="BN338" s="0" t="s">
        <v>228</v>
      </c>
      <c r="BO338" s="0" t="s">
        <v>228</v>
      </c>
      <c r="BP338" s="0" t="s">
        <v>228</v>
      </c>
      <c r="BQ338" s="0" t="s">
        <v>228</v>
      </c>
      <c r="BR338" s="0" t="s">
        <v>228</v>
      </c>
      <c r="BS338" s="0" t="s">
        <v>228</v>
      </c>
      <c r="BT338" s="0" t="s">
        <v>228</v>
      </c>
      <c r="BU338" s="0" t="s">
        <v>228</v>
      </c>
      <c r="BV338" s="0" t="s">
        <v>228</v>
      </c>
      <c r="BW338" s="0" t="s">
        <v>228</v>
      </c>
      <c r="BX338" s="0" t="s">
        <v>228</v>
      </c>
      <c r="BY338" s="0" t="s">
        <v>228</v>
      </c>
      <c r="BZ338" s="0" t="s">
        <v>228</v>
      </c>
      <c r="CA338" s="0" t="s">
        <v>228</v>
      </c>
      <c r="CB338" s="0" t="s">
        <v>228</v>
      </c>
      <c r="CC338" s="0" t="s">
        <v>228</v>
      </c>
      <c r="CD338" s="0" t="s">
        <v>228</v>
      </c>
      <c r="CE338" s="0" t="s">
        <v>228</v>
      </c>
      <c r="CF338" s="0" t="s">
        <v>228</v>
      </c>
      <c r="CG338" s="0" t="s">
        <v>228</v>
      </c>
      <c r="CH338" s="0" t="s">
        <v>228</v>
      </c>
      <c r="CI338" s="0" t="s">
        <v>228</v>
      </c>
      <c r="CJ338" s="0" t="s">
        <v>228</v>
      </c>
      <c r="CK338" s="0" t="s">
        <v>228</v>
      </c>
      <c r="CL338" s="0" t="s">
        <v>228</v>
      </c>
      <c r="CM338" s="0" t="s">
        <v>228</v>
      </c>
      <c r="CN338" s="0" t="s">
        <v>228</v>
      </c>
      <c r="CO338" s="0" t="s">
        <v>228</v>
      </c>
      <c r="CP338" s="0" t="s">
        <v>228</v>
      </c>
      <c r="CQ338" s="0" t="s">
        <v>228</v>
      </c>
      <c r="CR338" s="0" t="s">
        <v>228</v>
      </c>
      <c r="CS338" s="0" t="s">
        <v>228</v>
      </c>
      <c r="CT338" s="0" t="s">
        <v>3568</v>
      </c>
      <c r="CU338" s="0" t="s">
        <v>3569</v>
      </c>
      <c r="CV338" s="0" t="s">
        <v>418</v>
      </c>
      <c r="CW338" s="0" t="s">
        <v>3622</v>
      </c>
      <c r="CX338" s="0" t="s">
        <v>419</v>
      </c>
      <c r="CY338" s="0" t="s">
        <v>418</v>
      </c>
      <c r="CZ338" s="0" t="s">
        <v>3623</v>
      </c>
      <c r="DA338" s="0" t="s">
        <v>3624</v>
      </c>
      <c r="DB338" s="0" t="s">
        <v>3622</v>
      </c>
      <c r="DC338" s="0" t="s">
        <v>362</v>
      </c>
      <c r="DD338" s="0" t="s">
        <v>3572</v>
      </c>
      <c r="DE338" s="0" t="s">
        <v>4780</v>
      </c>
    </row>
    <row customHeight="1" ht="11.25">
      <c r="A339" s="1353" t="s">
        <v>228</v>
      </c>
      <c r="B339" s="0" t="s">
        <v>228</v>
      </c>
      <c r="C339" s="0" t="s">
        <v>228</v>
      </c>
      <c r="D339" s="0" t="s">
        <v>228</v>
      </c>
      <c r="E339" s="0" t="s">
        <v>228</v>
      </c>
      <c r="F339" s="0" t="s">
        <v>228</v>
      </c>
      <c r="G339" s="0" t="s">
        <v>228</v>
      </c>
      <c r="H339" s="0" t="s">
        <v>228</v>
      </c>
      <c r="I339" s="0" t="s">
        <v>3555</v>
      </c>
      <c r="J339" s="0" t="s">
        <v>228</v>
      </c>
      <c r="K339" s="0" t="s">
        <v>228</v>
      </c>
      <c r="L339" s="0" t="s">
        <v>228</v>
      </c>
      <c r="M339" s="0" t="s">
        <v>228</v>
      </c>
      <c r="N339" s="0" t="s">
        <v>228</v>
      </c>
      <c r="O339" s="0" t="s">
        <v>228</v>
      </c>
      <c r="P339" s="0" t="s">
        <v>228</v>
      </c>
      <c r="Q339" s="0" t="s">
        <v>228</v>
      </c>
      <c r="R339" s="0" t="s">
        <v>3648</v>
      </c>
      <c r="S339" s="0" t="s">
        <v>228</v>
      </c>
      <c r="T339" s="0" t="s">
        <v>228</v>
      </c>
      <c r="U339" s="0" t="s">
        <v>101</v>
      </c>
      <c r="V339" s="0" t="s">
        <v>228</v>
      </c>
      <c r="W339" s="0" t="s">
        <v>228</v>
      </c>
      <c r="X339" s="0" t="s">
        <v>3557</v>
      </c>
      <c r="Y339" s="0" t="s">
        <v>228</v>
      </c>
      <c r="Z339" s="0" t="s">
        <v>160</v>
      </c>
      <c r="AA339" s="0" t="s">
        <v>151</v>
      </c>
      <c r="AB339" s="0" t="s">
        <v>151</v>
      </c>
      <c r="AC339" s="0" t="s">
        <v>2317</v>
      </c>
      <c r="AD339" s="0" t="s">
        <v>2317</v>
      </c>
      <c r="AE339" s="0" t="s">
        <v>2318</v>
      </c>
      <c r="AF339" s="0" t="s">
        <v>4487</v>
      </c>
      <c r="AG339" s="0" t="s">
        <v>4488</v>
      </c>
      <c r="AH339" s="0" t="s">
        <v>4704</v>
      </c>
      <c r="AI339" s="0" t="s">
        <v>4049</v>
      </c>
      <c r="AJ339" s="0" t="s">
        <v>3579</v>
      </c>
      <c r="AK339" s="0" t="s">
        <v>4751</v>
      </c>
      <c r="AL339" s="0" t="s">
        <v>3581</v>
      </c>
      <c r="AM339" s="0" t="s">
        <v>3565</v>
      </c>
      <c r="AN339" s="0" t="s">
        <v>3628</v>
      </c>
      <c r="AO339" s="0" t="s">
        <v>3712</v>
      </c>
      <c r="AP339" s="0" t="s">
        <v>228</v>
      </c>
      <c r="AQ339" s="0" t="s">
        <v>228</v>
      </c>
      <c r="AR339" s="0" t="s">
        <v>228</v>
      </c>
      <c r="AS339" s="0" t="s">
        <v>228</v>
      </c>
      <c r="AT339" s="0" t="s">
        <v>228</v>
      </c>
      <c r="AU339" s="0" t="s">
        <v>228</v>
      </c>
      <c r="AV339" s="0" t="s">
        <v>228</v>
      </c>
      <c r="AW339" s="0" t="s">
        <v>228</v>
      </c>
      <c r="AX339" s="0" t="s">
        <v>228</v>
      </c>
      <c r="AY339" s="0" t="s">
        <v>228</v>
      </c>
      <c r="AZ339" s="0" t="s">
        <v>228</v>
      </c>
      <c r="BA339" s="0" t="s">
        <v>228</v>
      </c>
      <c r="BB339" s="0" t="s">
        <v>228</v>
      </c>
      <c r="BC339" s="0" t="s">
        <v>228</v>
      </c>
      <c r="BD339" s="0" t="s">
        <v>228</v>
      </c>
      <c r="BE339" s="0" t="s">
        <v>228</v>
      </c>
      <c r="BF339" s="0" t="s">
        <v>228</v>
      </c>
      <c r="BG339" s="0" t="s">
        <v>228</v>
      </c>
      <c r="BH339" s="0" t="s">
        <v>228</v>
      </c>
      <c r="BI339" s="0" t="s">
        <v>228</v>
      </c>
      <c r="BJ339" s="0" t="s">
        <v>228</v>
      </c>
      <c r="BK339" s="0" t="s">
        <v>228</v>
      </c>
      <c r="BL339" s="0" t="s">
        <v>228</v>
      </c>
      <c r="BM339" s="0" t="s">
        <v>228</v>
      </c>
      <c r="BN339" s="0" t="s">
        <v>228</v>
      </c>
      <c r="BO339" s="0" t="s">
        <v>228</v>
      </c>
      <c r="BP339" s="0" t="s">
        <v>228</v>
      </c>
      <c r="BQ339" s="0" t="s">
        <v>228</v>
      </c>
      <c r="BR339" s="0" t="s">
        <v>228</v>
      </c>
      <c r="BS339" s="0" t="s">
        <v>228</v>
      </c>
      <c r="BT339" s="0" t="s">
        <v>228</v>
      </c>
      <c r="BU339" s="0" t="s">
        <v>228</v>
      </c>
      <c r="BV339" s="0" t="s">
        <v>228</v>
      </c>
      <c r="BW339" s="0" t="s">
        <v>228</v>
      </c>
      <c r="BX339" s="0" t="s">
        <v>228</v>
      </c>
      <c r="BY339" s="0" t="s">
        <v>228</v>
      </c>
      <c r="BZ339" s="0" t="s">
        <v>228</v>
      </c>
      <c r="CA339" s="0" t="s">
        <v>228</v>
      </c>
      <c r="CB339" s="0" t="s">
        <v>228</v>
      </c>
      <c r="CC339" s="0" t="s">
        <v>228</v>
      </c>
      <c r="CD339" s="0" t="s">
        <v>228</v>
      </c>
      <c r="CE339" s="0" t="s">
        <v>228</v>
      </c>
      <c r="CF339" s="0" t="s">
        <v>228</v>
      </c>
      <c r="CG339" s="0" t="s">
        <v>228</v>
      </c>
      <c r="CH339" s="0" t="s">
        <v>228</v>
      </c>
      <c r="CI339" s="0" t="s">
        <v>228</v>
      </c>
      <c r="CJ339" s="0" t="s">
        <v>228</v>
      </c>
      <c r="CK339" s="0" t="s">
        <v>228</v>
      </c>
      <c r="CL339" s="0" t="s">
        <v>228</v>
      </c>
      <c r="CM339" s="0" t="s">
        <v>228</v>
      </c>
      <c r="CN339" s="0" t="s">
        <v>228</v>
      </c>
      <c r="CO339" s="0" t="s">
        <v>228</v>
      </c>
      <c r="CP339" s="0" t="s">
        <v>228</v>
      </c>
      <c r="CQ339" s="0" t="s">
        <v>228</v>
      </c>
      <c r="CR339" s="0" t="s">
        <v>228</v>
      </c>
      <c r="CS339" s="0" t="s">
        <v>228</v>
      </c>
      <c r="CT339" s="0" t="s">
        <v>3568</v>
      </c>
      <c r="CU339" s="0" t="s">
        <v>3569</v>
      </c>
      <c r="CV339" s="0" t="s">
        <v>418</v>
      </c>
      <c r="CW339" s="0" t="s">
        <v>3622</v>
      </c>
      <c r="CX339" s="0" t="s">
        <v>419</v>
      </c>
      <c r="CY339" s="0" t="s">
        <v>418</v>
      </c>
      <c r="CZ339" s="0" t="s">
        <v>3623</v>
      </c>
      <c r="DA339" s="0" t="s">
        <v>3624</v>
      </c>
      <c r="DB339" s="0" t="s">
        <v>3622</v>
      </c>
      <c r="DC339" s="0" t="s">
        <v>362</v>
      </c>
      <c r="DD339" s="0" t="s">
        <v>3572</v>
      </c>
      <c r="DE339" s="0" t="s">
        <v>4781</v>
      </c>
    </row>
    <row customHeight="1" ht="11.25">
      <c r="A340" s="1353" t="s">
        <v>228</v>
      </c>
      <c r="B340" s="0" t="s">
        <v>228</v>
      </c>
      <c r="C340" s="0" t="s">
        <v>228</v>
      </c>
      <c r="D340" s="0" t="s">
        <v>228</v>
      </c>
      <c r="E340" s="0" t="s">
        <v>228</v>
      </c>
      <c r="F340" s="0" t="s">
        <v>228</v>
      </c>
      <c r="G340" s="0" t="s">
        <v>228</v>
      </c>
      <c r="H340" s="0" t="s">
        <v>228</v>
      </c>
      <c r="I340" s="0" t="s">
        <v>3555</v>
      </c>
      <c r="J340" s="0" t="s">
        <v>228</v>
      </c>
      <c r="K340" s="0" t="s">
        <v>228</v>
      </c>
      <c r="L340" s="0" t="s">
        <v>228</v>
      </c>
      <c r="M340" s="0" t="s">
        <v>228</v>
      </c>
      <c r="N340" s="0" t="s">
        <v>228</v>
      </c>
      <c r="O340" s="0" t="s">
        <v>228</v>
      </c>
      <c r="P340" s="0" t="s">
        <v>228</v>
      </c>
      <c r="Q340" s="0" t="s">
        <v>228</v>
      </c>
      <c r="R340" s="0" t="s">
        <v>5052</v>
      </c>
      <c r="S340" s="0" t="s">
        <v>228</v>
      </c>
      <c r="T340" s="0" t="s">
        <v>228</v>
      </c>
      <c r="U340" s="0" t="s">
        <v>101</v>
      </c>
      <c r="V340" s="0" t="s">
        <v>228</v>
      </c>
      <c r="W340" s="0" t="s">
        <v>228</v>
      </c>
      <c r="X340" s="0" t="s">
        <v>3557</v>
      </c>
      <c r="Y340" s="0" t="s">
        <v>228</v>
      </c>
      <c r="Z340" s="0" t="s">
        <v>160</v>
      </c>
      <c r="AA340" s="0" t="s">
        <v>151</v>
      </c>
      <c r="AB340" s="0" t="s">
        <v>151</v>
      </c>
      <c r="AC340" s="0" t="s">
        <v>2715</v>
      </c>
      <c r="AD340" s="0" t="s">
        <v>2715</v>
      </c>
      <c r="AE340" s="0" t="s">
        <v>2716</v>
      </c>
      <c r="AF340" s="0" t="s">
        <v>3594</v>
      </c>
      <c r="AG340" s="0" t="s">
        <v>3595</v>
      </c>
      <c r="AH340" s="0" t="s">
        <v>3969</v>
      </c>
      <c r="AI340" s="0" t="s">
        <v>3970</v>
      </c>
      <c r="AJ340" s="0" t="s">
        <v>3663</v>
      </c>
      <c r="AK340" s="0" t="s">
        <v>3971</v>
      </c>
      <c r="AL340" s="0" t="s">
        <v>3564</v>
      </c>
      <c r="AM340" s="0" t="s">
        <v>3565</v>
      </c>
      <c r="AN340" s="0" t="s">
        <v>3972</v>
      </c>
      <c r="AO340" s="0" t="s">
        <v>3973</v>
      </c>
      <c r="AP340" s="0" t="s">
        <v>228</v>
      </c>
      <c r="AQ340" s="0" t="s">
        <v>228</v>
      </c>
      <c r="AR340" s="0" t="s">
        <v>228</v>
      </c>
      <c r="AS340" s="0" t="s">
        <v>228</v>
      </c>
      <c r="AT340" s="0" t="s">
        <v>228</v>
      </c>
      <c r="AU340" s="0" t="s">
        <v>228</v>
      </c>
      <c r="AV340" s="0" t="s">
        <v>228</v>
      </c>
      <c r="AW340" s="0" t="s">
        <v>228</v>
      </c>
      <c r="AX340" s="0" t="s">
        <v>228</v>
      </c>
      <c r="AY340" s="0" t="s">
        <v>228</v>
      </c>
      <c r="AZ340" s="0" t="s">
        <v>228</v>
      </c>
      <c r="BA340" s="0" t="s">
        <v>228</v>
      </c>
      <c r="BB340" s="0" t="s">
        <v>228</v>
      </c>
      <c r="BC340" s="0" t="s">
        <v>228</v>
      </c>
      <c r="BD340" s="0" t="s">
        <v>228</v>
      </c>
      <c r="BE340" s="0" t="s">
        <v>228</v>
      </c>
      <c r="BF340" s="0" t="s">
        <v>228</v>
      </c>
      <c r="BG340" s="0" t="s">
        <v>228</v>
      </c>
      <c r="BH340" s="0" t="s">
        <v>228</v>
      </c>
      <c r="BI340" s="0" t="s">
        <v>228</v>
      </c>
      <c r="BJ340" s="0" t="s">
        <v>228</v>
      </c>
      <c r="BK340" s="0" t="s">
        <v>228</v>
      </c>
      <c r="BL340" s="0" t="s">
        <v>228</v>
      </c>
      <c r="BM340" s="0" t="s">
        <v>228</v>
      </c>
      <c r="BN340" s="0" t="s">
        <v>228</v>
      </c>
      <c r="BO340" s="0" t="s">
        <v>228</v>
      </c>
      <c r="BP340" s="0" t="s">
        <v>228</v>
      </c>
      <c r="BQ340" s="0" t="s">
        <v>228</v>
      </c>
      <c r="BR340" s="0" t="s">
        <v>228</v>
      </c>
      <c r="BS340" s="0" t="s">
        <v>228</v>
      </c>
      <c r="BT340" s="0" t="s">
        <v>228</v>
      </c>
      <c r="BU340" s="0" t="s">
        <v>228</v>
      </c>
      <c r="BV340" s="0" t="s">
        <v>228</v>
      </c>
      <c r="BW340" s="0" t="s">
        <v>228</v>
      </c>
      <c r="BX340" s="0" t="s">
        <v>228</v>
      </c>
      <c r="BY340" s="0" t="s">
        <v>228</v>
      </c>
      <c r="BZ340" s="0" t="s">
        <v>228</v>
      </c>
      <c r="CA340" s="0" t="s">
        <v>228</v>
      </c>
      <c r="CB340" s="0" t="s">
        <v>228</v>
      </c>
      <c r="CC340" s="0" t="s">
        <v>228</v>
      </c>
      <c r="CD340" s="0" t="s">
        <v>228</v>
      </c>
      <c r="CE340" s="0" t="s">
        <v>228</v>
      </c>
      <c r="CF340" s="0" t="s">
        <v>228</v>
      </c>
      <c r="CG340" s="0" t="s">
        <v>228</v>
      </c>
      <c r="CH340" s="0" t="s">
        <v>228</v>
      </c>
      <c r="CI340" s="0" t="s">
        <v>228</v>
      </c>
      <c r="CJ340" s="0" t="s">
        <v>228</v>
      </c>
      <c r="CK340" s="0" t="s">
        <v>228</v>
      </c>
      <c r="CL340" s="0" t="s">
        <v>228</v>
      </c>
      <c r="CM340" s="0" t="s">
        <v>228</v>
      </c>
      <c r="CN340" s="0" t="s">
        <v>228</v>
      </c>
      <c r="CO340" s="0" t="s">
        <v>228</v>
      </c>
      <c r="CP340" s="0" t="s">
        <v>228</v>
      </c>
      <c r="CQ340" s="0" t="s">
        <v>228</v>
      </c>
      <c r="CR340" s="0" t="s">
        <v>228</v>
      </c>
      <c r="CS340" s="0" t="s">
        <v>228</v>
      </c>
      <c r="CT340" s="0" t="s">
        <v>3568</v>
      </c>
      <c r="CU340" s="0" t="s">
        <v>3569</v>
      </c>
      <c r="CV340" s="0" t="s">
        <v>418</v>
      </c>
      <c r="CW340" s="0" t="s">
        <v>3602</v>
      </c>
      <c r="CX340" s="0" t="s">
        <v>3603</v>
      </c>
      <c r="CY340" s="0" t="s">
        <v>418</v>
      </c>
      <c r="CZ340" s="0" t="s">
        <v>504</v>
      </c>
      <c r="DA340" s="0" t="s">
        <v>3604</v>
      </c>
      <c r="DB340" s="0" t="s">
        <v>3602</v>
      </c>
      <c r="DC340" s="0" t="s">
        <v>362</v>
      </c>
      <c r="DD340" s="0" t="s">
        <v>3572</v>
      </c>
      <c r="DE340" s="0" t="s">
        <v>3974</v>
      </c>
    </row>
    <row customHeight="1" ht="11.25">
      <c r="A341" s="1353" t="s">
        <v>228</v>
      </c>
      <c r="B341" s="0" t="s">
        <v>228</v>
      </c>
      <c r="C341" s="0" t="s">
        <v>228</v>
      </c>
      <c r="D341" s="0" t="s">
        <v>228</v>
      </c>
      <c r="E341" s="0" t="s">
        <v>228</v>
      </c>
      <c r="F341" s="0" t="s">
        <v>228</v>
      </c>
      <c r="G341" s="0" t="s">
        <v>228</v>
      </c>
      <c r="H341" s="0" t="s">
        <v>228</v>
      </c>
      <c r="I341" s="0" t="s">
        <v>3555</v>
      </c>
      <c r="J341" s="0" t="s">
        <v>228</v>
      </c>
      <c r="K341" s="0" t="s">
        <v>228</v>
      </c>
      <c r="L341" s="0" t="s">
        <v>228</v>
      </c>
      <c r="M341" s="0" t="s">
        <v>228</v>
      </c>
      <c r="N341" s="0" t="s">
        <v>228</v>
      </c>
      <c r="O341" s="0" t="s">
        <v>228</v>
      </c>
      <c r="P341" s="0" t="s">
        <v>228</v>
      </c>
      <c r="Q341" s="0" t="s">
        <v>228</v>
      </c>
      <c r="R341" s="0" t="s">
        <v>3588</v>
      </c>
      <c r="S341" s="0" t="s">
        <v>228</v>
      </c>
      <c r="T341" s="0" t="s">
        <v>228</v>
      </c>
      <c r="U341" s="0" t="s">
        <v>101</v>
      </c>
      <c r="V341" s="0" t="s">
        <v>228</v>
      </c>
      <c r="W341" s="0" t="s">
        <v>228</v>
      </c>
      <c r="X341" s="0" t="s">
        <v>3557</v>
      </c>
      <c r="Y341" s="0" t="s">
        <v>228</v>
      </c>
      <c r="Z341" s="0" t="s">
        <v>160</v>
      </c>
      <c r="AA341" s="0" t="s">
        <v>151</v>
      </c>
      <c r="AB341" s="0" t="s">
        <v>151</v>
      </c>
      <c r="AC341" s="0" t="s">
        <v>2317</v>
      </c>
      <c r="AD341" s="0" t="s">
        <v>2317</v>
      </c>
      <c r="AE341" s="0" t="s">
        <v>2318</v>
      </c>
      <c r="AF341" s="0" t="s">
        <v>4053</v>
      </c>
      <c r="AG341" s="0" t="s">
        <v>4054</v>
      </c>
      <c r="AH341" s="0" t="s">
        <v>4055</v>
      </c>
      <c r="AI341" s="0" t="s">
        <v>3807</v>
      </c>
      <c r="AJ341" s="0" t="s">
        <v>3579</v>
      </c>
      <c r="AK341" s="0" t="s">
        <v>3808</v>
      </c>
      <c r="AL341" s="0" t="s">
        <v>3581</v>
      </c>
      <c r="AM341" s="0" t="s">
        <v>3565</v>
      </c>
      <c r="AN341" s="0" t="s">
        <v>3620</v>
      </c>
      <c r="AO341" s="0" t="s">
        <v>3712</v>
      </c>
      <c r="AP341" s="0" t="s">
        <v>228</v>
      </c>
      <c r="AQ341" s="0" t="s">
        <v>228</v>
      </c>
      <c r="AR341" s="0" t="s">
        <v>228</v>
      </c>
      <c r="AS341" s="0" t="s">
        <v>228</v>
      </c>
      <c r="AT341" s="0" t="s">
        <v>228</v>
      </c>
      <c r="AU341" s="0" t="s">
        <v>228</v>
      </c>
      <c r="AV341" s="0" t="s">
        <v>228</v>
      </c>
      <c r="AW341" s="0" t="s">
        <v>228</v>
      </c>
      <c r="AX341" s="0" t="s">
        <v>228</v>
      </c>
      <c r="AY341" s="0" t="s">
        <v>228</v>
      </c>
      <c r="AZ341" s="0" t="s">
        <v>228</v>
      </c>
      <c r="BA341" s="0" t="s">
        <v>228</v>
      </c>
      <c r="BB341" s="0" t="s">
        <v>228</v>
      </c>
      <c r="BC341" s="0" t="s">
        <v>228</v>
      </c>
      <c r="BD341" s="0" t="s">
        <v>228</v>
      </c>
      <c r="BE341" s="0" t="s">
        <v>228</v>
      </c>
      <c r="BF341" s="0" t="s">
        <v>228</v>
      </c>
      <c r="BG341" s="0" t="s">
        <v>228</v>
      </c>
      <c r="BH341" s="0" t="s">
        <v>228</v>
      </c>
      <c r="BI341" s="0" t="s">
        <v>228</v>
      </c>
      <c r="BJ341" s="0" t="s">
        <v>228</v>
      </c>
      <c r="BK341" s="0" t="s">
        <v>228</v>
      </c>
      <c r="BL341" s="0" t="s">
        <v>228</v>
      </c>
      <c r="BM341" s="0" t="s">
        <v>228</v>
      </c>
      <c r="BN341" s="0" t="s">
        <v>228</v>
      </c>
      <c r="BO341" s="0" t="s">
        <v>228</v>
      </c>
      <c r="BP341" s="0" t="s">
        <v>228</v>
      </c>
      <c r="BQ341" s="0" t="s">
        <v>228</v>
      </c>
      <c r="BR341" s="0" t="s">
        <v>228</v>
      </c>
      <c r="BS341" s="0" t="s">
        <v>228</v>
      </c>
      <c r="BT341" s="0" t="s">
        <v>228</v>
      </c>
      <c r="BU341" s="0" t="s">
        <v>228</v>
      </c>
      <c r="BV341" s="0" t="s">
        <v>228</v>
      </c>
      <c r="BW341" s="0" t="s">
        <v>228</v>
      </c>
      <c r="BX341" s="0" t="s">
        <v>228</v>
      </c>
      <c r="BY341" s="0" t="s">
        <v>228</v>
      </c>
      <c r="BZ341" s="0" t="s">
        <v>228</v>
      </c>
      <c r="CA341" s="0" t="s">
        <v>228</v>
      </c>
      <c r="CB341" s="0" t="s">
        <v>228</v>
      </c>
      <c r="CC341" s="0" t="s">
        <v>228</v>
      </c>
      <c r="CD341" s="0" t="s">
        <v>228</v>
      </c>
      <c r="CE341" s="0" t="s">
        <v>228</v>
      </c>
      <c r="CF341" s="0" t="s">
        <v>228</v>
      </c>
      <c r="CG341" s="0" t="s">
        <v>228</v>
      </c>
      <c r="CH341" s="0" t="s">
        <v>228</v>
      </c>
      <c r="CI341" s="0" t="s">
        <v>228</v>
      </c>
      <c r="CJ341" s="0" t="s">
        <v>228</v>
      </c>
      <c r="CK341" s="0" t="s">
        <v>228</v>
      </c>
      <c r="CL341" s="0" t="s">
        <v>228</v>
      </c>
      <c r="CM341" s="0" t="s">
        <v>228</v>
      </c>
      <c r="CN341" s="0" t="s">
        <v>228</v>
      </c>
      <c r="CO341" s="0" t="s">
        <v>228</v>
      </c>
      <c r="CP341" s="0" t="s">
        <v>228</v>
      </c>
      <c r="CQ341" s="0" t="s">
        <v>228</v>
      </c>
      <c r="CR341" s="0" t="s">
        <v>228</v>
      </c>
      <c r="CS341" s="0" t="s">
        <v>228</v>
      </c>
      <c r="CT341" s="0" t="s">
        <v>3568</v>
      </c>
      <c r="CU341" s="0" t="s">
        <v>3569</v>
      </c>
      <c r="CV341" s="0" t="s">
        <v>418</v>
      </c>
      <c r="CW341" s="0" t="s">
        <v>3622</v>
      </c>
      <c r="CX341" s="0" t="s">
        <v>419</v>
      </c>
      <c r="CY341" s="0" t="s">
        <v>418</v>
      </c>
      <c r="CZ341" s="0" t="s">
        <v>3623</v>
      </c>
      <c r="DA341" s="0" t="s">
        <v>3624</v>
      </c>
      <c r="DB341" s="0" t="s">
        <v>3622</v>
      </c>
      <c r="DC341" s="0" t="s">
        <v>362</v>
      </c>
      <c r="DD341" s="0" t="s">
        <v>3572</v>
      </c>
      <c r="DE341" s="0" t="s">
        <v>4056</v>
      </c>
    </row>
    <row customHeight="1" ht="11.25">
      <c r="A342" s="1353" t="s">
        <v>228</v>
      </c>
      <c r="B342" s="0" t="s">
        <v>228</v>
      </c>
      <c r="C342" s="0" t="s">
        <v>228</v>
      </c>
      <c r="D342" s="0" t="s">
        <v>228</v>
      </c>
      <c r="E342" s="0" t="s">
        <v>228</v>
      </c>
      <c r="F342" s="0" t="s">
        <v>228</v>
      </c>
      <c r="G342" s="0" t="s">
        <v>228</v>
      </c>
      <c r="H342" s="0" t="s">
        <v>228</v>
      </c>
      <c r="I342" s="0" t="s">
        <v>3555</v>
      </c>
      <c r="J342" s="0" t="s">
        <v>228</v>
      </c>
      <c r="K342" s="0" t="s">
        <v>228</v>
      </c>
      <c r="L342" s="0" t="s">
        <v>228</v>
      </c>
      <c r="M342" s="0" t="s">
        <v>228</v>
      </c>
      <c r="N342" s="0" t="s">
        <v>228</v>
      </c>
      <c r="O342" s="0" t="s">
        <v>228</v>
      </c>
      <c r="P342" s="0" t="s">
        <v>228</v>
      </c>
      <c r="Q342" s="0" t="s">
        <v>228</v>
      </c>
      <c r="R342" s="0" t="s">
        <v>5053</v>
      </c>
      <c r="S342" s="0" t="s">
        <v>228</v>
      </c>
      <c r="T342" s="0" t="s">
        <v>228</v>
      </c>
      <c r="U342" s="0" t="s">
        <v>101</v>
      </c>
      <c r="V342" s="0" t="s">
        <v>228</v>
      </c>
      <c r="W342" s="0" t="s">
        <v>228</v>
      </c>
      <c r="X342" s="0" t="s">
        <v>3557</v>
      </c>
      <c r="Y342" s="0" t="s">
        <v>228</v>
      </c>
      <c r="Z342" s="0" t="s">
        <v>160</v>
      </c>
      <c r="AA342" s="0" t="s">
        <v>151</v>
      </c>
      <c r="AB342" s="0" t="s">
        <v>151</v>
      </c>
      <c r="AC342" s="0" t="s">
        <v>2715</v>
      </c>
      <c r="AD342" s="0" t="s">
        <v>2715</v>
      </c>
      <c r="AE342" s="0" t="s">
        <v>2716</v>
      </c>
      <c r="AF342" s="0" t="s">
        <v>3594</v>
      </c>
      <c r="AG342" s="0" t="s">
        <v>3595</v>
      </c>
      <c r="AH342" s="0" t="s">
        <v>3642</v>
      </c>
      <c r="AI342" s="0" t="s">
        <v>3643</v>
      </c>
      <c r="AJ342" s="0" t="s">
        <v>4099</v>
      </c>
      <c r="AK342" s="0" t="s">
        <v>4100</v>
      </c>
      <c r="AL342" s="0" t="s">
        <v>3681</v>
      </c>
      <c r="AM342" s="0" t="s">
        <v>3565</v>
      </c>
      <c r="AN342" s="0" t="s">
        <v>3600</v>
      </c>
      <c r="AO342" s="0" t="s">
        <v>4101</v>
      </c>
      <c r="AP342" s="0" t="s">
        <v>228</v>
      </c>
      <c r="AQ342" s="0" t="s">
        <v>228</v>
      </c>
      <c r="AR342" s="0" t="s">
        <v>228</v>
      </c>
      <c r="AS342" s="0" t="s">
        <v>228</v>
      </c>
      <c r="AT342" s="0" t="s">
        <v>228</v>
      </c>
      <c r="AU342" s="0" t="s">
        <v>228</v>
      </c>
      <c r="AV342" s="0" t="s">
        <v>228</v>
      </c>
      <c r="AW342" s="0" t="s">
        <v>228</v>
      </c>
      <c r="AX342" s="0" t="s">
        <v>228</v>
      </c>
      <c r="AY342" s="0" t="s">
        <v>228</v>
      </c>
      <c r="AZ342" s="0" t="s">
        <v>228</v>
      </c>
      <c r="BA342" s="0" t="s">
        <v>228</v>
      </c>
      <c r="BB342" s="0" t="s">
        <v>228</v>
      </c>
      <c r="BC342" s="0" t="s">
        <v>228</v>
      </c>
      <c r="BD342" s="0" t="s">
        <v>228</v>
      </c>
      <c r="BE342" s="0" t="s">
        <v>228</v>
      </c>
      <c r="BF342" s="0" t="s">
        <v>228</v>
      </c>
      <c r="BG342" s="0" t="s">
        <v>228</v>
      </c>
      <c r="BH342" s="0" t="s">
        <v>228</v>
      </c>
      <c r="BI342" s="0" t="s">
        <v>228</v>
      </c>
      <c r="BJ342" s="0" t="s">
        <v>228</v>
      </c>
      <c r="BK342" s="0" t="s">
        <v>228</v>
      </c>
      <c r="BL342" s="0" t="s">
        <v>228</v>
      </c>
      <c r="BM342" s="0" t="s">
        <v>228</v>
      </c>
      <c r="BN342" s="0" t="s">
        <v>228</v>
      </c>
      <c r="BO342" s="0" t="s">
        <v>228</v>
      </c>
      <c r="BP342" s="0" t="s">
        <v>228</v>
      </c>
      <c r="BQ342" s="0" t="s">
        <v>228</v>
      </c>
      <c r="BR342" s="0" t="s">
        <v>228</v>
      </c>
      <c r="BS342" s="0" t="s">
        <v>228</v>
      </c>
      <c r="BT342" s="0" t="s">
        <v>228</v>
      </c>
      <c r="BU342" s="0" t="s">
        <v>228</v>
      </c>
      <c r="BV342" s="0" t="s">
        <v>228</v>
      </c>
      <c r="BW342" s="0" t="s">
        <v>228</v>
      </c>
      <c r="BX342" s="0" t="s">
        <v>228</v>
      </c>
      <c r="BY342" s="0" t="s">
        <v>228</v>
      </c>
      <c r="BZ342" s="0" t="s">
        <v>228</v>
      </c>
      <c r="CA342" s="0" t="s">
        <v>228</v>
      </c>
      <c r="CB342" s="0" t="s">
        <v>228</v>
      </c>
      <c r="CC342" s="0" t="s">
        <v>228</v>
      </c>
      <c r="CD342" s="0" t="s">
        <v>228</v>
      </c>
      <c r="CE342" s="0" t="s">
        <v>228</v>
      </c>
      <c r="CF342" s="0" t="s">
        <v>228</v>
      </c>
      <c r="CG342" s="0" t="s">
        <v>228</v>
      </c>
      <c r="CH342" s="0" t="s">
        <v>228</v>
      </c>
      <c r="CI342" s="0" t="s">
        <v>228</v>
      </c>
      <c r="CJ342" s="0" t="s">
        <v>228</v>
      </c>
      <c r="CK342" s="0" t="s">
        <v>228</v>
      </c>
      <c r="CL342" s="0" t="s">
        <v>228</v>
      </c>
      <c r="CM342" s="0" t="s">
        <v>228</v>
      </c>
      <c r="CN342" s="0" t="s">
        <v>228</v>
      </c>
      <c r="CO342" s="0" t="s">
        <v>228</v>
      </c>
      <c r="CP342" s="0" t="s">
        <v>228</v>
      </c>
      <c r="CQ342" s="0" t="s">
        <v>228</v>
      </c>
      <c r="CR342" s="0" t="s">
        <v>228</v>
      </c>
      <c r="CS342" s="0" t="s">
        <v>228</v>
      </c>
      <c r="CT342" s="0" t="s">
        <v>3568</v>
      </c>
      <c r="CU342" s="0" t="s">
        <v>3569</v>
      </c>
      <c r="CV342" s="0" t="s">
        <v>418</v>
      </c>
      <c r="CW342" s="0" t="s">
        <v>3602</v>
      </c>
      <c r="CX342" s="0" t="s">
        <v>3603</v>
      </c>
      <c r="CY342" s="0" t="s">
        <v>418</v>
      </c>
      <c r="CZ342" s="0" t="s">
        <v>504</v>
      </c>
      <c r="DA342" s="0" t="s">
        <v>3604</v>
      </c>
      <c r="DB342" s="0" t="s">
        <v>3602</v>
      </c>
      <c r="DC342" s="0" t="s">
        <v>362</v>
      </c>
      <c r="DD342" s="0" t="s">
        <v>3572</v>
      </c>
      <c r="DE342" s="0" t="s">
        <v>3647</v>
      </c>
    </row>
    <row customHeight="1" ht="11.25">
      <c r="A343" s="1353" t="s">
        <v>228</v>
      </c>
      <c r="B343" s="0" t="s">
        <v>228</v>
      </c>
      <c r="C343" s="0" t="s">
        <v>228</v>
      </c>
      <c r="D343" s="0" t="s">
        <v>228</v>
      </c>
      <c r="E343" s="0" t="s">
        <v>228</v>
      </c>
      <c r="F343" s="0" t="s">
        <v>228</v>
      </c>
      <c r="G343" s="0" t="s">
        <v>228</v>
      </c>
      <c r="H343" s="0" t="s">
        <v>228</v>
      </c>
      <c r="I343" s="0" t="s">
        <v>3555</v>
      </c>
      <c r="J343" s="0" t="s">
        <v>228</v>
      </c>
      <c r="K343" s="0" t="s">
        <v>228</v>
      </c>
      <c r="L343" s="0" t="s">
        <v>228</v>
      </c>
      <c r="M343" s="0" t="s">
        <v>228</v>
      </c>
      <c r="N343" s="0" t="s">
        <v>228</v>
      </c>
      <c r="O343" s="0" t="s">
        <v>228</v>
      </c>
      <c r="P343" s="0" t="s">
        <v>228</v>
      </c>
      <c r="Q343" s="0" t="s">
        <v>228</v>
      </c>
      <c r="R343" s="0" t="s">
        <v>4057</v>
      </c>
      <c r="S343" s="0" t="s">
        <v>228</v>
      </c>
      <c r="T343" s="0" t="s">
        <v>228</v>
      </c>
      <c r="U343" s="0" t="s">
        <v>101</v>
      </c>
      <c r="V343" s="0" t="s">
        <v>228</v>
      </c>
      <c r="W343" s="0" t="s">
        <v>228</v>
      </c>
      <c r="X343" s="0" t="s">
        <v>3557</v>
      </c>
      <c r="Y343" s="0" t="s">
        <v>228</v>
      </c>
      <c r="Z343" s="0" t="s">
        <v>160</v>
      </c>
      <c r="AA343" s="0" t="s">
        <v>151</v>
      </c>
      <c r="AB343" s="0" t="s">
        <v>151</v>
      </c>
      <c r="AC343" s="0" t="s">
        <v>2315</v>
      </c>
      <c r="AD343" s="0" t="s">
        <v>2315</v>
      </c>
      <c r="AE343" s="0" t="s">
        <v>2316</v>
      </c>
      <c r="AF343" s="0" t="s">
        <v>4058</v>
      </c>
      <c r="AG343" s="0" t="s">
        <v>4059</v>
      </c>
      <c r="AH343" s="0" t="s">
        <v>4055</v>
      </c>
      <c r="AI343" s="0" t="s">
        <v>281</v>
      </c>
      <c r="AJ343" s="0" t="s">
        <v>3562</v>
      </c>
      <c r="AK343" s="0" t="s">
        <v>3562</v>
      </c>
      <c r="AL343" s="0" t="s">
        <v>3681</v>
      </c>
      <c r="AM343" s="0" t="s">
        <v>3565</v>
      </c>
      <c r="AN343" s="0" t="s">
        <v>3582</v>
      </c>
      <c r="AO343" s="0" t="s">
        <v>4060</v>
      </c>
      <c r="AP343" s="0" t="s">
        <v>228</v>
      </c>
      <c r="AQ343" s="0" t="s">
        <v>228</v>
      </c>
      <c r="AR343" s="0" t="s">
        <v>228</v>
      </c>
      <c r="AS343" s="0" t="s">
        <v>228</v>
      </c>
      <c r="AT343" s="0" t="s">
        <v>228</v>
      </c>
      <c r="AU343" s="0" t="s">
        <v>228</v>
      </c>
      <c r="AV343" s="0" t="s">
        <v>228</v>
      </c>
      <c r="AW343" s="0" t="s">
        <v>228</v>
      </c>
      <c r="AX343" s="0" t="s">
        <v>228</v>
      </c>
      <c r="AY343" s="0" t="s">
        <v>228</v>
      </c>
      <c r="AZ343" s="0" t="s">
        <v>228</v>
      </c>
      <c r="BA343" s="0" t="s">
        <v>228</v>
      </c>
      <c r="BB343" s="0" t="s">
        <v>228</v>
      </c>
      <c r="BC343" s="0" t="s">
        <v>228</v>
      </c>
      <c r="BD343" s="0" t="s">
        <v>228</v>
      </c>
      <c r="BE343" s="0" t="s">
        <v>228</v>
      </c>
      <c r="BF343" s="0" t="s">
        <v>228</v>
      </c>
      <c r="BG343" s="0" t="s">
        <v>228</v>
      </c>
      <c r="BH343" s="0" t="s">
        <v>228</v>
      </c>
      <c r="BI343" s="0" t="s">
        <v>228</v>
      </c>
      <c r="BJ343" s="0" t="s">
        <v>228</v>
      </c>
      <c r="BK343" s="0" t="s">
        <v>228</v>
      </c>
      <c r="BL343" s="0" t="s">
        <v>228</v>
      </c>
      <c r="BM343" s="0" t="s">
        <v>228</v>
      </c>
      <c r="BN343" s="0" t="s">
        <v>228</v>
      </c>
      <c r="BO343" s="0" t="s">
        <v>228</v>
      </c>
      <c r="BP343" s="0" t="s">
        <v>228</v>
      </c>
      <c r="BQ343" s="0" t="s">
        <v>228</v>
      </c>
      <c r="BR343" s="0" t="s">
        <v>228</v>
      </c>
      <c r="BS343" s="0" t="s">
        <v>228</v>
      </c>
      <c r="BT343" s="0" t="s">
        <v>228</v>
      </c>
      <c r="BU343" s="0" t="s">
        <v>228</v>
      </c>
      <c r="BV343" s="0" t="s">
        <v>228</v>
      </c>
      <c r="BW343" s="0" t="s">
        <v>228</v>
      </c>
      <c r="BX343" s="0" t="s">
        <v>228</v>
      </c>
      <c r="BY343" s="0" t="s">
        <v>228</v>
      </c>
      <c r="BZ343" s="0" t="s">
        <v>228</v>
      </c>
      <c r="CA343" s="0" t="s">
        <v>228</v>
      </c>
      <c r="CB343" s="0" t="s">
        <v>228</v>
      </c>
      <c r="CC343" s="0" t="s">
        <v>228</v>
      </c>
      <c r="CD343" s="0" t="s">
        <v>228</v>
      </c>
      <c r="CE343" s="0" t="s">
        <v>228</v>
      </c>
      <c r="CF343" s="0" t="s">
        <v>228</v>
      </c>
      <c r="CG343" s="0" t="s">
        <v>228</v>
      </c>
      <c r="CH343" s="0" t="s">
        <v>228</v>
      </c>
      <c r="CI343" s="0" t="s">
        <v>228</v>
      </c>
      <c r="CJ343" s="0" t="s">
        <v>228</v>
      </c>
      <c r="CK343" s="0" t="s">
        <v>228</v>
      </c>
      <c r="CL343" s="0" t="s">
        <v>228</v>
      </c>
      <c r="CM343" s="0" t="s">
        <v>228</v>
      </c>
      <c r="CN343" s="0" t="s">
        <v>228</v>
      </c>
      <c r="CO343" s="0" t="s">
        <v>228</v>
      </c>
      <c r="CP343" s="0" t="s">
        <v>228</v>
      </c>
      <c r="CQ343" s="0" t="s">
        <v>228</v>
      </c>
      <c r="CR343" s="0" t="s">
        <v>228</v>
      </c>
      <c r="CS343" s="0" t="s">
        <v>228</v>
      </c>
      <c r="CT343" s="0" t="s">
        <v>3568</v>
      </c>
      <c r="CU343" s="0" t="s">
        <v>3569</v>
      </c>
      <c r="CV343" s="0" t="s">
        <v>418</v>
      </c>
      <c r="CW343" s="0" t="s">
        <v>3656</v>
      </c>
      <c r="CX343" s="0" t="s">
        <v>419</v>
      </c>
      <c r="CY343" s="0" t="s">
        <v>418</v>
      </c>
      <c r="CZ343" s="0" t="s">
        <v>3657</v>
      </c>
      <c r="DA343" s="0" t="s">
        <v>3658</v>
      </c>
      <c r="DB343" s="0" t="s">
        <v>3656</v>
      </c>
      <c r="DC343" s="0" t="s">
        <v>362</v>
      </c>
      <c r="DD343" s="0" t="s">
        <v>3572</v>
      </c>
      <c r="DE343" s="0" t="s">
        <v>4061</v>
      </c>
    </row>
    <row customHeight="1" ht="11.25">
      <c r="A344" s="1353" t="s">
        <v>228</v>
      </c>
      <c r="B344" s="0" t="s">
        <v>228</v>
      </c>
      <c r="C344" s="0" t="s">
        <v>228</v>
      </c>
      <c r="D344" s="0" t="s">
        <v>228</v>
      </c>
      <c r="E344" s="0" t="s">
        <v>228</v>
      </c>
      <c r="F344" s="0" t="s">
        <v>228</v>
      </c>
      <c r="G344" s="0" t="s">
        <v>228</v>
      </c>
      <c r="H344" s="0" t="s">
        <v>228</v>
      </c>
      <c r="I344" s="0" t="s">
        <v>3555</v>
      </c>
      <c r="J344" s="0" t="s">
        <v>228</v>
      </c>
      <c r="K344" s="0" t="s">
        <v>228</v>
      </c>
      <c r="L344" s="0" t="s">
        <v>228</v>
      </c>
      <c r="M344" s="0" t="s">
        <v>228</v>
      </c>
      <c r="N344" s="0" t="s">
        <v>228</v>
      </c>
      <c r="O344" s="0" t="s">
        <v>228</v>
      </c>
      <c r="P344" s="0" t="s">
        <v>228</v>
      </c>
      <c r="Q344" s="0" t="s">
        <v>228</v>
      </c>
      <c r="R344" s="0" t="s">
        <v>4248</v>
      </c>
      <c r="S344" s="0" t="s">
        <v>228</v>
      </c>
      <c r="T344" s="0" t="s">
        <v>228</v>
      </c>
      <c r="U344" s="0" t="s">
        <v>101</v>
      </c>
      <c r="V344" s="0" t="s">
        <v>228</v>
      </c>
      <c r="W344" s="0" t="s">
        <v>228</v>
      </c>
      <c r="X344" s="0" t="s">
        <v>3988</v>
      </c>
      <c r="Y344" s="0" t="s">
        <v>228</v>
      </c>
      <c r="Z344" s="0" t="s">
        <v>151</v>
      </c>
      <c r="AA344" s="0" t="s">
        <v>160</v>
      </c>
      <c r="AB344" s="0" t="s">
        <v>151</v>
      </c>
      <c r="AC344" s="0" t="s">
        <v>2315</v>
      </c>
      <c r="AD344" s="0" t="s">
        <v>2315</v>
      </c>
      <c r="AE344" s="0" t="s">
        <v>2316</v>
      </c>
      <c r="AF344" s="0" t="s">
        <v>4058</v>
      </c>
      <c r="AG344" s="0" t="s">
        <v>4059</v>
      </c>
      <c r="AH344" s="0" t="s">
        <v>4055</v>
      </c>
      <c r="AI344" s="0" t="s">
        <v>281</v>
      </c>
      <c r="AJ344" s="0" t="s">
        <v>228</v>
      </c>
      <c r="AK344" s="0" t="s">
        <v>228</v>
      </c>
      <c r="AL344" s="0" t="s">
        <v>228</v>
      </c>
      <c r="AM344" s="0" t="s">
        <v>228</v>
      </c>
      <c r="AN344" s="0" t="s">
        <v>228</v>
      </c>
      <c r="AO344" s="0" t="s">
        <v>228</v>
      </c>
      <c r="AP344" s="0" t="s">
        <v>3562</v>
      </c>
      <c r="AQ344" s="0" t="s">
        <v>3562</v>
      </c>
      <c r="AR344" s="0" t="s">
        <v>111</v>
      </c>
      <c r="AS344" s="0" t="s">
        <v>3665</v>
      </c>
      <c r="AT344" s="0" t="s">
        <v>5054</v>
      </c>
      <c r="AU344" s="0" t="s">
        <v>228</v>
      </c>
      <c r="AV344" s="0" t="s">
        <v>4248</v>
      </c>
      <c r="AW344" s="0" t="s">
        <v>2315</v>
      </c>
      <c r="AX344" s="0" t="s">
        <v>2315</v>
      </c>
      <c r="AY344" s="0" t="s">
        <v>3875</v>
      </c>
      <c r="AZ344" s="0" t="s">
        <v>4058</v>
      </c>
      <c r="BA344" s="0" t="s">
        <v>4249</v>
      </c>
      <c r="BB344" s="0" t="s">
        <v>3651</v>
      </c>
      <c r="BC344" s="0" t="s">
        <v>3651</v>
      </c>
      <c r="BD344" s="0" t="s">
        <v>3582</v>
      </c>
      <c r="BE344" s="0" t="s">
        <v>228</v>
      </c>
      <c r="BF344" s="0" t="s">
        <v>228</v>
      </c>
      <c r="BG344" s="0" t="s">
        <v>228</v>
      </c>
      <c r="BH344" s="0" t="s">
        <v>228</v>
      </c>
      <c r="BI344" s="0" t="s">
        <v>228</v>
      </c>
      <c r="BJ344" s="0" t="s">
        <v>228</v>
      </c>
      <c r="BK344" s="0" t="s">
        <v>228</v>
      </c>
      <c r="BL344" s="0" t="s">
        <v>228</v>
      </c>
      <c r="BM344" s="0" t="s">
        <v>228</v>
      </c>
      <c r="BN344" s="0" t="s">
        <v>228</v>
      </c>
      <c r="BO344" s="0" t="s">
        <v>228</v>
      </c>
      <c r="BP344" s="0" t="s">
        <v>228</v>
      </c>
      <c r="BQ344" s="0" t="s">
        <v>228</v>
      </c>
      <c r="BR344" s="0" t="s">
        <v>228</v>
      </c>
      <c r="BS344" s="0" t="s">
        <v>228</v>
      </c>
      <c r="BT344" s="0" t="s">
        <v>228</v>
      </c>
      <c r="BU344" s="0" t="s">
        <v>228</v>
      </c>
      <c r="BV344" s="0" t="s">
        <v>228</v>
      </c>
      <c r="BW344" s="0" t="s">
        <v>228</v>
      </c>
      <c r="BX344" s="0" t="s">
        <v>228</v>
      </c>
      <c r="BY344" s="0" t="s">
        <v>228</v>
      </c>
      <c r="BZ344" s="0" t="s">
        <v>228</v>
      </c>
      <c r="CA344" s="0" t="s">
        <v>228</v>
      </c>
      <c r="CB344" s="0" t="s">
        <v>228</v>
      </c>
      <c r="CC344" s="0" t="s">
        <v>228</v>
      </c>
      <c r="CD344" s="0" t="s">
        <v>228</v>
      </c>
      <c r="CE344" s="0" t="s">
        <v>228</v>
      </c>
      <c r="CF344" s="0" t="s">
        <v>228</v>
      </c>
      <c r="CG344" s="0" t="s">
        <v>228</v>
      </c>
      <c r="CH344" s="0" t="s">
        <v>228</v>
      </c>
      <c r="CI344" s="0" t="s">
        <v>228</v>
      </c>
      <c r="CJ344" s="0" t="s">
        <v>228</v>
      </c>
      <c r="CK344" s="0" t="s">
        <v>228</v>
      </c>
      <c r="CL344" s="0" t="s">
        <v>228</v>
      </c>
      <c r="CM344" s="0" t="s">
        <v>228</v>
      </c>
      <c r="CN344" s="0" t="s">
        <v>228</v>
      </c>
      <c r="CO344" s="0" t="s">
        <v>228</v>
      </c>
      <c r="CP344" s="0" t="s">
        <v>228</v>
      </c>
      <c r="CQ344" s="0" t="s">
        <v>228</v>
      </c>
      <c r="CR344" s="0" t="s">
        <v>228</v>
      </c>
      <c r="CS344" s="0" t="s">
        <v>228</v>
      </c>
      <c r="CT344" s="0" t="s">
        <v>3568</v>
      </c>
      <c r="CU344" s="0" t="s">
        <v>3569</v>
      </c>
      <c r="CV344" s="0" t="s">
        <v>418</v>
      </c>
      <c r="CW344" s="0" t="s">
        <v>3656</v>
      </c>
      <c r="CX344" s="0" t="s">
        <v>419</v>
      </c>
      <c r="CY344" s="0" t="s">
        <v>418</v>
      </c>
      <c r="CZ344" s="0" t="s">
        <v>3657</v>
      </c>
      <c r="DA344" s="0" t="s">
        <v>3658</v>
      </c>
      <c r="DB344" s="0" t="s">
        <v>3656</v>
      </c>
      <c r="DC344" s="0" t="s">
        <v>362</v>
      </c>
      <c r="DD344" s="0" t="s">
        <v>3572</v>
      </c>
      <c r="DE344" s="0" t="s">
        <v>4061</v>
      </c>
    </row>
    <row customHeight="1" ht="11.25">
      <c r="A345" s="1353" t="s">
        <v>228</v>
      </c>
      <c r="B345" s="0" t="s">
        <v>228</v>
      </c>
      <c r="C345" s="0" t="s">
        <v>228</v>
      </c>
      <c r="D345" s="0" t="s">
        <v>228</v>
      </c>
      <c r="E345" s="0" t="s">
        <v>228</v>
      </c>
      <c r="F345" s="0" t="s">
        <v>228</v>
      </c>
      <c r="G345" s="0" t="s">
        <v>228</v>
      </c>
      <c r="H345" s="0" t="s">
        <v>228</v>
      </c>
      <c r="I345" s="0" t="s">
        <v>3555</v>
      </c>
      <c r="J345" s="0" t="s">
        <v>228</v>
      </c>
      <c r="K345" s="0" t="s">
        <v>228</v>
      </c>
      <c r="L345" s="0" t="s">
        <v>228</v>
      </c>
      <c r="M345" s="0" t="s">
        <v>228</v>
      </c>
      <c r="N345" s="0" t="s">
        <v>228</v>
      </c>
      <c r="O345" s="0" t="s">
        <v>228</v>
      </c>
      <c r="P345" s="0" t="s">
        <v>228</v>
      </c>
      <c r="Q345" s="0" t="s">
        <v>228</v>
      </c>
      <c r="R345" s="0" t="s">
        <v>5055</v>
      </c>
      <c r="S345" s="0" t="s">
        <v>228</v>
      </c>
      <c r="T345" s="0" t="s">
        <v>228</v>
      </c>
      <c r="U345" s="0" t="s">
        <v>101</v>
      </c>
      <c r="V345" s="0" t="s">
        <v>228</v>
      </c>
      <c r="W345" s="0" t="s">
        <v>228</v>
      </c>
      <c r="X345" s="0" t="s">
        <v>3557</v>
      </c>
      <c r="Y345" s="0" t="s">
        <v>228</v>
      </c>
      <c r="Z345" s="0" t="s">
        <v>160</v>
      </c>
      <c r="AA345" s="0" t="s">
        <v>151</v>
      </c>
      <c r="AB345" s="0" t="s">
        <v>151</v>
      </c>
      <c r="AC345" s="0" t="s">
        <v>2715</v>
      </c>
      <c r="AD345" s="0" t="s">
        <v>2715</v>
      </c>
      <c r="AE345" s="0" t="s">
        <v>2716</v>
      </c>
      <c r="AF345" s="0" t="s">
        <v>3594</v>
      </c>
      <c r="AG345" s="0" t="s">
        <v>3595</v>
      </c>
      <c r="AH345" s="0" t="s">
        <v>4251</v>
      </c>
      <c r="AI345" s="0" t="s">
        <v>4252</v>
      </c>
      <c r="AJ345" s="0" t="s">
        <v>3985</v>
      </c>
      <c r="AK345" s="0" t="s">
        <v>4253</v>
      </c>
      <c r="AL345" s="0" t="s">
        <v>3564</v>
      </c>
      <c r="AM345" s="0" t="s">
        <v>3565</v>
      </c>
      <c r="AN345" s="0" t="s">
        <v>4254</v>
      </c>
      <c r="AO345" s="0" t="s">
        <v>4255</v>
      </c>
      <c r="AP345" s="0" t="s">
        <v>228</v>
      </c>
      <c r="AQ345" s="0" t="s">
        <v>228</v>
      </c>
      <c r="AR345" s="0" t="s">
        <v>228</v>
      </c>
      <c r="AS345" s="0" t="s">
        <v>228</v>
      </c>
      <c r="AT345" s="0" t="s">
        <v>228</v>
      </c>
      <c r="AU345" s="0" t="s">
        <v>228</v>
      </c>
      <c r="AV345" s="0" t="s">
        <v>228</v>
      </c>
      <c r="AW345" s="0" t="s">
        <v>228</v>
      </c>
      <c r="AX345" s="0" t="s">
        <v>228</v>
      </c>
      <c r="AY345" s="0" t="s">
        <v>228</v>
      </c>
      <c r="AZ345" s="0" t="s">
        <v>228</v>
      </c>
      <c r="BA345" s="0" t="s">
        <v>228</v>
      </c>
      <c r="BB345" s="0" t="s">
        <v>228</v>
      </c>
      <c r="BC345" s="0" t="s">
        <v>228</v>
      </c>
      <c r="BD345" s="0" t="s">
        <v>228</v>
      </c>
      <c r="BE345" s="0" t="s">
        <v>228</v>
      </c>
      <c r="BF345" s="0" t="s">
        <v>228</v>
      </c>
      <c r="BG345" s="0" t="s">
        <v>228</v>
      </c>
      <c r="BH345" s="0" t="s">
        <v>228</v>
      </c>
      <c r="BI345" s="0" t="s">
        <v>228</v>
      </c>
      <c r="BJ345" s="0" t="s">
        <v>228</v>
      </c>
      <c r="BK345" s="0" t="s">
        <v>228</v>
      </c>
      <c r="BL345" s="0" t="s">
        <v>228</v>
      </c>
      <c r="BM345" s="0" t="s">
        <v>228</v>
      </c>
      <c r="BN345" s="0" t="s">
        <v>228</v>
      </c>
      <c r="BO345" s="0" t="s">
        <v>228</v>
      </c>
      <c r="BP345" s="0" t="s">
        <v>228</v>
      </c>
      <c r="BQ345" s="0" t="s">
        <v>228</v>
      </c>
      <c r="BR345" s="0" t="s">
        <v>228</v>
      </c>
      <c r="BS345" s="0" t="s">
        <v>228</v>
      </c>
      <c r="BT345" s="0" t="s">
        <v>228</v>
      </c>
      <c r="BU345" s="0" t="s">
        <v>228</v>
      </c>
      <c r="BV345" s="0" t="s">
        <v>228</v>
      </c>
      <c r="BW345" s="0" t="s">
        <v>228</v>
      </c>
      <c r="BX345" s="0" t="s">
        <v>228</v>
      </c>
      <c r="BY345" s="0" t="s">
        <v>228</v>
      </c>
      <c r="BZ345" s="0" t="s">
        <v>228</v>
      </c>
      <c r="CA345" s="0" t="s">
        <v>228</v>
      </c>
      <c r="CB345" s="0" t="s">
        <v>228</v>
      </c>
      <c r="CC345" s="0" t="s">
        <v>228</v>
      </c>
      <c r="CD345" s="0" t="s">
        <v>228</v>
      </c>
      <c r="CE345" s="0" t="s">
        <v>228</v>
      </c>
      <c r="CF345" s="0" t="s">
        <v>228</v>
      </c>
      <c r="CG345" s="0" t="s">
        <v>228</v>
      </c>
      <c r="CH345" s="0" t="s">
        <v>228</v>
      </c>
      <c r="CI345" s="0" t="s">
        <v>228</v>
      </c>
      <c r="CJ345" s="0" t="s">
        <v>228</v>
      </c>
      <c r="CK345" s="0" t="s">
        <v>228</v>
      </c>
      <c r="CL345" s="0" t="s">
        <v>228</v>
      </c>
      <c r="CM345" s="0" t="s">
        <v>228</v>
      </c>
      <c r="CN345" s="0" t="s">
        <v>228</v>
      </c>
      <c r="CO345" s="0" t="s">
        <v>228</v>
      </c>
      <c r="CP345" s="0" t="s">
        <v>228</v>
      </c>
      <c r="CQ345" s="0" t="s">
        <v>228</v>
      </c>
      <c r="CR345" s="0" t="s">
        <v>228</v>
      </c>
      <c r="CS345" s="0" t="s">
        <v>228</v>
      </c>
      <c r="CT345" s="0" t="s">
        <v>3568</v>
      </c>
      <c r="CU345" s="0" t="s">
        <v>3569</v>
      </c>
      <c r="CV345" s="0" t="s">
        <v>418</v>
      </c>
      <c r="CW345" s="0" t="s">
        <v>3602</v>
      </c>
      <c r="CX345" s="0" t="s">
        <v>3603</v>
      </c>
      <c r="CY345" s="0" t="s">
        <v>418</v>
      </c>
      <c r="CZ345" s="0" t="s">
        <v>504</v>
      </c>
      <c r="DA345" s="0" t="s">
        <v>3604</v>
      </c>
      <c r="DB345" s="0" t="s">
        <v>3602</v>
      </c>
      <c r="DC345" s="0" t="s">
        <v>362</v>
      </c>
      <c r="DD345" s="0" t="s">
        <v>3572</v>
      </c>
      <c r="DE345" s="0" t="s">
        <v>4256</v>
      </c>
    </row>
    <row customHeight="1" ht="11.25">
      <c r="A346" s="1353" t="s">
        <v>228</v>
      </c>
      <c r="B346" s="0" t="s">
        <v>228</v>
      </c>
      <c r="C346" s="0" t="s">
        <v>228</v>
      </c>
      <c r="D346" s="0" t="s">
        <v>228</v>
      </c>
      <c r="E346" s="0" t="s">
        <v>228</v>
      </c>
      <c r="F346" s="0" t="s">
        <v>228</v>
      </c>
      <c r="G346" s="0" t="s">
        <v>228</v>
      </c>
      <c r="H346" s="0" t="s">
        <v>228</v>
      </c>
      <c r="I346" s="0" t="s">
        <v>3555</v>
      </c>
      <c r="J346" s="0" t="s">
        <v>228</v>
      </c>
      <c r="K346" s="0" t="s">
        <v>228</v>
      </c>
      <c r="L346" s="0" t="s">
        <v>228</v>
      </c>
      <c r="M346" s="0" t="s">
        <v>228</v>
      </c>
      <c r="N346" s="0" t="s">
        <v>228</v>
      </c>
      <c r="O346" s="0" t="s">
        <v>228</v>
      </c>
      <c r="P346" s="0" t="s">
        <v>228</v>
      </c>
      <c r="Q346" s="0" t="s">
        <v>228</v>
      </c>
      <c r="R346" s="0" t="s">
        <v>4074</v>
      </c>
      <c r="S346" s="0" t="s">
        <v>228</v>
      </c>
      <c r="T346" s="0" t="s">
        <v>228</v>
      </c>
      <c r="U346" s="0" t="s">
        <v>101</v>
      </c>
      <c r="V346" s="0" t="s">
        <v>228</v>
      </c>
      <c r="W346" s="0" t="s">
        <v>228</v>
      </c>
      <c r="X346" s="0" t="s">
        <v>3661</v>
      </c>
      <c r="Y346" s="0" t="s">
        <v>228</v>
      </c>
      <c r="Z346" s="0" t="s">
        <v>151</v>
      </c>
      <c r="AA346" s="0" t="s">
        <v>151</v>
      </c>
      <c r="AB346" s="0" t="s">
        <v>160</v>
      </c>
      <c r="AC346" s="0" t="s">
        <v>2315</v>
      </c>
      <c r="AD346" s="0" t="s">
        <v>2315</v>
      </c>
      <c r="AE346" s="0" t="s">
        <v>2316</v>
      </c>
      <c r="AF346" s="0" t="s">
        <v>4062</v>
      </c>
      <c r="AG346" s="0" t="s">
        <v>4063</v>
      </c>
      <c r="AH346" s="0" t="s">
        <v>3651</v>
      </c>
      <c r="AI346" s="0" t="s">
        <v>3651</v>
      </c>
      <c r="AJ346" s="0" t="s">
        <v>228</v>
      </c>
      <c r="AK346" s="0" t="s">
        <v>228</v>
      </c>
      <c r="AL346" s="0" t="s">
        <v>228</v>
      </c>
      <c r="AM346" s="0" t="s">
        <v>228</v>
      </c>
      <c r="AN346" s="0" t="s">
        <v>228</v>
      </c>
      <c r="AO346" s="0" t="s">
        <v>228</v>
      </c>
      <c r="AP346" s="0" t="s">
        <v>228</v>
      </c>
      <c r="AQ346" s="0" t="s">
        <v>228</v>
      </c>
      <c r="AR346" s="0" t="s">
        <v>228</v>
      </c>
      <c r="AS346" s="0" t="s">
        <v>228</v>
      </c>
      <c r="AT346" s="0" t="s">
        <v>228</v>
      </c>
      <c r="AU346" s="0" t="s">
        <v>228</v>
      </c>
      <c r="AV346" s="0" t="s">
        <v>228</v>
      </c>
      <c r="AW346" s="0" t="s">
        <v>228</v>
      </c>
      <c r="AX346" s="0" t="s">
        <v>228</v>
      </c>
      <c r="AY346" s="0" t="s">
        <v>228</v>
      </c>
      <c r="AZ346" s="0" t="s">
        <v>228</v>
      </c>
      <c r="BA346" s="0" t="s">
        <v>228</v>
      </c>
      <c r="BB346" s="0" t="s">
        <v>228</v>
      </c>
      <c r="BC346" s="0" t="s">
        <v>228</v>
      </c>
      <c r="BD346" s="0" t="s">
        <v>228</v>
      </c>
      <c r="BE346" s="0" t="s">
        <v>4075</v>
      </c>
      <c r="BF346" s="0" t="s">
        <v>4069</v>
      </c>
      <c r="BG346" s="0" t="s">
        <v>111</v>
      </c>
      <c r="BH346" s="0" t="s">
        <v>3665</v>
      </c>
      <c r="BI346" s="0" t="s">
        <v>122</v>
      </c>
      <c r="BJ346" s="0" t="s">
        <v>228</v>
      </c>
      <c r="BK346" s="0" t="s">
        <v>3684</v>
      </c>
      <c r="BL346" s="0" t="s">
        <v>2315</v>
      </c>
      <c r="BM346" s="0" t="s">
        <v>2315</v>
      </c>
      <c r="BN346" s="0" t="s">
        <v>3875</v>
      </c>
      <c r="BO346" s="0" t="s">
        <v>4062</v>
      </c>
      <c r="BP346" s="0" t="s">
        <v>4076</v>
      </c>
      <c r="BQ346" s="0" t="s">
        <v>3651</v>
      </c>
      <c r="BR346" s="0" t="s">
        <v>3651</v>
      </c>
      <c r="BS346" s="0" t="s">
        <v>228</v>
      </c>
      <c r="BT346" s="0" t="s">
        <v>3727</v>
      </c>
      <c r="BU346" s="0" t="s">
        <v>4077</v>
      </c>
      <c r="BV346" s="0" t="s">
        <v>4077</v>
      </c>
      <c r="BW346" s="0" t="s">
        <v>3674</v>
      </c>
      <c r="BX346" s="0" t="s">
        <v>3674</v>
      </c>
      <c r="BY346" s="0" t="s">
        <v>3674</v>
      </c>
      <c r="BZ346" s="0" t="s">
        <v>3674</v>
      </c>
      <c r="CA346" s="0" t="s">
        <v>3674</v>
      </c>
      <c r="CB346" s="0" t="s">
        <v>228</v>
      </c>
      <c r="CC346" s="0" t="s">
        <v>228</v>
      </c>
      <c r="CD346" s="0" t="s">
        <v>228</v>
      </c>
      <c r="CE346" s="0" t="s">
        <v>228</v>
      </c>
      <c r="CF346" s="0" t="s">
        <v>228</v>
      </c>
      <c r="CG346" s="0" t="s">
        <v>3674</v>
      </c>
      <c r="CH346" s="0" t="s">
        <v>228</v>
      </c>
      <c r="CI346" s="0" t="s">
        <v>228</v>
      </c>
      <c r="CJ346" s="0" t="s">
        <v>228</v>
      </c>
      <c r="CK346" s="0" t="s">
        <v>228</v>
      </c>
      <c r="CL346" s="0" t="s">
        <v>228</v>
      </c>
      <c r="CM346" s="0" t="s">
        <v>4077</v>
      </c>
      <c r="CN346" s="0" t="s">
        <v>4077</v>
      </c>
      <c r="CO346" s="0" t="s">
        <v>228</v>
      </c>
      <c r="CP346" s="0" t="s">
        <v>228</v>
      </c>
      <c r="CQ346" s="0" t="s">
        <v>228</v>
      </c>
      <c r="CR346" s="0" t="s">
        <v>228</v>
      </c>
      <c r="CS346" s="0" t="s">
        <v>3628</v>
      </c>
      <c r="CT346" s="0" t="s">
        <v>3568</v>
      </c>
      <c r="CU346" s="0" t="s">
        <v>3569</v>
      </c>
      <c r="CV346" s="0" t="s">
        <v>418</v>
      </c>
      <c r="CW346" s="0" t="s">
        <v>3656</v>
      </c>
      <c r="CX346" s="0" t="s">
        <v>419</v>
      </c>
      <c r="CY346" s="0" t="s">
        <v>418</v>
      </c>
      <c r="CZ346" s="0" t="s">
        <v>3657</v>
      </c>
      <c r="DA346" s="0" t="s">
        <v>3658</v>
      </c>
      <c r="DB346" s="0" t="s">
        <v>3656</v>
      </c>
      <c r="DC346" s="0" t="s">
        <v>362</v>
      </c>
      <c r="DD346" s="0" t="s">
        <v>3572</v>
      </c>
      <c r="DE346" s="0" t="s">
        <v>4078</v>
      </c>
    </row>
    <row customHeight="1" ht="11.25">
      <c r="A347" s="1353" t="s">
        <v>228</v>
      </c>
      <c r="B347" s="0" t="s">
        <v>228</v>
      </c>
      <c r="C347" s="0" t="s">
        <v>228</v>
      </c>
      <c r="D347" s="0" t="s">
        <v>228</v>
      </c>
      <c r="E347" s="0" t="s">
        <v>228</v>
      </c>
      <c r="F347" s="0" t="s">
        <v>228</v>
      </c>
      <c r="G347" s="0" t="s">
        <v>228</v>
      </c>
      <c r="H347" s="0" t="s">
        <v>228</v>
      </c>
      <c r="I347" s="0" t="s">
        <v>3555</v>
      </c>
      <c r="J347" s="0" t="s">
        <v>228</v>
      </c>
      <c r="K347" s="0" t="s">
        <v>228</v>
      </c>
      <c r="L347" s="0" t="s">
        <v>228</v>
      </c>
      <c r="M347" s="0" t="s">
        <v>228</v>
      </c>
      <c r="N347" s="0" t="s">
        <v>228</v>
      </c>
      <c r="O347" s="0" t="s">
        <v>228</v>
      </c>
      <c r="P347" s="0" t="s">
        <v>228</v>
      </c>
      <c r="Q347" s="0" t="s">
        <v>228</v>
      </c>
      <c r="R347" s="0" t="s">
        <v>5056</v>
      </c>
      <c r="S347" s="0" t="s">
        <v>228</v>
      </c>
      <c r="T347" s="0" t="s">
        <v>228</v>
      </c>
      <c r="U347" s="0" t="s">
        <v>101</v>
      </c>
      <c r="V347" s="0" t="s">
        <v>228</v>
      </c>
      <c r="W347" s="0" t="s">
        <v>228</v>
      </c>
      <c r="X347" s="0" t="s">
        <v>3557</v>
      </c>
      <c r="Y347" s="0" t="s">
        <v>228</v>
      </c>
      <c r="Z347" s="0" t="s">
        <v>160</v>
      </c>
      <c r="AA347" s="0" t="s">
        <v>151</v>
      </c>
      <c r="AB347" s="0" t="s">
        <v>151</v>
      </c>
      <c r="AC347" s="0" t="s">
        <v>2715</v>
      </c>
      <c r="AD347" s="0" t="s">
        <v>2715</v>
      </c>
      <c r="AE347" s="0" t="s">
        <v>2716</v>
      </c>
      <c r="AF347" s="0" t="s">
        <v>3594</v>
      </c>
      <c r="AG347" s="0" t="s">
        <v>3595</v>
      </c>
      <c r="AH347" s="0" t="s">
        <v>3662</v>
      </c>
      <c r="AI347" s="0" t="s">
        <v>3608</v>
      </c>
      <c r="AJ347" s="0" t="s">
        <v>3663</v>
      </c>
      <c r="AK347" s="0" t="s">
        <v>3664</v>
      </c>
      <c r="AL347" s="0" t="s">
        <v>3646</v>
      </c>
      <c r="AM347" s="0" t="s">
        <v>3565</v>
      </c>
      <c r="AN347" s="0" t="s">
        <v>4072</v>
      </c>
      <c r="AO347" s="0" t="s">
        <v>4073</v>
      </c>
      <c r="AP347" s="0" t="s">
        <v>228</v>
      </c>
      <c r="AQ347" s="0" t="s">
        <v>228</v>
      </c>
      <c r="AR347" s="0" t="s">
        <v>228</v>
      </c>
      <c r="AS347" s="0" t="s">
        <v>228</v>
      </c>
      <c r="AT347" s="0" t="s">
        <v>228</v>
      </c>
      <c r="AU347" s="0" t="s">
        <v>228</v>
      </c>
      <c r="AV347" s="0" t="s">
        <v>228</v>
      </c>
      <c r="AW347" s="0" t="s">
        <v>228</v>
      </c>
      <c r="AX347" s="0" t="s">
        <v>228</v>
      </c>
      <c r="AY347" s="0" t="s">
        <v>228</v>
      </c>
      <c r="AZ347" s="0" t="s">
        <v>228</v>
      </c>
      <c r="BA347" s="0" t="s">
        <v>228</v>
      </c>
      <c r="BB347" s="0" t="s">
        <v>228</v>
      </c>
      <c r="BC347" s="0" t="s">
        <v>228</v>
      </c>
      <c r="BD347" s="0" t="s">
        <v>228</v>
      </c>
      <c r="BE347" s="0" t="s">
        <v>228</v>
      </c>
      <c r="BF347" s="0" t="s">
        <v>228</v>
      </c>
      <c r="BG347" s="0" t="s">
        <v>228</v>
      </c>
      <c r="BH347" s="0" t="s">
        <v>228</v>
      </c>
      <c r="BI347" s="0" t="s">
        <v>228</v>
      </c>
      <c r="BJ347" s="0" t="s">
        <v>228</v>
      </c>
      <c r="BK347" s="0" t="s">
        <v>228</v>
      </c>
      <c r="BL347" s="0" t="s">
        <v>228</v>
      </c>
      <c r="BM347" s="0" t="s">
        <v>228</v>
      </c>
      <c r="BN347" s="0" t="s">
        <v>228</v>
      </c>
      <c r="BO347" s="0" t="s">
        <v>228</v>
      </c>
      <c r="BP347" s="0" t="s">
        <v>228</v>
      </c>
      <c r="BQ347" s="0" t="s">
        <v>228</v>
      </c>
      <c r="BR347" s="0" t="s">
        <v>228</v>
      </c>
      <c r="BS347" s="0" t="s">
        <v>228</v>
      </c>
      <c r="BT347" s="0" t="s">
        <v>228</v>
      </c>
      <c r="BU347" s="0" t="s">
        <v>228</v>
      </c>
      <c r="BV347" s="0" t="s">
        <v>228</v>
      </c>
      <c r="BW347" s="0" t="s">
        <v>228</v>
      </c>
      <c r="BX347" s="0" t="s">
        <v>228</v>
      </c>
      <c r="BY347" s="0" t="s">
        <v>228</v>
      </c>
      <c r="BZ347" s="0" t="s">
        <v>228</v>
      </c>
      <c r="CA347" s="0" t="s">
        <v>228</v>
      </c>
      <c r="CB347" s="0" t="s">
        <v>228</v>
      </c>
      <c r="CC347" s="0" t="s">
        <v>228</v>
      </c>
      <c r="CD347" s="0" t="s">
        <v>228</v>
      </c>
      <c r="CE347" s="0" t="s">
        <v>228</v>
      </c>
      <c r="CF347" s="0" t="s">
        <v>228</v>
      </c>
      <c r="CG347" s="0" t="s">
        <v>228</v>
      </c>
      <c r="CH347" s="0" t="s">
        <v>228</v>
      </c>
      <c r="CI347" s="0" t="s">
        <v>228</v>
      </c>
      <c r="CJ347" s="0" t="s">
        <v>228</v>
      </c>
      <c r="CK347" s="0" t="s">
        <v>228</v>
      </c>
      <c r="CL347" s="0" t="s">
        <v>228</v>
      </c>
      <c r="CM347" s="0" t="s">
        <v>228</v>
      </c>
      <c r="CN347" s="0" t="s">
        <v>228</v>
      </c>
      <c r="CO347" s="0" t="s">
        <v>228</v>
      </c>
      <c r="CP347" s="0" t="s">
        <v>228</v>
      </c>
      <c r="CQ347" s="0" t="s">
        <v>228</v>
      </c>
      <c r="CR347" s="0" t="s">
        <v>228</v>
      </c>
      <c r="CS347" s="0" t="s">
        <v>228</v>
      </c>
      <c r="CT347" s="0" t="s">
        <v>3568</v>
      </c>
      <c r="CU347" s="0" t="s">
        <v>3569</v>
      </c>
      <c r="CV347" s="0" t="s">
        <v>418</v>
      </c>
      <c r="CW347" s="0" t="s">
        <v>3602</v>
      </c>
      <c r="CX347" s="0" t="s">
        <v>3603</v>
      </c>
      <c r="CY347" s="0" t="s">
        <v>418</v>
      </c>
      <c r="CZ347" s="0" t="s">
        <v>504</v>
      </c>
      <c r="DA347" s="0" t="s">
        <v>3604</v>
      </c>
      <c r="DB347" s="0" t="s">
        <v>3602</v>
      </c>
      <c r="DC347" s="0" t="s">
        <v>362</v>
      </c>
      <c r="DD347" s="0" t="s">
        <v>3572</v>
      </c>
      <c r="DE347" s="0" t="s">
        <v>3677</v>
      </c>
    </row>
    <row customHeight="1" ht="11.25">
      <c r="A348" s="1353" t="s">
        <v>228</v>
      </c>
      <c r="B348" s="0" t="s">
        <v>228</v>
      </c>
      <c r="C348" s="0" t="s">
        <v>228</v>
      </c>
      <c r="D348" s="0" t="s">
        <v>228</v>
      </c>
      <c r="E348" s="0" t="s">
        <v>228</v>
      </c>
      <c r="F348" s="0" t="s">
        <v>228</v>
      </c>
      <c r="G348" s="0" t="s">
        <v>228</v>
      </c>
      <c r="H348" s="0" t="s">
        <v>228</v>
      </c>
      <c r="I348" s="0" t="s">
        <v>3555</v>
      </c>
      <c r="J348" s="0" t="s">
        <v>228</v>
      </c>
      <c r="K348" s="0" t="s">
        <v>228</v>
      </c>
      <c r="L348" s="0" t="s">
        <v>228</v>
      </c>
      <c r="M348" s="0" t="s">
        <v>228</v>
      </c>
      <c r="N348" s="0" t="s">
        <v>228</v>
      </c>
      <c r="O348" s="0" t="s">
        <v>228</v>
      </c>
      <c r="P348" s="0" t="s">
        <v>228</v>
      </c>
      <c r="Q348" s="0" t="s">
        <v>228</v>
      </c>
      <c r="R348" s="0" t="s">
        <v>4082</v>
      </c>
      <c r="S348" s="0" t="s">
        <v>228</v>
      </c>
      <c r="T348" s="0" t="s">
        <v>228</v>
      </c>
      <c r="U348" s="0" t="s">
        <v>101</v>
      </c>
      <c r="V348" s="0" t="s">
        <v>228</v>
      </c>
      <c r="W348" s="0" t="s">
        <v>228</v>
      </c>
      <c r="X348" s="0" t="s">
        <v>3988</v>
      </c>
      <c r="Y348" s="0" t="s">
        <v>228</v>
      </c>
      <c r="Z348" s="0" t="s">
        <v>151</v>
      </c>
      <c r="AA348" s="0" t="s">
        <v>160</v>
      </c>
      <c r="AB348" s="0" t="s">
        <v>151</v>
      </c>
      <c r="AC348" s="0" t="s">
        <v>2715</v>
      </c>
      <c r="AD348" s="0" t="s">
        <v>2715</v>
      </c>
      <c r="AE348" s="0" t="s">
        <v>2716</v>
      </c>
      <c r="AF348" s="0" t="s">
        <v>3594</v>
      </c>
      <c r="AG348" s="0" t="s">
        <v>3595</v>
      </c>
      <c r="AH348" s="0" t="s">
        <v>4080</v>
      </c>
      <c r="AI348" s="0" t="s">
        <v>3608</v>
      </c>
      <c r="AJ348" s="0" t="s">
        <v>228</v>
      </c>
      <c r="AK348" s="0" t="s">
        <v>228</v>
      </c>
      <c r="AL348" s="0" t="s">
        <v>228</v>
      </c>
      <c r="AM348" s="0" t="s">
        <v>228</v>
      </c>
      <c r="AN348" s="0" t="s">
        <v>228</v>
      </c>
      <c r="AO348" s="0" t="s">
        <v>228</v>
      </c>
      <c r="AP348" s="0" t="s">
        <v>3984</v>
      </c>
      <c r="AQ348" s="0" t="s">
        <v>4081</v>
      </c>
      <c r="AR348" s="0" t="s">
        <v>111</v>
      </c>
      <c r="AS348" s="0" t="s">
        <v>3665</v>
      </c>
      <c r="AT348" s="0" t="s">
        <v>5054</v>
      </c>
      <c r="AU348" s="0" t="s">
        <v>228</v>
      </c>
      <c r="AV348" s="0" t="s">
        <v>4082</v>
      </c>
      <c r="AW348" s="0" t="s">
        <v>2715</v>
      </c>
      <c r="AX348" s="0" t="s">
        <v>2715</v>
      </c>
      <c r="AY348" s="0" t="s">
        <v>3667</v>
      </c>
      <c r="AZ348" s="0" t="s">
        <v>3594</v>
      </c>
      <c r="BA348" s="0" t="s">
        <v>3668</v>
      </c>
      <c r="BB348" s="0" t="s">
        <v>4080</v>
      </c>
      <c r="BC348" s="0" t="s">
        <v>3608</v>
      </c>
      <c r="BD348" s="0" t="s">
        <v>3674</v>
      </c>
      <c r="BE348" s="0" t="s">
        <v>228</v>
      </c>
      <c r="BF348" s="0" t="s">
        <v>228</v>
      </c>
      <c r="BG348" s="0" t="s">
        <v>228</v>
      </c>
      <c r="BH348" s="0" t="s">
        <v>228</v>
      </c>
      <c r="BI348" s="0" t="s">
        <v>228</v>
      </c>
      <c r="BJ348" s="0" t="s">
        <v>228</v>
      </c>
      <c r="BK348" s="0" t="s">
        <v>228</v>
      </c>
      <c r="BL348" s="0" t="s">
        <v>228</v>
      </c>
      <c r="BM348" s="0" t="s">
        <v>228</v>
      </c>
      <c r="BN348" s="0" t="s">
        <v>228</v>
      </c>
      <c r="BO348" s="0" t="s">
        <v>228</v>
      </c>
      <c r="BP348" s="0" t="s">
        <v>228</v>
      </c>
      <c r="BQ348" s="0" t="s">
        <v>228</v>
      </c>
      <c r="BR348" s="0" t="s">
        <v>228</v>
      </c>
      <c r="BS348" s="0" t="s">
        <v>228</v>
      </c>
      <c r="BT348" s="0" t="s">
        <v>228</v>
      </c>
      <c r="BU348" s="0" t="s">
        <v>228</v>
      </c>
      <c r="BV348" s="0" t="s">
        <v>228</v>
      </c>
      <c r="BW348" s="0" t="s">
        <v>228</v>
      </c>
      <c r="BX348" s="0" t="s">
        <v>228</v>
      </c>
      <c r="BY348" s="0" t="s">
        <v>228</v>
      </c>
      <c r="BZ348" s="0" t="s">
        <v>228</v>
      </c>
      <c r="CA348" s="0" t="s">
        <v>228</v>
      </c>
      <c r="CB348" s="0" t="s">
        <v>228</v>
      </c>
      <c r="CC348" s="0" t="s">
        <v>228</v>
      </c>
      <c r="CD348" s="0" t="s">
        <v>228</v>
      </c>
      <c r="CE348" s="0" t="s">
        <v>228</v>
      </c>
      <c r="CF348" s="0" t="s">
        <v>228</v>
      </c>
      <c r="CG348" s="0" t="s">
        <v>228</v>
      </c>
      <c r="CH348" s="0" t="s">
        <v>228</v>
      </c>
      <c r="CI348" s="0" t="s">
        <v>228</v>
      </c>
      <c r="CJ348" s="0" t="s">
        <v>228</v>
      </c>
      <c r="CK348" s="0" t="s">
        <v>228</v>
      </c>
      <c r="CL348" s="0" t="s">
        <v>228</v>
      </c>
      <c r="CM348" s="0" t="s">
        <v>228</v>
      </c>
      <c r="CN348" s="0" t="s">
        <v>228</v>
      </c>
      <c r="CO348" s="0" t="s">
        <v>228</v>
      </c>
      <c r="CP348" s="0" t="s">
        <v>228</v>
      </c>
      <c r="CQ348" s="0" t="s">
        <v>228</v>
      </c>
      <c r="CR348" s="0" t="s">
        <v>228</v>
      </c>
      <c r="CS348" s="0" t="s">
        <v>228</v>
      </c>
      <c r="CT348" s="0" t="s">
        <v>3568</v>
      </c>
      <c r="CU348" s="0" t="s">
        <v>3569</v>
      </c>
      <c r="CV348" s="0" t="s">
        <v>418</v>
      </c>
      <c r="CW348" s="0" t="s">
        <v>3602</v>
      </c>
      <c r="CX348" s="0" t="s">
        <v>3603</v>
      </c>
      <c r="CY348" s="0" t="s">
        <v>418</v>
      </c>
      <c r="CZ348" s="0" t="s">
        <v>504</v>
      </c>
      <c r="DA348" s="0" t="s">
        <v>3604</v>
      </c>
      <c r="DB348" s="0" t="s">
        <v>3602</v>
      </c>
      <c r="DC348" s="0" t="s">
        <v>362</v>
      </c>
      <c r="DD348" s="0" t="s">
        <v>3572</v>
      </c>
      <c r="DE348" s="0" t="s">
        <v>4083</v>
      </c>
    </row>
    <row customHeight="1" ht="11.25">
      <c r="A349" s="1353" t="s">
        <v>228</v>
      </c>
      <c r="B349" s="0" t="s">
        <v>228</v>
      </c>
      <c r="C349" s="0" t="s">
        <v>228</v>
      </c>
      <c r="D349" s="0" t="s">
        <v>228</v>
      </c>
      <c r="E349" s="0" t="s">
        <v>228</v>
      </c>
      <c r="F349" s="0" t="s">
        <v>228</v>
      </c>
      <c r="G349" s="0" t="s">
        <v>228</v>
      </c>
      <c r="H349" s="0" t="s">
        <v>228</v>
      </c>
      <c r="I349" s="0" t="s">
        <v>3555</v>
      </c>
      <c r="J349" s="0" t="s">
        <v>228</v>
      </c>
      <c r="K349" s="0" t="s">
        <v>228</v>
      </c>
      <c r="L349" s="0" t="s">
        <v>228</v>
      </c>
      <c r="M349" s="0" t="s">
        <v>228</v>
      </c>
      <c r="N349" s="0" t="s">
        <v>228</v>
      </c>
      <c r="O349" s="0" t="s">
        <v>228</v>
      </c>
      <c r="P349" s="0" t="s">
        <v>228</v>
      </c>
      <c r="Q349" s="0" t="s">
        <v>228</v>
      </c>
      <c r="R349" s="0" t="s">
        <v>5057</v>
      </c>
      <c r="S349" s="0" t="s">
        <v>228</v>
      </c>
      <c r="T349" s="0" t="s">
        <v>228</v>
      </c>
      <c r="U349" s="0" t="s">
        <v>101</v>
      </c>
      <c r="V349" s="0" t="s">
        <v>228</v>
      </c>
      <c r="W349" s="0" t="s">
        <v>228</v>
      </c>
      <c r="X349" s="0" t="s">
        <v>3557</v>
      </c>
      <c r="Y349" s="0" t="s">
        <v>228</v>
      </c>
      <c r="Z349" s="0" t="s">
        <v>160</v>
      </c>
      <c r="AA349" s="0" t="s">
        <v>151</v>
      </c>
      <c r="AB349" s="0" t="s">
        <v>151</v>
      </c>
      <c r="AC349" s="0" t="s">
        <v>2715</v>
      </c>
      <c r="AD349" s="0" t="s">
        <v>2715</v>
      </c>
      <c r="AE349" s="0" t="s">
        <v>2716</v>
      </c>
      <c r="AF349" s="0" t="s">
        <v>3594</v>
      </c>
      <c r="AG349" s="0" t="s">
        <v>3595</v>
      </c>
      <c r="AH349" s="0" t="s">
        <v>4908</v>
      </c>
      <c r="AI349" s="0" t="s">
        <v>3608</v>
      </c>
      <c r="AJ349" s="0" t="s">
        <v>4909</v>
      </c>
      <c r="AK349" s="0" t="s">
        <v>4460</v>
      </c>
      <c r="AL349" s="0" t="s">
        <v>3681</v>
      </c>
      <c r="AM349" s="0" t="s">
        <v>3565</v>
      </c>
      <c r="AN349" s="0" t="s">
        <v>4910</v>
      </c>
      <c r="AO349" s="0" t="s">
        <v>4073</v>
      </c>
      <c r="AP349" s="0" t="s">
        <v>228</v>
      </c>
      <c r="AQ349" s="0" t="s">
        <v>228</v>
      </c>
      <c r="AR349" s="0" t="s">
        <v>228</v>
      </c>
      <c r="AS349" s="0" t="s">
        <v>228</v>
      </c>
      <c r="AT349" s="0" t="s">
        <v>228</v>
      </c>
      <c r="AU349" s="0" t="s">
        <v>228</v>
      </c>
      <c r="AV349" s="0" t="s">
        <v>228</v>
      </c>
      <c r="AW349" s="0" t="s">
        <v>228</v>
      </c>
      <c r="AX349" s="0" t="s">
        <v>228</v>
      </c>
      <c r="AY349" s="0" t="s">
        <v>228</v>
      </c>
      <c r="AZ349" s="0" t="s">
        <v>228</v>
      </c>
      <c r="BA349" s="0" t="s">
        <v>228</v>
      </c>
      <c r="BB349" s="0" t="s">
        <v>228</v>
      </c>
      <c r="BC349" s="0" t="s">
        <v>228</v>
      </c>
      <c r="BD349" s="0" t="s">
        <v>228</v>
      </c>
      <c r="BE349" s="0" t="s">
        <v>228</v>
      </c>
      <c r="BF349" s="0" t="s">
        <v>228</v>
      </c>
      <c r="BG349" s="0" t="s">
        <v>228</v>
      </c>
      <c r="BH349" s="0" t="s">
        <v>228</v>
      </c>
      <c r="BI349" s="0" t="s">
        <v>228</v>
      </c>
      <c r="BJ349" s="0" t="s">
        <v>228</v>
      </c>
      <c r="BK349" s="0" t="s">
        <v>228</v>
      </c>
      <c r="BL349" s="0" t="s">
        <v>228</v>
      </c>
      <c r="BM349" s="0" t="s">
        <v>228</v>
      </c>
      <c r="BN349" s="0" t="s">
        <v>228</v>
      </c>
      <c r="BO349" s="0" t="s">
        <v>228</v>
      </c>
      <c r="BP349" s="0" t="s">
        <v>228</v>
      </c>
      <c r="BQ349" s="0" t="s">
        <v>228</v>
      </c>
      <c r="BR349" s="0" t="s">
        <v>228</v>
      </c>
      <c r="BS349" s="0" t="s">
        <v>228</v>
      </c>
      <c r="BT349" s="0" t="s">
        <v>228</v>
      </c>
      <c r="BU349" s="0" t="s">
        <v>228</v>
      </c>
      <c r="BV349" s="0" t="s">
        <v>228</v>
      </c>
      <c r="BW349" s="0" t="s">
        <v>228</v>
      </c>
      <c r="BX349" s="0" t="s">
        <v>228</v>
      </c>
      <c r="BY349" s="0" t="s">
        <v>228</v>
      </c>
      <c r="BZ349" s="0" t="s">
        <v>228</v>
      </c>
      <c r="CA349" s="0" t="s">
        <v>228</v>
      </c>
      <c r="CB349" s="0" t="s">
        <v>228</v>
      </c>
      <c r="CC349" s="0" t="s">
        <v>228</v>
      </c>
      <c r="CD349" s="0" t="s">
        <v>228</v>
      </c>
      <c r="CE349" s="0" t="s">
        <v>228</v>
      </c>
      <c r="CF349" s="0" t="s">
        <v>228</v>
      </c>
      <c r="CG349" s="0" t="s">
        <v>228</v>
      </c>
      <c r="CH349" s="0" t="s">
        <v>228</v>
      </c>
      <c r="CI349" s="0" t="s">
        <v>228</v>
      </c>
      <c r="CJ349" s="0" t="s">
        <v>228</v>
      </c>
      <c r="CK349" s="0" t="s">
        <v>228</v>
      </c>
      <c r="CL349" s="0" t="s">
        <v>228</v>
      </c>
      <c r="CM349" s="0" t="s">
        <v>228</v>
      </c>
      <c r="CN349" s="0" t="s">
        <v>228</v>
      </c>
      <c r="CO349" s="0" t="s">
        <v>228</v>
      </c>
      <c r="CP349" s="0" t="s">
        <v>228</v>
      </c>
      <c r="CQ349" s="0" t="s">
        <v>228</v>
      </c>
      <c r="CR349" s="0" t="s">
        <v>228</v>
      </c>
      <c r="CS349" s="0" t="s">
        <v>228</v>
      </c>
      <c r="CT349" s="0" t="s">
        <v>3568</v>
      </c>
      <c r="CU349" s="0" t="s">
        <v>3569</v>
      </c>
      <c r="CV349" s="0" t="s">
        <v>418</v>
      </c>
      <c r="CW349" s="0" t="s">
        <v>3602</v>
      </c>
      <c r="CX349" s="0" t="s">
        <v>3603</v>
      </c>
      <c r="CY349" s="0" t="s">
        <v>418</v>
      </c>
      <c r="CZ349" s="0" t="s">
        <v>504</v>
      </c>
      <c r="DA349" s="0" t="s">
        <v>3604</v>
      </c>
      <c r="DB349" s="0" t="s">
        <v>3602</v>
      </c>
      <c r="DC349" s="0" t="s">
        <v>362</v>
      </c>
      <c r="DD349" s="0" t="s">
        <v>3572</v>
      </c>
      <c r="DE349" s="0" t="s">
        <v>4911</v>
      </c>
    </row>
    <row customHeight="1" ht="11.25">
      <c r="A350" s="1353" t="s">
        <v>228</v>
      </c>
      <c r="B350" s="0" t="s">
        <v>228</v>
      </c>
      <c r="C350" s="0" t="s">
        <v>228</v>
      </c>
      <c r="D350" s="0" t="s">
        <v>228</v>
      </c>
      <c r="E350" s="0" t="s">
        <v>228</v>
      </c>
      <c r="F350" s="0" t="s">
        <v>228</v>
      </c>
      <c r="G350" s="0" t="s">
        <v>228</v>
      </c>
      <c r="H350" s="0" t="s">
        <v>228</v>
      </c>
      <c r="I350" s="0" t="s">
        <v>3555</v>
      </c>
      <c r="J350" s="0" t="s">
        <v>228</v>
      </c>
      <c r="K350" s="0" t="s">
        <v>228</v>
      </c>
      <c r="L350" s="0" t="s">
        <v>228</v>
      </c>
      <c r="M350" s="0" t="s">
        <v>228</v>
      </c>
      <c r="N350" s="0" t="s">
        <v>228</v>
      </c>
      <c r="O350" s="0" t="s">
        <v>228</v>
      </c>
      <c r="P350" s="0" t="s">
        <v>228</v>
      </c>
      <c r="Q350" s="0" t="s">
        <v>228</v>
      </c>
      <c r="R350" s="0" t="s">
        <v>3648</v>
      </c>
      <c r="S350" s="0" t="s">
        <v>228</v>
      </c>
      <c r="T350" s="0" t="s">
        <v>228</v>
      </c>
      <c r="U350" s="0" t="s">
        <v>101</v>
      </c>
      <c r="V350" s="0" t="s">
        <v>228</v>
      </c>
      <c r="W350" s="0" t="s">
        <v>228</v>
      </c>
      <c r="X350" s="0" t="s">
        <v>3557</v>
      </c>
      <c r="Y350" s="0" t="s">
        <v>228</v>
      </c>
      <c r="Z350" s="0" t="s">
        <v>160</v>
      </c>
      <c r="AA350" s="0" t="s">
        <v>151</v>
      </c>
      <c r="AB350" s="0" t="s">
        <v>151</v>
      </c>
      <c r="AC350" s="0" t="s">
        <v>2315</v>
      </c>
      <c r="AD350" s="0" t="s">
        <v>2315</v>
      </c>
      <c r="AE350" s="0" t="s">
        <v>2316</v>
      </c>
      <c r="AF350" s="0" t="s">
        <v>4324</v>
      </c>
      <c r="AG350" s="0" t="s">
        <v>4325</v>
      </c>
      <c r="AH350" s="0" t="s">
        <v>4326</v>
      </c>
      <c r="AI350" s="0" t="s">
        <v>3651</v>
      </c>
      <c r="AJ350" s="0" t="s">
        <v>3652</v>
      </c>
      <c r="AK350" s="0" t="s">
        <v>4218</v>
      </c>
      <c r="AL350" s="0" t="s">
        <v>3581</v>
      </c>
      <c r="AM350" s="0" t="s">
        <v>3565</v>
      </c>
      <c r="AN350" s="0" t="s">
        <v>3654</v>
      </c>
      <c r="AO350" s="0" t="s">
        <v>3854</v>
      </c>
      <c r="AP350" s="0" t="s">
        <v>228</v>
      </c>
      <c r="AQ350" s="0" t="s">
        <v>228</v>
      </c>
      <c r="AR350" s="0" t="s">
        <v>228</v>
      </c>
      <c r="AS350" s="0" t="s">
        <v>228</v>
      </c>
      <c r="AT350" s="0" t="s">
        <v>228</v>
      </c>
      <c r="AU350" s="0" t="s">
        <v>228</v>
      </c>
      <c r="AV350" s="0" t="s">
        <v>228</v>
      </c>
      <c r="AW350" s="0" t="s">
        <v>228</v>
      </c>
      <c r="AX350" s="0" t="s">
        <v>228</v>
      </c>
      <c r="AY350" s="0" t="s">
        <v>228</v>
      </c>
      <c r="AZ350" s="0" t="s">
        <v>228</v>
      </c>
      <c r="BA350" s="0" t="s">
        <v>228</v>
      </c>
      <c r="BB350" s="0" t="s">
        <v>228</v>
      </c>
      <c r="BC350" s="0" t="s">
        <v>228</v>
      </c>
      <c r="BD350" s="0" t="s">
        <v>228</v>
      </c>
      <c r="BE350" s="0" t="s">
        <v>228</v>
      </c>
      <c r="BF350" s="0" t="s">
        <v>228</v>
      </c>
      <c r="BG350" s="0" t="s">
        <v>228</v>
      </c>
      <c r="BH350" s="0" t="s">
        <v>228</v>
      </c>
      <c r="BI350" s="0" t="s">
        <v>228</v>
      </c>
      <c r="BJ350" s="0" t="s">
        <v>228</v>
      </c>
      <c r="BK350" s="0" t="s">
        <v>228</v>
      </c>
      <c r="BL350" s="0" t="s">
        <v>228</v>
      </c>
      <c r="BM350" s="0" t="s">
        <v>228</v>
      </c>
      <c r="BN350" s="0" t="s">
        <v>228</v>
      </c>
      <c r="BO350" s="0" t="s">
        <v>228</v>
      </c>
      <c r="BP350" s="0" t="s">
        <v>228</v>
      </c>
      <c r="BQ350" s="0" t="s">
        <v>228</v>
      </c>
      <c r="BR350" s="0" t="s">
        <v>228</v>
      </c>
      <c r="BS350" s="0" t="s">
        <v>228</v>
      </c>
      <c r="BT350" s="0" t="s">
        <v>228</v>
      </c>
      <c r="BU350" s="0" t="s">
        <v>228</v>
      </c>
      <c r="BV350" s="0" t="s">
        <v>228</v>
      </c>
      <c r="BW350" s="0" t="s">
        <v>228</v>
      </c>
      <c r="BX350" s="0" t="s">
        <v>228</v>
      </c>
      <c r="BY350" s="0" t="s">
        <v>228</v>
      </c>
      <c r="BZ350" s="0" t="s">
        <v>228</v>
      </c>
      <c r="CA350" s="0" t="s">
        <v>228</v>
      </c>
      <c r="CB350" s="0" t="s">
        <v>228</v>
      </c>
      <c r="CC350" s="0" t="s">
        <v>228</v>
      </c>
      <c r="CD350" s="0" t="s">
        <v>228</v>
      </c>
      <c r="CE350" s="0" t="s">
        <v>228</v>
      </c>
      <c r="CF350" s="0" t="s">
        <v>228</v>
      </c>
      <c r="CG350" s="0" t="s">
        <v>228</v>
      </c>
      <c r="CH350" s="0" t="s">
        <v>228</v>
      </c>
      <c r="CI350" s="0" t="s">
        <v>228</v>
      </c>
      <c r="CJ350" s="0" t="s">
        <v>228</v>
      </c>
      <c r="CK350" s="0" t="s">
        <v>228</v>
      </c>
      <c r="CL350" s="0" t="s">
        <v>228</v>
      </c>
      <c r="CM350" s="0" t="s">
        <v>228</v>
      </c>
      <c r="CN350" s="0" t="s">
        <v>228</v>
      </c>
      <c r="CO350" s="0" t="s">
        <v>228</v>
      </c>
      <c r="CP350" s="0" t="s">
        <v>228</v>
      </c>
      <c r="CQ350" s="0" t="s">
        <v>228</v>
      </c>
      <c r="CR350" s="0" t="s">
        <v>228</v>
      </c>
      <c r="CS350" s="0" t="s">
        <v>228</v>
      </c>
      <c r="CT350" s="0" t="s">
        <v>3568</v>
      </c>
      <c r="CU350" s="0" t="s">
        <v>3569</v>
      </c>
      <c r="CV350" s="0" t="s">
        <v>418</v>
      </c>
      <c r="CW350" s="0" t="s">
        <v>3656</v>
      </c>
      <c r="CX350" s="0" t="s">
        <v>419</v>
      </c>
      <c r="CY350" s="0" t="s">
        <v>418</v>
      </c>
      <c r="CZ350" s="0" t="s">
        <v>3657</v>
      </c>
      <c r="DA350" s="0" t="s">
        <v>3658</v>
      </c>
      <c r="DB350" s="0" t="s">
        <v>3656</v>
      </c>
      <c r="DC350" s="0" t="s">
        <v>362</v>
      </c>
      <c r="DD350" s="0" t="s">
        <v>3572</v>
      </c>
      <c r="DE350" s="0" t="s">
        <v>4327</v>
      </c>
    </row>
    <row customHeight="1" ht="11.25">
      <c r="A351" s="1353" t="s">
        <v>228</v>
      </c>
      <c r="B351" s="0" t="s">
        <v>228</v>
      </c>
      <c r="C351" s="0" t="s">
        <v>228</v>
      </c>
      <c r="D351" s="0" t="s">
        <v>228</v>
      </c>
      <c r="E351" s="0" t="s">
        <v>228</v>
      </c>
      <c r="F351" s="0" t="s">
        <v>228</v>
      </c>
      <c r="G351" s="0" t="s">
        <v>228</v>
      </c>
      <c r="H351" s="0" t="s">
        <v>228</v>
      </c>
      <c r="I351" s="0" t="s">
        <v>3555</v>
      </c>
      <c r="J351" s="0" t="s">
        <v>228</v>
      </c>
      <c r="K351" s="0" t="s">
        <v>228</v>
      </c>
      <c r="L351" s="0" t="s">
        <v>228</v>
      </c>
      <c r="M351" s="0" t="s">
        <v>228</v>
      </c>
      <c r="N351" s="0" t="s">
        <v>228</v>
      </c>
      <c r="O351" s="0" t="s">
        <v>228</v>
      </c>
      <c r="P351" s="0" t="s">
        <v>228</v>
      </c>
      <c r="Q351" s="0" t="s">
        <v>228</v>
      </c>
      <c r="R351" s="0" t="s">
        <v>4328</v>
      </c>
      <c r="S351" s="0" t="s">
        <v>228</v>
      </c>
      <c r="T351" s="0" t="s">
        <v>228</v>
      </c>
      <c r="U351" s="0" t="s">
        <v>101</v>
      </c>
      <c r="V351" s="0" t="s">
        <v>228</v>
      </c>
      <c r="W351" s="0" t="s">
        <v>228</v>
      </c>
      <c r="X351" s="0" t="s">
        <v>3661</v>
      </c>
      <c r="Y351" s="0" t="s">
        <v>228</v>
      </c>
      <c r="Z351" s="0" t="s">
        <v>151</v>
      </c>
      <c r="AA351" s="0" t="s">
        <v>151</v>
      </c>
      <c r="AB351" s="0" t="s">
        <v>160</v>
      </c>
      <c r="AC351" s="0" t="s">
        <v>2315</v>
      </c>
      <c r="AD351" s="0" t="s">
        <v>2315</v>
      </c>
      <c r="AE351" s="0" t="s">
        <v>2316</v>
      </c>
      <c r="AF351" s="0" t="s">
        <v>4324</v>
      </c>
      <c r="AG351" s="0" t="s">
        <v>4325</v>
      </c>
      <c r="AH351" s="0" t="s">
        <v>3651</v>
      </c>
      <c r="AI351" s="0" t="s">
        <v>3651</v>
      </c>
      <c r="AJ351" s="0" t="s">
        <v>228</v>
      </c>
      <c r="AK351" s="0" t="s">
        <v>228</v>
      </c>
      <c r="AL351" s="0" t="s">
        <v>228</v>
      </c>
      <c r="AM351" s="0" t="s">
        <v>228</v>
      </c>
      <c r="AN351" s="0" t="s">
        <v>228</v>
      </c>
      <c r="AO351" s="0" t="s">
        <v>228</v>
      </c>
      <c r="AP351" s="0" t="s">
        <v>228</v>
      </c>
      <c r="AQ351" s="0" t="s">
        <v>228</v>
      </c>
      <c r="AR351" s="0" t="s">
        <v>228</v>
      </c>
      <c r="AS351" s="0" t="s">
        <v>228</v>
      </c>
      <c r="AT351" s="0" t="s">
        <v>228</v>
      </c>
      <c r="AU351" s="0" t="s">
        <v>228</v>
      </c>
      <c r="AV351" s="0" t="s">
        <v>228</v>
      </c>
      <c r="AW351" s="0" t="s">
        <v>228</v>
      </c>
      <c r="AX351" s="0" t="s">
        <v>228</v>
      </c>
      <c r="AY351" s="0" t="s">
        <v>228</v>
      </c>
      <c r="AZ351" s="0" t="s">
        <v>228</v>
      </c>
      <c r="BA351" s="0" t="s">
        <v>228</v>
      </c>
      <c r="BB351" s="0" t="s">
        <v>228</v>
      </c>
      <c r="BC351" s="0" t="s">
        <v>228</v>
      </c>
      <c r="BD351" s="0" t="s">
        <v>228</v>
      </c>
      <c r="BE351" s="0" t="s">
        <v>3652</v>
      </c>
      <c r="BF351" s="0" t="s">
        <v>4218</v>
      </c>
      <c r="BG351" s="0" t="s">
        <v>111</v>
      </c>
      <c r="BH351" s="0" t="s">
        <v>3665</v>
      </c>
      <c r="BI351" s="0" t="s">
        <v>122</v>
      </c>
      <c r="BJ351" s="0" t="s">
        <v>228</v>
      </c>
      <c r="BK351" s="0" t="s">
        <v>3684</v>
      </c>
      <c r="BL351" s="0" t="s">
        <v>2315</v>
      </c>
      <c r="BM351" s="0" t="s">
        <v>2315</v>
      </c>
      <c r="BN351" s="0" t="s">
        <v>3875</v>
      </c>
      <c r="BO351" s="0" t="s">
        <v>4324</v>
      </c>
      <c r="BP351" s="0" t="s">
        <v>4329</v>
      </c>
      <c r="BQ351" s="0" t="s">
        <v>3651</v>
      </c>
      <c r="BR351" s="0" t="s">
        <v>3651</v>
      </c>
      <c r="BS351" s="0" t="s">
        <v>228</v>
      </c>
      <c r="BT351" s="0" t="s">
        <v>3727</v>
      </c>
      <c r="BU351" s="0" t="s">
        <v>4330</v>
      </c>
      <c r="BV351" s="0" t="s">
        <v>4330</v>
      </c>
      <c r="BW351" s="0" t="s">
        <v>3674</v>
      </c>
      <c r="BX351" s="0" t="s">
        <v>3674</v>
      </c>
      <c r="BY351" s="0" t="s">
        <v>3674</v>
      </c>
      <c r="BZ351" s="0" t="s">
        <v>3674</v>
      </c>
      <c r="CA351" s="0" t="s">
        <v>3674</v>
      </c>
      <c r="CB351" s="0" t="s">
        <v>228</v>
      </c>
      <c r="CC351" s="0" t="s">
        <v>228</v>
      </c>
      <c r="CD351" s="0" t="s">
        <v>228</v>
      </c>
      <c r="CE351" s="0" t="s">
        <v>228</v>
      </c>
      <c r="CF351" s="0" t="s">
        <v>228</v>
      </c>
      <c r="CG351" s="0" t="s">
        <v>3674</v>
      </c>
      <c r="CH351" s="0" t="s">
        <v>228</v>
      </c>
      <c r="CI351" s="0" t="s">
        <v>228</v>
      </c>
      <c r="CJ351" s="0" t="s">
        <v>228</v>
      </c>
      <c r="CK351" s="0" t="s">
        <v>228</v>
      </c>
      <c r="CL351" s="0" t="s">
        <v>228</v>
      </c>
      <c r="CM351" s="0" t="s">
        <v>4330</v>
      </c>
      <c r="CN351" s="0" t="s">
        <v>4330</v>
      </c>
      <c r="CO351" s="0" t="s">
        <v>228</v>
      </c>
      <c r="CP351" s="0" t="s">
        <v>228</v>
      </c>
      <c r="CQ351" s="0" t="s">
        <v>228</v>
      </c>
      <c r="CR351" s="0" t="s">
        <v>228</v>
      </c>
      <c r="CS351" s="0" t="s">
        <v>3563</v>
      </c>
      <c r="CT351" s="0" t="s">
        <v>3568</v>
      </c>
      <c r="CU351" s="0" t="s">
        <v>3569</v>
      </c>
      <c r="CV351" s="0" t="s">
        <v>418</v>
      </c>
      <c r="CW351" s="0" t="s">
        <v>3656</v>
      </c>
      <c r="CX351" s="0" t="s">
        <v>419</v>
      </c>
      <c r="CY351" s="0" t="s">
        <v>418</v>
      </c>
      <c r="CZ351" s="0" t="s">
        <v>3657</v>
      </c>
      <c r="DA351" s="0" t="s">
        <v>3658</v>
      </c>
      <c r="DB351" s="0" t="s">
        <v>3656</v>
      </c>
      <c r="DC351" s="0" t="s">
        <v>362</v>
      </c>
      <c r="DD351" s="0" t="s">
        <v>3572</v>
      </c>
      <c r="DE351" s="0" t="s">
        <v>4331</v>
      </c>
    </row>
    <row customHeight="1" ht="11.25">
      <c r="A352" s="1353" t="s">
        <v>228</v>
      </c>
      <c r="B352" s="0" t="s">
        <v>228</v>
      </c>
      <c r="C352" s="0" t="s">
        <v>228</v>
      </c>
      <c r="D352" s="0" t="s">
        <v>228</v>
      </c>
      <c r="E352" s="0" t="s">
        <v>228</v>
      </c>
      <c r="F352" s="0" t="s">
        <v>228</v>
      </c>
      <c r="G352" s="0" t="s">
        <v>228</v>
      </c>
      <c r="H352" s="0" t="s">
        <v>228</v>
      </c>
      <c r="I352" s="0" t="s">
        <v>3555</v>
      </c>
      <c r="J352" s="0" t="s">
        <v>228</v>
      </c>
      <c r="K352" s="0" t="s">
        <v>228</v>
      </c>
      <c r="L352" s="0" t="s">
        <v>228</v>
      </c>
      <c r="M352" s="0" t="s">
        <v>228</v>
      </c>
      <c r="N352" s="0" t="s">
        <v>228</v>
      </c>
      <c r="O352" s="0" t="s">
        <v>228</v>
      </c>
      <c r="P352" s="0" t="s">
        <v>228</v>
      </c>
      <c r="Q352" s="0" t="s">
        <v>228</v>
      </c>
      <c r="R352" s="0" t="s">
        <v>4592</v>
      </c>
      <c r="S352" s="0" t="s">
        <v>228</v>
      </c>
      <c r="T352" s="0" t="s">
        <v>228</v>
      </c>
      <c r="U352" s="0" t="s">
        <v>101</v>
      </c>
      <c r="V352" s="0" t="s">
        <v>228</v>
      </c>
      <c r="W352" s="0" t="s">
        <v>228</v>
      </c>
      <c r="X352" s="0" t="s">
        <v>3661</v>
      </c>
      <c r="Y352" s="0" t="s">
        <v>228</v>
      </c>
      <c r="Z352" s="0" t="s">
        <v>151</v>
      </c>
      <c r="AA352" s="0" t="s">
        <v>151</v>
      </c>
      <c r="AB352" s="0" t="s">
        <v>160</v>
      </c>
      <c r="AC352" s="0" t="s">
        <v>2315</v>
      </c>
      <c r="AD352" s="0" t="s">
        <v>2315</v>
      </c>
      <c r="AE352" s="0" t="s">
        <v>2316</v>
      </c>
      <c r="AF352" s="0" t="s">
        <v>4332</v>
      </c>
      <c r="AG352" s="0" t="s">
        <v>4333</v>
      </c>
      <c r="AH352" s="0" t="s">
        <v>3651</v>
      </c>
      <c r="AI352" s="0" t="s">
        <v>3651</v>
      </c>
      <c r="AJ352" s="0" t="s">
        <v>228</v>
      </c>
      <c r="AK352" s="0" t="s">
        <v>228</v>
      </c>
      <c r="AL352" s="0" t="s">
        <v>228</v>
      </c>
      <c r="AM352" s="0" t="s">
        <v>228</v>
      </c>
      <c r="AN352" s="0" t="s">
        <v>228</v>
      </c>
      <c r="AO352" s="0" t="s">
        <v>228</v>
      </c>
      <c r="AP352" s="0" t="s">
        <v>228</v>
      </c>
      <c r="AQ352" s="0" t="s">
        <v>228</v>
      </c>
      <c r="AR352" s="0" t="s">
        <v>228</v>
      </c>
      <c r="AS352" s="0" t="s">
        <v>228</v>
      </c>
      <c r="AT352" s="0" t="s">
        <v>228</v>
      </c>
      <c r="AU352" s="0" t="s">
        <v>228</v>
      </c>
      <c r="AV352" s="0" t="s">
        <v>228</v>
      </c>
      <c r="AW352" s="0" t="s">
        <v>228</v>
      </c>
      <c r="AX352" s="0" t="s">
        <v>228</v>
      </c>
      <c r="AY352" s="0" t="s">
        <v>228</v>
      </c>
      <c r="AZ352" s="0" t="s">
        <v>228</v>
      </c>
      <c r="BA352" s="0" t="s">
        <v>228</v>
      </c>
      <c r="BB352" s="0" t="s">
        <v>228</v>
      </c>
      <c r="BC352" s="0" t="s">
        <v>228</v>
      </c>
      <c r="BD352" s="0" t="s">
        <v>228</v>
      </c>
      <c r="BE352" s="0" t="s">
        <v>4075</v>
      </c>
      <c r="BF352" s="0" t="s">
        <v>3874</v>
      </c>
      <c r="BG352" s="0" t="s">
        <v>111</v>
      </c>
      <c r="BH352" s="0" t="s">
        <v>3665</v>
      </c>
      <c r="BI352" s="0" t="s">
        <v>122</v>
      </c>
      <c r="BJ352" s="0" t="s">
        <v>228</v>
      </c>
      <c r="BK352" s="0" t="s">
        <v>3684</v>
      </c>
      <c r="BL352" s="0" t="s">
        <v>2315</v>
      </c>
      <c r="BM352" s="0" t="s">
        <v>2315</v>
      </c>
      <c r="BN352" s="0" t="s">
        <v>3875</v>
      </c>
      <c r="BO352" s="0" t="s">
        <v>4332</v>
      </c>
      <c r="BP352" s="0" t="s">
        <v>4593</v>
      </c>
      <c r="BQ352" s="0" t="s">
        <v>3651</v>
      </c>
      <c r="BR352" s="0" t="s">
        <v>3651</v>
      </c>
      <c r="BS352" s="0" t="s">
        <v>228</v>
      </c>
      <c r="BT352" s="0" t="s">
        <v>3727</v>
      </c>
      <c r="BU352" s="0" t="s">
        <v>4594</v>
      </c>
      <c r="BV352" s="0" t="s">
        <v>4594</v>
      </c>
      <c r="BW352" s="0" t="s">
        <v>3674</v>
      </c>
      <c r="BX352" s="0" t="s">
        <v>3674</v>
      </c>
      <c r="BY352" s="0" t="s">
        <v>3674</v>
      </c>
      <c r="BZ352" s="0" t="s">
        <v>3674</v>
      </c>
      <c r="CA352" s="0" t="s">
        <v>3674</v>
      </c>
      <c r="CB352" s="0" t="s">
        <v>228</v>
      </c>
      <c r="CC352" s="0" t="s">
        <v>228</v>
      </c>
      <c r="CD352" s="0" t="s">
        <v>228</v>
      </c>
      <c r="CE352" s="0" t="s">
        <v>228</v>
      </c>
      <c r="CF352" s="0" t="s">
        <v>228</v>
      </c>
      <c r="CG352" s="0" t="s">
        <v>3674</v>
      </c>
      <c r="CH352" s="0" t="s">
        <v>228</v>
      </c>
      <c r="CI352" s="0" t="s">
        <v>228</v>
      </c>
      <c r="CJ352" s="0" t="s">
        <v>228</v>
      </c>
      <c r="CK352" s="0" t="s">
        <v>228</v>
      </c>
      <c r="CL352" s="0" t="s">
        <v>228</v>
      </c>
      <c r="CM352" s="0" t="s">
        <v>4594</v>
      </c>
      <c r="CN352" s="0" t="s">
        <v>4594</v>
      </c>
      <c r="CO352" s="0" t="s">
        <v>228</v>
      </c>
      <c r="CP352" s="0" t="s">
        <v>228</v>
      </c>
      <c r="CQ352" s="0" t="s">
        <v>228</v>
      </c>
      <c r="CR352" s="0" t="s">
        <v>228</v>
      </c>
      <c r="CS352" s="0" t="s">
        <v>3628</v>
      </c>
      <c r="CT352" s="0" t="s">
        <v>3568</v>
      </c>
      <c r="CU352" s="0" t="s">
        <v>3569</v>
      </c>
      <c r="CV352" s="0" t="s">
        <v>418</v>
      </c>
      <c r="CW352" s="0" t="s">
        <v>3656</v>
      </c>
      <c r="CX352" s="0" t="s">
        <v>419</v>
      </c>
      <c r="CY352" s="0" t="s">
        <v>418</v>
      </c>
      <c r="CZ352" s="0" t="s">
        <v>3657</v>
      </c>
      <c r="DA352" s="0" t="s">
        <v>3658</v>
      </c>
      <c r="DB352" s="0" t="s">
        <v>3656</v>
      </c>
      <c r="DC352" s="0" t="s">
        <v>362</v>
      </c>
      <c r="DD352" s="0" t="s">
        <v>3572</v>
      </c>
      <c r="DE352" s="0" t="s">
        <v>4595</v>
      </c>
    </row>
    <row customHeight="1" ht="11.25">
      <c r="A353" s="1353" t="s">
        <v>228</v>
      </c>
      <c r="B353" s="0" t="s">
        <v>228</v>
      </c>
      <c r="C353" s="0" t="s">
        <v>228</v>
      </c>
      <c r="D353" s="0" t="s">
        <v>228</v>
      </c>
      <c r="E353" s="0" t="s">
        <v>228</v>
      </c>
      <c r="F353" s="0" t="s">
        <v>228</v>
      </c>
      <c r="G353" s="0" t="s">
        <v>228</v>
      </c>
      <c r="H353" s="0" t="s">
        <v>228</v>
      </c>
      <c r="I353" s="0" t="s">
        <v>3555</v>
      </c>
      <c r="J353" s="0" t="s">
        <v>228</v>
      </c>
      <c r="K353" s="0" t="s">
        <v>228</v>
      </c>
      <c r="L353" s="0" t="s">
        <v>228</v>
      </c>
      <c r="M353" s="0" t="s">
        <v>228</v>
      </c>
      <c r="N353" s="0" t="s">
        <v>228</v>
      </c>
      <c r="O353" s="0" t="s">
        <v>228</v>
      </c>
      <c r="P353" s="0" t="s">
        <v>228</v>
      </c>
      <c r="Q353" s="0" t="s">
        <v>228</v>
      </c>
      <c r="R353" s="0" t="s">
        <v>5058</v>
      </c>
      <c r="S353" s="0" t="s">
        <v>228</v>
      </c>
      <c r="T353" s="0" t="s">
        <v>228</v>
      </c>
      <c r="U353" s="0" t="s">
        <v>101</v>
      </c>
      <c r="V353" s="0" t="s">
        <v>228</v>
      </c>
      <c r="W353" s="0" t="s">
        <v>228</v>
      </c>
      <c r="X353" s="0" t="s">
        <v>3557</v>
      </c>
      <c r="Y353" s="0" t="s">
        <v>228</v>
      </c>
      <c r="Z353" s="0" t="s">
        <v>160</v>
      </c>
      <c r="AA353" s="0" t="s">
        <v>151</v>
      </c>
      <c r="AB353" s="0" t="s">
        <v>151</v>
      </c>
      <c r="AC353" s="0" t="s">
        <v>2715</v>
      </c>
      <c r="AD353" s="0" t="s">
        <v>2715</v>
      </c>
      <c r="AE353" s="0" t="s">
        <v>2716</v>
      </c>
      <c r="AF353" s="0" t="s">
        <v>3594</v>
      </c>
      <c r="AG353" s="0" t="s">
        <v>3595</v>
      </c>
      <c r="AH353" s="0" t="s">
        <v>3596</v>
      </c>
      <c r="AI353" s="0" t="s">
        <v>3776</v>
      </c>
      <c r="AJ353" s="0" t="s">
        <v>3777</v>
      </c>
      <c r="AK353" s="0" t="s">
        <v>3778</v>
      </c>
      <c r="AL353" s="0" t="s">
        <v>3599</v>
      </c>
      <c r="AM353" s="0" t="s">
        <v>3565</v>
      </c>
      <c r="AN353" s="0" t="s">
        <v>3779</v>
      </c>
      <c r="AO353" s="0" t="s">
        <v>3780</v>
      </c>
      <c r="AP353" s="0" t="s">
        <v>228</v>
      </c>
      <c r="AQ353" s="0" t="s">
        <v>228</v>
      </c>
      <c r="AR353" s="0" t="s">
        <v>228</v>
      </c>
      <c r="AS353" s="0" t="s">
        <v>228</v>
      </c>
      <c r="AT353" s="0" t="s">
        <v>228</v>
      </c>
      <c r="AU353" s="0" t="s">
        <v>228</v>
      </c>
      <c r="AV353" s="0" t="s">
        <v>228</v>
      </c>
      <c r="AW353" s="0" t="s">
        <v>228</v>
      </c>
      <c r="AX353" s="0" t="s">
        <v>228</v>
      </c>
      <c r="AY353" s="0" t="s">
        <v>228</v>
      </c>
      <c r="AZ353" s="0" t="s">
        <v>228</v>
      </c>
      <c r="BA353" s="0" t="s">
        <v>228</v>
      </c>
      <c r="BB353" s="0" t="s">
        <v>228</v>
      </c>
      <c r="BC353" s="0" t="s">
        <v>228</v>
      </c>
      <c r="BD353" s="0" t="s">
        <v>228</v>
      </c>
      <c r="BE353" s="0" t="s">
        <v>228</v>
      </c>
      <c r="BF353" s="0" t="s">
        <v>228</v>
      </c>
      <c r="BG353" s="0" t="s">
        <v>228</v>
      </c>
      <c r="BH353" s="0" t="s">
        <v>228</v>
      </c>
      <c r="BI353" s="0" t="s">
        <v>228</v>
      </c>
      <c r="BJ353" s="0" t="s">
        <v>228</v>
      </c>
      <c r="BK353" s="0" t="s">
        <v>228</v>
      </c>
      <c r="BL353" s="0" t="s">
        <v>228</v>
      </c>
      <c r="BM353" s="0" t="s">
        <v>228</v>
      </c>
      <c r="BN353" s="0" t="s">
        <v>228</v>
      </c>
      <c r="BO353" s="0" t="s">
        <v>228</v>
      </c>
      <c r="BP353" s="0" t="s">
        <v>228</v>
      </c>
      <c r="BQ353" s="0" t="s">
        <v>228</v>
      </c>
      <c r="BR353" s="0" t="s">
        <v>228</v>
      </c>
      <c r="BS353" s="0" t="s">
        <v>228</v>
      </c>
      <c r="BT353" s="0" t="s">
        <v>228</v>
      </c>
      <c r="BU353" s="0" t="s">
        <v>228</v>
      </c>
      <c r="BV353" s="0" t="s">
        <v>228</v>
      </c>
      <c r="BW353" s="0" t="s">
        <v>228</v>
      </c>
      <c r="BX353" s="0" t="s">
        <v>228</v>
      </c>
      <c r="BY353" s="0" t="s">
        <v>228</v>
      </c>
      <c r="BZ353" s="0" t="s">
        <v>228</v>
      </c>
      <c r="CA353" s="0" t="s">
        <v>228</v>
      </c>
      <c r="CB353" s="0" t="s">
        <v>228</v>
      </c>
      <c r="CC353" s="0" t="s">
        <v>228</v>
      </c>
      <c r="CD353" s="0" t="s">
        <v>228</v>
      </c>
      <c r="CE353" s="0" t="s">
        <v>228</v>
      </c>
      <c r="CF353" s="0" t="s">
        <v>228</v>
      </c>
      <c r="CG353" s="0" t="s">
        <v>228</v>
      </c>
      <c r="CH353" s="0" t="s">
        <v>228</v>
      </c>
      <c r="CI353" s="0" t="s">
        <v>228</v>
      </c>
      <c r="CJ353" s="0" t="s">
        <v>228</v>
      </c>
      <c r="CK353" s="0" t="s">
        <v>228</v>
      </c>
      <c r="CL353" s="0" t="s">
        <v>228</v>
      </c>
      <c r="CM353" s="0" t="s">
        <v>228</v>
      </c>
      <c r="CN353" s="0" t="s">
        <v>228</v>
      </c>
      <c r="CO353" s="0" t="s">
        <v>228</v>
      </c>
      <c r="CP353" s="0" t="s">
        <v>228</v>
      </c>
      <c r="CQ353" s="0" t="s">
        <v>228</v>
      </c>
      <c r="CR353" s="0" t="s">
        <v>228</v>
      </c>
      <c r="CS353" s="0" t="s">
        <v>228</v>
      </c>
      <c r="CT353" s="0" t="s">
        <v>3568</v>
      </c>
      <c r="CU353" s="0" t="s">
        <v>3569</v>
      </c>
      <c r="CV353" s="0" t="s">
        <v>418</v>
      </c>
      <c r="CW353" s="0" t="s">
        <v>3602</v>
      </c>
      <c r="CX353" s="0" t="s">
        <v>3603</v>
      </c>
      <c r="CY353" s="0" t="s">
        <v>418</v>
      </c>
      <c r="CZ353" s="0" t="s">
        <v>504</v>
      </c>
      <c r="DA353" s="0" t="s">
        <v>3604</v>
      </c>
      <c r="DB353" s="0" t="s">
        <v>3602</v>
      </c>
      <c r="DC353" s="0" t="s">
        <v>362</v>
      </c>
      <c r="DD353" s="0" t="s">
        <v>3572</v>
      </c>
      <c r="DE353" s="0" t="s">
        <v>3781</v>
      </c>
    </row>
    <row customHeight="1" ht="11.25">
      <c r="A354" s="1353" t="s">
        <v>228</v>
      </c>
      <c r="B354" s="0" t="s">
        <v>228</v>
      </c>
      <c r="C354" s="0" t="s">
        <v>228</v>
      </c>
      <c r="D354" s="0" t="s">
        <v>228</v>
      </c>
      <c r="E354" s="0" t="s">
        <v>228</v>
      </c>
      <c r="F354" s="0" t="s">
        <v>228</v>
      </c>
      <c r="G354" s="0" t="s">
        <v>228</v>
      </c>
      <c r="H354" s="0" t="s">
        <v>228</v>
      </c>
      <c r="I354" s="0" t="s">
        <v>3555</v>
      </c>
      <c r="J354" s="0" t="s">
        <v>228</v>
      </c>
      <c r="K354" s="0" t="s">
        <v>228</v>
      </c>
      <c r="L354" s="0" t="s">
        <v>228</v>
      </c>
      <c r="M354" s="0" t="s">
        <v>228</v>
      </c>
      <c r="N354" s="0" t="s">
        <v>228</v>
      </c>
      <c r="O354" s="0" t="s">
        <v>228</v>
      </c>
      <c r="P354" s="0" t="s">
        <v>228</v>
      </c>
      <c r="Q354" s="0" t="s">
        <v>228</v>
      </c>
      <c r="R354" s="0" t="s">
        <v>3648</v>
      </c>
      <c r="S354" s="0" t="s">
        <v>228</v>
      </c>
      <c r="T354" s="0" t="s">
        <v>228</v>
      </c>
      <c r="U354" s="0" t="s">
        <v>101</v>
      </c>
      <c r="V354" s="0" t="s">
        <v>228</v>
      </c>
      <c r="W354" s="0" t="s">
        <v>228</v>
      </c>
      <c r="X354" s="0" t="s">
        <v>3557</v>
      </c>
      <c r="Y354" s="0" t="s">
        <v>228</v>
      </c>
      <c r="Z354" s="0" t="s">
        <v>160</v>
      </c>
      <c r="AA354" s="0" t="s">
        <v>151</v>
      </c>
      <c r="AB354" s="0" t="s">
        <v>151</v>
      </c>
      <c r="AC354" s="0" t="s">
        <v>2315</v>
      </c>
      <c r="AD354" s="0" t="s">
        <v>2315</v>
      </c>
      <c r="AE354" s="0" t="s">
        <v>2316</v>
      </c>
      <c r="AF354" s="0" t="s">
        <v>4596</v>
      </c>
      <c r="AG354" s="0" t="s">
        <v>4597</v>
      </c>
      <c r="AH354" s="0" t="s">
        <v>3651</v>
      </c>
      <c r="AI354" s="0" t="s">
        <v>3651</v>
      </c>
      <c r="AJ354" s="0" t="s">
        <v>3652</v>
      </c>
      <c r="AK354" s="0" t="s">
        <v>4598</v>
      </c>
      <c r="AL354" s="0" t="s">
        <v>3581</v>
      </c>
      <c r="AM354" s="0" t="s">
        <v>3565</v>
      </c>
      <c r="AN354" s="0" t="s">
        <v>3654</v>
      </c>
      <c r="AO354" s="0" t="s">
        <v>3655</v>
      </c>
      <c r="AP354" s="0" t="s">
        <v>228</v>
      </c>
      <c r="AQ354" s="0" t="s">
        <v>228</v>
      </c>
      <c r="AR354" s="0" t="s">
        <v>228</v>
      </c>
      <c r="AS354" s="0" t="s">
        <v>228</v>
      </c>
      <c r="AT354" s="0" t="s">
        <v>228</v>
      </c>
      <c r="AU354" s="0" t="s">
        <v>228</v>
      </c>
      <c r="AV354" s="0" t="s">
        <v>228</v>
      </c>
      <c r="AW354" s="0" t="s">
        <v>228</v>
      </c>
      <c r="AX354" s="0" t="s">
        <v>228</v>
      </c>
      <c r="AY354" s="0" t="s">
        <v>228</v>
      </c>
      <c r="AZ354" s="0" t="s">
        <v>228</v>
      </c>
      <c r="BA354" s="0" t="s">
        <v>228</v>
      </c>
      <c r="BB354" s="0" t="s">
        <v>228</v>
      </c>
      <c r="BC354" s="0" t="s">
        <v>228</v>
      </c>
      <c r="BD354" s="0" t="s">
        <v>228</v>
      </c>
      <c r="BE354" s="0" t="s">
        <v>228</v>
      </c>
      <c r="BF354" s="0" t="s">
        <v>228</v>
      </c>
      <c r="BG354" s="0" t="s">
        <v>228</v>
      </c>
      <c r="BH354" s="0" t="s">
        <v>228</v>
      </c>
      <c r="BI354" s="0" t="s">
        <v>228</v>
      </c>
      <c r="BJ354" s="0" t="s">
        <v>228</v>
      </c>
      <c r="BK354" s="0" t="s">
        <v>228</v>
      </c>
      <c r="BL354" s="0" t="s">
        <v>228</v>
      </c>
      <c r="BM354" s="0" t="s">
        <v>228</v>
      </c>
      <c r="BN354" s="0" t="s">
        <v>228</v>
      </c>
      <c r="BO354" s="0" t="s">
        <v>228</v>
      </c>
      <c r="BP354" s="0" t="s">
        <v>228</v>
      </c>
      <c r="BQ354" s="0" t="s">
        <v>228</v>
      </c>
      <c r="BR354" s="0" t="s">
        <v>228</v>
      </c>
      <c r="BS354" s="0" t="s">
        <v>228</v>
      </c>
      <c r="BT354" s="0" t="s">
        <v>228</v>
      </c>
      <c r="BU354" s="0" t="s">
        <v>228</v>
      </c>
      <c r="BV354" s="0" t="s">
        <v>228</v>
      </c>
      <c r="BW354" s="0" t="s">
        <v>228</v>
      </c>
      <c r="BX354" s="0" t="s">
        <v>228</v>
      </c>
      <c r="BY354" s="0" t="s">
        <v>228</v>
      </c>
      <c r="BZ354" s="0" t="s">
        <v>228</v>
      </c>
      <c r="CA354" s="0" t="s">
        <v>228</v>
      </c>
      <c r="CB354" s="0" t="s">
        <v>228</v>
      </c>
      <c r="CC354" s="0" t="s">
        <v>228</v>
      </c>
      <c r="CD354" s="0" t="s">
        <v>228</v>
      </c>
      <c r="CE354" s="0" t="s">
        <v>228</v>
      </c>
      <c r="CF354" s="0" t="s">
        <v>228</v>
      </c>
      <c r="CG354" s="0" t="s">
        <v>228</v>
      </c>
      <c r="CH354" s="0" t="s">
        <v>228</v>
      </c>
      <c r="CI354" s="0" t="s">
        <v>228</v>
      </c>
      <c r="CJ354" s="0" t="s">
        <v>228</v>
      </c>
      <c r="CK354" s="0" t="s">
        <v>228</v>
      </c>
      <c r="CL354" s="0" t="s">
        <v>228</v>
      </c>
      <c r="CM354" s="0" t="s">
        <v>228</v>
      </c>
      <c r="CN354" s="0" t="s">
        <v>228</v>
      </c>
      <c r="CO354" s="0" t="s">
        <v>228</v>
      </c>
      <c r="CP354" s="0" t="s">
        <v>228</v>
      </c>
      <c r="CQ354" s="0" t="s">
        <v>228</v>
      </c>
      <c r="CR354" s="0" t="s">
        <v>228</v>
      </c>
      <c r="CS354" s="0" t="s">
        <v>228</v>
      </c>
      <c r="CT354" s="0" t="s">
        <v>3568</v>
      </c>
      <c r="CU354" s="0" t="s">
        <v>3569</v>
      </c>
      <c r="CV354" s="0" t="s">
        <v>418</v>
      </c>
      <c r="CW354" s="0" t="s">
        <v>3656</v>
      </c>
      <c r="CX354" s="0" t="s">
        <v>419</v>
      </c>
      <c r="CY354" s="0" t="s">
        <v>418</v>
      </c>
      <c r="CZ354" s="0" t="s">
        <v>3657</v>
      </c>
      <c r="DA354" s="0" t="s">
        <v>3658</v>
      </c>
      <c r="DB354" s="0" t="s">
        <v>3656</v>
      </c>
      <c r="DC354" s="0" t="s">
        <v>362</v>
      </c>
      <c r="DD354" s="0" t="s">
        <v>3572</v>
      </c>
      <c r="DE354" s="0" t="s">
        <v>4599</v>
      </c>
    </row>
    <row customHeight="1" ht="11.25">
      <c r="A355" s="1353" t="s">
        <v>228</v>
      </c>
      <c r="B355" s="0" t="s">
        <v>228</v>
      </c>
      <c r="C355" s="0" t="s">
        <v>228</v>
      </c>
      <c r="D355" s="0" t="s">
        <v>228</v>
      </c>
      <c r="E355" s="0" t="s">
        <v>228</v>
      </c>
      <c r="F355" s="0" t="s">
        <v>228</v>
      </c>
      <c r="G355" s="0" t="s">
        <v>228</v>
      </c>
      <c r="H355" s="0" t="s">
        <v>228</v>
      </c>
      <c r="I355" s="0" t="s">
        <v>3555</v>
      </c>
      <c r="J355" s="0" t="s">
        <v>228</v>
      </c>
      <c r="K355" s="0" t="s">
        <v>228</v>
      </c>
      <c r="L355" s="0" t="s">
        <v>228</v>
      </c>
      <c r="M355" s="0" t="s">
        <v>228</v>
      </c>
      <c r="N355" s="0" t="s">
        <v>228</v>
      </c>
      <c r="O355" s="0" t="s">
        <v>228</v>
      </c>
      <c r="P355" s="0" t="s">
        <v>228</v>
      </c>
      <c r="Q355" s="0" t="s">
        <v>228</v>
      </c>
      <c r="R355" s="0" t="s">
        <v>4792</v>
      </c>
      <c r="S355" s="0" t="s">
        <v>228</v>
      </c>
      <c r="T355" s="0" t="s">
        <v>228</v>
      </c>
      <c r="U355" s="0" t="s">
        <v>101</v>
      </c>
      <c r="V355" s="0" t="s">
        <v>228</v>
      </c>
      <c r="W355" s="0" t="s">
        <v>228</v>
      </c>
      <c r="X355" s="0" t="s">
        <v>3661</v>
      </c>
      <c r="Y355" s="0" t="s">
        <v>228</v>
      </c>
      <c r="Z355" s="0" t="s">
        <v>151</v>
      </c>
      <c r="AA355" s="0" t="s">
        <v>151</v>
      </c>
      <c r="AB355" s="0" t="s">
        <v>160</v>
      </c>
      <c r="AC355" s="0" t="s">
        <v>2315</v>
      </c>
      <c r="AD355" s="0" t="s">
        <v>2315</v>
      </c>
      <c r="AE355" s="0" t="s">
        <v>2316</v>
      </c>
      <c r="AF355" s="0" t="s">
        <v>4596</v>
      </c>
      <c r="AG355" s="0" t="s">
        <v>4597</v>
      </c>
      <c r="AH355" s="0" t="s">
        <v>3651</v>
      </c>
      <c r="AI355" s="0" t="s">
        <v>3651</v>
      </c>
      <c r="AJ355" s="0" t="s">
        <v>228</v>
      </c>
      <c r="AK355" s="0" t="s">
        <v>228</v>
      </c>
      <c r="AL355" s="0" t="s">
        <v>228</v>
      </c>
      <c r="AM355" s="0" t="s">
        <v>228</v>
      </c>
      <c r="AN355" s="0" t="s">
        <v>228</v>
      </c>
      <c r="AO355" s="0" t="s">
        <v>228</v>
      </c>
      <c r="AP355" s="0" t="s">
        <v>228</v>
      </c>
      <c r="AQ355" s="0" t="s">
        <v>228</v>
      </c>
      <c r="AR355" s="0" t="s">
        <v>228</v>
      </c>
      <c r="AS355" s="0" t="s">
        <v>228</v>
      </c>
      <c r="AT355" s="0" t="s">
        <v>228</v>
      </c>
      <c r="AU355" s="0" t="s">
        <v>228</v>
      </c>
      <c r="AV355" s="0" t="s">
        <v>228</v>
      </c>
      <c r="AW355" s="0" t="s">
        <v>228</v>
      </c>
      <c r="AX355" s="0" t="s">
        <v>228</v>
      </c>
      <c r="AY355" s="0" t="s">
        <v>228</v>
      </c>
      <c r="AZ355" s="0" t="s">
        <v>228</v>
      </c>
      <c r="BA355" s="0" t="s">
        <v>228</v>
      </c>
      <c r="BB355" s="0" t="s">
        <v>228</v>
      </c>
      <c r="BC355" s="0" t="s">
        <v>228</v>
      </c>
      <c r="BD355" s="0" t="s">
        <v>228</v>
      </c>
      <c r="BE355" s="0" t="s">
        <v>3652</v>
      </c>
      <c r="BF355" s="0" t="s">
        <v>4598</v>
      </c>
      <c r="BG355" s="0" t="s">
        <v>111</v>
      </c>
      <c r="BH355" s="0" t="s">
        <v>3665</v>
      </c>
      <c r="BI355" s="0" t="s">
        <v>122</v>
      </c>
      <c r="BJ355" s="0" t="s">
        <v>228</v>
      </c>
      <c r="BK355" s="0" t="s">
        <v>3684</v>
      </c>
      <c r="BL355" s="0" t="s">
        <v>2315</v>
      </c>
      <c r="BM355" s="0" t="s">
        <v>2315</v>
      </c>
      <c r="BN355" s="0" t="s">
        <v>3875</v>
      </c>
      <c r="BO355" s="0" t="s">
        <v>4596</v>
      </c>
      <c r="BP355" s="0" t="s">
        <v>4793</v>
      </c>
      <c r="BQ355" s="0" t="s">
        <v>3651</v>
      </c>
      <c r="BR355" s="0" t="s">
        <v>3651</v>
      </c>
      <c r="BS355" s="0" t="s">
        <v>228</v>
      </c>
      <c r="BT355" s="0" t="s">
        <v>3727</v>
      </c>
      <c r="BU355" s="0" t="s">
        <v>4794</v>
      </c>
      <c r="BV355" s="0" t="s">
        <v>4794</v>
      </c>
      <c r="BW355" s="0" t="s">
        <v>3674</v>
      </c>
      <c r="BX355" s="0" t="s">
        <v>3674</v>
      </c>
      <c r="BY355" s="0" t="s">
        <v>3674</v>
      </c>
      <c r="BZ355" s="0" t="s">
        <v>3674</v>
      </c>
      <c r="CA355" s="0" t="s">
        <v>3674</v>
      </c>
      <c r="CB355" s="0" t="s">
        <v>228</v>
      </c>
      <c r="CC355" s="0" t="s">
        <v>228</v>
      </c>
      <c r="CD355" s="0" t="s">
        <v>228</v>
      </c>
      <c r="CE355" s="0" t="s">
        <v>228</v>
      </c>
      <c r="CF355" s="0" t="s">
        <v>228</v>
      </c>
      <c r="CG355" s="0" t="s">
        <v>3674</v>
      </c>
      <c r="CH355" s="0" t="s">
        <v>228</v>
      </c>
      <c r="CI355" s="0" t="s">
        <v>228</v>
      </c>
      <c r="CJ355" s="0" t="s">
        <v>228</v>
      </c>
      <c r="CK355" s="0" t="s">
        <v>228</v>
      </c>
      <c r="CL355" s="0" t="s">
        <v>228</v>
      </c>
      <c r="CM355" s="0" t="s">
        <v>4794</v>
      </c>
      <c r="CN355" s="0" t="s">
        <v>4794</v>
      </c>
      <c r="CO355" s="0" t="s">
        <v>228</v>
      </c>
      <c r="CP355" s="0" t="s">
        <v>228</v>
      </c>
      <c r="CQ355" s="0" t="s">
        <v>228</v>
      </c>
      <c r="CR355" s="0" t="s">
        <v>228</v>
      </c>
      <c r="CS355" s="0" t="s">
        <v>3628</v>
      </c>
      <c r="CT355" s="0" t="s">
        <v>3568</v>
      </c>
      <c r="CU355" s="0" t="s">
        <v>3569</v>
      </c>
      <c r="CV355" s="0" t="s">
        <v>418</v>
      </c>
      <c r="CW355" s="0" t="s">
        <v>3656</v>
      </c>
      <c r="CX355" s="0" t="s">
        <v>419</v>
      </c>
      <c r="CY355" s="0" t="s">
        <v>418</v>
      </c>
      <c r="CZ355" s="0" t="s">
        <v>3657</v>
      </c>
      <c r="DA355" s="0" t="s">
        <v>3658</v>
      </c>
      <c r="DB355" s="0" t="s">
        <v>3656</v>
      </c>
      <c r="DC355" s="0" t="s">
        <v>362</v>
      </c>
      <c r="DD355" s="0" t="s">
        <v>3572</v>
      </c>
      <c r="DE355" s="0" t="s">
        <v>4599</v>
      </c>
    </row>
    <row customHeight="1" ht="11.25">
      <c r="A356" s="1353" t="s">
        <v>228</v>
      </c>
      <c r="B356" s="0" t="s">
        <v>228</v>
      </c>
      <c r="C356" s="0" t="s">
        <v>228</v>
      </c>
      <c r="D356" s="0" t="s">
        <v>228</v>
      </c>
      <c r="E356" s="0" t="s">
        <v>228</v>
      </c>
      <c r="F356" s="0" t="s">
        <v>228</v>
      </c>
      <c r="G356" s="0" t="s">
        <v>228</v>
      </c>
      <c r="H356" s="0" t="s">
        <v>228</v>
      </c>
      <c r="I356" s="0" t="s">
        <v>3555</v>
      </c>
      <c r="J356" s="0" t="s">
        <v>228</v>
      </c>
      <c r="K356" s="0" t="s">
        <v>228</v>
      </c>
      <c r="L356" s="0" t="s">
        <v>228</v>
      </c>
      <c r="M356" s="0" t="s">
        <v>228</v>
      </c>
      <c r="N356" s="0" t="s">
        <v>228</v>
      </c>
      <c r="O356" s="0" t="s">
        <v>228</v>
      </c>
      <c r="P356" s="0" t="s">
        <v>228</v>
      </c>
      <c r="Q356" s="0" t="s">
        <v>228</v>
      </c>
      <c r="R356" s="0" t="s">
        <v>3648</v>
      </c>
      <c r="S356" s="0" t="s">
        <v>228</v>
      </c>
      <c r="T356" s="0" t="s">
        <v>228</v>
      </c>
      <c r="U356" s="0" t="s">
        <v>101</v>
      </c>
      <c r="V356" s="0" t="s">
        <v>228</v>
      </c>
      <c r="W356" s="0" t="s">
        <v>228</v>
      </c>
      <c r="X356" s="0" t="s">
        <v>3557</v>
      </c>
      <c r="Y356" s="0" t="s">
        <v>228</v>
      </c>
      <c r="Z356" s="0" t="s">
        <v>160</v>
      </c>
      <c r="AA356" s="0" t="s">
        <v>151</v>
      </c>
      <c r="AB356" s="0" t="s">
        <v>151</v>
      </c>
      <c r="AC356" s="0" t="s">
        <v>2315</v>
      </c>
      <c r="AD356" s="0" t="s">
        <v>2315</v>
      </c>
      <c r="AE356" s="0" t="s">
        <v>2316</v>
      </c>
      <c r="AF356" s="0" t="s">
        <v>3880</v>
      </c>
      <c r="AG356" s="0" t="s">
        <v>3881</v>
      </c>
      <c r="AH356" s="0" t="s">
        <v>3693</v>
      </c>
      <c r="AI356" s="0" t="s">
        <v>5014</v>
      </c>
      <c r="AJ356" s="0" t="s">
        <v>3652</v>
      </c>
      <c r="AK356" s="0" t="s">
        <v>3891</v>
      </c>
      <c r="AL356" s="0" t="s">
        <v>3581</v>
      </c>
      <c r="AM356" s="0" t="s">
        <v>3565</v>
      </c>
      <c r="AN356" s="0" t="s">
        <v>3654</v>
      </c>
      <c r="AO356" s="0" t="s">
        <v>3701</v>
      </c>
      <c r="AP356" s="0" t="s">
        <v>228</v>
      </c>
      <c r="AQ356" s="0" t="s">
        <v>228</v>
      </c>
      <c r="AR356" s="0" t="s">
        <v>228</v>
      </c>
      <c r="AS356" s="0" t="s">
        <v>228</v>
      </c>
      <c r="AT356" s="0" t="s">
        <v>228</v>
      </c>
      <c r="AU356" s="0" t="s">
        <v>228</v>
      </c>
      <c r="AV356" s="0" t="s">
        <v>228</v>
      </c>
      <c r="AW356" s="0" t="s">
        <v>228</v>
      </c>
      <c r="AX356" s="0" t="s">
        <v>228</v>
      </c>
      <c r="AY356" s="0" t="s">
        <v>228</v>
      </c>
      <c r="AZ356" s="0" t="s">
        <v>228</v>
      </c>
      <c r="BA356" s="0" t="s">
        <v>228</v>
      </c>
      <c r="BB356" s="0" t="s">
        <v>228</v>
      </c>
      <c r="BC356" s="0" t="s">
        <v>228</v>
      </c>
      <c r="BD356" s="0" t="s">
        <v>228</v>
      </c>
      <c r="BE356" s="0" t="s">
        <v>228</v>
      </c>
      <c r="BF356" s="0" t="s">
        <v>228</v>
      </c>
      <c r="BG356" s="0" t="s">
        <v>228</v>
      </c>
      <c r="BH356" s="0" t="s">
        <v>228</v>
      </c>
      <c r="BI356" s="0" t="s">
        <v>228</v>
      </c>
      <c r="BJ356" s="0" t="s">
        <v>228</v>
      </c>
      <c r="BK356" s="0" t="s">
        <v>228</v>
      </c>
      <c r="BL356" s="0" t="s">
        <v>228</v>
      </c>
      <c r="BM356" s="0" t="s">
        <v>228</v>
      </c>
      <c r="BN356" s="0" t="s">
        <v>228</v>
      </c>
      <c r="BO356" s="0" t="s">
        <v>228</v>
      </c>
      <c r="BP356" s="0" t="s">
        <v>228</v>
      </c>
      <c r="BQ356" s="0" t="s">
        <v>228</v>
      </c>
      <c r="BR356" s="0" t="s">
        <v>228</v>
      </c>
      <c r="BS356" s="0" t="s">
        <v>228</v>
      </c>
      <c r="BT356" s="0" t="s">
        <v>228</v>
      </c>
      <c r="BU356" s="0" t="s">
        <v>228</v>
      </c>
      <c r="BV356" s="0" t="s">
        <v>228</v>
      </c>
      <c r="BW356" s="0" t="s">
        <v>228</v>
      </c>
      <c r="BX356" s="0" t="s">
        <v>228</v>
      </c>
      <c r="BY356" s="0" t="s">
        <v>228</v>
      </c>
      <c r="BZ356" s="0" t="s">
        <v>228</v>
      </c>
      <c r="CA356" s="0" t="s">
        <v>228</v>
      </c>
      <c r="CB356" s="0" t="s">
        <v>228</v>
      </c>
      <c r="CC356" s="0" t="s">
        <v>228</v>
      </c>
      <c r="CD356" s="0" t="s">
        <v>228</v>
      </c>
      <c r="CE356" s="0" t="s">
        <v>228</v>
      </c>
      <c r="CF356" s="0" t="s">
        <v>228</v>
      </c>
      <c r="CG356" s="0" t="s">
        <v>228</v>
      </c>
      <c r="CH356" s="0" t="s">
        <v>228</v>
      </c>
      <c r="CI356" s="0" t="s">
        <v>228</v>
      </c>
      <c r="CJ356" s="0" t="s">
        <v>228</v>
      </c>
      <c r="CK356" s="0" t="s">
        <v>228</v>
      </c>
      <c r="CL356" s="0" t="s">
        <v>228</v>
      </c>
      <c r="CM356" s="0" t="s">
        <v>228</v>
      </c>
      <c r="CN356" s="0" t="s">
        <v>228</v>
      </c>
      <c r="CO356" s="0" t="s">
        <v>228</v>
      </c>
      <c r="CP356" s="0" t="s">
        <v>228</v>
      </c>
      <c r="CQ356" s="0" t="s">
        <v>228</v>
      </c>
      <c r="CR356" s="0" t="s">
        <v>228</v>
      </c>
      <c r="CS356" s="0" t="s">
        <v>228</v>
      </c>
      <c r="CT356" s="0" t="s">
        <v>3568</v>
      </c>
      <c r="CU356" s="0" t="s">
        <v>3569</v>
      </c>
      <c r="CV356" s="0" t="s">
        <v>418</v>
      </c>
      <c r="CW356" s="0" t="s">
        <v>3656</v>
      </c>
      <c r="CX356" s="0" t="s">
        <v>419</v>
      </c>
      <c r="CY356" s="0" t="s">
        <v>418</v>
      </c>
      <c r="CZ356" s="0" t="s">
        <v>3657</v>
      </c>
      <c r="DA356" s="0" t="s">
        <v>3658</v>
      </c>
      <c r="DB356" s="0" t="s">
        <v>3656</v>
      </c>
      <c r="DC356" s="0" t="s">
        <v>362</v>
      </c>
      <c r="DD356" s="0" t="s">
        <v>3572</v>
      </c>
      <c r="DE356" s="0" t="s">
        <v>5015</v>
      </c>
    </row>
    <row customHeight="1" ht="11.25">
      <c r="A357" s="1353" t="s">
        <v>228</v>
      </c>
      <c r="B357" s="0" t="s">
        <v>228</v>
      </c>
      <c r="C357" s="0" t="s">
        <v>228</v>
      </c>
      <c r="D357" s="0" t="s">
        <v>228</v>
      </c>
      <c r="E357" s="0" t="s">
        <v>228</v>
      </c>
      <c r="F357" s="0" t="s">
        <v>228</v>
      </c>
      <c r="G357" s="0" t="s">
        <v>228</v>
      </c>
      <c r="H357" s="0" t="s">
        <v>228</v>
      </c>
      <c r="I357" s="0" t="s">
        <v>3555</v>
      </c>
      <c r="J357" s="0" t="s">
        <v>228</v>
      </c>
      <c r="K357" s="0" t="s">
        <v>228</v>
      </c>
      <c r="L357" s="0" t="s">
        <v>228</v>
      </c>
      <c r="M357" s="0" t="s">
        <v>228</v>
      </c>
      <c r="N357" s="0" t="s">
        <v>228</v>
      </c>
      <c r="O357" s="0" t="s">
        <v>228</v>
      </c>
      <c r="P357" s="0" t="s">
        <v>228</v>
      </c>
      <c r="Q357" s="0" t="s">
        <v>228</v>
      </c>
      <c r="R357" s="0" t="s">
        <v>3648</v>
      </c>
      <c r="S357" s="0" t="s">
        <v>228</v>
      </c>
      <c r="T357" s="0" t="s">
        <v>228</v>
      </c>
      <c r="U357" s="0" t="s">
        <v>101</v>
      </c>
      <c r="V357" s="0" t="s">
        <v>228</v>
      </c>
      <c r="W357" s="0" t="s">
        <v>228</v>
      </c>
      <c r="X357" s="0" t="s">
        <v>3557</v>
      </c>
      <c r="Y357" s="0" t="s">
        <v>228</v>
      </c>
      <c r="Z357" s="0" t="s">
        <v>160</v>
      </c>
      <c r="AA357" s="0" t="s">
        <v>151</v>
      </c>
      <c r="AB357" s="0" t="s">
        <v>151</v>
      </c>
      <c r="AC357" s="0" t="s">
        <v>2315</v>
      </c>
      <c r="AD357" s="0" t="s">
        <v>2315</v>
      </c>
      <c r="AE357" s="0" t="s">
        <v>2316</v>
      </c>
      <c r="AF357" s="0" t="s">
        <v>3880</v>
      </c>
      <c r="AG357" s="0" t="s">
        <v>3881</v>
      </c>
      <c r="AH357" s="0" t="s">
        <v>3693</v>
      </c>
      <c r="AI357" s="0" t="s">
        <v>5016</v>
      </c>
      <c r="AJ357" s="0" t="s">
        <v>3652</v>
      </c>
      <c r="AK357" s="0" t="s">
        <v>5017</v>
      </c>
      <c r="AL357" s="0" t="s">
        <v>3581</v>
      </c>
      <c r="AM357" s="0" t="s">
        <v>3565</v>
      </c>
      <c r="AN357" s="0" t="s">
        <v>3654</v>
      </c>
      <c r="AO357" s="0" t="s">
        <v>3655</v>
      </c>
      <c r="AP357" s="0" t="s">
        <v>228</v>
      </c>
      <c r="AQ357" s="0" t="s">
        <v>228</v>
      </c>
      <c r="AR357" s="0" t="s">
        <v>228</v>
      </c>
      <c r="AS357" s="0" t="s">
        <v>228</v>
      </c>
      <c r="AT357" s="0" t="s">
        <v>228</v>
      </c>
      <c r="AU357" s="0" t="s">
        <v>228</v>
      </c>
      <c r="AV357" s="0" t="s">
        <v>228</v>
      </c>
      <c r="AW357" s="0" t="s">
        <v>228</v>
      </c>
      <c r="AX357" s="0" t="s">
        <v>228</v>
      </c>
      <c r="AY357" s="0" t="s">
        <v>228</v>
      </c>
      <c r="AZ357" s="0" t="s">
        <v>228</v>
      </c>
      <c r="BA357" s="0" t="s">
        <v>228</v>
      </c>
      <c r="BB357" s="0" t="s">
        <v>228</v>
      </c>
      <c r="BC357" s="0" t="s">
        <v>228</v>
      </c>
      <c r="BD357" s="0" t="s">
        <v>228</v>
      </c>
      <c r="BE357" s="0" t="s">
        <v>228</v>
      </c>
      <c r="BF357" s="0" t="s">
        <v>228</v>
      </c>
      <c r="BG357" s="0" t="s">
        <v>228</v>
      </c>
      <c r="BH357" s="0" t="s">
        <v>228</v>
      </c>
      <c r="BI357" s="0" t="s">
        <v>228</v>
      </c>
      <c r="BJ357" s="0" t="s">
        <v>228</v>
      </c>
      <c r="BK357" s="0" t="s">
        <v>228</v>
      </c>
      <c r="BL357" s="0" t="s">
        <v>228</v>
      </c>
      <c r="BM357" s="0" t="s">
        <v>228</v>
      </c>
      <c r="BN357" s="0" t="s">
        <v>228</v>
      </c>
      <c r="BO357" s="0" t="s">
        <v>228</v>
      </c>
      <c r="BP357" s="0" t="s">
        <v>228</v>
      </c>
      <c r="BQ357" s="0" t="s">
        <v>228</v>
      </c>
      <c r="BR357" s="0" t="s">
        <v>228</v>
      </c>
      <c r="BS357" s="0" t="s">
        <v>228</v>
      </c>
      <c r="BT357" s="0" t="s">
        <v>228</v>
      </c>
      <c r="BU357" s="0" t="s">
        <v>228</v>
      </c>
      <c r="BV357" s="0" t="s">
        <v>228</v>
      </c>
      <c r="BW357" s="0" t="s">
        <v>228</v>
      </c>
      <c r="BX357" s="0" t="s">
        <v>228</v>
      </c>
      <c r="BY357" s="0" t="s">
        <v>228</v>
      </c>
      <c r="BZ357" s="0" t="s">
        <v>228</v>
      </c>
      <c r="CA357" s="0" t="s">
        <v>228</v>
      </c>
      <c r="CB357" s="0" t="s">
        <v>228</v>
      </c>
      <c r="CC357" s="0" t="s">
        <v>228</v>
      </c>
      <c r="CD357" s="0" t="s">
        <v>228</v>
      </c>
      <c r="CE357" s="0" t="s">
        <v>228</v>
      </c>
      <c r="CF357" s="0" t="s">
        <v>228</v>
      </c>
      <c r="CG357" s="0" t="s">
        <v>228</v>
      </c>
      <c r="CH357" s="0" t="s">
        <v>228</v>
      </c>
      <c r="CI357" s="0" t="s">
        <v>228</v>
      </c>
      <c r="CJ357" s="0" t="s">
        <v>228</v>
      </c>
      <c r="CK357" s="0" t="s">
        <v>228</v>
      </c>
      <c r="CL357" s="0" t="s">
        <v>228</v>
      </c>
      <c r="CM357" s="0" t="s">
        <v>228</v>
      </c>
      <c r="CN357" s="0" t="s">
        <v>228</v>
      </c>
      <c r="CO357" s="0" t="s">
        <v>228</v>
      </c>
      <c r="CP357" s="0" t="s">
        <v>228</v>
      </c>
      <c r="CQ357" s="0" t="s">
        <v>228</v>
      </c>
      <c r="CR357" s="0" t="s">
        <v>228</v>
      </c>
      <c r="CS357" s="0" t="s">
        <v>228</v>
      </c>
      <c r="CT357" s="0" t="s">
        <v>3568</v>
      </c>
      <c r="CU357" s="0" t="s">
        <v>3569</v>
      </c>
      <c r="CV357" s="0" t="s">
        <v>418</v>
      </c>
      <c r="CW357" s="0" t="s">
        <v>3656</v>
      </c>
      <c r="CX357" s="0" t="s">
        <v>419</v>
      </c>
      <c r="CY357" s="0" t="s">
        <v>418</v>
      </c>
      <c r="CZ357" s="0" t="s">
        <v>3657</v>
      </c>
      <c r="DA357" s="0" t="s">
        <v>3658</v>
      </c>
      <c r="DB357" s="0" t="s">
        <v>3656</v>
      </c>
      <c r="DC357" s="0" t="s">
        <v>362</v>
      </c>
      <c r="DD357" s="0" t="s">
        <v>3572</v>
      </c>
      <c r="DE357" s="0" t="s">
        <v>5018</v>
      </c>
    </row>
    <row customHeight="1" ht="11.25">
      <c r="A358" s="1353" t="s">
        <v>228</v>
      </c>
      <c r="B358" s="0" t="s">
        <v>228</v>
      </c>
      <c r="C358" s="0" t="s">
        <v>228</v>
      </c>
      <c r="D358" s="0" t="s">
        <v>228</v>
      </c>
      <c r="E358" s="0" t="s">
        <v>228</v>
      </c>
      <c r="F358" s="0" t="s">
        <v>228</v>
      </c>
      <c r="G358" s="0" t="s">
        <v>228</v>
      </c>
      <c r="H358" s="0" t="s">
        <v>228</v>
      </c>
      <c r="I358" s="0" t="s">
        <v>3555</v>
      </c>
      <c r="J358" s="0" t="s">
        <v>228</v>
      </c>
      <c r="K358" s="0" t="s">
        <v>228</v>
      </c>
      <c r="L358" s="0" t="s">
        <v>228</v>
      </c>
      <c r="M358" s="0" t="s">
        <v>228</v>
      </c>
      <c r="N358" s="0" t="s">
        <v>228</v>
      </c>
      <c r="O358" s="0" t="s">
        <v>228</v>
      </c>
      <c r="P358" s="0" t="s">
        <v>228</v>
      </c>
      <c r="Q358" s="0" t="s">
        <v>228</v>
      </c>
      <c r="R358" s="0" t="s">
        <v>3648</v>
      </c>
      <c r="S358" s="0" t="s">
        <v>228</v>
      </c>
      <c r="T358" s="0" t="s">
        <v>228</v>
      </c>
      <c r="U358" s="0" t="s">
        <v>101</v>
      </c>
      <c r="V358" s="0" t="s">
        <v>228</v>
      </c>
      <c r="W358" s="0" t="s">
        <v>228</v>
      </c>
      <c r="X358" s="0" t="s">
        <v>3557</v>
      </c>
      <c r="Y358" s="0" t="s">
        <v>228</v>
      </c>
      <c r="Z358" s="0" t="s">
        <v>160</v>
      </c>
      <c r="AA358" s="0" t="s">
        <v>151</v>
      </c>
      <c r="AB358" s="0" t="s">
        <v>151</v>
      </c>
      <c r="AC358" s="0" t="s">
        <v>2315</v>
      </c>
      <c r="AD358" s="0" t="s">
        <v>2315</v>
      </c>
      <c r="AE358" s="0" t="s">
        <v>2316</v>
      </c>
      <c r="AF358" s="0" t="s">
        <v>3887</v>
      </c>
      <c r="AG358" s="0" t="s">
        <v>3888</v>
      </c>
      <c r="AH358" s="0" t="s">
        <v>3889</v>
      </c>
      <c r="AI358" s="0" t="s">
        <v>3890</v>
      </c>
      <c r="AJ358" s="0" t="s">
        <v>3652</v>
      </c>
      <c r="AK358" s="0" t="s">
        <v>3891</v>
      </c>
      <c r="AL358" s="0" t="s">
        <v>3581</v>
      </c>
      <c r="AM358" s="0" t="s">
        <v>3565</v>
      </c>
      <c r="AN358" s="0" t="s">
        <v>3654</v>
      </c>
      <c r="AO358" s="0" t="s">
        <v>3629</v>
      </c>
      <c r="AP358" s="0" t="s">
        <v>228</v>
      </c>
      <c r="AQ358" s="0" t="s">
        <v>228</v>
      </c>
      <c r="AR358" s="0" t="s">
        <v>228</v>
      </c>
      <c r="AS358" s="0" t="s">
        <v>228</v>
      </c>
      <c r="AT358" s="0" t="s">
        <v>228</v>
      </c>
      <c r="AU358" s="0" t="s">
        <v>228</v>
      </c>
      <c r="AV358" s="0" t="s">
        <v>228</v>
      </c>
      <c r="AW358" s="0" t="s">
        <v>228</v>
      </c>
      <c r="AX358" s="0" t="s">
        <v>228</v>
      </c>
      <c r="AY358" s="0" t="s">
        <v>228</v>
      </c>
      <c r="AZ358" s="0" t="s">
        <v>228</v>
      </c>
      <c r="BA358" s="0" t="s">
        <v>228</v>
      </c>
      <c r="BB358" s="0" t="s">
        <v>228</v>
      </c>
      <c r="BC358" s="0" t="s">
        <v>228</v>
      </c>
      <c r="BD358" s="0" t="s">
        <v>228</v>
      </c>
      <c r="BE358" s="0" t="s">
        <v>228</v>
      </c>
      <c r="BF358" s="0" t="s">
        <v>228</v>
      </c>
      <c r="BG358" s="0" t="s">
        <v>228</v>
      </c>
      <c r="BH358" s="0" t="s">
        <v>228</v>
      </c>
      <c r="BI358" s="0" t="s">
        <v>228</v>
      </c>
      <c r="BJ358" s="0" t="s">
        <v>228</v>
      </c>
      <c r="BK358" s="0" t="s">
        <v>228</v>
      </c>
      <c r="BL358" s="0" t="s">
        <v>228</v>
      </c>
      <c r="BM358" s="0" t="s">
        <v>228</v>
      </c>
      <c r="BN358" s="0" t="s">
        <v>228</v>
      </c>
      <c r="BO358" s="0" t="s">
        <v>228</v>
      </c>
      <c r="BP358" s="0" t="s">
        <v>228</v>
      </c>
      <c r="BQ358" s="0" t="s">
        <v>228</v>
      </c>
      <c r="BR358" s="0" t="s">
        <v>228</v>
      </c>
      <c r="BS358" s="0" t="s">
        <v>228</v>
      </c>
      <c r="BT358" s="0" t="s">
        <v>228</v>
      </c>
      <c r="BU358" s="0" t="s">
        <v>228</v>
      </c>
      <c r="BV358" s="0" t="s">
        <v>228</v>
      </c>
      <c r="BW358" s="0" t="s">
        <v>228</v>
      </c>
      <c r="BX358" s="0" t="s">
        <v>228</v>
      </c>
      <c r="BY358" s="0" t="s">
        <v>228</v>
      </c>
      <c r="BZ358" s="0" t="s">
        <v>228</v>
      </c>
      <c r="CA358" s="0" t="s">
        <v>228</v>
      </c>
      <c r="CB358" s="0" t="s">
        <v>228</v>
      </c>
      <c r="CC358" s="0" t="s">
        <v>228</v>
      </c>
      <c r="CD358" s="0" t="s">
        <v>228</v>
      </c>
      <c r="CE358" s="0" t="s">
        <v>228</v>
      </c>
      <c r="CF358" s="0" t="s">
        <v>228</v>
      </c>
      <c r="CG358" s="0" t="s">
        <v>228</v>
      </c>
      <c r="CH358" s="0" t="s">
        <v>228</v>
      </c>
      <c r="CI358" s="0" t="s">
        <v>228</v>
      </c>
      <c r="CJ358" s="0" t="s">
        <v>228</v>
      </c>
      <c r="CK358" s="0" t="s">
        <v>228</v>
      </c>
      <c r="CL358" s="0" t="s">
        <v>228</v>
      </c>
      <c r="CM358" s="0" t="s">
        <v>228</v>
      </c>
      <c r="CN358" s="0" t="s">
        <v>228</v>
      </c>
      <c r="CO358" s="0" t="s">
        <v>228</v>
      </c>
      <c r="CP358" s="0" t="s">
        <v>228</v>
      </c>
      <c r="CQ358" s="0" t="s">
        <v>228</v>
      </c>
      <c r="CR358" s="0" t="s">
        <v>228</v>
      </c>
      <c r="CS358" s="0" t="s">
        <v>228</v>
      </c>
      <c r="CT358" s="0" t="s">
        <v>3568</v>
      </c>
      <c r="CU358" s="0" t="s">
        <v>3569</v>
      </c>
      <c r="CV358" s="0" t="s">
        <v>418</v>
      </c>
      <c r="CW358" s="0" t="s">
        <v>3656</v>
      </c>
      <c r="CX358" s="0" t="s">
        <v>419</v>
      </c>
      <c r="CY358" s="0" t="s">
        <v>418</v>
      </c>
      <c r="CZ358" s="0" t="s">
        <v>3657</v>
      </c>
      <c r="DA358" s="0" t="s">
        <v>3658</v>
      </c>
      <c r="DB358" s="0" t="s">
        <v>3656</v>
      </c>
      <c r="DC358" s="0" t="s">
        <v>362</v>
      </c>
      <c r="DD358" s="0" t="s">
        <v>3572</v>
      </c>
      <c r="DE358" s="0" t="s">
        <v>3892</v>
      </c>
    </row>
    <row customHeight="1" ht="11.25">
      <c r="A359" s="1353" t="s">
        <v>228</v>
      </c>
      <c r="B359" s="0" t="s">
        <v>228</v>
      </c>
      <c r="C359" s="0" t="s">
        <v>228</v>
      </c>
      <c r="D359" s="0" t="s">
        <v>228</v>
      </c>
      <c r="E359" s="0" t="s">
        <v>228</v>
      </c>
      <c r="F359" s="0" t="s">
        <v>228</v>
      </c>
      <c r="G359" s="0" t="s">
        <v>228</v>
      </c>
      <c r="H359" s="0" t="s">
        <v>228</v>
      </c>
      <c r="I359" s="0" t="s">
        <v>3555</v>
      </c>
      <c r="J359" s="0" t="s">
        <v>228</v>
      </c>
      <c r="K359" s="0" t="s">
        <v>228</v>
      </c>
      <c r="L359" s="0" t="s">
        <v>228</v>
      </c>
      <c r="M359" s="0" t="s">
        <v>228</v>
      </c>
      <c r="N359" s="0" t="s">
        <v>228</v>
      </c>
      <c r="O359" s="0" t="s">
        <v>228</v>
      </c>
      <c r="P359" s="0" t="s">
        <v>228</v>
      </c>
      <c r="Q359" s="0" t="s">
        <v>228</v>
      </c>
      <c r="R359" s="0" t="s">
        <v>4708</v>
      </c>
      <c r="S359" s="0" t="s">
        <v>228</v>
      </c>
      <c r="T359" s="0" t="s">
        <v>228</v>
      </c>
      <c r="U359" s="0" t="s">
        <v>101</v>
      </c>
      <c r="V359" s="0" t="s">
        <v>228</v>
      </c>
      <c r="W359" s="0" t="s">
        <v>228</v>
      </c>
      <c r="X359" s="0" t="s">
        <v>3557</v>
      </c>
      <c r="Y359" s="0" t="s">
        <v>228</v>
      </c>
      <c r="Z359" s="0" t="s">
        <v>160</v>
      </c>
      <c r="AA359" s="0" t="s">
        <v>151</v>
      </c>
      <c r="AB359" s="0" t="s">
        <v>151</v>
      </c>
      <c r="AC359" s="0" t="s">
        <v>2311</v>
      </c>
      <c r="AD359" s="0" t="s">
        <v>2311</v>
      </c>
      <c r="AE359" s="0" t="s">
        <v>2312</v>
      </c>
      <c r="AF359" s="0" t="s">
        <v>4709</v>
      </c>
      <c r="AG359" s="0" t="s">
        <v>4710</v>
      </c>
      <c r="AH359" s="0" t="s">
        <v>3693</v>
      </c>
      <c r="AI359" s="0" t="s">
        <v>1715</v>
      </c>
      <c r="AJ359" s="0" t="s">
        <v>3579</v>
      </c>
      <c r="AK359" s="0" t="s">
        <v>4711</v>
      </c>
      <c r="AL359" s="0" t="s">
        <v>3581</v>
      </c>
      <c r="AM359" s="0" t="s">
        <v>3565</v>
      </c>
      <c r="AN359" s="0" t="s">
        <v>3628</v>
      </c>
      <c r="AO359" s="0" t="s">
        <v>3583</v>
      </c>
      <c r="AP359" s="0" t="s">
        <v>228</v>
      </c>
      <c r="AQ359" s="0" t="s">
        <v>228</v>
      </c>
      <c r="AR359" s="0" t="s">
        <v>228</v>
      </c>
      <c r="AS359" s="0" t="s">
        <v>228</v>
      </c>
      <c r="AT359" s="0" t="s">
        <v>228</v>
      </c>
      <c r="AU359" s="0" t="s">
        <v>228</v>
      </c>
      <c r="AV359" s="0" t="s">
        <v>228</v>
      </c>
      <c r="AW359" s="0" t="s">
        <v>228</v>
      </c>
      <c r="AX359" s="0" t="s">
        <v>228</v>
      </c>
      <c r="AY359" s="0" t="s">
        <v>228</v>
      </c>
      <c r="AZ359" s="0" t="s">
        <v>228</v>
      </c>
      <c r="BA359" s="0" t="s">
        <v>228</v>
      </c>
      <c r="BB359" s="0" t="s">
        <v>228</v>
      </c>
      <c r="BC359" s="0" t="s">
        <v>228</v>
      </c>
      <c r="BD359" s="0" t="s">
        <v>228</v>
      </c>
      <c r="BE359" s="0" t="s">
        <v>228</v>
      </c>
      <c r="BF359" s="0" t="s">
        <v>228</v>
      </c>
      <c r="BG359" s="0" t="s">
        <v>228</v>
      </c>
      <c r="BH359" s="0" t="s">
        <v>228</v>
      </c>
      <c r="BI359" s="0" t="s">
        <v>228</v>
      </c>
      <c r="BJ359" s="0" t="s">
        <v>228</v>
      </c>
      <c r="BK359" s="0" t="s">
        <v>228</v>
      </c>
      <c r="BL359" s="0" t="s">
        <v>228</v>
      </c>
      <c r="BM359" s="0" t="s">
        <v>228</v>
      </c>
      <c r="BN359" s="0" t="s">
        <v>228</v>
      </c>
      <c r="BO359" s="0" t="s">
        <v>228</v>
      </c>
      <c r="BP359" s="0" t="s">
        <v>228</v>
      </c>
      <c r="BQ359" s="0" t="s">
        <v>228</v>
      </c>
      <c r="BR359" s="0" t="s">
        <v>228</v>
      </c>
      <c r="BS359" s="0" t="s">
        <v>228</v>
      </c>
      <c r="BT359" s="0" t="s">
        <v>228</v>
      </c>
      <c r="BU359" s="0" t="s">
        <v>228</v>
      </c>
      <c r="BV359" s="0" t="s">
        <v>228</v>
      </c>
      <c r="BW359" s="0" t="s">
        <v>228</v>
      </c>
      <c r="BX359" s="0" t="s">
        <v>228</v>
      </c>
      <c r="BY359" s="0" t="s">
        <v>228</v>
      </c>
      <c r="BZ359" s="0" t="s">
        <v>228</v>
      </c>
      <c r="CA359" s="0" t="s">
        <v>228</v>
      </c>
      <c r="CB359" s="0" t="s">
        <v>228</v>
      </c>
      <c r="CC359" s="0" t="s">
        <v>228</v>
      </c>
      <c r="CD359" s="0" t="s">
        <v>228</v>
      </c>
      <c r="CE359" s="0" t="s">
        <v>228</v>
      </c>
      <c r="CF359" s="0" t="s">
        <v>228</v>
      </c>
      <c r="CG359" s="0" t="s">
        <v>228</v>
      </c>
      <c r="CH359" s="0" t="s">
        <v>228</v>
      </c>
      <c r="CI359" s="0" t="s">
        <v>228</v>
      </c>
      <c r="CJ359" s="0" t="s">
        <v>228</v>
      </c>
      <c r="CK359" s="0" t="s">
        <v>228</v>
      </c>
      <c r="CL359" s="0" t="s">
        <v>228</v>
      </c>
      <c r="CM359" s="0" t="s">
        <v>228</v>
      </c>
      <c r="CN359" s="0" t="s">
        <v>228</v>
      </c>
      <c r="CO359" s="0" t="s">
        <v>228</v>
      </c>
      <c r="CP359" s="0" t="s">
        <v>228</v>
      </c>
      <c r="CQ359" s="0" t="s">
        <v>228</v>
      </c>
      <c r="CR359" s="0" t="s">
        <v>228</v>
      </c>
      <c r="CS359" s="0" t="s">
        <v>228</v>
      </c>
      <c r="CT359" s="0" t="s">
        <v>3568</v>
      </c>
      <c r="CU359" s="0" t="s">
        <v>4648</v>
      </c>
      <c r="CV359" s="0" t="s">
        <v>4649</v>
      </c>
      <c r="CW359" s="0" t="s">
        <v>4712</v>
      </c>
      <c r="CX359" s="0" t="s">
        <v>200</v>
      </c>
      <c r="CY359" s="0" t="s">
        <v>4651</v>
      </c>
      <c r="CZ359" s="0" t="s">
        <v>4713</v>
      </c>
      <c r="DA359" s="0" t="s">
        <v>4714</v>
      </c>
      <c r="DB359" s="0" t="s">
        <v>4712</v>
      </c>
      <c r="DC359" s="0" t="s">
        <v>362</v>
      </c>
      <c r="DD359" s="0" t="s">
        <v>3572</v>
      </c>
      <c r="DE359" s="0" t="s">
        <v>4715</v>
      </c>
    </row>
    <row customHeight="1" ht="11.25">
      <c r="A360" s="1353" t="s">
        <v>228</v>
      </c>
      <c r="B360" s="0" t="s">
        <v>228</v>
      </c>
      <c r="C360" s="0" t="s">
        <v>228</v>
      </c>
      <c r="D360" s="0" t="s">
        <v>228</v>
      </c>
      <c r="E360" s="0" t="s">
        <v>228</v>
      </c>
      <c r="F360" s="0" t="s">
        <v>228</v>
      </c>
      <c r="G360" s="0" t="s">
        <v>228</v>
      </c>
      <c r="H360" s="0" t="s">
        <v>228</v>
      </c>
      <c r="I360" s="0" t="s">
        <v>3555</v>
      </c>
      <c r="J360" s="0" t="s">
        <v>228</v>
      </c>
      <c r="K360" s="0" t="s">
        <v>228</v>
      </c>
      <c r="L360" s="0" t="s">
        <v>228</v>
      </c>
      <c r="M360" s="0" t="s">
        <v>228</v>
      </c>
      <c r="N360" s="0" t="s">
        <v>228</v>
      </c>
      <c r="O360" s="0" t="s">
        <v>228</v>
      </c>
      <c r="P360" s="0" t="s">
        <v>228</v>
      </c>
      <c r="Q360" s="0" t="s">
        <v>228</v>
      </c>
      <c r="R360" s="0" t="s">
        <v>4883</v>
      </c>
      <c r="S360" s="0" t="s">
        <v>228</v>
      </c>
      <c r="T360" s="0" t="s">
        <v>228</v>
      </c>
      <c r="U360" s="0" t="s">
        <v>101</v>
      </c>
      <c r="V360" s="0" t="s">
        <v>228</v>
      </c>
      <c r="W360" s="0" t="s">
        <v>228</v>
      </c>
      <c r="X360" s="0" t="s">
        <v>3661</v>
      </c>
      <c r="Y360" s="0" t="s">
        <v>228</v>
      </c>
      <c r="Z360" s="0" t="s">
        <v>151</v>
      </c>
      <c r="AA360" s="0" t="s">
        <v>151</v>
      </c>
      <c r="AB360" s="0" t="s">
        <v>160</v>
      </c>
      <c r="AC360" s="0" t="s">
        <v>2715</v>
      </c>
      <c r="AD360" s="0" t="s">
        <v>2715</v>
      </c>
      <c r="AE360" s="0" t="s">
        <v>2716</v>
      </c>
      <c r="AF360" s="0" t="s">
        <v>3594</v>
      </c>
      <c r="AG360" s="0" t="s">
        <v>3595</v>
      </c>
      <c r="AH360" s="0" t="s">
        <v>3642</v>
      </c>
      <c r="AI360" s="0" t="s">
        <v>3643</v>
      </c>
      <c r="AJ360" s="0" t="s">
        <v>228</v>
      </c>
      <c r="AK360" s="0" t="s">
        <v>228</v>
      </c>
      <c r="AL360" s="0" t="s">
        <v>228</v>
      </c>
      <c r="AM360" s="0" t="s">
        <v>228</v>
      </c>
      <c r="AN360" s="0" t="s">
        <v>228</v>
      </c>
      <c r="AO360" s="0" t="s">
        <v>228</v>
      </c>
      <c r="AP360" s="0" t="s">
        <v>228</v>
      </c>
      <c r="AQ360" s="0" t="s">
        <v>228</v>
      </c>
      <c r="AR360" s="0" t="s">
        <v>228</v>
      </c>
      <c r="AS360" s="0" t="s">
        <v>228</v>
      </c>
      <c r="AT360" s="0" t="s">
        <v>228</v>
      </c>
      <c r="AU360" s="0" t="s">
        <v>228</v>
      </c>
      <c r="AV360" s="0" t="s">
        <v>228</v>
      </c>
      <c r="AW360" s="0" t="s">
        <v>228</v>
      </c>
      <c r="AX360" s="0" t="s">
        <v>228</v>
      </c>
      <c r="AY360" s="0" t="s">
        <v>228</v>
      </c>
      <c r="AZ360" s="0" t="s">
        <v>228</v>
      </c>
      <c r="BA360" s="0" t="s">
        <v>228</v>
      </c>
      <c r="BB360" s="0" t="s">
        <v>228</v>
      </c>
      <c r="BC360" s="0" t="s">
        <v>228</v>
      </c>
      <c r="BD360" s="0" t="s">
        <v>228</v>
      </c>
      <c r="BE360" s="0" t="s">
        <v>4884</v>
      </c>
      <c r="BF360" s="0" t="s">
        <v>4885</v>
      </c>
      <c r="BG360" s="0" t="s">
        <v>111</v>
      </c>
      <c r="BH360" s="0" t="s">
        <v>3665</v>
      </c>
      <c r="BI360" s="0" t="s">
        <v>122</v>
      </c>
      <c r="BJ360" s="0" t="s">
        <v>228</v>
      </c>
      <c r="BK360" s="0" t="s">
        <v>5059</v>
      </c>
      <c r="BL360" s="0" t="s">
        <v>2715</v>
      </c>
      <c r="BM360" s="0" t="s">
        <v>2715</v>
      </c>
      <c r="BN360" s="0" t="s">
        <v>3667</v>
      </c>
      <c r="BO360" s="0" t="s">
        <v>3594</v>
      </c>
      <c r="BP360" s="0" t="s">
        <v>3668</v>
      </c>
      <c r="BQ360" s="0" t="s">
        <v>4016</v>
      </c>
      <c r="BR360" s="0" t="s">
        <v>3643</v>
      </c>
      <c r="BS360" s="0" t="s">
        <v>228</v>
      </c>
      <c r="BT360" s="0" t="s">
        <v>3670</v>
      </c>
      <c r="BU360" s="0" t="s">
        <v>5060</v>
      </c>
      <c r="BV360" s="0" t="s">
        <v>5061</v>
      </c>
      <c r="BW360" s="0" t="s">
        <v>5062</v>
      </c>
      <c r="BX360" s="0" t="s">
        <v>4890</v>
      </c>
      <c r="BY360" s="0" t="s">
        <v>4891</v>
      </c>
      <c r="BZ360" s="0" t="s">
        <v>4892</v>
      </c>
      <c r="CA360" s="0" t="s">
        <v>4893</v>
      </c>
      <c r="CB360" s="0" t="s">
        <v>3674</v>
      </c>
      <c r="CC360" s="0" t="s">
        <v>3674</v>
      </c>
      <c r="CD360" s="0" t="s">
        <v>3674</v>
      </c>
      <c r="CE360" s="0" t="s">
        <v>3674</v>
      </c>
      <c r="CF360" s="0" t="s">
        <v>4893</v>
      </c>
      <c r="CG360" s="0" t="s">
        <v>4894</v>
      </c>
      <c r="CH360" s="0" t="s">
        <v>4894</v>
      </c>
      <c r="CI360" s="0" t="s">
        <v>3674</v>
      </c>
      <c r="CJ360" s="0" t="s">
        <v>3674</v>
      </c>
      <c r="CK360" s="0" t="s">
        <v>3674</v>
      </c>
      <c r="CL360" s="0" t="s">
        <v>3674</v>
      </c>
      <c r="CM360" s="0" t="s">
        <v>5063</v>
      </c>
      <c r="CN360" s="0" t="s">
        <v>5064</v>
      </c>
      <c r="CO360" s="0" t="s">
        <v>5062</v>
      </c>
      <c r="CP360" s="0" t="s">
        <v>4890</v>
      </c>
      <c r="CQ360" s="0" t="s">
        <v>4891</v>
      </c>
      <c r="CR360" s="0" t="s">
        <v>4897</v>
      </c>
      <c r="CS360" s="0" t="s">
        <v>3675</v>
      </c>
      <c r="CT360" s="0" t="s">
        <v>3568</v>
      </c>
      <c r="CU360" s="0" t="s">
        <v>3569</v>
      </c>
      <c r="CV360" s="0" t="s">
        <v>418</v>
      </c>
      <c r="CW360" s="0" t="s">
        <v>3676</v>
      </c>
      <c r="CX360" s="0" t="s">
        <v>3603</v>
      </c>
      <c r="CY360" s="0" t="s">
        <v>418</v>
      </c>
      <c r="CZ360" s="0" t="s">
        <v>504</v>
      </c>
      <c r="DA360" s="0" t="s">
        <v>3604</v>
      </c>
      <c r="DB360" s="0" t="s">
        <v>3676</v>
      </c>
      <c r="DC360" s="0" t="s">
        <v>362</v>
      </c>
      <c r="DD360" s="0" t="s">
        <v>3572</v>
      </c>
      <c r="DE360" s="0" t="s">
        <v>3647</v>
      </c>
    </row>
    <row customHeight="1" ht="11.25">
      <c r="A361" s="1353" t="s">
        <v>228</v>
      </c>
      <c r="B361" s="0" t="s">
        <v>228</v>
      </c>
      <c r="C361" s="0" t="s">
        <v>228</v>
      </c>
      <c r="D361" s="0" t="s">
        <v>228</v>
      </c>
      <c r="E361" s="0" t="s">
        <v>228</v>
      </c>
      <c r="F361" s="0" t="s">
        <v>228</v>
      </c>
      <c r="G361" s="0" t="s">
        <v>228</v>
      </c>
      <c r="H361" s="0" t="s">
        <v>228</v>
      </c>
      <c r="I361" s="0" t="s">
        <v>3555</v>
      </c>
      <c r="J361" s="0" t="s">
        <v>228</v>
      </c>
      <c r="K361" s="0" t="s">
        <v>228</v>
      </c>
      <c r="L361" s="0" t="s">
        <v>228</v>
      </c>
      <c r="M361" s="0" t="s">
        <v>228</v>
      </c>
      <c r="N361" s="0" t="s">
        <v>228</v>
      </c>
      <c r="O361" s="0" t="s">
        <v>228</v>
      </c>
      <c r="P361" s="0" t="s">
        <v>228</v>
      </c>
      <c r="Q361" s="0" t="s">
        <v>228</v>
      </c>
      <c r="R361" s="0" t="s">
        <v>3648</v>
      </c>
      <c r="S361" s="0" t="s">
        <v>228</v>
      </c>
      <c r="T361" s="0" t="s">
        <v>228</v>
      </c>
      <c r="U361" s="0" t="s">
        <v>101</v>
      </c>
      <c r="V361" s="0" t="s">
        <v>228</v>
      </c>
      <c r="W361" s="0" t="s">
        <v>228</v>
      </c>
      <c r="X361" s="0" t="s">
        <v>3557</v>
      </c>
      <c r="Y361" s="0" t="s">
        <v>228</v>
      </c>
      <c r="Z361" s="0" t="s">
        <v>160</v>
      </c>
      <c r="AA361" s="0" t="s">
        <v>151</v>
      </c>
      <c r="AB361" s="0" t="s">
        <v>151</v>
      </c>
      <c r="AC361" s="0" t="s">
        <v>2315</v>
      </c>
      <c r="AD361" s="0" t="s">
        <v>2315</v>
      </c>
      <c r="AE361" s="0" t="s">
        <v>2316</v>
      </c>
      <c r="AF361" s="0" t="s">
        <v>3887</v>
      </c>
      <c r="AG361" s="0" t="s">
        <v>3888</v>
      </c>
      <c r="AH361" s="0" t="s">
        <v>3642</v>
      </c>
      <c r="AI361" s="0" t="s">
        <v>3893</v>
      </c>
      <c r="AJ361" s="0" t="s">
        <v>3652</v>
      </c>
      <c r="AK361" s="0" t="s">
        <v>3894</v>
      </c>
      <c r="AL361" s="0" t="s">
        <v>3581</v>
      </c>
      <c r="AM361" s="0" t="s">
        <v>3565</v>
      </c>
      <c r="AN361" s="0" t="s">
        <v>3654</v>
      </c>
      <c r="AO361" s="0" t="s">
        <v>3712</v>
      </c>
      <c r="AP361" s="0" t="s">
        <v>228</v>
      </c>
      <c r="AQ361" s="0" t="s">
        <v>228</v>
      </c>
      <c r="AR361" s="0" t="s">
        <v>228</v>
      </c>
      <c r="AS361" s="0" t="s">
        <v>228</v>
      </c>
      <c r="AT361" s="0" t="s">
        <v>228</v>
      </c>
      <c r="AU361" s="0" t="s">
        <v>228</v>
      </c>
      <c r="AV361" s="0" t="s">
        <v>228</v>
      </c>
      <c r="AW361" s="0" t="s">
        <v>228</v>
      </c>
      <c r="AX361" s="0" t="s">
        <v>228</v>
      </c>
      <c r="AY361" s="0" t="s">
        <v>228</v>
      </c>
      <c r="AZ361" s="0" t="s">
        <v>228</v>
      </c>
      <c r="BA361" s="0" t="s">
        <v>228</v>
      </c>
      <c r="BB361" s="0" t="s">
        <v>228</v>
      </c>
      <c r="BC361" s="0" t="s">
        <v>228</v>
      </c>
      <c r="BD361" s="0" t="s">
        <v>228</v>
      </c>
      <c r="BE361" s="0" t="s">
        <v>228</v>
      </c>
      <c r="BF361" s="0" t="s">
        <v>228</v>
      </c>
      <c r="BG361" s="0" t="s">
        <v>228</v>
      </c>
      <c r="BH361" s="0" t="s">
        <v>228</v>
      </c>
      <c r="BI361" s="0" t="s">
        <v>228</v>
      </c>
      <c r="BJ361" s="0" t="s">
        <v>228</v>
      </c>
      <c r="BK361" s="0" t="s">
        <v>228</v>
      </c>
      <c r="BL361" s="0" t="s">
        <v>228</v>
      </c>
      <c r="BM361" s="0" t="s">
        <v>228</v>
      </c>
      <c r="BN361" s="0" t="s">
        <v>228</v>
      </c>
      <c r="BO361" s="0" t="s">
        <v>228</v>
      </c>
      <c r="BP361" s="0" t="s">
        <v>228</v>
      </c>
      <c r="BQ361" s="0" t="s">
        <v>228</v>
      </c>
      <c r="BR361" s="0" t="s">
        <v>228</v>
      </c>
      <c r="BS361" s="0" t="s">
        <v>228</v>
      </c>
      <c r="BT361" s="0" t="s">
        <v>228</v>
      </c>
      <c r="BU361" s="0" t="s">
        <v>228</v>
      </c>
      <c r="BV361" s="0" t="s">
        <v>228</v>
      </c>
      <c r="BW361" s="0" t="s">
        <v>228</v>
      </c>
      <c r="BX361" s="0" t="s">
        <v>228</v>
      </c>
      <c r="BY361" s="0" t="s">
        <v>228</v>
      </c>
      <c r="BZ361" s="0" t="s">
        <v>228</v>
      </c>
      <c r="CA361" s="0" t="s">
        <v>228</v>
      </c>
      <c r="CB361" s="0" t="s">
        <v>228</v>
      </c>
      <c r="CC361" s="0" t="s">
        <v>228</v>
      </c>
      <c r="CD361" s="0" t="s">
        <v>228</v>
      </c>
      <c r="CE361" s="0" t="s">
        <v>228</v>
      </c>
      <c r="CF361" s="0" t="s">
        <v>228</v>
      </c>
      <c r="CG361" s="0" t="s">
        <v>228</v>
      </c>
      <c r="CH361" s="0" t="s">
        <v>228</v>
      </c>
      <c r="CI361" s="0" t="s">
        <v>228</v>
      </c>
      <c r="CJ361" s="0" t="s">
        <v>228</v>
      </c>
      <c r="CK361" s="0" t="s">
        <v>228</v>
      </c>
      <c r="CL361" s="0" t="s">
        <v>228</v>
      </c>
      <c r="CM361" s="0" t="s">
        <v>228</v>
      </c>
      <c r="CN361" s="0" t="s">
        <v>228</v>
      </c>
      <c r="CO361" s="0" t="s">
        <v>228</v>
      </c>
      <c r="CP361" s="0" t="s">
        <v>228</v>
      </c>
      <c r="CQ361" s="0" t="s">
        <v>228</v>
      </c>
      <c r="CR361" s="0" t="s">
        <v>228</v>
      </c>
      <c r="CS361" s="0" t="s">
        <v>228</v>
      </c>
      <c r="CT361" s="0" t="s">
        <v>3568</v>
      </c>
      <c r="CU361" s="0" t="s">
        <v>3569</v>
      </c>
      <c r="CV361" s="0" t="s">
        <v>418</v>
      </c>
      <c r="CW361" s="0" t="s">
        <v>3656</v>
      </c>
      <c r="CX361" s="0" t="s">
        <v>419</v>
      </c>
      <c r="CY361" s="0" t="s">
        <v>418</v>
      </c>
      <c r="CZ361" s="0" t="s">
        <v>3657</v>
      </c>
      <c r="DA361" s="0" t="s">
        <v>3658</v>
      </c>
      <c r="DB361" s="0" t="s">
        <v>3656</v>
      </c>
      <c r="DC361" s="0" t="s">
        <v>362</v>
      </c>
      <c r="DD361" s="0" t="s">
        <v>3572</v>
      </c>
      <c r="DE361" s="0" t="s">
        <v>3895</v>
      </c>
    </row>
    <row customHeight="1" ht="11.25">
      <c r="A362" s="1353" t="s">
        <v>228</v>
      </c>
      <c r="B362" s="0" t="s">
        <v>228</v>
      </c>
      <c r="C362" s="0" t="s">
        <v>228</v>
      </c>
      <c r="D362" s="0" t="s">
        <v>228</v>
      </c>
      <c r="E362" s="0" t="s">
        <v>228</v>
      </c>
      <c r="F362" s="0" t="s">
        <v>228</v>
      </c>
      <c r="G362" s="0" t="s">
        <v>228</v>
      </c>
      <c r="H362" s="0" t="s">
        <v>228</v>
      </c>
      <c r="I362" s="0" t="s">
        <v>3555</v>
      </c>
      <c r="J362" s="0" t="s">
        <v>228</v>
      </c>
      <c r="K362" s="0" t="s">
        <v>228</v>
      </c>
      <c r="L362" s="0" t="s">
        <v>228</v>
      </c>
      <c r="M362" s="0" t="s">
        <v>228</v>
      </c>
      <c r="N362" s="0" t="s">
        <v>228</v>
      </c>
      <c r="O362" s="0" t="s">
        <v>228</v>
      </c>
      <c r="P362" s="0" t="s">
        <v>228</v>
      </c>
      <c r="Q362" s="0" t="s">
        <v>228</v>
      </c>
      <c r="R362" s="0" t="s">
        <v>4173</v>
      </c>
      <c r="S362" s="0" t="s">
        <v>228</v>
      </c>
      <c r="T362" s="0" t="s">
        <v>228</v>
      </c>
      <c r="U362" s="0" t="s">
        <v>101</v>
      </c>
      <c r="V362" s="0" t="s">
        <v>228</v>
      </c>
      <c r="W362" s="0" t="s">
        <v>228</v>
      </c>
      <c r="X362" s="0" t="s">
        <v>3661</v>
      </c>
      <c r="Y362" s="0" t="s">
        <v>228</v>
      </c>
      <c r="Z362" s="0" t="s">
        <v>151</v>
      </c>
      <c r="AA362" s="0" t="s">
        <v>151</v>
      </c>
      <c r="AB362" s="0" t="s">
        <v>160</v>
      </c>
      <c r="AC362" s="0" t="s">
        <v>2315</v>
      </c>
      <c r="AD362" s="0" t="s">
        <v>2315</v>
      </c>
      <c r="AE362" s="0" t="s">
        <v>2316</v>
      </c>
      <c r="AF362" s="0" t="s">
        <v>3887</v>
      </c>
      <c r="AG362" s="0" t="s">
        <v>3888</v>
      </c>
      <c r="AH362" s="0" t="s">
        <v>3651</v>
      </c>
      <c r="AI362" s="0" t="s">
        <v>3651</v>
      </c>
      <c r="AJ362" s="0" t="s">
        <v>228</v>
      </c>
      <c r="AK362" s="0" t="s">
        <v>228</v>
      </c>
      <c r="AL362" s="0" t="s">
        <v>228</v>
      </c>
      <c r="AM362" s="0" t="s">
        <v>228</v>
      </c>
      <c r="AN362" s="0" t="s">
        <v>228</v>
      </c>
      <c r="AO362" s="0" t="s">
        <v>228</v>
      </c>
      <c r="AP362" s="0" t="s">
        <v>228</v>
      </c>
      <c r="AQ362" s="0" t="s">
        <v>228</v>
      </c>
      <c r="AR362" s="0" t="s">
        <v>228</v>
      </c>
      <c r="AS362" s="0" t="s">
        <v>228</v>
      </c>
      <c r="AT362" s="0" t="s">
        <v>228</v>
      </c>
      <c r="AU362" s="0" t="s">
        <v>228</v>
      </c>
      <c r="AV362" s="0" t="s">
        <v>228</v>
      </c>
      <c r="AW362" s="0" t="s">
        <v>228</v>
      </c>
      <c r="AX362" s="0" t="s">
        <v>228</v>
      </c>
      <c r="AY362" s="0" t="s">
        <v>228</v>
      </c>
      <c r="AZ362" s="0" t="s">
        <v>228</v>
      </c>
      <c r="BA362" s="0" t="s">
        <v>228</v>
      </c>
      <c r="BB362" s="0" t="s">
        <v>228</v>
      </c>
      <c r="BC362" s="0" t="s">
        <v>228</v>
      </c>
      <c r="BD362" s="0" t="s">
        <v>228</v>
      </c>
      <c r="BE362" s="0" t="s">
        <v>4075</v>
      </c>
      <c r="BF362" s="0" t="s">
        <v>4174</v>
      </c>
      <c r="BG362" s="0" t="s">
        <v>111</v>
      </c>
      <c r="BH362" s="0" t="s">
        <v>3665</v>
      </c>
      <c r="BI362" s="0" t="s">
        <v>122</v>
      </c>
      <c r="BJ362" s="0" t="s">
        <v>228</v>
      </c>
      <c r="BK362" s="0" t="s">
        <v>3684</v>
      </c>
      <c r="BL362" s="0" t="s">
        <v>2315</v>
      </c>
      <c r="BM362" s="0" t="s">
        <v>2315</v>
      </c>
      <c r="BN362" s="0" t="s">
        <v>3875</v>
      </c>
      <c r="BO362" s="0" t="s">
        <v>3887</v>
      </c>
      <c r="BP362" s="0" t="s">
        <v>4175</v>
      </c>
      <c r="BQ362" s="0" t="s">
        <v>3651</v>
      </c>
      <c r="BR362" s="0" t="s">
        <v>3651</v>
      </c>
      <c r="BS362" s="0" t="s">
        <v>228</v>
      </c>
      <c r="BT362" s="0" t="s">
        <v>3727</v>
      </c>
      <c r="BU362" s="0" t="s">
        <v>4176</v>
      </c>
      <c r="BV362" s="0" t="s">
        <v>4176</v>
      </c>
      <c r="BW362" s="0" t="s">
        <v>3674</v>
      </c>
      <c r="BX362" s="0" t="s">
        <v>3674</v>
      </c>
      <c r="BY362" s="0" t="s">
        <v>3674</v>
      </c>
      <c r="BZ362" s="0" t="s">
        <v>3674</v>
      </c>
      <c r="CA362" s="0" t="s">
        <v>3674</v>
      </c>
      <c r="CB362" s="0" t="s">
        <v>228</v>
      </c>
      <c r="CC362" s="0" t="s">
        <v>228</v>
      </c>
      <c r="CD362" s="0" t="s">
        <v>228</v>
      </c>
      <c r="CE362" s="0" t="s">
        <v>228</v>
      </c>
      <c r="CF362" s="0" t="s">
        <v>228</v>
      </c>
      <c r="CG362" s="0" t="s">
        <v>3674</v>
      </c>
      <c r="CH362" s="0" t="s">
        <v>228</v>
      </c>
      <c r="CI362" s="0" t="s">
        <v>228</v>
      </c>
      <c r="CJ362" s="0" t="s">
        <v>228</v>
      </c>
      <c r="CK362" s="0" t="s">
        <v>228</v>
      </c>
      <c r="CL362" s="0" t="s">
        <v>228</v>
      </c>
      <c r="CM362" s="0" t="s">
        <v>4176</v>
      </c>
      <c r="CN362" s="0" t="s">
        <v>4176</v>
      </c>
      <c r="CO362" s="0" t="s">
        <v>228</v>
      </c>
      <c r="CP362" s="0" t="s">
        <v>228</v>
      </c>
      <c r="CQ362" s="0" t="s">
        <v>228</v>
      </c>
      <c r="CR362" s="0" t="s">
        <v>228</v>
      </c>
      <c r="CS362" s="0" t="s">
        <v>3563</v>
      </c>
      <c r="CT362" s="0" t="s">
        <v>3568</v>
      </c>
      <c r="CU362" s="0" t="s">
        <v>3569</v>
      </c>
      <c r="CV362" s="0" t="s">
        <v>418</v>
      </c>
      <c r="CW362" s="0" t="s">
        <v>3656</v>
      </c>
      <c r="CX362" s="0" t="s">
        <v>419</v>
      </c>
      <c r="CY362" s="0" t="s">
        <v>418</v>
      </c>
      <c r="CZ362" s="0" t="s">
        <v>3657</v>
      </c>
      <c r="DA362" s="0" t="s">
        <v>3658</v>
      </c>
      <c r="DB362" s="0" t="s">
        <v>3656</v>
      </c>
      <c r="DC362" s="0" t="s">
        <v>362</v>
      </c>
      <c r="DD362" s="0" t="s">
        <v>3572</v>
      </c>
      <c r="DE362" s="0" t="s">
        <v>4177</v>
      </c>
    </row>
    <row customHeight="1" ht="11.25">
      <c r="A363" s="1353" t="s">
        <v>228</v>
      </c>
      <c r="B363" s="0" t="s">
        <v>228</v>
      </c>
      <c r="C363" s="0" t="s">
        <v>228</v>
      </c>
      <c r="D363" s="0" t="s">
        <v>228</v>
      </c>
      <c r="E363" s="0" t="s">
        <v>228</v>
      </c>
      <c r="F363" s="0" t="s">
        <v>228</v>
      </c>
      <c r="G363" s="0" t="s">
        <v>228</v>
      </c>
      <c r="H363" s="0" t="s">
        <v>228</v>
      </c>
      <c r="I363" s="0" t="s">
        <v>3555</v>
      </c>
      <c r="J363" s="0" t="s">
        <v>228</v>
      </c>
      <c r="K363" s="0" t="s">
        <v>228</v>
      </c>
      <c r="L363" s="0" t="s">
        <v>228</v>
      </c>
      <c r="M363" s="0" t="s">
        <v>228</v>
      </c>
      <c r="N363" s="0" t="s">
        <v>228</v>
      </c>
      <c r="O363" s="0" t="s">
        <v>228</v>
      </c>
      <c r="P363" s="0" t="s">
        <v>228</v>
      </c>
      <c r="Q363" s="0" t="s">
        <v>228</v>
      </c>
      <c r="R363" s="0" t="s">
        <v>4439</v>
      </c>
      <c r="S363" s="0" t="s">
        <v>228</v>
      </c>
      <c r="T363" s="0" t="s">
        <v>228</v>
      </c>
      <c r="U363" s="0" t="s">
        <v>101</v>
      </c>
      <c r="V363" s="0" t="s">
        <v>228</v>
      </c>
      <c r="W363" s="0" t="s">
        <v>228</v>
      </c>
      <c r="X363" s="0" t="s">
        <v>3661</v>
      </c>
      <c r="Y363" s="0" t="s">
        <v>228</v>
      </c>
      <c r="Z363" s="0" t="s">
        <v>151</v>
      </c>
      <c r="AA363" s="0" t="s">
        <v>151</v>
      </c>
      <c r="AB363" s="0" t="s">
        <v>160</v>
      </c>
      <c r="AC363" s="0" t="s">
        <v>2315</v>
      </c>
      <c r="AD363" s="0" t="s">
        <v>2315</v>
      </c>
      <c r="AE363" s="0" t="s">
        <v>2316</v>
      </c>
      <c r="AF363" s="0" t="s">
        <v>4380</v>
      </c>
      <c r="AG363" s="0" t="s">
        <v>4381</v>
      </c>
      <c r="AH363" s="0" t="s">
        <v>3651</v>
      </c>
      <c r="AI363" s="0" t="s">
        <v>3651</v>
      </c>
      <c r="AJ363" s="0" t="s">
        <v>228</v>
      </c>
      <c r="AK363" s="0" t="s">
        <v>228</v>
      </c>
      <c r="AL363" s="0" t="s">
        <v>228</v>
      </c>
      <c r="AM363" s="0" t="s">
        <v>228</v>
      </c>
      <c r="AN363" s="0" t="s">
        <v>228</v>
      </c>
      <c r="AO363" s="0" t="s">
        <v>228</v>
      </c>
      <c r="AP363" s="0" t="s">
        <v>228</v>
      </c>
      <c r="AQ363" s="0" t="s">
        <v>228</v>
      </c>
      <c r="AR363" s="0" t="s">
        <v>228</v>
      </c>
      <c r="AS363" s="0" t="s">
        <v>228</v>
      </c>
      <c r="AT363" s="0" t="s">
        <v>228</v>
      </c>
      <c r="AU363" s="0" t="s">
        <v>228</v>
      </c>
      <c r="AV363" s="0" t="s">
        <v>228</v>
      </c>
      <c r="AW363" s="0" t="s">
        <v>228</v>
      </c>
      <c r="AX363" s="0" t="s">
        <v>228</v>
      </c>
      <c r="AY363" s="0" t="s">
        <v>228</v>
      </c>
      <c r="AZ363" s="0" t="s">
        <v>228</v>
      </c>
      <c r="BA363" s="0" t="s">
        <v>228</v>
      </c>
      <c r="BB363" s="0" t="s">
        <v>228</v>
      </c>
      <c r="BC363" s="0" t="s">
        <v>228</v>
      </c>
      <c r="BD363" s="0" t="s">
        <v>228</v>
      </c>
      <c r="BE363" s="0" t="s">
        <v>3652</v>
      </c>
      <c r="BF363" s="0" t="s">
        <v>4383</v>
      </c>
      <c r="BG363" s="0" t="s">
        <v>111</v>
      </c>
      <c r="BH363" s="0" t="s">
        <v>3665</v>
      </c>
      <c r="BI363" s="0" t="s">
        <v>122</v>
      </c>
      <c r="BJ363" s="0" t="s">
        <v>228</v>
      </c>
      <c r="BK363" s="0" t="s">
        <v>3684</v>
      </c>
      <c r="BL363" s="0" t="s">
        <v>2315</v>
      </c>
      <c r="BM363" s="0" t="s">
        <v>2315</v>
      </c>
      <c r="BN363" s="0" t="s">
        <v>3875</v>
      </c>
      <c r="BO363" s="0" t="s">
        <v>4380</v>
      </c>
      <c r="BP363" s="0" t="s">
        <v>4440</v>
      </c>
      <c r="BQ363" s="0" t="s">
        <v>3651</v>
      </c>
      <c r="BR363" s="0" t="s">
        <v>3651</v>
      </c>
      <c r="BS363" s="0" t="s">
        <v>228</v>
      </c>
      <c r="BT363" s="0" t="s">
        <v>3727</v>
      </c>
      <c r="BU363" s="0" t="s">
        <v>4441</v>
      </c>
      <c r="BV363" s="0" t="s">
        <v>4441</v>
      </c>
      <c r="BW363" s="0" t="s">
        <v>3674</v>
      </c>
      <c r="BX363" s="0" t="s">
        <v>3674</v>
      </c>
      <c r="BY363" s="0" t="s">
        <v>3674</v>
      </c>
      <c r="BZ363" s="0" t="s">
        <v>3674</v>
      </c>
      <c r="CA363" s="0" t="s">
        <v>3674</v>
      </c>
      <c r="CB363" s="0" t="s">
        <v>228</v>
      </c>
      <c r="CC363" s="0" t="s">
        <v>228</v>
      </c>
      <c r="CD363" s="0" t="s">
        <v>228</v>
      </c>
      <c r="CE363" s="0" t="s">
        <v>228</v>
      </c>
      <c r="CF363" s="0" t="s">
        <v>228</v>
      </c>
      <c r="CG363" s="0" t="s">
        <v>3674</v>
      </c>
      <c r="CH363" s="0" t="s">
        <v>228</v>
      </c>
      <c r="CI363" s="0" t="s">
        <v>228</v>
      </c>
      <c r="CJ363" s="0" t="s">
        <v>228</v>
      </c>
      <c r="CK363" s="0" t="s">
        <v>228</v>
      </c>
      <c r="CL363" s="0" t="s">
        <v>228</v>
      </c>
      <c r="CM363" s="0" t="s">
        <v>4441</v>
      </c>
      <c r="CN363" s="0" t="s">
        <v>4441</v>
      </c>
      <c r="CO363" s="0" t="s">
        <v>228</v>
      </c>
      <c r="CP363" s="0" t="s">
        <v>228</v>
      </c>
      <c r="CQ363" s="0" t="s">
        <v>228</v>
      </c>
      <c r="CR363" s="0" t="s">
        <v>228</v>
      </c>
      <c r="CS363" s="0" t="s">
        <v>3563</v>
      </c>
      <c r="CT363" s="0" t="s">
        <v>3568</v>
      </c>
      <c r="CU363" s="0" t="s">
        <v>3569</v>
      </c>
      <c r="CV363" s="0" t="s">
        <v>418</v>
      </c>
      <c r="CW363" s="0" t="s">
        <v>3656</v>
      </c>
      <c r="CX363" s="0" t="s">
        <v>419</v>
      </c>
      <c r="CY363" s="0" t="s">
        <v>418</v>
      </c>
      <c r="CZ363" s="0" t="s">
        <v>3657</v>
      </c>
      <c r="DA363" s="0" t="s">
        <v>3658</v>
      </c>
      <c r="DB363" s="0" t="s">
        <v>3656</v>
      </c>
      <c r="DC363" s="0" t="s">
        <v>362</v>
      </c>
      <c r="DD363" s="0" t="s">
        <v>3572</v>
      </c>
      <c r="DE363" s="0" t="s">
        <v>4442</v>
      </c>
    </row>
    <row customHeight="1" ht="11.25">
      <c r="A364" s="1353" t="s">
        <v>228</v>
      </c>
      <c r="B364" s="0" t="s">
        <v>228</v>
      </c>
      <c r="C364" s="0" t="s">
        <v>228</v>
      </c>
      <c r="D364" s="0" t="s">
        <v>228</v>
      </c>
      <c r="E364" s="0" t="s">
        <v>228</v>
      </c>
      <c r="F364" s="0" t="s">
        <v>228</v>
      </c>
      <c r="G364" s="0" t="s">
        <v>228</v>
      </c>
      <c r="H364" s="0" t="s">
        <v>228</v>
      </c>
      <c r="I364" s="0" t="s">
        <v>3555</v>
      </c>
      <c r="J364" s="0" t="s">
        <v>228</v>
      </c>
      <c r="K364" s="0" t="s">
        <v>228</v>
      </c>
      <c r="L364" s="0" t="s">
        <v>228</v>
      </c>
      <c r="M364" s="0" t="s">
        <v>228</v>
      </c>
      <c r="N364" s="0" t="s">
        <v>228</v>
      </c>
      <c r="O364" s="0" t="s">
        <v>228</v>
      </c>
      <c r="P364" s="0" t="s">
        <v>228</v>
      </c>
      <c r="Q364" s="0" t="s">
        <v>228</v>
      </c>
      <c r="R364" s="0" t="s">
        <v>4644</v>
      </c>
      <c r="S364" s="0" t="s">
        <v>228</v>
      </c>
      <c r="T364" s="0" t="s">
        <v>228</v>
      </c>
      <c r="U364" s="0" t="s">
        <v>101</v>
      </c>
      <c r="V364" s="0" t="s">
        <v>228</v>
      </c>
      <c r="W364" s="0" t="s">
        <v>228</v>
      </c>
      <c r="X364" s="0" t="s">
        <v>3557</v>
      </c>
      <c r="Y364" s="0" t="s">
        <v>228</v>
      </c>
      <c r="Z364" s="0" t="s">
        <v>160</v>
      </c>
      <c r="AA364" s="0" t="s">
        <v>151</v>
      </c>
      <c r="AB364" s="0" t="s">
        <v>151</v>
      </c>
      <c r="AC364" s="0" t="s">
        <v>2311</v>
      </c>
      <c r="AD364" s="0" t="s">
        <v>2311</v>
      </c>
      <c r="AE364" s="0" t="s">
        <v>2312</v>
      </c>
      <c r="AF364" s="0" t="s">
        <v>3685</v>
      </c>
      <c r="AG364" s="0" t="s">
        <v>3686</v>
      </c>
      <c r="AH364" s="0" t="s">
        <v>4645</v>
      </c>
      <c r="AI364" s="0" t="s">
        <v>4646</v>
      </c>
      <c r="AJ364" s="0" t="s">
        <v>3652</v>
      </c>
      <c r="AK364" s="0" t="s">
        <v>4647</v>
      </c>
      <c r="AL364" s="0" t="s">
        <v>3581</v>
      </c>
      <c r="AM364" s="0" t="s">
        <v>3565</v>
      </c>
      <c r="AN364" s="0" t="s">
        <v>3628</v>
      </c>
      <c r="AO364" s="0" t="s">
        <v>3823</v>
      </c>
      <c r="AP364" s="0" t="s">
        <v>228</v>
      </c>
      <c r="AQ364" s="0" t="s">
        <v>228</v>
      </c>
      <c r="AR364" s="0" t="s">
        <v>228</v>
      </c>
      <c r="AS364" s="0" t="s">
        <v>228</v>
      </c>
      <c r="AT364" s="0" t="s">
        <v>228</v>
      </c>
      <c r="AU364" s="0" t="s">
        <v>228</v>
      </c>
      <c r="AV364" s="0" t="s">
        <v>228</v>
      </c>
      <c r="AW364" s="0" t="s">
        <v>228</v>
      </c>
      <c r="AX364" s="0" t="s">
        <v>228</v>
      </c>
      <c r="AY364" s="0" t="s">
        <v>228</v>
      </c>
      <c r="AZ364" s="0" t="s">
        <v>228</v>
      </c>
      <c r="BA364" s="0" t="s">
        <v>228</v>
      </c>
      <c r="BB364" s="0" t="s">
        <v>228</v>
      </c>
      <c r="BC364" s="0" t="s">
        <v>228</v>
      </c>
      <c r="BD364" s="0" t="s">
        <v>228</v>
      </c>
      <c r="BE364" s="0" t="s">
        <v>228</v>
      </c>
      <c r="BF364" s="0" t="s">
        <v>228</v>
      </c>
      <c r="BG364" s="0" t="s">
        <v>228</v>
      </c>
      <c r="BH364" s="0" t="s">
        <v>228</v>
      </c>
      <c r="BI364" s="0" t="s">
        <v>228</v>
      </c>
      <c r="BJ364" s="0" t="s">
        <v>228</v>
      </c>
      <c r="BK364" s="0" t="s">
        <v>228</v>
      </c>
      <c r="BL364" s="0" t="s">
        <v>228</v>
      </c>
      <c r="BM364" s="0" t="s">
        <v>228</v>
      </c>
      <c r="BN364" s="0" t="s">
        <v>228</v>
      </c>
      <c r="BO364" s="0" t="s">
        <v>228</v>
      </c>
      <c r="BP364" s="0" t="s">
        <v>228</v>
      </c>
      <c r="BQ364" s="0" t="s">
        <v>228</v>
      </c>
      <c r="BR364" s="0" t="s">
        <v>228</v>
      </c>
      <c r="BS364" s="0" t="s">
        <v>228</v>
      </c>
      <c r="BT364" s="0" t="s">
        <v>228</v>
      </c>
      <c r="BU364" s="0" t="s">
        <v>228</v>
      </c>
      <c r="BV364" s="0" t="s">
        <v>228</v>
      </c>
      <c r="BW364" s="0" t="s">
        <v>228</v>
      </c>
      <c r="BX364" s="0" t="s">
        <v>228</v>
      </c>
      <c r="BY364" s="0" t="s">
        <v>228</v>
      </c>
      <c r="BZ364" s="0" t="s">
        <v>228</v>
      </c>
      <c r="CA364" s="0" t="s">
        <v>228</v>
      </c>
      <c r="CB364" s="0" t="s">
        <v>228</v>
      </c>
      <c r="CC364" s="0" t="s">
        <v>228</v>
      </c>
      <c r="CD364" s="0" t="s">
        <v>228</v>
      </c>
      <c r="CE364" s="0" t="s">
        <v>228</v>
      </c>
      <c r="CF364" s="0" t="s">
        <v>228</v>
      </c>
      <c r="CG364" s="0" t="s">
        <v>228</v>
      </c>
      <c r="CH364" s="0" t="s">
        <v>228</v>
      </c>
      <c r="CI364" s="0" t="s">
        <v>228</v>
      </c>
      <c r="CJ364" s="0" t="s">
        <v>228</v>
      </c>
      <c r="CK364" s="0" t="s">
        <v>228</v>
      </c>
      <c r="CL364" s="0" t="s">
        <v>228</v>
      </c>
      <c r="CM364" s="0" t="s">
        <v>228</v>
      </c>
      <c r="CN364" s="0" t="s">
        <v>228</v>
      </c>
      <c r="CO364" s="0" t="s">
        <v>228</v>
      </c>
      <c r="CP364" s="0" t="s">
        <v>228</v>
      </c>
      <c r="CQ364" s="0" t="s">
        <v>228</v>
      </c>
      <c r="CR364" s="0" t="s">
        <v>228</v>
      </c>
      <c r="CS364" s="0" t="s">
        <v>228</v>
      </c>
      <c r="CT364" s="0" t="s">
        <v>3568</v>
      </c>
      <c r="CU364" s="0" t="s">
        <v>4648</v>
      </c>
      <c r="CV364" s="0" t="s">
        <v>4649</v>
      </c>
      <c r="CW364" s="0" t="s">
        <v>4650</v>
      </c>
      <c r="CX364" s="0" t="s">
        <v>200</v>
      </c>
      <c r="CY364" s="0" t="s">
        <v>4651</v>
      </c>
      <c r="CZ364" s="0" t="s">
        <v>4652</v>
      </c>
      <c r="DA364" s="0" t="s">
        <v>4653</v>
      </c>
      <c r="DB364" s="0" t="s">
        <v>4650</v>
      </c>
      <c r="DC364" s="0" t="s">
        <v>362</v>
      </c>
      <c r="DD364" s="0" t="s">
        <v>3572</v>
      </c>
      <c r="DE364" s="0" t="s">
        <v>4654</v>
      </c>
    </row>
    <row customHeight="1" ht="11.25">
      <c r="A365" s="1353" t="s">
        <v>228</v>
      </c>
      <c r="B365" s="0" t="s">
        <v>228</v>
      </c>
      <c r="C365" s="0" t="s">
        <v>228</v>
      </c>
      <c r="D365" s="0" t="s">
        <v>228</v>
      </c>
      <c r="E365" s="0" t="s">
        <v>228</v>
      </c>
      <c r="F365" s="0" t="s">
        <v>228</v>
      </c>
      <c r="G365" s="0" t="s">
        <v>228</v>
      </c>
      <c r="H365" s="0" t="s">
        <v>228</v>
      </c>
      <c r="I365" s="0" t="s">
        <v>3555</v>
      </c>
      <c r="J365" s="0" t="s">
        <v>228</v>
      </c>
      <c r="K365" s="0" t="s">
        <v>228</v>
      </c>
      <c r="L365" s="0" t="s">
        <v>228</v>
      </c>
      <c r="M365" s="0" t="s">
        <v>228</v>
      </c>
      <c r="N365" s="0" t="s">
        <v>228</v>
      </c>
      <c r="O365" s="0" t="s">
        <v>228</v>
      </c>
      <c r="P365" s="0" t="s">
        <v>228</v>
      </c>
      <c r="Q365" s="0" t="s">
        <v>228</v>
      </c>
      <c r="R365" s="0" t="s">
        <v>4880</v>
      </c>
      <c r="S365" s="0" t="s">
        <v>228</v>
      </c>
      <c r="T365" s="0" t="s">
        <v>228</v>
      </c>
      <c r="U365" s="0" t="s">
        <v>101</v>
      </c>
      <c r="V365" s="0" t="s">
        <v>228</v>
      </c>
      <c r="W365" s="0" t="s">
        <v>228</v>
      </c>
      <c r="X365" s="0" t="s">
        <v>3557</v>
      </c>
      <c r="Y365" s="0" t="s">
        <v>228</v>
      </c>
      <c r="Z365" s="0" t="s">
        <v>160</v>
      </c>
      <c r="AA365" s="0" t="s">
        <v>151</v>
      </c>
      <c r="AB365" s="0" t="s">
        <v>151</v>
      </c>
      <c r="AC365" s="0" t="s">
        <v>2311</v>
      </c>
      <c r="AD365" s="0" t="s">
        <v>2311</v>
      </c>
      <c r="AE365" s="0" t="s">
        <v>2312</v>
      </c>
      <c r="AF365" s="0" t="s">
        <v>4116</v>
      </c>
      <c r="AG365" s="0" t="s">
        <v>4117</v>
      </c>
      <c r="AH365" s="0" t="s">
        <v>4881</v>
      </c>
      <c r="AI365" s="0" t="s">
        <v>3926</v>
      </c>
      <c r="AJ365" s="0" t="s">
        <v>3652</v>
      </c>
      <c r="AK365" s="0" t="s">
        <v>3652</v>
      </c>
      <c r="AL365" s="0" t="s">
        <v>3581</v>
      </c>
      <c r="AM365" s="0" t="s">
        <v>3565</v>
      </c>
      <c r="AN365" s="0" t="s">
        <v>3628</v>
      </c>
      <c r="AO365" s="0" t="s">
        <v>4184</v>
      </c>
      <c r="AP365" s="0" t="s">
        <v>228</v>
      </c>
      <c r="AQ365" s="0" t="s">
        <v>228</v>
      </c>
      <c r="AR365" s="0" t="s">
        <v>228</v>
      </c>
      <c r="AS365" s="0" t="s">
        <v>228</v>
      </c>
      <c r="AT365" s="0" t="s">
        <v>228</v>
      </c>
      <c r="AU365" s="0" t="s">
        <v>228</v>
      </c>
      <c r="AV365" s="0" t="s">
        <v>228</v>
      </c>
      <c r="AW365" s="0" t="s">
        <v>228</v>
      </c>
      <c r="AX365" s="0" t="s">
        <v>228</v>
      </c>
      <c r="AY365" s="0" t="s">
        <v>228</v>
      </c>
      <c r="AZ365" s="0" t="s">
        <v>228</v>
      </c>
      <c r="BA365" s="0" t="s">
        <v>228</v>
      </c>
      <c r="BB365" s="0" t="s">
        <v>228</v>
      </c>
      <c r="BC365" s="0" t="s">
        <v>228</v>
      </c>
      <c r="BD365" s="0" t="s">
        <v>228</v>
      </c>
      <c r="BE365" s="0" t="s">
        <v>228</v>
      </c>
      <c r="BF365" s="0" t="s">
        <v>228</v>
      </c>
      <c r="BG365" s="0" t="s">
        <v>228</v>
      </c>
      <c r="BH365" s="0" t="s">
        <v>228</v>
      </c>
      <c r="BI365" s="0" t="s">
        <v>228</v>
      </c>
      <c r="BJ365" s="0" t="s">
        <v>228</v>
      </c>
      <c r="BK365" s="0" t="s">
        <v>228</v>
      </c>
      <c r="BL365" s="0" t="s">
        <v>228</v>
      </c>
      <c r="BM365" s="0" t="s">
        <v>228</v>
      </c>
      <c r="BN365" s="0" t="s">
        <v>228</v>
      </c>
      <c r="BO365" s="0" t="s">
        <v>228</v>
      </c>
      <c r="BP365" s="0" t="s">
        <v>228</v>
      </c>
      <c r="BQ365" s="0" t="s">
        <v>228</v>
      </c>
      <c r="BR365" s="0" t="s">
        <v>228</v>
      </c>
      <c r="BS365" s="0" t="s">
        <v>228</v>
      </c>
      <c r="BT365" s="0" t="s">
        <v>228</v>
      </c>
      <c r="BU365" s="0" t="s">
        <v>228</v>
      </c>
      <c r="BV365" s="0" t="s">
        <v>228</v>
      </c>
      <c r="BW365" s="0" t="s">
        <v>228</v>
      </c>
      <c r="BX365" s="0" t="s">
        <v>228</v>
      </c>
      <c r="BY365" s="0" t="s">
        <v>228</v>
      </c>
      <c r="BZ365" s="0" t="s">
        <v>228</v>
      </c>
      <c r="CA365" s="0" t="s">
        <v>228</v>
      </c>
      <c r="CB365" s="0" t="s">
        <v>228</v>
      </c>
      <c r="CC365" s="0" t="s">
        <v>228</v>
      </c>
      <c r="CD365" s="0" t="s">
        <v>228</v>
      </c>
      <c r="CE365" s="0" t="s">
        <v>228</v>
      </c>
      <c r="CF365" s="0" t="s">
        <v>228</v>
      </c>
      <c r="CG365" s="0" t="s">
        <v>228</v>
      </c>
      <c r="CH365" s="0" t="s">
        <v>228</v>
      </c>
      <c r="CI365" s="0" t="s">
        <v>228</v>
      </c>
      <c r="CJ365" s="0" t="s">
        <v>228</v>
      </c>
      <c r="CK365" s="0" t="s">
        <v>228</v>
      </c>
      <c r="CL365" s="0" t="s">
        <v>228</v>
      </c>
      <c r="CM365" s="0" t="s">
        <v>228</v>
      </c>
      <c r="CN365" s="0" t="s">
        <v>228</v>
      </c>
      <c r="CO365" s="0" t="s">
        <v>228</v>
      </c>
      <c r="CP365" s="0" t="s">
        <v>228</v>
      </c>
      <c r="CQ365" s="0" t="s">
        <v>228</v>
      </c>
      <c r="CR365" s="0" t="s">
        <v>228</v>
      </c>
      <c r="CS365" s="0" t="s">
        <v>228</v>
      </c>
      <c r="CT365" s="0" t="s">
        <v>3568</v>
      </c>
      <c r="CU365" s="0" t="s">
        <v>3569</v>
      </c>
      <c r="CV365" s="0" t="s">
        <v>418</v>
      </c>
      <c r="CW365" s="0" t="s">
        <v>3584</v>
      </c>
      <c r="CX365" s="0" t="s">
        <v>419</v>
      </c>
      <c r="CY365" s="0" t="s">
        <v>418</v>
      </c>
      <c r="CZ365" s="0" t="s">
        <v>3585</v>
      </c>
      <c r="DA365" s="0" t="s">
        <v>3586</v>
      </c>
      <c r="DB365" s="0" t="s">
        <v>3584</v>
      </c>
      <c r="DC365" s="0" t="s">
        <v>362</v>
      </c>
      <c r="DD365" s="0" t="s">
        <v>3572</v>
      </c>
      <c r="DE365" s="0" t="s">
        <v>4882</v>
      </c>
    </row>
    <row customHeight="1" ht="11.25">
      <c r="A366" s="1353" t="s">
        <v>228</v>
      </c>
      <c r="B366" s="0" t="s">
        <v>228</v>
      </c>
      <c r="C366" s="0" t="s">
        <v>228</v>
      </c>
      <c r="D366" s="0" t="s">
        <v>228</v>
      </c>
      <c r="E366" s="0" t="s">
        <v>228</v>
      </c>
      <c r="F366" s="0" t="s">
        <v>228</v>
      </c>
      <c r="G366" s="0" t="s">
        <v>228</v>
      </c>
      <c r="H366" s="0" t="s">
        <v>228</v>
      </c>
      <c r="I366" s="0" t="s">
        <v>3555</v>
      </c>
      <c r="J366" s="0" t="s">
        <v>228</v>
      </c>
      <c r="K366" s="0" t="s">
        <v>228</v>
      </c>
      <c r="L366" s="0" t="s">
        <v>228</v>
      </c>
      <c r="M366" s="0" t="s">
        <v>228</v>
      </c>
      <c r="N366" s="0" t="s">
        <v>228</v>
      </c>
      <c r="O366" s="0" t="s">
        <v>228</v>
      </c>
      <c r="P366" s="0" t="s">
        <v>228</v>
      </c>
      <c r="Q366" s="0" t="s">
        <v>228</v>
      </c>
      <c r="R366" s="0" t="s">
        <v>5065</v>
      </c>
      <c r="S366" s="0" t="s">
        <v>228</v>
      </c>
      <c r="T366" s="0" t="s">
        <v>228</v>
      </c>
      <c r="U366" s="0" t="s">
        <v>101</v>
      </c>
      <c r="V366" s="0" t="s">
        <v>228</v>
      </c>
      <c r="W366" s="0" t="s">
        <v>228</v>
      </c>
      <c r="X366" s="0" t="s">
        <v>3557</v>
      </c>
      <c r="Y366" s="0" t="s">
        <v>228</v>
      </c>
      <c r="Z366" s="0" t="s">
        <v>160</v>
      </c>
      <c r="AA366" s="0" t="s">
        <v>151</v>
      </c>
      <c r="AB366" s="0" t="s">
        <v>151</v>
      </c>
      <c r="AC366" s="0" t="s">
        <v>2715</v>
      </c>
      <c r="AD366" s="0" t="s">
        <v>2715</v>
      </c>
      <c r="AE366" s="0" t="s">
        <v>2716</v>
      </c>
      <c r="AF366" s="0" t="s">
        <v>3594</v>
      </c>
      <c r="AG366" s="0" t="s">
        <v>3595</v>
      </c>
      <c r="AH366" s="0" t="s">
        <v>5066</v>
      </c>
      <c r="AI366" s="0" t="s">
        <v>3651</v>
      </c>
      <c r="AJ366" s="0" t="s">
        <v>5067</v>
      </c>
      <c r="AK366" s="0" t="s">
        <v>5068</v>
      </c>
      <c r="AL366" s="0" t="s">
        <v>3564</v>
      </c>
      <c r="AM366" s="0" t="s">
        <v>3565</v>
      </c>
      <c r="AN366" s="0" t="s">
        <v>3674</v>
      </c>
      <c r="AO366" s="0" t="s">
        <v>5069</v>
      </c>
      <c r="AP366" s="0" t="s">
        <v>228</v>
      </c>
      <c r="AQ366" s="0" t="s">
        <v>228</v>
      </c>
      <c r="AR366" s="0" t="s">
        <v>228</v>
      </c>
      <c r="AS366" s="0" t="s">
        <v>228</v>
      </c>
      <c r="AT366" s="0" t="s">
        <v>228</v>
      </c>
      <c r="AU366" s="0" t="s">
        <v>228</v>
      </c>
      <c r="AV366" s="0" t="s">
        <v>228</v>
      </c>
      <c r="AW366" s="0" t="s">
        <v>228</v>
      </c>
      <c r="AX366" s="0" t="s">
        <v>228</v>
      </c>
      <c r="AY366" s="0" t="s">
        <v>228</v>
      </c>
      <c r="AZ366" s="0" t="s">
        <v>228</v>
      </c>
      <c r="BA366" s="0" t="s">
        <v>228</v>
      </c>
      <c r="BB366" s="0" t="s">
        <v>228</v>
      </c>
      <c r="BC366" s="0" t="s">
        <v>228</v>
      </c>
      <c r="BD366" s="0" t="s">
        <v>228</v>
      </c>
      <c r="BE366" s="0" t="s">
        <v>228</v>
      </c>
      <c r="BF366" s="0" t="s">
        <v>228</v>
      </c>
      <c r="BG366" s="0" t="s">
        <v>228</v>
      </c>
      <c r="BH366" s="0" t="s">
        <v>228</v>
      </c>
      <c r="BI366" s="0" t="s">
        <v>228</v>
      </c>
      <c r="BJ366" s="0" t="s">
        <v>228</v>
      </c>
      <c r="BK366" s="0" t="s">
        <v>228</v>
      </c>
      <c r="BL366" s="0" t="s">
        <v>228</v>
      </c>
      <c r="BM366" s="0" t="s">
        <v>228</v>
      </c>
      <c r="BN366" s="0" t="s">
        <v>228</v>
      </c>
      <c r="BO366" s="0" t="s">
        <v>228</v>
      </c>
      <c r="BP366" s="0" t="s">
        <v>228</v>
      </c>
      <c r="BQ366" s="0" t="s">
        <v>228</v>
      </c>
      <c r="BR366" s="0" t="s">
        <v>228</v>
      </c>
      <c r="BS366" s="0" t="s">
        <v>228</v>
      </c>
      <c r="BT366" s="0" t="s">
        <v>228</v>
      </c>
      <c r="BU366" s="0" t="s">
        <v>228</v>
      </c>
      <c r="BV366" s="0" t="s">
        <v>228</v>
      </c>
      <c r="BW366" s="0" t="s">
        <v>228</v>
      </c>
      <c r="BX366" s="0" t="s">
        <v>228</v>
      </c>
      <c r="BY366" s="0" t="s">
        <v>228</v>
      </c>
      <c r="BZ366" s="0" t="s">
        <v>228</v>
      </c>
      <c r="CA366" s="0" t="s">
        <v>228</v>
      </c>
      <c r="CB366" s="0" t="s">
        <v>228</v>
      </c>
      <c r="CC366" s="0" t="s">
        <v>228</v>
      </c>
      <c r="CD366" s="0" t="s">
        <v>228</v>
      </c>
      <c r="CE366" s="0" t="s">
        <v>228</v>
      </c>
      <c r="CF366" s="0" t="s">
        <v>228</v>
      </c>
      <c r="CG366" s="0" t="s">
        <v>228</v>
      </c>
      <c r="CH366" s="0" t="s">
        <v>228</v>
      </c>
      <c r="CI366" s="0" t="s">
        <v>228</v>
      </c>
      <c r="CJ366" s="0" t="s">
        <v>228</v>
      </c>
      <c r="CK366" s="0" t="s">
        <v>228</v>
      </c>
      <c r="CL366" s="0" t="s">
        <v>228</v>
      </c>
      <c r="CM366" s="0" t="s">
        <v>228</v>
      </c>
      <c r="CN366" s="0" t="s">
        <v>228</v>
      </c>
      <c r="CO366" s="0" t="s">
        <v>228</v>
      </c>
      <c r="CP366" s="0" t="s">
        <v>228</v>
      </c>
      <c r="CQ366" s="0" t="s">
        <v>228</v>
      </c>
      <c r="CR366" s="0" t="s">
        <v>228</v>
      </c>
      <c r="CS366" s="0" t="s">
        <v>228</v>
      </c>
      <c r="CT366" s="0" t="s">
        <v>3568</v>
      </c>
      <c r="CU366" s="0" t="s">
        <v>3569</v>
      </c>
      <c r="CV366" s="0" t="s">
        <v>418</v>
      </c>
      <c r="CW366" s="0" t="s">
        <v>3602</v>
      </c>
      <c r="CX366" s="0" t="s">
        <v>419</v>
      </c>
      <c r="CY366" s="0" t="s">
        <v>418</v>
      </c>
      <c r="CZ366" s="0" t="s">
        <v>504</v>
      </c>
      <c r="DA366" s="0" t="s">
        <v>3604</v>
      </c>
      <c r="DB366" s="0" t="s">
        <v>3602</v>
      </c>
      <c r="DC366" s="0" t="s">
        <v>362</v>
      </c>
      <c r="DD366" s="0" t="s">
        <v>3572</v>
      </c>
      <c r="DE366" s="0" t="s">
        <v>5070</v>
      </c>
    </row>
    <row customHeight="1" ht="11.25">
      <c r="A367" s="1353" t="s">
        <v>228</v>
      </c>
      <c r="B367" s="0" t="s">
        <v>228</v>
      </c>
      <c r="C367" s="0" t="s">
        <v>228</v>
      </c>
      <c r="D367" s="0" t="s">
        <v>228</v>
      </c>
      <c r="E367" s="0" t="s">
        <v>228</v>
      </c>
      <c r="F367" s="0" t="s">
        <v>228</v>
      </c>
      <c r="G367" s="0" t="s">
        <v>228</v>
      </c>
      <c r="H367" s="0" t="s">
        <v>228</v>
      </c>
      <c r="I367" s="0" t="s">
        <v>3555</v>
      </c>
      <c r="J367" s="0" t="s">
        <v>228</v>
      </c>
      <c r="K367" s="0" t="s">
        <v>228</v>
      </c>
      <c r="L367" s="0" t="s">
        <v>228</v>
      </c>
      <c r="M367" s="0" t="s">
        <v>228</v>
      </c>
      <c r="N367" s="0" t="s">
        <v>228</v>
      </c>
      <c r="O367" s="0" t="s">
        <v>228</v>
      </c>
      <c r="P367" s="0" t="s">
        <v>228</v>
      </c>
      <c r="Q367" s="0" t="s">
        <v>228</v>
      </c>
      <c r="R367" s="0" t="s">
        <v>4007</v>
      </c>
      <c r="S367" s="0" t="s">
        <v>228</v>
      </c>
      <c r="T367" s="0" t="s">
        <v>228</v>
      </c>
      <c r="U367" s="0" t="s">
        <v>101</v>
      </c>
      <c r="V367" s="0" t="s">
        <v>228</v>
      </c>
      <c r="W367" s="0" t="s">
        <v>228</v>
      </c>
      <c r="X367" s="0" t="s">
        <v>3557</v>
      </c>
      <c r="Y367" s="0" t="s">
        <v>228</v>
      </c>
      <c r="Z367" s="0" t="s">
        <v>160</v>
      </c>
      <c r="AA367" s="0" t="s">
        <v>151</v>
      </c>
      <c r="AB367" s="0" t="s">
        <v>151</v>
      </c>
      <c r="AC367" s="0" t="s">
        <v>2317</v>
      </c>
      <c r="AD367" s="0" t="s">
        <v>2317</v>
      </c>
      <c r="AE367" s="0" t="s">
        <v>2318</v>
      </c>
      <c r="AF367" s="0" t="s">
        <v>3826</v>
      </c>
      <c r="AG367" s="0" t="s">
        <v>3827</v>
      </c>
      <c r="AH367" s="0" t="s">
        <v>4435</v>
      </c>
      <c r="AI367" s="0" t="s">
        <v>3926</v>
      </c>
      <c r="AJ367" s="0" t="s">
        <v>3579</v>
      </c>
      <c r="AK367" s="0" t="s">
        <v>3833</v>
      </c>
      <c r="AL367" s="0" t="s">
        <v>3581</v>
      </c>
      <c r="AM367" s="0" t="s">
        <v>3565</v>
      </c>
      <c r="AN367" s="0" t="s">
        <v>3628</v>
      </c>
      <c r="AO367" s="0" t="s">
        <v>4157</v>
      </c>
      <c r="AP367" s="0" t="s">
        <v>228</v>
      </c>
      <c r="AQ367" s="0" t="s">
        <v>228</v>
      </c>
      <c r="AR367" s="0" t="s">
        <v>228</v>
      </c>
      <c r="AS367" s="0" t="s">
        <v>228</v>
      </c>
      <c r="AT367" s="0" t="s">
        <v>228</v>
      </c>
      <c r="AU367" s="0" t="s">
        <v>228</v>
      </c>
      <c r="AV367" s="0" t="s">
        <v>228</v>
      </c>
      <c r="AW367" s="0" t="s">
        <v>228</v>
      </c>
      <c r="AX367" s="0" t="s">
        <v>228</v>
      </c>
      <c r="AY367" s="0" t="s">
        <v>228</v>
      </c>
      <c r="AZ367" s="0" t="s">
        <v>228</v>
      </c>
      <c r="BA367" s="0" t="s">
        <v>228</v>
      </c>
      <c r="BB367" s="0" t="s">
        <v>228</v>
      </c>
      <c r="BC367" s="0" t="s">
        <v>228</v>
      </c>
      <c r="BD367" s="0" t="s">
        <v>228</v>
      </c>
      <c r="BE367" s="0" t="s">
        <v>228</v>
      </c>
      <c r="BF367" s="0" t="s">
        <v>228</v>
      </c>
      <c r="BG367" s="0" t="s">
        <v>228</v>
      </c>
      <c r="BH367" s="0" t="s">
        <v>228</v>
      </c>
      <c r="BI367" s="0" t="s">
        <v>228</v>
      </c>
      <c r="BJ367" s="0" t="s">
        <v>228</v>
      </c>
      <c r="BK367" s="0" t="s">
        <v>228</v>
      </c>
      <c r="BL367" s="0" t="s">
        <v>228</v>
      </c>
      <c r="BM367" s="0" t="s">
        <v>228</v>
      </c>
      <c r="BN367" s="0" t="s">
        <v>228</v>
      </c>
      <c r="BO367" s="0" t="s">
        <v>228</v>
      </c>
      <c r="BP367" s="0" t="s">
        <v>228</v>
      </c>
      <c r="BQ367" s="0" t="s">
        <v>228</v>
      </c>
      <c r="BR367" s="0" t="s">
        <v>228</v>
      </c>
      <c r="BS367" s="0" t="s">
        <v>228</v>
      </c>
      <c r="BT367" s="0" t="s">
        <v>228</v>
      </c>
      <c r="BU367" s="0" t="s">
        <v>228</v>
      </c>
      <c r="BV367" s="0" t="s">
        <v>228</v>
      </c>
      <c r="BW367" s="0" t="s">
        <v>228</v>
      </c>
      <c r="BX367" s="0" t="s">
        <v>228</v>
      </c>
      <c r="BY367" s="0" t="s">
        <v>228</v>
      </c>
      <c r="BZ367" s="0" t="s">
        <v>228</v>
      </c>
      <c r="CA367" s="0" t="s">
        <v>228</v>
      </c>
      <c r="CB367" s="0" t="s">
        <v>228</v>
      </c>
      <c r="CC367" s="0" t="s">
        <v>228</v>
      </c>
      <c r="CD367" s="0" t="s">
        <v>228</v>
      </c>
      <c r="CE367" s="0" t="s">
        <v>228</v>
      </c>
      <c r="CF367" s="0" t="s">
        <v>228</v>
      </c>
      <c r="CG367" s="0" t="s">
        <v>228</v>
      </c>
      <c r="CH367" s="0" t="s">
        <v>228</v>
      </c>
      <c r="CI367" s="0" t="s">
        <v>228</v>
      </c>
      <c r="CJ367" s="0" t="s">
        <v>228</v>
      </c>
      <c r="CK367" s="0" t="s">
        <v>228</v>
      </c>
      <c r="CL367" s="0" t="s">
        <v>228</v>
      </c>
      <c r="CM367" s="0" t="s">
        <v>228</v>
      </c>
      <c r="CN367" s="0" t="s">
        <v>228</v>
      </c>
      <c r="CO367" s="0" t="s">
        <v>228</v>
      </c>
      <c r="CP367" s="0" t="s">
        <v>228</v>
      </c>
      <c r="CQ367" s="0" t="s">
        <v>228</v>
      </c>
      <c r="CR367" s="0" t="s">
        <v>228</v>
      </c>
      <c r="CS367" s="0" t="s">
        <v>228</v>
      </c>
      <c r="CT367" s="0" t="s">
        <v>3568</v>
      </c>
      <c r="CU367" s="0" t="s">
        <v>3569</v>
      </c>
      <c r="CV367" s="0" t="s">
        <v>418</v>
      </c>
      <c r="CW367" s="0" t="s">
        <v>3622</v>
      </c>
      <c r="CX367" s="0" t="s">
        <v>419</v>
      </c>
      <c r="CY367" s="0" t="s">
        <v>418</v>
      </c>
      <c r="CZ367" s="0" t="s">
        <v>3623</v>
      </c>
      <c r="DA367" s="0" t="s">
        <v>3624</v>
      </c>
      <c r="DB367" s="0" t="s">
        <v>3622</v>
      </c>
      <c r="DC367" s="0" t="s">
        <v>362</v>
      </c>
      <c r="DD367" s="0" t="s">
        <v>3572</v>
      </c>
      <c r="DE367" s="0" t="s">
        <v>4436</v>
      </c>
    </row>
    <row customHeight="1" ht="11.25">
      <c r="A368" s="1353" t="s">
        <v>228</v>
      </c>
      <c r="B368" s="0" t="s">
        <v>228</v>
      </c>
      <c r="C368" s="0" t="s">
        <v>228</v>
      </c>
      <c r="D368" s="0" t="s">
        <v>228</v>
      </c>
      <c r="E368" s="0" t="s">
        <v>228</v>
      </c>
      <c r="F368" s="0" t="s">
        <v>228</v>
      </c>
      <c r="G368" s="0" t="s">
        <v>228</v>
      </c>
      <c r="H368" s="0" t="s">
        <v>228</v>
      </c>
      <c r="I368" s="0" t="s">
        <v>3555</v>
      </c>
      <c r="J368" s="0" t="s">
        <v>228</v>
      </c>
      <c r="K368" s="0" t="s">
        <v>228</v>
      </c>
      <c r="L368" s="0" t="s">
        <v>228</v>
      </c>
      <c r="M368" s="0" t="s">
        <v>228</v>
      </c>
      <c r="N368" s="0" t="s">
        <v>228</v>
      </c>
      <c r="O368" s="0" t="s">
        <v>228</v>
      </c>
      <c r="P368" s="0" t="s">
        <v>228</v>
      </c>
      <c r="Q368" s="0" t="s">
        <v>228</v>
      </c>
      <c r="R368" s="0" t="s">
        <v>3648</v>
      </c>
      <c r="S368" s="0" t="s">
        <v>228</v>
      </c>
      <c r="T368" s="0" t="s">
        <v>228</v>
      </c>
      <c r="U368" s="0" t="s">
        <v>101</v>
      </c>
      <c r="V368" s="0" t="s">
        <v>228</v>
      </c>
      <c r="W368" s="0" t="s">
        <v>228</v>
      </c>
      <c r="X368" s="0" t="s">
        <v>3557</v>
      </c>
      <c r="Y368" s="0" t="s">
        <v>228</v>
      </c>
      <c r="Z368" s="0" t="s">
        <v>160</v>
      </c>
      <c r="AA368" s="0" t="s">
        <v>151</v>
      </c>
      <c r="AB368" s="0" t="s">
        <v>151</v>
      </c>
      <c r="AC368" s="0" t="s">
        <v>2317</v>
      </c>
      <c r="AD368" s="0" t="s">
        <v>2317</v>
      </c>
      <c r="AE368" s="0" t="s">
        <v>2318</v>
      </c>
      <c r="AF368" s="0" t="s">
        <v>3826</v>
      </c>
      <c r="AG368" s="0" t="s">
        <v>3827</v>
      </c>
      <c r="AH368" s="0" t="s">
        <v>4680</v>
      </c>
      <c r="AI368" s="0" t="s">
        <v>4681</v>
      </c>
      <c r="AJ368" s="0" t="s">
        <v>3579</v>
      </c>
      <c r="AK368" s="0" t="s">
        <v>3808</v>
      </c>
      <c r="AL368" s="0" t="s">
        <v>3581</v>
      </c>
      <c r="AM368" s="0" t="s">
        <v>3565</v>
      </c>
      <c r="AN368" s="0" t="s">
        <v>3628</v>
      </c>
      <c r="AO368" s="0" t="s">
        <v>3823</v>
      </c>
      <c r="AP368" s="0" t="s">
        <v>228</v>
      </c>
      <c r="AQ368" s="0" t="s">
        <v>228</v>
      </c>
      <c r="AR368" s="0" t="s">
        <v>228</v>
      </c>
      <c r="AS368" s="0" t="s">
        <v>228</v>
      </c>
      <c r="AT368" s="0" t="s">
        <v>228</v>
      </c>
      <c r="AU368" s="0" t="s">
        <v>228</v>
      </c>
      <c r="AV368" s="0" t="s">
        <v>228</v>
      </c>
      <c r="AW368" s="0" t="s">
        <v>228</v>
      </c>
      <c r="AX368" s="0" t="s">
        <v>228</v>
      </c>
      <c r="AY368" s="0" t="s">
        <v>228</v>
      </c>
      <c r="AZ368" s="0" t="s">
        <v>228</v>
      </c>
      <c r="BA368" s="0" t="s">
        <v>228</v>
      </c>
      <c r="BB368" s="0" t="s">
        <v>228</v>
      </c>
      <c r="BC368" s="0" t="s">
        <v>228</v>
      </c>
      <c r="BD368" s="0" t="s">
        <v>228</v>
      </c>
      <c r="BE368" s="0" t="s">
        <v>228</v>
      </c>
      <c r="BF368" s="0" t="s">
        <v>228</v>
      </c>
      <c r="BG368" s="0" t="s">
        <v>228</v>
      </c>
      <c r="BH368" s="0" t="s">
        <v>228</v>
      </c>
      <c r="BI368" s="0" t="s">
        <v>228</v>
      </c>
      <c r="BJ368" s="0" t="s">
        <v>228</v>
      </c>
      <c r="BK368" s="0" t="s">
        <v>228</v>
      </c>
      <c r="BL368" s="0" t="s">
        <v>228</v>
      </c>
      <c r="BM368" s="0" t="s">
        <v>228</v>
      </c>
      <c r="BN368" s="0" t="s">
        <v>228</v>
      </c>
      <c r="BO368" s="0" t="s">
        <v>228</v>
      </c>
      <c r="BP368" s="0" t="s">
        <v>228</v>
      </c>
      <c r="BQ368" s="0" t="s">
        <v>228</v>
      </c>
      <c r="BR368" s="0" t="s">
        <v>228</v>
      </c>
      <c r="BS368" s="0" t="s">
        <v>228</v>
      </c>
      <c r="BT368" s="0" t="s">
        <v>228</v>
      </c>
      <c r="BU368" s="0" t="s">
        <v>228</v>
      </c>
      <c r="BV368" s="0" t="s">
        <v>228</v>
      </c>
      <c r="BW368" s="0" t="s">
        <v>228</v>
      </c>
      <c r="BX368" s="0" t="s">
        <v>228</v>
      </c>
      <c r="BY368" s="0" t="s">
        <v>228</v>
      </c>
      <c r="BZ368" s="0" t="s">
        <v>228</v>
      </c>
      <c r="CA368" s="0" t="s">
        <v>228</v>
      </c>
      <c r="CB368" s="0" t="s">
        <v>228</v>
      </c>
      <c r="CC368" s="0" t="s">
        <v>228</v>
      </c>
      <c r="CD368" s="0" t="s">
        <v>228</v>
      </c>
      <c r="CE368" s="0" t="s">
        <v>228</v>
      </c>
      <c r="CF368" s="0" t="s">
        <v>228</v>
      </c>
      <c r="CG368" s="0" t="s">
        <v>228</v>
      </c>
      <c r="CH368" s="0" t="s">
        <v>228</v>
      </c>
      <c r="CI368" s="0" t="s">
        <v>228</v>
      </c>
      <c r="CJ368" s="0" t="s">
        <v>228</v>
      </c>
      <c r="CK368" s="0" t="s">
        <v>228</v>
      </c>
      <c r="CL368" s="0" t="s">
        <v>228</v>
      </c>
      <c r="CM368" s="0" t="s">
        <v>228</v>
      </c>
      <c r="CN368" s="0" t="s">
        <v>228</v>
      </c>
      <c r="CO368" s="0" t="s">
        <v>228</v>
      </c>
      <c r="CP368" s="0" t="s">
        <v>228</v>
      </c>
      <c r="CQ368" s="0" t="s">
        <v>228</v>
      </c>
      <c r="CR368" s="0" t="s">
        <v>228</v>
      </c>
      <c r="CS368" s="0" t="s">
        <v>228</v>
      </c>
      <c r="CT368" s="0" t="s">
        <v>3568</v>
      </c>
      <c r="CU368" s="0" t="s">
        <v>3569</v>
      </c>
      <c r="CV368" s="0" t="s">
        <v>418</v>
      </c>
      <c r="CW368" s="0" t="s">
        <v>3622</v>
      </c>
      <c r="CX368" s="0" t="s">
        <v>419</v>
      </c>
      <c r="CY368" s="0" t="s">
        <v>418</v>
      </c>
      <c r="CZ368" s="0" t="s">
        <v>3623</v>
      </c>
      <c r="DA368" s="0" t="s">
        <v>3624</v>
      </c>
      <c r="DB368" s="0" t="s">
        <v>3622</v>
      </c>
      <c r="DC368" s="0" t="s">
        <v>362</v>
      </c>
      <c r="DD368" s="0" t="s">
        <v>3572</v>
      </c>
      <c r="DE368" s="0" t="s">
        <v>4682</v>
      </c>
    </row>
    <row customHeight="1" ht="11.25">
      <c r="A369" s="1353" t="s">
        <v>228</v>
      </c>
      <c r="B369" s="0" t="s">
        <v>228</v>
      </c>
      <c r="C369" s="0" t="s">
        <v>228</v>
      </c>
      <c r="D369" s="0" t="s">
        <v>228</v>
      </c>
      <c r="E369" s="0" t="s">
        <v>228</v>
      </c>
      <c r="F369" s="0" t="s">
        <v>228</v>
      </c>
      <c r="G369" s="0" t="s">
        <v>228</v>
      </c>
      <c r="H369" s="0" t="s">
        <v>228</v>
      </c>
      <c r="I369" s="0" t="s">
        <v>3555</v>
      </c>
      <c r="J369" s="0" t="s">
        <v>228</v>
      </c>
      <c r="K369" s="0" t="s">
        <v>228</v>
      </c>
      <c r="L369" s="0" t="s">
        <v>228</v>
      </c>
      <c r="M369" s="0" t="s">
        <v>228</v>
      </c>
      <c r="N369" s="0" t="s">
        <v>228</v>
      </c>
      <c r="O369" s="0" t="s">
        <v>228</v>
      </c>
      <c r="P369" s="0" t="s">
        <v>228</v>
      </c>
      <c r="Q369" s="0" t="s">
        <v>228</v>
      </c>
      <c r="R369" s="0" t="s">
        <v>5071</v>
      </c>
      <c r="S369" s="0" t="s">
        <v>228</v>
      </c>
      <c r="T369" s="0" t="s">
        <v>228</v>
      </c>
      <c r="U369" s="0" t="s">
        <v>101</v>
      </c>
      <c r="V369" s="0" t="s">
        <v>228</v>
      </c>
      <c r="W369" s="0" t="s">
        <v>228</v>
      </c>
      <c r="X369" s="0" t="s">
        <v>3557</v>
      </c>
      <c r="Y369" s="0" t="s">
        <v>228</v>
      </c>
      <c r="Z369" s="0" t="s">
        <v>160</v>
      </c>
      <c r="AA369" s="0" t="s">
        <v>151</v>
      </c>
      <c r="AB369" s="0" t="s">
        <v>151</v>
      </c>
      <c r="AC369" s="0" t="s">
        <v>2715</v>
      </c>
      <c r="AD369" s="0" t="s">
        <v>2715</v>
      </c>
      <c r="AE369" s="0" t="s">
        <v>2716</v>
      </c>
      <c r="AF369" s="0" t="s">
        <v>3594</v>
      </c>
      <c r="AG369" s="0" t="s">
        <v>3595</v>
      </c>
      <c r="AH369" s="0" t="s">
        <v>3607</v>
      </c>
      <c r="AI369" s="0" t="s">
        <v>3608</v>
      </c>
      <c r="AJ369" s="0" t="s">
        <v>3609</v>
      </c>
      <c r="AK369" s="0" t="s">
        <v>3610</v>
      </c>
      <c r="AL369" s="0" t="s">
        <v>3564</v>
      </c>
      <c r="AM369" s="0" t="s">
        <v>3565</v>
      </c>
      <c r="AN369" s="0" t="s">
        <v>3611</v>
      </c>
      <c r="AO369" s="0" t="s">
        <v>3612</v>
      </c>
      <c r="AP369" s="0" t="s">
        <v>228</v>
      </c>
      <c r="AQ369" s="0" t="s">
        <v>228</v>
      </c>
      <c r="AR369" s="0" t="s">
        <v>228</v>
      </c>
      <c r="AS369" s="0" t="s">
        <v>228</v>
      </c>
      <c r="AT369" s="0" t="s">
        <v>228</v>
      </c>
      <c r="AU369" s="0" t="s">
        <v>228</v>
      </c>
      <c r="AV369" s="0" t="s">
        <v>228</v>
      </c>
      <c r="AW369" s="0" t="s">
        <v>228</v>
      </c>
      <c r="AX369" s="0" t="s">
        <v>228</v>
      </c>
      <c r="AY369" s="0" t="s">
        <v>228</v>
      </c>
      <c r="AZ369" s="0" t="s">
        <v>228</v>
      </c>
      <c r="BA369" s="0" t="s">
        <v>228</v>
      </c>
      <c r="BB369" s="0" t="s">
        <v>228</v>
      </c>
      <c r="BC369" s="0" t="s">
        <v>228</v>
      </c>
      <c r="BD369" s="0" t="s">
        <v>228</v>
      </c>
      <c r="BE369" s="0" t="s">
        <v>228</v>
      </c>
      <c r="BF369" s="0" t="s">
        <v>228</v>
      </c>
      <c r="BG369" s="0" t="s">
        <v>228</v>
      </c>
      <c r="BH369" s="0" t="s">
        <v>228</v>
      </c>
      <c r="BI369" s="0" t="s">
        <v>228</v>
      </c>
      <c r="BJ369" s="0" t="s">
        <v>228</v>
      </c>
      <c r="BK369" s="0" t="s">
        <v>228</v>
      </c>
      <c r="BL369" s="0" t="s">
        <v>228</v>
      </c>
      <c r="BM369" s="0" t="s">
        <v>228</v>
      </c>
      <c r="BN369" s="0" t="s">
        <v>228</v>
      </c>
      <c r="BO369" s="0" t="s">
        <v>228</v>
      </c>
      <c r="BP369" s="0" t="s">
        <v>228</v>
      </c>
      <c r="BQ369" s="0" t="s">
        <v>228</v>
      </c>
      <c r="BR369" s="0" t="s">
        <v>228</v>
      </c>
      <c r="BS369" s="0" t="s">
        <v>228</v>
      </c>
      <c r="BT369" s="0" t="s">
        <v>228</v>
      </c>
      <c r="BU369" s="0" t="s">
        <v>228</v>
      </c>
      <c r="BV369" s="0" t="s">
        <v>228</v>
      </c>
      <c r="BW369" s="0" t="s">
        <v>228</v>
      </c>
      <c r="BX369" s="0" t="s">
        <v>228</v>
      </c>
      <c r="BY369" s="0" t="s">
        <v>228</v>
      </c>
      <c r="BZ369" s="0" t="s">
        <v>228</v>
      </c>
      <c r="CA369" s="0" t="s">
        <v>228</v>
      </c>
      <c r="CB369" s="0" t="s">
        <v>228</v>
      </c>
      <c r="CC369" s="0" t="s">
        <v>228</v>
      </c>
      <c r="CD369" s="0" t="s">
        <v>228</v>
      </c>
      <c r="CE369" s="0" t="s">
        <v>228</v>
      </c>
      <c r="CF369" s="0" t="s">
        <v>228</v>
      </c>
      <c r="CG369" s="0" t="s">
        <v>228</v>
      </c>
      <c r="CH369" s="0" t="s">
        <v>228</v>
      </c>
      <c r="CI369" s="0" t="s">
        <v>228</v>
      </c>
      <c r="CJ369" s="0" t="s">
        <v>228</v>
      </c>
      <c r="CK369" s="0" t="s">
        <v>228</v>
      </c>
      <c r="CL369" s="0" t="s">
        <v>228</v>
      </c>
      <c r="CM369" s="0" t="s">
        <v>228</v>
      </c>
      <c r="CN369" s="0" t="s">
        <v>228</v>
      </c>
      <c r="CO369" s="0" t="s">
        <v>228</v>
      </c>
      <c r="CP369" s="0" t="s">
        <v>228</v>
      </c>
      <c r="CQ369" s="0" t="s">
        <v>228</v>
      </c>
      <c r="CR369" s="0" t="s">
        <v>228</v>
      </c>
      <c r="CS369" s="0" t="s">
        <v>228</v>
      </c>
      <c r="CT369" s="0" t="s">
        <v>3568</v>
      </c>
      <c r="CU369" s="0" t="s">
        <v>3569</v>
      </c>
      <c r="CV369" s="0" t="s">
        <v>418</v>
      </c>
      <c r="CW369" s="0" t="s">
        <v>3602</v>
      </c>
      <c r="CX369" s="0" t="s">
        <v>3603</v>
      </c>
      <c r="CY369" s="0" t="s">
        <v>418</v>
      </c>
      <c r="CZ369" s="0" t="s">
        <v>504</v>
      </c>
      <c r="DA369" s="0" t="s">
        <v>3604</v>
      </c>
      <c r="DB369" s="0" t="s">
        <v>3602</v>
      </c>
      <c r="DC369" s="0" t="s">
        <v>362</v>
      </c>
      <c r="DD369" s="0" t="s">
        <v>3572</v>
      </c>
      <c r="DE369" s="0" t="s">
        <v>3613</v>
      </c>
    </row>
    <row customHeight="1" ht="11.25">
      <c r="A370" s="1353" t="s">
        <v>228</v>
      </c>
      <c r="B370" s="0" t="s">
        <v>228</v>
      </c>
      <c r="C370" s="0" t="s">
        <v>228</v>
      </c>
      <c r="D370" s="0" t="s">
        <v>228</v>
      </c>
      <c r="E370" s="0" t="s">
        <v>228</v>
      </c>
      <c r="F370" s="0" t="s">
        <v>228</v>
      </c>
      <c r="G370" s="0" t="s">
        <v>228</v>
      </c>
      <c r="H370" s="0" t="s">
        <v>228</v>
      </c>
      <c r="I370" s="0" t="s">
        <v>3555</v>
      </c>
      <c r="J370" s="0" t="s">
        <v>228</v>
      </c>
      <c r="K370" s="0" t="s">
        <v>228</v>
      </c>
      <c r="L370" s="0" t="s">
        <v>228</v>
      </c>
      <c r="M370" s="0" t="s">
        <v>228</v>
      </c>
      <c r="N370" s="0" t="s">
        <v>228</v>
      </c>
      <c r="O370" s="0" t="s">
        <v>228</v>
      </c>
      <c r="P370" s="0" t="s">
        <v>228</v>
      </c>
      <c r="Q370" s="0" t="s">
        <v>228</v>
      </c>
      <c r="R370" s="0" t="s">
        <v>3614</v>
      </c>
      <c r="S370" s="0" t="s">
        <v>228</v>
      </c>
      <c r="T370" s="0" t="s">
        <v>228</v>
      </c>
      <c r="U370" s="0" t="s">
        <v>101</v>
      </c>
      <c r="V370" s="0" t="s">
        <v>228</v>
      </c>
      <c r="W370" s="0" t="s">
        <v>228</v>
      </c>
      <c r="X370" s="0" t="s">
        <v>3557</v>
      </c>
      <c r="Y370" s="0" t="s">
        <v>228</v>
      </c>
      <c r="Z370" s="0" t="s">
        <v>160</v>
      </c>
      <c r="AA370" s="0" t="s">
        <v>151</v>
      </c>
      <c r="AB370" s="0" t="s">
        <v>151</v>
      </c>
      <c r="AC370" s="0" t="s">
        <v>2317</v>
      </c>
      <c r="AD370" s="0" t="s">
        <v>2317</v>
      </c>
      <c r="AE370" s="0" t="s">
        <v>2318</v>
      </c>
      <c r="AF370" s="0" t="s">
        <v>3826</v>
      </c>
      <c r="AG370" s="0" t="s">
        <v>3827</v>
      </c>
      <c r="AH370" s="0" t="s">
        <v>4683</v>
      </c>
      <c r="AI370" s="0" t="s">
        <v>4684</v>
      </c>
      <c r="AJ370" s="0" t="s">
        <v>4685</v>
      </c>
      <c r="AK370" s="0" t="s">
        <v>3808</v>
      </c>
      <c r="AL370" s="0" t="s">
        <v>3581</v>
      </c>
      <c r="AM370" s="0" t="s">
        <v>3565</v>
      </c>
      <c r="AN370" s="0" t="s">
        <v>3628</v>
      </c>
      <c r="AO370" s="0" t="s">
        <v>4157</v>
      </c>
      <c r="AP370" s="0" t="s">
        <v>228</v>
      </c>
      <c r="AQ370" s="0" t="s">
        <v>228</v>
      </c>
      <c r="AR370" s="0" t="s">
        <v>228</v>
      </c>
      <c r="AS370" s="0" t="s">
        <v>228</v>
      </c>
      <c r="AT370" s="0" t="s">
        <v>228</v>
      </c>
      <c r="AU370" s="0" t="s">
        <v>228</v>
      </c>
      <c r="AV370" s="0" t="s">
        <v>228</v>
      </c>
      <c r="AW370" s="0" t="s">
        <v>228</v>
      </c>
      <c r="AX370" s="0" t="s">
        <v>228</v>
      </c>
      <c r="AY370" s="0" t="s">
        <v>228</v>
      </c>
      <c r="AZ370" s="0" t="s">
        <v>228</v>
      </c>
      <c r="BA370" s="0" t="s">
        <v>228</v>
      </c>
      <c r="BB370" s="0" t="s">
        <v>228</v>
      </c>
      <c r="BC370" s="0" t="s">
        <v>228</v>
      </c>
      <c r="BD370" s="0" t="s">
        <v>228</v>
      </c>
      <c r="BE370" s="0" t="s">
        <v>228</v>
      </c>
      <c r="BF370" s="0" t="s">
        <v>228</v>
      </c>
      <c r="BG370" s="0" t="s">
        <v>228</v>
      </c>
      <c r="BH370" s="0" t="s">
        <v>228</v>
      </c>
      <c r="BI370" s="0" t="s">
        <v>228</v>
      </c>
      <c r="BJ370" s="0" t="s">
        <v>228</v>
      </c>
      <c r="BK370" s="0" t="s">
        <v>228</v>
      </c>
      <c r="BL370" s="0" t="s">
        <v>228</v>
      </c>
      <c r="BM370" s="0" t="s">
        <v>228</v>
      </c>
      <c r="BN370" s="0" t="s">
        <v>228</v>
      </c>
      <c r="BO370" s="0" t="s">
        <v>228</v>
      </c>
      <c r="BP370" s="0" t="s">
        <v>228</v>
      </c>
      <c r="BQ370" s="0" t="s">
        <v>228</v>
      </c>
      <c r="BR370" s="0" t="s">
        <v>228</v>
      </c>
      <c r="BS370" s="0" t="s">
        <v>228</v>
      </c>
      <c r="BT370" s="0" t="s">
        <v>228</v>
      </c>
      <c r="BU370" s="0" t="s">
        <v>228</v>
      </c>
      <c r="BV370" s="0" t="s">
        <v>228</v>
      </c>
      <c r="BW370" s="0" t="s">
        <v>228</v>
      </c>
      <c r="BX370" s="0" t="s">
        <v>228</v>
      </c>
      <c r="BY370" s="0" t="s">
        <v>228</v>
      </c>
      <c r="BZ370" s="0" t="s">
        <v>228</v>
      </c>
      <c r="CA370" s="0" t="s">
        <v>228</v>
      </c>
      <c r="CB370" s="0" t="s">
        <v>228</v>
      </c>
      <c r="CC370" s="0" t="s">
        <v>228</v>
      </c>
      <c r="CD370" s="0" t="s">
        <v>228</v>
      </c>
      <c r="CE370" s="0" t="s">
        <v>228</v>
      </c>
      <c r="CF370" s="0" t="s">
        <v>228</v>
      </c>
      <c r="CG370" s="0" t="s">
        <v>228</v>
      </c>
      <c r="CH370" s="0" t="s">
        <v>228</v>
      </c>
      <c r="CI370" s="0" t="s">
        <v>228</v>
      </c>
      <c r="CJ370" s="0" t="s">
        <v>228</v>
      </c>
      <c r="CK370" s="0" t="s">
        <v>228</v>
      </c>
      <c r="CL370" s="0" t="s">
        <v>228</v>
      </c>
      <c r="CM370" s="0" t="s">
        <v>228</v>
      </c>
      <c r="CN370" s="0" t="s">
        <v>228</v>
      </c>
      <c r="CO370" s="0" t="s">
        <v>228</v>
      </c>
      <c r="CP370" s="0" t="s">
        <v>228</v>
      </c>
      <c r="CQ370" s="0" t="s">
        <v>228</v>
      </c>
      <c r="CR370" s="0" t="s">
        <v>228</v>
      </c>
      <c r="CS370" s="0" t="s">
        <v>228</v>
      </c>
      <c r="CT370" s="0" t="s">
        <v>3568</v>
      </c>
      <c r="CU370" s="0" t="s">
        <v>3569</v>
      </c>
      <c r="CV370" s="0" t="s">
        <v>418</v>
      </c>
      <c r="CW370" s="0" t="s">
        <v>3622</v>
      </c>
      <c r="CX370" s="0" t="s">
        <v>419</v>
      </c>
      <c r="CY370" s="0" t="s">
        <v>418</v>
      </c>
      <c r="CZ370" s="0" t="s">
        <v>3623</v>
      </c>
      <c r="DA370" s="0" t="s">
        <v>3624</v>
      </c>
      <c r="DB370" s="0" t="s">
        <v>3622</v>
      </c>
      <c r="DC370" s="0" t="s">
        <v>362</v>
      </c>
      <c r="DD370" s="0" t="s">
        <v>3572</v>
      </c>
      <c r="DE370" s="0" t="s">
        <v>4686</v>
      </c>
    </row>
    <row customHeight="1" ht="11.25">
      <c r="A371" s="1353" t="s">
        <v>228</v>
      </c>
      <c r="B371" s="0" t="s">
        <v>228</v>
      </c>
      <c r="C371" s="0" t="s">
        <v>228</v>
      </c>
      <c r="D371" s="0" t="s">
        <v>228</v>
      </c>
      <c r="E371" s="0" t="s">
        <v>228</v>
      </c>
      <c r="F371" s="0" t="s">
        <v>228</v>
      </c>
      <c r="G371" s="0" t="s">
        <v>228</v>
      </c>
      <c r="H371" s="0" t="s">
        <v>228</v>
      </c>
      <c r="I371" s="0" t="s">
        <v>3555</v>
      </c>
      <c r="J371" s="0" t="s">
        <v>228</v>
      </c>
      <c r="K371" s="0" t="s">
        <v>228</v>
      </c>
      <c r="L371" s="0" t="s">
        <v>228</v>
      </c>
      <c r="M371" s="0" t="s">
        <v>228</v>
      </c>
      <c r="N371" s="0" t="s">
        <v>228</v>
      </c>
      <c r="O371" s="0" t="s">
        <v>228</v>
      </c>
      <c r="P371" s="0" t="s">
        <v>228</v>
      </c>
      <c r="Q371" s="0" t="s">
        <v>228</v>
      </c>
      <c r="R371" s="0" t="s">
        <v>4687</v>
      </c>
      <c r="S371" s="0" t="s">
        <v>228</v>
      </c>
      <c r="T371" s="0" t="s">
        <v>228</v>
      </c>
      <c r="U371" s="0" t="s">
        <v>101</v>
      </c>
      <c r="V371" s="0" t="s">
        <v>228</v>
      </c>
      <c r="W371" s="0" t="s">
        <v>228</v>
      </c>
      <c r="X371" s="0" t="s">
        <v>3557</v>
      </c>
      <c r="Y371" s="0" t="s">
        <v>228</v>
      </c>
      <c r="Z371" s="0" t="s">
        <v>160</v>
      </c>
      <c r="AA371" s="0" t="s">
        <v>151</v>
      </c>
      <c r="AB371" s="0" t="s">
        <v>151</v>
      </c>
      <c r="AC371" s="0" t="s">
        <v>2317</v>
      </c>
      <c r="AD371" s="0" t="s">
        <v>2317</v>
      </c>
      <c r="AE371" s="0" t="s">
        <v>2318</v>
      </c>
      <c r="AF371" s="0" t="s">
        <v>3826</v>
      </c>
      <c r="AG371" s="0" t="s">
        <v>3827</v>
      </c>
      <c r="AH371" s="0" t="s">
        <v>4688</v>
      </c>
      <c r="AI371" s="0" t="s">
        <v>4689</v>
      </c>
      <c r="AJ371" s="0" t="s">
        <v>4685</v>
      </c>
      <c r="AK371" s="0" t="s">
        <v>3853</v>
      </c>
      <c r="AL371" s="0" t="s">
        <v>3581</v>
      </c>
      <c r="AM371" s="0" t="s">
        <v>3565</v>
      </c>
      <c r="AN371" s="0" t="s">
        <v>3620</v>
      </c>
      <c r="AO371" s="0" t="s">
        <v>3845</v>
      </c>
      <c r="AP371" s="0" t="s">
        <v>228</v>
      </c>
      <c r="AQ371" s="0" t="s">
        <v>228</v>
      </c>
      <c r="AR371" s="0" t="s">
        <v>228</v>
      </c>
      <c r="AS371" s="0" t="s">
        <v>228</v>
      </c>
      <c r="AT371" s="0" t="s">
        <v>228</v>
      </c>
      <c r="AU371" s="0" t="s">
        <v>228</v>
      </c>
      <c r="AV371" s="0" t="s">
        <v>228</v>
      </c>
      <c r="AW371" s="0" t="s">
        <v>228</v>
      </c>
      <c r="AX371" s="0" t="s">
        <v>228</v>
      </c>
      <c r="AY371" s="0" t="s">
        <v>228</v>
      </c>
      <c r="AZ371" s="0" t="s">
        <v>228</v>
      </c>
      <c r="BA371" s="0" t="s">
        <v>228</v>
      </c>
      <c r="BB371" s="0" t="s">
        <v>228</v>
      </c>
      <c r="BC371" s="0" t="s">
        <v>228</v>
      </c>
      <c r="BD371" s="0" t="s">
        <v>228</v>
      </c>
      <c r="BE371" s="0" t="s">
        <v>228</v>
      </c>
      <c r="BF371" s="0" t="s">
        <v>228</v>
      </c>
      <c r="BG371" s="0" t="s">
        <v>228</v>
      </c>
      <c r="BH371" s="0" t="s">
        <v>228</v>
      </c>
      <c r="BI371" s="0" t="s">
        <v>228</v>
      </c>
      <c r="BJ371" s="0" t="s">
        <v>228</v>
      </c>
      <c r="BK371" s="0" t="s">
        <v>228</v>
      </c>
      <c r="BL371" s="0" t="s">
        <v>228</v>
      </c>
      <c r="BM371" s="0" t="s">
        <v>228</v>
      </c>
      <c r="BN371" s="0" t="s">
        <v>228</v>
      </c>
      <c r="BO371" s="0" t="s">
        <v>228</v>
      </c>
      <c r="BP371" s="0" t="s">
        <v>228</v>
      </c>
      <c r="BQ371" s="0" t="s">
        <v>228</v>
      </c>
      <c r="BR371" s="0" t="s">
        <v>228</v>
      </c>
      <c r="BS371" s="0" t="s">
        <v>228</v>
      </c>
      <c r="BT371" s="0" t="s">
        <v>228</v>
      </c>
      <c r="BU371" s="0" t="s">
        <v>228</v>
      </c>
      <c r="BV371" s="0" t="s">
        <v>228</v>
      </c>
      <c r="BW371" s="0" t="s">
        <v>228</v>
      </c>
      <c r="BX371" s="0" t="s">
        <v>228</v>
      </c>
      <c r="BY371" s="0" t="s">
        <v>228</v>
      </c>
      <c r="BZ371" s="0" t="s">
        <v>228</v>
      </c>
      <c r="CA371" s="0" t="s">
        <v>228</v>
      </c>
      <c r="CB371" s="0" t="s">
        <v>228</v>
      </c>
      <c r="CC371" s="0" t="s">
        <v>228</v>
      </c>
      <c r="CD371" s="0" t="s">
        <v>228</v>
      </c>
      <c r="CE371" s="0" t="s">
        <v>228</v>
      </c>
      <c r="CF371" s="0" t="s">
        <v>228</v>
      </c>
      <c r="CG371" s="0" t="s">
        <v>228</v>
      </c>
      <c r="CH371" s="0" t="s">
        <v>228</v>
      </c>
      <c r="CI371" s="0" t="s">
        <v>228</v>
      </c>
      <c r="CJ371" s="0" t="s">
        <v>228</v>
      </c>
      <c r="CK371" s="0" t="s">
        <v>228</v>
      </c>
      <c r="CL371" s="0" t="s">
        <v>228</v>
      </c>
      <c r="CM371" s="0" t="s">
        <v>228</v>
      </c>
      <c r="CN371" s="0" t="s">
        <v>228</v>
      </c>
      <c r="CO371" s="0" t="s">
        <v>228</v>
      </c>
      <c r="CP371" s="0" t="s">
        <v>228</v>
      </c>
      <c r="CQ371" s="0" t="s">
        <v>228</v>
      </c>
      <c r="CR371" s="0" t="s">
        <v>228</v>
      </c>
      <c r="CS371" s="0" t="s">
        <v>228</v>
      </c>
      <c r="CT371" s="0" t="s">
        <v>3568</v>
      </c>
      <c r="CU371" s="0" t="s">
        <v>3569</v>
      </c>
      <c r="CV371" s="0" t="s">
        <v>418</v>
      </c>
      <c r="CW371" s="0" t="s">
        <v>3622</v>
      </c>
      <c r="CX371" s="0" t="s">
        <v>419</v>
      </c>
      <c r="CY371" s="0" t="s">
        <v>418</v>
      </c>
      <c r="CZ371" s="0" t="s">
        <v>3623</v>
      </c>
      <c r="DA371" s="0" t="s">
        <v>3624</v>
      </c>
      <c r="DB371" s="0" t="s">
        <v>3622</v>
      </c>
      <c r="DC371" s="0" t="s">
        <v>362</v>
      </c>
      <c r="DD371" s="0" t="s">
        <v>3572</v>
      </c>
      <c r="DE371" s="0" t="s">
        <v>4690</v>
      </c>
    </row>
    <row customHeight="1" ht="11.25">
      <c r="A372" s="1353" t="s">
        <v>228</v>
      </c>
      <c r="B372" s="0" t="s">
        <v>228</v>
      </c>
      <c r="C372" s="0" t="s">
        <v>228</v>
      </c>
      <c r="D372" s="0" t="s">
        <v>228</v>
      </c>
      <c r="E372" s="0" t="s">
        <v>228</v>
      </c>
      <c r="F372" s="0" t="s">
        <v>228</v>
      </c>
      <c r="G372" s="0" t="s">
        <v>228</v>
      </c>
      <c r="H372" s="0" t="s">
        <v>228</v>
      </c>
      <c r="I372" s="0" t="s">
        <v>3555</v>
      </c>
      <c r="J372" s="0" t="s">
        <v>228</v>
      </c>
      <c r="K372" s="0" t="s">
        <v>228</v>
      </c>
      <c r="L372" s="0" t="s">
        <v>228</v>
      </c>
      <c r="M372" s="0" t="s">
        <v>228</v>
      </c>
      <c r="N372" s="0" t="s">
        <v>228</v>
      </c>
      <c r="O372" s="0" t="s">
        <v>228</v>
      </c>
      <c r="P372" s="0" t="s">
        <v>228</v>
      </c>
      <c r="Q372" s="0" t="s">
        <v>228</v>
      </c>
      <c r="R372" s="0" t="s">
        <v>4691</v>
      </c>
      <c r="S372" s="0" t="s">
        <v>228</v>
      </c>
      <c r="T372" s="0" t="s">
        <v>228</v>
      </c>
      <c r="U372" s="0" t="s">
        <v>101</v>
      </c>
      <c r="V372" s="0" t="s">
        <v>228</v>
      </c>
      <c r="W372" s="0" t="s">
        <v>228</v>
      </c>
      <c r="X372" s="0" t="s">
        <v>3557</v>
      </c>
      <c r="Y372" s="0" t="s">
        <v>228</v>
      </c>
      <c r="Z372" s="0" t="s">
        <v>160</v>
      </c>
      <c r="AA372" s="0" t="s">
        <v>151</v>
      </c>
      <c r="AB372" s="0" t="s">
        <v>151</v>
      </c>
      <c r="AC372" s="0" t="s">
        <v>2317</v>
      </c>
      <c r="AD372" s="0" t="s">
        <v>2317</v>
      </c>
      <c r="AE372" s="0" t="s">
        <v>2318</v>
      </c>
      <c r="AF372" s="0" t="s">
        <v>3826</v>
      </c>
      <c r="AG372" s="0" t="s">
        <v>3827</v>
      </c>
      <c r="AH372" s="0" t="s">
        <v>4692</v>
      </c>
      <c r="AI372" s="0" t="s">
        <v>4693</v>
      </c>
      <c r="AJ372" s="0" t="s">
        <v>4685</v>
      </c>
      <c r="AK372" s="0" t="s">
        <v>3808</v>
      </c>
      <c r="AL372" s="0" t="s">
        <v>3581</v>
      </c>
      <c r="AM372" s="0" t="s">
        <v>3565</v>
      </c>
      <c r="AN372" s="0" t="s">
        <v>3620</v>
      </c>
      <c r="AO372" s="0" t="s">
        <v>3712</v>
      </c>
      <c r="AP372" s="0" t="s">
        <v>228</v>
      </c>
      <c r="AQ372" s="0" t="s">
        <v>228</v>
      </c>
      <c r="AR372" s="0" t="s">
        <v>228</v>
      </c>
      <c r="AS372" s="0" t="s">
        <v>228</v>
      </c>
      <c r="AT372" s="0" t="s">
        <v>228</v>
      </c>
      <c r="AU372" s="0" t="s">
        <v>228</v>
      </c>
      <c r="AV372" s="0" t="s">
        <v>228</v>
      </c>
      <c r="AW372" s="0" t="s">
        <v>228</v>
      </c>
      <c r="AX372" s="0" t="s">
        <v>228</v>
      </c>
      <c r="AY372" s="0" t="s">
        <v>228</v>
      </c>
      <c r="AZ372" s="0" t="s">
        <v>228</v>
      </c>
      <c r="BA372" s="0" t="s">
        <v>228</v>
      </c>
      <c r="BB372" s="0" t="s">
        <v>228</v>
      </c>
      <c r="BC372" s="0" t="s">
        <v>228</v>
      </c>
      <c r="BD372" s="0" t="s">
        <v>228</v>
      </c>
      <c r="BE372" s="0" t="s">
        <v>228</v>
      </c>
      <c r="BF372" s="0" t="s">
        <v>228</v>
      </c>
      <c r="BG372" s="0" t="s">
        <v>228</v>
      </c>
      <c r="BH372" s="0" t="s">
        <v>228</v>
      </c>
      <c r="BI372" s="0" t="s">
        <v>228</v>
      </c>
      <c r="BJ372" s="0" t="s">
        <v>228</v>
      </c>
      <c r="BK372" s="0" t="s">
        <v>228</v>
      </c>
      <c r="BL372" s="0" t="s">
        <v>228</v>
      </c>
      <c r="BM372" s="0" t="s">
        <v>228</v>
      </c>
      <c r="BN372" s="0" t="s">
        <v>228</v>
      </c>
      <c r="BO372" s="0" t="s">
        <v>228</v>
      </c>
      <c r="BP372" s="0" t="s">
        <v>228</v>
      </c>
      <c r="BQ372" s="0" t="s">
        <v>228</v>
      </c>
      <c r="BR372" s="0" t="s">
        <v>228</v>
      </c>
      <c r="BS372" s="0" t="s">
        <v>228</v>
      </c>
      <c r="BT372" s="0" t="s">
        <v>228</v>
      </c>
      <c r="BU372" s="0" t="s">
        <v>228</v>
      </c>
      <c r="BV372" s="0" t="s">
        <v>228</v>
      </c>
      <c r="BW372" s="0" t="s">
        <v>228</v>
      </c>
      <c r="BX372" s="0" t="s">
        <v>228</v>
      </c>
      <c r="BY372" s="0" t="s">
        <v>228</v>
      </c>
      <c r="BZ372" s="0" t="s">
        <v>228</v>
      </c>
      <c r="CA372" s="0" t="s">
        <v>228</v>
      </c>
      <c r="CB372" s="0" t="s">
        <v>228</v>
      </c>
      <c r="CC372" s="0" t="s">
        <v>228</v>
      </c>
      <c r="CD372" s="0" t="s">
        <v>228</v>
      </c>
      <c r="CE372" s="0" t="s">
        <v>228</v>
      </c>
      <c r="CF372" s="0" t="s">
        <v>228</v>
      </c>
      <c r="CG372" s="0" t="s">
        <v>228</v>
      </c>
      <c r="CH372" s="0" t="s">
        <v>228</v>
      </c>
      <c r="CI372" s="0" t="s">
        <v>228</v>
      </c>
      <c r="CJ372" s="0" t="s">
        <v>228</v>
      </c>
      <c r="CK372" s="0" t="s">
        <v>228</v>
      </c>
      <c r="CL372" s="0" t="s">
        <v>228</v>
      </c>
      <c r="CM372" s="0" t="s">
        <v>228</v>
      </c>
      <c r="CN372" s="0" t="s">
        <v>228</v>
      </c>
      <c r="CO372" s="0" t="s">
        <v>228</v>
      </c>
      <c r="CP372" s="0" t="s">
        <v>228</v>
      </c>
      <c r="CQ372" s="0" t="s">
        <v>228</v>
      </c>
      <c r="CR372" s="0" t="s">
        <v>228</v>
      </c>
      <c r="CS372" s="0" t="s">
        <v>228</v>
      </c>
      <c r="CT372" s="0" t="s">
        <v>3568</v>
      </c>
      <c r="CU372" s="0" t="s">
        <v>3569</v>
      </c>
      <c r="CV372" s="0" t="s">
        <v>418</v>
      </c>
      <c r="CW372" s="0" t="s">
        <v>3622</v>
      </c>
      <c r="CX372" s="0" t="s">
        <v>419</v>
      </c>
      <c r="CY372" s="0" t="s">
        <v>418</v>
      </c>
      <c r="CZ372" s="0" t="s">
        <v>3623</v>
      </c>
      <c r="DA372" s="0" t="s">
        <v>3624</v>
      </c>
      <c r="DB372" s="0" t="s">
        <v>3622</v>
      </c>
      <c r="DC372" s="0" t="s">
        <v>362</v>
      </c>
      <c r="DD372" s="0" t="s">
        <v>3572</v>
      </c>
      <c r="DE372" s="0" t="s">
        <v>4694</v>
      </c>
    </row>
    <row customHeight="1" ht="11.25">
      <c r="A373" s="1353" t="s">
        <v>228</v>
      </c>
      <c r="B373" s="0" t="s">
        <v>228</v>
      </c>
      <c r="C373" s="0" t="s">
        <v>228</v>
      </c>
      <c r="D373" s="0" t="s">
        <v>228</v>
      </c>
      <c r="E373" s="0" t="s">
        <v>228</v>
      </c>
      <c r="F373" s="0" t="s">
        <v>228</v>
      </c>
      <c r="G373" s="0" t="s">
        <v>228</v>
      </c>
      <c r="H373" s="0" t="s">
        <v>228</v>
      </c>
      <c r="I373" s="0" t="s">
        <v>3555</v>
      </c>
      <c r="J373" s="0" t="s">
        <v>228</v>
      </c>
      <c r="K373" s="0" t="s">
        <v>228</v>
      </c>
      <c r="L373" s="0" t="s">
        <v>228</v>
      </c>
      <c r="M373" s="0" t="s">
        <v>228</v>
      </c>
      <c r="N373" s="0" t="s">
        <v>228</v>
      </c>
      <c r="O373" s="0" t="s">
        <v>228</v>
      </c>
      <c r="P373" s="0" t="s">
        <v>228</v>
      </c>
      <c r="Q373" s="0" t="s">
        <v>228</v>
      </c>
      <c r="R373" s="0" t="s">
        <v>3648</v>
      </c>
      <c r="S373" s="0" t="s">
        <v>228</v>
      </c>
      <c r="T373" s="0" t="s">
        <v>228</v>
      </c>
      <c r="U373" s="0" t="s">
        <v>101</v>
      </c>
      <c r="V373" s="0" t="s">
        <v>228</v>
      </c>
      <c r="W373" s="0" t="s">
        <v>228</v>
      </c>
      <c r="X373" s="0" t="s">
        <v>3557</v>
      </c>
      <c r="Y373" s="0" t="s">
        <v>228</v>
      </c>
      <c r="Z373" s="0" t="s">
        <v>160</v>
      </c>
      <c r="AA373" s="0" t="s">
        <v>151</v>
      </c>
      <c r="AB373" s="0" t="s">
        <v>151</v>
      </c>
      <c r="AC373" s="0" t="s">
        <v>2317</v>
      </c>
      <c r="AD373" s="0" t="s">
        <v>2317</v>
      </c>
      <c r="AE373" s="0" t="s">
        <v>2318</v>
      </c>
      <c r="AF373" s="0" t="s">
        <v>3738</v>
      </c>
      <c r="AG373" s="0" t="s">
        <v>3739</v>
      </c>
      <c r="AH373" s="0" t="s">
        <v>4956</v>
      </c>
      <c r="AI373" s="0" t="s">
        <v>3626</v>
      </c>
      <c r="AJ373" s="0" t="s">
        <v>3579</v>
      </c>
      <c r="AK373" s="0" t="s">
        <v>3749</v>
      </c>
      <c r="AL373" s="0" t="s">
        <v>3581</v>
      </c>
      <c r="AM373" s="0" t="s">
        <v>3565</v>
      </c>
      <c r="AN373" s="0" t="s">
        <v>3620</v>
      </c>
      <c r="AO373" s="0" t="s">
        <v>4530</v>
      </c>
      <c r="AP373" s="0" t="s">
        <v>228</v>
      </c>
      <c r="AQ373" s="0" t="s">
        <v>228</v>
      </c>
      <c r="AR373" s="0" t="s">
        <v>228</v>
      </c>
      <c r="AS373" s="0" t="s">
        <v>228</v>
      </c>
      <c r="AT373" s="0" t="s">
        <v>228</v>
      </c>
      <c r="AU373" s="0" t="s">
        <v>228</v>
      </c>
      <c r="AV373" s="0" t="s">
        <v>228</v>
      </c>
      <c r="AW373" s="0" t="s">
        <v>228</v>
      </c>
      <c r="AX373" s="0" t="s">
        <v>228</v>
      </c>
      <c r="AY373" s="0" t="s">
        <v>228</v>
      </c>
      <c r="AZ373" s="0" t="s">
        <v>228</v>
      </c>
      <c r="BA373" s="0" t="s">
        <v>228</v>
      </c>
      <c r="BB373" s="0" t="s">
        <v>228</v>
      </c>
      <c r="BC373" s="0" t="s">
        <v>228</v>
      </c>
      <c r="BD373" s="0" t="s">
        <v>228</v>
      </c>
      <c r="BE373" s="0" t="s">
        <v>228</v>
      </c>
      <c r="BF373" s="0" t="s">
        <v>228</v>
      </c>
      <c r="BG373" s="0" t="s">
        <v>228</v>
      </c>
      <c r="BH373" s="0" t="s">
        <v>228</v>
      </c>
      <c r="BI373" s="0" t="s">
        <v>228</v>
      </c>
      <c r="BJ373" s="0" t="s">
        <v>228</v>
      </c>
      <c r="BK373" s="0" t="s">
        <v>228</v>
      </c>
      <c r="BL373" s="0" t="s">
        <v>228</v>
      </c>
      <c r="BM373" s="0" t="s">
        <v>228</v>
      </c>
      <c r="BN373" s="0" t="s">
        <v>228</v>
      </c>
      <c r="BO373" s="0" t="s">
        <v>228</v>
      </c>
      <c r="BP373" s="0" t="s">
        <v>228</v>
      </c>
      <c r="BQ373" s="0" t="s">
        <v>228</v>
      </c>
      <c r="BR373" s="0" t="s">
        <v>228</v>
      </c>
      <c r="BS373" s="0" t="s">
        <v>228</v>
      </c>
      <c r="BT373" s="0" t="s">
        <v>228</v>
      </c>
      <c r="BU373" s="0" t="s">
        <v>228</v>
      </c>
      <c r="BV373" s="0" t="s">
        <v>228</v>
      </c>
      <c r="BW373" s="0" t="s">
        <v>228</v>
      </c>
      <c r="BX373" s="0" t="s">
        <v>228</v>
      </c>
      <c r="BY373" s="0" t="s">
        <v>228</v>
      </c>
      <c r="BZ373" s="0" t="s">
        <v>228</v>
      </c>
      <c r="CA373" s="0" t="s">
        <v>228</v>
      </c>
      <c r="CB373" s="0" t="s">
        <v>228</v>
      </c>
      <c r="CC373" s="0" t="s">
        <v>228</v>
      </c>
      <c r="CD373" s="0" t="s">
        <v>228</v>
      </c>
      <c r="CE373" s="0" t="s">
        <v>228</v>
      </c>
      <c r="CF373" s="0" t="s">
        <v>228</v>
      </c>
      <c r="CG373" s="0" t="s">
        <v>228</v>
      </c>
      <c r="CH373" s="0" t="s">
        <v>228</v>
      </c>
      <c r="CI373" s="0" t="s">
        <v>228</v>
      </c>
      <c r="CJ373" s="0" t="s">
        <v>228</v>
      </c>
      <c r="CK373" s="0" t="s">
        <v>228</v>
      </c>
      <c r="CL373" s="0" t="s">
        <v>228</v>
      </c>
      <c r="CM373" s="0" t="s">
        <v>228</v>
      </c>
      <c r="CN373" s="0" t="s">
        <v>228</v>
      </c>
      <c r="CO373" s="0" t="s">
        <v>228</v>
      </c>
      <c r="CP373" s="0" t="s">
        <v>228</v>
      </c>
      <c r="CQ373" s="0" t="s">
        <v>228</v>
      </c>
      <c r="CR373" s="0" t="s">
        <v>228</v>
      </c>
      <c r="CS373" s="0" t="s">
        <v>228</v>
      </c>
      <c r="CT373" s="0" t="s">
        <v>3568</v>
      </c>
      <c r="CU373" s="0" t="s">
        <v>3569</v>
      </c>
      <c r="CV373" s="0" t="s">
        <v>418</v>
      </c>
      <c r="CW373" s="0" t="s">
        <v>3622</v>
      </c>
      <c r="CX373" s="0" t="s">
        <v>419</v>
      </c>
      <c r="CY373" s="0" t="s">
        <v>418</v>
      </c>
      <c r="CZ373" s="0" t="s">
        <v>3623</v>
      </c>
      <c r="DA373" s="0" t="s">
        <v>3624</v>
      </c>
      <c r="DB373" s="0" t="s">
        <v>3622</v>
      </c>
      <c r="DC373" s="0" t="s">
        <v>362</v>
      </c>
      <c r="DD373" s="0" t="s">
        <v>3572</v>
      </c>
      <c r="DE373" s="0" t="s">
        <v>4957</v>
      </c>
    </row>
    <row customHeight="1" ht="11.25">
      <c r="A374" s="1353" t="s">
        <v>228</v>
      </c>
      <c r="B374" s="0" t="s">
        <v>228</v>
      </c>
      <c r="C374" s="0" t="s">
        <v>228</v>
      </c>
      <c r="D374" s="0" t="s">
        <v>228</v>
      </c>
      <c r="E374" s="0" t="s">
        <v>228</v>
      </c>
      <c r="F374" s="0" t="s">
        <v>228</v>
      </c>
      <c r="G374" s="0" t="s">
        <v>228</v>
      </c>
      <c r="H374" s="0" t="s">
        <v>228</v>
      </c>
      <c r="I374" s="0" t="s">
        <v>3555</v>
      </c>
      <c r="J374" s="0" t="s">
        <v>228</v>
      </c>
      <c r="K374" s="0" t="s">
        <v>228</v>
      </c>
      <c r="L374" s="0" t="s">
        <v>228</v>
      </c>
      <c r="M374" s="0" t="s">
        <v>228</v>
      </c>
      <c r="N374" s="0" t="s">
        <v>228</v>
      </c>
      <c r="O374" s="0" t="s">
        <v>228</v>
      </c>
      <c r="P374" s="0" t="s">
        <v>228</v>
      </c>
      <c r="Q374" s="0" t="s">
        <v>228</v>
      </c>
      <c r="R374" s="0" t="s">
        <v>3737</v>
      </c>
      <c r="S374" s="0" t="s">
        <v>228</v>
      </c>
      <c r="T374" s="0" t="s">
        <v>228</v>
      </c>
      <c r="U374" s="0" t="s">
        <v>101</v>
      </c>
      <c r="V374" s="0" t="s">
        <v>228</v>
      </c>
      <c r="W374" s="0" t="s">
        <v>228</v>
      </c>
      <c r="X374" s="0" t="s">
        <v>3661</v>
      </c>
      <c r="Y374" s="0" t="s">
        <v>228</v>
      </c>
      <c r="Z374" s="0" t="s">
        <v>151</v>
      </c>
      <c r="AA374" s="0" t="s">
        <v>151</v>
      </c>
      <c r="AB374" s="0" t="s">
        <v>160</v>
      </c>
      <c r="AC374" s="0" t="s">
        <v>2317</v>
      </c>
      <c r="AD374" s="0" t="s">
        <v>2317</v>
      </c>
      <c r="AE374" s="0" t="s">
        <v>2318</v>
      </c>
      <c r="AF374" s="0" t="s">
        <v>3738</v>
      </c>
      <c r="AG374" s="0" t="s">
        <v>3739</v>
      </c>
      <c r="AH374" s="0" t="s">
        <v>3651</v>
      </c>
      <c r="AI374" s="0" t="s">
        <v>3651</v>
      </c>
      <c r="AJ374" s="0" t="s">
        <v>228</v>
      </c>
      <c r="AK374" s="0" t="s">
        <v>228</v>
      </c>
      <c r="AL374" s="0" t="s">
        <v>228</v>
      </c>
      <c r="AM374" s="0" t="s">
        <v>228</v>
      </c>
      <c r="AN374" s="0" t="s">
        <v>228</v>
      </c>
      <c r="AO374" s="0" t="s">
        <v>228</v>
      </c>
      <c r="AP374" s="0" t="s">
        <v>228</v>
      </c>
      <c r="AQ374" s="0" t="s">
        <v>228</v>
      </c>
      <c r="AR374" s="0" t="s">
        <v>228</v>
      </c>
      <c r="AS374" s="0" t="s">
        <v>228</v>
      </c>
      <c r="AT374" s="0" t="s">
        <v>228</v>
      </c>
      <c r="AU374" s="0" t="s">
        <v>228</v>
      </c>
      <c r="AV374" s="0" t="s">
        <v>228</v>
      </c>
      <c r="AW374" s="0" t="s">
        <v>228</v>
      </c>
      <c r="AX374" s="0" t="s">
        <v>228</v>
      </c>
      <c r="AY374" s="0" t="s">
        <v>228</v>
      </c>
      <c r="AZ374" s="0" t="s">
        <v>228</v>
      </c>
      <c r="BA374" s="0" t="s">
        <v>228</v>
      </c>
      <c r="BB374" s="0" t="s">
        <v>228</v>
      </c>
      <c r="BC374" s="0" t="s">
        <v>228</v>
      </c>
      <c r="BD374" s="0" t="s">
        <v>228</v>
      </c>
      <c r="BE374" s="0" t="s">
        <v>3652</v>
      </c>
      <c r="BF374" s="0" t="s">
        <v>3619</v>
      </c>
      <c r="BG374" s="0" t="s">
        <v>111</v>
      </c>
      <c r="BH374" s="0" t="s">
        <v>3665</v>
      </c>
      <c r="BI374" s="0" t="s">
        <v>122</v>
      </c>
      <c r="BJ374" s="0" t="s">
        <v>228</v>
      </c>
      <c r="BK374" s="0" t="s">
        <v>3684</v>
      </c>
      <c r="BL374" s="0" t="s">
        <v>2317</v>
      </c>
      <c r="BM374" s="0" t="s">
        <v>2317</v>
      </c>
      <c r="BN374" s="0" t="s">
        <v>3740</v>
      </c>
      <c r="BO374" s="0" t="s">
        <v>3738</v>
      </c>
      <c r="BP374" s="0" t="s">
        <v>3741</v>
      </c>
      <c r="BQ374" s="0" t="s">
        <v>3651</v>
      </c>
      <c r="BR374" s="0" t="s">
        <v>3651</v>
      </c>
      <c r="BS374" s="0" t="s">
        <v>228</v>
      </c>
      <c r="BT374" s="0" t="s">
        <v>3727</v>
      </c>
      <c r="BU374" s="0" t="s">
        <v>3742</v>
      </c>
      <c r="BV374" s="0" t="s">
        <v>3742</v>
      </c>
      <c r="BW374" s="0" t="s">
        <v>3674</v>
      </c>
      <c r="BX374" s="0" t="s">
        <v>3674</v>
      </c>
      <c r="BY374" s="0" t="s">
        <v>3674</v>
      </c>
      <c r="BZ374" s="0" t="s">
        <v>3674</v>
      </c>
      <c r="CA374" s="0" t="s">
        <v>3674</v>
      </c>
      <c r="CB374" s="0" t="s">
        <v>228</v>
      </c>
      <c r="CC374" s="0" t="s">
        <v>228</v>
      </c>
      <c r="CD374" s="0" t="s">
        <v>228</v>
      </c>
      <c r="CE374" s="0" t="s">
        <v>228</v>
      </c>
      <c r="CF374" s="0" t="s">
        <v>228</v>
      </c>
      <c r="CG374" s="0" t="s">
        <v>3674</v>
      </c>
      <c r="CH374" s="0" t="s">
        <v>228</v>
      </c>
      <c r="CI374" s="0" t="s">
        <v>228</v>
      </c>
      <c r="CJ374" s="0" t="s">
        <v>228</v>
      </c>
      <c r="CK374" s="0" t="s">
        <v>228</v>
      </c>
      <c r="CL374" s="0" t="s">
        <v>228</v>
      </c>
      <c r="CM374" s="0" t="s">
        <v>3742</v>
      </c>
      <c r="CN374" s="0" t="s">
        <v>3742</v>
      </c>
      <c r="CO374" s="0" t="s">
        <v>228</v>
      </c>
      <c r="CP374" s="0" t="s">
        <v>228</v>
      </c>
      <c r="CQ374" s="0" t="s">
        <v>228</v>
      </c>
      <c r="CR374" s="0" t="s">
        <v>228</v>
      </c>
      <c r="CS374" s="0" t="s">
        <v>3743</v>
      </c>
      <c r="CT374" s="0" t="s">
        <v>3568</v>
      </c>
      <c r="CU374" s="0" t="s">
        <v>3569</v>
      </c>
      <c r="CV374" s="0" t="s">
        <v>418</v>
      </c>
      <c r="CW374" s="0" t="s">
        <v>3622</v>
      </c>
      <c r="CX374" s="0" t="s">
        <v>419</v>
      </c>
      <c r="CY374" s="0" t="s">
        <v>418</v>
      </c>
      <c r="CZ374" s="0" t="s">
        <v>3623</v>
      </c>
      <c r="DA374" s="0" t="s">
        <v>3624</v>
      </c>
      <c r="DB374" s="0" t="s">
        <v>3622</v>
      </c>
      <c r="DC374" s="0" t="s">
        <v>362</v>
      </c>
      <c r="DD374" s="0" t="s">
        <v>3572</v>
      </c>
      <c r="DE374" s="0" t="s">
        <v>3744</v>
      </c>
    </row>
    <row customHeight="1" ht="11.25">
      <c r="A375" s="1353" t="s">
        <v>228</v>
      </c>
      <c r="B375" s="0" t="s">
        <v>228</v>
      </c>
      <c r="C375" s="0" t="s">
        <v>228</v>
      </c>
      <c r="D375" s="0" t="s">
        <v>228</v>
      </c>
      <c r="E375" s="0" t="s">
        <v>228</v>
      </c>
      <c r="F375" s="0" t="s">
        <v>228</v>
      </c>
      <c r="G375" s="0" t="s">
        <v>228</v>
      </c>
      <c r="H375" s="0" t="s">
        <v>228</v>
      </c>
      <c r="I375" s="0" t="s">
        <v>3555</v>
      </c>
      <c r="J375" s="0" t="s">
        <v>228</v>
      </c>
      <c r="K375" s="0" t="s">
        <v>228</v>
      </c>
      <c r="L375" s="0" t="s">
        <v>228</v>
      </c>
      <c r="M375" s="0" t="s">
        <v>228</v>
      </c>
      <c r="N375" s="0" t="s">
        <v>228</v>
      </c>
      <c r="O375" s="0" t="s">
        <v>228</v>
      </c>
      <c r="P375" s="0" t="s">
        <v>228</v>
      </c>
      <c r="Q375" s="0" t="s">
        <v>228</v>
      </c>
      <c r="R375" s="0" t="s">
        <v>4965</v>
      </c>
      <c r="S375" s="0" t="s">
        <v>228</v>
      </c>
      <c r="T375" s="0" t="s">
        <v>228</v>
      </c>
      <c r="U375" s="0" t="s">
        <v>101</v>
      </c>
      <c r="V375" s="0" t="s">
        <v>228</v>
      </c>
      <c r="W375" s="0" t="s">
        <v>228</v>
      </c>
      <c r="X375" s="0" t="s">
        <v>3661</v>
      </c>
      <c r="Y375" s="0" t="s">
        <v>228</v>
      </c>
      <c r="Z375" s="0" t="s">
        <v>151</v>
      </c>
      <c r="AA375" s="0" t="s">
        <v>151</v>
      </c>
      <c r="AB375" s="0" t="s">
        <v>160</v>
      </c>
      <c r="AC375" s="0" t="s">
        <v>2317</v>
      </c>
      <c r="AD375" s="0" t="s">
        <v>2317</v>
      </c>
      <c r="AE375" s="0" t="s">
        <v>2318</v>
      </c>
      <c r="AF375" s="0" t="s">
        <v>4487</v>
      </c>
      <c r="AG375" s="0" t="s">
        <v>4488</v>
      </c>
      <c r="AH375" s="0" t="s">
        <v>3651</v>
      </c>
      <c r="AI375" s="0" t="s">
        <v>3651</v>
      </c>
      <c r="AJ375" s="0" t="s">
        <v>228</v>
      </c>
      <c r="AK375" s="0" t="s">
        <v>228</v>
      </c>
      <c r="AL375" s="0" t="s">
        <v>228</v>
      </c>
      <c r="AM375" s="0" t="s">
        <v>228</v>
      </c>
      <c r="AN375" s="0" t="s">
        <v>228</v>
      </c>
      <c r="AO375" s="0" t="s">
        <v>228</v>
      </c>
      <c r="AP375" s="0" t="s">
        <v>228</v>
      </c>
      <c r="AQ375" s="0" t="s">
        <v>228</v>
      </c>
      <c r="AR375" s="0" t="s">
        <v>228</v>
      </c>
      <c r="AS375" s="0" t="s">
        <v>228</v>
      </c>
      <c r="AT375" s="0" t="s">
        <v>228</v>
      </c>
      <c r="AU375" s="0" t="s">
        <v>228</v>
      </c>
      <c r="AV375" s="0" t="s">
        <v>228</v>
      </c>
      <c r="AW375" s="0" t="s">
        <v>228</v>
      </c>
      <c r="AX375" s="0" t="s">
        <v>228</v>
      </c>
      <c r="AY375" s="0" t="s">
        <v>228</v>
      </c>
      <c r="AZ375" s="0" t="s">
        <v>228</v>
      </c>
      <c r="BA375" s="0" t="s">
        <v>228</v>
      </c>
      <c r="BB375" s="0" t="s">
        <v>228</v>
      </c>
      <c r="BC375" s="0" t="s">
        <v>228</v>
      </c>
      <c r="BD375" s="0" t="s">
        <v>228</v>
      </c>
      <c r="BE375" s="0" t="s">
        <v>3579</v>
      </c>
      <c r="BF375" s="0" t="s">
        <v>4751</v>
      </c>
      <c r="BG375" s="0" t="s">
        <v>111</v>
      </c>
      <c r="BH375" s="0" t="s">
        <v>3665</v>
      </c>
      <c r="BI375" s="0" t="s">
        <v>122</v>
      </c>
      <c r="BJ375" s="0" t="s">
        <v>228</v>
      </c>
      <c r="BK375" s="0" t="s">
        <v>3684</v>
      </c>
      <c r="BL375" s="0" t="s">
        <v>2317</v>
      </c>
      <c r="BM375" s="0" t="s">
        <v>2317</v>
      </c>
      <c r="BN375" s="0" t="s">
        <v>3740</v>
      </c>
      <c r="BO375" s="0" t="s">
        <v>4487</v>
      </c>
      <c r="BP375" s="0" t="s">
        <v>4966</v>
      </c>
      <c r="BQ375" s="0" t="s">
        <v>3651</v>
      </c>
      <c r="BR375" s="0" t="s">
        <v>3651</v>
      </c>
      <c r="BS375" s="0" t="s">
        <v>228</v>
      </c>
      <c r="BT375" s="0" t="s">
        <v>3727</v>
      </c>
      <c r="BU375" s="0" t="s">
        <v>4967</v>
      </c>
      <c r="BV375" s="0" t="s">
        <v>4967</v>
      </c>
      <c r="BW375" s="0" t="s">
        <v>3674</v>
      </c>
      <c r="BX375" s="0" t="s">
        <v>3674</v>
      </c>
      <c r="BY375" s="0" t="s">
        <v>3674</v>
      </c>
      <c r="BZ375" s="0" t="s">
        <v>3674</v>
      </c>
      <c r="CA375" s="0" t="s">
        <v>3674</v>
      </c>
      <c r="CB375" s="0" t="s">
        <v>228</v>
      </c>
      <c r="CC375" s="0" t="s">
        <v>228</v>
      </c>
      <c r="CD375" s="0" t="s">
        <v>228</v>
      </c>
      <c r="CE375" s="0" t="s">
        <v>228</v>
      </c>
      <c r="CF375" s="0" t="s">
        <v>228</v>
      </c>
      <c r="CG375" s="0" t="s">
        <v>3674</v>
      </c>
      <c r="CH375" s="0" t="s">
        <v>228</v>
      </c>
      <c r="CI375" s="0" t="s">
        <v>228</v>
      </c>
      <c r="CJ375" s="0" t="s">
        <v>228</v>
      </c>
      <c r="CK375" s="0" t="s">
        <v>228</v>
      </c>
      <c r="CL375" s="0" t="s">
        <v>228</v>
      </c>
      <c r="CM375" s="0" t="s">
        <v>4967</v>
      </c>
      <c r="CN375" s="0" t="s">
        <v>4967</v>
      </c>
      <c r="CO375" s="0" t="s">
        <v>228</v>
      </c>
      <c r="CP375" s="0" t="s">
        <v>228</v>
      </c>
      <c r="CQ375" s="0" t="s">
        <v>228</v>
      </c>
      <c r="CR375" s="0" t="s">
        <v>228</v>
      </c>
      <c r="CS375" s="0" t="s">
        <v>3743</v>
      </c>
      <c r="CT375" s="0" t="s">
        <v>3568</v>
      </c>
      <c r="CU375" s="0" t="s">
        <v>3569</v>
      </c>
      <c r="CV375" s="0" t="s">
        <v>418</v>
      </c>
      <c r="CW375" s="0" t="s">
        <v>3622</v>
      </c>
      <c r="CX375" s="0" t="s">
        <v>419</v>
      </c>
      <c r="CY375" s="0" t="s">
        <v>418</v>
      </c>
      <c r="CZ375" s="0" t="s">
        <v>3623</v>
      </c>
      <c r="DA375" s="0" t="s">
        <v>3624</v>
      </c>
      <c r="DB375" s="0" t="s">
        <v>3622</v>
      </c>
      <c r="DC375" s="0" t="s">
        <v>362</v>
      </c>
      <c r="DD375" s="0" t="s">
        <v>3572</v>
      </c>
      <c r="DE375" s="0" t="s">
        <v>4968</v>
      </c>
    </row>
    <row customHeight="1" ht="11.25">
      <c r="A376" s="1353" t="s">
        <v>228</v>
      </c>
      <c r="B376" s="0" t="s">
        <v>228</v>
      </c>
      <c r="C376" s="0" t="s">
        <v>228</v>
      </c>
      <c r="D376" s="0" t="s">
        <v>228</v>
      </c>
      <c r="E376" s="0" t="s">
        <v>228</v>
      </c>
      <c r="F376" s="0" t="s">
        <v>228</v>
      </c>
      <c r="G376" s="0" t="s">
        <v>228</v>
      </c>
      <c r="H376" s="0" t="s">
        <v>228</v>
      </c>
      <c r="I376" s="0" t="s">
        <v>3555</v>
      </c>
      <c r="J376" s="0" t="s">
        <v>228</v>
      </c>
      <c r="K376" s="0" t="s">
        <v>228</v>
      </c>
      <c r="L376" s="0" t="s">
        <v>228</v>
      </c>
      <c r="M376" s="0" t="s">
        <v>228</v>
      </c>
      <c r="N376" s="0" t="s">
        <v>228</v>
      </c>
      <c r="O376" s="0" t="s">
        <v>228</v>
      </c>
      <c r="P376" s="0" t="s">
        <v>228</v>
      </c>
      <c r="Q376" s="0" t="s">
        <v>228</v>
      </c>
      <c r="R376" s="0" t="s">
        <v>5072</v>
      </c>
      <c r="S376" s="0" t="s">
        <v>228</v>
      </c>
      <c r="T376" s="0" t="s">
        <v>228</v>
      </c>
      <c r="U376" s="0" t="s">
        <v>101</v>
      </c>
      <c r="V376" s="0" t="s">
        <v>228</v>
      </c>
      <c r="W376" s="0" t="s">
        <v>228</v>
      </c>
      <c r="X376" s="0" t="s">
        <v>3557</v>
      </c>
      <c r="Y376" s="0" t="s">
        <v>228</v>
      </c>
      <c r="Z376" s="0" t="s">
        <v>160</v>
      </c>
      <c r="AA376" s="0" t="s">
        <v>151</v>
      </c>
      <c r="AB376" s="0" t="s">
        <v>151</v>
      </c>
      <c r="AC376" s="0" t="s">
        <v>2715</v>
      </c>
      <c r="AD376" s="0" t="s">
        <v>2715</v>
      </c>
      <c r="AE376" s="0" t="s">
        <v>2716</v>
      </c>
      <c r="AF376" s="0" t="s">
        <v>3594</v>
      </c>
      <c r="AG376" s="0" t="s">
        <v>3595</v>
      </c>
      <c r="AH376" s="0" t="s">
        <v>4970</v>
      </c>
      <c r="AI376" s="0" t="s">
        <v>4971</v>
      </c>
      <c r="AJ376" s="0" t="s">
        <v>3985</v>
      </c>
      <c r="AK376" s="0" t="s">
        <v>3674</v>
      </c>
      <c r="AL376" s="0" t="s">
        <v>3599</v>
      </c>
      <c r="AM376" s="0" t="s">
        <v>3565</v>
      </c>
      <c r="AN376" s="0" t="s">
        <v>4972</v>
      </c>
      <c r="AO376" s="0" t="s">
        <v>4973</v>
      </c>
      <c r="AP376" s="0" t="s">
        <v>228</v>
      </c>
      <c r="AQ376" s="0" t="s">
        <v>228</v>
      </c>
      <c r="AR376" s="0" t="s">
        <v>228</v>
      </c>
      <c r="AS376" s="0" t="s">
        <v>228</v>
      </c>
      <c r="AT376" s="0" t="s">
        <v>228</v>
      </c>
      <c r="AU376" s="0" t="s">
        <v>228</v>
      </c>
      <c r="AV376" s="0" t="s">
        <v>228</v>
      </c>
      <c r="AW376" s="0" t="s">
        <v>228</v>
      </c>
      <c r="AX376" s="0" t="s">
        <v>228</v>
      </c>
      <c r="AY376" s="0" t="s">
        <v>228</v>
      </c>
      <c r="AZ376" s="0" t="s">
        <v>228</v>
      </c>
      <c r="BA376" s="0" t="s">
        <v>228</v>
      </c>
      <c r="BB376" s="0" t="s">
        <v>228</v>
      </c>
      <c r="BC376" s="0" t="s">
        <v>228</v>
      </c>
      <c r="BD376" s="0" t="s">
        <v>228</v>
      </c>
      <c r="BE376" s="0" t="s">
        <v>228</v>
      </c>
      <c r="BF376" s="0" t="s">
        <v>228</v>
      </c>
      <c r="BG376" s="0" t="s">
        <v>228</v>
      </c>
      <c r="BH376" s="0" t="s">
        <v>228</v>
      </c>
      <c r="BI376" s="0" t="s">
        <v>228</v>
      </c>
      <c r="BJ376" s="0" t="s">
        <v>228</v>
      </c>
      <c r="BK376" s="0" t="s">
        <v>228</v>
      </c>
      <c r="BL376" s="0" t="s">
        <v>228</v>
      </c>
      <c r="BM376" s="0" t="s">
        <v>228</v>
      </c>
      <c r="BN376" s="0" t="s">
        <v>228</v>
      </c>
      <c r="BO376" s="0" t="s">
        <v>228</v>
      </c>
      <c r="BP376" s="0" t="s">
        <v>228</v>
      </c>
      <c r="BQ376" s="0" t="s">
        <v>228</v>
      </c>
      <c r="BR376" s="0" t="s">
        <v>228</v>
      </c>
      <c r="BS376" s="0" t="s">
        <v>228</v>
      </c>
      <c r="BT376" s="0" t="s">
        <v>228</v>
      </c>
      <c r="BU376" s="0" t="s">
        <v>228</v>
      </c>
      <c r="BV376" s="0" t="s">
        <v>228</v>
      </c>
      <c r="BW376" s="0" t="s">
        <v>228</v>
      </c>
      <c r="BX376" s="0" t="s">
        <v>228</v>
      </c>
      <c r="BY376" s="0" t="s">
        <v>228</v>
      </c>
      <c r="BZ376" s="0" t="s">
        <v>228</v>
      </c>
      <c r="CA376" s="0" t="s">
        <v>228</v>
      </c>
      <c r="CB376" s="0" t="s">
        <v>228</v>
      </c>
      <c r="CC376" s="0" t="s">
        <v>228</v>
      </c>
      <c r="CD376" s="0" t="s">
        <v>228</v>
      </c>
      <c r="CE376" s="0" t="s">
        <v>228</v>
      </c>
      <c r="CF376" s="0" t="s">
        <v>228</v>
      </c>
      <c r="CG376" s="0" t="s">
        <v>228</v>
      </c>
      <c r="CH376" s="0" t="s">
        <v>228</v>
      </c>
      <c r="CI376" s="0" t="s">
        <v>228</v>
      </c>
      <c r="CJ376" s="0" t="s">
        <v>228</v>
      </c>
      <c r="CK376" s="0" t="s">
        <v>228</v>
      </c>
      <c r="CL376" s="0" t="s">
        <v>228</v>
      </c>
      <c r="CM376" s="0" t="s">
        <v>228</v>
      </c>
      <c r="CN376" s="0" t="s">
        <v>228</v>
      </c>
      <c r="CO376" s="0" t="s">
        <v>228</v>
      </c>
      <c r="CP376" s="0" t="s">
        <v>228</v>
      </c>
      <c r="CQ376" s="0" t="s">
        <v>228</v>
      </c>
      <c r="CR376" s="0" t="s">
        <v>228</v>
      </c>
      <c r="CS376" s="0" t="s">
        <v>228</v>
      </c>
      <c r="CT376" s="0" t="s">
        <v>3568</v>
      </c>
      <c r="CU376" s="0" t="s">
        <v>3569</v>
      </c>
      <c r="CV376" s="0" t="s">
        <v>418</v>
      </c>
      <c r="CW376" s="0" t="s">
        <v>3602</v>
      </c>
      <c r="CX376" s="0" t="s">
        <v>3603</v>
      </c>
      <c r="CY376" s="0" t="s">
        <v>418</v>
      </c>
      <c r="CZ376" s="0" t="s">
        <v>504</v>
      </c>
      <c r="DA376" s="0" t="s">
        <v>3604</v>
      </c>
      <c r="DB376" s="0" t="s">
        <v>3602</v>
      </c>
      <c r="DC376" s="0" t="s">
        <v>362</v>
      </c>
      <c r="DD376" s="0" t="s">
        <v>3572</v>
      </c>
      <c r="DE376" s="0" t="s">
        <v>4974</v>
      </c>
    </row>
    <row customHeight="1" ht="11.25">
      <c r="A377" s="1353" t="s">
        <v>228</v>
      </c>
      <c r="B377" s="0" t="s">
        <v>228</v>
      </c>
      <c r="C377" s="0" t="s">
        <v>228</v>
      </c>
      <c r="D377" s="0" t="s">
        <v>228</v>
      </c>
      <c r="E377" s="0" t="s">
        <v>228</v>
      </c>
      <c r="F377" s="0" t="s">
        <v>228</v>
      </c>
      <c r="G377" s="0" t="s">
        <v>228</v>
      </c>
      <c r="H377" s="0" t="s">
        <v>228</v>
      </c>
      <c r="I377" s="0" t="s">
        <v>3555</v>
      </c>
      <c r="J377" s="0" t="s">
        <v>228</v>
      </c>
      <c r="K377" s="0" t="s">
        <v>228</v>
      </c>
      <c r="L377" s="0" t="s">
        <v>228</v>
      </c>
      <c r="M377" s="0" t="s">
        <v>228</v>
      </c>
      <c r="N377" s="0" t="s">
        <v>228</v>
      </c>
      <c r="O377" s="0" t="s">
        <v>228</v>
      </c>
      <c r="P377" s="0" t="s">
        <v>228</v>
      </c>
      <c r="Q377" s="0" t="s">
        <v>228</v>
      </c>
      <c r="R377" s="0" t="s">
        <v>3648</v>
      </c>
      <c r="S377" s="0" t="s">
        <v>228</v>
      </c>
      <c r="T377" s="0" t="s">
        <v>228</v>
      </c>
      <c r="U377" s="0" t="s">
        <v>101</v>
      </c>
      <c r="V377" s="0" t="s">
        <v>228</v>
      </c>
      <c r="W377" s="0" t="s">
        <v>228</v>
      </c>
      <c r="X377" s="0" t="s">
        <v>3557</v>
      </c>
      <c r="Y377" s="0" t="s">
        <v>228</v>
      </c>
      <c r="Z377" s="0" t="s">
        <v>160</v>
      </c>
      <c r="AA377" s="0" t="s">
        <v>151</v>
      </c>
      <c r="AB377" s="0" t="s">
        <v>151</v>
      </c>
      <c r="AC377" s="0" t="s">
        <v>2317</v>
      </c>
      <c r="AD377" s="0" t="s">
        <v>2317</v>
      </c>
      <c r="AE377" s="0" t="s">
        <v>2318</v>
      </c>
      <c r="AF377" s="0" t="s">
        <v>3759</v>
      </c>
      <c r="AG377" s="0" t="s">
        <v>3760</v>
      </c>
      <c r="AH377" s="0" t="s">
        <v>4975</v>
      </c>
      <c r="AI377" s="0" t="s">
        <v>4976</v>
      </c>
      <c r="AJ377" s="0" t="s">
        <v>4514</v>
      </c>
      <c r="AK377" s="0" t="s">
        <v>3749</v>
      </c>
      <c r="AL377" s="0" t="s">
        <v>3581</v>
      </c>
      <c r="AM377" s="0" t="s">
        <v>3565</v>
      </c>
      <c r="AN377" s="0" t="s">
        <v>3628</v>
      </c>
      <c r="AO377" s="0" t="s">
        <v>3712</v>
      </c>
      <c r="AP377" s="0" t="s">
        <v>228</v>
      </c>
      <c r="AQ377" s="0" t="s">
        <v>228</v>
      </c>
      <c r="AR377" s="0" t="s">
        <v>228</v>
      </c>
      <c r="AS377" s="0" t="s">
        <v>228</v>
      </c>
      <c r="AT377" s="0" t="s">
        <v>228</v>
      </c>
      <c r="AU377" s="0" t="s">
        <v>228</v>
      </c>
      <c r="AV377" s="0" t="s">
        <v>228</v>
      </c>
      <c r="AW377" s="0" t="s">
        <v>228</v>
      </c>
      <c r="AX377" s="0" t="s">
        <v>228</v>
      </c>
      <c r="AY377" s="0" t="s">
        <v>228</v>
      </c>
      <c r="AZ377" s="0" t="s">
        <v>228</v>
      </c>
      <c r="BA377" s="0" t="s">
        <v>228</v>
      </c>
      <c r="BB377" s="0" t="s">
        <v>228</v>
      </c>
      <c r="BC377" s="0" t="s">
        <v>228</v>
      </c>
      <c r="BD377" s="0" t="s">
        <v>228</v>
      </c>
      <c r="BE377" s="0" t="s">
        <v>228</v>
      </c>
      <c r="BF377" s="0" t="s">
        <v>228</v>
      </c>
      <c r="BG377" s="0" t="s">
        <v>228</v>
      </c>
      <c r="BH377" s="0" t="s">
        <v>228</v>
      </c>
      <c r="BI377" s="0" t="s">
        <v>228</v>
      </c>
      <c r="BJ377" s="0" t="s">
        <v>228</v>
      </c>
      <c r="BK377" s="0" t="s">
        <v>228</v>
      </c>
      <c r="BL377" s="0" t="s">
        <v>228</v>
      </c>
      <c r="BM377" s="0" t="s">
        <v>228</v>
      </c>
      <c r="BN377" s="0" t="s">
        <v>228</v>
      </c>
      <c r="BO377" s="0" t="s">
        <v>228</v>
      </c>
      <c r="BP377" s="0" t="s">
        <v>228</v>
      </c>
      <c r="BQ377" s="0" t="s">
        <v>228</v>
      </c>
      <c r="BR377" s="0" t="s">
        <v>228</v>
      </c>
      <c r="BS377" s="0" t="s">
        <v>228</v>
      </c>
      <c r="BT377" s="0" t="s">
        <v>228</v>
      </c>
      <c r="BU377" s="0" t="s">
        <v>228</v>
      </c>
      <c r="BV377" s="0" t="s">
        <v>228</v>
      </c>
      <c r="BW377" s="0" t="s">
        <v>228</v>
      </c>
      <c r="BX377" s="0" t="s">
        <v>228</v>
      </c>
      <c r="BY377" s="0" t="s">
        <v>228</v>
      </c>
      <c r="BZ377" s="0" t="s">
        <v>228</v>
      </c>
      <c r="CA377" s="0" t="s">
        <v>228</v>
      </c>
      <c r="CB377" s="0" t="s">
        <v>228</v>
      </c>
      <c r="CC377" s="0" t="s">
        <v>228</v>
      </c>
      <c r="CD377" s="0" t="s">
        <v>228</v>
      </c>
      <c r="CE377" s="0" t="s">
        <v>228</v>
      </c>
      <c r="CF377" s="0" t="s">
        <v>228</v>
      </c>
      <c r="CG377" s="0" t="s">
        <v>228</v>
      </c>
      <c r="CH377" s="0" t="s">
        <v>228</v>
      </c>
      <c r="CI377" s="0" t="s">
        <v>228</v>
      </c>
      <c r="CJ377" s="0" t="s">
        <v>228</v>
      </c>
      <c r="CK377" s="0" t="s">
        <v>228</v>
      </c>
      <c r="CL377" s="0" t="s">
        <v>228</v>
      </c>
      <c r="CM377" s="0" t="s">
        <v>228</v>
      </c>
      <c r="CN377" s="0" t="s">
        <v>228</v>
      </c>
      <c r="CO377" s="0" t="s">
        <v>228</v>
      </c>
      <c r="CP377" s="0" t="s">
        <v>228</v>
      </c>
      <c r="CQ377" s="0" t="s">
        <v>228</v>
      </c>
      <c r="CR377" s="0" t="s">
        <v>228</v>
      </c>
      <c r="CS377" s="0" t="s">
        <v>228</v>
      </c>
      <c r="CT377" s="0" t="s">
        <v>3568</v>
      </c>
      <c r="CU377" s="0" t="s">
        <v>3569</v>
      </c>
      <c r="CV377" s="0" t="s">
        <v>418</v>
      </c>
      <c r="CW377" s="0" t="s">
        <v>3622</v>
      </c>
      <c r="CX377" s="0" t="s">
        <v>419</v>
      </c>
      <c r="CY377" s="0" t="s">
        <v>418</v>
      </c>
      <c r="CZ377" s="0" t="s">
        <v>3623</v>
      </c>
      <c r="DA377" s="0" t="s">
        <v>3624</v>
      </c>
      <c r="DB377" s="0" t="s">
        <v>3622</v>
      </c>
      <c r="DC377" s="0" t="s">
        <v>362</v>
      </c>
      <c r="DD377" s="0" t="s">
        <v>3572</v>
      </c>
      <c r="DE377" s="0" t="s">
        <v>4977</v>
      </c>
    </row>
    <row customHeight="1" ht="11.25">
      <c r="A378" s="1353" t="s">
        <v>228</v>
      </c>
      <c r="B378" s="0" t="s">
        <v>228</v>
      </c>
      <c r="C378" s="0" t="s">
        <v>228</v>
      </c>
      <c r="D378" s="0" t="s">
        <v>228</v>
      </c>
      <c r="E378" s="0" t="s">
        <v>228</v>
      </c>
      <c r="F378" s="0" t="s">
        <v>228</v>
      </c>
      <c r="G378" s="0" t="s">
        <v>228</v>
      </c>
      <c r="H378" s="0" t="s">
        <v>228</v>
      </c>
      <c r="I378" s="0" t="s">
        <v>3555</v>
      </c>
      <c r="J378" s="0" t="s">
        <v>228</v>
      </c>
      <c r="K378" s="0" t="s">
        <v>228</v>
      </c>
      <c r="L378" s="0" t="s">
        <v>228</v>
      </c>
      <c r="M378" s="0" t="s">
        <v>228</v>
      </c>
      <c r="N378" s="0" t="s">
        <v>228</v>
      </c>
      <c r="O378" s="0" t="s">
        <v>228</v>
      </c>
      <c r="P378" s="0" t="s">
        <v>228</v>
      </c>
      <c r="Q378" s="0" t="s">
        <v>228</v>
      </c>
      <c r="R378" s="0" t="s">
        <v>4321</v>
      </c>
      <c r="S378" s="0" t="s">
        <v>228</v>
      </c>
      <c r="T378" s="0" t="s">
        <v>228</v>
      </c>
      <c r="U378" s="0" t="s">
        <v>101</v>
      </c>
      <c r="V378" s="0" t="s">
        <v>228</v>
      </c>
      <c r="W378" s="0" t="s">
        <v>228</v>
      </c>
      <c r="X378" s="0" t="s">
        <v>3661</v>
      </c>
      <c r="Y378" s="0" t="s">
        <v>228</v>
      </c>
      <c r="Z378" s="0" t="s">
        <v>151</v>
      </c>
      <c r="AA378" s="0" t="s">
        <v>151</v>
      </c>
      <c r="AB378" s="0" t="s">
        <v>160</v>
      </c>
      <c r="AC378" s="0" t="s">
        <v>2315</v>
      </c>
      <c r="AD378" s="0" t="s">
        <v>2315</v>
      </c>
      <c r="AE378" s="0" t="s">
        <v>2316</v>
      </c>
      <c r="AF378" s="0" t="s">
        <v>4058</v>
      </c>
      <c r="AG378" s="0" t="s">
        <v>4059</v>
      </c>
      <c r="AH378" s="0" t="s">
        <v>3651</v>
      </c>
      <c r="AI378" s="0" t="s">
        <v>3651</v>
      </c>
      <c r="AJ378" s="0" t="s">
        <v>228</v>
      </c>
      <c r="AK378" s="0" t="s">
        <v>228</v>
      </c>
      <c r="AL378" s="0" t="s">
        <v>228</v>
      </c>
      <c r="AM378" s="0" t="s">
        <v>228</v>
      </c>
      <c r="AN378" s="0" t="s">
        <v>228</v>
      </c>
      <c r="AO378" s="0" t="s">
        <v>228</v>
      </c>
      <c r="AP378" s="0" t="s">
        <v>228</v>
      </c>
      <c r="AQ378" s="0" t="s">
        <v>228</v>
      </c>
      <c r="AR378" s="0" t="s">
        <v>228</v>
      </c>
      <c r="AS378" s="0" t="s">
        <v>228</v>
      </c>
      <c r="AT378" s="0" t="s">
        <v>228</v>
      </c>
      <c r="AU378" s="0" t="s">
        <v>228</v>
      </c>
      <c r="AV378" s="0" t="s">
        <v>228</v>
      </c>
      <c r="AW378" s="0" t="s">
        <v>228</v>
      </c>
      <c r="AX378" s="0" t="s">
        <v>228</v>
      </c>
      <c r="AY378" s="0" t="s">
        <v>228</v>
      </c>
      <c r="AZ378" s="0" t="s">
        <v>228</v>
      </c>
      <c r="BA378" s="0" t="s">
        <v>228</v>
      </c>
      <c r="BB378" s="0" t="s">
        <v>228</v>
      </c>
      <c r="BC378" s="0" t="s">
        <v>228</v>
      </c>
      <c r="BD378" s="0" t="s">
        <v>228</v>
      </c>
      <c r="BE378" s="0" t="s">
        <v>3562</v>
      </c>
      <c r="BF378" s="0" t="s">
        <v>3562</v>
      </c>
      <c r="BG378" s="0" t="s">
        <v>111</v>
      </c>
      <c r="BH378" s="0" t="s">
        <v>3665</v>
      </c>
      <c r="BI378" s="0" t="s">
        <v>122</v>
      </c>
      <c r="BJ378" s="0" t="s">
        <v>228</v>
      </c>
      <c r="BK378" s="0" t="s">
        <v>4057</v>
      </c>
      <c r="BL378" s="0" t="s">
        <v>2315</v>
      </c>
      <c r="BM378" s="0" t="s">
        <v>2315</v>
      </c>
      <c r="BN378" s="0" t="s">
        <v>3875</v>
      </c>
      <c r="BO378" s="0" t="s">
        <v>4058</v>
      </c>
      <c r="BP378" s="0" t="s">
        <v>4249</v>
      </c>
      <c r="BQ378" s="0" t="s">
        <v>3651</v>
      </c>
      <c r="BR378" s="0" t="s">
        <v>3651</v>
      </c>
      <c r="BS378" s="0" t="s">
        <v>228</v>
      </c>
      <c r="BT378" s="0" t="s">
        <v>3727</v>
      </c>
      <c r="BU378" s="0" t="s">
        <v>4322</v>
      </c>
      <c r="BV378" s="0" t="s">
        <v>4322</v>
      </c>
      <c r="BW378" s="0" t="s">
        <v>3674</v>
      </c>
      <c r="BX378" s="0" t="s">
        <v>3674</v>
      </c>
      <c r="BY378" s="0" t="s">
        <v>3674</v>
      </c>
      <c r="BZ378" s="0" t="s">
        <v>3674</v>
      </c>
      <c r="CA378" s="0" t="s">
        <v>3674</v>
      </c>
      <c r="CB378" s="0" t="s">
        <v>228</v>
      </c>
      <c r="CC378" s="0" t="s">
        <v>228</v>
      </c>
      <c r="CD378" s="0" t="s">
        <v>228</v>
      </c>
      <c r="CE378" s="0" t="s">
        <v>228</v>
      </c>
      <c r="CF378" s="0" t="s">
        <v>228</v>
      </c>
      <c r="CG378" s="0" t="s">
        <v>3674</v>
      </c>
      <c r="CH378" s="0" t="s">
        <v>228</v>
      </c>
      <c r="CI378" s="0" t="s">
        <v>228</v>
      </c>
      <c r="CJ378" s="0" t="s">
        <v>228</v>
      </c>
      <c r="CK378" s="0" t="s">
        <v>228</v>
      </c>
      <c r="CL378" s="0" t="s">
        <v>228</v>
      </c>
      <c r="CM378" s="0" t="s">
        <v>4322</v>
      </c>
      <c r="CN378" s="0" t="s">
        <v>4322</v>
      </c>
      <c r="CO378" s="0" t="s">
        <v>228</v>
      </c>
      <c r="CP378" s="0" t="s">
        <v>228</v>
      </c>
      <c r="CQ378" s="0" t="s">
        <v>228</v>
      </c>
      <c r="CR378" s="0" t="s">
        <v>228</v>
      </c>
      <c r="CS378" s="0" t="s">
        <v>3563</v>
      </c>
      <c r="CT378" s="0" t="s">
        <v>3568</v>
      </c>
      <c r="CU378" s="0" t="s">
        <v>3569</v>
      </c>
      <c r="CV378" s="0" t="s">
        <v>418</v>
      </c>
      <c r="CW378" s="0" t="s">
        <v>3656</v>
      </c>
      <c r="CX378" s="0" t="s">
        <v>419</v>
      </c>
      <c r="CY378" s="0" t="s">
        <v>418</v>
      </c>
      <c r="CZ378" s="0" t="s">
        <v>3657</v>
      </c>
      <c r="DA378" s="0" t="s">
        <v>3658</v>
      </c>
      <c r="DB378" s="0" t="s">
        <v>3656</v>
      </c>
      <c r="DC378" s="0" t="s">
        <v>362</v>
      </c>
      <c r="DD378" s="0" t="s">
        <v>3572</v>
      </c>
      <c r="DE378" s="0" t="s">
        <v>4323</v>
      </c>
    </row>
    <row customHeight="1" ht="11.25">
      <c r="A379" s="1353" t="s">
        <v>228</v>
      </c>
      <c r="B379" s="0" t="s">
        <v>228</v>
      </c>
      <c r="C379" s="0" t="s">
        <v>228</v>
      </c>
      <c r="D379" s="0" t="s">
        <v>228</v>
      </c>
      <c r="E379" s="0" t="s">
        <v>228</v>
      </c>
      <c r="F379" s="0" t="s">
        <v>228</v>
      </c>
      <c r="G379" s="0" t="s">
        <v>228</v>
      </c>
      <c r="H379" s="0" t="s">
        <v>228</v>
      </c>
      <c r="I379" s="0" t="s">
        <v>3555</v>
      </c>
      <c r="J379" s="0" t="s">
        <v>228</v>
      </c>
      <c r="K379" s="0" t="s">
        <v>228</v>
      </c>
      <c r="L379" s="0" t="s">
        <v>228</v>
      </c>
      <c r="M379" s="0" t="s">
        <v>228</v>
      </c>
      <c r="N379" s="0" t="s">
        <v>228</v>
      </c>
      <c r="O379" s="0" t="s">
        <v>228</v>
      </c>
      <c r="P379" s="0" t="s">
        <v>228</v>
      </c>
      <c r="Q379" s="0" t="s">
        <v>228</v>
      </c>
      <c r="R379" s="0" t="s">
        <v>3648</v>
      </c>
      <c r="S379" s="0" t="s">
        <v>228</v>
      </c>
      <c r="T379" s="0" t="s">
        <v>228</v>
      </c>
      <c r="U379" s="0" t="s">
        <v>101</v>
      </c>
      <c r="V379" s="0" t="s">
        <v>228</v>
      </c>
      <c r="W379" s="0" t="s">
        <v>228</v>
      </c>
      <c r="X379" s="0" t="s">
        <v>3557</v>
      </c>
      <c r="Y379" s="0" t="s">
        <v>228</v>
      </c>
      <c r="Z379" s="0" t="s">
        <v>160</v>
      </c>
      <c r="AA379" s="0" t="s">
        <v>151</v>
      </c>
      <c r="AB379" s="0" t="s">
        <v>151</v>
      </c>
      <c r="AC379" s="0" t="s">
        <v>2315</v>
      </c>
      <c r="AD379" s="0" t="s">
        <v>2315</v>
      </c>
      <c r="AE379" s="0" t="s">
        <v>2316</v>
      </c>
      <c r="AF379" s="0" t="s">
        <v>4498</v>
      </c>
      <c r="AG379" s="0" t="s">
        <v>4499</v>
      </c>
      <c r="AH379" s="0" t="s">
        <v>3651</v>
      </c>
      <c r="AI379" s="0" t="s">
        <v>3651</v>
      </c>
      <c r="AJ379" s="0" t="s">
        <v>3652</v>
      </c>
      <c r="AK379" s="0" t="s">
        <v>4500</v>
      </c>
      <c r="AL379" s="0" t="s">
        <v>3581</v>
      </c>
      <c r="AM379" s="0" t="s">
        <v>3565</v>
      </c>
      <c r="AN379" s="0" t="s">
        <v>3654</v>
      </c>
      <c r="AO379" s="0" t="s">
        <v>3655</v>
      </c>
      <c r="AP379" s="0" t="s">
        <v>228</v>
      </c>
      <c r="AQ379" s="0" t="s">
        <v>228</v>
      </c>
      <c r="AR379" s="0" t="s">
        <v>228</v>
      </c>
      <c r="AS379" s="0" t="s">
        <v>228</v>
      </c>
      <c r="AT379" s="0" t="s">
        <v>228</v>
      </c>
      <c r="AU379" s="0" t="s">
        <v>228</v>
      </c>
      <c r="AV379" s="0" t="s">
        <v>228</v>
      </c>
      <c r="AW379" s="0" t="s">
        <v>228</v>
      </c>
      <c r="AX379" s="0" t="s">
        <v>228</v>
      </c>
      <c r="AY379" s="0" t="s">
        <v>228</v>
      </c>
      <c r="AZ379" s="0" t="s">
        <v>228</v>
      </c>
      <c r="BA379" s="0" t="s">
        <v>228</v>
      </c>
      <c r="BB379" s="0" t="s">
        <v>228</v>
      </c>
      <c r="BC379" s="0" t="s">
        <v>228</v>
      </c>
      <c r="BD379" s="0" t="s">
        <v>228</v>
      </c>
      <c r="BE379" s="0" t="s">
        <v>228</v>
      </c>
      <c r="BF379" s="0" t="s">
        <v>228</v>
      </c>
      <c r="BG379" s="0" t="s">
        <v>228</v>
      </c>
      <c r="BH379" s="0" t="s">
        <v>228</v>
      </c>
      <c r="BI379" s="0" t="s">
        <v>228</v>
      </c>
      <c r="BJ379" s="0" t="s">
        <v>228</v>
      </c>
      <c r="BK379" s="0" t="s">
        <v>228</v>
      </c>
      <c r="BL379" s="0" t="s">
        <v>228</v>
      </c>
      <c r="BM379" s="0" t="s">
        <v>228</v>
      </c>
      <c r="BN379" s="0" t="s">
        <v>228</v>
      </c>
      <c r="BO379" s="0" t="s">
        <v>228</v>
      </c>
      <c r="BP379" s="0" t="s">
        <v>228</v>
      </c>
      <c r="BQ379" s="0" t="s">
        <v>228</v>
      </c>
      <c r="BR379" s="0" t="s">
        <v>228</v>
      </c>
      <c r="BS379" s="0" t="s">
        <v>228</v>
      </c>
      <c r="BT379" s="0" t="s">
        <v>228</v>
      </c>
      <c r="BU379" s="0" t="s">
        <v>228</v>
      </c>
      <c r="BV379" s="0" t="s">
        <v>228</v>
      </c>
      <c r="BW379" s="0" t="s">
        <v>228</v>
      </c>
      <c r="BX379" s="0" t="s">
        <v>228</v>
      </c>
      <c r="BY379" s="0" t="s">
        <v>228</v>
      </c>
      <c r="BZ379" s="0" t="s">
        <v>228</v>
      </c>
      <c r="CA379" s="0" t="s">
        <v>228</v>
      </c>
      <c r="CB379" s="0" t="s">
        <v>228</v>
      </c>
      <c r="CC379" s="0" t="s">
        <v>228</v>
      </c>
      <c r="CD379" s="0" t="s">
        <v>228</v>
      </c>
      <c r="CE379" s="0" t="s">
        <v>228</v>
      </c>
      <c r="CF379" s="0" t="s">
        <v>228</v>
      </c>
      <c r="CG379" s="0" t="s">
        <v>228</v>
      </c>
      <c r="CH379" s="0" t="s">
        <v>228</v>
      </c>
      <c r="CI379" s="0" t="s">
        <v>228</v>
      </c>
      <c r="CJ379" s="0" t="s">
        <v>228</v>
      </c>
      <c r="CK379" s="0" t="s">
        <v>228</v>
      </c>
      <c r="CL379" s="0" t="s">
        <v>228</v>
      </c>
      <c r="CM379" s="0" t="s">
        <v>228</v>
      </c>
      <c r="CN379" s="0" t="s">
        <v>228</v>
      </c>
      <c r="CO379" s="0" t="s">
        <v>228</v>
      </c>
      <c r="CP379" s="0" t="s">
        <v>228</v>
      </c>
      <c r="CQ379" s="0" t="s">
        <v>228</v>
      </c>
      <c r="CR379" s="0" t="s">
        <v>228</v>
      </c>
      <c r="CS379" s="0" t="s">
        <v>228</v>
      </c>
      <c r="CT379" s="0" t="s">
        <v>3568</v>
      </c>
      <c r="CU379" s="0" t="s">
        <v>3569</v>
      </c>
      <c r="CV379" s="0" t="s">
        <v>418</v>
      </c>
      <c r="CW379" s="0" t="s">
        <v>3656</v>
      </c>
      <c r="CX379" s="0" t="s">
        <v>419</v>
      </c>
      <c r="CY379" s="0" t="s">
        <v>418</v>
      </c>
      <c r="CZ379" s="0" t="s">
        <v>3657</v>
      </c>
      <c r="DA379" s="0" t="s">
        <v>3658</v>
      </c>
      <c r="DB379" s="0" t="s">
        <v>3656</v>
      </c>
      <c r="DC379" s="0" t="s">
        <v>362</v>
      </c>
      <c r="DD379" s="0" t="s">
        <v>3572</v>
      </c>
      <c r="DE379" s="0" t="s">
        <v>4501</v>
      </c>
    </row>
    <row customHeight="1" ht="11.25">
      <c r="A380" s="1353" t="s">
        <v>228</v>
      </c>
      <c r="B380" s="0" t="s">
        <v>228</v>
      </c>
      <c r="C380" s="0" t="s">
        <v>228</v>
      </c>
      <c r="D380" s="0" t="s">
        <v>228</v>
      </c>
      <c r="E380" s="0" t="s">
        <v>228</v>
      </c>
      <c r="F380" s="0" t="s">
        <v>228</v>
      </c>
      <c r="G380" s="0" t="s">
        <v>228</v>
      </c>
      <c r="H380" s="0" t="s">
        <v>228</v>
      </c>
      <c r="I380" s="0" t="s">
        <v>3555</v>
      </c>
      <c r="J380" s="0" t="s">
        <v>228</v>
      </c>
      <c r="K380" s="0" t="s">
        <v>228</v>
      </c>
      <c r="L380" s="0" t="s">
        <v>228</v>
      </c>
      <c r="M380" s="0" t="s">
        <v>228</v>
      </c>
      <c r="N380" s="0" t="s">
        <v>228</v>
      </c>
      <c r="O380" s="0" t="s">
        <v>228</v>
      </c>
      <c r="P380" s="0" t="s">
        <v>228</v>
      </c>
      <c r="Q380" s="0" t="s">
        <v>228</v>
      </c>
      <c r="R380" s="0" t="s">
        <v>4517</v>
      </c>
      <c r="S380" s="0" t="s">
        <v>228</v>
      </c>
      <c r="T380" s="0" t="s">
        <v>228</v>
      </c>
      <c r="U380" s="0" t="s">
        <v>101</v>
      </c>
      <c r="V380" s="0" t="s">
        <v>228</v>
      </c>
      <c r="W380" s="0" t="s">
        <v>228</v>
      </c>
      <c r="X380" s="0" t="s">
        <v>3661</v>
      </c>
      <c r="Y380" s="0" t="s">
        <v>228</v>
      </c>
      <c r="Z380" s="0" t="s">
        <v>151</v>
      </c>
      <c r="AA380" s="0" t="s">
        <v>151</v>
      </c>
      <c r="AB380" s="0" t="s">
        <v>160</v>
      </c>
      <c r="AC380" s="0" t="s">
        <v>2315</v>
      </c>
      <c r="AD380" s="0" t="s">
        <v>2315</v>
      </c>
      <c r="AE380" s="0" t="s">
        <v>2316</v>
      </c>
      <c r="AF380" s="0" t="s">
        <v>4498</v>
      </c>
      <c r="AG380" s="0" t="s">
        <v>4499</v>
      </c>
      <c r="AH380" s="0" t="s">
        <v>3651</v>
      </c>
      <c r="AI380" s="0" t="s">
        <v>3651</v>
      </c>
      <c r="AJ380" s="0" t="s">
        <v>228</v>
      </c>
      <c r="AK380" s="0" t="s">
        <v>228</v>
      </c>
      <c r="AL380" s="0" t="s">
        <v>228</v>
      </c>
      <c r="AM380" s="0" t="s">
        <v>228</v>
      </c>
      <c r="AN380" s="0" t="s">
        <v>228</v>
      </c>
      <c r="AO380" s="0" t="s">
        <v>228</v>
      </c>
      <c r="AP380" s="0" t="s">
        <v>228</v>
      </c>
      <c r="AQ380" s="0" t="s">
        <v>228</v>
      </c>
      <c r="AR380" s="0" t="s">
        <v>228</v>
      </c>
      <c r="AS380" s="0" t="s">
        <v>228</v>
      </c>
      <c r="AT380" s="0" t="s">
        <v>228</v>
      </c>
      <c r="AU380" s="0" t="s">
        <v>228</v>
      </c>
      <c r="AV380" s="0" t="s">
        <v>228</v>
      </c>
      <c r="AW380" s="0" t="s">
        <v>228</v>
      </c>
      <c r="AX380" s="0" t="s">
        <v>228</v>
      </c>
      <c r="AY380" s="0" t="s">
        <v>228</v>
      </c>
      <c r="AZ380" s="0" t="s">
        <v>228</v>
      </c>
      <c r="BA380" s="0" t="s">
        <v>228</v>
      </c>
      <c r="BB380" s="0" t="s">
        <v>228</v>
      </c>
      <c r="BC380" s="0" t="s">
        <v>228</v>
      </c>
      <c r="BD380" s="0" t="s">
        <v>228</v>
      </c>
      <c r="BE380" s="0" t="s">
        <v>3652</v>
      </c>
      <c r="BF380" s="0" t="s">
        <v>4500</v>
      </c>
      <c r="BG380" s="0" t="s">
        <v>111</v>
      </c>
      <c r="BH380" s="0" t="s">
        <v>3665</v>
      </c>
      <c r="BI380" s="0" t="s">
        <v>122</v>
      </c>
      <c r="BJ380" s="0" t="s">
        <v>228</v>
      </c>
      <c r="BK380" s="0" t="s">
        <v>3684</v>
      </c>
      <c r="BL380" s="0" t="s">
        <v>2315</v>
      </c>
      <c r="BM380" s="0" t="s">
        <v>2315</v>
      </c>
      <c r="BN380" s="0" t="s">
        <v>3875</v>
      </c>
      <c r="BO380" s="0" t="s">
        <v>4498</v>
      </c>
      <c r="BP380" s="0" t="s">
        <v>4518</v>
      </c>
      <c r="BQ380" s="0" t="s">
        <v>3651</v>
      </c>
      <c r="BR380" s="0" t="s">
        <v>3651</v>
      </c>
      <c r="BS380" s="0" t="s">
        <v>228</v>
      </c>
      <c r="BT380" s="0" t="s">
        <v>3727</v>
      </c>
      <c r="BU380" s="0" t="s">
        <v>4519</v>
      </c>
      <c r="BV380" s="0" t="s">
        <v>4519</v>
      </c>
      <c r="BW380" s="0" t="s">
        <v>3674</v>
      </c>
      <c r="BX380" s="0" t="s">
        <v>3674</v>
      </c>
      <c r="BY380" s="0" t="s">
        <v>3674</v>
      </c>
      <c r="BZ380" s="0" t="s">
        <v>3674</v>
      </c>
      <c r="CA380" s="0" t="s">
        <v>3674</v>
      </c>
      <c r="CB380" s="0" t="s">
        <v>228</v>
      </c>
      <c r="CC380" s="0" t="s">
        <v>228</v>
      </c>
      <c r="CD380" s="0" t="s">
        <v>228</v>
      </c>
      <c r="CE380" s="0" t="s">
        <v>228</v>
      </c>
      <c r="CF380" s="0" t="s">
        <v>228</v>
      </c>
      <c r="CG380" s="0" t="s">
        <v>3674</v>
      </c>
      <c r="CH380" s="0" t="s">
        <v>228</v>
      </c>
      <c r="CI380" s="0" t="s">
        <v>228</v>
      </c>
      <c r="CJ380" s="0" t="s">
        <v>228</v>
      </c>
      <c r="CK380" s="0" t="s">
        <v>228</v>
      </c>
      <c r="CL380" s="0" t="s">
        <v>228</v>
      </c>
      <c r="CM380" s="0" t="s">
        <v>4519</v>
      </c>
      <c r="CN380" s="0" t="s">
        <v>4519</v>
      </c>
      <c r="CO380" s="0" t="s">
        <v>228</v>
      </c>
      <c r="CP380" s="0" t="s">
        <v>228</v>
      </c>
      <c r="CQ380" s="0" t="s">
        <v>228</v>
      </c>
      <c r="CR380" s="0" t="s">
        <v>228</v>
      </c>
      <c r="CS380" s="0" t="s">
        <v>3628</v>
      </c>
      <c r="CT380" s="0" t="s">
        <v>3568</v>
      </c>
      <c r="CU380" s="0" t="s">
        <v>3569</v>
      </c>
      <c r="CV380" s="0" t="s">
        <v>418</v>
      </c>
      <c r="CW380" s="0" t="s">
        <v>3656</v>
      </c>
      <c r="CX380" s="0" t="s">
        <v>419</v>
      </c>
      <c r="CY380" s="0" t="s">
        <v>418</v>
      </c>
      <c r="CZ380" s="0" t="s">
        <v>3657</v>
      </c>
      <c r="DA380" s="0" t="s">
        <v>3658</v>
      </c>
      <c r="DB380" s="0" t="s">
        <v>3656</v>
      </c>
      <c r="DC380" s="0" t="s">
        <v>362</v>
      </c>
      <c r="DD380" s="0" t="s">
        <v>3572</v>
      </c>
      <c r="DE380" s="0" t="s">
        <v>4501</v>
      </c>
    </row>
    <row customHeight="1" ht="11.25">
      <c r="A381" s="1353" t="s">
        <v>228</v>
      </c>
      <c r="B381" s="0" t="s">
        <v>228</v>
      </c>
      <c r="C381" s="0" t="s">
        <v>228</v>
      </c>
      <c r="D381" s="0" t="s">
        <v>228</v>
      </c>
      <c r="E381" s="0" t="s">
        <v>228</v>
      </c>
      <c r="F381" s="0" t="s">
        <v>228</v>
      </c>
      <c r="G381" s="0" t="s">
        <v>228</v>
      </c>
      <c r="H381" s="0" t="s">
        <v>228</v>
      </c>
      <c r="I381" s="0" t="s">
        <v>3555</v>
      </c>
      <c r="J381" s="0" t="s">
        <v>228</v>
      </c>
      <c r="K381" s="0" t="s">
        <v>228</v>
      </c>
      <c r="L381" s="0" t="s">
        <v>228</v>
      </c>
      <c r="M381" s="0" t="s">
        <v>228</v>
      </c>
      <c r="N381" s="0" t="s">
        <v>228</v>
      </c>
      <c r="O381" s="0" t="s">
        <v>228</v>
      </c>
      <c r="P381" s="0" t="s">
        <v>228</v>
      </c>
      <c r="Q381" s="0" t="s">
        <v>228</v>
      </c>
      <c r="R381" s="0" t="s">
        <v>3648</v>
      </c>
      <c r="S381" s="0" t="s">
        <v>228</v>
      </c>
      <c r="T381" s="0" t="s">
        <v>228</v>
      </c>
      <c r="U381" s="0" t="s">
        <v>101</v>
      </c>
      <c r="V381" s="0" t="s">
        <v>228</v>
      </c>
      <c r="W381" s="0" t="s">
        <v>228</v>
      </c>
      <c r="X381" s="0" t="s">
        <v>3557</v>
      </c>
      <c r="Y381" s="0" t="s">
        <v>228</v>
      </c>
      <c r="Z381" s="0" t="s">
        <v>160</v>
      </c>
      <c r="AA381" s="0" t="s">
        <v>151</v>
      </c>
      <c r="AB381" s="0" t="s">
        <v>151</v>
      </c>
      <c r="AC381" s="0" t="s">
        <v>2315</v>
      </c>
      <c r="AD381" s="0" t="s">
        <v>2315</v>
      </c>
      <c r="AE381" s="0" t="s">
        <v>2316</v>
      </c>
      <c r="AF381" s="0" t="s">
        <v>4332</v>
      </c>
      <c r="AG381" s="0" t="s">
        <v>4333</v>
      </c>
      <c r="AH381" s="0" t="s">
        <v>4067</v>
      </c>
      <c r="AI381" s="0" t="s">
        <v>4334</v>
      </c>
      <c r="AJ381" s="0" t="s">
        <v>3652</v>
      </c>
      <c r="AK381" s="0" t="s">
        <v>4183</v>
      </c>
      <c r="AL381" s="0" t="s">
        <v>3581</v>
      </c>
      <c r="AM381" s="0" t="s">
        <v>3565</v>
      </c>
      <c r="AN381" s="0" t="s">
        <v>3654</v>
      </c>
      <c r="AO381" s="0" t="s">
        <v>3701</v>
      </c>
      <c r="AP381" s="0" t="s">
        <v>228</v>
      </c>
      <c r="AQ381" s="0" t="s">
        <v>228</v>
      </c>
      <c r="AR381" s="0" t="s">
        <v>228</v>
      </c>
      <c r="AS381" s="0" t="s">
        <v>228</v>
      </c>
      <c r="AT381" s="0" t="s">
        <v>228</v>
      </c>
      <c r="AU381" s="0" t="s">
        <v>228</v>
      </c>
      <c r="AV381" s="0" t="s">
        <v>228</v>
      </c>
      <c r="AW381" s="0" t="s">
        <v>228</v>
      </c>
      <c r="AX381" s="0" t="s">
        <v>228</v>
      </c>
      <c r="AY381" s="0" t="s">
        <v>228</v>
      </c>
      <c r="AZ381" s="0" t="s">
        <v>228</v>
      </c>
      <c r="BA381" s="0" t="s">
        <v>228</v>
      </c>
      <c r="BB381" s="0" t="s">
        <v>228</v>
      </c>
      <c r="BC381" s="0" t="s">
        <v>228</v>
      </c>
      <c r="BD381" s="0" t="s">
        <v>228</v>
      </c>
      <c r="BE381" s="0" t="s">
        <v>228</v>
      </c>
      <c r="BF381" s="0" t="s">
        <v>228</v>
      </c>
      <c r="BG381" s="0" t="s">
        <v>228</v>
      </c>
      <c r="BH381" s="0" t="s">
        <v>228</v>
      </c>
      <c r="BI381" s="0" t="s">
        <v>228</v>
      </c>
      <c r="BJ381" s="0" t="s">
        <v>228</v>
      </c>
      <c r="BK381" s="0" t="s">
        <v>228</v>
      </c>
      <c r="BL381" s="0" t="s">
        <v>228</v>
      </c>
      <c r="BM381" s="0" t="s">
        <v>228</v>
      </c>
      <c r="BN381" s="0" t="s">
        <v>228</v>
      </c>
      <c r="BO381" s="0" t="s">
        <v>228</v>
      </c>
      <c r="BP381" s="0" t="s">
        <v>228</v>
      </c>
      <c r="BQ381" s="0" t="s">
        <v>228</v>
      </c>
      <c r="BR381" s="0" t="s">
        <v>228</v>
      </c>
      <c r="BS381" s="0" t="s">
        <v>228</v>
      </c>
      <c r="BT381" s="0" t="s">
        <v>228</v>
      </c>
      <c r="BU381" s="0" t="s">
        <v>228</v>
      </c>
      <c r="BV381" s="0" t="s">
        <v>228</v>
      </c>
      <c r="BW381" s="0" t="s">
        <v>228</v>
      </c>
      <c r="BX381" s="0" t="s">
        <v>228</v>
      </c>
      <c r="BY381" s="0" t="s">
        <v>228</v>
      </c>
      <c r="BZ381" s="0" t="s">
        <v>228</v>
      </c>
      <c r="CA381" s="0" t="s">
        <v>228</v>
      </c>
      <c r="CB381" s="0" t="s">
        <v>228</v>
      </c>
      <c r="CC381" s="0" t="s">
        <v>228</v>
      </c>
      <c r="CD381" s="0" t="s">
        <v>228</v>
      </c>
      <c r="CE381" s="0" t="s">
        <v>228</v>
      </c>
      <c r="CF381" s="0" t="s">
        <v>228</v>
      </c>
      <c r="CG381" s="0" t="s">
        <v>228</v>
      </c>
      <c r="CH381" s="0" t="s">
        <v>228</v>
      </c>
      <c r="CI381" s="0" t="s">
        <v>228</v>
      </c>
      <c r="CJ381" s="0" t="s">
        <v>228</v>
      </c>
      <c r="CK381" s="0" t="s">
        <v>228</v>
      </c>
      <c r="CL381" s="0" t="s">
        <v>228</v>
      </c>
      <c r="CM381" s="0" t="s">
        <v>228</v>
      </c>
      <c r="CN381" s="0" t="s">
        <v>228</v>
      </c>
      <c r="CO381" s="0" t="s">
        <v>228</v>
      </c>
      <c r="CP381" s="0" t="s">
        <v>228</v>
      </c>
      <c r="CQ381" s="0" t="s">
        <v>228</v>
      </c>
      <c r="CR381" s="0" t="s">
        <v>228</v>
      </c>
      <c r="CS381" s="0" t="s">
        <v>228</v>
      </c>
      <c r="CT381" s="0" t="s">
        <v>3568</v>
      </c>
      <c r="CU381" s="0" t="s">
        <v>3569</v>
      </c>
      <c r="CV381" s="0" t="s">
        <v>418</v>
      </c>
      <c r="CW381" s="0" t="s">
        <v>3656</v>
      </c>
      <c r="CX381" s="0" t="s">
        <v>419</v>
      </c>
      <c r="CY381" s="0" t="s">
        <v>418</v>
      </c>
      <c r="CZ381" s="0" t="s">
        <v>3657</v>
      </c>
      <c r="DA381" s="0" t="s">
        <v>3658</v>
      </c>
      <c r="DB381" s="0" t="s">
        <v>3656</v>
      </c>
      <c r="DC381" s="0" t="s">
        <v>362</v>
      </c>
      <c r="DD381" s="0" t="s">
        <v>3572</v>
      </c>
      <c r="DE381" s="0" t="s">
        <v>4335</v>
      </c>
    </row>
    <row customHeight="1" ht="11.25">
      <c r="A382" s="1353" t="s">
        <v>228</v>
      </c>
      <c r="B382" s="0" t="s">
        <v>228</v>
      </c>
      <c r="C382" s="0" t="s">
        <v>228</v>
      </c>
      <c r="D382" s="0" t="s">
        <v>228</v>
      </c>
      <c r="E382" s="0" t="s">
        <v>228</v>
      </c>
      <c r="F382" s="0" t="s">
        <v>228</v>
      </c>
      <c r="G382" s="0" t="s">
        <v>228</v>
      </c>
      <c r="H382" s="0" t="s">
        <v>228</v>
      </c>
      <c r="I382" s="0" t="s">
        <v>3555</v>
      </c>
      <c r="J382" s="0" t="s">
        <v>228</v>
      </c>
      <c r="K382" s="0" t="s">
        <v>228</v>
      </c>
      <c r="L382" s="0" t="s">
        <v>228</v>
      </c>
      <c r="M382" s="0" t="s">
        <v>228</v>
      </c>
      <c r="N382" s="0" t="s">
        <v>228</v>
      </c>
      <c r="O382" s="0" t="s">
        <v>228</v>
      </c>
      <c r="P382" s="0" t="s">
        <v>228</v>
      </c>
      <c r="Q382" s="0" t="s">
        <v>228</v>
      </c>
      <c r="R382" s="0" t="s">
        <v>3648</v>
      </c>
      <c r="S382" s="0" t="s">
        <v>228</v>
      </c>
      <c r="T382" s="0" t="s">
        <v>228</v>
      </c>
      <c r="U382" s="0" t="s">
        <v>101</v>
      </c>
      <c r="V382" s="0" t="s">
        <v>228</v>
      </c>
      <c r="W382" s="0" t="s">
        <v>228</v>
      </c>
      <c r="X382" s="0" t="s">
        <v>3557</v>
      </c>
      <c r="Y382" s="0" t="s">
        <v>228</v>
      </c>
      <c r="Z382" s="0" t="s">
        <v>160</v>
      </c>
      <c r="AA382" s="0" t="s">
        <v>151</v>
      </c>
      <c r="AB382" s="0" t="s">
        <v>151</v>
      </c>
      <c r="AC382" s="0" t="s">
        <v>2315</v>
      </c>
      <c r="AD382" s="0" t="s">
        <v>2315</v>
      </c>
      <c r="AE382" s="0" t="s">
        <v>2316</v>
      </c>
      <c r="AF382" s="0" t="s">
        <v>4332</v>
      </c>
      <c r="AG382" s="0" t="s">
        <v>4333</v>
      </c>
      <c r="AH382" s="0" t="s">
        <v>4590</v>
      </c>
      <c r="AI382" s="0" t="s">
        <v>3651</v>
      </c>
      <c r="AJ382" s="0" t="s">
        <v>3652</v>
      </c>
      <c r="AK382" s="0" t="s">
        <v>3891</v>
      </c>
      <c r="AL382" s="0" t="s">
        <v>3581</v>
      </c>
      <c r="AM382" s="0" t="s">
        <v>3565</v>
      </c>
      <c r="AN382" s="0" t="s">
        <v>3654</v>
      </c>
      <c r="AO382" s="0" t="s">
        <v>3701</v>
      </c>
      <c r="AP382" s="0" t="s">
        <v>228</v>
      </c>
      <c r="AQ382" s="0" t="s">
        <v>228</v>
      </c>
      <c r="AR382" s="0" t="s">
        <v>228</v>
      </c>
      <c r="AS382" s="0" t="s">
        <v>228</v>
      </c>
      <c r="AT382" s="0" t="s">
        <v>228</v>
      </c>
      <c r="AU382" s="0" t="s">
        <v>228</v>
      </c>
      <c r="AV382" s="0" t="s">
        <v>228</v>
      </c>
      <c r="AW382" s="0" t="s">
        <v>228</v>
      </c>
      <c r="AX382" s="0" t="s">
        <v>228</v>
      </c>
      <c r="AY382" s="0" t="s">
        <v>228</v>
      </c>
      <c r="AZ382" s="0" t="s">
        <v>228</v>
      </c>
      <c r="BA382" s="0" t="s">
        <v>228</v>
      </c>
      <c r="BB382" s="0" t="s">
        <v>228</v>
      </c>
      <c r="BC382" s="0" t="s">
        <v>228</v>
      </c>
      <c r="BD382" s="0" t="s">
        <v>228</v>
      </c>
      <c r="BE382" s="0" t="s">
        <v>228</v>
      </c>
      <c r="BF382" s="0" t="s">
        <v>228</v>
      </c>
      <c r="BG382" s="0" t="s">
        <v>228</v>
      </c>
      <c r="BH382" s="0" t="s">
        <v>228</v>
      </c>
      <c r="BI382" s="0" t="s">
        <v>228</v>
      </c>
      <c r="BJ382" s="0" t="s">
        <v>228</v>
      </c>
      <c r="BK382" s="0" t="s">
        <v>228</v>
      </c>
      <c r="BL382" s="0" t="s">
        <v>228</v>
      </c>
      <c r="BM382" s="0" t="s">
        <v>228</v>
      </c>
      <c r="BN382" s="0" t="s">
        <v>228</v>
      </c>
      <c r="BO382" s="0" t="s">
        <v>228</v>
      </c>
      <c r="BP382" s="0" t="s">
        <v>228</v>
      </c>
      <c r="BQ382" s="0" t="s">
        <v>228</v>
      </c>
      <c r="BR382" s="0" t="s">
        <v>228</v>
      </c>
      <c r="BS382" s="0" t="s">
        <v>228</v>
      </c>
      <c r="BT382" s="0" t="s">
        <v>228</v>
      </c>
      <c r="BU382" s="0" t="s">
        <v>228</v>
      </c>
      <c r="BV382" s="0" t="s">
        <v>228</v>
      </c>
      <c r="BW382" s="0" t="s">
        <v>228</v>
      </c>
      <c r="BX382" s="0" t="s">
        <v>228</v>
      </c>
      <c r="BY382" s="0" t="s">
        <v>228</v>
      </c>
      <c r="BZ382" s="0" t="s">
        <v>228</v>
      </c>
      <c r="CA382" s="0" t="s">
        <v>228</v>
      </c>
      <c r="CB382" s="0" t="s">
        <v>228</v>
      </c>
      <c r="CC382" s="0" t="s">
        <v>228</v>
      </c>
      <c r="CD382" s="0" t="s">
        <v>228</v>
      </c>
      <c r="CE382" s="0" t="s">
        <v>228</v>
      </c>
      <c r="CF382" s="0" t="s">
        <v>228</v>
      </c>
      <c r="CG382" s="0" t="s">
        <v>228</v>
      </c>
      <c r="CH382" s="0" t="s">
        <v>228</v>
      </c>
      <c r="CI382" s="0" t="s">
        <v>228</v>
      </c>
      <c r="CJ382" s="0" t="s">
        <v>228</v>
      </c>
      <c r="CK382" s="0" t="s">
        <v>228</v>
      </c>
      <c r="CL382" s="0" t="s">
        <v>228</v>
      </c>
      <c r="CM382" s="0" t="s">
        <v>228</v>
      </c>
      <c r="CN382" s="0" t="s">
        <v>228</v>
      </c>
      <c r="CO382" s="0" t="s">
        <v>228</v>
      </c>
      <c r="CP382" s="0" t="s">
        <v>228</v>
      </c>
      <c r="CQ382" s="0" t="s">
        <v>228</v>
      </c>
      <c r="CR382" s="0" t="s">
        <v>228</v>
      </c>
      <c r="CS382" s="0" t="s">
        <v>228</v>
      </c>
      <c r="CT382" s="0" t="s">
        <v>3568</v>
      </c>
      <c r="CU382" s="0" t="s">
        <v>3569</v>
      </c>
      <c r="CV382" s="0" t="s">
        <v>418</v>
      </c>
      <c r="CW382" s="0" t="s">
        <v>3656</v>
      </c>
      <c r="CX382" s="0" t="s">
        <v>419</v>
      </c>
      <c r="CY382" s="0" t="s">
        <v>418</v>
      </c>
      <c r="CZ382" s="0" t="s">
        <v>3657</v>
      </c>
      <c r="DA382" s="0" t="s">
        <v>3658</v>
      </c>
      <c r="DB382" s="0" t="s">
        <v>3656</v>
      </c>
      <c r="DC382" s="0" t="s">
        <v>362</v>
      </c>
      <c r="DD382" s="0" t="s">
        <v>3572</v>
      </c>
      <c r="DE382" s="0" t="s">
        <v>4591</v>
      </c>
    </row>
    <row customHeight="1" ht="11.25">
      <c r="A383" s="1353" t="s">
        <v>228</v>
      </c>
      <c r="B383" s="0" t="s">
        <v>228</v>
      </c>
      <c r="C383" s="0" t="s">
        <v>228</v>
      </c>
      <c r="D383" s="0" t="s">
        <v>228</v>
      </c>
      <c r="E383" s="0" t="s">
        <v>228</v>
      </c>
      <c r="F383" s="0" t="s">
        <v>228</v>
      </c>
      <c r="G383" s="0" t="s">
        <v>228</v>
      </c>
      <c r="H383" s="0" t="s">
        <v>228</v>
      </c>
      <c r="I383" s="0" t="s">
        <v>3555</v>
      </c>
      <c r="J383" s="0" t="s">
        <v>228</v>
      </c>
      <c r="K383" s="0" t="s">
        <v>228</v>
      </c>
      <c r="L383" s="0" t="s">
        <v>228</v>
      </c>
      <c r="M383" s="0" t="s">
        <v>228</v>
      </c>
      <c r="N383" s="0" t="s">
        <v>228</v>
      </c>
      <c r="O383" s="0" t="s">
        <v>228</v>
      </c>
      <c r="P383" s="0" t="s">
        <v>228</v>
      </c>
      <c r="Q383" s="0" t="s">
        <v>228</v>
      </c>
      <c r="R383" s="0" t="s">
        <v>3648</v>
      </c>
      <c r="S383" s="0" t="s">
        <v>228</v>
      </c>
      <c r="T383" s="0" t="s">
        <v>228</v>
      </c>
      <c r="U383" s="0" t="s">
        <v>101</v>
      </c>
      <c r="V383" s="0" t="s">
        <v>228</v>
      </c>
      <c r="W383" s="0" t="s">
        <v>228</v>
      </c>
      <c r="X383" s="0" t="s">
        <v>3557</v>
      </c>
      <c r="Y383" s="0" t="s">
        <v>228</v>
      </c>
      <c r="Z383" s="0" t="s">
        <v>160</v>
      </c>
      <c r="AA383" s="0" t="s">
        <v>151</v>
      </c>
      <c r="AB383" s="0" t="s">
        <v>151</v>
      </c>
      <c r="AC383" s="0" t="s">
        <v>2315</v>
      </c>
      <c r="AD383" s="0" t="s">
        <v>2315</v>
      </c>
      <c r="AE383" s="0" t="s">
        <v>2316</v>
      </c>
      <c r="AF383" s="0" t="s">
        <v>3880</v>
      </c>
      <c r="AG383" s="0" t="s">
        <v>3881</v>
      </c>
      <c r="AH383" s="0" t="s">
        <v>5019</v>
      </c>
      <c r="AI383" s="0" t="s">
        <v>5020</v>
      </c>
      <c r="AJ383" s="0" t="s">
        <v>3652</v>
      </c>
      <c r="AK383" s="0" t="s">
        <v>4494</v>
      </c>
      <c r="AL383" s="0" t="s">
        <v>3581</v>
      </c>
      <c r="AM383" s="0" t="s">
        <v>3565</v>
      </c>
      <c r="AN383" s="0" t="s">
        <v>3654</v>
      </c>
      <c r="AO383" s="0" t="s">
        <v>3701</v>
      </c>
      <c r="AP383" s="0" t="s">
        <v>228</v>
      </c>
      <c r="AQ383" s="0" t="s">
        <v>228</v>
      </c>
      <c r="AR383" s="0" t="s">
        <v>228</v>
      </c>
      <c r="AS383" s="0" t="s">
        <v>228</v>
      </c>
      <c r="AT383" s="0" t="s">
        <v>228</v>
      </c>
      <c r="AU383" s="0" t="s">
        <v>228</v>
      </c>
      <c r="AV383" s="0" t="s">
        <v>228</v>
      </c>
      <c r="AW383" s="0" t="s">
        <v>228</v>
      </c>
      <c r="AX383" s="0" t="s">
        <v>228</v>
      </c>
      <c r="AY383" s="0" t="s">
        <v>228</v>
      </c>
      <c r="AZ383" s="0" t="s">
        <v>228</v>
      </c>
      <c r="BA383" s="0" t="s">
        <v>228</v>
      </c>
      <c r="BB383" s="0" t="s">
        <v>228</v>
      </c>
      <c r="BC383" s="0" t="s">
        <v>228</v>
      </c>
      <c r="BD383" s="0" t="s">
        <v>228</v>
      </c>
      <c r="BE383" s="0" t="s">
        <v>228</v>
      </c>
      <c r="BF383" s="0" t="s">
        <v>228</v>
      </c>
      <c r="BG383" s="0" t="s">
        <v>228</v>
      </c>
      <c r="BH383" s="0" t="s">
        <v>228</v>
      </c>
      <c r="BI383" s="0" t="s">
        <v>228</v>
      </c>
      <c r="BJ383" s="0" t="s">
        <v>228</v>
      </c>
      <c r="BK383" s="0" t="s">
        <v>228</v>
      </c>
      <c r="BL383" s="0" t="s">
        <v>228</v>
      </c>
      <c r="BM383" s="0" t="s">
        <v>228</v>
      </c>
      <c r="BN383" s="0" t="s">
        <v>228</v>
      </c>
      <c r="BO383" s="0" t="s">
        <v>228</v>
      </c>
      <c r="BP383" s="0" t="s">
        <v>228</v>
      </c>
      <c r="BQ383" s="0" t="s">
        <v>228</v>
      </c>
      <c r="BR383" s="0" t="s">
        <v>228</v>
      </c>
      <c r="BS383" s="0" t="s">
        <v>228</v>
      </c>
      <c r="BT383" s="0" t="s">
        <v>228</v>
      </c>
      <c r="BU383" s="0" t="s">
        <v>228</v>
      </c>
      <c r="BV383" s="0" t="s">
        <v>228</v>
      </c>
      <c r="BW383" s="0" t="s">
        <v>228</v>
      </c>
      <c r="BX383" s="0" t="s">
        <v>228</v>
      </c>
      <c r="BY383" s="0" t="s">
        <v>228</v>
      </c>
      <c r="BZ383" s="0" t="s">
        <v>228</v>
      </c>
      <c r="CA383" s="0" t="s">
        <v>228</v>
      </c>
      <c r="CB383" s="0" t="s">
        <v>228</v>
      </c>
      <c r="CC383" s="0" t="s">
        <v>228</v>
      </c>
      <c r="CD383" s="0" t="s">
        <v>228</v>
      </c>
      <c r="CE383" s="0" t="s">
        <v>228</v>
      </c>
      <c r="CF383" s="0" t="s">
        <v>228</v>
      </c>
      <c r="CG383" s="0" t="s">
        <v>228</v>
      </c>
      <c r="CH383" s="0" t="s">
        <v>228</v>
      </c>
      <c r="CI383" s="0" t="s">
        <v>228</v>
      </c>
      <c r="CJ383" s="0" t="s">
        <v>228</v>
      </c>
      <c r="CK383" s="0" t="s">
        <v>228</v>
      </c>
      <c r="CL383" s="0" t="s">
        <v>228</v>
      </c>
      <c r="CM383" s="0" t="s">
        <v>228</v>
      </c>
      <c r="CN383" s="0" t="s">
        <v>228</v>
      </c>
      <c r="CO383" s="0" t="s">
        <v>228</v>
      </c>
      <c r="CP383" s="0" t="s">
        <v>228</v>
      </c>
      <c r="CQ383" s="0" t="s">
        <v>228</v>
      </c>
      <c r="CR383" s="0" t="s">
        <v>228</v>
      </c>
      <c r="CS383" s="0" t="s">
        <v>228</v>
      </c>
      <c r="CT383" s="0" t="s">
        <v>3568</v>
      </c>
      <c r="CU383" s="0" t="s">
        <v>3569</v>
      </c>
      <c r="CV383" s="0" t="s">
        <v>418</v>
      </c>
      <c r="CW383" s="0" t="s">
        <v>3656</v>
      </c>
      <c r="CX383" s="0" t="s">
        <v>419</v>
      </c>
      <c r="CY383" s="0" t="s">
        <v>418</v>
      </c>
      <c r="CZ383" s="0" t="s">
        <v>3657</v>
      </c>
      <c r="DA383" s="0" t="s">
        <v>3658</v>
      </c>
      <c r="DB383" s="0" t="s">
        <v>3656</v>
      </c>
      <c r="DC383" s="0" t="s">
        <v>362</v>
      </c>
      <c r="DD383" s="0" t="s">
        <v>3572</v>
      </c>
      <c r="DE383" s="0" t="s">
        <v>5021</v>
      </c>
    </row>
    <row customHeight="1" ht="11.25">
      <c r="A384" s="1353" t="s">
        <v>228</v>
      </c>
      <c r="B384" s="0" t="s">
        <v>228</v>
      </c>
      <c r="C384" s="0" t="s">
        <v>228</v>
      </c>
      <c r="D384" s="0" t="s">
        <v>228</v>
      </c>
      <c r="E384" s="0" t="s">
        <v>228</v>
      </c>
      <c r="F384" s="0" t="s">
        <v>228</v>
      </c>
      <c r="G384" s="0" t="s">
        <v>228</v>
      </c>
      <c r="H384" s="0" t="s">
        <v>228</v>
      </c>
      <c r="I384" s="0" t="s">
        <v>3555</v>
      </c>
      <c r="J384" s="0" t="s">
        <v>228</v>
      </c>
      <c r="K384" s="0" t="s">
        <v>228</v>
      </c>
      <c r="L384" s="0" t="s">
        <v>228</v>
      </c>
      <c r="M384" s="0" t="s">
        <v>228</v>
      </c>
      <c r="N384" s="0" t="s">
        <v>228</v>
      </c>
      <c r="O384" s="0" t="s">
        <v>228</v>
      </c>
      <c r="P384" s="0" t="s">
        <v>228</v>
      </c>
      <c r="Q384" s="0" t="s">
        <v>228</v>
      </c>
      <c r="R384" s="0" t="s">
        <v>3879</v>
      </c>
      <c r="S384" s="0" t="s">
        <v>228</v>
      </c>
      <c r="T384" s="0" t="s">
        <v>228</v>
      </c>
      <c r="U384" s="0" t="s">
        <v>101</v>
      </c>
      <c r="V384" s="0" t="s">
        <v>228</v>
      </c>
      <c r="W384" s="0" t="s">
        <v>228</v>
      </c>
      <c r="X384" s="0" t="s">
        <v>3661</v>
      </c>
      <c r="Y384" s="0" t="s">
        <v>228</v>
      </c>
      <c r="Z384" s="0" t="s">
        <v>151</v>
      </c>
      <c r="AA384" s="0" t="s">
        <v>151</v>
      </c>
      <c r="AB384" s="0" t="s">
        <v>160</v>
      </c>
      <c r="AC384" s="0" t="s">
        <v>2315</v>
      </c>
      <c r="AD384" s="0" t="s">
        <v>2315</v>
      </c>
      <c r="AE384" s="0" t="s">
        <v>2316</v>
      </c>
      <c r="AF384" s="0" t="s">
        <v>3880</v>
      </c>
      <c r="AG384" s="0" t="s">
        <v>3881</v>
      </c>
      <c r="AH384" s="0" t="s">
        <v>3651</v>
      </c>
      <c r="AI384" s="0" t="s">
        <v>3651</v>
      </c>
      <c r="AJ384" s="0" t="s">
        <v>228</v>
      </c>
      <c r="AK384" s="0" t="s">
        <v>228</v>
      </c>
      <c r="AL384" s="0" t="s">
        <v>228</v>
      </c>
      <c r="AM384" s="0" t="s">
        <v>228</v>
      </c>
      <c r="AN384" s="0" t="s">
        <v>228</v>
      </c>
      <c r="AO384" s="0" t="s">
        <v>228</v>
      </c>
      <c r="AP384" s="0" t="s">
        <v>228</v>
      </c>
      <c r="AQ384" s="0" t="s">
        <v>228</v>
      </c>
      <c r="AR384" s="0" t="s">
        <v>228</v>
      </c>
      <c r="AS384" s="0" t="s">
        <v>228</v>
      </c>
      <c r="AT384" s="0" t="s">
        <v>228</v>
      </c>
      <c r="AU384" s="0" t="s">
        <v>228</v>
      </c>
      <c r="AV384" s="0" t="s">
        <v>228</v>
      </c>
      <c r="AW384" s="0" t="s">
        <v>228</v>
      </c>
      <c r="AX384" s="0" t="s">
        <v>228</v>
      </c>
      <c r="AY384" s="0" t="s">
        <v>228</v>
      </c>
      <c r="AZ384" s="0" t="s">
        <v>228</v>
      </c>
      <c r="BA384" s="0" t="s">
        <v>228</v>
      </c>
      <c r="BB384" s="0" t="s">
        <v>228</v>
      </c>
      <c r="BC384" s="0" t="s">
        <v>228</v>
      </c>
      <c r="BD384" s="0" t="s">
        <v>228</v>
      </c>
      <c r="BE384" s="0" t="s">
        <v>3882</v>
      </c>
      <c r="BF384" s="0" t="s">
        <v>3883</v>
      </c>
      <c r="BG384" s="0" t="s">
        <v>111</v>
      </c>
      <c r="BH384" s="0" t="s">
        <v>3665</v>
      </c>
      <c r="BI384" s="0" t="s">
        <v>122</v>
      </c>
      <c r="BJ384" s="0" t="s">
        <v>228</v>
      </c>
      <c r="BK384" s="0" t="s">
        <v>3684</v>
      </c>
      <c r="BL384" s="0" t="s">
        <v>2315</v>
      </c>
      <c r="BM384" s="0" t="s">
        <v>2315</v>
      </c>
      <c r="BN384" s="0" t="s">
        <v>3875</v>
      </c>
      <c r="BO384" s="0" t="s">
        <v>3880</v>
      </c>
      <c r="BP384" s="0" t="s">
        <v>3884</v>
      </c>
      <c r="BQ384" s="0" t="s">
        <v>3651</v>
      </c>
      <c r="BR384" s="0" t="s">
        <v>3651</v>
      </c>
      <c r="BS384" s="0" t="s">
        <v>228</v>
      </c>
      <c r="BT384" s="0" t="s">
        <v>3727</v>
      </c>
      <c r="BU384" s="0" t="s">
        <v>5073</v>
      </c>
      <c r="BV384" s="0" t="s">
        <v>5073</v>
      </c>
      <c r="BW384" s="0" t="s">
        <v>3674</v>
      </c>
      <c r="BX384" s="0" t="s">
        <v>3674</v>
      </c>
      <c r="BY384" s="0" t="s">
        <v>3674</v>
      </c>
      <c r="BZ384" s="0" t="s">
        <v>3674</v>
      </c>
      <c r="CA384" s="0" t="s">
        <v>3674</v>
      </c>
      <c r="CB384" s="0" t="s">
        <v>228</v>
      </c>
      <c r="CC384" s="0" t="s">
        <v>228</v>
      </c>
      <c r="CD384" s="0" t="s">
        <v>228</v>
      </c>
      <c r="CE384" s="0" t="s">
        <v>228</v>
      </c>
      <c r="CF384" s="0" t="s">
        <v>228</v>
      </c>
      <c r="CG384" s="0" t="s">
        <v>3674</v>
      </c>
      <c r="CH384" s="0" t="s">
        <v>228</v>
      </c>
      <c r="CI384" s="0" t="s">
        <v>228</v>
      </c>
      <c r="CJ384" s="0" t="s">
        <v>228</v>
      </c>
      <c r="CK384" s="0" t="s">
        <v>228</v>
      </c>
      <c r="CL384" s="0" t="s">
        <v>228</v>
      </c>
      <c r="CM384" s="0" t="s">
        <v>5073</v>
      </c>
      <c r="CN384" s="0" t="s">
        <v>5073</v>
      </c>
      <c r="CO384" s="0" t="s">
        <v>228</v>
      </c>
      <c r="CP384" s="0" t="s">
        <v>228</v>
      </c>
      <c r="CQ384" s="0" t="s">
        <v>228</v>
      </c>
      <c r="CR384" s="0" t="s">
        <v>228</v>
      </c>
      <c r="CS384" s="0" t="s">
        <v>3563</v>
      </c>
      <c r="CT384" s="0" t="s">
        <v>3568</v>
      </c>
      <c r="CU384" s="0" t="s">
        <v>3569</v>
      </c>
      <c r="CV384" s="0" t="s">
        <v>418</v>
      </c>
      <c r="CW384" s="0" t="s">
        <v>3656</v>
      </c>
      <c r="CX384" s="0" t="s">
        <v>419</v>
      </c>
      <c r="CY384" s="0" t="s">
        <v>418</v>
      </c>
      <c r="CZ384" s="0" t="s">
        <v>3657</v>
      </c>
      <c r="DA384" s="0" t="s">
        <v>3658</v>
      </c>
      <c r="DB384" s="0" t="s">
        <v>3656</v>
      </c>
      <c r="DC384" s="0" t="s">
        <v>362</v>
      </c>
      <c r="DD384" s="0" t="s">
        <v>3572</v>
      </c>
      <c r="DE384" s="0" t="s">
        <v>3886</v>
      </c>
    </row>
    <row customHeight="1" ht="11.25">
      <c r="A385" s="1353" t="s">
        <v>228</v>
      </c>
      <c r="B385" s="0" t="s">
        <v>228</v>
      </c>
      <c r="C385" s="0" t="s">
        <v>228</v>
      </c>
      <c r="D385" s="0" t="s">
        <v>228</v>
      </c>
      <c r="E385" s="0" t="s">
        <v>228</v>
      </c>
      <c r="F385" s="0" t="s">
        <v>228</v>
      </c>
      <c r="G385" s="0" t="s">
        <v>228</v>
      </c>
      <c r="H385" s="0" t="s">
        <v>228</v>
      </c>
      <c r="I385" s="0" t="s">
        <v>3555</v>
      </c>
      <c r="J385" s="0" t="s">
        <v>228</v>
      </c>
      <c r="K385" s="0" t="s">
        <v>228</v>
      </c>
      <c r="L385" s="0" t="s">
        <v>228</v>
      </c>
      <c r="M385" s="0" t="s">
        <v>228</v>
      </c>
      <c r="N385" s="0" t="s">
        <v>228</v>
      </c>
      <c r="O385" s="0" t="s">
        <v>228</v>
      </c>
      <c r="P385" s="0" t="s">
        <v>228</v>
      </c>
      <c r="Q385" s="0" t="s">
        <v>228</v>
      </c>
      <c r="R385" s="0" t="s">
        <v>3648</v>
      </c>
      <c r="S385" s="0" t="s">
        <v>228</v>
      </c>
      <c r="T385" s="0" t="s">
        <v>228</v>
      </c>
      <c r="U385" s="0" t="s">
        <v>101</v>
      </c>
      <c r="V385" s="0" t="s">
        <v>228</v>
      </c>
      <c r="W385" s="0" t="s">
        <v>228</v>
      </c>
      <c r="X385" s="0" t="s">
        <v>3557</v>
      </c>
      <c r="Y385" s="0" t="s">
        <v>228</v>
      </c>
      <c r="Z385" s="0" t="s">
        <v>160</v>
      </c>
      <c r="AA385" s="0" t="s">
        <v>151</v>
      </c>
      <c r="AB385" s="0" t="s">
        <v>151</v>
      </c>
      <c r="AC385" s="0" t="s">
        <v>2315</v>
      </c>
      <c r="AD385" s="0" t="s">
        <v>2315</v>
      </c>
      <c r="AE385" s="0" t="s">
        <v>2316</v>
      </c>
      <c r="AF385" s="0" t="s">
        <v>4178</v>
      </c>
      <c r="AG385" s="0" t="s">
        <v>4179</v>
      </c>
      <c r="AH385" s="0" t="s">
        <v>4180</v>
      </c>
      <c r="AI385" s="0" t="s">
        <v>3651</v>
      </c>
      <c r="AJ385" s="0" t="s">
        <v>3652</v>
      </c>
      <c r="AK385" s="0" t="s">
        <v>3891</v>
      </c>
      <c r="AL385" s="0" t="s">
        <v>3581</v>
      </c>
      <c r="AM385" s="0" t="s">
        <v>3565</v>
      </c>
      <c r="AN385" s="0" t="s">
        <v>3654</v>
      </c>
      <c r="AO385" s="0" t="s">
        <v>3823</v>
      </c>
      <c r="AP385" s="0" t="s">
        <v>228</v>
      </c>
      <c r="AQ385" s="0" t="s">
        <v>228</v>
      </c>
      <c r="AR385" s="0" t="s">
        <v>228</v>
      </c>
      <c r="AS385" s="0" t="s">
        <v>228</v>
      </c>
      <c r="AT385" s="0" t="s">
        <v>228</v>
      </c>
      <c r="AU385" s="0" t="s">
        <v>228</v>
      </c>
      <c r="AV385" s="0" t="s">
        <v>228</v>
      </c>
      <c r="AW385" s="0" t="s">
        <v>228</v>
      </c>
      <c r="AX385" s="0" t="s">
        <v>228</v>
      </c>
      <c r="AY385" s="0" t="s">
        <v>228</v>
      </c>
      <c r="AZ385" s="0" t="s">
        <v>228</v>
      </c>
      <c r="BA385" s="0" t="s">
        <v>228</v>
      </c>
      <c r="BB385" s="0" t="s">
        <v>228</v>
      </c>
      <c r="BC385" s="0" t="s">
        <v>228</v>
      </c>
      <c r="BD385" s="0" t="s">
        <v>228</v>
      </c>
      <c r="BE385" s="0" t="s">
        <v>228</v>
      </c>
      <c r="BF385" s="0" t="s">
        <v>228</v>
      </c>
      <c r="BG385" s="0" t="s">
        <v>228</v>
      </c>
      <c r="BH385" s="0" t="s">
        <v>228</v>
      </c>
      <c r="BI385" s="0" t="s">
        <v>228</v>
      </c>
      <c r="BJ385" s="0" t="s">
        <v>228</v>
      </c>
      <c r="BK385" s="0" t="s">
        <v>228</v>
      </c>
      <c r="BL385" s="0" t="s">
        <v>228</v>
      </c>
      <c r="BM385" s="0" t="s">
        <v>228</v>
      </c>
      <c r="BN385" s="0" t="s">
        <v>228</v>
      </c>
      <c r="BO385" s="0" t="s">
        <v>228</v>
      </c>
      <c r="BP385" s="0" t="s">
        <v>228</v>
      </c>
      <c r="BQ385" s="0" t="s">
        <v>228</v>
      </c>
      <c r="BR385" s="0" t="s">
        <v>228</v>
      </c>
      <c r="BS385" s="0" t="s">
        <v>228</v>
      </c>
      <c r="BT385" s="0" t="s">
        <v>228</v>
      </c>
      <c r="BU385" s="0" t="s">
        <v>228</v>
      </c>
      <c r="BV385" s="0" t="s">
        <v>228</v>
      </c>
      <c r="BW385" s="0" t="s">
        <v>228</v>
      </c>
      <c r="BX385" s="0" t="s">
        <v>228</v>
      </c>
      <c r="BY385" s="0" t="s">
        <v>228</v>
      </c>
      <c r="BZ385" s="0" t="s">
        <v>228</v>
      </c>
      <c r="CA385" s="0" t="s">
        <v>228</v>
      </c>
      <c r="CB385" s="0" t="s">
        <v>228</v>
      </c>
      <c r="CC385" s="0" t="s">
        <v>228</v>
      </c>
      <c r="CD385" s="0" t="s">
        <v>228</v>
      </c>
      <c r="CE385" s="0" t="s">
        <v>228</v>
      </c>
      <c r="CF385" s="0" t="s">
        <v>228</v>
      </c>
      <c r="CG385" s="0" t="s">
        <v>228</v>
      </c>
      <c r="CH385" s="0" t="s">
        <v>228</v>
      </c>
      <c r="CI385" s="0" t="s">
        <v>228</v>
      </c>
      <c r="CJ385" s="0" t="s">
        <v>228</v>
      </c>
      <c r="CK385" s="0" t="s">
        <v>228</v>
      </c>
      <c r="CL385" s="0" t="s">
        <v>228</v>
      </c>
      <c r="CM385" s="0" t="s">
        <v>228</v>
      </c>
      <c r="CN385" s="0" t="s">
        <v>228</v>
      </c>
      <c r="CO385" s="0" t="s">
        <v>228</v>
      </c>
      <c r="CP385" s="0" t="s">
        <v>228</v>
      </c>
      <c r="CQ385" s="0" t="s">
        <v>228</v>
      </c>
      <c r="CR385" s="0" t="s">
        <v>228</v>
      </c>
      <c r="CS385" s="0" t="s">
        <v>228</v>
      </c>
      <c r="CT385" s="0" t="s">
        <v>3568</v>
      </c>
      <c r="CU385" s="0" t="s">
        <v>3569</v>
      </c>
      <c r="CV385" s="0" t="s">
        <v>418</v>
      </c>
      <c r="CW385" s="0" t="s">
        <v>3656</v>
      </c>
      <c r="CX385" s="0" t="s">
        <v>419</v>
      </c>
      <c r="CY385" s="0" t="s">
        <v>418</v>
      </c>
      <c r="CZ385" s="0" t="s">
        <v>3657</v>
      </c>
      <c r="DA385" s="0" t="s">
        <v>3658</v>
      </c>
      <c r="DB385" s="0" t="s">
        <v>3656</v>
      </c>
      <c r="DC385" s="0" t="s">
        <v>362</v>
      </c>
      <c r="DD385" s="0" t="s">
        <v>3572</v>
      </c>
      <c r="DE385" s="0" t="s">
        <v>4181</v>
      </c>
    </row>
    <row customHeight="1" ht="11.25">
      <c r="A386" s="1353" t="s">
        <v>228</v>
      </c>
      <c r="B386" s="0" t="s">
        <v>228</v>
      </c>
      <c r="C386" s="0" t="s">
        <v>228</v>
      </c>
      <c r="D386" s="0" t="s">
        <v>228</v>
      </c>
      <c r="E386" s="0" t="s">
        <v>228</v>
      </c>
      <c r="F386" s="0" t="s">
        <v>228</v>
      </c>
      <c r="G386" s="0" t="s">
        <v>228</v>
      </c>
      <c r="H386" s="0" t="s">
        <v>228</v>
      </c>
      <c r="I386" s="0" t="s">
        <v>3555</v>
      </c>
      <c r="J386" s="0" t="s">
        <v>228</v>
      </c>
      <c r="K386" s="0" t="s">
        <v>228</v>
      </c>
      <c r="L386" s="0" t="s">
        <v>228</v>
      </c>
      <c r="M386" s="0" t="s">
        <v>228</v>
      </c>
      <c r="N386" s="0" t="s">
        <v>228</v>
      </c>
      <c r="O386" s="0" t="s">
        <v>228</v>
      </c>
      <c r="P386" s="0" t="s">
        <v>228</v>
      </c>
      <c r="Q386" s="0" t="s">
        <v>228</v>
      </c>
      <c r="R386" s="0" t="s">
        <v>3648</v>
      </c>
      <c r="S386" s="0" t="s">
        <v>228</v>
      </c>
      <c r="T386" s="0" t="s">
        <v>228</v>
      </c>
      <c r="U386" s="0" t="s">
        <v>101</v>
      </c>
      <c r="V386" s="0" t="s">
        <v>228</v>
      </c>
      <c r="W386" s="0" t="s">
        <v>228</v>
      </c>
      <c r="X386" s="0" t="s">
        <v>3557</v>
      </c>
      <c r="Y386" s="0" t="s">
        <v>228</v>
      </c>
      <c r="Z386" s="0" t="s">
        <v>160</v>
      </c>
      <c r="AA386" s="0" t="s">
        <v>151</v>
      </c>
      <c r="AB386" s="0" t="s">
        <v>151</v>
      </c>
      <c r="AC386" s="0" t="s">
        <v>2315</v>
      </c>
      <c r="AD386" s="0" t="s">
        <v>2315</v>
      </c>
      <c r="AE386" s="0" t="s">
        <v>2316</v>
      </c>
      <c r="AF386" s="0" t="s">
        <v>4178</v>
      </c>
      <c r="AG386" s="0" t="s">
        <v>4179</v>
      </c>
      <c r="AH386" s="0" t="s">
        <v>4182</v>
      </c>
      <c r="AI386" s="0" t="s">
        <v>3651</v>
      </c>
      <c r="AJ386" s="0" t="s">
        <v>3652</v>
      </c>
      <c r="AK386" s="0" t="s">
        <v>4183</v>
      </c>
      <c r="AL386" s="0" t="s">
        <v>3581</v>
      </c>
      <c r="AM386" s="0" t="s">
        <v>3565</v>
      </c>
      <c r="AN386" s="0" t="s">
        <v>3654</v>
      </c>
      <c r="AO386" s="0" t="s">
        <v>4184</v>
      </c>
      <c r="AP386" s="0" t="s">
        <v>228</v>
      </c>
      <c r="AQ386" s="0" t="s">
        <v>228</v>
      </c>
      <c r="AR386" s="0" t="s">
        <v>228</v>
      </c>
      <c r="AS386" s="0" t="s">
        <v>228</v>
      </c>
      <c r="AT386" s="0" t="s">
        <v>228</v>
      </c>
      <c r="AU386" s="0" t="s">
        <v>228</v>
      </c>
      <c r="AV386" s="0" t="s">
        <v>228</v>
      </c>
      <c r="AW386" s="0" t="s">
        <v>228</v>
      </c>
      <c r="AX386" s="0" t="s">
        <v>228</v>
      </c>
      <c r="AY386" s="0" t="s">
        <v>228</v>
      </c>
      <c r="AZ386" s="0" t="s">
        <v>228</v>
      </c>
      <c r="BA386" s="0" t="s">
        <v>228</v>
      </c>
      <c r="BB386" s="0" t="s">
        <v>228</v>
      </c>
      <c r="BC386" s="0" t="s">
        <v>228</v>
      </c>
      <c r="BD386" s="0" t="s">
        <v>228</v>
      </c>
      <c r="BE386" s="0" t="s">
        <v>228</v>
      </c>
      <c r="BF386" s="0" t="s">
        <v>228</v>
      </c>
      <c r="BG386" s="0" t="s">
        <v>228</v>
      </c>
      <c r="BH386" s="0" t="s">
        <v>228</v>
      </c>
      <c r="BI386" s="0" t="s">
        <v>228</v>
      </c>
      <c r="BJ386" s="0" t="s">
        <v>228</v>
      </c>
      <c r="BK386" s="0" t="s">
        <v>228</v>
      </c>
      <c r="BL386" s="0" t="s">
        <v>228</v>
      </c>
      <c r="BM386" s="0" t="s">
        <v>228</v>
      </c>
      <c r="BN386" s="0" t="s">
        <v>228</v>
      </c>
      <c r="BO386" s="0" t="s">
        <v>228</v>
      </c>
      <c r="BP386" s="0" t="s">
        <v>228</v>
      </c>
      <c r="BQ386" s="0" t="s">
        <v>228</v>
      </c>
      <c r="BR386" s="0" t="s">
        <v>228</v>
      </c>
      <c r="BS386" s="0" t="s">
        <v>228</v>
      </c>
      <c r="BT386" s="0" t="s">
        <v>228</v>
      </c>
      <c r="BU386" s="0" t="s">
        <v>228</v>
      </c>
      <c r="BV386" s="0" t="s">
        <v>228</v>
      </c>
      <c r="BW386" s="0" t="s">
        <v>228</v>
      </c>
      <c r="BX386" s="0" t="s">
        <v>228</v>
      </c>
      <c r="BY386" s="0" t="s">
        <v>228</v>
      </c>
      <c r="BZ386" s="0" t="s">
        <v>228</v>
      </c>
      <c r="CA386" s="0" t="s">
        <v>228</v>
      </c>
      <c r="CB386" s="0" t="s">
        <v>228</v>
      </c>
      <c r="CC386" s="0" t="s">
        <v>228</v>
      </c>
      <c r="CD386" s="0" t="s">
        <v>228</v>
      </c>
      <c r="CE386" s="0" t="s">
        <v>228</v>
      </c>
      <c r="CF386" s="0" t="s">
        <v>228</v>
      </c>
      <c r="CG386" s="0" t="s">
        <v>228</v>
      </c>
      <c r="CH386" s="0" t="s">
        <v>228</v>
      </c>
      <c r="CI386" s="0" t="s">
        <v>228</v>
      </c>
      <c r="CJ386" s="0" t="s">
        <v>228</v>
      </c>
      <c r="CK386" s="0" t="s">
        <v>228</v>
      </c>
      <c r="CL386" s="0" t="s">
        <v>228</v>
      </c>
      <c r="CM386" s="0" t="s">
        <v>228</v>
      </c>
      <c r="CN386" s="0" t="s">
        <v>228</v>
      </c>
      <c r="CO386" s="0" t="s">
        <v>228</v>
      </c>
      <c r="CP386" s="0" t="s">
        <v>228</v>
      </c>
      <c r="CQ386" s="0" t="s">
        <v>228</v>
      </c>
      <c r="CR386" s="0" t="s">
        <v>228</v>
      </c>
      <c r="CS386" s="0" t="s">
        <v>228</v>
      </c>
      <c r="CT386" s="0" t="s">
        <v>3568</v>
      </c>
      <c r="CU386" s="0" t="s">
        <v>3569</v>
      </c>
      <c r="CV386" s="0" t="s">
        <v>418</v>
      </c>
      <c r="CW386" s="0" t="s">
        <v>3656</v>
      </c>
      <c r="CX386" s="0" t="s">
        <v>419</v>
      </c>
      <c r="CY386" s="0" t="s">
        <v>418</v>
      </c>
      <c r="CZ386" s="0" t="s">
        <v>3657</v>
      </c>
      <c r="DA386" s="0" t="s">
        <v>3658</v>
      </c>
      <c r="DB386" s="0" t="s">
        <v>3656</v>
      </c>
      <c r="DC386" s="0" t="s">
        <v>362</v>
      </c>
      <c r="DD386" s="0" t="s">
        <v>3572</v>
      </c>
      <c r="DE386" s="0" t="s">
        <v>4185</v>
      </c>
    </row>
    <row customHeight="1" ht="11.25">
      <c r="A387" s="1353" t="s">
        <v>228</v>
      </c>
      <c r="B387" s="0" t="s">
        <v>228</v>
      </c>
      <c r="C387" s="0" t="s">
        <v>228</v>
      </c>
      <c r="D387" s="0" t="s">
        <v>228</v>
      </c>
      <c r="E387" s="0" t="s">
        <v>228</v>
      </c>
      <c r="F387" s="0" t="s">
        <v>228</v>
      </c>
      <c r="G387" s="0" t="s">
        <v>228</v>
      </c>
      <c r="H387" s="0" t="s">
        <v>228</v>
      </c>
      <c r="I387" s="0" t="s">
        <v>3555</v>
      </c>
      <c r="J387" s="0" t="s">
        <v>228</v>
      </c>
      <c r="K387" s="0" t="s">
        <v>228</v>
      </c>
      <c r="L387" s="0" t="s">
        <v>228</v>
      </c>
      <c r="M387" s="0" t="s">
        <v>228</v>
      </c>
      <c r="N387" s="0" t="s">
        <v>228</v>
      </c>
      <c r="O387" s="0" t="s">
        <v>228</v>
      </c>
      <c r="P387" s="0" t="s">
        <v>228</v>
      </c>
      <c r="Q387" s="0" t="s">
        <v>228</v>
      </c>
      <c r="R387" s="0" t="s">
        <v>4376</v>
      </c>
      <c r="S387" s="0" t="s">
        <v>228</v>
      </c>
      <c r="T387" s="0" t="s">
        <v>228</v>
      </c>
      <c r="U387" s="0" t="s">
        <v>101</v>
      </c>
      <c r="V387" s="0" t="s">
        <v>228</v>
      </c>
      <c r="W387" s="0" t="s">
        <v>228</v>
      </c>
      <c r="X387" s="0" t="s">
        <v>3661</v>
      </c>
      <c r="Y387" s="0" t="s">
        <v>228</v>
      </c>
      <c r="Z387" s="0" t="s">
        <v>151</v>
      </c>
      <c r="AA387" s="0" t="s">
        <v>151</v>
      </c>
      <c r="AB387" s="0" t="s">
        <v>160</v>
      </c>
      <c r="AC387" s="0" t="s">
        <v>2315</v>
      </c>
      <c r="AD387" s="0" t="s">
        <v>2315</v>
      </c>
      <c r="AE387" s="0" t="s">
        <v>2316</v>
      </c>
      <c r="AF387" s="0" t="s">
        <v>4178</v>
      </c>
      <c r="AG387" s="0" t="s">
        <v>4179</v>
      </c>
      <c r="AH387" s="0" t="s">
        <v>3651</v>
      </c>
      <c r="AI387" s="0" t="s">
        <v>3651</v>
      </c>
      <c r="AJ387" s="0" t="s">
        <v>228</v>
      </c>
      <c r="AK387" s="0" t="s">
        <v>228</v>
      </c>
      <c r="AL387" s="0" t="s">
        <v>228</v>
      </c>
      <c r="AM387" s="0" t="s">
        <v>228</v>
      </c>
      <c r="AN387" s="0" t="s">
        <v>228</v>
      </c>
      <c r="AO387" s="0" t="s">
        <v>228</v>
      </c>
      <c r="AP387" s="0" t="s">
        <v>228</v>
      </c>
      <c r="AQ387" s="0" t="s">
        <v>228</v>
      </c>
      <c r="AR387" s="0" t="s">
        <v>228</v>
      </c>
      <c r="AS387" s="0" t="s">
        <v>228</v>
      </c>
      <c r="AT387" s="0" t="s">
        <v>228</v>
      </c>
      <c r="AU387" s="0" t="s">
        <v>228</v>
      </c>
      <c r="AV387" s="0" t="s">
        <v>228</v>
      </c>
      <c r="AW387" s="0" t="s">
        <v>228</v>
      </c>
      <c r="AX387" s="0" t="s">
        <v>228</v>
      </c>
      <c r="AY387" s="0" t="s">
        <v>228</v>
      </c>
      <c r="AZ387" s="0" t="s">
        <v>228</v>
      </c>
      <c r="BA387" s="0" t="s">
        <v>228</v>
      </c>
      <c r="BB387" s="0" t="s">
        <v>228</v>
      </c>
      <c r="BC387" s="0" t="s">
        <v>228</v>
      </c>
      <c r="BD387" s="0" t="s">
        <v>228</v>
      </c>
      <c r="BE387" s="0" t="s">
        <v>4075</v>
      </c>
      <c r="BF387" s="0" t="s">
        <v>3874</v>
      </c>
      <c r="BG387" s="0" t="s">
        <v>111</v>
      </c>
      <c r="BH387" s="0" t="s">
        <v>3665</v>
      </c>
      <c r="BI387" s="0" t="s">
        <v>122</v>
      </c>
      <c r="BJ387" s="0" t="s">
        <v>228</v>
      </c>
      <c r="BK387" s="0" t="s">
        <v>3684</v>
      </c>
      <c r="BL387" s="0" t="s">
        <v>2315</v>
      </c>
      <c r="BM387" s="0" t="s">
        <v>2315</v>
      </c>
      <c r="BN387" s="0" t="s">
        <v>3875</v>
      </c>
      <c r="BO387" s="0" t="s">
        <v>4178</v>
      </c>
      <c r="BP387" s="0" t="s">
        <v>4377</v>
      </c>
      <c r="BQ387" s="0" t="s">
        <v>3651</v>
      </c>
      <c r="BR387" s="0" t="s">
        <v>3651</v>
      </c>
      <c r="BS387" s="0" t="s">
        <v>228</v>
      </c>
      <c r="BT387" s="0" t="s">
        <v>3727</v>
      </c>
      <c r="BU387" s="0" t="s">
        <v>4378</v>
      </c>
      <c r="BV387" s="0" t="s">
        <v>4378</v>
      </c>
      <c r="BW387" s="0" t="s">
        <v>3674</v>
      </c>
      <c r="BX387" s="0" t="s">
        <v>3674</v>
      </c>
      <c r="BY387" s="0" t="s">
        <v>3674</v>
      </c>
      <c r="BZ387" s="0" t="s">
        <v>3674</v>
      </c>
      <c r="CA387" s="0" t="s">
        <v>3674</v>
      </c>
      <c r="CB387" s="0" t="s">
        <v>228</v>
      </c>
      <c r="CC387" s="0" t="s">
        <v>228</v>
      </c>
      <c r="CD387" s="0" t="s">
        <v>228</v>
      </c>
      <c r="CE387" s="0" t="s">
        <v>228</v>
      </c>
      <c r="CF387" s="0" t="s">
        <v>228</v>
      </c>
      <c r="CG387" s="0" t="s">
        <v>3674</v>
      </c>
      <c r="CH387" s="0" t="s">
        <v>228</v>
      </c>
      <c r="CI387" s="0" t="s">
        <v>228</v>
      </c>
      <c r="CJ387" s="0" t="s">
        <v>228</v>
      </c>
      <c r="CK387" s="0" t="s">
        <v>228</v>
      </c>
      <c r="CL387" s="0" t="s">
        <v>228</v>
      </c>
      <c r="CM387" s="0" t="s">
        <v>4378</v>
      </c>
      <c r="CN387" s="0" t="s">
        <v>4378</v>
      </c>
      <c r="CO387" s="0" t="s">
        <v>228</v>
      </c>
      <c r="CP387" s="0" t="s">
        <v>228</v>
      </c>
      <c r="CQ387" s="0" t="s">
        <v>228</v>
      </c>
      <c r="CR387" s="0" t="s">
        <v>228</v>
      </c>
      <c r="CS387" s="0" t="s">
        <v>3654</v>
      </c>
      <c r="CT387" s="0" t="s">
        <v>3568</v>
      </c>
      <c r="CU387" s="0" t="s">
        <v>3569</v>
      </c>
      <c r="CV387" s="0" t="s">
        <v>418</v>
      </c>
      <c r="CW387" s="0" t="s">
        <v>3656</v>
      </c>
      <c r="CX387" s="0" t="s">
        <v>419</v>
      </c>
      <c r="CY387" s="0" t="s">
        <v>418</v>
      </c>
      <c r="CZ387" s="0" t="s">
        <v>3657</v>
      </c>
      <c r="DA387" s="0" t="s">
        <v>3658</v>
      </c>
      <c r="DB387" s="0" t="s">
        <v>3656</v>
      </c>
      <c r="DC387" s="0" t="s">
        <v>362</v>
      </c>
      <c r="DD387" s="0" t="s">
        <v>3572</v>
      </c>
      <c r="DE387" s="0" t="s">
        <v>4379</v>
      </c>
    </row>
    <row customHeight="1" ht="11.25">
      <c r="A388" s="1353" t="s">
        <v>228</v>
      </c>
      <c r="B388" s="0" t="s">
        <v>228</v>
      </c>
      <c r="C388" s="0" t="s">
        <v>228</v>
      </c>
      <c r="D388" s="0" t="s">
        <v>228</v>
      </c>
      <c r="E388" s="0" t="s">
        <v>228</v>
      </c>
      <c r="F388" s="0" t="s">
        <v>228</v>
      </c>
      <c r="G388" s="0" t="s">
        <v>228</v>
      </c>
      <c r="H388" s="0" t="s">
        <v>228</v>
      </c>
      <c r="I388" s="0" t="s">
        <v>3555</v>
      </c>
      <c r="J388" s="0" t="s">
        <v>228</v>
      </c>
      <c r="K388" s="0" t="s">
        <v>228</v>
      </c>
      <c r="L388" s="0" t="s">
        <v>228</v>
      </c>
      <c r="M388" s="0" t="s">
        <v>228</v>
      </c>
      <c r="N388" s="0" t="s">
        <v>228</v>
      </c>
      <c r="O388" s="0" t="s">
        <v>228</v>
      </c>
      <c r="P388" s="0" t="s">
        <v>228</v>
      </c>
      <c r="Q388" s="0" t="s">
        <v>228</v>
      </c>
      <c r="R388" s="0" t="s">
        <v>3614</v>
      </c>
      <c r="S388" s="0" t="s">
        <v>228</v>
      </c>
      <c r="T388" s="0" t="s">
        <v>228</v>
      </c>
      <c r="U388" s="0" t="s">
        <v>101</v>
      </c>
      <c r="V388" s="0" t="s">
        <v>228</v>
      </c>
      <c r="W388" s="0" t="s">
        <v>228</v>
      </c>
      <c r="X388" s="0" t="s">
        <v>3557</v>
      </c>
      <c r="Y388" s="0" t="s">
        <v>228</v>
      </c>
      <c r="Z388" s="0" t="s">
        <v>160</v>
      </c>
      <c r="AA388" s="0" t="s">
        <v>151</v>
      </c>
      <c r="AB388" s="0" t="s">
        <v>151</v>
      </c>
      <c r="AC388" s="0" t="s">
        <v>2317</v>
      </c>
      <c r="AD388" s="0" t="s">
        <v>2317</v>
      </c>
      <c r="AE388" s="0" t="s">
        <v>2318</v>
      </c>
      <c r="AF388" s="0" t="s">
        <v>3615</v>
      </c>
      <c r="AG388" s="0" t="s">
        <v>3616</v>
      </c>
      <c r="AH388" s="0" t="s">
        <v>3617</v>
      </c>
      <c r="AI388" s="0" t="s">
        <v>3618</v>
      </c>
      <c r="AJ388" s="0" t="s">
        <v>3579</v>
      </c>
      <c r="AK388" s="0" t="s">
        <v>3619</v>
      </c>
      <c r="AL388" s="0" t="s">
        <v>3581</v>
      </c>
      <c r="AM388" s="0" t="s">
        <v>3565</v>
      </c>
      <c r="AN388" s="0" t="s">
        <v>3620</v>
      </c>
      <c r="AO388" s="0" t="s">
        <v>3621</v>
      </c>
      <c r="AP388" s="0" t="s">
        <v>228</v>
      </c>
      <c r="AQ388" s="0" t="s">
        <v>228</v>
      </c>
      <c r="AR388" s="0" t="s">
        <v>228</v>
      </c>
      <c r="AS388" s="0" t="s">
        <v>228</v>
      </c>
      <c r="AT388" s="0" t="s">
        <v>228</v>
      </c>
      <c r="AU388" s="0" t="s">
        <v>228</v>
      </c>
      <c r="AV388" s="0" t="s">
        <v>228</v>
      </c>
      <c r="AW388" s="0" t="s">
        <v>228</v>
      </c>
      <c r="AX388" s="0" t="s">
        <v>228</v>
      </c>
      <c r="AY388" s="0" t="s">
        <v>228</v>
      </c>
      <c r="AZ388" s="0" t="s">
        <v>228</v>
      </c>
      <c r="BA388" s="0" t="s">
        <v>228</v>
      </c>
      <c r="BB388" s="0" t="s">
        <v>228</v>
      </c>
      <c r="BC388" s="0" t="s">
        <v>228</v>
      </c>
      <c r="BD388" s="0" t="s">
        <v>228</v>
      </c>
      <c r="BE388" s="0" t="s">
        <v>228</v>
      </c>
      <c r="BF388" s="0" t="s">
        <v>228</v>
      </c>
      <c r="BG388" s="0" t="s">
        <v>228</v>
      </c>
      <c r="BH388" s="0" t="s">
        <v>228</v>
      </c>
      <c r="BI388" s="0" t="s">
        <v>228</v>
      </c>
      <c r="BJ388" s="0" t="s">
        <v>228</v>
      </c>
      <c r="BK388" s="0" t="s">
        <v>228</v>
      </c>
      <c r="BL388" s="0" t="s">
        <v>228</v>
      </c>
      <c r="BM388" s="0" t="s">
        <v>228</v>
      </c>
      <c r="BN388" s="0" t="s">
        <v>228</v>
      </c>
      <c r="BO388" s="0" t="s">
        <v>228</v>
      </c>
      <c r="BP388" s="0" t="s">
        <v>228</v>
      </c>
      <c r="BQ388" s="0" t="s">
        <v>228</v>
      </c>
      <c r="BR388" s="0" t="s">
        <v>228</v>
      </c>
      <c r="BS388" s="0" t="s">
        <v>228</v>
      </c>
      <c r="BT388" s="0" t="s">
        <v>228</v>
      </c>
      <c r="BU388" s="0" t="s">
        <v>228</v>
      </c>
      <c r="BV388" s="0" t="s">
        <v>228</v>
      </c>
      <c r="BW388" s="0" t="s">
        <v>228</v>
      </c>
      <c r="BX388" s="0" t="s">
        <v>228</v>
      </c>
      <c r="BY388" s="0" t="s">
        <v>228</v>
      </c>
      <c r="BZ388" s="0" t="s">
        <v>228</v>
      </c>
      <c r="CA388" s="0" t="s">
        <v>228</v>
      </c>
      <c r="CB388" s="0" t="s">
        <v>228</v>
      </c>
      <c r="CC388" s="0" t="s">
        <v>228</v>
      </c>
      <c r="CD388" s="0" t="s">
        <v>228</v>
      </c>
      <c r="CE388" s="0" t="s">
        <v>228</v>
      </c>
      <c r="CF388" s="0" t="s">
        <v>228</v>
      </c>
      <c r="CG388" s="0" t="s">
        <v>228</v>
      </c>
      <c r="CH388" s="0" t="s">
        <v>228</v>
      </c>
      <c r="CI388" s="0" t="s">
        <v>228</v>
      </c>
      <c r="CJ388" s="0" t="s">
        <v>228</v>
      </c>
      <c r="CK388" s="0" t="s">
        <v>228</v>
      </c>
      <c r="CL388" s="0" t="s">
        <v>228</v>
      </c>
      <c r="CM388" s="0" t="s">
        <v>228</v>
      </c>
      <c r="CN388" s="0" t="s">
        <v>228</v>
      </c>
      <c r="CO388" s="0" t="s">
        <v>228</v>
      </c>
      <c r="CP388" s="0" t="s">
        <v>228</v>
      </c>
      <c r="CQ388" s="0" t="s">
        <v>228</v>
      </c>
      <c r="CR388" s="0" t="s">
        <v>228</v>
      </c>
      <c r="CS388" s="0" t="s">
        <v>228</v>
      </c>
      <c r="CT388" s="0" t="s">
        <v>3568</v>
      </c>
      <c r="CU388" s="0" t="s">
        <v>3569</v>
      </c>
      <c r="CV388" s="0" t="s">
        <v>418</v>
      </c>
      <c r="CW388" s="0" t="s">
        <v>3622</v>
      </c>
      <c r="CX388" s="0" t="s">
        <v>419</v>
      </c>
      <c r="CY388" s="0" t="s">
        <v>418</v>
      </c>
      <c r="CZ388" s="0" t="s">
        <v>3623</v>
      </c>
      <c r="DA388" s="0" t="s">
        <v>3624</v>
      </c>
      <c r="DB388" s="0" t="s">
        <v>3622</v>
      </c>
      <c r="DC388" s="0" t="s">
        <v>362</v>
      </c>
      <c r="DD388" s="0" t="s">
        <v>3572</v>
      </c>
      <c r="DE388" s="0" t="s">
        <v>3625</v>
      </c>
    </row>
    <row customHeight="1" ht="11.25">
      <c r="A389" s="1353" t="s">
        <v>228</v>
      </c>
      <c r="B389" s="0" t="s">
        <v>228</v>
      </c>
      <c r="C389" s="0" t="s">
        <v>228</v>
      </c>
      <c r="D389" s="0" t="s">
        <v>228</v>
      </c>
      <c r="E389" s="0" t="s">
        <v>228</v>
      </c>
      <c r="F389" s="0" t="s">
        <v>228</v>
      </c>
      <c r="G389" s="0" t="s">
        <v>228</v>
      </c>
      <c r="H389" s="0" t="s">
        <v>228</v>
      </c>
      <c r="I389" s="0" t="s">
        <v>3555</v>
      </c>
      <c r="J389" s="0" t="s">
        <v>228</v>
      </c>
      <c r="K389" s="0" t="s">
        <v>228</v>
      </c>
      <c r="L389" s="0" t="s">
        <v>228</v>
      </c>
      <c r="M389" s="0" t="s">
        <v>228</v>
      </c>
      <c r="N389" s="0" t="s">
        <v>228</v>
      </c>
      <c r="O389" s="0" t="s">
        <v>228</v>
      </c>
      <c r="P389" s="0" t="s">
        <v>228</v>
      </c>
      <c r="Q389" s="0" t="s">
        <v>228</v>
      </c>
      <c r="R389" s="0" t="s">
        <v>3981</v>
      </c>
      <c r="S389" s="0" t="s">
        <v>228</v>
      </c>
      <c r="T389" s="0" t="s">
        <v>228</v>
      </c>
      <c r="U389" s="0" t="s">
        <v>101</v>
      </c>
      <c r="V389" s="0" t="s">
        <v>228</v>
      </c>
      <c r="W389" s="0" t="s">
        <v>228</v>
      </c>
      <c r="X389" s="0" t="s">
        <v>3557</v>
      </c>
      <c r="Y389" s="0" t="s">
        <v>228</v>
      </c>
      <c r="Z389" s="0" t="s">
        <v>160</v>
      </c>
      <c r="AA389" s="0" t="s">
        <v>151</v>
      </c>
      <c r="AB389" s="0" t="s">
        <v>151</v>
      </c>
      <c r="AC389" s="0" t="s">
        <v>2290</v>
      </c>
      <c r="AD389" s="0" t="s">
        <v>2290</v>
      </c>
      <c r="AE389" s="0" t="s">
        <v>2292</v>
      </c>
      <c r="AF389" s="0" t="s">
        <v>3558</v>
      </c>
      <c r="AG389" s="0" t="s">
        <v>3559</v>
      </c>
      <c r="AH389" s="0" t="s">
        <v>3982</v>
      </c>
      <c r="AI389" s="0" t="s">
        <v>3983</v>
      </c>
      <c r="AJ389" s="0" t="s">
        <v>3566</v>
      </c>
      <c r="AK389" s="0" t="s">
        <v>3984</v>
      </c>
      <c r="AL389" s="0" t="s">
        <v>3564</v>
      </c>
      <c r="AM389" s="0" t="s">
        <v>3565</v>
      </c>
      <c r="AN389" s="0" t="s">
        <v>3985</v>
      </c>
      <c r="AO389" s="0" t="s">
        <v>3695</v>
      </c>
      <c r="AP389" s="0" t="s">
        <v>228</v>
      </c>
      <c r="AQ389" s="0" t="s">
        <v>228</v>
      </c>
      <c r="AR389" s="0" t="s">
        <v>228</v>
      </c>
      <c r="AS389" s="0" t="s">
        <v>228</v>
      </c>
      <c r="AT389" s="0" t="s">
        <v>228</v>
      </c>
      <c r="AU389" s="0" t="s">
        <v>228</v>
      </c>
      <c r="AV389" s="0" t="s">
        <v>228</v>
      </c>
      <c r="AW389" s="0" t="s">
        <v>228</v>
      </c>
      <c r="AX389" s="0" t="s">
        <v>228</v>
      </c>
      <c r="AY389" s="0" t="s">
        <v>228</v>
      </c>
      <c r="AZ389" s="0" t="s">
        <v>228</v>
      </c>
      <c r="BA389" s="0" t="s">
        <v>228</v>
      </c>
      <c r="BB389" s="0" t="s">
        <v>228</v>
      </c>
      <c r="BC389" s="0" t="s">
        <v>228</v>
      </c>
      <c r="BD389" s="0" t="s">
        <v>228</v>
      </c>
      <c r="BE389" s="0" t="s">
        <v>228</v>
      </c>
      <c r="BF389" s="0" t="s">
        <v>228</v>
      </c>
      <c r="BG389" s="0" t="s">
        <v>228</v>
      </c>
      <c r="BH389" s="0" t="s">
        <v>228</v>
      </c>
      <c r="BI389" s="0" t="s">
        <v>228</v>
      </c>
      <c r="BJ389" s="0" t="s">
        <v>228</v>
      </c>
      <c r="BK389" s="0" t="s">
        <v>228</v>
      </c>
      <c r="BL389" s="0" t="s">
        <v>228</v>
      </c>
      <c r="BM389" s="0" t="s">
        <v>228</v>
      </c>
      <c r="BN389" s="0" t="s">
        <v>228</v>
      </c>
      <c r="BO389" s="0" t="s">
        <v>228</v>
      </c>
      <c r="BP389" s="0" t="s">
        <v>228</v>
      </c>
      <c r="BQ389" s="0" t="s">
        <v>228</v>
      </c>
      <c r="BR389" s="0" t="s">
        <v>228</v>
      </c>
      <c r="BS389" s="0" t="s">
        <v>228</v>
      </c>
      <c r="BT389" s="0" t="s">
        <v>228</v>
      </c>
      <c r="BU389" s="0" t="s">
        <v>228</v>
      </c>
      <c r="BV389" s="0" t="s">
        <v>228</v>
      </c>
      <c r="BW389" s="0" t="s">
        <v>228</v>
      </c>
      <c r="BX389" s="0" t="s">
        <v>228</v>
      </c>
      <c r="BY389" s="0" t="s">
        <v>228</v>
      </c>
      <c r="BZ389" s="0" t="s">
        <v>228</v>
      </c>
      <c r="CA389" s="0" t="s">
        <v>228</v>
      </c>
      <c r="CB389" s="0" t="s">
        <v>228</v>
      </c>
      <c r="CC389" s="0" t="s">
        <v>228</v>
      </c>
      <c r="CD389" s="0" t="s">
        <v>228</v>
      </c>
      <c r="CE389" s="0" t="s">
        <v>228</v>
      </c>
      <c r="CF389" s="0" t="s">
        <v>228</v>
      </c>
      <c r="CG389" s="0" t="s">
        <v>228</v>
      </c>
      <c r="CH389" s="0" t="s">
        <v>228</v>
      </c>
      <c r="CI389" s="0" t="s">
        <v>228</v>
      </c>
      <c r="CJ389" s="0" t="s">
        <v>228</v>
      </c>
      <c r="CK389" s="0" t="s">
        <v>228</v>
      </c>
      <c r="CL389" s="0" t="s">
        <v>228</v>
      </c>
      <c r="CM389" s="0" t="s">
        <v>228</v>
      </c>
      <c r="CN389" s="0" t="s">
        <v>228</v>
      </c>
      <c r="CO389" s="0" t="s">
        <v>228</v>
      </c>
      <c r="CP389" s="0" t="s">
        <v>228</v>
      </c>
      <c r="CQ389" s="0" t="s">
        <v>228</v>
      </c>
      <c r="CR389" s="0" t="s">
        <v>228</v>
      </c>
      <c r="CS389" s="0" t="s">
        <v>228</v>
      </c>
      <c r="CT389" s="0" t="s">
        <v>3568</v>
      </c>
      <c r="CU389" s="0" t="s">
        <v>3569</v>
      </c>
      <c r="CV389" s="0" t="s">
        <v>418</v>
      </c>
      <c r="CW389" s="0" t="s">
        <v>3570</v>
      </c>
      <c r="CX389" s="0" t="s">
        <v>419</v>
      </c>
      <c r="CY389" s="0" t="s">
        <v>418</v>
      </c>
      <c r="CZ389" s="0" t="s">
        <v>3571</v>
      </c>
      <c r="DA389" s="0" t="s">
        <v>420</v>
      </c>
      <c r="DB389" s="0" t="s">
        <v>3570</v>
      </c>
      <c r="DC389" s="0" t="s">
        <v>362</v>
      </c>
      <c r="DD389" s="0" t="s">
        <v>3572</v>
      </c>
      <c r="DE389" s="0" t="s">
        <v>3986</v>
      </c>
    </row>
    <row customHeight="1" ht="11.25">
      <c r="A390" s="1353" t="s">
        <v>228</v>
      </c>
      <c r="B390" s="0" t="s">
        <v>228</v>
      </c>
      <c r="C390" s="0" t="s">
        <v>228</v>
      </c>
      <c r="D390" s="0" t="s">
        <v>228</v>
      </c>
      <c r="E390" s="0" t="s">
        <v>228</v>
      </c>
      <c r="F390" s="0" t="s">
        <v>228</v>
      </c>
      <c r="G390" s="0" t="s">
        <v>228</v>
      </c>
      <c r="H390" s="0" t="s">
        <v>228</v>
      </c>
      <c r="I390" s="0" t="s">
        <v>3555</v>
      </c>
      <c r="J390" s="0" t="s">
        <v>228</v>
      </c>
      <c r="K390" s="0" t="s">
        <v>228</v>
      </c>
      <c r="L390" s="0" t="s">
        <v>228</v>
      </c>
      <c r="M390" s="0" t="s">
        <v>228</v>
      </c>
      <c r="N390" s="0" t="s">
        <v>228</v>
      </c>
      <c r="O390" s="0" t="s">
        <v>228</v>
      </c>
      <c r="P390" s="0" t="s">
        <v>228</v>
      </c>
      <c r="Q390" s="0" t="s">
        <v>228</v>
      </c>
      <c r="R390" s="0" t="s">
        <v>4186</v>
      </c>
      <c r="S390" s="0" t="s">
        <v>228</v>
      </c>
      <c r="T390" s="0" t="s">
        <v>228</v>
      </c>
      <c r="U390" s="0" t="s">
        <v>101</v>
      </c>
      <c r="V390" s="0" t="s">
        <v>228</v>
      </c>
      <c r="W390" s="0" t="s">
        <v>228</v>
      </c>
      <c r="X390" s="0" t="s">
        <v>3557</v>
      </c>
      <c r="Y390" s="0" t="s">
        <v>228</v>
      </c>
      <c r="Z390" s="0" t="s">
        <v>160</v>
      </c>
      <c r="AA390" s="0" t="s">
        <v>151</v>
      </c>
      <c r="AB390" s="0" t="s">
        <v>151</v>
      </c>
      <c r="AC390" s="0" t="s">
        <v>2290</v>
      </c>
      <c r="AD390" s="0" t="s">
        <v>2290</v>
      </c>
      <c r="AE390" s="0" t="s">
        <v>2292</v>
      </c>
      <c r="AF390" s="0" t="s">
        <v>3558</v>
      </c>
      <c r="AG390" s="0" t="s">
        <v>3559</v>
      </c>
      <c r="AH390" s="0" t="s">
        <v>4187</v>
      </c>
      <c r="AI390" s="0" t="s">
        <v>3608</v>
      </c>
      <c r="AJ390" s="0" t="s">
        <v>4188</v>
      </c>
      <c r="AK390" s="0" t="s">
        <v>3674</v>
      </c>
      <c r="AL390" s="0" t="s">
        <v>3681</v>
      </c>
      <c r="AM390" s="0" t="s">
        <v>3565</v>
      </c>
      <c r="AN390" s="0" t="s">
        <v>4189</v>
      </c>
      <c r="AO390" s="0" t="s">
        <v>4190</v>
      </c>
      <c r="AP390" s="0" t="s">
        <v>228</v>
      </c>
      <c r="AQ390" s="0" t="s">
        <v>228</v>
      </c>
      <c r="AR390" s="0" t="s">
        <v>228</v>
      </c>
      <c r="AS390" s="0" t="s">
        <v>228</v>
      </c>
      <c r="AT390" s="0" t="s">
        <v>228</v>
      </c>
      <c r="AU390" s="0" t="s">
        <v>228</v>
      </c>
      <c r="AV390" s="0" t="s">
        <v>228</v>
      </c>
      <c r="AW390" s="0" t="s">
        <v>228</v>
      </c>
      <c r="AX390" s="0" t="s">
        <v>228</v>
      </c>
      <c r="AY390" s="0" t="s">
        <v>228</v>
      </c>
      <c r="AZ390" s="0" t="s">
        <v>228</v>
      </c>
      <c r="BA390" s="0" t="s">
        <v>228</v>
      </c>
      <c r="BB390" s="0" t="s">
        <v>228</v>
      </c>
      <c r="BC390" s="0" t="s">
        <v>228</v>
      </c>
      <c r="BD390" s="0" t="s">
        <v>228</v>
      </c>
      <c r="BE390" s="0" t="s">
        <v>228</v>
      </c>
      <c r="BF390" s="0" t="s">
        <v>228</v>
      </c>
      <c r="BG390" s="0" t="s">
        <v>228</v>
      </c>
      <c r="BH390" s="0" t="s">
        <v>228</v>
      </c>
      <c r="BI390" s="0" t="s">
        <v>228</v>
      </c>
      <c r="BJ390" s="0" t="s">
        <v>228</v>
      </c>
      <c r="BK390" s="0" t="s">
        <v>228</v>
      </c>
      <c r="BL390" s="0" t="s">
        <v>228</v>
      </c>
      <c r="BM390" s="0" t="s">
        <v>228</v>
      </c>
      <c r="BN390" s="0" t="s">
        <v>228</v>
      </c>
      <c r="BO390" s="0" t="s">
        <v>228</v>
      </c>
      <c r="BP390" s="0" t="s">
        <v>228</v>
      </c>
      <c r="BQ390" s="0" t="s">
        <v>228</v>
      </c>
      <c r="BR390" s="0" t="s">
        <v>228</v>
      </c>
      <c r="BS390" s="0" t="s">
        <v>228</v>
      </c>
      <c r="BT390" s="0" t="s">
        <v>228</v>
      </c>
      <c r="BU390" s="0" t="s">
        <v>228</v>
      </c>
      <c r="BV390" s="0" t="s">
        <v>228</v>
      </c>
      <c r="BW390" s="0" t="s">
        <v>228</v>
      </c>
      <c r="BX390" s="0" t="s">
        <v>228</v>
      </c>
      <c r="BY390" s="0" t="s">
        <v>228</v>
      </c>
      <c r="BZ390" s="0" t="s">
        <v>228</v>
      </c>
      <c r="CA390" s="0" t="s">
        <v>228</v>
      </c>
      <c r="CB390" s="0" t="s">
        <v>228</v>
      </c>
      <c r="CC390" s="0" t="s">
        <v>228</v>
      </c>
      <c r="CD390" s="0" t="s">
        <v>228</v>
      </c>
      <c r="CE390" s="0" t="s">
        <v>228</v>
      </c>
      <c r="CF390" s="0" t="s">
        <v>228</v>
      </c>
      <c r="CG390" s="0" t="s">
        <v>228</v>
      </c>
      <c r="CH390" s="0" t="s">
        <v>228</v>
      </c>
      <c r="CI390" s="0" t="s">
        <v>228</v>
      </c>
      <c r="CJ390" s="0" t="s">
        <v>228</v>
      </c>
      <c r="CK390" s="0" t="s">
        <v>228</v>
      </c>
      <c r="CL390" s="0" t="s">
        <v>228</v>
      </c>
      <c r="CM390" s="0" t="s">
        <v>228</v>
      </c>
      <c r="CN390" s="0" t="s">
        <v>228</v>
      </c>
      <c r="CO390" s="0" t="s">
        <v>228</v>
      </c>
      <c r="CP390" s="0" t="s">
        <v>228</v>
      </c>
      <c r="CQ390" s="0" t="s">
        <v>228</v>
      </c>
      <c r="CR390" s="0" t="s">
        <v>228</v>
      </c>
      <c r="CS390" s="0" t="s">
        <v>228</v>
      </c>
      <c r="CT390" s="0" t="s">
        <v>3568</v>
      </c>
      <c r="CU390" s="0" t="s">
        <v>3569</v>
      </c>
      <c r="CV390" s="0" t="s">
        <v>418</v>
      </c>
      <c r="CW390" s="0" t="s">
        <v>3570</v>
      </c>
      <c r="CX390" s="0" t="s">
        <v>419</v>
      </c>
      <c r="CY390" s="0" t="s">
        <v>418</v>
      </c>
      <c r="CZ390" s="0" t="s">
        <v>3571</v>
      </c>
      <c r="DA390" s="0" t="s">
        <v>420</v>
      </c>
      <c r="DB390" s="0" t="s">
        <v>3570</v>
      </c>
      <c r="DC390" s="0" t="s">
        <v>362</v>
      </c>
      <c r="DD390" s="0" t="s">
        <v>3572</v>
      </c>
      <c r="DE390" s="0" t="s">
        <v>4191</v>
      </c>
    </row>
    <row customHeight="1" ht="11.25">
      <c r="A391" s="1353" t="s">
        <v>228</v>
      </c>
      <c r="B391" s="0" t="s">
        <v>228</v>
      </c>
      <c r="C391" s="0" t="s">
        <v>228</v>
      </c>
      <c r="D391" s="0" t="s">
        <v>228</v>
      </c>
      <c r="E391" s="0" t="s">
        <v>228</v>
      </c>
      <c r="F391" s="0" t="s">
        <v>228</v>
      </c>
      <c r="G391" s="0" t="s">
        <v>228</v>
      </c>
      <c r="H391" s="0" t="s">
        <v>228</v>
      </c>
      <c r="I391" s="0" t="s">
        <v>3555</v>
      </c>
      <c r="J391" s="0" t="s">
        <v>228</v>
      </c>
      <c r="K391" s="0" t="s">
        <v>228</v>
      </c>
      <c r="L391" s="0" t="s">
        <v>228</v>
      </c>
      <c r="M391" s="0" t="s">
        <v>228</v>
      </c>
      <c r="N391" s="0" t="s">
        <v>228</v>
      </c>
      <c r="O391" s="0" t="s">
        <v>228</v>
      </c>
      <c r="P391" s="0" t="s">
        <v>228</v>
      </c>
      <c r="Q391" s="0" t="s">
        <v>228</v>
      </c>
      <c r="R391" s="0" t="s">
        <v>5074</v>
      </c>
      <c r="S391" s="0" t="s">
        <v>228</v>
      </c>
      <c r="T391" s="0" t="s">
        <v>228</v>
      </c>
      <c r="U391" s="0" t="s">
        <v>101</v>
      </c>
      <c r="V391" s="0" t="s">
        <v>228</v>
      </c>
      <c r="W391" s="0" t="s">
        <v>228</v>
      </c>
      <c r="X391" s="0" t="s">
        <v>3557</v>
      </c>
      <c r="Y391" s="0" t="s">
        <v>228</v>
      </c>
      <c r="Z391" s="0" t="s">
        <v>160</v>
      </c>
      <c r="AA391" s="0" t="s">
        <v>151</v>
      </c>
      <c r="AB391" s="0" t="s">
        <v>151</v>
      </c>
      <c r="AC391" s="0" t="s">
        <v>2715</v>
      </c>
      <c r="AD391" s="0" t="s">
        <v>2715</v>
      </c>
      <c r="AE391" s="0" t="s">
        <v>2716</v>
      </c>
      <c r="AF391" s="0" t="s">
        <v>3594</v>
      </c>
      <c r="AG391" s="0" t="s">
        <v>3595</v>
      </c>
      <c r="AH391" s="0" t="s">
        <v>3642</v>
      </c>
      <c r="AI391" s="0" t="s">
        <v>3643</v>
      </c>
      <c r="AJ391" s="0" t="s">
        <v>3644</v>
      </c>
      <c r="AK391" s="0" t="s">
        <v>4826</v>
      </c>
      <c r="AL391" s="0" t="s">
        <v>3681</v>
      </c>
      <c r="AM391" s="0" t="s">
        <v>3565</v>
      </c>
      <c r="AN391" s="0" t="s">
        <v>4827</v>
      </c>
      <c r="AO391" s="0" t="s">
        <v>4828</v>
      </c>
      <c r="AP391" s="0" t="s">
        <v>228</v>
      </c>
      <c r="AQ391" s="0" t="s">
        <v>228</v>
      </c>
      <c r="AR391" s="0" t="s">
        <v>228</v>
      </c>
      <c r="AS391" s="0" t="s">
        <v>228</v>
      </c>
      <c r="AT391" s="0" t="s">
        <v>228</v>
      </c>
      <c r="AU391" s="0" t="s">
        <v>228</v>
      </c>
      <c r="AV391" s="0" t="s">
        <v>228</v>
      </c>
      <c r="AW391" s="0" t="s">
        <v>228</v>
      </c>
      <c r="AX391" s="0" t="s">
        <v>228</v>
      </c>
      <c r="AY391" s="0" t="s">
        <v>228</v>
      </c>
      <c r="AZ391" s="0" t="s">
        <v>228</v>
      </c>
      <c r="BA391" s="0" t="s">
        <v>228</v>
      </c>
      <c r="BB391" s="0" t="s">
        <v>228</v>
      </c>
      <c r="BC391" s="0" t="s">
        <v>228</v>
      </c>
      <c r="BD391" s="0" t="s">
        <v>228</v>
      </c>
      <c r="BE391" s="0" t="s">
        <v>228</v>
      </c>
      <c r="BF391" s="0" t="s">
        <v>228</v>
      </c>
      <c r="BG391" s="0" t="s">
        <v>228</v>
      </c>
      <c r="BH391" s="0" t="s">
        <v>228</v>
      </c>
      <c r="BI391" s="0" t="s">
        <v>228</v>
      </c>
      <c r="BJ391" s="0" t="s">
        <v>228</v>
      </c>
      <c r="BK391" s="0" t="s">
        <v>228</v>
      </c>
      <c r="BL391" s="0" t="s">
        <v>228</v>
      </c>
      <c r="BM391" s="0" t="s">
        <v>228</v>
      </c>
      <c r="BN391" s="0" t="s">
        <v>228</v>
      </c>
      <c r="BO391" s="0" t="s">
        <v>228</v>
      </c>
      <c r="BP391" s="0" t="s">
        <v>228</v>
      </c>
      <c r="BQ391" s="0" t="s">
        <v>228</v>
      </c>
      <c r="BR391" s="0" t="s">
        <v>228</v>
      </c>
      <c r="BS391" s="0" t="s">
        <v>228</v>
      </c>
      <c r="BT391" s="0" t="s">
        <v>228</v>
      </c>
      <c r="BU391" s="0" t="s">
        <v>228</v>
      </c>
      <c r="BV391" s="0" t="s">
        <v>228</v>
      </c>
      <c r="BW391" s="0" t="s">
        <v>228</v>
      </c>
      <c r="BX391" s="0" t="s">
        <v>228</v>
      </c>
      <c r="BY391" s="0" t="s">
        <v>228</v>
      </c>
      <c r="BZ391" s="0" t="s">
        <v>228</v>
      </c>
      <c r="CA391" s="0" t="s">
        <v>228</v>
      </c>
      <c r="CB391" s="0" t="s">
        <v>228</v>
      </c>
      <c r="CC391" s="0" t="s">
        <v>228</v>
      </c>
      <c r="CD391" s="0" t="s">
        <v>228</v>
      </c>
      <c r="CE391" s="0" t="s">
        <v>228</v>
      </c>
      <c r="CF391" s="0" t="s">
        <v>228</v>
      </c>
      <c r="CG391" s="0" t="s">
        <v>228</v>
      </c>
      <c r="CH391" s="0" t="s">
        <v>228</v>
      </c>
      <c r="CI391" s="0" t="s">
        <v>228</v>
      </c>
      <c r="CJ391" s="0" t="s">
        <v>228</v>
      </c>
      <c r="CK391" s="0" t="s">
        <v>228</v>
      </c>
      <c r="CL391" s="0" t="s">
        <v>228</v>
      </c>
      <c r="CM391" s="0" t="s">
        <v>228</v>
      </c>
      <c r="CN391" s="0" t="s">
        <v>228</v>
      </c>
      <c r="CO391" s="0" t="s">
        <v>228</v>
      </c>
      <c r="CP391" s="0" t="s">
        <v>228</v>
      </c>
      <c r="CQ391" s="0" t="s">
        <v>228</v>
      </c>
      <c r="CR391" s="0" t="s">
        <v>228</v>
      </c>
      <c r="CS391" s="0" t="s">
        <v>228</v>
      </c>
      <c r="CT391" s="0" t="s">
        <v>3568</v>
      </c>
      <c r="CU391" s="0" t="s">
        <v>3569</v>
      </c>
      <c r="CV391" s="0" t="s">
        <v>418</v>
      </c>
      <c r="CW391" s="0" t="s">
        <v>3602</v>
      </c>
      <c r="CX391" s="0" t="s">
        <v>3603</v>
      </c>
      <c r="CY391" s="0" t="s">
        <v>418</v>
      </c>
      <c r="CZ391" s="0" t="s">
        <v>504</v>
      </c>
      <c r="DA391" s="0" t="s">
        <v>3604</v>
      </c>
      <c r="DB391" s="0" t="s">
        <v>3602</v>
      </c>
      <c r="DC391" s="0" t="s">
        <v>362</v>
      </c>
      <c r="DD391" s="0" t="s">
        <v>3572</v>
      </c>
      <c r="DE391" s="0" t="s">
        <v>3647</v>
      </c>
    </row>
    <row customHeight="1" ht="11.25">
      <c r="A392" s="1353" t="s">
        <v>228</v>
      </c>
      <c r="B392" s="0" t="s">
        <v>228</v>
      </c>
      <c r="C392" s="0" t="s">
        <v>228</v>
      </c>
      <c r="D392" s="0" t="s">
        <v>228</v>
      </c>
      <c r="E392" s="0" t="s">
        <v>228</v>
      </c>
      <c r="F392" s="0" t="s">
        <v>228</v>
      </c>
      <c r="G392" s="0" t="s">
        <v>228</v>
      </c>
      <c r="H392" s="0" t="s">
        <v>228</v>
      </c>
      <c r="I392" s="0" t="s">
        <v>3555</v>
      </c>
      <c r="J392" s="0" t="s">
        <v>228</v>
      </c>
      <c r="K392" s="0" t="s">
        <v>228</v>
      </c>
      <c r="L392" s="0" t="s">
        <v>228</v>
      </c>
      <c r="M392" s="0" t="s">
        <v>228</v>
      </c>
      <c r="N392" s="0" t="s">
        <v>228</v>
      </c>
      <c r="O392" s="0" t="s">
        <v>228</v>
      </c>
      <c r="P392" s="0" t="s">
        <v>228</v>
      </c>
      <c r="Q392" s="0" t="s">
        <v>228</v>
      </c>
      <c r="R392" s="0" t="s">
        <v>5075</v>
      </c>
      <c r="S392" s="0" t="s">
        <v>228</v>
      </c>
      <c r="T392" s="0" t="s">
        <v>228</v>
      </c>
      <c r="U392" s="0" t="s">
        <v>101</v>
      </c>
      <c r="V392" s="0" t="s">
        <v>228</v>
      </c>
      <c r="W392" s="0" t="s">
        <v>228</v>
      </c>
      <c r="X392" s="0" t="s">
        <v>3988</v>
      </c>
      <c r="Y392" s="0" t="s">
        <v>228</v>
      </c>
      <c r="Z392" s="0" t="s">
        <v>151</v>
      </c>
      <c r="AA392" s="0" t="s">
        <v>160</v>
      </c>
      <c r="AB392" s="0" t="s">
        <v>151</v>
      </c>
      <c r="AC392" s="0" t="s">
        <v>2715</v>
      </c>
      <c r="AD392" s="0" t="s">
        <v>2715</v>
      </c>
      <c r="AE392" s="0" t="s">
        <v>2716</v>
      </c>
      <c r="AF392" s="0" t="s">
        <v>3594</v>
      </c>
      <c r="AG392" s="0" t="s">
        <v>3595</v>
      </c>
      <c r="AH392" s="0" t="s">
        <v>3642</v>
      </c>
      <c r="AI392" s="0" t="s">
        <v>3643</v>
      </c>
      <c r="AJ392" s="0" t="s">
        <v>228</v>
      </c>
      <c r="AK392" s="0" t="s">
        <v>228</v>
      </c>
      <c r="AL392" s="0" t="s">
        <v>228</v>
      </c>
      <c r="AM392" s="0" t="s">
        <v>228</v>
      </c>
      <c r="AN392" s="0" t="s">
        <v>228</v>
      </c>
      <c r="AO392" s="0" t="s">
        <v>228</v>
      </c>
      <c r="AP392" s="0" t="s">
        <v>3989</v>
      </c>
      <c r="AQ392" s="0" t="s">
        <v>3990</v>
      </c>
      <c r="AR392" s="0" t="s">
        <v>111</v>
      </c>
      <c r="AS392" s="0" t="s">
        <v>3665</v>
      </c>
      <c r="AT392" s="0" t="s">
        <v>5054</v>
      </c>
      <c r="AU392" s="0" t="s">
        <v>228</v>
      </c>
      <c r="AV392" s="0" t="s">
        <v>3991</v>
      </c>
      <c r="AW392" s="0" t="s">
        <v>2286</v>
      </c>
      <c r="AX392" s="0" t="s">
        <v>2286</v>
      </c>
      <c r="AY392" s="0" t="s">
        <v>3992</v>
      </c>
      <c r="AZ392" s="0" t="s">
        <v>3993</v>
      </c>
      <c r="BA392" s="0" t="s">
        <v>3994</v>
      </c>
      <c r="BB392" s="0" t="s">
        <v>3642</v>
      </c>
      <c r="BC392" s="0" t="s">
        <v>3643</v>
      </c>
      <c r="BD392" s="0" t="s">
        <v>3995</v>
      </c>
      <c r="BE392" s="0" t="s">
        <v>228</v>
      </c>
      <c r="BF392" s="0" t="s">
        <v>228</v>
      </c>
      <c r="BG392" s="0" t="s">
        <v>228</v>
      </c>
      <c r="BH392" s="0" t="s">
        <v>228</v>
      </c>
      <c r="BI392" s="0" t="s">
        <v>228</v>
      </c>
      <c r="BJ392" s="0" t="s">
        <v>228</v>
      </c>
      <c r="BK392" s="0" t="s">
        <v>228</v>
      </c>
      <c r="BL392" s="0" t="s">
        <v>228</v>
      </c>
      <c r="BM392" s="0" t="s">
        <v>228</v>
      </c>
      <c r="BN392" s="0" t="s">
        <v>228</v>
      </c>
      <c r="BO392" s="0" t="s">
        <v>228</v>
      </c>
      <c r="BP392" s="0" t="s">
        <v>228</v>
      </c>
      <c r="BQ392" s="0" t="s">
        <v>228</v>
      </c>
      <c r="BR392" s="0" t="s">
        <v>228</v>
      </c>
      <c r="BS392" s="0" t="s">
        <v>228</v>
      </c>
      <c r="BT392" s="0" t="s">
        <v>228</v>
      </c>
      <c r="BU392" s="0" t="s">
        <v>228</v>
      </c>
      <c r="BV392" s="0" t="s">
        <v>228</v>
      </c>
      <c r="BW392" s="0" t="s">
        <v>228</v>
      </c>
      <c r="BX392" s="0" t="s">
        <v>228</v>
      </c>
      <c r="BY392" s="0" t="s">
        <v>228</v>
      </c>
      <c r="BZ392" s="0" t="s">
        <v>228</v>
      </c>
      <c r="CA392" s="0" t="s">
        <v>228</v>
      </c>
      <c r="CB392" s="0" t="s">
        <v>228</v>
      </c>
      <c r="CC392" s="0" t="s">
        <v>228</v>
      </c>
      <c r="CD392" s="0" t="s">
        <v>228</v>
      </c>
      <c r="CE392" s="0" t="s">
        <v>228</v>
      </c>
      <c r="CF392" s="0" t="s">
        <v>228</v>
      </c>
      <c r="CG392" s="0" t="s">
        <v>228</v>
      </c>
      <c r="CH392" s="0" t="s">
        <v>228</v>
      </c>
      <c r="CI392" s="0" t="s">
        <v>228</v>
      </c>
      <c r="CJ392" s="0" t="s">
        <v>228</v>
      </c>
      <c r="CK392" s="0" t="s">
        <v>228</v>
      </c>
      <c r="CL392" s="0" t="s">
        <v>228</v>
      </c>
      <c r="CM392" s="0" t="s">
        <v>228</v>
      </c>
      <c r="CN392" s="0" t="s">
        <v>228</v>
      </c>
      <c r="CO392" s="0" t="s">
        <v>228</v>
      </c>
      <c r="CP392" s="0" t="s">
        <v>228</v>
      </c>
      <c r="CQ392" s="0" t="s">
        <v>228</v>
      </c>
      <c r="CR392" s="0" t="s">
        <v>228</v>
      </c>
      <c r="CS392" s="0" t="s">
        <v>228</v>
      </c>
      <c r="CT392" s="0" t="s">
        <v>3568</v>
      </c>
      <c r="CU392" s="0" t="s">
        <v>3569</v>
      </c>
      <c r="CV392" s="0" t="s">
        <v>418</v>
      </c>
      <c r="CW392" s="0" t="s">
        <v>3602</v>
      </c>
      <c r="CX392" s="0" t="s">
        <v>3603</v>
      </c>
      <c r="CY392" s="0" t="s">
        <v>418</v>
      </c>
      <c r="CZ392" s="0" t="s">
        <v>504</v>
      </c>
      <c r="DA392" s="0" t="s">
        <v>3604</v>
      </c>
      <c r="DB392" s="0" t="s">
        <v>3602</v>
      </c>
      <c r="DC392" s="0" t="s">
        <v>362</v>
      </c>
      <c r="DD392" s="0" t="s">
        <v>3572</v>
      </c>
      <c r="DE392" s="0" t="s">
        <v>3647</v>
      </c>
    </row>
    <row customHeight="1" ht="11.25">
      <c r="A393" s="1353" t="s">
        <v>228</v>
      </c>
      <c r="B393" s="0" t="s">
        <v>228</v>
      </c>
      <c r="C393" s="0" t="s">
        <v>228</v>
      </c>
      <c r="D393" s="0" t="s">
        <v>228</v>
      </c>
      <c r="E393" s="0" t="s">
        <v>228</v>
      </c>
      <c r="F393" s="0" t="s">
        <v>228</v>
      </c>
      <c r="G393" s="0" t="s">
        <v>228</v>
      </c>
      <c r="H393" s="0" t="s">
        <v>228</v>
      </c>
      <c r="I393" s="0" t="s">
        <v>3555</v>
      </c>
      <c r="J393" s="0" t="s">
        <v>228</v>
      </c>
      <c r="K393" s="0" t="s">
        <v>228</v>
      </c>
      <c r="L393" s="0" t="s">
        <v>228</v>
      </c>
      <c r="M393" s="0" t="s">
        <v>228</v>
      </c>
      <c r="N393" s="0" t="s">
        <v>228</v>
      </c>
      <c r="O393" s="0" t="s">
        <v>228</v>
      </c>
      <c r="P393" s="0" t="s">
        <v>228</v>
      </c>
      <c r="Q393" s="0" t="s">
        <v>228</v>
      </c>
      <c r="R393" s="0" t="s">
        <v>4192</v>
      </c>
      <c r="S393" s="0" t="s">
        <v>228</v>
      </c>
      <c r="T393" s="0" t="s">
        <v>228</v>
      </c>
      <c r="U393" s="0" t="s">
        <v>101</v>
      </c>
      <c r="V393" s="0" t="s">
        <v>228</v>
      </c>
      <c r="W393" s="0" t="s">
        <v>228</v>
      </c>
      <c r="X393" s="0" t="s">
        <v>3557</v>
      </c>
      <c r="Y393" s="0" t="s">
        <v>228</v>
      </c>
      <c r="Z393" s="0" t="s">
        <v>160</v>
      </c>
      <c r="AA393" s="0" t="s">
        <v>151</v>
      </c>
      <c r="AB393" s="0" t="s">
        <v>151</v>
      </c>
      <c r="AC393" s="0" t="s">
        <v>2290</v>
      </c>
      <c r="AD393" s="0" t="s">
        <v>2290</v>
      </c>
      <c r="AE393" s="0" t="s">
        <v>2292</v>
      </c>
      <c r="AF393" s="0" t="s">
        <v>3558</v>
      </c>
      <c r="AG393" s="0" t="s">
        <v>3559</v>
      </c>
      <c r="AH393" s="0" t="s">
        <v>4193</v>
      </c>
      <c r="AI393" s="0" t="s">
        <v>3608</v>
      </c>
      <c r="AJ393" s="0" t="s">
        <v>4188</v>
      </c>
      <c r="AK393" s="0" t="s">
        <v>3674</v>
      </c>
      <c r="AL393" s="0" t="s">
        <v>3681</v>
      </c>
      <c r="AM393" s="0" t="s">
        <v>3565</v>
      </c>
      <c r="AN393" s="0" t="s">
        <v>4189</v>
      </c>
      <c r="AO393" s="0" t="s">
        <v>4194</v>
      </c>
      <c r="AP393" s="0" t="s">
        <v>228</v>
      </c>
      <c r="AQ393" s="0" t="s">
        <v>228</v>
      </c>
      <c r="AR393" s="0" t="s">
        <v>228</v>
      </c>
      <c r="AS393" s="0" t="s">
        <v>228</v>
      </c>
      <c r="AT393" s="0" t="s">
        <v>228</v>
      </c>
      <c r="AU393" s="0" t="s">
        <v>228</v>
      </c>
      <c r="AV393" s="0" t="s">
        <v>228</v>
      </c>
      <c r="AW393" s="0" t="s">
        <v>228</v>
      </c>
      <c r="AX393" s="0" t="s">
        <v>228</v>
      </c>
      <c r="AY393" s="0" t="s">
        <v>228</v>
      </c>
      <c r="AZ393" s="0" t="s">
        <v>228</v>
      </c>
      <c r="BA393" s="0" t="s">
        <v>228</v>
      </c>
      <c r="BB393" s="0" t="s">
        <v>228</v>
      </c>
      <c r="BC393" s="0" t="s">
        <v>228</v>
      </c>
      <c r="BD393" s="0" t="s">
        <v>228</v>
      </c>
      <c r="BE393" s="0" t="s">
        <v>228</v>
      </c>
      <c r="BF393" s="0" t="s">
        <v>228</v>
      </c>
      <c r="BG393" s="0" t="s">
        <v>228</v>
      </c>
      <c r="BH393" s="0" t="s">
        <v>228</v>
      </c>
      <c r="BI393" s="0" t="s">
        <v>228</v>
      </c>
      <c r="BJ393" s="0" t="s">
        <v>228</v>
      </c>
      <c r="BK393" s="0" t="s">
        <v>228</v>
      </c>
      <c r="BL393" s="0" t="s">
        <v>228</v>
      </c>
      <c r="BM393" s="0" t="s">
        <v>228</v>
      </c>
      <c r="BN393" s="0" t="s">
        <v>228</v>
      </c>
      <c r="BO393" s="0" t="s">
        <v>228</v>
      </c>
      <c r="BP393" s="0" t="s">
        <v>228</v>
      </c>
      <c r="BQ393" s="0" t="s">
        <v>228</v>
      </c>
      <c r="BR393" s="0" t="s">
        <v>228</v>
      </c>
      <c r="BS393" s="0" t="s">
        <v>228</v>
      </c>
      <c r="BT393" s="0" t="s">
        <v>228</v>
      </c>
      <c r="BU393" s="0" t="s">
        <v>228</v>
      </c>
      <c r="BV393" s="0" t="s">
        <v>228</v>
      </c>
      <c r="BW393" s="0" t="s">
        <v>228</v>
      </c>
      <c r="BX393" s="0" t="s">
        <v>228</v>
      </c>
      <c r="BY393" s="0" t="s">
        <v>228</v>
      </c>
      <c r="BZ393" s="0" t="s">
        <v>228</v>
      </c>
      <c r="CA393" s="0" t="s">
        <v>228</v>
      </c>
      <c r="CB393" s="0" t="s">
        <v>228</v>
      </c>
      <c r="CC393" s="0" t="s">
        <v>228</v>
      </c>
      <c r="CD393" s="0" t="s">
        <v>228</v>
      </c>
      <c r="CE393" s="0" t="s">
        <v>228</v>
      </c>
      <c r="CF393" s="0" t="s">
        <v>228</v>
      </c>
      <c r="CG393" s="0" t="s">
        <v>228</v>
      </c>
      <c r="CH393" s="0" t="s">
        <v>228</v>
      </c>
      <c r="CI393" s="0" t="s">
        <v>228</v>
      </c>
      <c r="CJ393" s="0" t="s">
        <v>228</v>
      </c>
      <c r="CK393" s="0" t="s">
        <v>228</v>
      </c>
      <c r="CL393" s="0" t="s">
        <v>228</v>
      </c>
      <c r="CM393" s="0" t="s">
        <v>228</v>
      </c>
      <c r="CN393" s="0" t="s">
        <v>228</v>
      </c>
      <c r="CO393" s="0" t="s">
        <v>228</v>
      </c>
      <c r="CP393" s="0" t="s">
        <v>228</v>
      </c>
      <c r="CQ393" s="0" t="s">
        <v>228</v>
      </c>
      <c r="CR393" s="0" t="s">
        <v>228</v>
      </c>
      <c r="CS393" s="0" t="s">
        <v>228</v>
      </c>
      <c r="CT393" s="0" t="s">
        <v>3568</v>
      </c>
      <c r="CU393" s="0" t="s">
        <v>3569</v>
      </c>
      <c r="CV393" s="0" t="s">
        <v>418</v>
      </c>
      <c r="CW393" s="0" t="s">
        <v>3570</v>
      </c>
      <c r="CX393" s="0" t="s">
        <v>419</v>
      </c>
      <c r="CY393" s="0" t="s">
        <v>418</v>
      </c>
      <c r="CZ393" s="0" t="s">
        <v>3571</v>
      </c>
      <c r="DA393" s="0" t="s">
        <v>420</v>
      </c>
      <c r="DB393" s="0" t="s">
        <v>3570</v>
      </c>
      <c r="DC393" s="0" t="s">
        <v>362</v>
      </c>
      <c r="DD393" s="0" t="s">
        <v>3572</v>
      </c>
      <c r="DE393" s="0" t="s">
        <v>4195</v>
      </c>
    </row>
    <row customHeight="1" ht="11.25">
      <c r="A394" s="1353" t="s">
        <v>228</v>
      </c>
      <c r="B394" s="0" t="s">
        <v>228</v>
      </c>
      <c r="C394" s="0" t="s">
        <v>228</v>
      </c>
      <c r="D394" s="0" t="s">
        <v>228</v>
      </c>
      <c r="E394" s="0" t="s">
        <v>228</v>
      </c>
      <c r="F394" s="0" t="s">
        <v>228</v>
      </c>
      <c r="G394" s="0" t="s">
        <v>228</v>
      </c>
      <c r="H394" s="0" t="s">
        <v>228</v>
      </c>
      <c r="I394" s="0" t="s">
        <v>3555</v>
      </c>
      <c r="J394" s="0" t="s">
        <v>228</v>
      </c>
      <c r="K394" s="0" t="s">
        <v>228</v>
      </c>
      <c r="L394" s="0" t="s">
        <v>228</v>
      </c>
      <c r="M394" s="0" t="s">
        <v>228</v>
      </c>
      <c r="N394" s="0" t="s">
        <v>228</v>
      </c>
      <c r="O394" s="0" t="s">
        <v>228</v>
      </c>
      <c r="P394" s="0" t="s">
        <v>228</v>
      </c>
      <c r="Q394" s="0" t="s">
        <v>228</v>
      </c>
      <c r="R394" s="0" t="s">
        <v>3648</v>
      </c>
      <c r="S394" s="0" t="s">
        <v>228</v>
      </c>
      <c r="T394" s="0" t="s">
        <v>228</v>
      </c>
      <c r="U394" s="0" t="s">
        <v>101</v>
      </c>
      <c r="V394" s="0" t="s">
        <v>228</v>
      </c>
      <c r="W394" s="0" t="s">
        <v>228</v>
      </c>
      <c r="X394" s="0" t="s">
        <v>3557</v>
      </c>
      <c r="Y394" s="0" t="s">
        <v>228</v>
      </c>
      <c r="Z394" s="0" t="s">
        <v>160</v>
      </c>
      <c r="AA394" s="0" t="s">
        <v>151</v>
      </c>
      <c r="AB394" s="0" t="s">
        <v>151</v>
      </c>
      <c r="AC394" s="0" t="s">
        <v>2315</v>
      </c>
      <c r="AD394" s="0" t="s">
        <v>2315</v>
      </c>
      <c r="AE394" s="0" t="s">
        <v>2316</v>
      </c>
      <c r="AF394" s="0" t="s">
        <v>4380</v>
      </c>
      <c r="AG394" s="0" t="s">
        <v>4381</v>
      </c>
      <c r="AH394" s="0" t="s">
        <v>4067</v>
      </c>
      <c r="AI394" s="0" t="s">
        <v>4382</v>
      </c>
      <c r="AJ394" s="0" t="s">
        <v>3652</v>
      </c>
      <c r="AK394" s="0" t="s">
        <v>4383</v>
      </c>
      <c r="AL394" s="0" t="s">
        <v>3581</v>
      </c>
      <c r="AM394" s="0" t="s">
        <v>3565</v>
      </c>
      <c r="AN394" s="0" t="s">
        <v>3654</v>
      </c>
      <c r="AO394" s="0" t="s">
        <v>3934</v>
      </c>
      <c r="AP394" s="0" t="s">
        <v>228</v>
      </c>
      <c r="AQ394" s="0" t="s">
        <v>228</v>
      </c>
      <c r="AR394" s="0" t="s">
        <v>228</v>
      </c>
      <c r="AS394" s="0" t="s">
        <v>228</v>
      </c>
      <c r="AT394" s="0" t="s">
        <v>228</v>
      </c>
      <c r="AU394" s="0" t="s">
        <v>228</v>
      </c>
      <c r="AV394" s="0" t="s">
        <v>228</v>
      </c>
      <c r="AW394" s="0" t="s">
        <v>228</v>
      </c>
      <c r="AX394" s="0" t="s">
        <v>228</v>
      </c>
      <c r="AY394" s="0" t="s">
        <v>228</v>
      </c>
      <c r="AZ394" s="0" t="s">
        <v>228</v>
      </c>
      <c r="BA394" s="0" t="s">
        <v>228</v>
      </c>
      <c r="BB394" s="0" t="s">
        <v>228</v>
      </c>
      <c r="BC394" s="0" t="s">
        <v>228</v>
      </c>
      <c r="BD394" s="0" t="s">
        <v>228</v>
      </c>
      <c r="BE394" s="0" t="s">
        <v>228</v>
      </c>
      <c r="BF394" s="0" t="s">
        <v>228</v>
      </c>
      <c r="BG394" s="0" t="s">
        <v>228</v>
      </c>
      <c r="BH394" s="0" t="s">
        <v>228</v>
      </c>
      <c r="BI394" s="0" t="s">
        <v>228</v>
      </c>
      <c r="BJ394" s="0" t="s">
        <v>228</v>
      </c>
      <c r="BK394" s="0" t="s">
        <v>228</v>
      </c>
      <c r="BL394" s="0" t="s">
        <v>228</v>
      </c>
      <c r="BM394" s="0" t="s">
        <v>228</v>
      </c>
      <c r="BN394" s="0" t="s">
        <v>228</v>
      </c>
      <c r="BO394" s="0" t="s">
        <v>228</v>
      </c>
      <c r="BP394" s="0" t="s">
        <v>228</v>
      </c>
      <c r="BQ394" s="0" t="s">
        <v>228</v>
      </c>
      <c r="BR394" s="0" t="s">
        <v>228</v>
      </c>
      <c r="BS394" s="0" t="s">
        <v>228</v>
      </c>
      <c r="BT394" s="0" t="s">
        <v>228</v>
      </c>
      <c r="BU394" s="0" t="s">
        <v>228</v>
      </c>
      <c r="BV394" s="0" t="s">
        <v>228</v>
      </c>
      <c r="BW394" s="0" t="s">
        <v>228</v>
      </c>
      <c r="BX394" s="0" t="s">
        <v>228</v>
      </c>
      <c r="BY394" s="0" t="s">
        <v>228</v>
      </c>
      <c r="BZ394" s="0" t="s">
        <v>228</v>
      </c>
      <c r="CA394" s="0" t="s">
        <v>228</v>
      </c>
      <c r="CB394" s="0" t="s">
        <v>228</v>
      </c>
      <c r="CC394" s="0" t="s">
        <v>228</v>
      </c>
      <c r="CD394" s="0" t="s">
        <v>228</v>
      </c>
      <c r="CE394" s="0" t="s">
        <v>228</v>
      </c>
      <c r="CF394" s="0" t="s">
        <v>228</v>
      </c>
      <c r="CG394" s="0" t="s">
        <v>228</v>
      </c>
      <c r="CH394" s="0" t="s">
        <v>228</v>
      </c>
      <c r="CI394" s="0" t="s">
        <v>228</v>
      </c>
      <c r="CJ394" s="0" t="s">
        <v>228</v>
      </c>
      <c r="CK394" s="0" t="s">
        <v>228</v>
      </c>
      <c r="CL394" s="0" t="s">
        <v>228</v>
      </c>
      <c r="CM394" s="0" t="s">
        <v>228</v>
      </c>
      <c r="CN394" s="0" t="s">
        <v>228</v>
      </c>
      <c r="CO394" s="0" t="s">
        <v>228</v>
      </c>
      <c r="CP394" s="0" t="s">
        <v>228</v>
      </c>
      <c r="CQ394" s="0" t="s">
        <v>228</v>
      </c>
      <c r="CR394" s="0" t="s">
        <v>228</v>
      </c>
      <c r="CS394" s="0" t="s">
        <v>228</v>
      </c>
      <c r="CT394" s="0" t="s">
        <v>3568</v>
      </c>
      <c r="CU394" s="0" t="s">
        <v>3569</v>
      </c>
      <c r="CV394" s="0" t="s">
        <v>418</v>
      </c>
      <c r="CW394" s="0" t="s">
        <v>3656</v>
      </c>
      <c r="CX394" s="0" t="s">
        <v>419</v>
      </c>
      <c r="CY394" s="0" t="s">
        <v>418</v>
      </c>
      <c r="CZ394" s="0" t="s">
        <v>3657</v>
      </c>
      <c r="DA394" s="0" t="s">
        <v>3658</v>
      </c>
      <c r="DB394" s="0" t="s">
        <v>3656</v>
      </c>
      <c r="DC394" s="0" t="s">
        <v>362</v>
      </c>
      <c r="DD394" s="0" t="s">
        <v>3572</v>
      </c>
      <c r="DE394" s="0" t="s">
        <v>4384</v>
      </c>
    </row>
    <row customHeight="1" ht="11.25">
      <c r="A395" s="1353" t="s">
        <v>228</v>
      </c>
      <c r="B395" s="0" t="s">
        <v>228</v>
      </c>
      <c r="C395" s="0" t="s">
        <v>228</v>
      </c>
      <c r="D395" s="0" t="s">
        <v>228</v>
      </c>
      <c r="E395" s="0" t="s">
        <v>228</v>
      </c>
      <c r="F395" s="0" t="s">
        <v>228</v>
      </c>
      <c r="G395" s="0" t="s">
        <v>228</v>
      </c>
      <c r="H395" s="0" t="s">
        <v>228</v>
      </c>
      <c r="I395" s="0" t="s">
        <v>3555</v>
      </c>
      <c r="J395" s="0" t="s">
        <v>228</v>
      </c>
      <c r="K395" s="0" t="s">
        <v>228</v>
      </c>
      <c r="L395" s="0" t="s">
        <v>228</v>
      </c>
      <c r="M395" s="0" t="s">
        <v>228</v>
      </c>
      <c r="N395" s="0" t="s">
        <v>228</v>
      </c>
      <c r="O395" s="0" t="s">
        <v>228</v>
      </c>
      <c r="P395" s="0" t="s">
        <v>228</v>
      </c>
      <c r="Q395" s="0" t="s">
        <v>228</v>
      </c>
      <c r="R395" s="0" t="s">
        <v>4443</v>
      </c>
      <c r="S395" s="0" t="s">
        <v>228</v>
      </c>
      <c r="T395" s="0" t="s">
        <v>228</v>
      </c>
      <c r="U395" s="0" t="s">
        <v>101</v>
      </c>
      <c r="V395" s="0" t="s">
        <v>228</v>
      </c>
      <c r="W395" s="0" t="s">
        <v>228</v>
      </c>
      <c r="X395" s="0" t="s">
        <v>3557</v>
      </c>
      <c r="Y395" s="0" t="s">
        <v>228</v>
      </c>
      <c r="Z395" s="0" t="s">
        <v>160</v>
      </c>
      <c r="AA395" s="0" t="s">
        <v>151</v>
      </c>
      <c r="AB395" s="0" t="s">
        <v>151</v>
      </c>
      <c r="AC395" s="0" t="s">
        <v>2290</v>
      </c>
      <c r="AD395" s="0" t="s">
        <v>2290</v>
      </c>
      <c r="AE395" s="0" t="s">
        <v>2292</v>
      </c>
      <c r="AF395" s="0" t="s">
        <v>3558</v>
      </c>
      <c r="AG395" s="0" t="s">
        <v>3559</v>
      </c>
      <c r="AH395" s="0" t="s">
        <v>4444</v>
      </c>
      <c r="AI395" s="0" t="s">
        <v>3608</v>
      </c>
      <c r="AJ395" s="0" t="s">
        <v>4188</v>
      </c>
      <c r="AK395" s="0" t="s">
        <v>3674</v>
      </c>
      <c r="AL395" s="0" t="s">
        <v>3681</v>
      </c>
      <c r="AM395" s="0" t="s">
        <v>3565</v>
      </c>
      <c r="AN395" s="0" t="s">
        <v>4189</v>
      </c>
      <c r="AO395" s="0" t="s">
        <v>4445</v>
      </c>
      <c r="AP395" s="0" t="s">
        <v>228</v>
      </c>
      <c r="AQ395" s="0" t="s">
        <v>228</v>
      </c>
      <c r="AR395" s="0" t="s">
        <v>228</v>
      </c>
      <c r="AS395" s="0" t="s">
        <v>228</v>
      </c>
      <c r="AT395" s="0" t="s">
        <v>228</v>
      </c>
      <c r="AU395" s="0" t="s">
        <v>228</v>
      </c>
      <c r="AV395" s="0" t="s">
        <v>228</v>
      </c>
      <c r="AW395" s="0" t="s">
        <v>228</v>
      </c>
      <c r="AX395" s="0" t="s">
        <v>228</v>
      </c>
      <c r="AY395" s="0" t="s">
        <v>228</v>
      </c>
      <c r="AZ395" s="0" t="s">
        <v>228</v>
      </c>
      <c r="BA395" s="0" t="s">
        <v>228</v>
      </c>
      <c r="BB395" s="0" t="s">
        <v>228</v>
      </c>
      <c r="BC395" s="0" t="s">
        <v>228</v>
      </c>
      <c r="BD395" s="0" t="s">
        <v>228</v>
      </c>
      <c r="BE395" s="0" t="s">
        <v>228</v>
      </c>
      <c r="BF395" s="0" t="s">
        <v>228</v>
      </c>
      <c r="BG395" s="0" t="s">
        <v>228</v>
      </c>
      <c r="BH395" s="0" t="s">
        <v>228</v>
      </c>
      <c r="BI395" s="0" t="s">
        <v>228</v>
      </c>
      <c r="BJ395" s="0" t="s">
        <v>228</v>
      </c>
      <c r="BK395" s="0" t="s">
        <v>228</v>
      </c>
      <c r="BL395" s="0" t="s">
        <v>228</v>
      </c>
      <c r="BM395" s="0" t="s">
        <v>228</v>
      </c>
      <c r="BN395" s="0" t="s">
        <v>228</v>
      </c>
      <c r="BO395" s="0" t="s">
        <v>228</v>
      </c>
      <c r="BP395" s="0" t="s">
        <v>228</v>
      </c>
      <c r="BQ395" s="0" t="s">
        <v>228</v>
      </c>
      <c r="BR395" s="0" t="s">
        <v>228</v>
      </c>
      <c r="BS395" s="0" t="s">
        <v>228</v>
      </c>
      <c r="BT395" s="0" t="s">
        <v>228</v>
      </c>
      <c r="BU395" s="0" t="s">
        <v>228</v>
      </c>
      <c r="BV395" s="0" t="s">
        <v>228</v>
      </c>
      <c r="BW395" s="0" t="s">
        <v>228</v>
      </c>
      <c r="BX395" s="0" t="s">
        <v>228</v>
      </c>
      <c r="BY395" s="0" t="s">
        <v>228</v>
      </c>
      <c r="BZ395" s="0" t="s">
        <v>228</v>
      </c>
      <c r="CA395" s="0" t="s">
        <v>228</v>
      </c>
      <c r="CB395" s="0" t="s">
        <v>228</v>
      </c>
      <c r="CC395" s="0" t="s">
        <v>228</v>
      </c>
      <c r="CD395" s="0" t="s">
        <v>228</v>
      </c>
      <c r="CE395" s="0" t="s">
        <v>228</v>
      </c>
      <c r="CF395" s="0" t="s">
        <v>228</v>
      </c>
      <c r="CG395" s="0" t="s">
        <v>228</v>
      </c>
      <c r="CH395" s="0" t="s">
        <v>228</v>
      </c>
      <c r="CI395" s="0" t="s">
        <v>228</v>
      </c>
      <c r="CJ395" s="0" t="s">
        <v>228</v>
      </c>
      <c r="CK395" s="0" t="s">
        <v>228</v>
      </c>
      <c r="CL395" s="0" t="s">
        <v>228</v>
      </c>
      <c r="CM395" s="0" t="s">
        <v>228</v>
      </c>
      <c r="CN395" s="0" t="s">
        <v>228</v>
      </c>
      <c r="CO395" s="0" t="s">
        <v>228</v>
      </c>
      <c r="CP395" s="0" t="s">
        <v>228</v>
      </c>
      <c r="CQ395" s="0" t="s">
        <v>228</v>
      </c>
      <c r="CR395" s="0" t="s">
        <v>228</v>
      </c>
      <c r="CS395" s="0" t="s">
        <v>228</v>
      </c>
      <c r="CT395" s="0" t="s">
        <v>3568</v>
      </c>
      <c r="CU395" s="0" t="s">
        <v>3569</v>
      </c>
      <c r="CV395" s="0" t="s">
        <v>418</v>
      </c>
      <c r="CW395" s="0" t="s">
        <v>3570</v>
      </c>
      <c r="CX395" s="0" t="s">
        <v>419</v>
      </c>
      <c r="CY395" s="0" t="s">
        <v>418</v>
      </c>
      <c r="CZ395" s="0" t="s">
        <v>3571</v>
      </c>
      <c r="DA395" s="0" t="s">
        <v>420</v>
      </c>
      <c r="DB395" s="0" t="s">
        <v>3570</v>
      </c>
      <c r="DC395" s="0" t="s">
        <v>362</v>
      </c>
      <c r="DD395" s="0" t="s">
        <v>3572</v>
      </c>
      <c r="DE395" s="0" t="s">
        <v>4446</v>
      </c>
    </row>
    <row customHeight="1" ht="11.25">
      <c r="A396" s="1353" t="s">
        <v>228</v>
      </c>
      <c r="B396" s="0" t="s">
        <v>228</v>
      </c>
      <c r="C396" s="0" t="s">
        <v>228</v>
      </c>
      <c r="D396" s="0" t="s">
        <v>228</v>
      </c>
      <c r="E396" s="0" t="s">
        <v>228</v>
      </c>
      <c r="F396" s="0" t="s">
        <v>228</v>
      </c>
      <c r="G396" s="0" t="s">
        <v>228</v>
      </c>
      <c r="H396" s="0" t="s">
        <v>228</v>
      </c>
      <c r="I396" s="0" t="s">
        <v>3555</v>
      </c>
      <c r="J396" s="0" t="s">
        <v>228</v>
      </c>
      <c r="K396" s="0" t="s">
        <v>228</v>
      </c>
      <c r="L396" s="0" t="s">
        <v>228</v>
      </c>
      <c r="M396" s="0" t="s">
        <v>228</v>
      </c>
      <c r="N396" s="0" t="s">
        <v>228</v>
      </c>
      <c r="O396" s="0" t="s">
        <v>228</v>
      </c>
      <c r="P396" s="0" t="s">
        <v>228</v>
      </c>
      <c r="Q396" s="0" t="s">
        <v>228</v>
      </c>
      <c r="R396" s="0" t="s">
        <v>3648</v>
      </c>
      <c r="S396" s="0" t="s">
        <v>228</v>
      </c>
      <c r="T396" s="0" t="s">
        <v>228</v>
      </c>
      <c r="U396" s="0" t="s">
        <v>101</v>
      </c>
      <c r="V396" s="0" t="s">
        <v>228</v>
      </c>
      <c r="W396" s="0" t="s">
        <v>228</v>
      </c>
      <c r="X396" s="0" t="s">
        <v>3557</v>
      </c>
      <c r="Y396" s="0" t="s">
        <v>228</v>
      </c>
      <c r="Z396" s="0" t="s">
        <v>160</v>
      </c>
      <c r="AA396" s="0" t="s">
        <v>151</v>
      </c>
      <c r="AB396" s="0" t="s">
        <v>151</v>
      </c>
      <c r="AC396" s="0" t="s">
        <v>2317</v>
      </c>
      <c r="AD396" s="0" t="s">
        <v>2317</v>
      </c>
      <c r="AE396" s="0" t="s">
        <v>2318</v>
      </c>
      <c r="AF396" s="0" t="s">
        <v>3826</v>
      </c>
      <c r="AG396" s="0" t="s">
        <v>3827</v>
      </c>
      <c r="AH396" s="0" t="s">
        <v>4868</v>
      </c>
      <c r="AI396" s="0" t="s">
        <v>4869</v>
      </c>
      <c r="AJ396" s="0" t="s">
        <v>3579</v>
      </c>
      <c r="AK396" s="0" t="s">
        <v>3833</v>
      </c>
      <c r="AL396" s="0" t="s">
        <v>3581</v>
      </c>
      <c r="AM396" s="0" t="s">
        <v>3565</v>
      </c>
      <c r="AN396" s="0" t="s">
        <v>3620</v>
      </c>
      <c r="AO396" s="0" t="s">
        <v>3845</v>
      </c>
      <c r="AP396" s="0" t="s">
        <v>228</v>
      </c>
      <c r="AQ396" s="0" t="s">
        <v>228</v>
      </c>
      <c r="AR396" s="0" t="s">
        <v>228</v>
      </c>
      <c r="AS396" s="0" t="s">
        <v>228</v>
      </c>
      <c r="AT396" s="0" t="s">
        <v>228</v>
      </c>
      <c r="AU396" s="0" t="s">
        <v>228</v>
      </c>
      <c r="AV396" s="0" t="s">
        <v>228</v>
      </c>
      <c r="AW396" s="0" t="s">
        <v>228</v>
      </c>
      <c r="AX396" s="0" t="s">
        <v>228</v>
      </c>
      <c r="AY396" s="0" t="s">
        <v>228</v>
      </c>
      <c r="AZ396" s="0" t="s">
        <v>228</v>
      </c>
      <c r="BA396" s="0" t="s">
        <v>228</v>
      </c>
      <c r="BB396" s="0" t="s">
        <v>228</v>
      </c>
      <c r="BC396" s="0" t="s">
        <v>228</v>
      </c>
      <c r="BD396" s="0" t="s">
        <v>228</v>
      </c>
      <c r="BE396" s="0" t="s">
        <v>228</v>
      </c>
      <c r="BF396" s="0" t="s">
        <v>228</v>
      </c>
      <c r="BG396" s="0" t="s">
        <v>228</v>
      </c>
      <c r="BH396" s="0" t="s">
        <v>228</v>
      </c>
      <c r="BI396" s="0" t="s">
        <v>228</v>
      </c>
      <c r="BJ396" s="0" t="s">
        <v>228</v>
      </c>
      <c r="BK396" s="0" t="s">
        <v>228</v>
      </c>
      <c r="BL396" s="0" t="s">
        <v>228</v>
      </c>
      <c r="BM396" s="0" t="s">
        <v>228</v>
      </c>
      <c r="BN396" s="0" t="s">
        <v>228</v>
      </c>
      <c r="BO396" s="0" t="s">
        <v>228</v>
      </c>
      <c r="BP396" s="0" t="s">
        <v>228</v>
      </c>
      <c r="BQ396" s="0" t="s">
        <v>228</v>
      </c>
      <c r="BR396" s="0" t="s">
        <v>228</v>
      </c>
      <c r="BS396" s="0" t="s">
        <v>228</v>
      </c>
      <c r="BT396" s="0" t="s">
        <v>228</v>
      </c>
      <c r="BU396" s="0" t="s">
        <v>228</v>
      </c>
      <c r="BV396" s="0" t="s">
        <v>228</v>
      </c>
      <c r="BW396" s="0" t="s">
        <v>228</v>
      </c>
      <c r="BX396" s="0" t="s">
        <v>228</v>
      </c>
      <c r="BY396" s="0" t="s">
        <v>228</v>
      </c>
      <c r="BZ396" s="0" t="s">
        <v>228</v>
      </c>
      <c r="CA396" s="0" t="s">
        <v>228</v>
      </c>
      <c r="CB396" s="0" t="s">
        <v>228</v>
      </c>
      <c r="CC396" s="0" t="s">
        <v>228</v>
      </c>
      <c r="CD396" s="0" t="s">
        <v>228</v>
      </c>
      <c r="CE396" s="0" t="s">
        <v>228</v>
      </c>
      <c r="CF396" s="0" t="s">
        <v>228</v>
      </c>
      <c r="CG396" s="0" t="s">
        <v>228</v>
      </c>
      <c r="CH396" s="0" t="s">
        <v>228</v>
      </c>
      <c r="CI396" s="0" t="s">
        <v>228</v>
      </c>
      <c r="CJ396" s="0" t="s">
        <v>228</v>
      </c>
      <c r="CK396" s="0" t="s">
        <v>228</v>
      </c>
      <c r="CL396" s="0" t="s">
        <v>228</v>
      </c>
      <c r="CM396" s="0" t="s">
        <v>228</v>
      </c>
      <c r="CN396" s="0" t="s">
        <v>228</v>
      </c>
      <c r="CO396" s="0" t="s">
        <v>228</v>
      </c>
      <c r="CP396" s="0" t="s">
        <v>228</v>
      </c>
      <c r="CQ396" s="0" t="s">
        <v>228</v>
      </c>
      <c r="CR396" s="0" t="s">
        <v>228</v>
      </c>
      <c r="CS396" s="0" t="s">
        <v>228</v>
      </c>
      <c r="CT396" s="0" t="s">
        <v>3568</v>
      </c>
      <c r="CU396" s="0" t="s">
        <v>3569</v>
      </c>
      <c r="CV396" s="0" t="s">
        <v>418</v>
      </c>
      <c r="CW396" s="0" t="s">
        <v>3622</v>
      </c>
      <c r="CX396" s="0" t="s">
        <v>419</v>
      </c>
      <c r="CY396" s="0" t="s">
        <v>418</v>
      </c>
      <c r="CZ396" s="0" t="s">
        <v>3623</v>
      </c>
      <c r="DA396" s="0" t="s">
        <v>3624</v>
      </c>
      <c r="DB396" s="0" t="s">
        <v>3622</v>
      </c>
      <c r="DC396" s="0" t="s">
        <v>362</v>
      </c>
      <c r="DD396" s="0" t="s">
        <v>3572</v>
      </c>
      <c r="DE396" s="0" t="s">
        <v>4870</v>
      </c>
    </row>
    <row customHeight="1" ht="11.25">
      <c r="A397" s="1353" t="s">
        <v>228</v>
      </c>
      <c r="B397" s="0" t="s">
        <v>228</v>
      </c>
      <c r="C397" s="0" t="s">
        <v>228</v>
      </c>
      <c r="D397" s="0" t="s">
        <v>228</v>
      </c>
      <c r="E397" s="0" t="s">
        <v>228</v>
      </c>
      <c r="F397" s="0" t="s">
        <v>228</v>
      </c>
      <c r="G397" s="0" t="s">
        <v>228</v>
      </c>
      <c r="H397" s="0" t="s">
        <v>228</v>
      </c>
      <c r="I397" s="0" t="s">
        <v>3555</v>
      </c>
      <c r="J397" s="0" t="s">
        <v>228</v>
      </c>
      <c r="K397" s="0" t="s">
        <v>228</v>
      </c>
      <c r="L397" s="0" t="s">
        <v>228</v>
      </c>
      <c r="M397" s="0" t="s">
        <v>228</v>
      </c>
      <c r="N397" s="0" t="s">
        <v>228</v>
      </c>
      <c r="O397" s="0" t="s">
        <v>228</v>
      </c>
      <c r="P397" s="0" t="s">
        <v>228</v>
      </c>
      <c r="Q397" s="0" t="s">
        <v>228</v>
      </c>
      <c r="R397" s="0" t="s">
        <v>3648</v>
      </c>
      <c r="S397" s="0" t="s">
        <v>228</v>
      </c>
      <c r="T397" s="0" t="s">
        <v>228</v>
      </c>
      <c r="U397" s="0" t="s">
        <v>101</v>
      </c>
      <c r="V397" s="0" t="s">
        <v>228</v>
      </c>
      <c r="W397" s="0" t="s">
        <v>228</v>
      </c>
      <c r="X397" s="0" t="s">
        <v>3557</v>
      </c>
      <c r="Y397" s="0" t="s">
        <v>228</v>
      </c>
      <c r="Z397" s="0" t="s">
        <v>160</v>
      </c>
      <c r="AA397" s="0" t="s">
        <v>151</v>
      </c>
      <c r="AB397" s="0" t="s">
        <v>151</v>
      </c>
      <c r="AC397" s="0" t="s">
        <v>2317</v>
      </c>
      <c r="AD397" s="0" t="s">
        <v>2317</v>
      </c>
      <c r="AE397" s="0" t="s">
        <v>2318</v>
      </c>
      <c r="AF397" s="0" t="s">
        <v>3826</v>
      </c>
      <c r="AG397" s="0" t="s">
        <v>3827</v>
      </c>
      <c r="AH397" s="0" t="s">
        <v>4170</v>
      </c>
      <c r="AI397" s="0" t="s">
        <v>4871</v>
      </c>
      <c r="AJ397" s="0" t="s">
        <v>3627</v>
      </c>
      <c r="AK397" s="0" t="s">
        <v>3619</v>
      </c>
      <c r="AL397" s="0" t="s">
        <v>3581</v>
      </c>
      <c r="AM397" s="0" t="s">
        <v>3565</v>
      </c>
      <c r="AN397" s="0" t="s">
        <v>3628</v>
      </c>
      <c r="AO397" s="0" t="s">
        <v>3829</v>
      </c>
      <c r="AP397" s="0" t="s">
        <v>228</v>
      </c>
      <c r="AQ397" s="0" t="s">
        <v>228</v>
      </c>
      <c r="AR397" s="0" t="s">
        <v>228</v>
      </c>
      <c r="AS397" s="0" t="s">
        <v>228</v>
      </c>
      <c r="AT397" s="0" t="s">
        <v>228</v>
      </c>
      <c r="AU397" s="0" t="s">
        <v>228</v>
      </c>
      <c r="AV397" s="0" t="s">
        <v>228</v>
      </c>
      <c r="AW397" s="0" t="s">
        <v>228</v>
      </c>
      <c r="AX397" s="0" t="s">
        <v>228</v>
      </c>
      <c r="AY397" s="0" t="s">
        <v>228</v>
      </c>
      <c r="AZ397" s="0" t="s">
        <v>228</v>
      </c>
      <c r="BA397" s="0" t="s">
        <v>228</v>
      </c>
      <c r="BB397" s="0" t="s">
        <v>228</v>
      </c>
      <c r="BC397" s="0" t="s">
        <v>228</v>
      </c>
      <c r="BD397" s="0" t="s">
        <v>228</v>
      </c>
      <c r="BE397" s="0" t="s">
        <v>228</v>
      </c>
      <c r="BF397" s="0" t="s">
        <v>228</v>
      </c>
      <c r="BG397" s="0" t="s">
        <v>228</v>
      </c>
      <c r="BH397" s="0" t="s">
        <v>228</v>
      </c>
      <c r="BI397" s="0" t="s">
        <v>228</v>
      </c>
      <c r="BJ397" s="0" t="s">
        <v>228</v>
      </c>
      <c r="BK397" s="0" t="s">
        <v>228</v>
      </c>
      <c r="BL397" s="0" t="s">
        <v>228</v>
      </c>
      <c r="BM397" s="0" t="s">
        <v>228</v>
      </c>
      <c r="BN397" s="0" t="s">
        <v>228</v>
      </c>
      <c r="BO397" s="0" t="s">
        <v>228</v>
      </c>
      <c r="BP397" s="0" t="s">
        <v>228</v>
      </c>
      <c r="BQ397" s="0" t="s">
        <v>228</v>
      </c>
      <c r="BR397" s="0" t="s">
        <v>228</v>
      </c>
      <c r="BS397" s="0" t="s">
        <v>228</v>
      </c>
      <c r="BT397" s="0" t="s">
        <v>228</v>
      </c>
      <c r="BU397" s="0" t="s">
        <v>228</v>
      </c>
      <c r="BV397" s="0" t="s">
        <v>228</v>
      </c>
      <c r="BW397" s="0" t="s">
        <v>228</v>
      </c>
      <c r="BX397" s="0" t="s">
        <v>228</v>
      </c>
      <c r="BY397" s="0" t="s">
        <v>228</v>
      </c>
      <c r="BZ397" s="0" t="s">
        <v>228</v>
      </c>
      <c r="CA397" s="0" t="s">
        <v>228</v>
      </c>
      <c r="CB397" s="0" t="s">
        <v>228</v>
      </c>
      <c r="CC397" s="0" t="s">
        <v>228</v>
      </c>
      <c r="CD397" s="0" t="s">
        <v>228</v>
      </c>
      <c r="CE397" s="0" t="s">
        <v>228</v>
      </c>
      <c r="CF397" s="0" t="s">
        <v>228</v>
      </c>
      <c r="CG397" s="0" t="s">
        <v>228</v>
      </c>
      <c r="CH397" s="0" t="s">
        <v>228</v>
      </c>
      <c r="CI397" s="0" t="s">
        <v>228</v>
      </c>
      <c r="CJ397" s="0" t="s">
        <v>228</v>
      </c>
      <c r="CK397" s="0" t="s">
        <v>228</v>
      </c>
      <c r="CL397" s="0" t="s">
        <v>228</v>
      </c>
      <c r="CM397" s="0" t="s">
        <v>228</v>
      </c>
      <c r="CN397" s="0" t="s">
        <v>228</v>
      </c>
      <c r="CO397" s="0" t="s">
        <v>228</v>
      </c>
      <c r="CP397" s="0" t="s">
        <v>228</v>
      </c>
      <c r="CQ397" s="0" t="s">
        <v>228</v>
      </c>
      <c r="CR397" s="0" t="s">
        <v>228</v>
      </c>
      <c r="CS397" s="0" t="s">
        <v>228</v>
      </c>
      <c r="CT397" s="0" t="s">
        <v>3568</v>
      </c>
      <c r="CU397" s="0" t="s">
        <v>3569</v>
      </c>
      <c r="CV397" s="0" t="s">
        <v>418</v>
      </c>
      <c r="CW397" s="0" t="s">
        <v>3622</v>
      </c>
      <c r="CX397" s="0" t="s">
        <v>419</v>
      </c>
      <c r="CY397" s="0" t="s">
        <v>418</v>
      </c>
      <c r="CZ397" s="0" t="s">
        <v>3623</v>
      </c>
      <c r="DA397" s="0" t="s">
        <v>3624</v>
      </c>
      <c r="DB397" s="0" t="s">
        <v>3622</v>
      </c>
      <c r="DC397" s="0" t="s">
        <v>362</v>
      </c>
      <c r="DD397" s="0" t="s">
        <v>3572</v>
      </c>
      <c r="DE397" s="0" t="s">
        <v>4872</v>
      </c>
    </row>
    <row customHeight="1" ht="11.25">
      <c r="A398" s="1353" t="s">
        <v>228</v>
      </c>
      <c r="B398" s="0" t="s">
        <v>228</v>
      </c>
      <c r="C398" s="0" t="s">
        <v>228</v>
      </c>
      <c r="D398" s="0" t="s">
        <v>228</v>
      </c>
      <c r="E398" s="0" t="s">
        <v>228</v>
      </c>
      <c r="F398" s="0" t="s">
        <v>228</v>
      </c>
      <c r="G398" s="0" t="s">
        <v>228</v>
      </c>
      <c r="H398" s="0" t="s">
        <v>228</v>
      </c>
      <c r="I398" s="0" t="s">
        <v>3555</v>
      </c>
      <c r="J398" s="0" t="s">
        <v>228</v>
      </c>
      <c r="K398" s="0" t="s">
        <v>228</v>
      </c>
      <c r="L398" s="0" t="s">
        <v>228</v>
      </c>
      <c r="M398" s="0" t="s">
        <v>228</v>
      </c>
      <c r="N398" s="0" t="s">
        <v>228</v>
      </c>
      <c r="O398" s="0" t="s">
        <v>228</v>
      </c>
      <c r="P398" s="0" t="s">
        <v>228</v>
      </c>
      <c r="Q398" s="0" t="s">
        <v>228</v>
      </c>
      <c r="R398" s="0" t="s">
        <v>4951</v>
      </c>
      <c r="S398" s="0" t="s">
        <v>228</v>
      </c>
      <c r="T398" s="0" t="s">
        <v>228</v>
      </c>
      <c r="U398" s="0" t="s">
        <v>101</v>
      </c>
      <c r="V398" s="0" t="s">
        <v>228</v>
      </c>
      <c r="W398" s="0" t="s">
        <v>228</v>
      </c>
      <c r="X398" s="0" t="s">
        <v>3661</v>
      </c>
      <c r="Y398" s="0" t="s">
        <v>228</v>
      </c>
      <c r="Z398" s="0" t="s">
        <v>151</v>
      </c>
      <c r="AA398" s="0" t="s">
        <v>151</v>
      </c>
      <c r="AB398" s="0" t="s">
        <v>160</v>
      </c>
      <c r="AC398" s="0" t="s">
        <v>2317</v>
      </c>
      <c r="AD398" s="0" t="s">
        <v>2317</v>
      </c>
      <c r="AE398" s="0" t="s">
        <v>2318</v>
      </c>
      <c r="AF398" s="0" t="s">
        <v>3826</v>
      </c>
      <c r="AG398" s="0" t="s">
        <v>3827</v>
      </c>
      <c r="AH398" s="0" t="s">
        <v>3651</v>
      </c>
      <c r="AI398" s="0" t="s">
        <v>3651</v>
      </c>
      <c r="AJ398" s="0" t="s">
        <v>228</v>
      </c>
      <c r="AK398" s="0" t="s">
        <v>228</v>
      </c>
      <c r="AL398" s="0" t="s">
        <v>228</v>
      </c>
      <c r="AM398" s="0" t="s">
        <v>228</v>
      </c>
      <c r="AN398" s="0" t="s">
        <v>228</v>
      </c>
      <c r="AO398" s="0" t="s">
        <v>228</v>
      </c>
      <c r="AP398" s="0" t="s">
        <v>228</v>
      </c>
      <c r="AQ398" s="0" t="s">
        <v>228</v>
      </c>
      <c r="AR398" s="0" t="s">
        <v>228</v>
      </c>
      <c r="AS398" s="0" t="s">
        <v>228</v>
      </c>
      <c r="AT398" s="0" t="s">
        <v>228</v>
      </c>
      <c r="AU398" s="0" t="s">
        <v>228</v>
      </c>
      <c r="AV398" s="0" t="s">
        <v>228</v>
      </c>
      <c r="AW398" s="0" t="s">
        <v>228</v>
      </c>
      <c r="AX398" s="0" t="s">
        <v>228</v>
      </c>
      <c r="AY398" s="0" t="s">
        <v>228</v>
      </c>
      <c r="AZ398" s="0" t="s">
        <v>228</v>
      </c>
      <c r="BA398" s="0" t="s">
        <v>228</v>
      </c>
      <c r="BB398" s="0" t="s">
        <v>228</v>
      </c>
      <c r="BC398" s="0" t="s">
        <v>228</v>
      </c>
      <c r="BD398" s="0" t="s">
        <v>228</v>
      </c>
      <c r="BE398" s="0" t="s">
        <v>3654</v>
      </c>
      <c r="BF398" s="0" t="s">
        <v>3563</v>
      </c>
      <c r="BG398" s="0" t="s">
        <v>111</v>
      </c>
      <c r="BH398" s="0" t="s">
        <v>3665</v>
      </c>
      <c r="BI398" s="0" t="s">
        <v>122</v>
      </c>
      <c r="BJ398" s="0" t="s">
        <v>228</v>
      </c>
      <c r="BK398" s="0" t="s">
        <v>4952</v>
      </c>
      <c r="BL398" s="0" t="s">
        <v>2317</v>
      </c>
      <c r="BM398" s="0" t="s">
        <v>2317</v>
      </c>
      <c r="BN398" s="0" t="s">
        <v>3740</v>
      </c>
      <c r="BO398" s="0" t="s">
        <v>3826</v>
      </c>
      <c r="BP398" s="0" t="s">
        <v>4953</v>
      </c>
      <c r="BQ398" s="0" t="s">
        <v>3651</v>
      </c>
      <c r="BR398" s="0" t="s">
        <v>3651</v>
      </c>
      <c r="BS398" s="0" t="s">
        <v>228</v>
      </c>
      <c r="BT398" s="0" t="s">
        <v>3727</v>
      </c>
      <c r="BU398" s="0" t="s">
        <v>5076</v>
      </c>
      <c r="BV398" s="0" t="s">
        <v>5076</v>
      </c>
      <c r="BW398" s="0" t="s">
        <v>3674</v>
      </c>
      <c r="BX398" s="0" t="s">
        <v>3674</v>
      </c>
      <c r="BY398" s="0" t="s">
        <v>3674</v>
      </c>
      <c r="BZ398" s="0" t="s">
        <v>3674</v>
      </c>
      <c r="CA398" s="0" t="s">
        <v>3674</v>
      </c>
      <c r="CB398" s="0" t="s">
        <v>228</v>
      </c>
      <c r="CC398" s="0" t="s">
        <v>228</v>
      </c>
      <c r="CD398" s="0" t="s">
        <v>228</v>
      </c>
      <c r="CE398" s="0" t="s">
        <v>228</v>
      </c>
      <c r="CF398" s="0" t="s">
        <v>228</v>
      </c>
      <c r="CG398" s="0" t="s">
        <v>3674</v>
      </c>
      <c r="CH398" s="0" t="s">
        <v>228</v>
      </c>
      <c r="CI398" s="0" t="s">
        <v>228</v>
      </c>
      <c r="CJ398" s="0" t="s">
        <v>228</v>
      </c>
      <c r="CK398" s="0" t="s">
        <v>228</v>
      </c>
      <c r="CL398" s="0" t="s">
        <v>228</v>
      </c>
      <c r="CM398" s="0" t="s">
        <v>5076</v>
      </c>
      <c r="CN398" s="0" t="s">
        <v>5076</v>
      </c>
      <c r="CO398" s="0" t="s">
        <v>228</v>
      </c>
      <c r="CP398" s="0" t="s">
        <v>228</v>
      </c>
      <c r="CQ398" s="0" t="s">
        <v>228</v>
      </c>
      <c r="CR398" s="0" t="s">
        <v>228</v>
      </c>
      <c r="CS398" s="0" t="s">
        <v>3628</v>
      </c>
      <c r="CT398" s="0" t="s">
        <v>3568</v>
      </c>
      <c r="CU398" s="0" t="s">
        <v>3569</v>
      </c>
      <c r="CV398" s="0" t="s">
        <v>418</v>
      </c>
      <c r="CW398" s="0" t="s">
        <v>3622</v>
      </c>
      <c r="CX398" s="0" t="s">
        <v>419</v>
      </c>
      <c r="CY398" s="0" t="s">
        <v>418</v>
      </c>
      <c r="CZ398" s="0" t="s">
        <v>3623</v>
      </c>
      <c r="DA398" s="0" t="s">
        <v>3624</v>
      </c>
      <c r="DB398" s="0" t="s">
        <v>3622</v>
      </c>
      <c r="DC398" s="0" t="s">
        <v>362</v>
      </c>
      <c r="DD398" s="0" t="s">
        <v>3572</v>
      </c>
      <c r="DE398" s="0" t="s">
        <v>4955</v>
      </c>
    </row>
    <row customHeight="1" ht="11.25">
      <c r="A399" s="1353" t="s">
        <v>228</v>
      </c>
      <c r="B399" s="0" t="s">
        <v>228</v>
      </c>
      <c r="C399" s="0" t="s">
        <v>228</v>
      </c>
      <c r="D399" s="0" t="s">
        <v>228</v>
      </c>
      <c r="E399" s="0" t="s">
        <v>228</v>
      </c>
      <c r="F399" s="0" t="s">
        <v>228</v>
      </c>
      <c r="G399" s="0" t="s">
        <v>228</v>
      </c>
      <c r="H399" s="0" t="s">
        <v>228</v>
      </c>
      <c r="I399" s="0" t="s">
        <v>3555</v>
      </c>
      <c r="J399" s="0" t="s">
        <v>228</v>
      </c>
      <c r="K399" s="0" t="s">
        <v>228</v>
      </c>
      <c r="L399" s="0" t="s">
        <v>228</v>
      </c>
      <c r="M399" s="0" t="s">
        <v>228</v>
      </c>
      <c r="N399" s="0" t="s">
        <v>228</v>
      </c>
      <c r="O399" s="0" t="s">
        <v>228</v>
      </c>
      <c r="P399" s="0" t="s">
        <v>228</v>
      </c>
      <c r="Q399" s="0" t="s">
        <v>228</v>
      </c>
      <c r="R399" s="0" t="s">
        <v>5077</v>
      </c>
      <c r="S399" s="0" t="s">
        <v>228</v>
      </c>
      <c r="T399" s="0" t="s">
        <v>228</v>
      </c>
      <c r="U399" s="0" t="s">
        <v>101</v>
      </c>
      <c r="V399" s="0" t="s">
        <v>228</v>
      </c>
      <c r="W399" s="0" t="s">
        <v>228</v>
      </c>
      <c r="X399" s="0" t="s">
        <v>3557</v>
      </c>
      <c r="Y399" s="0" t="s">
        <v>228</v>
      </c>
      <c r="Z399" s="0" t="s">
        <v>160</v>
      </c>
      <c r="AA399" s="0" t="s">
        <v>151</v>
      </c>
      <c r="AB399" s="0" t="s">
        <v>151</v>
      </c>
      <c r="AC399" s="0" t="s">
        <v>2715</v>
      </c>
      <c r="AD399" s="0" t="s">
        <v>2715</v>
      </c>
      <c r="AE399" s="0" t="s">
        <v>2716</v>
      </c>
      <c r="AF399" s="0" t="s">
        <v>3594</v>
      </c>
      <c r="AG399" s="0" t="s">
        <v>3595</v>
      </c>
      <c r="AH399" s="0" t="s">
        <v>3731</v>
      </c>
      <c r="AI399" s="0" t="s">
        <v>3732</v>
      </c>
      <c r="AJ399" s="0" t="s">
        <v>3636</v>
      </c>
      <c r="AK399" s="0" t="s">
        <v>3733</v>
      </c>
      <c r="AL399" s="0" t="s">
        <v>3599</v>
      </c>
      <c r="AM399" s="0" t="s">
        <v>3565</v>
      </c>
      <c r="AN399" s="0" t="s">
        <v>3734</v>
      </c>
      <c r="AO399" s="0" t="s">
        <v>3735</v>
      </c>
      <c r="AP399" s="0" t="s">
        <v>228</v>
      </c>
      <c r="AQ399" s="0" t="s">
        <v>228</v>
      </c>
      <c r="AR399" s="0" t="s">
        <v>228</v>
      </c>
      <c r="AS399" s="0" t="s">
        <v>228</v>
      </c>
      <c r="AT399" s="0" t="s">
        <v>228</v>
      </c>
      <c r="AU399" s="0" t="s">
        <v>228</v>
      </c>
      <c r="AV399" s="0" t="s">
        <v>228</v>
      </c>
      <c r="AW399" s="0" t="s">
        <v>228</v>
      </c>
      <c r="AX399" s="0" t="s">
        <v>228</v>
      </c>
      <c r="AY399" s="0" t="s">
        <v>228</v>
      </c>
      <c r="AZ399" s="0" t="s">
        <v>228</v>
      </c>
      <c r="BA399" s="0" t="s">
        <v>228</v>
      </c>
      <c r="BB399" s="0" t="s">
        <v>228</v>
      </c>
      <c r="BC399" s="0" t="s">
        <v>228</v>
      </c>
      <c r="BD399" s="0" t="s">
        <v>228</v>
      </c>
      <c r="BE399" s="0" t="s">
        <v>228</v>
      </c>
      <c r="BF399" s="0" t="s">
        <v>228</v>
      </c>
      <c r="BG399" s="0" t="s">
        <v>228</v>
      </c>
      <c r="BH399" s="0" t="s">
        <v>228</v>
      </c>
      <c r="BI399" s="0" t="s">
        <v>228</v>
      </c>
      <c r="BJ399" s="0" t="s">
        <v>228</v>
      </c>
      <c r="BK399" s="0" t="s">
        <v>228</v>
      </c>
      <c r="BL399" s="0" t="s">
        <v>228</v>
      </c>
      <c r="BM399" s="0" t="s">
        <v>228</v>
      </c>
      <c r="BN399" s="0" t="s">
        <v>228</v>
      </c>
      <c r="BO399" s="0" t="s">
        <v>228</v>
      </c>
      <c r="BP399" s="0" t="s">
        <v>228</v>
      </c>
      <c r="BQ399" s="0" t="s">
        <v>228</v>
      </c>
      <c r="BR399" s="0" t="s">
        <v>228</v>
      </c>
      <c r="BS399" s="0" t="s">
        <v>228</v>
      </c>
      <c r="BT399" s="0" t="s">
        <v>228</v>
      </c>
      <c r="BU399" s="0" t="s">
        <v>228</v>
      </c>
      <c r="BV399" s="0" t="s">
        <v>228</v>
      </c>
      <c r="BW399" s="0" t="s">
        <v>228</v>
      </c>
      <c r="BX399" s="0" t="s">
        <v>228</v>
      </c>
      <c r="BY399" s="0" t="s">
        <v>228</v>
      </c>
      <c r="BZ399" s="0" t="s">
        <v>228</v>
      </c>
      <c r="CA399" s="0" t="s">
        <v>228</v>
      </c>
      <c r="CB399" s="0" t="s">
        <v>228</v>
      </c>
      <c r="CC399" s="0" t="s">
        <v>228</v>
      </c>
      <c r="CD399" s="0" t="s">
        <v>228</v>
      </c>
      <c r="CE399" s="0" t="s">
        <v>228</v>
      </c>
      <c r="CF399" s="0" t="s">
        <v>228</v>
      </c>
      <c r="CG399" s="0" t="s">
        <v>228</v>
      </c>
      <c r="CH399" s="0" t="s">
        <v>228</v>
      </c>
      <c r="CI399" s="0" t="s">
        <v>228</v>
      </c>
      <c r="CJ399" s="0" t="s">
        <v>228</v>
      </c>
      <c r="CK399" s="0" t="s">
        <v>228</v>
      </c>
      <c r="CL399" s="0" t="s">
        <v>228</v>
      </c>
      <c r="CM399" s="0" t="s">
        <v>228</v>
      </c>
      <c r="CN399" s="0" t="s">
        <v>228</v>
      </c>
      <c r="CO399" s="0" t="s">
        <v>228</v>
      </c>
      <c r="CP399" s="0" t="s">
        <v>228</v>
      </c>
      <c r="CQ399" s="0" t="s">
        <v>228</v>
      </c>
      <c r="CR399" s="0" t="s">
        <v>228</v>
      </c>
      <c r="CS399" s="0" t="s">
        <v>228</v>
      </c>
      <c r="CT399" s="0" t="s">
        <v>3568</v>
      </c>
      <c r="CU399" s="0" t="s">
        <v>3569</v>
      </c>
      <c r="CV399" s="0" t="s">
        <v>418</v>
      </c>
      <c r="CW399" s="0" t="s">
        <v>3602</v>
      </c>
      <c r="CX399" s="0" t="s">
        <v>3603</v>
      </c>
      <c r="CY399" s="0" t="s">
        <v>418</v>
      </c>
      <c r="CZ399" s="0" t="s">
        <v>504</v>
      </c>
      <c r="DA399" s="0" t="s">
        <v>3604</v>
      </c>
      <c r="DB399" s="0" t="s">
        <v>3602</v>
      </c>
      <c r="DC399" s="0" t="s">
        <v>362</v>
      </c>
      <c r="DD399" s="0" t="s">
        <v>3572</v>
      </c>
      <c r="DE399" s="0" t="s">
        <v>3736</v>
      </c>
    </row>
    <row customHeight="1" ht="11.25">
      <c r="A400" s="1353" t="s">
        <v>228</v>
      </c>
      <c r="B400" s="0" t="s">
        <v>228</v>
      </c>
      <c r="C400" s="0" t="s">
        <v>228</v>
      </c>
      <c r="D400" s="0" t="s">
        <v>228</v>
      </c>
      <c r="E400" s="0" t="s">
        <v>228</v>
      </c>
      <c r="F400" s="0" t="s">
        <v>228</v>
      </c>
      <c r="G400" s="0" t="s">
        <v>228</v>
      </c>
      <c r="H400" s="0" t="s">
        <v>228</v>
      </c>
      <c r="I400" s="0" t="s">
        <v>3555</v>
      </c>
      <c r="J400" s="0" t="s">
        <v>228</v>
      </c>
      <c r="K400" s="0" t="s">
        <v>228</v>
      </c>
      <c r="L400" s="0" t="s">
        <v>228</v>
      </c>
      <c r="M400" s="0" t="s">
        <v>228</v>
      </c>
      <c r="N400" s="0" t="s">
        <v>228</v>
      </c>
      <c r="O400" s="0" t="s">
        <v>228</v>
      </c>
      <c r="P400" s="0" t="s">
        <v>228</v>
      </c>
      <c r="Q400" s="0" t="s">
        <v>228</v>
      </c>
      <c r="R400" s="0" t="s">
        <v>3648</v>
      </c>
      <c r="S400" s="0" t="s">
        <v>228</v>
      </c>
      <c r="T400" s="0" t="s">
        <v>228</v>
      </c>
      <c r="U400" s="0" t="s">
        <v>101</v>
      </c>
      <c r="V400" s="0" t="s">
        <v>228</v>
      </c>
      <c r="W400" s="0" t="s">
        <v>228</v>
      </c>
      <c r="X400" s="0" t="s">
        <v>3557</v>
      </c>
      <c r="Y400" s="0" t="s">
        <v>228</v>
      </c>
      <c r="Z400" s="0" t="s">
        <v>160</v>
      </c>
      <c r="AA400" s="0" t="s">
        <v>151</v>
      </c>
      <c r="AB400" s="0" t="s">
        <v>151</v>
      </c>
      <c r="AC400" s="0" t="s">
        <v>2317</v>
      </c>
      <c r="AD400" s="0" t="s">
        <v>2317</v>
      </c>
      <c r="AE400" s="0" t="s">
        <v>2318</v>
      </c>
      <c r="AF400" s="0" t="s">
        <v>3745</v>
      </c>
      <c r="AG400" s="0" t="s">
        <v>3746</v>
      </c>
      <c r="AH400" s="0" t="s">
        <v>3747</v>
      </c>
      <c r="AI400" s="0" t="s">
        <v>3748</v>
      </c>
      <c r="AJ400" s="0" t="s">
        <v>3652</v>
      </c>
      <c r="AK400" s="0" t="s">
        <v>3749</v>
      </c>
      <c r="AL400" s="0" t="s">
        <v>3581</v>
      </c>
      <c r="AM400" s="0" t="s">
        <v>3565</v>
      </c>
      <c r="AN400" s="0" t="s">
        <v>3628</v>
      </c>
      <c r="AO400" s="0" t="s">
        <v>3701</v>
      </c>
      <c r="AP400" s="0" t="s">
        <v>228</v>
      </c>
      <c r="AQ400" s="0" t="s">
        <v>228</v>
      </c>
      <c r="AR400" s="0" t="s">
        <v>228</v>
      </c>
      <c r="AS400" s="0" t="s">
        <v>228</v>
      </c>
      <c r="AT400" s="0" t="s">
        <v>228</v>
      </c>
      <c r="AU400" s="0" t="s">
        <v>228</v>
      </c>
      <c r="AV400" s="0" t="s">
        <v>228</v>
      </c>
      <c r="AW400" s="0" t="s">
        <v>228</v>
      </c>
      <c r="AX400" s="0" t="s">
        <v>228</v>
      </c>
      <c r="AY400" s="0" t="s">
        <v>228</v>
      </c>
      <c r="AZ400" s="0" t="s">
        <v>228</v>
      </c>
      <c r="BA400" s="0" t="s">
        <v>228</v>
      </c>
      <c r="BB400" s="0" t="s">
        <v>228</v>
      </c>
      <c r="BC400" s="0" t="s">
        <v>228</v>
      </c>
      <c r="BD400" s="0" t="s">
        <v>228</v>
      </c>
      <c r="BE400" s="0" t="s">
        <v>228</v>
      </c>
      <c r="BF400" s="0" t="s">
        <v>228</v>
      </c>
      <c r="BG400" s="0" t="s">
        <v>228</v>
      </c>
      <c r="BH400" s="0" t="s">
        <v>228</v>
      </c>
      <c r="BI400" s="0" t="s">
        <v>228</v>
      </c>
      <c r="BJ400" s="0" t="s">
        <v>228</v>
      </c>
      <c r="BK400" s="0" t="s">
        <v>228</v>
      </c>
      <c r="BL400" s="0" t="s">
        <v>228</v>
      </c>
      <c r="BM400" s="0" t="s">
        <v>228</v>
      </c>
      <c r="BN400" s="0" t="s">
        <v>228</v>
      </c>
      <c r="BO400" s="0" t="s">
        <v>228</v>
      </c>
      <c r="BP400" s="0" t="s">
        <v>228</v>
      </c>
      <c r="BQ400" s="0" t="s">
        <v>228</v>
      </c>
      <c r="BR400" s="0" t="s">
        <v>228</v>
      </c>
      <c r="BS400" s="0" t="s">
        <v>228</v>
      </c>
      <c r="BT400" s="0" t="s">
        <v>228</v>
      </c>
      <c r="BU400" s="0" t="s">
        <v>228</v>
      </c>
      <c r="BV400" s="0" t="s">
        <v>228</v>
      </c>
      <c r="BW400" s="0" t="s">
        <v>228</v>
      </c>
      <c r="BX400" s="0" t="s">
        <v>228</v>
      </c>
      <c r="BY400" s="0" t="s">
        <v>228</v>
      </c>
      <c r="BZ400" s="0" t="s">
        <v>228</v>
      </c>
      <c r="CA400" s="0" t="s">
        <v>228</v>
      </c>
      <c r="CB400" s="0" t="s">
        <v>228</v>
      </c>
      <c r="CC400" s="0" t="s">
        <v>228</v>
      </c>
      <c r="CD400" s="0" t="s">
        <v>228</v>
      </c>
      <c r="CE400" s="0" t="s">
        <v>228</v>
      </c>
      <c r="CF400" s="0" t="s">
        <v>228</v>
      </c>
      <c r="CG400" s="0" t="s">
        <v>228</v>
      </c>
      <c r="CH400" s="0" t="s">
        <v>228</v>
      </c>
      <c r="CI400" s="0" t="s">
        <v>228</v>
      </c>
      <c r="CJ400" s="0" t="s">
        <v>228</v>
      </c>
      <c r="CK400" s="0" t="s">
        <v>228</v>
      </c>
      <c r="CL400" s="0" t="s">
        <v>228</v>
      </c>
      <c r="CM400" s="0" t="s">
        <v>228</v>
      </c>
      <c r="CN400" s="0" t="s">
        <v>228</v>
      </c>
      <c r="CO400" s="0" t="s">
        <v>228</v>
      </c>
      <c r="CP400" s="0" t="s">
        <v>228</v>
      </c>
      <c r="CQ400" s="0" t="s">
        <v>228</v>
      </c>
      <c r="CR400" s="0" t="s">
        <v>228</v>
      </c>
      <c r="CS400" s="0" t="s">
        <v>228</v>
      </c>
      <c r="CT400" s="0" t="s">
        <v>3568</v>
      </c>
      <c r="CU400" s="0" t="s">
        <v>3569</v>
      </c>
      <c r="CV400" s="0" t="s">
        <v>418</v>
      </c>
      <c r="CW400" s="0" t="s">
        <v>3622</v>
      </c>
      <c r="CX400" s="0" t="s">
        <v>419</v>
      </c>
      <c r="CY400" s="0" t="s">
        <v>418</v>
      </c>
      <c r="CZ400" s="0" t="s">
        <v>3623</v>
      </c>
      <c r="DA400" s="0" t="s">
        <v>3624</v>
      </c>
      <c r="DB400" s="0" t="s">
        <v>3622</v>
      </c>
      <c r="DC400" s="0" t="s">
        <v>362</v>
      </c>
      <c r="DD400" s="0" t="s">
        <v>3572</v>
      </c>
      <c r="DE400" s="0" t="s">
        <v>3750</v>
      </c>
    </row>
    <row customHeight="1" ht="11.25">
      <c r="A401" s="1353" t="s">
        <v>228</v>
      </c>
      <c r="B401" s="0" t="s">
        <v>228</v>
      </c>
      <c r="C401" s="0" t="s">
        <v>228</v>
      </c>
      <c r="D401" s="0" t="s">
        <v>228</v>
      </c>
      <c r="E401" s="0" t="s">
        <v>228</v>
      </c>
      <c r="F401" s="0" t="s">
        <v>228</v>
      </c>
      <c r="G401" s="0" t="s">
        <v>228</v>
      </c>
      <c r="H401" s="0" t="s">
        <v>228</v>
      </c>
      <c r="I401" s="0" t="s">
        <v>3555</v>
      </c>
      <c r="J401" s="0" t="s">
        <v>228</v>
      </c>
      <c r="K401" s="0" t="s">
        <v>228</v>
      </c>
      <c r="L401" s="0" t="s">
        <v>228</v>
      </c>
      <c r="M401" s="0" t="s">
        <v>228</v>
      </c>
      <c r="N401" s="0" t="s">
        <v>228</v>
      </c>
      <c r="O401" s="0" t="s">
        <v>228</v>
      </c>
      <c r="P401" s="0" t="s">
        <v>228</v>
      </c>
      <c r="Q401" s="0" t="s">
        <v>228</v>
      </c>
      <c r="R401" s="0" t="s">
        <v>3751</v>
      </c>
      <c r="S401" s="0" t="s">
        <v>228</v>
      </c>
      <c r="T401" s="0" t="s">
        <v>228</v>
      </c>
      <c r="U401" s="0" t="s">
        <v>101</v>
      </c>
      <c r="V401" s="0" t="s">
        <v>228</v>
      </c>
      <c r="W401" s="0" t="s">
        <v>228</v>
      </c>
      <c r="X401" s="0" t="s">
        <v>3661</v>
      </c>
      <c r="Y401" s="0" t="s">
        <v>228</v>
      </c>
      <c r="Z401" s="0" t="s">
        <v>151</v>
      </c>
      <c r="AA401" s="0" t="s">
        <v>151</v>
      </c>
      <c r="AB401" s="0" t="s">
        <v>160</v>
      </c>
      <c r="AC401" s="0" t="s">
        <v>2317</v>
      </c>
      <c r="AD401" s="0" t="s">
        <v>2317</v>
      </c>
      <c r="AE401" s="0" t="s">
        <v>2318</v>
      </c>
      <c r="AF401" s="0" t="s">
        <v>3745</v>
      </c>
      <c r="AG401" s="0" t="s">
        <v>3746</v>
      </c>
      <c r="AH401" s="0" t="s">
        <v>3651</v>
      </c>
      <c r="AI401" s="0" t="s">
        <v>3651</v>
      </c>
      <c r="AJ401" s="0" t="s">
        <v>228</v>
      </c>
      <c r="AK401" s="0" t="s">
        <v>228</v>
      </c>
      <c r="AL401" s="0" t="s">
        <v>228</v>
      </c>
      <c r="AM401" s="0" t="s">
        <v>228</v>
      </c>
      <c r="AN401" s="0" t="s">
        <v>228</v>
      </c>
      <c r="AO401" s="0" t="s">
        <v>228</v>
      </c>
      <c r="AP401" s="0" t="s">
        <v>228</v>
      </c>
      <c r="AQ401" s="0" t="s">
        <v>228</v>
      </c>
      <c r="AR401" s="0" t="s">
        <v>228</v>
      </c>
      <c r="AS401" s="0" t="s">
        <v>228</v>
      </c>
      <c r="AT401" s="0" t="s">
        <v>228</v>
      </c>
      <c r="AU401" s="0" t="s">
        <v>228</v>
      </c>
      <c r="AV401" s="0" t="s">
        <v>228</v>
      </c>
      <c r="AW401" s="0" t="s">
        <v>228</v>
      </c>
      <c r="AX401" s="0" t="s">
        <v>228</v>
      </c>
      <c r="AY401" s="0" t="s">
        <v>228</v>
      </c>
      <c r="AZ401" s="0" t="s">
        <v>228</v>
      </c>
      <c r="BA401" s="0" t="s">
        <v>228</v>
      </c>
      <c r="BB401" s="0" t="s">
        <v>228</v>
      </c>
      <c r="BC401" s="0" t="s">
        <v>228</v>
      </c>
      <c r="BD401" s="0" t="s">
        <v>228</v>
      </c>
      <c r="BE401" s="0" t="s">
        <v>3627</v>
      </c>
      <c r="BF401" s="0" t="s">
        <v>3619</v>
      </c>
      <c r="BG401" s="0" t="s">
        <v>111</v>
      </c>
      <c r="BH401" s="0" t="s">
        <v>3665</v>
      </c>
      <c r="BI401" s="0" t="s">
        <v>122</v>
      </c>
      <c r="BJ401" s="0" t="s">
        <v>228</v>
      </c>
      <c r="BK401" s="0" t="s">
        <v>3684</v>
      </c>
      <c r="BL401" s="0" t="s">
        <v>2317</v>
      </c>
      <c r="BM401" s="0" t="s">
        <v>2317</v>
      </c>
      <c r="BN401" s="0" t="s">
        <v>3740</v>
      </c>
      <c r="BO401" s="0" t="s">
        <v>3745</v>
      </c>
      <c r="BP401" s="0" t="s">
        <v>3752</v>
      </c>
      <c r="BQ401" s="0" t="s">
        <v>3651</v>
      </c>
      <c r="BR401" s="0" t="s">
        <v>3651</v>
      </c>
      <c r="BS401" s="0" t="s">
        <v>228</v>
      </c>
      <c r="BT401" s="0" t="s">
        <v>3727</v>
      </c>
      <c r="BU401" s="0" t="s">
        <v>3753</v>
      </c>
      <c r="BV401" s="0" t="s">
        <v>3753</v>
      </c>
      <c r="BW401" s="0" t="s">
        <v>3674</v>
      </c>
      <c r="BX401" s="0" t="s">
        <v>3674</v>
      </c>
      <c r="BY401" s="0" t="s">
        <v>3674</v>
      </c>
      <c r="BZ401" s="0" t="s">
        <v>3674</v>
      </c>
      <c r="CA401" s="0" t="s">
        <v>3674</v>
      </c>
      <c r="CB401" s="0" t="s">
        <v>228</v>
      </c>
      <c r="CC401" s="0" t="s">
        <v>228</v>
      </c>
      <c r="CD401" s="0" t="s">
        <v>228</v>
      </c>
      <c r="CE401" s="0" t="s">
        <v>228</v>
      </c>
      <c r="CF401" s="0" t="s">
        <v>228</v>
      </c>
      <c r="CG401" s="0" t="s">
        <v>3674</v>
      </c>
      <c r="CH401" s="0" t="s">
        <v>228</v>
      </c>
      <c r="CI401" s="0" t="s">
        <v>228</v>
      </c>
      <c r="CJ401" s="0" t="s">
        <v>228</v>
      </c>
      <c r="CK401" s="0" t="s">
        <v>228</v>
      </c>
      <c r="CL401" s="0" t="s">
        <v>228</v>
      </c>
      <c r="CM401" s="0" t="s">
        <v>3753</v>
      </c>
      <c r="CN401" s="0" t="s">
        <v>3753</v>
      </c>
      <c r="CO401" s="0" t="s">
        <v>228</v>
      </c>
      <c r="CP401" s="0" t="s">
        <v>228</v>
      </c>
      <c r="CQ401" s="0" t="s">
        <v>228</v>
      </c>
      <c r="CR401" s="0" t="s">
        <v>228</v>
      </c>
      <c r="CS401" s="0" t="s">
        <v>3743</v>
      </c>
      <c r="CT401" s="0" t="s">
        <v>3568</v>
      </c>
      <c r="CU401" s="0" t="s">
        <v>3569</v>
      </c>
      <c r="CV401" s="0" t="s">
        <v>418</v>
      </c>
      <c r="CW401" s="0" t="s">
        <v>3622</v>
      </c>
      <c r="CX401" s="0" t="s">
        <v>419</v>
      </c>
      <c r="CY401" s="0" t="s">
        <v>418</v>
      </c>
      <c r="CZ401" s="0" t="s">
        <v>3623</v>
      </c>
      <c r="DA401" s="0" t="s">
        <v>3624</v>
      </c>
      <c r="DB401" s="0" t="s">
        <v>3622</v>
      </c>
      <c r="DC401" s="0" t="s">
        <v>362</v>
      </c>
      <c r="DD401" s="0" t="s">
        <v>3572</v>
      </c>
      <c r="DE401" s="0" t="s">
        <v>3754</v>
      </c>
    </row>
    <row customHeight="1" ht="11.25">
      <c r="A402" s="1353" t="s">
        <v>228</v>
      </c>
      <c r="B402" s="0" t="s">
        <v>228</v>
      </c>
      <c r="C402" s="0" t="s">
        <v>228</v>
      </c>
      <c r="D402" s="0" t="s">
        <v>228</v>
      </c>
      <c r="E402" s="0" t="s">
        <v>228</v>
      </c>
      <c r="F402" s="0" t="s">
        <v>228</v>
      </c>
      <c r="G402" s="0" t="s">
        <v>228</v>
      </c>
      <c r="H402" s="0" t="s">
        <v>228</v>
      </c>
      <c r="I402" s="0" t="s">
        <v>3555</v>
      </c>
      <c r="J402" s="0" t="s">
        <v>228</v>
      </c>
      <c r="K402" s="0" t="s">
        <v>228</v>
      </c>
      <c r="L402" s="0" t="s">
        <v>228</v>
      </c>
      <c r="M402" s="0" t="s">
        <v>228</v>
      </c>
      <c r="N402" s="0" t="s">
        <v>228</v>
      </c>
      <c r="O402" s="0" t="s">
        <v>228</v>
      </c>
      <c r="P402" s="0" t="s">
        <v>228</v>
      </c>
      <c r="Q402" s="0" t="s">
        <v>228</v>
      </c>
      <c r="R402" s="0" t="s">
        <v>3648</v>
      </c>
      <c r="S402" s="0" t="s">
        <v>228</v>
      </c>
      <c r="T402" s="0" t="s">
        <v>228</v>
      </c>
      <c r="U402" s="0" t="s">
        <v>101</v>
      </c>
      <c r="V402" s="0" t="s">
        <v>228</v>
      </c>
      <c r="W402" s="0" t="s">
        <v>228</v>
      </c>
      <c r="X402" s="0" t="s">
        <v>3557</v>
      </c>
      <c r="Y402" s="0" t="s">
        <v>228</v>
      </c>
      <c r="Z402" s="0" t="s">
        <v>160</v>
      </c>
      <c r="AA402" s="0" t="s">
        <v>151</v>
      </c>
      <c r="AB402" s="0" t="s">
        <v>151</v>
      </c>
      <c r="AC402" s="0" t="s">
        <v>2317</v>
      </c>
      <c r="AD402" s="0" t="s">
        <v>2317</v>
      </c>
      <c r="AE402" s="0" t="s">
        <v>2318</v>
      </c>
      <c r="AF402" s="0" t="s">
        <v>3759</v>
      </c>
      <c r="AG402" s="0" t="s">
        <v>3760</v>
      </c>
      <c r="AH402" s="0" t="s">
        <v>3761</v>
      </c>
      <c r="AI402" s="0" t="s">
        <v>1688</v>
      </c>
      <c r="AJ402" s="0" t="s">
        <v>3627</v>
      </c>
      <c r="AK402" s="0" t="s">
        <v>3619</v>
      </c>
      <c r="AL402" s="0" t="s">
        <v>3581</v>
      </c>
      <c r="AM402" s="0" t="s">
        <v>3565</v>
      </c>
      <c r="AN402" s="0" t="s">
        <v>3628</v>
      </c>
      <c r="AO402" s="0" t="s">
        <v>3701</v>
      </c>
      <c r="AP402" s="0" t="s">
        <v>228</v>
      </c>
      <c r="AQ402" s="0" t="s">
        <v>228</v>
      </c>
      <c r="AR402" s="0" t="s">
        <v>228</v>
      </c>
      <c r="AS402" s="0" t="s">
        <v>228</v>
      </c>
      <c r="AT402" s="0" t="s">
        <v>228</v>
      </c>
      <c r="AU402" s="0" t="s">
        <v>228</v>
      </c>
      <c r="AV402" s="0" t="s">
        <v>228</v>
      </c>
      <c r="AW402" s="0" t="s">
        <v>228</v>
      </c>
      <c r="AX402" s="0" t="s">
        <v>228</v>
      </c>
      <c r="AY402" s="0" t="s">
        <v>228</v>
      </c>
      <c r="AZ402" s="0" t="s">
        <v>228</v>
      </c>
      <c r="BA402" s="0" t="s">
        <v>228</v>
      </c>
      <c r="BB402" s="0" t="s">
        <v>228</v>
      </c>
      <c r="BC402" s="0" t="s">
        <v>228</v>
      </c>
      <c r="BD402" s="0" t="s">
        <v>228</v>
      </c>
      <c r="BE402" s="0" t="s">
        <v>228</v>
      </c>
      <c r="BF402" s="0" t="s">
        <v>228</v>
      </c>
      <c r="BG402" s="0" t="s">
        <v>228</v>
      </c>
      <c r="BH402" s="0" t="s">
        <v>228</v>
      </c>
      <c r="BI402" s="0" t="s">
        <v>228</v>
      </c>
      <c r="BJ402" s="0" t="s">
        <v>228</v>
      </c>
      <c r="BK402" s="0" t="s">
        <v>228</v>
      </c>
      <c r="BL402" s="0" t="s">
        <v>228</v>
      </c>
      <c r="BM402" s="0" t="s">
        <v>228</v>
      </c>
      <c r="BN402" s="0" t="s">
        <v>228</v>
      </c>
      <c r="BO402" s="0" t="s">
        <v>228</v>
      </c>
      <c r="BP402" s="0" t="s">
        <v>228</v>
      </c>
      <c r="BQ402" s="0" t="s">
        <v>228</v>
      </c>
      <c r="BR402" s="0" t="s">
        <v>228</v>
      </c>
      <c r="BS402" s="0" t="s">
        <v>228</v>
      </c>
      <c r="BT402" s="0" t="s">
        <v>228</v>
      </c>
      <c r="BU402" s="0" t="s">
        <v>228</v>
      </c>
      <c r="BV402" s="0" t="s">
        <v>228</v>
      </c>
      <c r="BW402" s="0" t="s">
        <v>228</v>
      </c>
      <c r="BX402" s="0" t="s">
        <v>228</v>
      </c>
      <c r="BY402" s="0" t="s">
        <v>228</v>
      </c>
      <c r="BZ402" s="0" t="s">
        <v>228</v>
      </c>
      <c r="CA402" s="0" t="s">
        <v>228</v>
      </c>
      <c r="CB402" s="0" t="s">
        <v>228</v>
      </c>
      <c r="CC402" s="0" t="s">
        <v>228</v>
      </c>
      <c r="CD402" s="0" t="s">
        <v>228</v>
      </c>
      <c r="CE402" s="0" t="s">
        <v>228</v>
      </c>
      <c r="CF402" s="0" t="s">
        <v>228</v>
      </c>
      <c r="CG402" s="0" t="s">
        <v>228</v>
      </c>
      <c r="CH402" s="0" t="s">
        <v>228</v>
      </c>
      <c r="CI402" s="0" t="s">
        <v>228</v>
      </c>
      <c r="CJ402" s="0" t="s">
        <v>228</v>
      </c>
      <c r="CK402" s="0" t="s">
        <v>228</v>
      </c>
      <c r="CL402" s="0" t="s">
        <v>228</v>
      </c>
      <c r="CM402" s="0" t="s">
        <v>228</v>
      </c>
      <c r="CN402" s="0" t="s">
        <v>228</v>
      </c>
      <c r="CO402" s="0" t="s">
        <v>228</v>
      </c>
      <c r="CP402" s="0" t="s">
        <v>228</v>
      </c>
      <c r="CQ402" s="0" t="s">
        <v>228</v>
      </c>
      <c r="CR402" s="0" t="s">
        <v>228</v>
      </c>
      <c r="CS402" s="0" t="s">
        <v>228</v>
      </c>
      <c r="CT402" s="0" t="s">
        <v>3568</v>
      </c>
      <c r="CU402" s="0" t="s">
        <v>3569</v>
      </c>
      <c r="CV402" s="0" t="s">
        <v>418</v>
      </c>
      <c r="CW402" s="0" t="s">
        <v>3622</v>
      </c>
      <c r="CX402" s="0" t="s">
        <v>419</v>
      </c>
      <c r="CY402" s="0" t="s">
        <v>418</v>
      </c>
      <c r="CZ402" s="0" t="s">
        <v>3623</v>
      </c>
      <c r="DA402" s="0" t="s">
        <v>3624</v>
      </c>
      <c r="DB402" s="0" t="s">
        <v>3622</v>
      </c>
      <c r="DC402" s="0" t="s">
        <v>362</v>
      </c>
      <c r="DD402" s="0" t="s">
        <v>3572</v>
      </c>
      <c r="DE402" s="0" t="s">
        <v>3762</v>
      </c>
    </row>
    <row customHeight="1" ht="11.25">
      <c r="A403" s="1353" t="s">
        <v>228</v>
      </c>
      <c r="B403" s="0" t="s">
        <v>228</v>
      </c>
      <c r="C403" s="0" t="s">
        <v>228</v>
      </c>
      <c r="D403" s="0" t="s">
        <v>228</v>
      </c>
      <c r="E403" s="0" t="s">
        <v>228</v>
      </c>
      <c r="F403" s="0" t="s">
        <v>228</v>
      </c>
      <c r="G403" s="0" t="s">
        <v>228</v>
      </c>
      <c r="H403" s="0" t="s">
        <v>228</v>
      </c>
      <c r="I403" s="0" t="s">
        <v>3555</v>
      </c>
      <c r="J403" s="0" t="s">
        <v>228</v>
      </c>
      <c r="K403" s="0" t="s">
        <v>228</v>
      </c>
      <c r="L403" s="0" t="s">
        <v>228</v>
      </c>
      <c r="M403" s="0" t="s">
        <v>228</v>
      </c>
      <c r="N403" s="0" t="s">
        <v>228</v>
      </c>
      <c r="O403" s="0" t="s">
        <v>228</v>
      </c>
      <c r="P403" s="0" t="s">
        <v>228</v>
      </c>
      <c r="Q403" s="0" t="s">
        <v>228</v>
      </c>
      <c r="R403" s="0" t="s">
        <v>3648</v>
      </c>
      <c r="S403" s="0" t="s">
        <v>228</v>
      </c>
      <c r="T403" s="0" t="s">
        <v>228</v>
      </c>
      <c r="U403" s="0" t="s">
        <v>101</v>
      </c>
      <c r="V403" s="0" t="s">
        <v>228</v>
      </c>
      <c r="W403" s="0" t="s">
        <v>228</v>
      </c>
      <c r="X403" s="0" t="s">
        <v>3557</v>
      </c>
      <c r="Y403" s="0" t="s">
        <v>228</v>
      </c>
      <c r="Z403" s="0" t="s">
        <v>160</v>
      </c>
      <c r="AA403" s="0" t="s">
        <v>151</v>
      </c>
      <c r="AB403" s="0" t="s">
        <v>151</v>
      </c>
      <c r="AC403" s="0" t="s">
        <v>2317</v>
      </c>
      <c r="AD403" s="0" t="s">
        <v>2317</v>
      </c>
      <c r="AE403" s="0" t="s">
        <v>2318</v>
      </c>
      <c r="AF403" s="0" t="s">
        <v>3763</v>
      </c>
      <c r="AG403" s="0" t="s">
        <v>3764</v>
      </c>
      <c r="AH403" s="0" t="s">
        <v>3765</v>
      </c>
      <c r="AI403" s="0" t="s">
        <v>3688</v>
      </c>
      <c r="AJ403" s="0" t="s">
        <v>3627</v>
      </c>
      <c r="AK403" s="0" t="s">
        <v>3619</v>
      </c>
      <c r="AL403" s="0" t="s">
        <v>3581</v>
      </c>
      <c r="AM403" s="0" t="s">
        <v>3565</v>
      </c>
      <c r="AN403" s="0" t="s">
        <v>3620</v>
      </c>
      <c r="AO403" s="0" t="s">
        <v>3757</v>
      </c>
      <c r="AP403" s="0" t="s">
        <v>228</v>
      </c>
      <c r="AQ403" s="0" t="s">
        <v>228</v>
      </c>
      <c r="AR403" s="0" t="s">
        <v>228</v>
      </c>
      <c r="AS403" s="0" t="s">
        <v>228</v>
      </c>
      <c r="AT403" s="0" t="s">
        <v>228</v>
      </c>
      <c r="AU403" s="0" t="s">
        <v>228</v>
      </c>
      <c r="AV403" s="0" t="s">
        <v>228</v>
      </c>
      <c r="AW403" s="0" t="s">
        <v>228</v>
      </c>
      <c r="AX403" s="0" t="s">
        <v>228</v>
      </c>
      <c r="AY403" s="0" t="s">
        <v>228</v>
      </c>
      <c r="AZ403" s="0" t="s">
        <v>228</v>
      </c>
      <c r="BA403" s="0" t="s">
        <v>228</v>
      </c>
      <c r="BB403" s="0" t="s">
        <v>228</v>
      </c>
      <c r="BC403" s="0" t="s">
        <v>228</v>
      </c>
      <c r="BD403" s="0" t="s">
        <v>228</v>
      </c>
      <c r="BE403" s="0" t="s">
        <v>228</v>
      </c>
      <c r="BF403" s="0" t="s">
        <v>228</v>
      </c>
      <c r="BG403" s="0" t="s">
        <v>228</v>
      </c>
      <c r="BH403" s="0" t="s">
        <v>228</v>
      </c>
      <c r="BI403" s="0" t="s">
        <v>228</v>
      </c>
      <c r="BJ403" s="0" t="s">
        <v>228</v>
      </c>
      <c r="BK403" s="0" t="s">
        <v>228</v>
      </c>
      <c r="BL403" s="0" t="s">
        <v>228</v>
      </c>
      <c r="BM403" s="0" t="s">
        <v>228</v>
      </c>
      <c r="BN403" s="0" t="s">
        <v>228</v>
      </c>
      <c r="BO403" s="0" t="s">
        <v>228</v>
      </c>
      <c r="BP403" s="0" t="s">
        <v>228</v>
      </c>
      <c r="BQ403" s="0" t="s">
        <v>228</v>
      </c>
      <c r="BR403" s="0" t="s">
        <v>228</v>
      </c>
      <c r="BS403" s="0" t="s">
        <v>228</v>
      </c>
      <c r="BT403" s="0" t="s">
        <v>228</v>
      </c>
      <c r="BU403" s="0" t="s">
        <v>228</v>
      </c>
      <c r="BV403" s="0" t="s">
        <v>228</v>
      </c>
      <c r="BW403" s="0" t="s">
        <v>228</v>
      </c>
      <c r="BX403" s="0" t="s">
        <v>228</v>
      </c>
      <c r="BY403" s="0" t="s">
        <v>228</v>
      </c>
      <c r="BZ403" s="0" t="s">
        <v>228</v>
      </c>
      <c r="CA403" s="0" t="s">
        <v>228</v>
      </c>
      <c r="CB403" s="0" t="s">
        <v>228</v>
      </c>
      <c r="CC403" s="0" t="s">
        <v>228</v>
      </c>
      <c r="CD403" s="0" t="s">
        <v>228</v>
      </c>
      <c r="CE403" s="0" t="s">
        <v>228</v>
      </c>
      <c r="CF403" s="0" t="s">
        <v>228</v>
      </c>
      <c r="CG403" s="0" t="s">
        <v>228</v>
      </c>
      <c r="CH403" s="0" t="s">
        <v>228</v>
      </c>
      <c r="CI403" s="0" t="s">
        <v>228</v>
      </c>
      <c r="CJ403" s="0" t="s">
        <v>228</v>
      </c>
      <c r="CK403" s="0" t="s">
        <v>228</v>
      </c>
      <c r="CL403" s="0" t="s">
        <v>228</v>
      </c>
      <c r="CM403" s="0" t="s">
        <v>228</v>
      </c>
      <c r="CN403" s="0" t="s">
        <v>228</v>
      </c>
      <c r="CO403" s="0" t="s">
        <v>228</v>
      </c>
      <c r="CP403" s="0" t="s">
        <v>228</v>
      </c>
      <c r="CQ403" s="0" t="s">
        <v>228</v>
      </c>
      <c r="CR403" s="0" t="s">
        <v>228</v>
      </c>
      <c r="CS403" s="0" t="s">
        <v>228</v>
      </c>
      <c r="CT403" s="0" t="s">
        <v>3568</v>
      </c>
      <c r="CU403" s="0" t="s">
        <v>3569</v>
      </c>
      <c r="CV403" s="0" t="s">
        <v>418</v>
      </c>
      <c r="CW403" s="0" t="s">
        <v>3622</v>
      </c>
      <c r="CX403" s="0" t="s">
        <v>419</v>
      </c>
      <c r="CY403" s="0" t="s">
        <v>418</v>
      </c>
      <c r="CZ403" s="0" t="s">
        <v>3623</v>
      </c>
      <c r="DA403" s="0" t="s">
        <v>3624</v>
      </c>
      <c r="DB403" s="0" t="s">
        <v>3622</v>
      </c>
      <c r="DC403" s="0" t="s">
        <v>362</v>
      </c>
      <c r="DD403" s="0" t="s">
        <v>3572</v>
      </c>
      <c r="DE403" s="0" t="s">
        <v>3766</v>
      </c>
    </row>
    <row customHeight="1" ht="11.25">
      <c r="A404" s="1353" t="s">
        <v>228</v>
      </c>
      <c r="B404" s="0" t="s">
        <v>228</v>
      </c>
      <c r="C404" s="0" t="s">
        <v>228</v>
      </c>
      <c r="D404" s="0" t="s">
        <v>228</v>
      </c>
      <c r="E404" s="0" t="s">
        <v>228</v>
      </c>
      <c r="F404" s="0" t="s">
        <v>228</v>
      </c>
      <c r="G404" s="0" t="s">
        <v>228</v>
      </c>
      <c r="H404" s="0" t="s">
        <v>228</v>
      </c>
      <c r="I404" s="0" t="s">
        <v>3555</v>
      </c>
      <c r="J404" s="0" t="s">
        <v>228</v>
      </c>
      <c r="K404" s="0" t="s">
        <v>228</v>
      </c>
      <c r="L404" s="0" t="s">
        <v>228</v>
      </c>
      <c r="M404" s="0" t="s">
        <v>228</v>
      </c>
      <c r="N404" s="0" t="s">
        <v>228</v>
      </c>
      <c r="O404" s="0" t="s">
        <v>228</v>
      </c>
      <c r="P404" s="0" t="s">
        <v>228</v>
      </c>
      <c r="Q404" s="0" t="s">
        <v>228</v>
      </c>
      <c r="R404" s="0" t="s">
        <v>3767</v>
      </c>
      <c r="S404" s="0" t="s">
        <v>228</v>
      </c>
      <c r="T404" s="0" t="s">
        <v>228</v>
      </c>
      <c r="U404" s="0" t="s">
        <v>101</v>
      </c>
      <c r="V404" s="0" t="s">
        <v>228</v>
      </c>
      <c r="W404" s="0" t="s">
        <v>228</v>
      </c>
      <c r="X404" s="0" t="s">
        <v>3557</v>
      </c>
      <c r="Y404" s="0" t="s">
        <v>228</v>
      </c>
      <c r="Z404" s="0" t="s">
        <v>160</v>
      </c>
      <c r="AA404" s="0" t="s">
        <v>151</v>
      </c>
      <c r="AB404" s="0" t="s">
        <v>151</v>
      </c>
      <c r="AC404" s="0" t="s">
        <v>2317</v>
      </c>
      <c r="AD404" s="0" t="s">
        <v>2317</v>
      </c>
      <c r="AE404" s="0" t="s">
        <v>2318</v>
      </c>
      <c r="AF404" s="0" t="s">
        <v>3768</v>
      </c>
      <c r="AG404" s="0" t="s">
        <v>3769</v>
      </c>
      <c r="AH404" s="0" t="s">
        <v>3770</v>
      </c>
      <c r="AI404" s="0" t="s">
        <v>3771</v>
      </c>
      <c r="AJ404" s="0" t="s">
        <v>3579</v>
      </c>
      <c r="AK404" s="0" t="s">
        <v>3619</v>
      </c>
      <c r="AL404" s="0" t="s">
        <v>3581</v>
      </c>
      <c r="AM404" s="0" t="s">
        <v>3565</v>
      </c>
      <c r="AN404" s="0" t="s">
        <v>3620</v>
      </c>
      <c r="AO404" s="0" t="s">
        <v>3772</v>
      </c>
      <c r="AP404" s="0" t="s">
        <v>228</v>
      </c>
      <c r="AQ404" s="0" t="s">
        <v>228</v>
      </c>
      <c r="AR404" s="0" t="s">
        <v>228</v>
      </c>
      <c r="AS404" s="0" t="s">
        <v>228</v>
      </c>
      <c r="AT404" s="0" t="s">
        <v>228</v>
      </c>
      <c r="AU404" s="0" t="s">
        <v>228</v>
      </c>
      <c r="AV404" s="0" t="s">
        <v>228</v>
      </c>
      <c r="AW404" s="0" t="s">
        <v>228</v>
      </c>
      <c r="AX404" s="0" t="s">
        <v>228</v>
      </c>
      <c r="AY404" s="0" t="s">
        <v>228</v>
      </c>
      <c r="AZ404" s="0" t="s">
        <v>228</v>
      </c>
      <c r="BA404" s="0" t="s">
        <v>228</v>
      </c>
      <c r="BB404" s="0" t="s">
        <v>228</v>
      </c>
      <c r="BC404" s="0" t="s">
        <v>228</v>
      </c>
      <c r="BD404" s="0" t="s">
        <v>228</v>
      </c>
      <c r="BE404" s="0" t="s">
        <v>228</v>
      </c>
      <c r="BF404" s="0" t="s">
        <v>228</v>
      </c>
      <c r="BG404" s="0" t="s">
        <v>228</v>
      </c>
      <c r="BH404" s="0" t="s">
        <v>228</v>
      </c>
      <c r="BI404" s="0" t="s">
        <v>228</v>
      </c>
      <c r="BJ404" s="0" t="s">
        <v>228</v>
      </c>
      <c r="BK404" s="0" t="s">
        <v>228</v>
      </c>
      <c r="BL404" s="0" t="s">
        <v>228</v>
      </c>
      <c r="BM404" s="0" t="s">
        <v>228</v>
      </c>
      <c r="BN404" s="0" t="s">
        <v>228</v>
      </c>
      <c r="BO404" s="0" t="s">
        <v>228</v>
      </c>
      <c r="BP404" s="0" t="s">
        <v>228</v>
      </c>
      <c r="BQ404" s="0" t="s">
        <v>228</v>
      </c>
      <c r="BR404" s="0" t="s">
        <v>228</v>
      </c>
      <c r="BS404" s="0" t="s">
        <v>228</v>
      </c>
      <c r="BT404" s="0" t="s">
        <v>228</v>
      </c>
      <c r="BU404" s="0" t="s">
        <v>228</v>
      </c>
      <c r="BV404" s="0" t="s">
        <v>228</v>
      </c>
      <c r="BW404" s="0" t="s">
        <v>228</v>
      </c>
      <c r="BX404" s="0" t="s">
        <v>228</v>
      </c>
      <c r="BY404" s="0" t="s">
        <v>228</v>
      </c>
      <c r="BZ404" s="0" t="s">
        <v>228</v>
      </c>
      <c r="CA404" s="0" t="s">
        <v>228</v>
      </c>
      <c r="CB404" s="0" t="s">
        <v>228</v>
      </c>
      <c r="CC404" s="0" t="s">
        <v>228</v>
      </c>
      <c r="CD404" s="0" t="s">
        <v>228</v>
      </c>
      <c r="CE404" s="0" t="s">
        <v>228</v>
      </c>
      <c r="CF404" s="0" t="s">
        <v>228</v>
      </c>
      <c r="CG404" s="0" t="s">
        <v>228</v>
      </c>
      <c r="CH404" s="0" t="s">
        <v>228</v>
      </c>
      <c r="CI404" s="0" t="s">
        <v>228</v>
      </c>
      <c r="CJ404" s="0" t="s">
        <v>228</v>
      </c>
      <c r="CK404" s="0" t="s">
        <v>228</v>
      </c>
      <c r="CL404" s="0" t="s">
        <v>228</v>
      </c>
      <c r="CM404" s="0" t="s">
        <v>228</v>
      </c>
      <c r="CN404" s="0" t="s">
        <v>228</v>
      </c>
      <c r="CO404" s="0" t="s">
        <v>228</v>
      </c>
      <c r="CP404" s="0" t="s">
        <v>228</v>
      </c>
      <c r="CQ404" s="0" t="s">
        <v>228</v>
      </c>
      <c r="CR404" s="0" t="s">
        <v>228</v>
      </c>
      <c r="CS404" s="0" t="s">
        <v>228</v>
      </c>
      <c r="CT404" s="0" t="s">
        <v>3568</v>
      </c>
      <c r="CU404" s="0" t="s">
        <v>3569</v>
      </c>
      <c r="CV404" s="0" t="s">
        <v>418</v>
      </c>
      <c r="CW404" s="0" t="s">
        <v>3622</v>
      </c>
      <c r="CX404" s="0" t="s">
        <v>419</v>
      </c>
      <c r="CY404" s="0" t="s">
        <v>418</v>
      </c>
      <c r="CZ404" s="0" t="s">
        <v>3623</v>
      </c>
      <c r="DA404" s="0" t="s">
        <v>3624</v>
      </c>
      <c r="DB404" s="0" t="s">
        <v>3622</v>
      </c>
      <c r="DC404" s="0" t="s">
        <v>362</v>
      </c>
      <c r="DD404" s="0" t="s">
        <v>3572</v>
      </c>
      <c r="DE404" s="0" t="s">
        <v>3773</v>
      </c>
    </row>
    <row customHeight="1" ht="11.25">
      <c r="A405" s="1353" t="s">
        <v>228</v>
      </c>
      <c r="B405" s="0" t="s">
        <v>228</v>
      </c>
      <c r="C405" s="0" t="s">
        <v>228</v>
      </c>
      <c r="D405" s="0" t="s">
        <v>228</v>
      </c>
      <c r="E405" s="0" t="s">
        <v>228</v>
      </c>
      <c r="F405" s="0" t="s">
        <v>228</v>
      </c>
      <c r="G405" s="0" t="s">
        <v>228</v>
      </c>
      <c r="H405" s="0" t="s">
        <v>228</v>
      </c>
      <c r="I405" s="0" t="s">
        <v>3555</v>
      </c>
      <c r="J405" s="0" t="s">
        <v>228</v>
      </c>
      <c r="K405" s="0" t="s">
        <v>228</v>
      </c>
      <c r="L405" s="0" t="s">
        <v>228</v>
      </c>
      <c r="M405" s="0" t="s">
        <v>228</v>
      </c>
      <c r="N405" s="0" t="s">
        <v>228</v>
      </c>
      <c r="O405" s="0" t="s">
        <v>228</v>
      </c>
      <c r="P405" s="0" t="s">
        <v>228</v>
      </c>
      <c r="Q405" s="0" t="s">
        <v>228</v>
      </c>
      <c r="R405" s="0" t="s">
        <v>3648</v>
      </c>
      <c r="S405" s="0" t="s">
        <v>228</v>
      </c>
      <c r="T405" s="0" t="s">
        <v>228</v>
      </c>
      <c r="U405" s="0" t="s">
        <v>101</v>
      </c>
      <c r="V405" s="0" t="s">
        <v>228</v>
      </c>
      <c r="W405" s="0" t="s">
        <v>228</v>
      </c>
      <c r="X405" s="0" t="s">
        <v>3557</v>
      </c>
      <c r="Y405" s="0" t="s">
        <v>228</v>
      </c>
      <c r="Z405" s="0" t="s">
        <v>160</v>
      </c>
      <c r="AA405" s="0" t="s">
        <v>151</v>
      </c>
      <c r="AB405" s="0" t="s">
        <v>151</v>
      </c>
      <c r="AC405" s="0" t="s">
        <v>2315</v>
      </c>
      <c r="AD405" s="0" t="s">
        <v>2315</v>
      </c>
      <c r="AE405" s="0" t="s">
        <v>2316</v>
      </c>
      <c r="AF405" s="0" t="s">
        <v>4587</v>
      </c>
      <c r="AG405" s="0" t="s">
        <v>4588</v>
      </c>
      <c r="AH405" s="0" t="s">
        <v>4064</v>
      </c>
      <c r="AI405" s="0" t="s">
        <v>3651</v>
      </c>
      <c r="AJ405" s="0" t="s">
        <v>3652</v>
      </c>
      <c r="AK405" s="0" t="s">
        <v>3891</v>
      </c>
      <c r="AL405" s="0" t="s">
        <v>3581</v>
      </c>
      <c r="AM405" s="0" t="s">
        <v>3565</v>
      </c>
      <c r="AN405" s="0" t="s">
        <v>3654</v>
      </c>
      <c r="AO405" s="0" t="s">
        <v>3701</v>
      </c>
      <c r="AP405" s="0" t="s">
        <v>228</v>
      </c>
      <c r="AQ405" s="0" t="s">
        <v>228</v>
      </c>
      <c r="AR405" s="0" t="s">
        <v>228</v>
      </c>
      <c r="AS405" s="0" t="s">
        <v>228</v>
      </c>
      <c r="AT405" s="0" t="s">
        <v>228</v>
      </c>
      <c r="AU405" s="0" t="s">
        <v>228</v>
      </c>
      <c r="AV405" s="0" t="s">
        <v>228</v>
      </c>
      <c r="AW405" s="0" t="s">
        <v>228</v>
      </c>
      <c r="AX405" s="0" t="s">
        <v>228</v>
      </c>
      <c r="AY405" s="0" t="s">
        <v>228</v>
      </c>
      <c r="AZ405" s="0" t="s">
        <v>228</v>
      </c>
      <c r="BA405" s="0" t="s">
        <v>228</v>
      </c>
      <c r="BB405" s="0" t="s">
        <v>228</v>
      </c>
      <c r="BC405" s="0" t="s">
        <v>228</v>
      </c>
      <c r="BD405" s="0" t="s">
        <v>228</v>
      </c>
      <c r="BE405" s="0" t="s">
        <v>228</v>
      </c>
      <c r="BF405" s="0" t="s">
        <v>228</v>
      </c>
      <c r="BG405" s="0" t="s">
        <v>228</v>
      </c>
      <c r="BH405" s="0" t="s">
        <v>228</v>
      </c>
      <c r="BI405" s="0" t="s">
        <v>228</v>
      </c>
      <c r="BJ405" s="0" t="s">
        <v>228</v>
      </c>
      <c r="BK405" s="0" t="s">
        <v>228</v>
      </c>
      <c r="BL405" s="0" t="s">
        <v>228</v>
      </c>
      <c r="BM405" s="0" t="s">
        <v>228</v>
      </c>
      <c r="BN405" s="0" t="s">
        <v>228</v>
      </c>
      <c r="BO405" s="0" t="s">
        <v>228</v>
      </c>
      <c r="BP405" s="0" t="s">
        <v>228</v>
      </c>
      <c r="BQ405" s="0" t="s">
        <v>228</v>
      </c>
      <c r="BR405" s="0" t="s">
        <v>228</v>
      </c>
      <c r="BS405" s="0" t="s">
        <v>228</v>
      </c>
      <c r="BT405" s="0" t="s">
        <v>228</v>
      </c>
      <c r="BU405" s="0" t="s">
        <v>228</v>
      </c>
      <c r="BV405" s="0" t="s">
        <v>228</v>
      </c>
      <c r="BW405" s="0" t="s">
        <v>228</v>
      </c>
      <c r="BX405" s="0" t="s">
        <v>228</v>
      </c>
      <c r="BY405" s="0" t="s">
        <v>228</v>
      </c>
      <c r="BZ405" s="0" t="s">
        <v>228</v>
      </c>
      <c r="CA405" s="0" t="s">
        <v>228</v>
      </c>
      <c r="CB405" s="0" t="s">
        <v>228</v>
      </c>
      <c r="CC405" s="0" t="s">
        <v>228</v>
      </c>
      <c r="CD405" s="0" t="s">
        <v>228</v>
      </c>
      <c r="CE405" s="0" t="s">
        <v>228</v>
      </c>
      <c r="CF405" s="0" t="s">
        <v>228</v>
      </c>
      <c r="CG405" s="0" t="s">
        <v>228</v>
      </c>
      <c r="CH405" s="0" t="s">
        <v>228</v>
      </c>
      <c r="CI405" s="0" t="s">
        <v>228</v>
      </c>
      <c r="CJ405" s="0" t="s">
        <v>228</v>
      </c>
      <c r="CK405" s="0" t="s">
        <v>228</v>
      </c>
      <c r="CL405" s="0" t="s">
        <v>228</v>
      </c>
      <c r="CM405" s="0" t="s">
        <v>228</v>
      </c>
      <c r="CN405" s="0" t="s">
        <v>228</v>
      </c>
      <c r="CO405" s="0" t="s">
        <v>228</v>
      </c>
      <c r="CP405" s="0" t="s">
        <v>228</v>
      </c>
      <c r="CQ405" s="0" t="s">
        <v>228</v>
      </c>
      <c r="CR405" s="0" t="s">
        <v>228</v>
      </c>
      <c r="CS405" s="0" t="s">
        <v>228</v>
      </c>
      <c r="CT405" s="0" t="s">
        <v>3568</v>
      </c>
      <c r="CU405" s="0" t="s">
        <v>3569</v>
      </c>
      <c r="CV405" s="0" t="s">
        <v>418</v>
      </c>
      <c r="CW405" s="0" t="s">
        <v>3656</v>
      </c>
      <c r="CX405" s="0" t="s">
        <v>419</v>
      </c>
      <c r="CY405" s="0" t="s">
        <v>418</v>
      </c>
      <c r="CZ405" s="0" t="s">
        <v>3657</v>
      </c>
      <c r="DA405" s="0" t="s">
        <v>3658</v>
      </c>
      <c r="DB405" s="0" t="s">
        <v>3656</v>
      </c>
      <c r="DC405" s="0" t="s">
        <v>362</v>
      </c>
      <c r="DD405" s="0" t="s">
        <v>3572</v>
      </c>
      <c r="DE405" s="0" t="s">
        <v>4589</v>
      </c>
    </row>
    <row customHeight="1" ht="11.25">
      <c r="A406" s="1353" t="s">
        <v>228</v>
      </c>
      <c r="B406" s="0" t="s">
        <v>228</v>
      </c>
      <c r="C406" s="0" t="s">
        <v>228</v>
      </c>
      <c r="D406" s="0" t="s">
        <v>228</v>
      </c>
      <c r="E406" s="0" t="s">
        <v>228</v>
      </c>
      <c r="F406" s="0" t="s">
        <v>228</v>
      </c>
      <c r="G406" s="0" t="s">
        <v>228</v>
      </c>
      <c r="H406" s="0" t="s">
        <v>228</v>
      </c>
      <c r="I406" s="0" t="s">
        <v>3555</v>
      </c>
      <c r="J406" s="0" t="s">
        <v>228</v>
      </c>
      <c r="K406" s="0" t="s">
        <v>228</v>
      </c>
      <c r="L406" s="0" t="s">
        <v>228</v>
      </c>
      <c r="M406" s="0" t="s">
        <v>228</v>
      </c>
      <c r="N406" s="0" t="s">
        <v>228</v>
      </c>
      <c r="O406" s="0" t="s">
        <v>228</v>
      </c>
      <c r="P406" s="0" t="s">
        <v>228</v>
      </c>
      <c r="Q406" s="0" t="s">
        <v>228</v>
      </c>
      <c r="R406" s="0" t="s">
        <v>4782</v>
      </c>
      <c r="S406" s="0" t="s">
        <v>228</v>
      </c>
      <c r="T406" s="0" t="s">
        <v>228</v>
      </c>
      <c r="U406" s="0" t="s">
        <v>101</v>
      </c>
      <c r="V406" s="0" t="s">
        <v>228</v>
      </c>
      <c r="W406" s="0" t="s">
        <v>228</v>
      </c>
      <c r="X406" s="0" t="s">
        <v>3661</v>
      </c>
      <c r="Y406" s="0" t="s">
        <v>228</v>
      </c>
      <c r="Z406" s="0" t="s">
        <v>151</v>
      </c>
      <c r="AA406" s="0" t="s">
        <v>151</v>
      </c>
      <c r="AB406" s="0" t="s">
        <v>160</v>
      </c>
      <c r="AC406" s="0" t="s">
        <v>2315</v>
      </c>
      <c r="AD406" s="0" t="s">
        <v>2315</v>
      </c>
      <c r="AE406" s="0" t="s">
        <v>2316</v>
      </c>
      <c r="AF406" s="0" t="s">
        <v>4587</v>
      </c>
      <c r="AG406" s="0" t="s">
        <v>4588</v>
      </c>
      <c r="AH406" s="0" t="s">
        <v>3651</v>
      </c>
      <c r="AI406" s="0" t="s">
        <v>3651</v>
      </c>
      <c r="AJ406" s="0" t="s">
        <v>228</v>
      </c>
      <c r="AK406" s="0" t="s">
        <v>228</v>
      </c>
      <c r="AL406" s="0" t="s">
        <v>228</v>
      </c>
      <c r="AM406" s="0" t="s">
        <v>228</v>
      </c>
      <c r="AN406" s="0" t="s">
        <v>228</v>
      </c>
      <c r="AO406" s="0" t="s">
        <v>228</v>
      </c>
      <c r="AP406" s="0" t="s">
        <v>228</v>
      </c>
      <c r="AQ406" s="0" t="s">
        <v>228</v>
      </c>
      <c r="AR406" s="0" t="s">
        <v>228</v>
      </c>
      <c r="AS406" s="0" t="s">
        <v>228</v>
      </c>
      <c r="AT406" s="0" t="s">
        <v>228</v>
      </c>
      <c r="AU406" s="0" t="s">
        <v>228</v>
      </c>
      <c r="AV406" s="0" t="s">
        <v>228</v>
      </c>
      <c r="AW406" s="0" t="s">
        <v>228</v>
      </c>
      <c r="AX406" s="0" t="s">
        <v>228</v>
      </c>
      <c r="AY406" s="0" t="s">
        <v>228</v>
      </c>
      <c r="AZ406" s="0" t="s">
        <v>228</v>
      </c>
      <c r="BA406" s="0" t="s">
        <v>228</v>
      </c>
      <c r="BB406" s="0" t="s">
        <v>228</v>
      </c>
      <c r="BC406" s="0" t="s">
        <v>228</v>
      </c>
      <c r="BD406" s="0" t="s">
        <v>228</v>
      </c>
      <c r="BE406" s="0" t="s">
        <v>3652</v>
      </c>
      <c r="BF406" s="0" t="s">
        <v>3891</v>
      </c>
      <c r="BG406" s="0" t="s">
        <v>111</v>
      </c>
      <c r="BH406" s="0" t="s">
        <v>3665</v>
      </c>
      <c r="BI406" s="0" t="s">
        <v>122</v>
      </c>
      <c r="BJ406" s="0" t="s">
        <v>228</v>
      </c>
      <c r="BK406" s="0" t="s">
        <v>3684</v>
      </c>
      <c r="BL406" s="0" t="s">
        <v>2315</v>
      </c>
      <c r="BM406" s="0" t="s">
        <v>2315</v>
      </c>
      <c r="BN406" s="0" t="s">
        <v>3875</v>
      </c>
      <c r="BO406" s="0" t="s">
        <v>4587</v>
      </c>
      <c r="BP406" s="0" t="s">
        <v>4783</v>
      </c>
      <c r="BQ406" s="0" t="s">
        <v>3651</v>
      </c>
      <c r="BR406" s="0" t="s">
        <v>3651</v>
      </c>
      <c r="BS406" s="0" t="s">
        <v>228</v>
      </c>
      <c r="BT406" s="0" t="s">
        <v>3727</v>
      </c>
      <c r="BU406" s="0" t="s">
        <v>4784</v>
      </c>
      <c r="BV406" s="0" t="s">
        <v>4784</v>
      </c>
      <c r="BW406" s="0" t="s">
        <v>3674</v>
      </c>
      <c r="BX406" s="0" t="s">
        <v>3674</v>
      </c>
      <c r="BY406" s="0" t="s">
        <v>3674</v>
      </c>
      <c r="BZ406" s="0" t="s">
        <v>3674</v>
      </c>
      <c r="CA406" s="0" t="s">
        <v>3674</v>
      </c>
      <c r="CB406" s="0" t="s">
        <v>228</v>
      </c>
      <c r="CC406" s="0" t="s">
        <v>228</v>
      </c>
      <c r="CD406" s="0" t="s">
        <v>228</v>
      </c>
      <c r="CE406" s="0" t="s">
        <v>228</v>
      </c>
      <c r="CF406" s="0" t="s">
        <v>228</v>
      </c>
      <c r="CG406" s="0" t="s">
        <v>3674</v>
      </c>
      <c r="CH406" s="0" t="s">
        <v>228</v>
      </c>
      <c r="CI406" s="0" t="s">
        <v>228</v>
      </c>
      <c r="CJ406" s="0" t="s">
        <v>228</v>
      </c>
      <c r="CK406" s="0" t="s">
        <v>228</v>
      </c>
      <c r="CL406" s="0" t="s">
        <v>228</v>
      </c>
      <c r="CM406" s="0" t="s">
        <v>4784</v>
      </c>
      <c r="CN406" s="0" t="s">
        <v>4784</v>
      </c>
      <c r="CO406" s="0" t="s">
        <v>228</v>
      </c>
      <c r="CP406" s="0" t="s">
        <v>228</v>
      </c>
      <c r="CQ406" s="0" t="s">
        <v>228</v>
      </c>
      <c r="CR406" s="0" t="s">
        <v>228</v>
      </c>
      <c r="CS406" s="0" t="s">
        <v>3654</v>
      </c>
      <c r="CT406" s="0" t="s">
        <v>3568</v>
      </c>
      <c r="CU406" s="0" t="s">
        <v>3569</v>
      </c>
      <c r="CV406" s="0" t="s">
        <v>418</v>
      </c>
      <c r="CW406" s="0" t="s">
        <v>3656</v>
      </c>
      <c r="CX406" s="0" t="s">
        <v>419</v>
      </c>
      <c r="CY406" s="0" t="s">
        <v>418</v>
      </c>
      <c r="CZ406" s="0" t="s">
        <v>3657</v>
      </c>
      <c r="DA406" s="0" t="s">
        <v>3658</v>
      </c>
      <c r="DB406" s="0" t="s">
        <v>3656</v>
      </c>
      <c r="DC406" s="0" t="s">
        <v>362</v>
      </c>
      <c r="DD406" s="0" t="s">
        <v>3572</v>
      </c>
      <c r="DE406" s="0" t="s">
        <v>4785</v>
      </c>
    </row>
    <row customHeight="1" ht="11.25">
      <c r="A407" s="1353" t="s">
        <v>228</v>
      </c>
      <c r="B407" s="0" t="s">
        <v>228</v>
      </c>
      <c r="C407" s="0" t="s">
        <v>228</v>
      </c>
      <c r="D407" s="0" t="s">
        <v>228</v>
      </c>
      <c r="E407" s="0" t="s">
        <v>228</v>
      </c>
      <c r="F407" s="0" t="s">
        <v>228</v>
      </c>
      <c r="G407" s="0" t="s">
        <v>228</v>
      </c>
      <c r="H407" s="0" t="s">
        <v>228</v>
      </c>
      <c r="I407" s="0" t="s">
        <v>3555</v>
      </c>
      <c r="J407" s="0" t="s">
        <v>228</v>
      </c>
      <c r="K407" s="0" t="s">
        <v>228</v>
      </c>
      <c r="L407" s="0" t="s">
        <v>228</v>
      </c>
      <c r="M407" s="0" t="s">
        <v>228</v>
      </c>
      <c r="N407" s="0" t="s">
        <v>228</v>
      </c>
      <c r="O407" s="0" t="s">
        <v>228</v>
      </c>
      <c r="P407" s="0" t="s">
        <v>228</v>
      </c>
      <c r="Q407" s="0" t="s">
        <v>228</v>
      </c>
      <c r="R407" s="0" t="s">
        <v>3574</v>
      </c>
      <c r="S407" s="0" t="s">
        <v>228</v>
      </c>
      <c r="T407" s="0" t="s">
        <v>228</v>
      </c>
      <c r="U407" s="0" t="s">
        <v>101</v>
      </c>
      <c r="V407" s="0" t="s">
        <v>228</v>
      </c>
      <c r="W407" s="0" t="s">
        <v>228</v>
      </c>
      <c r="X407" s="0" t="s">
        <v>3557</v>
      </c>
      <c r="Y407" s="0" t="s">
        <v>228</v>
      </c>
      <c r="Z407" s="0" t="s">
        <v>160</v>
      </c>
      <c r="AA407" s="0" t="s">
        <v>151</v>
      </c>
      <c r="AB407" s="0" t="s">
        <v>151</v>
      </c>
      <c r="AC407" s="0" t="s">
        <v>2317</v>
      </c>
      <c r="AD407" s="0" t="s">
        <v>2317</v>
      </c>
      <c r="AE407" s="0" t="s">
        <v>2318</v>
      </c>
      <c r="AF407" s="0" t="s">
        <v>3615</v>
      </c>
      <c r="AG407" s="0" t="s">
        <v>3616</v>
      </c>
      <c r="AH407" s="0" t="s">
        <v>3617</v>
      </c>
      <c r="AI407" s="0" t="s">
        <v>3626</v>
      </c>
      <c r="AJ407" s="0" t="s">
        <v>3627</v>
      </c>
      <c r="AK407" s="0" t="s">
        <v>3619</v>
      </c>
      <c r="AL407" s="0" t="s">
        <v>3581</v>
      </c>
      <c r="AM407" s="0" t="s">
        <v>3565</v>
      </c>
      <c r="AN407" s="0" t="s">
        <v>3628</v>
      </c>
      <c r="AO407" s="0" t="s">
        <v>3629</v>
      </c>
      <c r="AP407" s="0" t="s">
        <v>228</v>
      </c>
      <c r="AQ407" s="0" t="s">
        <v>228</v>
      </c>
      <c r="AR407" s="0" t="s">
        <v>228</v>
      </c>
      <c r="AS407" s="0" t="s">
        <v>228</v>
      </c>
      <c r="AT407" s="0" t="s">
        <v>228</v>
      </c>
      <c r="AU407" s="0" t="s">
        <v>228</v>
      </c>
      <c r="AV407" s="0" t="s">
        <v>228</v>
      </c>
      <c r="AW407" s="0" t="s">
        <v>228</v>
      </c>
      <c r="AX407" s="0" t="s">
        <v>228</v>
      </c>
      <c r="AY407" s="0" t="s">
        <v>228</v>
      </c>
      <c r="AZ407" s="0" t="s">
        <v>228</v>
      </c>
      <c r="BA407" s="0" t="s">
        <v>228</v>
      </c>
      <c r="BB407" s="0" t="s">
        <v>228</v>
      </c>
      <c r="BC407" s="0" t="s">
        <v>228</v>
      </c>
      <c r="BD407" s="0" t="s">
        <v>228</v>
      </c>
      <c r="BE407" s="0" t="s">
        <v>228</v>
      </c>
      <c r="BF407" s="0" t="s">
        <v>228</v>
      </c>
      <c r="BG407" s="0" t="s">
        <v>228</v>
      </c>
      <c r="BH407" s="0" t="s">
        <v>228</v>
      </c>
      <c r="BI407" s="0" t="s">
        <v>228</v>
      </c>
      <c r="BJ407" s="0" t="s">
        <v>228</v>
      </c>
      <c r="BK407" s="0" t="s">
        <v>228</v>
      </c>
      <c r="BL407" s="0" t="s">
        <v>228</v>
      </c>
      <c r="BM407" s="0" t="s">
        <v>228</v>
      </c>
      <c r="BN407" s="0" t="s">
        <v>228</v>
      </c>
      <c r="BO407" s="0" t="s">
        <v>228</v>
      </c>
      <c r="BP407" s="0" t="s">
        <v>228</v>
      </c>
      <c r="BQ407" s="0" t="s">
        <v>228</v>
      </c>
      <c r="BR407" s="0" t="s">
        <v>228</v>
      </c>
      <c r="BS407" s="0" t="s">
        <v>228</v>
      </c>
      <c r="BT407" s="0" t="s">
        <v>228</v>
      </c>
      <c r="BU407" s="0" t="s">
        <v>228</v>
      </c>
      <c r="BV407" s="0" t="s">
        <v>228</v>
      </c>
      <c r="BW407" s="0" t="s">
        <v>228</v>
      </c>
      <c r="BX407" s="0" t="s">
        <v>228</v>
      </c>
      <c r="BY407" s="0" t="s">
        <v>228</v>
      </c>
      <c r="BZ407" s="0" t="s">
        <v>228</v>
      </c>
      <c r="CA407" s="0" t="s">
        <v>228</v>
      </c>
      <c r="CB407" s="0" t="s">
        <v>228</v>
      </c>
      <c r="CC407" s="0" t="s">
        <v>228</v>
      </c>
      <c r="CD407" s="0" t="s">
        <v>228</v>
      </c>
      <c r="CE407" s="0" t="s">
        <v>228</v>
      </c>
      <c r="CF407" s="0" t="s">
        <v>228</v>
      </c>
      <c r="CG407" s="0" t="s">
        <v>228</v>
      </c>
      <c r="CH407" s="0" t="s">
        <v>228</v>
      </c>
      <c r="CI407" s="0" t="s">
        <v>228</v>
      </c>
      <c r="CJ407" s="0" t="s">
        <v>228</v>
      </c>
      <c r="CK407" s="0" t="s">
        <v>228</v>
      </c>
      <c r="CL407" s="0" t="s">
        <v>228</v>
      </c>
      <c r="CM407" s="0" t="s">
        <v>228</v>
      </c>
      <c r="CN407" s="0" t="s">
        <v>228</v>
      </c>
      <c r="CO407" s="0" t="s">
        <v>228</v>
      </c>
      <c r="CP407" s="0" t="s">
        <v>228</v>
      </c>
      <c r="CQ407" s="0" t="s">
        <v>228</v>
      </c>
      <c r="CR407" s="0" t="s">
        <v>228</v>
      </c>
      <c r="CS407" s="0" t="s">
        <v>228</v>
      </c>
      <c r="CT407" s="0" t="s">
        <v>3568</v>
      </c>
      <c r="CU407" s="0" t="s">
        <v>3569</v>
      </c>
      <c r="CV407" s="0" t="s">
        <v>418</v>
      </c>
      <c r="CW407" s="0" t="s">
        <v>3622</v>
      </c>
      <c r="CX407" s="0" t="s">
        <v>419</v>
      </c>
      <c r="CY407" s="0" t="s">
        <v>418</v>
      </c>
      <c r="CZ407" s="0" t="s">
        <v>3623</v>
      </c>
      <c r="DA407" s="0" t="s">
        <v>3624</v>
      </c>
      <c r="DB407" s="0" t="s">
        <v>3622</v>
      </c>
      <c r="DC407" s="0" t="s">
        <v>362</v>
      </c>
      <c r="DD407" s="0" t="s">
        <v>3572</v>
      </c>
      <c r="DE407" s="0" t="s">
        <v>3630</v>
      </c>
    </row>
    <row customHeight="1" ht="11.25">
      <c r="A408" s="1353" t="s">
        <v>228</v>
      </c>
      <c r="B408" s="0" t="s">
        <v>228</v>
      </c>
      <c r="C408" s="0" t="s">
        <v>228</v>
      </c>
      <c r="D408" s="0" t="s">
        <v>228</v>
      </c>
      <c r="E408" s="0" t="s">
        <v>228</v>
      </c>
      <c r="F408" s="0" t="s">
        <v>228</v>
      </c>
      <c r="G408" s="0" t="s">
        <v>228</v>
      </c>
      <c r="H408" s="0" t="s">
        <v>228</v>
      </c>
      <c r="I408" s="0" t="s">
        <v>3555</v>
      </c>
      <c r="J408" s="0" t="s">
        <v>228</v>
      </c>
      <c r="K408" s="0" t="s">
        <v>228</v>
      </c>
      <c r="L408" s="0" t="s">
        <v>228</v>
      </c>
      <c r="M408" s="0" t="s">
        <v>228</v>
      </c>
      <c r="N408" s="0" t="s">
        <v>228</v>
      </c>
      <c r="O408" s="0" t="s">
        <v>228</v>
      </c>
      <c r="P408" s="0" t="s">
        <v>228</v>
      </c>
      <c r="Q408" s="0" t="s">
        <v>228</v>
      </c>
      <c r="R408" s="0" t="s">
        <v>3648</v>
      </c>
      <c r="S408" s="0" t="s">
        <v>228</v>
      </c>
      <c r="T408" s="0" t="s">
        <v>228</v>
      </c>
      <c r="U408" s="0" t="s">
        <v>101</v>
      </c>
      <c r="V408" s="0" t="s">
        <v>228</v>
      </c>
      <c r="W408" s="0" t="s">
        <v>228</v>
      </c>
      <c r="X408" s="0" t="s">
        <v>3557</v>
      </c>
      <c r="Y408" s="0" t="s">
        <v>228</v>
      </c>
      <c r="Z408" s="0" t="s">
        <v>160</v>
      </c>
      <c r="AA408" s="0" t="s">
        <v>151</v>
      </c>
      <c r="AB408" s="0" t="s">
        <v>151</v>
      </c>
      <c r="AC408" s="0" t="s">
        <v>2317</v>
      </c>
      <c r="AD408" s="0" t="s">
        <v>2317</v>
      </c>
      <c r="AE408" s="0" t="s">
        <v>2318</v>
      </c>
      <c r="AF408" s="0" t="s">
        <v>3755</v>
      </c>
      <c r="AG408" s="0" t="s">
        <v>3756</v>
      </c>
      <c r="AH408" s="0" t="s">
        <v>3747</v>
      </c>
      <c r="AI408" s="0" t="s">
        <v>3688</v>
      </c>
      <c r="AJ408" s="0" t="s">
        <v>3579</v>
      </c>
      <c r="AK408" s="0" t="s">
        <v>3749</v>
      </c>
      <c r="AL408" s="0" t="s">
        <v>3581</v>
      </c>
      <c r="AM408" s="0" t="s">
        <v>3565</v>
      </c>
      <c r="AN408" s="0" t="s">
        <v>3620</v>
      </c>
      <c r="AO408" s="0" t="s">
        <v>3757</v>
      </c>
      <c r="AP408" s="0" t="s">
        <v>228</v>
      </c>
      <c r="AQ408" s="0" t="s">
        <v>228</v>
      </c>
      <c r="AR408" s="0" t="s">
        <v>228</v>
      </c>
      <c r="AS408" s="0" t="s">
        <v>228</v>
      </c>
      <c r="AT408" s="0" t="s">
        <v>228</v>
      </c>
      <c r="AU408" s="0" t="s">
        <v>228</v>
      </c>
      <c r="AV408" s="0" t="s">
        <v>228</v>
      </c>
      <c r="AW408" s="0" t="s">
        <v>228</v>
      </c>
      <c r="AX408" s="0" t="s">
        <v>228</v>
      </c>
      <c r="AY408" s="0" t="s">
        <v>228</v>
      </c>
      <c r="AZ408" s="0" t="s">
        <v>228</v>
      </c>
      <c r="BA408" s="0" t="s">
        <v>228</v>
      </c>
      <c r="BB408" s="0" t="s">
        <v>228</v>
      </c>
      <c r="BC408" s="0" t="s">
        <v>228</v>
      </c>
      <c r="BD408" s="0" t="s">
        <v>228</v>
      </c>
      <c r="BE408" s="0" t="s">
        <v>228</v>
      </c>
      <c r="BF408" s="0" t="s">
        <v>228</v>
      </c>
      <c r="BG408" s="0" t="s">
        <v>228</v>
      </c>
      <c r="BH408" s="0" t="s">
        <v>228</v>
      </c>
      <c r="BI408" s="0" t="s">
        <v>228</v>
      </c>
      <c r="BJ408" s="0" t="s">
        <v>228</v>
      </c>
      <c r="BK408" s="0" t="s">
        <v>228</v>
      </c>
      <c r="BL408" s="0" t="s">
        <v>228</v>
      </c>
      <c r="BM408" s="0" t="s">
        <v>228</v>
      </c>
      <c r="BN408" s="0" t="s">
        <v>228</v>
      </c>
      <c r="BO408" s="0" t="s">
        <v>228</v>
      </c>
      <c r="BP408" s="0" t="s">
        <v>228</v>
      </c>
      <c r="BQ408" s="0" t="s">
        <v>228</v>
      </c>
      <c r="BR408" s="0" t="s">
        <v>228</v>
      </c>
      <c r="BS408" s="0" t="s">
        <v>228</v>
      </c>
      <c r="BT408" s="0" t="s">
        <v>228</v>
      </c>
      <c r="BU408" s="0" t="s">
        <v>228</v>
      </c>
      <c r="BV408" s="0" t="s">
        <v>228</v>
      </c>
      <c r="BW408" s="0" t="s">
        <v>228</v>
      </c>
      <c r="BX408" s="0" t="s">
        <v>228</v>
      </c>
      <c r="BY408" s="0" t="s">
        <v>228</v>
      </c>
      <c r="BZ408" s="0" t="s">
        <v>228</v>
      </c>
      <c r="CA408" s="0" t="s">
        <v>228</v>
      </c>
      <c r="CB408" s="0" t="s">
        <v>228</v>
      </c>
      <c r="CC408" s="0" t="s">
        <v>228</v>
      </c>
      <c r="CD408" s="0" t="s">
        <v>228</v>
      </c>
      <c r="CE408" s="0" t="s">
        <v>228</v>
      </c>
      <c r="CF408" s="0" t="s">
        <v>228</v>
      </c>
      <c r="CG408" s="0" t="s">
        <v>228</v>
      </c>
      <c r="CH408" s="0" t="s">
        <v>228</v>
      </c>
      <c r="CI408" s="0" t="s">
        <v>228</v>
      </c>
      <c r="CJ408" s="0" t="s">
        <v>228</v>
      </c>
      <c r="CK408" s="0" t="s">
        <v>228</v>
      </c>
      <c r="CL408" s="0" t="s">
        <v>228</v>
      </c>
      <c r="CM408" s="0" t="s">
        <v>228</v>
      </c>
      <c r="CN408" s="0" t="s">
        <v>228</v>
      </c>
      <c r="CO408" s="0" t="s">
        <v>228</v>
      </c>
      <c r="CP408" s="0" t="s">
        <v>228</v>
      </c>
      <c r="CQ408" s="0" t="s">
        <v>228</v>
      </c>
      <c r="CR408" s="0" t="s">
        <v>228</v>
      </c>
      <c r="CS408" s="0" t="s">
        <v>228</v>
      </c>
      <c r="CT408" s="0" t="s">
        <v>3568</v>
      </c>
      <c r="CU408" s="0" t="s">
        <v>3569</v>
      </c>
      <c r="CV408" s="0" t="s">
        <v>418</v>
      </c>
      <c r="CW408" s="0" t="s">
        <v>3622</v>
      </c>
      <c r="CX408" s="0" t="s">
        <v>419</v>
      </c>
      <c r="CY408" s="0" t="s">
        <v>418</v>
      </c>
      <c r="CZ408" s="0" t="s">
        <v>3623</v>
      </c>
      <c r="DA408" s="0" t="s">
        <v>3624</v>
      </c>
      <c r="DB408" s="0" t="s">
        <v>3622</v>
      </c>
      <c r="DC408" s="0" t="s">
        <v>362</v>
      </c>
      <c r="DD408" s="0" t="s">
        <v>3572</v>
      </c>
      <c r="DE408" s="0" t="s">
        <v>3758</v>
      </c>
    </row>
    <row customHeight="1" ht="11.25">
      <c r="A409" s="1353" t="s">
        <v>228</v>
      </c>
      <c r="B409" s="0" t="s">
        <v>228</v>
      </c>
      <c r="C409" s="0" t="s">
        <v>228</v>
      </c>
      <c r="D409" s="0" t="s">
        <v>228</v>
      </c>
      <c r="E409" s="0" t="s">
        <v>228</v>
      </c>
      <c r="F409" s="0" t="s">
        <v>228</v>
      </c>
      <c r="G409" s="0" t="s">
        <v>228</v>
      </c>
      <c r="H409" s="0" t="s">
        <v>228</v>
      </c>
      <c r="I409" s="0" t="s">
        <v>3555</v>
      </c>
      <c r="J409" s="0" t="s">
        <v>228</v>
      </c>
      <c r="K409" s="0" t="s">
        <v>228</v>
      </c>
      <c r="L409" s="0" t="s">
        <v>228</v>
      </c>
      <c r="M409" s="0" t="s">
        <v>228</v>
      </c>
      <c r="N409" s="0" t="s">
        <v>228</v>
      </c>
      <c r="O409" s="0" t="s">
        <v>228</v>
      </c>
      <c r="P409" s="0" t="s">
        <v>228</v>
      </c>
      <c r="Q409" s="0" t="s">
        <v>228</v>
      </c>
      <c r="R409" s="0" t="s">
        <v>4084</v>
      </c>
      <c r="S409" s="0" t="s">
        <v>228</v>
      </c>
      <c r="T409" s="0" t="s">
        <v>228</v>
      </c>
      <c r="U409" s="0" t="s">
        <v>101</v>
      </c>
      <c r="V409" s="0" t="s">
        <v>228</v>
      </c>
      <c r="W409" s="0" t="s">
        <v>228</v>
      </c>
      <c r="X409" s="0" t="s">
        <v>3661</v>
      </c>
      <c r="Y409" s="0" t="s">
        <v>228</v>
      </c>
      <c r="Z409" s="0" t="s">
        <v>151</v>
      </c>
      <c r="AA409" s="0" t="s">
        <v>151</v>
      </c>
      <c r="AB409" s="0" t="s">
        <v>160</v>
      </c>
      <c r="AC409" s="0" t="s">
        <v>2317</v>
      </c>
      <c r="AD409" s="0" t="s">
        <v>2317</v>
      </c>
      <c r="AE409" s="0" t="s">
        <v>2318</v>
      </c>
      <c r="AF409" s="0" t="s">
        <v>3755</v>
      </c>
      <c r="AG409" s="0" t="s">
        <v>3756</v>
      </c>
      <c r="AH409" s="0" t="s">
        <v>3651</v>
      </c>
      <c r="AI409" s="0" t="s">
        <v>3651</v>
      </c>
      <c r="AJ409" s="0" t="s">
        <v>228</v>
      </c>
      <c r="AK409" s="0" t="s">
        <v>228</v>
      </c>
      <c r="AL409" s="0" t="s">
        <v>228</v>
      </c>
      <c r="AM409" s="0" t="s">
        <v>228</v>
      </c>
      <c r="AN409" s="0" t="s">
        <v>228</v>
      </c>
      <c r="AO409" s="0" t="s">
        <v>228</v>
      </c>
      <c r="AP409" s="0" t="s">
        <v>228</v>
      </c>
      <c r="AQ409" s="0" t="s">
        <v>228</v>
      </c>
      <c r="AR409" s="0" t="s">
        <v>228</v>
      </c>
      <c r="AS409" s="0" t="s">
        <v>228</v>
      </c>
      <c r="AT409" s="0" t="s">
        <v>228</v>
      </c>
      <c r="AU409" s="0" t="s">
        <v>228</v>
      </c>
      <c r="AV409" s="0" t="s">
        <v>228</v>
      </c>
      <c r="AW409" s="0" t="s">
        <v>228</v>
      </c>
      <c r="AX409" s="0" t="s">
        <v>228</v>
      </c>
      <c r="AY409" s="0" t="s">
        <v>228</v>
      </c>
      <c r="AZ409" s="0" t="s">
        <v>228</v>
      </c>
      <c r="BA409" s="0" t="s">
        <v>228</v>
      </c>
      <c r="BB409" s="0" t="s">
        <v>228</v>
      </c>
      <c r="BC409" s="0" t="s">
        <v>228</v>
      </c>
      <c r="BD409" s="0" t="s">
        <v>228</v>
      </c>
      <c r="BE409" s="0" t="s">
        <v>3627</v>
      </c>
      <c r="BF409" s="0" t="s">
        <v>3619</v>
      </c>
      <c r="BG409" s="0" t="s">
        <v>111</v>
      </c>
      <c r="BH409" s="0" t="s">
        <v>3665</v>
      </c>
      <c r="BI409" s="0" t="s">
        <v>122</v>
      </c>
      <c r="BJ409" s="0" t="s">
        <v>228</v>
      </c>
      <c r="BK409" s="0" t="s">
        <v>3684</v>
      </c>
      <c r="BL409" s="0" t="s">
        <v>2317</v>
      </c>
      <c r="BM409" s="0" t="s">
        <v>2317</v>
      </c>
      <c r="BN409" s="0" t="s">
        <v>3740</v>
      </c>
      <c r="BO409" s="0" t="s">
        <v>3755</v>
      </c>
      <c r="BP409" s="0" t="s">
        <v>4085</v>
      </c>
      <c r="BQ409" s="0" t="s">
        <v>3651</v>
      </c>
      <c r="BR409" s="0" t="s">
        <v>3651</v>
      </c>
      <c r="BS409" s="0" t="s">
        <v>228</v>
      </c>
      <c r="BT409" s="0" t="s">
        <v>3727</v>
      </c>
      <c r="BU409" s="0" t="s">
        <v>4086</v>
      </c>
      <c r="BV409" s="0" t="s">
        <v>4086</v>
      </c>
      <c r="BW409" s="0" t="s">
        <v>3674</v>
      </c>
      <c r="BX409" s="0" t="s">
        <v>3674</v>
      </c>
      <c r="BY409" s="0" t="s">
        <v>3674</v>
      </c>
      <c r="BZ409" s="0" t="s">
        <v>3674</v>
      </c>
      <c r="CA409" s="0" t="s">
        <v>3674</v>
      </c>
      <c r="CB409" s="0" t="s">
        <v>228</v>
      </c>
      <c r="CC409" s="0" t="s">
        <v>228</v>
      </c>
      <c r="CD409" s="0" t="s">
        <v>228</v>
      </c>
      <c r="CE409" s="0" t="s">
        <v>228</v>
      </c>
      <c r="CF409" s="0" t="s">
        <v>228</v>
      </c>
      <c r="CG409" s="0" t="s">
        <v>3674</v>
      </c>
      <c r="CH409" s="0" t="s">
        <v>228</v>
      </c>
      <c r="CI409" s="0" t="s">
        <v>228</v>
      </c>
      <c r="CJ409" s="0" t="s">
        <v>228</v>
      </c>
      <c r="CK409" s="0" t="s">
        <v>228</v>
      </c>
      <c r="CL409" s="0" t="s">
        <v>228</v>
      </c>
      <c r="CM409" s="0" t="s">
        <v>4086</v>
      </c>
      <c r="CN409" s="0" t="s">
        <v>4086</v>
      </c>
      <c r="CO409" s="0" t="s">
        <v>228</v>
      </c>
      <c r="CP409" s="0" t="s">
        <v>228</v>
      </c>
      <c r="CQ409" s="0" t="s">
        <v>228</v>
      </c>
      <c r="CR409" s="0" t="s">
        <v>228</v>
      </c>
      <c r="CS409" s="0" t="s">
        <v>3743</v>
      </c>
      <c r="CT409" s="0" t="s">
        <v>3568</v>
      </c>
      <c r="CU409" s="0" t="s">
        <v>3569</v>
      </c>
      <c r="CV409" s="0" t="s">
        <v>418</v>
      </c>
      <c r="CW409" s="0" t="s">
        <v>3622</v>
      </c>
      <c r="CX409" s="0" t="s">
        <v>419</v>
      </c>
      <c r="CY409" s="0" t="s">
        <v>418</v>
      </c>
      <c r="CZ409" s="0" t="s">
        <v>3623</v>
      </c>
      <c r="DA409" s="0" t="s">
        <v>3624</v>
      </c>
      <c r="DB409" s="0" t="s">
        <v>3622</v>
      </c>
      <c r="DC409" s="0" t="s">
        <v>362</v>
      </c>
      <c r="DD409" s="0" t="s">
        <v>3572</v>
      </c>
      <c r="DE409" s="0" t="s">
        <v>4087</v>
      </c>
    </row>
    <row customHeight="1" ht="11.25">
      <c r="A410" s="1353" t="s">
        <v>228</v>
      </c>
      <c r="B410" s="0" t="s">
        <v>228</v>
      </c>
      <c r="C410" s="0" t="s">
        <v>228</v>
      </c>
      <c r="D410" s="0" t="s">
        <v>228</v>
      </c>
      <c r="E410" s="0" t="s">
        <v>228</v>
      </c>
      <c r="F410" s="0" t="s">
        <v>228</v>
      </c>
      <c r="G410" s="0" t="s">
        <v>228</v>
      </c>
      <c r="H410" s="0" t="s">
        <v>228</v>
      </c>
      <c r="I410" s="0" t="s">
        <v>3555</v>
      </c>
      <c r="J410" s="0" t="s">
        <v>228</v>
      </c>
      <c r="K410" s="0" t="s">
        <v>228</v>
      </c>
      <c r="L410" s="0" t="s">
        <v>228</v>
      </c>
      <c r="M410" s="0" t="s">
        <v>228</v>
      </c>
      <c r="N410" s="0" t="s">
        <v>228</v>
      </c>
      <c r="O410" s="0" t="s">
        <v>228</v>
      </c>
      <c r="P410" s="0" t="s">
        <v>228</v>
      </c>
      <c r="Q410" s="0" t="s">
        <v>228</v>
      </c>
      <c r="R410" s="0" t="s">
        <v>3648</v>
      </c>
      <c r="S410" s="0" t="s">
        <v>228</v>
      </c>
      <c r="T410" s="0" t="s">
        <v>228</v>
      </c>
      <c r="U410" s="0" t="s">
        <v>101</v>
      </c>
      <c r="V410" s="0" t="s">
        <v>228</v>
      </c>
      <c r="W410" s="0" t="s">
        <v>228</v>
      </c>
      <c r="X410" s="0" t="s">
        <v>3557</v>
      </c>
      <c r="Y410" s="0" t="s">
        <v>228</v>
      </c>
      <c r="Z410" s="0" t="s">
        <v>160</v>
      </c>
      <c r="AA410" s="0" t="s">
        <v>151</v>
      </c>
      <c r="AB410" s="0" t="s">
        <v>151</v>
      </c>
      <c r="AC410" s="0" t="s">
        <v>2317</v>
      </c>
      <c r="AD410" s="0" t="s">
        <v>2317</v>
      </c>
      <c r="AE410" s="0" t="s">
        <v>2318</v>
      </c>
      <c r="AF410" s="0" t="s">
        <v>4088</v>
      </c>
      <c r="AG410" s="0" t="s">
        <v>4089</v>
      </c>
      <c r="AH410" s="0" t="s">
        <v>4090</v>
      </c>
      <c r="AI410" s="0" t="s">
        <v>3626</v>
      </c>
      <c r="AJ410" s="0" t="s">
        <v>3579</v>
      </c>
      <c r="AK410" s="0" t="s">
        <v>3749</v>
      </c>
      <c r="AL410" s="0" t="s">
        <v>3581</v>
      </c>
      <c r="AM410" s="0" t="s">
        <v>3565</v>
      </c>
      <c r="AN410" s="0" t="s">
        <v>3620</v>
      </c>
      <c r="AO410" s="0" t="s">
        <v>3712</v>
      </c>
      <c r="AP410" s="0" t="s">
        <v>228</v>
      </c>
      <c r="AQ410" s="0" t="s">
        <v>228</v>
      </c>
      <c r="AR410" s="0" t="s">
        <v>228</v>
      </c>
      <c r="AS410" s="0" t="s">
        <v>228</v>
      </c>
      <c r="AT410" s="0" t="s">
        <v>228</v>
      </c>
      <c r="AU410" s="0" t="s">
        <v>228</v>
      </c>
      <c r="AV410" s="0" t="s">
        <v>228</v>
      </c>
      <c r="AW410" s="0" t="s">
        <v>228</v>
      </c>
      <c r="AX410" s="0" t="s">
        <v>228</v>
      </c>
      <c r="AY410" s="0" t="s">
        <v>228</v>
      </c>
      <c r="AZ410" s="0" t="s">
        <v>228</v>
      </c>
      <c r="BA410" s="0" t="s">
        <v>228</v>
      </c>
      <c r="BB410" s="0" t="s">
        <v>228</v>
      </c>
      <c r="BC410" s="0" t="s">
        <v>228</v>
      </c>
      <c r="BD410" s="0" t="s">
        <v>228</v>
      </c>
      <c r="BE410" s="0" t="s">
        <v>228</v>
      </c>
      <c r="BF410" s="0" t="s">
        <v>228</v>
      </c>
      <c r="BG410" s="0" t="s">
        <v>228</v>
      </c>
      <c r="BH410" s="0" t="s">
        <v>228</v>
      </c>
      <c r="BI410" s="0" t="s">
        <v>228</v>
      </c>
      <c r="BJ410" s="0" t="s">
        <v>228</v>
      </c>
      <c r="BK410" s="0" t="s">
        <v>228</v>
      </c>
      <c r="BL410" s="0" t="s">
        <v>228</v>
      </c>
      <c r="BM410" s="0" t="s">
        <v>228</v>
      </c>
      <c r="BN410" s="0" t="s">
        <v>228</v>
      </c>
      <c r="BO410" s="0" t="s">
        <v>228</v>
      </c>
      <c r="BP410" s="0" t="s">
        <v>228</v>
      </c>
      <c r="BQ410" s="0" t="s">
        <v>228</v>
      </c>
      <c r="BR410" s="0" t="s">
        <v>228</v>
      </c>
      <c r="BS410" s="0" t="s">
        <v>228</v>
      </c>
      <c r="BT410" s="0" t="s">
        <v>228</v>
      </c>
      <c r="BU410" s="0" t="s">
        <v>228</v>
      </c>
      <c r="BV410" s="0" t="s">
        <v>228</v>
      </c>
      <c r="BW410" s="0" t="s">
        <v>228</v>
      </c>
      <c r="BX410" s="0" t="s">
        <v>228</v>
      </c>
      <c r="BY410" s="0" t="s">
        <v>228</v>
      </c>
      <c r="BZ410" s="0" t="s">
        <v>228</v>
      </c>
      <c r="CA410" s="0" t="s">
        <v>228</v>
      </c>
      <c r="CB410" s="0" t="s">
        <v>228</v>
      </c>
      <c r="CC410" s="0" t="s">
        <v>228</v>
      </c>
      <c r="CD410" s="0" t="s">
        <v>228</v>
      </c>
      <c r="CE410" s="0" t="s">
        <v>228</v>
      </c>
      <c r="CF410" s="0" t="s">
        <v>228</v>
      </c>
      <c r="CG410" s="0" t="s">
        <v>228</v>
      </c>
      <c r="CH410" s="0" t="s">
        <v>228</v>
      </c>
      <c r="CI410" s="0" t="s">
        <v>228</v>
      </c>
      <c r="CJ410" s="0" t="s">
        <v>228</v>
      </c>
      <c r="CK410" s="0" t="s">
        <v>228</v>
      </c>
      <c r="CL410" s="0" t="s">
        <v>228</v>
      </c>
      <c r="CM410" s="0" t="s">
        <v>228</v>
      </c>
      <c r="CN410" s="0" t="s">
        <v>228</v>
      </c>
      <c r="CO410" s="0" t="s">
        <v>228</v>
      </c>
      <c r="CP410" s="0" t="s">
        <v>228</v>
      </c>
      <c r="CQ410" s="0" t="s">
        <v>228</v>
      </c>
      <c r="CR410" s="0" t="s">
        <v>228</v>
      </c>
      <c r="CS410" s="0" t="s">
        <v>228</v>
      </c>
      <c r="CT410" s="0" t="s">
        <v>3568</v>
      </c>
      <c r="CU410" s="0" t="s">
        <v>3569</v>
      </c>
      <c r="CV410" s="0" t="s">
        <v>418</v>
      </c>
      <c r="CW410" s="0" t="s">
        <v>3622</v>
      </c>
      <c r="CX410" s="0" t="s">
        <v>419</v>
      </c>
      <c r="CY410" s="0" t="s">
        <v>418</v>
      </c>
      <c r="CZ410" s="0" t="s">
        <v>3623</v>
      </c>
      <c r="DA410" s="0" t="s">
        <v>3624</v>
      </c>
      <c r="DB410" s="0" t="s">
        <v>3622</v>
      </c>
      <c r="DC410" s="0" t="s">
        <v>362</v>
      </c>
      <c r="DD410" s="0" t="s">
        <v>3572</v>
      </c>
      <c r="DE410" s="0" t="s">
        <v>4091</v>
      </c>
    </row>
    <row customHeight="1" ht="11.25">
      <c r="A411" s="1353" t="s">
        <v>228</v>
      </c>
      <c r="B411" s="0" t="s">
        <v>228</v>
      </c>
      <c r="C411" s="0" t="s">
        <v>228</v>
      </c>
      <c r="D411" s="0" t="s">
        <v>228</v>
      </c>
      <c r="E411" s="0" t="s">
        <v>228</v>
      </c>
      <c r="F411" s="0" t="s">
        <v>228</v>
      </c>
      <c r="G411" s="0" t="s">
        <v>228</v>
      </c>
      <c r="H411" s="0" t="s">
        <v>228</v>
      </c>
      <c r="I411" s="0" t="s">
        <v>3555</v>
      </c>
      <c r="J411" s="0" t="s">
        <v>228</v>
      </c>
      <c r="K411" s="0" t="s">
        <v>228</v>
      </c>
      <c r="L411" s="0" t="s">
        <v>228</v>
      </c>
      <c r="M411" s="0" t="s">
        <v>228</v>
      </c>
      <c r="N411" s="0" t="s">
        <v>228</v>
      </c>
      <c r="O411" s="0" t="s">
        <v>228</v>
      </c>
      <c r="P411" s="0" t="s">
        <v>228</v>
      </c>
      <c r="Q411" s="0" t="s">
        <v>228</v>
      </c>
      <c r="R411" s="0" t="s">
        <v>3866</v>
      </c>
      <c r="S411" s="0" t="s">
        <v>228</v>
      </c>
      <c r="T411" s="0" t="s">
        <v>228</v>
      </c>
      <c r="U411" s="0" t="s">
        <v>101</v>
      </c>
      <c r="V411" s="0" t="s">
        <v>228</v>
      </c>
      <c r="W411" s="0" t="s">
        <v>228</v>
      </c>
      <c r="X411" s="0" t="s">
        <v>3557</v>
      </c>
      <c r="Y411" s="0" t="s">
        <v>228</v>
      </c>
      <c r="Z411" s="0" t="s">
        <v>160</v>
      </c>
      <c r="AA411" s="0" t="s">
        <v>151</v>
      </c>
      <c r="AB411" s="0" t="s">
        <v>151</v>
      </c>
      <c r="AC411" s="0" t="s">
        <v>2317</v>
      </c>
      <c r="AD411" s="0" t="s">
        <v>2317</v>
      </c>
      <c r="AE411" s="0" t="s">
        <v>2318</v>
      </c>
      <c r="AF411" s="0" t="s">
        <v>3768</v>
      </c>
      <c r="AG411" s="0" t="s">
        <v>3769</v>
      </c>
      <c r="AH411" s="0" t="s">
        <v>3867</v>
      </c>
      <c r="AI411" s="0" t="s">
        <v>3771</v>
      </c>
      <c r="AJ411" s="0" t="s">
        <v>3579</v>
      </c>
      <c r="AK411" s="0" t="s">
        <v>3808</v>
      </c>
      <c r="AL411" s="0" t="s">
        <v>3581</v>
      </c>
      <c r="AM411" s="0" t="s">
        <v>3565</v>
      </c>
      <c r="AN411" s="0" t="s">
        <v>3628</v>
      </c>
      <c r="AO411" s="0" t="s">
        <v>3868</v>
      </c>
      <c r="AP411" s="0" t="s">
        <v>228</v>
      </c>
      <c r="AQ411" s="0" t="s">
        <v>228</v>
      </c>
      <c r="AR411" s="0" t="s">
        <v>228</v>
      </c>
      <c r="AS411" s="0" t="s">
        <v>228</v>
      </c>
      <c r="AT411" s="0" t="s">
        <v>228</v>
      </c>
      <c r="AU411" s="0" t="s">
        <v>228</v>
      </c>
      <c r="AV411" s="0" t="s">
        <v>228</v>
      </c>
      <c r="AW411" s="0" t="s">
        <v>228</v>
      </c>
      <c r="AX411" s="0" t="s">
        <v>228</v>
      </c>
      <c r="AY411" s="0" t="s">
        <v>228</v>
      </c>
      <c r="AZ411" s="0" t="s">
        <v>228</v>
      </c>
      <c r="BA411" s="0" t="s">
        <v>228</v>
      </c>
      <c r="BB411" s="0" t="s">
        <v>228</v>
      </c>
      <c r="BC411" s="0" t="s">
        <v>228</v>
      </c>
      <c r="BD411" s="0" t="s">
        <v>228</v>
      </c>
      <c r="BE411" s="0" t="s">
        <v>228</v>
      </c>
      <c r="BF411" s="0" t="s">
        <v>228</v>
      </c>
      <c r="BG411" s="0" t="s">
        <v>228</v>
      </c>
      <c r="BH411" s="0" t="s">
        <v>228</v>
      </c>
      <c r="BI411" s="0" t="s">
        <v>228</v>
      </c>
      <c r="BJ411" s="0" t="s">
        <v>228</v>
      </c>
      <c r="BK411" s="0" t="s">
        <v>228</v>
      </c>
      <c r="BL411" s="0" t="s">
        <v>228</v>
      </c>
      <c r="BM411" s="0" t="s">
        <v>228</v>
      </c>
      <c r="BN411" s="0" t="s">
        <v>228</v>
      </c>
      <c r="BO411" s="0" t="s">
        <v>228</v>
      </c>
      <c r="BP411" s="0" t="s">
        <v>228</v>
      </c>
      <c r="BQ411" s="0" t="s">
        <v>228</v>
      </c>
      <c r="BR411" s="0" t="s">
        <v>228</v>
      </c>
      <c r="BS411" s="0" t="s">
        <v>228</v>
      </c>
      <c r="BT411" s="0" t="s">
        <v>228</v>
      </c>
      <c r="BU411" s="0" t="s">
        <v>228</v>
      </c>
      <c r="BV411" s="0" t="s">
        <v>228</v>
      </c>
      <c r="BW411" s="0" t="s">
        <v>228</v>
      </c>
      <c r="BX411" s="0" t="s">
        <v>228</v>
      </c>
      <c r="BY411" s="0" t="s">
        <v>228</v>
      </c>
      <c r="BZ411" s="0" t="s">
        <v>228</v>
      </c>
      <c r="CA411" s="0" t="s">
        <v>228</v>
      </c>
      <c r="CB411" s="0" t="s">
        <v>228</v>
      </c>
      <c r="CC411" s="0" t="s">
        <v>228</v>
      </c>
      <c r="CD411" s="0" t="s">
        <v>228</v>
      </c>
      <c r="CE411" s="0" t="s">
        <v>228</v>
      </c>
      <c r="CF411" s="0" t="s">
        <v>228</v>
      </c>
      <c r="CG411" s="0" t="s">
        <v>228</v>
      </c>
      <c r="CH411" s="0" t="s">
        <v>228</v>
      </c>
      <c r="CI411" s="0" t="s">
        <v>228</v>
      </c>
      <c r="CJ411" s="0" t="s">
        <v>228</v>
      </c>
      <c r="CK411" s="0" t="s">
        <v>228</v>
      </c>
      <c r="CL411" s="0" t="s">
        <v>228</v>
      </c>
      <c r="CM411" s="0" t="s">
        <v>228</v>
      </c>
      <c r="CN411" s="0" t="s">
        <v>228</v>
      </c>
      <c r="CO411" s="0" t="s">
        <v>228</v>
      </c>
      <c r="CP411" s="0" t="s">
        <v>228</v>
      </c>
      <c r="CQ411" s="0" t="s">
        <v>228</v>
      </c>
      <c r="CR411" s="0" t="s">
        <v>228</v>
      </c>
      <c r="CS411" s="0" t="s">
        <v>228</v>
      </c>
      <c r="CT411" s="0" t="s">
        <v>3568</v>
      </c>
      <c r="CU411" s="0" t="s">
        <v>3569</v>
      </c>
      <c r="CV411" s="0" t="s">
        <v>418</v>
      </c>
      <c r="CW411" s="0" t="s">
        <v>3622</v>
      </c>
      <c r="CX411" s="0" t="s">
        <v>419</v>
      </c>
      <c r="CY411" s="0" t="s">
        <v>418</v>
      </c>
      <c r="CZ411" s="0" t="s">
        <v>3623</v>
      </c>
      <c r="DA411" s="0" t="s">
        <v>3624</v>
      </c>
      <c r="DB411" s="0" t="s">
        <v>3622</v>
      </c>
      <c r="DC411" s="0" t="s">
        <v>362</v>
      </c>
      <c r="DD411" s="0" t="s">
        <v>3572</v>
      </c>
      <c r="DE411" s="0" t="s">
        <v>3869</v>
      </c>
    </row>
    <row customHeight="1" ht="11.25">
      <c r="A412" s="1353" t="s">
        <v>228</v>
      </c>
      <c r="B412" s="0" t="s">
        <v>228</v>
      </c>
      <c r="C412" s="0" t="s">
        <v>228</v>
      </c>
      <c r="D412" s="0" t="s">
        <v>228</v>
      </c>
      <c r="E412" s="0" t="s">
        <v>228</v>
      </c>
      <c r="F412" s="0" t="s">
        <v>228</v>
      </c>
      <c r="G412" s="0" t="s">
        <v>228</v>
      </c>
      <c r="H412" s="0" t="s">
        <v>228</v>
      </c>
      <c r="I412" s="0" t="s">
        <v>3555</v>
      </c>
      <c r="J412" s="0" t="s">
        <v>228</v>
      </c>
      <c r="K412" s="0" t="s">
        <v>228</v>
      </c>
      <c r="L412" s="0" t="s">
        <v>228</v>
      </c>
      <c r="M412" s="0" t="s">
        <v>228</v>
      </c>
      <c r="N412" s="0" t="s">
        <v>228</v>
      </c>
      <c r="O412" s="0" t="s">
        <v>228</v>
      </c>
      <c r="P412" s="0" t="s">
        <v>228</v>
      </c>
      <c r="Q412" s="0" t="s">
        <v>228</v>
      </c>
      <c r="R412" s="0" t="s">
        <v>4092</v>
      </c>
      <c r="S412" s="0" t="s">
        <v>228</v>
      </c>
      <c r="T412" s="0" t="s">
        <v>228</v>
      </c>
      <c r="U412" s="0" t="s">
        <v>101</v>
      </c>
      <c r="V412" s="0" t="s">
        <v>228</v>
      </c>
      <c r="W412" s="0" t="s">
        <v>228</v>
      </c>
      <c r="X412" s="0" t="s">
        <v>3557</v>
      </c>
      <c r="Y412" s="0" t="s">
        <v>228</v>
      </c>
      <c r="Z412" s="0" t="s">
        <v>160</v>
      </c>
      <c r="AA412" s="0" t="s">
        <v>151</v>
      </c>
      <c r="AB412" s="0" t="s">
        <v>151</v>
      </c>
      <c r="AC412" s="0" t="s">
        <v>2317</v>
      </c>
      <c r="AD412" s="0" t="s">
        <v>2317</v>
      </c>
      <c r="AE412" s="0" t="s">
        <v>2318</v>
      </c>
      <c r="AF412" s="0" t="s">
        <v>3768</v>
      </c>
      <c r="AG412" s="0" t="s">
        <v>3769</v>
      </c>
      <c r="AH412" s="0" t="s">
        <v>4093</v>
      </c>
      <c r="AI412" s="0" t="s">
        <v>4094</v>
      </c>
      <c r="AJ412" s="0" t="s">
        <v>3652</v>
      </c>
      <c r="AK412" s="0" t="s">
        <v>3749</v>
      </c>
      <c r="AL412" s="0" t="s">
        <v>3581</v>
      </c>
      <c r="AM412" s="0" t="s">
        <v>3565</v>
      </c>
      <c r="AN412" s="0" t="s">
        <v>3620</v>
      </c>
      <c r="AO412" s="0" t="s">
        <v>3772</v>
      </c>
      <c r="AP412" s="0" t="s">
        <v>228</v>
      </c>
      <c r="AQ412" s="0" t="s">
        <v>228</v>
      </c>
      <c r="AR412" s="0" t="s">
        <v>228</v>
      </c>
      <c r="AS412" s="0" t="s">
        <v>228</v>
      </c>
      <c r="AT412" s="0" t="s">
        <v>228</v>
      </c>
      <c r="AU412" s="0" t="s">
        <v>228</v>
      </c>
      <c r="AV412" s="0" t="s">
        <v>228</v>
      </c>
      <c r="AW412" s="0" t="s">
        <v>228</v>
      </c>
      <c r="AX412" s="0" t="s">
        <v>228</v>
      </c>
      <c r="AY412" s="0" t="s">
        <v>228</v>
      </c>
      <c r="AZ412" s="0" t="s">
        <v>228</v>
      </c>
      <c r="BA412" s="0" t="s">
        <v>228</v>
      </c>
      <c r="BB412" s="0" t="s">
        <v>228</v>
      </c>
      <c r="BC412" s="0" t="s">
        <v>228</v>
      </c>
      <c r="BD412" s="0" t="s">
        <v>228</v>
      </c>
      <c r="BE412" s="0" t="s">
        <v>228</v>
      </c>
      <c r="BF412" s="0" t="s">
        <v>228</v>
      </c>
      <c r="BG412" s="0" t="s">
        <v>228</v>
      </c>
      <c r="BH412" s="0" t="s">
        <v>228</v>
      </c>
      <c r="BI412" s="0" t="s">
        <v>228</v>
      </c>
      <c r="BJ412" s="0" t="s">
        <v>228</v>
      </c>
      <c r="BK412" s="0" t="s">
        <v>228</v>
      </c>
      <c r="BL412" s="0" t="s">
        <v>228</v>
      </c>
      <c r="BM412" s="0" t="s">
        <v>228</v>
      </c>
      <c r="BN412" s="0" t="s">
        <v>228</v>
      </c>
      <c r="BO412" s="0" t="s">
        <v>228</v>
      </c>
      <c r="BP412" s="0" t="s">
        <v>228</v>
      </c>
      <c r="BQ412" s="0" t="s">
        <v>228</v>
      </c>
      <c r="BR412" s="0" t="s">
        <v>228</v>
      </c>
      <c r="BS412" s="0" t="s">
        <v>228</v>
      </c>
      <c r="BT412" s="0" t="s">
        <v>228</v>
      </c>
      <c r="BU412" s="0" t="s">
        <v>228</v>
      </c>
      <c r="BV412" s="0" t="s">
        <v>228</v>
      </c>
      <c r="BW412" s="0" t="s">
        <v>228</v>
      </c>
      <c r="BX412" s="0" t="s">
        <v>228</v>
      </c>
      <c r="BY412" s="0" t="s">
        <v>228</v>
      </c>
      <c r="BZ412" s="0" t="s">
        <v>228</v>
      </c>
      <c r="CA412" s="0" t="s">
        <v>228</v>
      </c>
      <c r="CB412" s="0" t="s">
        <v>228</v>
      </c>
      <c r="CC412" s="0" t="s">
        <v>228</v>
      </c>
      <c r="CD412" s="0" t="s">
        <v>228</v>
      </c>
      <c r="CE412" s="0" t="s">
        <v>228</v>
      </c>
      <c r="CF412" s="0" t="s">
        <v>228</v>
      </c>
      <c r="CG412" s="0" t="s">
        <v>228</v>
      </c>
      <c r="CH412" s="0" t="s">
        <v>228</v>
      </c>
      <c r="CI412" s="0" t="s">
        <v>228</v>
      </c>
      <c r="CJ412" s="0" t="s">
        <v>228</v>
      </c>
      <c r="CK412" s="0" t="s">
        <v>228</v>
      </c>
      <c r="CL412" s="0" t="s">
        <v>228</v>
      </c>
      <c r="CM412" s="0" t="s">
        <v>228</v>
      </c>
      <c r="CN412" s="0" t="s">
        <v>228</v>
      </c>
      <c r="CO412" s="0" t="s">
        <v>228</v>
      </c>
      <c r="CP412" s="0" t="s">
        <v>228</v>
      </c>
      <c r="CQ412" s="0" t="s">
        <v>228</v>
      </c>
      <c r="CR412" s="0" t="s">
        <v>228</v>
      </c>
      <c r="CS412" s="0" t="s">
        <v>228</v>
      </c>
      <c r="CT412" s="0" t="s">
        <v>3568</v>
      </c>
      <c r="CU412" s="0" t="s">
        <v>3569</v>
      </c>
      <c r="CV412" s="0" t="s">
        <v>418</v>
      </c>
      <c r="CW412" s="0" t="s">
        <v>3622</v>
      </c>
      <c r="CX412" s="0" t="s">
        <v>419</v>
      </c>
      <c r="CY412" s="0" t="s">
        <v>418</v>
      </c>
      <c r="CZ412" s="0" t="s">
        <v>3623</v>
      </c>
      <c r="DA412" s="0" t="s">
        <v>3624</v>
      </c>
      <c r="DB412" s="0" t="s">
        <v>3622</v>
      </c>
      <c r="DC412" s="0" t="s">
        <v>362</v>
      </c>
      <c r="DD412" s="0" t="s">
        <v>3572</v>
      </c>
      <c r="DE412" s="0" t="s">
        <v>4095</v>
      </c>
    </row>
    <row customHeight="1" ht="11.25">
      <c r="A413" s="1353" t="s">
        <v>228</v>
      </c>
      <c r="B413" s="0" t="s">
        <v>228</v>
      </c>
      <c r="C413" s="0" t="s">
        <v>228</v>
      </c>
      <c r="D413" s="0" t="s">
        <v>228</v>
      </c>
      <c r="E413" s="0" t="s">
        <v>228</v>
      </c>
      <c r="F413" s="0" t="s">
        <v>228</v>
      </c>
      <c r="G413" s="0" t="s">
        <v>228</v>
      </c>
      <c r="H413" s="0" t="s">
        <v>228</v>
      </c>
      <c r="I413" s="0" t="s">
        <v>3555</v>
      </c>
      <c r="J413" s="0" t="s">
        <v>228</v>
      </c>
      <c r="K413" s="0" t="s">
        <v>228</v>
      </c>
      <c r="L413" s="0" t="s">
        <v>228</v>
      </c>
      <c r="M413" s="0" t="s">
        <v>228</v>
      </c>
      <c r="N413" s="0" t="s">
        <v>228</v>
      </c>
      <c r="O413" s="0" t="s">
        <v>228</v>
      </c>
      <c r="P413" s="0" t="s">
        <v>228</v>
      </c>
      <c r="Q413" s="0" t="s">
        <v>228</v>
      </c>
      <c r="R413" s="0" t="s">
        <v>3648</v>
      </c>
      <c r="S413" s="0" t="s">
        <v>228</v>
      </c>
      <c r="T413" s="0" t="s">
        <v>228</v>
      </c>
      <c r="U413" s="0" t="s">
        <v>101</v>
      </c>
      <c r="V413" s="0" t="s">
        <v>228</v>
      </c>
      <c r="W413" s="0" t="s">
        <v>228</v>
      </c>
      <c r="X413" s="0" t="s">
        <v>3557</v>
      </c>
      <c r="Y413" s="0" t="s">
        <v>228</v>
      </c>
      <c r="Z413" s="0" t="s">
        <v>160</v>
      </c>
      <c r="AA413" s="0" t="s">
        <v>151</v>
      </c>
      <c r="AB413" s="0" t="s">
        <v>151</v>
      </c>
      <c r="AC413" s="0" t="s">
        <v>2317</v>
      </c>
      <c r="AD413" s="0" t="s">
        <v>2317</v>
      </c>
      <c r="AE413" s="0" t="s">
        <v>2318</v>
      </c>
      <c r="AF413" s="0" t="s">
        <v>3768</v>
      </c>
      <c r="AG413" s="0" t="s">
        <v>3769</v>
      </c>
      <c r="AH413" s="0" t="s">
        <v>3747</v>
      </c>
      <c r="AI413" s="0" t="s">
        <v>4096</v>
      </c>
      <c r="AJ413" s="0" t="s">
        <v>3652</v>
      </c>
      <c r="AK413" s="0" t="s">
        <v>3749</v>
      </c>
      <c r="AL413" s="0" t="s">
        <v>3581</v>
      </c>
      <c r="AM413" s="0" t="s">
        <v>3565</v>
      </c>
      <c r="AN413" s="0" t="s">
        <v>3620</v>
      </c>
      <c r="AO413" s="0" t="s">
        <v>3757</v>
      </c>
      <c r="AP413" s="0" t="s">
        <v>228</v>
      </c>
      <c r="AQ413" s="0" t="s">
        <v>228</v>
      </c>
      <c r="AR413" s="0" t="s">
        <v>228</v>
      </c>
      <c r="AS413" s="0" t="s">
        <v>228</v>
      </c>
      <c r="AT413" s="0" t="s">
        <v>228</v>
      </c>
      <c r="AU413" s="0" t="s">
        <v>228</v>
      </c>
      <c r="AV413" s="0" t="s">
        <v>228</v>
      </c>
      <c r="AW413" s="0" t="s">
        <v>228</v>
      </c>
      <c r="AX413" s="0" t="s">
        <v>228</v>
      </c>
      <c r="AY413" s="0" t="s">
        <v>228</v>
      </c>
      <c r="AZ413" s="0" t="s">
        <v>228</v>
      </c>
      <c r="BA413" s="0" t="s">
        <v>228</v>
      </c>
      <c r="BB413" s="0" t="s">
        <v>228</v>
      </c>
      <c r="BC413" s="0" t="s">
        <v>228</v>
      </c>
      <c r="BD413" s="0" t="s">
        <v>228</v>
      </c>
      <c r="BE413" s="0" t="s">
        <v>228</v>
      </c>
      <c r="BF413" s="0" t="s">
        <v>228</v>
      </c>
      <c r="BG413" s="0" t="s">
        <v>228</v>
      </c>
      <c r="BH413" s="0" t="s">
        <v>228</v>
      </c>
      <c r="BI413" s="0" t="s">
        <v>228</v>
      </c>
      <c r="BJ413" s="0" t="s">
        <v>228</v>
      </c>
      <c r="BK413" s="0" t="s">
        <v>228</v>
      </c>
      <c r="BL413" s="0" t="s">
        <v>228</v>
      </c>
      <c r="BM413" s="0" t="s">
        <v>228</v>
      </c>
      <c r="BN413" s="0" t="s">
        <v>228</v>
      </c>
      <c r="BO413" s="0" t="s">
        <v>228</v>
      </c>
      <c r="BP413" s="0" t="s">
        <v>228</v>
      </c>
      <c r="BQ413" s="0" t="s">
        <v>228</v>
      </c>
      <c r="BR413" s="0" t="s">
        <v>228</v>
      </c>
      <c r="BS413" s="0" t="s">
        <v>228</v>
      </c>
      <c r="BT413" s="0" t="s">
        <v>228</v>
      </c>
      <c r="BU413" s="0" t="s">
        <v>228</v>
      </c>
      <c r="BV413" s="0" t="s">
        <v>228</v>
      </c>
      <c r="BW413" s="0" t="s">
        <v>228</v>
      </c>
      <c r="BX413" s="0" t="s">
        <v>228</v>
      </c>
      <c r="BY413" s="0" t="s">
        <v>228</v>
      </c>
      <c r="BZ413" s="0" t="s">
        <v>228</v>
      </c>
      <c r="CA413" s="0" t="s">
        <v>228</v>
      </c>
      <c r="CB413" s="0" t="s">
        <v>228</v>
      </c>
      <c r="CC413" s="0" t="s">
        <v>228</v>
      </c>
      <c r="CD413" s="0" t="s">
        <v>228</v>
      </c>
      <c r="CE413" s="0" t="s">
        <v>228</v>
      </c>
      <c r="CF413" s="0" t="s">
        <v>228</v>
      </c>
      <c r="CG413" s="0" t="s">
        <v>228</v>
      </c>
      <c r="CH413" s="0" t="s">
        <v>228</v>
      </c>
      <c r="CI413" s="0" t="s">
        <v>228</v>
      </c>
      <c r="CJ413" s="0" t="s">
        <v>228</v>
      </c>
      <c r="CK413" s="0" t="s">
        <v>228</v>
      </c>
      <c r="CL413" s="0" t="s">
        <v>228</v>
      </c>
      <c r="CM413" s="0" t="s">
        <v>228</v>
      </c>
      <c r="CN413" s="0" t="s">
        <v>228</v>
      </c>
      <c r="CO413" s="0" t="s">
        <v>228</v>
      </c>
      <c r="CP413" s="0" t="s">
        <v>228</v>
      </c>
      <c r="CQ413" s="0" t="s">
        <v>228</v>
      </c>
      <c r="CR413" s="0" t="s">
        <v>228</v>
      </c>
      <c r="CS413" s="0" t="s">
        <v>228</v>
      </c>
      <c r="CT413" s="0" t="s">
        <v>3568</v>
      </c>
      <c r="CU413" s="0" t="s">
        <v>3569</v>
      </c>
      <c r="CV413" s="0" t="s">
        <v>418</v>
      </c>
      <c r="CW413" s="0" t="s">
        <v>3622</v>
      </c>
      <c r="CX413" s="0" t="s">
        <v>419</v>
      </c>
      <c r="CY413" s="0" t="s">
        <v>418</v>
      </c>
      <c r="CZ413" s="0" t="s">
        <v>3623</v>
      </c>
      <c r="DA413" s="0" t="s">
        <v>3624</v>
      </c>
      <c r="DB413" s="0" t="s">
        <v>3622</v>
      </c>
      <c r="DC413" s="0" t="s">
        <v>362</v>
      </c>
      <c r="DD413" s="0" t="s">
        <v>3572</v>
      </c>
      <c r="DE413" s="0" t="s">
        <v>4097</v>
      </c>
    </row>
    <row customHeight="1" ht="11.25">
      <c r="A414" s="1353" t="s">
        <v>228</v>
      </c>
      <c r="B414" s="0" t="s">
        <v>228</v>
      </c>
      <c r="C414" s="0" t="s">
        <v>228</v>
      </c>
      <c r="D414" s="0" t="s">
        <v>228</v>
      </c>
      <c r="E414" s="0" t="s">
        <v>228</v>
      </c>
      <c r="F414" s="0" t="s">
        <v>228</v>
      </c>
      <c r="G414" s="0" t="s">
        <v>228</v>
      </c>
      <c r="H414" s="0" t="s">
        <v>228</v>
      </c>
      <c r="I414" s="0" t="s">
        <v>3555</v>
      </c>
      <c r="J414" s="0" t="s">
        <v>228</v>
      </c>
      <c r="K414" s="0" t="s">
        <v>228</v>
      </c>
      <c r="L414" s="0" t="s">
        <v>228</v>
      </c>
      <c r="M414" s="0" t="s">
        <v>228</v>
      </c>
      <c r="N414" s="0" t="s">
        <v>228</v>
      </c>
      <c r="O414" s="0" t="s">
        <v>228</v>
      </c>
      <c r="P414" s="0" t="s">
        <v>228</v>
      </c>
      <c r="Q414" s="0" t="s">
        <v>228</v>
      </c>
      <c r="R414" s="0" t="s">
        <v>4786</v>
      </c>
      <c r="S414" s="0" t="s">
        <v>228</v>
      </c>
      <c r="T414" s="0" t="s">
        <v>228</v>
      </c>
      <c r="U414" s="0" t="s">
        <v>101</v>
      </c>
      <c r="V414" s="0" t="s">
        <v>228</v>
      </c>
      <c r="W414" s="0" t="s">
        <v>228</v>
      </c>
      <c r="X414" s="0" t="s">
        <v>3557</v>
      </c>
      <c r="Y414" s="0" t="s">
        <v>228</v>
      </c>
      <c r="Z414" s="0" t="s">
        <v>160</v>
      </c>
      <c r="AA414" s="0" t="s">
        <v>151</v>
      </c>
      <c r="AB414" s="0" t="s">
        <v>151</v>
      </c>
      <c r="AC414" s="0" t="s">
        <v>2315</v>
      </c>
      <c r="AD414" s="0" t="s">
        <v>2315</v>
      </c>
      <c r="AE414" s="0" t="s">
        <v>2316</v>
      </c>
      <c r="AF414" s="0" t="s">
        <v>4787</v>
      </c>
      <c r="AG414" s="0" t="s">
        <v>4788</v>
      </c>
      <c r="AH414" s="0" t="s">
        <v>4067</v>
      </c>
      <c r="AI414" s="0" t="s">
        <v>4789</v>
      </c>
      <c r="AJ414" s="0" t="s">
        <v>3652</v>
      </c>
      <c r="AK414" s="0" t="s">
        <v>4790</v>
      </c>
      <c r="AL414" s="0" t="s">
        <v>3581</v>
      </c>
      <c r="AM414" s="0" t="s">
        <v>3565</v>
      </c>
      <c r="AN414" s="0" t="s">
        <v>3654</v>
      </c>
      <c r="AO414" s="0" t="s">
        <v>4184</v>
      </c>
      <c r="AP414" s="0" t="s">
        <v>228</v>
      </c>
      <c r="AQ414" s="0" t="s">
        <v>228</v>
      </c>
      <c r="AR414" s="0" t="s">
        <v>228</v>
      </c>
      <c r="AS414" s="0" t="s">
        <v>228</v>
      </c>
      <c r="AT414" s="0" t="s">
        <v>228</v>
      </c>
      <c r="AU414" s="0" t="s">
        <v>228</v>
      </c>
      <c r="AV414" s="0" t="s">
        <v>228</v>
      </c>
      <c r="AW414" s="0" t="s">
        <v>228</v>
      </c>
      <c r="AX414" s="0" t="s">
        <v>228</v>
      </c>
      <c r="AY414" s="0" t="s">
        <v>228</v>
      </c>
      <c r="AZ414" s="0" t="s">
        <v>228</v>
      </c>
      <c r="BA414" s="0" t="s">
        <v>228</v>
      </c>
      <c r="BB414" s="0" t="s">
        <v>228</v>
      </c>
      <c r="BC414" s="0" t="s">
        <v>228</v>
      </c>
      <c r="BD414" s="0" t="s">
        <v>228</v>
      </c>
      <c r="BE414" s="0" t="s">
        <v>228</v>
      </c>
      <c r="BF414" s="0" t="s">
        <v>228</v>
      </c>
      <c r="BG414" s="0" t="s">
        <v>228</v>
      </c>
      <c r="BH414" s="0" t="s">
        <v>228</v>
      </c>
      <c r="BI414" s="0" t="s">
        <v>228</v>
      </c>
      <c r="BJ414" s="0" t="s">
        <v>228</v>
      </c>
      <c r="BK414" s="0" t="s">
        <v>228</v>
      </c>
      <c r="BL414" s="0" t="s">
        <v>228</v>
      </c>
      <c r="BM414" s="0" t="s">
        <v>228</v>
      </c>
      <c r="BN414" s="0" t="s">
        <v>228</v>
      </c>
      <c r="BO414" s="0" t="s">
        <v>228</v>
      </c>
      <c r="BP414" s="0" t="s">
        <v>228</v>
      </c>
      <c r="BQ414" s="0" t="s">
        <v>228</v>
      </c>
      <c r="BR414" s="0" t="s">
        <v>228</v>
      </c>
      <c r="BS414" s="0" t="s">
        <v>228</v>
      </c>
      <c r="BT414" s="0" t="s">
        <v>228</v>
      </c>
      <c r="BU414" s="0" t="s">
        <v>228</v>
      </c>
      <c r="BV414" s="0" t="s">
        <v>228</v>
      </c>
      <c r="BW414" s="0" t="s">
        <v>228</v>
      </c>
      <c r="BX414" s="0" t="s">
        <v>228</v>
      </c>
      <c r="BY414" s="0" t="s">
        <v>228</v>
      </c>
      <c r="BZ414" s="0" t="s">
        <v>228</v>
      </c>
      <c r="CA414" s="0" t="s">
        <v>228</v>
      </c>
      <c r="CB414" s="0" t="s">
        <v>228</v>
      </c>
      <c r="CC414" s="0" t="s">
        <v>228</v>
      </c>
      <c r="CD414" s="0" t="s">
        <v>228</v>
      </c>
      <c r="CE414" s="0" t="s">
        <v>228</v>
      </c>
      <c r="CF414" s="0" t="s">
        <v>228</v>
      </c>
      <c r="CG414" s="0" t="s">
        <v>228</v>
      </c>
      <c r="CH414" s="0" t="s">
        <v>228</v>
      </c>
      <c r="CI414" s="0" t="s">
        <v>228</v>
      </c>
      <c r="CJ414" s="0" t="s">
        <v>228</v>
      </c>
      <c r="CK414" s="0" t="s">
        <v>228</v>
      </c>
      <c r="CL414" s="0" t="s">
        <v>228</v>
      </c>
      <c r="CM414" s="0" t="s">
        <v>228</v>
      </c>
      <c r="CN414" s="0" t="s">
        <v>228</v>
      </c>
      <c r="CO414" s="0" t="s">
        <v>228</v>
      </c>
      <c r="CP414" s="0" t="s">
        <v>228</v>
      </c>
      <c r="CQ414" s="0" t="s">
        <v>228</v>
      </c>
      <c r="CR414" s="0" t="s">
        <v>228</v>
      </c>
      <c r="CS414" s="0" t="s">
        <v>228</v>
      </c>
      <c r="CT414" s="0" t="s">
        <v>3568</v>
      </c>
      <c r="CU414" s="0" t="s">
        <v>3569</v>
      </c>
      <c r="CV414" s="0" t="s">
        <v>418</v>
      </c>
      <c r="CW414" s="0" t="s">
        <v>3656</v>
      </c>
      <c r="CX414" s="0" t="s">
        <v>419</v>
      </c>
      <c r="CY414" s="0" t="s">
        <v>418</v>
      </c>
      <c r="CZ414" s="0" t="s">
        <v>3657</v>
      </c>
      <c r="DA414" s="0" t="s">
        <v>3658</v>
      </c>
      <c r="DB414" s="0" t="s">
        <v>3656</v>
      </c>
      <c r="DC414" s="0" t="s">
        <v>362</v>
      </c>
      <c r="DD414" s="0" t="s">
        <v>3572</v>
      </c>
      <c r="DE414" s="0" t="s">
        <v>4791</v>
      </c>
    </row>
    <row customHeight="1" ht="11.25">
      <c r="A415" s="1353" t="s">
        <v>228</v>
      </c>
      <c r="B415" s="0" t="s">
        <v>228</v>
      </c>
      <c r="C415" s="0" t="s">
        <v>228</v>
      </c>
      <c r="D415" s="0" t="s">
        <v>228</v>
      </c>
      <c r="E415" s="0" t="s">
        <v>228</v>
      </c>
      <c r="F415" s="0" t="s">
        <v>228</v>
      </c>
      <c r="G415" s="0" t="s">
        <v>228</v>
      </c>
      <c r="H415" s="0" t="s">
        <v>228</v>
      </c>
      <c r="I415" s="0" t="s">
        <v>3555</v>
      </c>
      <c r="J415" s="0" t="s">
        <v>228</v>
      </c>
      <c r="K415" s="0" t="s">
        <v>228</v>
      </c>
      <c r="L415" s="0" t="s">
        <v>228</v>
      </c>
      <c r="M415" s="0" t="s">
        <v>228</v>
      </c>
      <c r="N415" s="0" t="s">
        <v>228</v>
      </c>
      <c r="O415" s="0" t="s">
        <v>228</v>
      </c>
      <c r="P415" s="0" t="s">
        <v>228</v>
      </c>
      <c r="Q415" s="0" t="s">
        <v>228</v>
      </c>
      <c r="R415" s="0" t="s">
        <v>4978</v>
      </c>
      <c r="S415" s="0" t="s">
        <v>228</v>
      </c>
      <c r="T415" s="0" t="s">
        <v>228</v>
      </c>
      <c r="U415" s="0" t="s">
        <v>101</v>
      </c>
      <c r="V415" s="0" t="s">
        <v>228</v>
      </c>
      <c r="W415" s="0" t="s">
        <v>228</v>
      </c>
      <c r="X415" s="0" t="s">
        <v>3661</v>
      </c>
      <c r="Y415" s="0" t="s">
        <v>228</v>
      </c>
      <c r="Z415" s="0" t="s">
        <v>151</v>
      </c>
      <c r="AA415" s="0" t="s">
        <v>151</v>
      </c>
      <c r="AB415" s="0" t="s">
        <v>160</v>
      </c>
      <c r="AC415" s="0" t="s">
        <v>2315</v>
      </c>
      <c r="AD415" s="0" t="s">
        <v>2315</v>
      </c>
      <c r="AE415" s="0" t="s">
        <v>2316</v>
      </c>
      <c r="AF415" s="0" t="s">
        <v>4787</v>
      </c>
      <c r="AG415" s="0" t="s">
        <v>4788</v>
      </c>
      <c r="AH415" s="0" t="s">
        <v>3651</v>
      </c>
      <c r="AI415" s="0" t="s">
        <v>3651</v>
      </c>
      <c r="AJ415" s="0" t="s">
        <v>228</v>
      </c>
      <c r="AK415" s="0" t="s">
        <v>228</v>
      </c>
      <c r="AL415" s="0" t="s">
        <v>228</v>
      </c>
      <c r="AM415" s="0" t="s">
        <v>228</v>
      </c>
      <c r="AN415" s="0" t="s">
        <v>228</v>
      </c>
      <c r="AO415" s="0" t="s">
        <v>228</v>
      </c>
      <c r="AP415" s="0" t="s">
        <v>228</v>
      </c>
      <c r="AQ415" s="0" t="s">
        <v>228</v>
      </c>
      <c r="AR415" s="0" t="s">
        <v>228</v>
      </c>
      <c r="AS415" s="0" t="s">
        <v>228</v>
      </c>
      <c r="AT415" s="0" t="s">
        <v>228</v>
      </c>
      <c r="AU415" s="0" t="s">
        <v>228</v>
      </c>
      <c r="AV415" s="0" t="s">
        <v>228</v>
      </c>
      <c r="AW415" s="0" t="s">
        <v>228</v>
      </c>
      <c r="AX415" s="0" t="s">
        <v>228</v>
      </c>
      <c r="AY415" s="0" t="s">
        <v>228</v>
      </c>
      <c r="AZ415" s="0" t="s">
        <v>228</v>
      </c>
      <c r="BA415" s="0" t="s">
        <v>228</v>
      </c>
      <c r="BB415" s="0" t="s">
        <v>228</v>
      </c>
      <c r="BC415" s="0" t="s">
        <v>228</v>
      </c>
      <c r="BD415" s="0" t="s">
        <v>228</v>
      </c>
      <c r="BE415" s="0" t="s">
        <v>3652</v>
      </c>
      <c r="BF415" s="0" t="s">
        <v>4790</v>
      </c>
      <c r="BG415" s="0" t="s">
        <v>111</v>
      </c>
      <c r="BH415" s="0" t="s">
        <v>3665</v>
      </c>
      <c r="BI415" s="0" t="s">
        <v>122</v>
      </c>
      <c r="BJ415" s="0" t="s">
        <v>228</v>
      </c>
      <c r="BK415" s="0" t="s">
        <v>3684</v>
      </c>
      <c r="BL415" s="0" t="s">
        <v>2315</v>
      </c>
      <c r="BM415" s="0" t="s">
        <v>2315</v>
      </c>
      <c r="BN415" s="0" t="s">
        <v>3875</v>
      </c>
      <c r="BO415" s="0" t="s">
        <v>4787</v>
      </c>
      <c r="BP415" s="0" t="s">
        <v>4979</v>
      </c>
      <c r="BQ415" s="0" t="s">
        <v>3651</v>
      </c>
      <c r="BR415" s="0" t="s">
        <v>3651</v>
      </c>
      <c r="BS415" s="0" t="s">
        <v>228</v>
      </c>
      <c r="BT415" s="0" t="s">
        <v>3727</v>
      </c>
      <c r="BU415" s="0" t="s">
        <v>4980</v>
      </c>
      <c r="BV415" s="0" t="s">
        <v>4980</v>
      </c>
      <c r="BW415" s="0" t="s">
        <v>3674</v>
      </c>
      <c r="BX415" s="0" t="s">
        <v>3674</v>
      </c>
      <c r="BY415" s="0" t="s">
        <v>3674</v>
      </c>
      <c r="BZ415" s="0" t="s">
        <v>3674</v>
      </c>
      <c r="CA415" s="0" t="s">
        <v>3674</v>
      </c>
      <c r="CB415" s="0" t="s">
        <v>228</v>
      </c>
      <c r="CC415" s="0" t="s">
        <v>228</v>
      </c>
      <c r="CD415" s="0" t="s">
        <v>228</v>
      </c>
      <c r="CE415" s="0" t="s">
        <v>228</v>
      </c>
      <c r="CF415" s="0" t="s">
        <v>228</v>
      </c>
      <c r="CG415" s="0" t="s">
        <v>3674</v>
      </c>
      <c r="CH415" s="0" t="s">
        <v>228</v>
      </c>
      <c r="CI415" s="0" t="s">
        <v>228</v>
      </c>
      <c r="CJ415" s="0" t="s">
        <v>228</v>
      </c>
      <c r="CK415" s="0" t="s">
        <v>228</v>
      </c>
      <c r="CL415" s="0" t="s">
        <v>228</v>
      </c>
      <c r="CM415" s="0" t="s">
        <v>4980</v>
      </c>
      <c r="CN415" s="0" t="s">
        <v>4980</v>
      </c>
      <c r="CO415" s="0" t="s">
        <v>228</v>
      </c>
      <c r="CP415" s="0" t="s">
        <v>228</v>
      </c>
      <c r="CQ415" s="0" t="s">
        <v>228</v>
      </c>
      <c r="CR415" s="0" t="s">
        <v>228</v>
      </c>
      <c r="CS415" s="0" t="s">
        <v>3654</v>
      </c>
      <c r="CT415" s="0" t="s">
        <v>3568</v>
      </c>
      <c r="CU415" s="0" t="s">
        <v>3569</v>
      </c>
      <c r="CV415" s="0" t="s">
        <v>418</v>
      </c>
      <c r="CW415" s="0" t="s">
        <v>3656</v>
      </c>
      <c r="CX415" s="0" t="s">
        <v>419</v>
      </c>
      <c r="CY415" s="0" t="s">
        <v>418</v>
      </c>
      <c r="CZ415" s="0" t="s">
        <v>3657</v>
      </c>
      <c r="DA415" s="0" t="s">
        <v>3658</v>
      </c>
      <c r="DB415" s="0" t="s">
        <v>3656</v>
      </c>
      <c r="DC415" s="0" t="s">
        <v>362</v>
      </c>
      <c r="DD415" s="0" t="s">
        <v>3572</v>
      </c>
      <c r="DE415" s="0" t="s">
        <v>4981</v>
      </c>
    </row>
    <row customHeight="1" ht="11.25">
      <c r="A416" s="1353" t="s">
        <v>228</v>
      </c>
      <c r="B416" s="0" t="s">
        <v>228</v>
      </c>
      <c r="C416" s="0" t="s">
        <v>228</v>
      </c>
      <c r="D416" s="0" t="s">
        <v>228</v>
      </c>
      <c r="E416" s="0" t="s">
        <v>228</v>
      </c>
      <c r="F416" s="0" t="s">
        <v>228</v>
      </c>
      <c r="G416" s="0" t="s">
        <v>228</v>
      </c>
      <c r="H416" s="0" t="s">
        <v>228</v>
      </c>
      <c r="I416" s="0" t="s">
        <v>3555</v>
      </c>
      <c r="J416" s="0" t="s">
        <v>228</v>
      </c>
      <c r="K416" s="0" t="s">
        <v>228</v>
      </c>
      <c r="L416" s="0" t="s">
        <v>228</v>
      </c>
      <c r="M416" s="0" t="s">
        <v>228</v>
      </c>
      <c r="N416" s="0" t="s">
        <v>228</v>
      </c>
      <c r="O416" s="0" t="s">
        <v>228</v>
      </c>
      <c r="P416" s="0" t="s">
        <v>228</v>
      </c>
      <c r="Q416" s="0" t="s">
        <v>228</v>
      </c>
      <c r="R416" s="0" t="s">
        <v>5078</v>
      </c>
      <c r="S416" s="0" t="s">
        <v>228</v>
      </c>
      <c r="T416" s="0" t="s">
        <v>228</v>
      </c>
      <c r="U416" s="0" t="s">
        <v>101</v>
      </c>
      <c r="V416" s="0" t="s">
        <v>228</v>
      </c>
      <c r="W416" s="0" t="s">
        <v>228</v>
      </c>
      <c r="X416" s="0" t="s">
        <v>3557</v>
      </c>
      <c r="Y416" s="0" t="s">
        <v>228</v>
      </c>
      <c r="Z416" s="0" t="s">
        <v>160</v>
      </c>
      <c r="AA416" s="0" t="s">
        <v>151</v>
      </c>
      <c r="AB416" s="0" t="s">
        <v>151</v>
      </c>
      <c r="AC416" s="0" t="s">
        <v>2715</v>
      </c>
      <c r="AD416" s="0" t="s">
        <v>2715</v>
      </c>
      <c r="AE416" s="0" t="s">
        <v>2716</v>
      </c>
      <c r="AF416" s="0" t="s">
        <v>3594</v>
      </c>
      <c r="AG416" s="0" t="s">
        <v>3595</v>
      </c>
      <c r="AH416" s="0" t="s">
        <v>4368</v>
      </c>
      <c r="AI416" s="0" t="s">
        <v>489</v>
      </c>
      <c r="AJ416" s="0" t="s">
        <v>3636</v>
      </c>
      <c r="AK416" s="0" t="s">
        <v>4369</v>
      </c>
      <c r="AL416" s="0" t="s">
        <v>3599</v>
      </c>
      <c r="AM416" s="0" t="s">
        <v>3565</v>
      </c>
      <c r="AN416" s="0" t="s">
        <v>4370</v>
      </c>
      <c r="AO416" s="0" t="s">
        <v>4371</v>
      </c>
      <c r="AP416" s="0" t="s">
        <v>228</v>
      </c>
      <c r="AQ416" s="0" t="s">
        <v>228</v>
      </c>
      <c r="AR416" s="0" t="s">
        <v>228</v>
      </c>
      <c r="AS416" s="0" t="s">
        <v>228</v>
      </c>
      <c r="AT416" s="0" t="s">
        <v>228</v>
      </c>
      <c r="AU416" s="0" t="s">
        <v>228</v>
      </c>
      <c r="AV416" s="0" t="s">
        <v>228</v>
      </c>
      <c r="AW416" s="0" t="s">
        <v>228</v>
      </c>
      <c r="AX416" s="0" t="s">
        <v>228</v>
      </c>
      <c r="AY416" s="0" t="s">
        <v>228</v>
      </c>
      <c r="AZ416" s="0" t="s">
        <v>228</v>
      </c>
      <c r="BA416" s="0" t="s">
        <v>228</v>
      </c>
      <c r="BB416" s="0" t="s">
        <v>228</v>
      </c>
      <c r="BC416" s="0" t="s">
        <v>228</v>
      </c>
      <c r="BD416" s="0" t="s">
        <v>228</v>
      </c>
      <c r="BE416" s="0" t="s">
        <v>228</v>
      </c>
      <c r="BF416" s="0" t="s">
        <v>228</v>
      </c>
      <c r="BG416" s="0" t="s">
        <v>228</v>
      </c>
      <c r="BH416" s="0" t="s">
        <v>228</v>
      </c>
      <c r="BI416" s="0" t="s">
        <v>228</v>
      </c>
      <c r="BJ416" s="0" t="s">
        <v>228</v>
      </c>
      <c r="BK416" s="0" t="s">
        <v>228</v>
      </c>
      <c r="BL416" s="0" t="s">
        <v>228</v>
      </c>
      <c r="BM416" s="0" t="s">
        <v>228</v>
      </c>
      <c r="BN416" s="0" t="s">
        <v>228</v>
      </c>
      <c r="BO416" s="0" t="s">
        <v>228</v>
      </c>
      <c r="BP416" s="0" t="s">
        <v>228</v>
      </c>
      <c r="BQ416" s="0" t="s">
        <v>228</v>
      </c>
      <c r="BR416" s="0" t="s">
        <v>228</v>
      </c>
      <c r="BS416" s="0" t="s">
        <v>228</v>
      </c>
      <c r="BT416" s="0" t="s">
        <v>228</v>
      </c>
      <c r="BU416" s="0" t="s">
        <v>228</v>
      </c>
      <c r="BV416" s="0" t="s">
        <v>228</v>
      </c>
      <c r="BW416" s="0" t="s">
        <v>228</v>
      </c>
      <c r="BX416" s="0" t="s">
        <v>228</v>
      </c>
      <c r="BY416" s="0" t="s">
        <v>228</v>
      </c>
      <c r="BZ416" s="0" t="s">
        <v>228</v>
      </c>
      <c r="CA416" s="0" t="s">
        <v>228</v>
      </c>
      <c r="CB416" s="0" t="s">
        <v>228</v>
      </c>
      <c r="CC416" s="0" t="s">
        <v>228</v>
      </c>
      <c r="CD416" s="0" t="s">
        <v>228</v>
      </c>
      <c r="CE416" s="0" t="s">
        <v>228</v>
      </c>
      <c r="CF416" s="0" t="s">
        <v>228</v>
      </c>
      <c r="CG416" s="0" t="s">
        <v>228</v>
      </c>
      <c r="CH416" s="0" t="s">
        <v>228</v>
      </c>
      <c r="CI416" s="0" t="s">
        <v>228</v>
      </c>
      <c r="CJ416" s="0" t="s">
        <v>228</v>
      </c>
      <c r="CK416" s="0" t="s">
        <v>228</v>
      </c>
      <c r="CL416" s="0" t="s">
        <v>228</v>
      </c>
      <c r="CM416" s="0" t="s">
        <v>228</v>
      </c>
      <c r="CN416" s="0" t="s">
        <v>228</v>
      </c>
      <c r="CO416" s="0" t="s">
        <v>228</v>
      </c>
      <c r="CP416" s="0" t="s">
        <v>228</v>
      </c>
      <c r="CQ416" s="0" t="s">
        <v>228</v>
      </c>
      <c r="CR416" s="0" t="s">
        <v>228</v>
      </c>
      <c r="CS416" s="0" t="s">
        <v>228</v>
      </c>
      <c r="CT416" s="0" t="s">
        <v>3568</v>
      </c>
      <c r="CU416" s="0" t="s">
        <v>3569</v>
      </c>
      <c r="CV416" s="0" t="s">
        <v>418</v>
      </c>
      <c r="CW416" s="0" t="s">
        <v>3602</v>
      </c>
      <c r="CX416" s="0" t="s">
        <v>3603</v>
      </c>
      <c r="CY416" s="0" t="s">
        <v>418</v>
      </c>
      <c r="CZ416" s="0" t="s">
        <v>504</v>
      </c>
      <c r="DA416" s="0" t="s">
        <v>3604</v>
      </c>
      <c r="DB416" s="0" t="s">
        <v>3602</v>
      </c>
      <c r="DC416" s="0" t="s">
        <v>362</v>
      </c>
      <c r="DD416" s="0" t="s">
        <v>3572</v>
      </c>
      <c r="DE416" s="0" t="s">
        <v>4372</v>
      </c>
    </row>
    <row customHeight="1" ht="11.25">
      <c r="A417" s="1353" t="s">
        <v>228</v>
      </c>
      <c r="B417" s="0" t="s">
        <v>228</v>
      </c>
      <c r="C417" s="0" t="s">
        <v>228</v>
      </c>
      <c r="D417" s="0" t="s">
        <v>228</v>
      </c>
      <c r="E417" s="0" t="s">
        <v>228</v>
      </c>
      <c r="F417" s="0" t="s">
        <v>228</v>
      </c>
      <c r="G417" s="0" t="s">
        <v>228</v>
      </c>
      <c r="H417" s="0" t="s">
        <v>228</v>
      </c>
      <c r="I417" s="0" t="s">
        <v>3555</v>
      </c>
      <c r="J417" s="0" t="s">
        <v>228</v>
      </c>
      <c r="K417" s="0" t="s">
        <v>228</v>
      </c>
      <c r="L417" s="0" t="s">
        <v>228</v>
      </c>
      <c r="M417" s="0" t="s">
        <v>228</v>
      </c>
      <c r="N417" s="0" t="s">
        <v>228</v>
      </c>
      <c r="O417" s="0" t="s">
        <v>228</v>
      </c>
      <c r="P417" s="0" t="s">
        <v>228</v>
      </c>
      <c r="Q417" s="0" t="s">
        <v>228</v>
      </c>
      <c r="R417" s="0" t="s">
        <v>5079</v>
      </c>
      <c r="S417" s="0" t="s">
        <v>228</v>
      </c>
      <c r="T417" s="0" t="s">
        <v>228</v>
      </c>
      <c r="U417" s="0" t="s">
        <v>101</v>
      </c>
      <c r="V417" s="0" t="s">
        <v>228</v>
      </c>
      <c r="W417" s="0" t="s">
        <v>228</v>
      </c>
      <c r="X417" s="0" t="s">
        <v>3557</v>
      </c>
      <c r="Y417" s="0" t="s">
        <v>228</v>
      </c>
      <c r="Z417" s="0" t="s">
        <v>160</v>
      </c>
      <c r="AA417" s="0" t="s">
        <v>151</v>
      </c>
      <c r="AB417" s="0" t="s">
        <v>151</v>
      </c>
      <c r="AC417" s="0" t="s">
        <v>2715</v>
      </c>
      <c r="AD417" s="0" t="s">
        <v>2715</v>
      </c>
      <c r="AE417" s="0" t="s">
        <v>2716</v>
      </c>
      <c r="AF417" s="0" t="s">
        <v>3594</v>
      </c>
      <c r="AG417" s="0" t="s">
        <v>3595</v>
      </c>
      <c r="AH417" s="0" t="s">
        <v>3596</v>
      </c>
      <c r="AI417" s="0" t="s">
        <v>1692</v>
      </c>
      <c r="AJ417" s="0" t="s">
        <v>3597</v>
      </c>
      <c r="AK417" s="0" t="s">
        <v>3598</v>
      </c>
      <c r="AL417" s="0" t="s">
        <v>3599</v>
      </c>
      <c r="AM417" s="0" t="s">
        <v>3565</v>
      </c>
      <c r="AN417" s="0" t="s">
        <v>3600</v>
      </c>
      <c r="AO417" s="0" t="s">
        <v>3601</v>
      </c>
      <c r="AP417" s="0" t="s">
        <v>228</v>
      </c>
      <c r="AQ417" s="0" t="s">
        <v>228</v>
      </c>
      <c r="AR417" s="0" t="s">
        <v>228</v>
      </c>
      <c r="AS417" s="0" t="s">
        <v>228</v>
      </c>
      <c r="AT417" s="0" t="s">
        <v>228</v>
      </c>
      <c r="AU417" s="0" t="s">
        <v>228</v>
      </c>
      <c r="AV417" s="0" t="s">
        <v>228</v>
      </c>
      <c r="AW417" s="0" t="s">
        <v>228</v>
      </c>
      <c r="AX417" s="0" t="s">
        <v>228</v>
      </c>
      <c r="AY417" s="0" t="s">
        <v>228</v>
      </c>
      <c r="AZ417" s="0" t="s">
        <v>228</v>
      </c>
      <c r="BA417" s="0" t="s">
        <v>228</v>
      </c>
      <c r="BB417" s="0" t="s">
        <v>228</v>
      </c>
      <c r="BC417" s="0" t="s">
        <v>228</v>
      </c>
      <c r="BD417" s="0" t="s">
        <v>228</v>
      </c>
      <c r="BE417" s="0" t="s">
        <v>228</v>
      </c>
      <c r="BF417" s="0" t="s">
        <v>228</v>
      </c>
      <c r="BG417" s="0" t="s">
        <v>228</v>
      </c>
      <c r="BH417" s="0" t="s">
        <v>228</v>
      </c>
      <c r="BI417" s="0" t="s">
        <v>228</v>
      </c>
      <c r="BJ417" s="0" t="s">
        <v>228</v>
      </c>
      <c r="BK417" s="0" t="s">
        <v>228</v>
      </c>
      <c r="BL417" s="0" t="s">
        <v>228</v>
      </c>
      <c r="BM417" s="0" t="s">
        <v>228</v>
      </c>
      <c r="BN417" s="0" t="s">
        <v>228</v>
      </c>
      <c r="BO417" s="0" t="s">
        <v>228</v>
      </c>
      <c r="BP417" s="0" t="s">
        <v>228</v>
      </c>
      <c r="BQ417" s="0" t="s">
        <v>228</v>
      </c>
      <c r="BR417" s="0" t="s">
        <v>228</v>
      </c>
      <c r="BS417" s="0" t="s">
        <v>228</v>
      </c>
      <c r="BT417" s="0" t="s">
        <v>228</v>
      </c>
      <c r="BU417" s="0" t="s">
        <v>228</v>
      </c>
      <c r="BV417" s="0" t="s">
        <v>228</v>
      </c>
      <c r="BW417" s="0" t="s">
        <v>228</v>
      </c>
      <c r="BX417" s="0" t="s">
        <v>228</v>
      </c>
      <c r="BY417" s="0" t="s">
        <v>228</v>
      </c>
      <c r="BZ417" s="0" t="s">
        <v>228</v>
      </c>
      <c r="CA417" s="0" t="s">
        <v>228</v>
      </c>
      <c r="CB417" s="0" t="s">
        <v>228</v>
      </c>
      <c r="CC417" s="0" t="s">
        <v>228</v>
      </c>
      <c r="CD417" s="0" t="s">
        <v>228</v>
      </c>
      <c r="CE417" s="0" t="s">
        <v>228</v>
      </c>
      <c r="CF417" s="0" t="s">
        <v>228</v>
      </c>
      <c r="CG417" s="0" t="s">
        <v>228</v>
      </c>
      <c r="CH417" s="0" t="s">
        <v>228</v>
      </c>
      <c r="CI417" s="0" t="s">
        <v>228</v>
      </c>
      <c r="CJ417" s="0" t="s">
        <v>228</v>
      </c>
      <c r="CK417" s="0" t="s">
        <v>228</v>
      </c>
      <c r="CL417" s="0" t="s">
        <v>228</v>
      </c>
      <c r="CM417" s="0" t="s">
        <v>228</v>
      </c>
      <c r="CN417" s="0" t="s">
        <v>228</v>
      </c>
      <c r="CO417" s="0" t="s">
        <v>228</v>
      </c>
      <c r="CP417" s="0" t="s">
        <v>228</v>
      </c>
      <c r="CQ417" s="0" t="s">
        <v>228</v>
      </c>
      <c r="CR417" s="0" t="s">
        <v>228</v>
      </c>
      <c r="CS417" s="0" t="s">
        <v>228</v>
      </c>
      <c r="CT417" s="0" t="s">
        <v>3568</v>
      </c>
      <c r="CU417" s="0" t="s">
        <v>3569</v>
      </c>
      <c r="CV417" s="0" t="s">
        <v>418</v>
      </c>
      <c r="CW417" s="0" t="s">
        <v>3602</v>
      </c>
      <c r="CX417" s="0" t="s">
        <v>3603</v>
      </c>
      <c r="CY417" s="0" t="s">
        <v>418</v>
      </c>
      <c r="CZ417" s="0" t="s">
        <v>504</v>
      </c>
      <c r="DA417" s="0" t="s">
        <v>3604</v>
      </c>
      <c r="DB417" s="0" t="s">
        <v>3602</v>
      </c>
      <c r="DC417" s="0" t="s">
        <v>362</v>
      </c>
      <c r="DD417" s="0" t="s">
        <v>3572</v>
      </c>
      <c r="DE417" s="0" t="s">
        <v>3605</v>
      </c>
    </row>
    <row customHeight="1" ht="11.25">
      <c r="A418" s="1353" t="s">
        <v>228</v>
      </c>
      <c r="B418" s="0" t="s">
        <v>228</v>
      </c>
      <c r="C418" s="0" t="s">
        <v>228</v>
      </c>
      <c r="D418" s="0" t="s">
        <v>228</v>
      </c>
      <c r="E418" s="0" t="s">
        <v>228</v>
      </c>
      <c r="F418" s="0" t="s">
        <v>228</v>
      </c>
      <c r="G418" s="0" t="s">
        <v>228</v>
      </c>
      <c r="H418" s="0" t="s">
        <v>228</v>
      </c>
      <c r="I418" s="0" t="s">
        <v>3555</v>
      </c>
      <c r="J418" s="0" t="s">
        <v>228</v>
      </c>
      <c r="K418" s="0" t="s">
        <v>228</v>
      </c>
      <c r="L418" s="0" t="s">
        <v>228</v>
      </c>
      <c r="M418" s="0" t="s">
        <v>228</v>
      </c>
      <c r="N418" s="0" t="s">
        <v>228</v>
      </c>
      <c r="O418" s="0" t="s">
        <v>228</v>
      </c>
      <c r="P418" s="0" t="s">
        <v>228</v>
      </c>
      <c r="Q418" s="0" t="s">
        <v>228</v>
      </c>
      <c r="R418" s="0" t="s">
        <v>3718</v>
      </c>
      <c r="S418" s="0" t="s">
        <v>228</v>
      </c>
      <c r="T418" s="0" t="s">
        <v>228</v>
      </c>
      <c r="U418" s="0" t="s">
        <v>101</v>
      </c>
      <c r="V418" s="0" t="s">
        <v>228</v>
      </c>
      <c r="W418" s="0" t="s">
        <v>228</v>
      </c>
      <c r="X418" s="0" t="s">
        <v>3661</v>
      </c>
      <c r="Y418" s="0" t="s">
        <v>228</v>
      </c>
      <c r="Z418" s="0" t="s">
        <v>151</v>
      </c>
      <c r="AA418" s="0" t="s">
        <v>151</v>
      </c>
      <c r="AB418" s="0" t="s">
        <v>160</v>
      </c>
      <c r="AC418" s="0" t="s">
        <v>2311</v>
      </c>
      <c r="AD418" s="0" t="s">
        <v>2311</v>
      </c>
      <c r="AE418" s="0" t="s">
        <v>2312</v>
      </c>
      <c r="AF418" s="0" t="s">
        <v>3996</v>
      </c>
      <c r="AG418" s="0" t="s">
        <v>3997</v>
      </c>
      <c r="AH418" s="0" t="s">
        <v>3998</v>
      </c>
      <c r="AI418" s="0" t="s">
        <v>3721</v>
      </c>
      <c r="AJ418" s="0" t="s">
        <v>228</v>
      </c>
      <c r="AK418" s="0" t="s">
        <v>228</v>
      </c>
      <c r="AL418" s="0" t="s">
        <v>228</v>
      </c>
      <c r="AM418" s="0" t="s">
        <v>228</v>
      </c>
      <c r="AN418" s="0" t="s">
        <v>228</v>
      </c>
      <c r="AO418" s="0" t="s">
        <v>228</v>
      </c>
      <c r="AP418" s="0" t="s">
        <v>228</v>
      </c>
      <c r="AQ418" s="0" t="s">
        <v>228</v>
      </c>
      <c r="AR418" s="0" t="s">
        <v>228</v>
      </c>
      <c r="AS418" s="0" t="s">
        <v>228</v>
      </c>
      <c r="AT418" s="0" t="s">
        <v>228</v>
      </c>
      <c r="AU418" s="0" t="s">
        <v>228</v>
      </c>
      <c r="AV418" s="0" t="s">
        <v>228</v>
      </c>
      <c r="AW418" s="0" t="s">
        <v>228</v>
      </c>
      <c r="AX418" s="0" t="s">
        <v>228</v>
      </c>
      <c r="AY418" s="0" t="s">
        <v>228</v>
      </c>
      <c r="AZ418" s="0" t="s">
        <v>228</v>
      </c>
      <c r="BA418" s="0" t="s">
        <v>228</v>
      </c>
      <c r="BB418" s="0" t="s">
        <v>228</v>
      </c>
      <c r="BC418" s="0" t="s">
        <v>228</v>
      </c>
      <c r="BD418" s="0" t="s">
        <v>228</v>
      </c>
      <c r="BE418" s="0" t="s">
        <v>3722</v>
      </c>
      <c r="BF418" s="0" t="s">
        <v>3722</v>
      </c>
      <c r="BG418" s="0" t="s">
        <v>111</v>
      </c>
      <c r="BH418" s="0" t="s">
        <v>3665</v>
      </c>
      <c r="BI418" s="0" t="s">
        <v>122</v>
      </c>
      <c r="BJ418" s="0" t="s">
        <v>228</v>
      </c>
      <c r="BK418" s="0" t="s">
        <v>3684</v>
      </c>
      <c r="BL418" s="0" t="s">
        <v>2311</v>
      </c>
      <c r="BM418" s="0" t="s">
        <v>2311</v>
      </c>
      <c r="BN418" s="0" t="s">
        <v>3723</v>
      </c>
      <c r="BO418" s="0" t="s">
        <v>3996</v>
      </c>
      <c r="BP418" s="0" t="s">
        <v>3999</v>
      </c>
      <c r="BQ418" s="0" t="s">
        <v>4000</v>
      </c>
      <c r="BR418" s="0" t="s">
        <v>1701</v>
      </c>
      <c r="BS418" s="0" t="s">
        <v>228</v>
      </c>
      <c r="BT418" s="0" t="s">
        <v>3727</v>
      </c>
      <c r="BU418" s="0" t="s">
        <v>4001</v>
      </c>
      <c r="BV418" s="0" t="s">
        <v>4001</v>
      </c>
      <c r="BW418" s="0" t="s">
        <v>3674</v>
      </c>
      <c r="BX418" s="0" t="s">
        <v>3674</v>
      </c>
      <c r="BY418" s="0" t="s">
        <v>3674</v>
      </c>
      <c r="BZ418" s="0" t="s">
        <v>3674</v>
      </c>
      <c r="CA418" s="0" t="s">
        <v>3674</v>
      </c>
      <c r="CB418" s="0" t="s">
        <v>228</v>
      </c>
      <c r="CC418" s="0" t="s">
        <v>228</v>
      </c>
      <c r="CD418" s="0" t="s">
        <v>228</v>
      </c>
      <c r="CE418" s="0" t="s">
        <v>228</v>
      </c>
      <c r="CF418" s="0" t="s">
        <v>228</v>
      </c>
      <c r="CG418" s="0" t="s">
        <v>3674</v>
      </c>
      <c r="CH418" s="0" t="s">
        <v>228</v>
      </c>
      <c r="CI418" s="0" t="s">
        <v>228</v>
      </c>
      <c r="CJ418" s="0" t="s">
        <v>228</v>
      </c>
      <c r="CK418" s="0" t="s">
        <v>228</v>
      </c>
      <c r="CL418" s="0" t="s">
        <v>228</v>
      </c>
      <c r="CM418" s="0" t="s">
        <v>4001</v>
      </c>
      <c r="CN418" s="0" t="s">
        <v>4001</v>
      </c>
      <c r="CO418" s="0" t="s">
        <v>228</v>
      </c>
      <c r="CP418" s="0" t="s">
        <v>228</v>
      </c>
      <c r="CQ418" s="0" t="s">
        <v>228</v>
      </c>
      <c r="CR418" s="0" t="s">
        <v>228</v>
      </c>
      <c r="CS418" s="0" t="s">
        <v>3582</v>
      </c>
      <c r="CT418" s="0" t="s">
        <v>3568</v>
      </c>
      <c r="CU418" s="0" t="s">
        <v>3569</v>
      </c>
      <c r="CV418" s="0" t="s">
        <v>418</v>
      </c>
      <c r="CW418" s="0" t="s">
        <v>3584</v>
      </c>
      <c r="CX418" s="0" t="s">
        <v>419</v>
      </c>
      <c r="CY418" s="0" t="s">
        <v>418</v>
      </c>
      <c r="CZ418" s="0" t="s">
        <v>3585</v>
      </c>
      <c r="DA418" s="0" t="s">
        <v>3586</v>
      </c>
      <c r="DB418" s="0" t="s">
        <v>3584</v>
      </c>
      <c r="DC418" s="0" t="s">
        <v>362</v>
      </c>
      <c r="DD418" s="0" t="s">
        <v>3572</v>
      </c>
      <c r="DE418" s="0" t="s">
        <v>4002</v>
      </c>
    </row>
    <row customHeight="1" ht="11.25">
      <c r="A419" s="1353" t="s">
        <v>228</v>
      </c>
      <c r="B419" s="0" t="s">
        <v>228</v>
      </c>
      <c r="C419" s="0" t="s">
        <v>228</v>
      </c>
      <c r="D419" s="0" t="s">
        <v>228</v>
      </c>
      <c r="E419" s="0" t="s">
        <v>228</v>
      </c>
      <c r="F419" s="0" t="s">
        <v>228</v>
      </c>
      <c r="G419" s="0" t="s">
        <v>228</v>
      </c>
      <c r="H419" s="0" t="s">
        <v>228</v>
      </c>
      <c r="I419" s="0" t="s">
        <v>3555</v>
      </c>
      <c r="J419" s="0" t="s">
        <v>228</v>
      </c>
      <c r="K419" s="0" t="s">
        <v>228</v>
      </c>
      <c r="L419" s="0" t="s">
        <v>228</v>
      </c>
      <c r="M419" s="0" t="s">
        <v>228</v>
      </c>
      <c r="N419" s="0" t="s">
        <v>228</v>
      </c>
      <c r="O419" s="0" t="s">
        <v>228</v>
      </c>
      <c r="P419" s="0" t="s">
        <v>228</v>
      </c>
      <c r="Q419" s="0" t="s">
        <v>228</v>
      </c>
      <c r="R419" s="0" t="s">
        <v>3782</v>
      </c>
      <c r="S419" s="0" t="s">
        <v>228</v>
      </c>
      <c r="T419" s="0" t="s">
        <v>228</v>
      </c>
      <c r="U419" s="0" t="s">
        <v>101</v>
      </c>
      <c r="V419" s="0" t="s">
        <v>228</v>
      </c>
      <c r="W419" s="0" t="s">
        <v>228</v>
      </c>
      <c r="X419" s="0" t="s">
        <v>3661</v>
      </c>
      <c r="Y419" s="0" t="s">
        <v>228</v>
      </c>
      <c r="Z419" s="0" t="s">
        <v>151</v>
      </c>
      <c r="AA419" s="0" t="s">
        <v>151</v>
      </c>
      <c r="AB419" s="0" t="s">
        <v>160</v>
      </c>
      <c r="AC419" s="0" t="s">
        <v>2311</v>
      </c>
      <c r="AD419" s="0" t="s">
        <v>2311</v>
      </c>
      <c r="AE419" s="0" t="s">
        <v>2312</v>
      </c>
      <c r="AF419" s="0" t="s">
        <v>3996</v>
      </c>
      <c r="AG419" s="0" t="s">
        <v>3997</v>
      </c>
      <c r="AH419" s="0" t="s">
        <v>4003</v>
      </c>
      <c r="AI419" s="0" t="s">
        <v>3721</v>
      </c>
      <c r="AJ419" s="0" t="s">
        <v>228</v>
      </c>
      <c r="AK419" s="0" t="s">
        <v>228</v>
      </c>
      <c r="AL419" s="0" t="s">
        <v>228</v>
      </c>
      <c r="AM419" s="0" t="s">
        <v>228</v>
      </c>
      <c r="AN419" s="0" t="s">
        <v>228</v>
      </c>
      <c r="AO419" s="0" t="s">
        <v>228</v>
      </c>
      <c r="AP419" s="0" t="s">
        <v>228</v>
      </c>
      <c r="AQ419" s="0" t="s">
        <v>228</v>
      </c>
      <c r="AR419" s="0" t="s">
        <v>228</v>
      </c>
      <c r="AS419" s="0" t="s">
        <v>228</v>
      </c>
      <c r="AT419" s="0" t="s">
        <v>228</v>
      </c>
      <c r="AU419" s="0" t="s">
        <v>228</v>
      </c>
      <c r="AV419" s="0" t="s">
        <v>228</v>
      </c>
      <c r="AW419" s="0" t="s">
        <v>228</v>
      </c>
      <c r="AX419" s="0" t="s">
        <v>228</v>
      </c>
      <c r="AY419" s="0" t="s">
        <v>228</v>
      </c>
      <c r="AZ419" s="0" t="s">
        <v>228</v>
      </c>
      <c r="BA419" s="0" t="s">
        <v>228</v>
      </c>
      <c r="BB419" s="0" t="s">
        <v>228</v>
      </c>
      <c r="BC419" s="0" t="s">
        <v>228</v>
      </c>
      <c r="BD419" s="0" t="s">
        <v>228</v>
      </c>
      <c r="BE419" s="0" t="s">
        <v>3722</v>
      </c>
      <c r="BF419" s="0" t="s">
        <v>3722</v>
      </c>
      <c r="BG419" s="0" t="s">
        <v>111</v>
      </c>
      <c r="BH419" s="0" t="s">
        <v>3665</v>
      </c>
      <c r="BI419" s="0" t="s">
        <v>122</v>
      </c>
      <c r="BJ419" s="0" t="s">
        <v>228</v>
      </c>
      <c r="BK419" s="0" t="s">
        <v>3684</v>
      </c>
      <c r="BL419" s="0" t="s">
        <v>2311</v>
      </c>
      <c r="BM419" s="0" t="s">
        <v>2311</v>
      </c>
      <c r="BN419" s="0" t="s">
        <v>3723</v>
      </c>
      <c r="BO419" s="0" t="s">
        <v>3996</v>
      </c>
      <c r="BP419" s="0" t="s">
        <v>3999</v>
      </c>
      <c r="BQ419" s="0" t="s">
        <v>4004</v>
      </c>
      <c r="BR419" s="0" t="s">
        <v>1701</v>
      </c>
      <c r="BS419" s="0" t="s">
        <v>228</v>
      </c>
      <c r="BT419" s="0" t="s">
        <v>3727</v>
      </c>
      <c r="BU419" s="0" t="s">
        <v>4005</v>
      </c>
      <c r="BV419" s="0" t="s">
        <v>4005</v>
      </c>
      <c r="BW419" s="0" t="s">
        <v>3674</v>
      </c>
      <c r="BX419" s="0" t="s">
        <v>3674</v>
      </c>
      <c r="BY419" s="0" t="s">
        <v>3674</v>
      </c>
      <c r="BZ419" s="0" t="s">
        <v>3674</v>
      </c>
      <c r="CA419" s="0" t="s">
        <v>3674</v>
      </c>
      <c r="CB419" s="0" t="s">
        <v>228</v>
      </c>
      <c r="CC419" s="0" t="s">
        <v>228</v>
      </c>
      <c r="CD419" s="0" t="s">
        <v>228</v>
      </c>
      <c r="CE419" s="0" t="s">
        <v>228</v>
      </c>
      <c r="CF419" s="0" t="s">
        <v>228</v>
      </c>
      <c r="CG419" s="0" t="s">
        <v>3674</v>
      </c>
      <c r="CH419" s="0" t="s">
        <v>228</v>
      </c>
      <c r="CI419" s="0" t="s">
        <v>228</v>
      </c>
      <c r="CJ419" s="0" t="s">
        <v>228</v>
      </c>
      <c r="CK419" s="0" t="s">
        <v>228</v>
      </c>
      <c r="CL419" s="0" t="s">
        <v>228</v>
      </c>
      <c r="CM419" s="0" t="s">
        <v>4005</v>
      </c>
      <c r="CN419" s="0" t="s">
        <v>4005</v>
      </c>
      <c r="CO419" s="0" t="s">
        <v>228</v>
      </c>
      <c r="CP419" s="0" t="s">
        <v>228</v>
      </c>
      <c r="CQ419" s="0" t="s">
        <v>228</v>
      </c>
      <c r="CR419" s="0" t="s">
        <v>228</v>
      </c>
      <c r="CS419" s="0" t="s">
        <v>3582</v>
      </c>
      <c r="CT419" s="0" t="s">
        <v>3568</v>
      </c>
      <c r="CU419" s="0" t="s">
        <v>3569</v>
      </c>
      <c r="CV419" s="0" t="s">
        <v>418</v>
      </c>
      <c r="CW419" s="0" t="s">
        <v>3584</v>
      </c>
      <c r="CX419" s="0" t="s">
        <v>419</v>
      </c>
      <c r="CY419" s="0" t="s">
        <v>418</v>
      </c>
      <c r="CZ419" s="0" t="s">
        <v>3585</v>
      </c>
      <c r="DA419" s="0" t="s">
        <v>3586</v>
      </c>
      <c r="DB419" s="0" t="s">
        <v>3584</v>
      </c>
      <c r="DC419" s="0" t="s">
        <v>362</v>
      </c>
      <c r="DD419" s="0" t="s">
        <v>3572</v>
      </c>
      <c r="DE419" s="0" t="s">
        <v>4006</v>
      </c>
    </row>
    <row customHeight="1" ht="11.25">
      <c r="A420" s="1353" t="s">
        <v>228</v>
      </c>
      <c r="B420" s="0" t="s">
        <v>228</v>
      </c>
      <c r="C420" s="0" t="s">
        <v>228</v>
      </c>
      <c r="D420" s="0" t="s">
        <v>228</v>
      </c>
      <c r="E420" s="0" t="s">
        <v>228</v>
      </c>
      <c r="F420" s="0" t="s">
        <v>228</v>
      </c>
      <c r="G420" s="0" t="s">
        <v>228</v>
      </c>
      <c r="H420" s="0" t="s">
        <v>228</v>
      </c>
      <c r="I420" s="0" t="s">
        <v>3555</v>
      </c>
      <c r="J420" s="0" t="s">
        <v>228</v>
      </c>
      <c r="K420" s="0" t="s">
        <v>228</v>
      </c>
      <c r="L420" s="0" t="s">
        <v>228</v>
      </c>
      <c r="M420" s="0" t="s">
        <v>228</v>
      </c>
      <c r="N420" s="0" t="s">
        <v>228</v>
      </c>
      <c r="O420" s="0" t="s">
        <v>228</v>
      </c>
      <c r="P420" s="0" t="s">
        <v>228</v>
      </c>
      <c r="Q420" s="0" t="s">
        <v>228</v>
      </c>
      <c r="R420" s="0" t="s">
        <v>3631</v>
      </c>
      <c r="S420" s="0" t="s">
        <v>228</v>
      </c>
      <c r="T420" s="0" t="s">
        <v>228</v>
      </c>
      <c r="U420" s="0" t="s">
        <v>101</v>
      </c>
      <c r="V420" s="0" t="s">
        <v>228</v>
      </c>
      <c r="W420" s="0" t="s">
        <v>228</v>
      </c>
      <c r="X420" s="0" t="s">
        <v>3557</v>
      </c>
      <c r="Y420" s="0" t="s">
        <v>228</v>
      </c>
      <c r="Z420" s="0" t="s">
        <v>160</v>
      </c>
      <c r="AA420" s="0" t="s">
        <v>151</v>
      </c>
      <c r="AB420" s="0" t="s">
        <v>151</v>
      </c>
      <c r="AC420" s="0" t="s">
        <v>2317</v>
      </c>
      <c r="AD420" s="0" t="s">
        <v>2317</v>
      </c>
      <c r="AE420" s="0" t="s">
        <v>2318</v>
      </c>
      <c r="AF420" s="0" t="s">
        <v>3615</v>
      </c>
      <c r="AG420" s="0" t="s">
        <v>3616</v>
      </c>
      <c r="AH420" s="0" t="s">
        <v>3617</v>
      </c>
      <c r="AI420" s="0" t="s">
        <v>1765</v>
      </c>
      <c r="AJ420" s="0" t="s">
        <v>3579</v>
      </c>
      <c r="AK420" s="0" t="s">
        <v>3619</v>
      </c>
      <c r="AL420" s="0" t="s">
        <v>3581</v>
      </c>
      <c r="AM420" s="0" t="s">
        <v>3565</v>
      </c>
      <c r="AN420" s="0" t="s">
        <v>3628</v>
      </c>
      <c r="AO420" s="0" t="s">
        <v>3629</v>
      </c>
      <c r="AP420" s="0" t="s">
        <v>228</v>
      </c>
      <c r="AQ420" s="0" t="s">
        <v>228</v>
      </c>
      <c r="AR420" s="0" t="s">
        <v>228</v>
      </c>
      <c r="AS420" s="0" t="s">
        <v>228</v>
      </c>
      <c r="AT420" s="0" t="s">
        <v>228</v>
      </c>
      <c r="AU420" s="0" t="s">
        <v>228</v>
      </c>
      <c r="AV420" s="0" t="s">
        <v>228</v>
      </c>
      <c r="AW420" s="0" t="s">
        <v>228</v>
      </c>
      <c r="AX420" s="0" t="s">
        <v>228</v>
      </c>
      <c r="AY420" s="0" t="s">
        <v>228</v>
      </c>
      <c r="AZ420" s="0" t="s">
        <v>228</v>
      </c>
      <c r="BA420" s="0" t="s">
        <v>228</v>
      </c>
      <c r="BB420" s="0" t="s">
        <v>228</v>
      </c>
      <c r="BC420" s="0" t="s">
        <v>228</v>
      </c>
      <c r="BD420" s="0" t="s">
        <v>228</v>
      </c>
      <c r="BE420" s="0" t="s">
        <v>228</v>
      </c>
      <c r="BF420" s="0" t="s">
        <v>228</v>
      </c>
      <c r="BG420" s="0" t="s">
        <v>228</v>
      </c>
      <c r="BH420" s="0" t="s">
        <v>228</v>
      </c>
      <c r="BI420" s="0" t="s">
        <v>228</v>
      </c>
      <c r="BJ420" s="0" t="s">
        <v>228</v>
      </c>
      <c r="BK420" s="0" t="s">
        <v>228</v>
      </c>
      <c r="BL420" s="0" t="s">
        <v>228</v>
      </c>
      <c r="BM420" s="0" t="s">
        <v>228</v>
      </c>
      <c r="BN420" s="0" t="s">
        <v>228</v>
      </c>
      <c r="BO420" s="0" t="s">
        <v>228</v>
      </c>
      <c r="BP420" s="0" t="s">
        <v>228</v>
      </c>
      <c r="BQ420" s="0" t="s">
        <v>228</v>
      </c>
      <c r="BR420" s="0" t="s">
        <v>228</v>
      </c>
      <c r="BS420" s="0" t="s">
        <v>228</v>
      </c>
      <c r="BT420" s="0" t="s">
        <v>228</v>
      </c>
      <c r="BU420" s="0" t="s">
        <v>228</v>
      </c>
      <c r="BV420" s="0" t="s">
        <v>228</v>
      </c>
      <c r="BW420" s="0" t="s">
        <v>228</v>
      </c>
      <c r="BX420" s="0" t="s">
        <v>228</v>
      </c>
      <c r="BY420" s="0" t="s">
        <v>228</v>
      </c>
      <c r="BZ420" s="0" t="s">
        <v>228</v>
      </c>
      <c r="CA420" s="0" t="s">
        <v>228</v>
      </c>
      <c r="CB420" s="0" t="s">
        <v>228</v>
      </c>
      <c r="CC420" s="0" t="s">
        <v>228</v>
      </c>
      <c r="CD420" s="0" t="s">
        <v>228</v>
      </c>
      <c r="CE420" s="0" t="s">
        <v>228</v>
      </c>
      <c r="CF420" s="0" t="s">
        <v>228</v>
      </c>
      <c r="CG420" s="0" t="s">
        <v>228</v>
      </c>
      <c r="CH420" s="0" t="s">
        <v>228</v>
      </c>
      <c r="CI420" s="0" t="s">
        <v>228</v>
      </c>
      <c r="CJ420" s="0" t="s">
        <v>228</v>
      </c>
      <c r="CK420" s="0" t="s">
        <v>228</v>
      </c>
      <c r="CL420" s="0" t="s">
        <v>228</v>
      </c>
      <c r="CM420" s="0" t="s">
        <v>228</v>
      </c>
      <c r="CN420" s="0" t="s">
        <v>228</v>
      </c>
      <c r="CO420" s="0" t="s">
        <v>228</v>
      </c>
      <c r="CP420" s="0" t="s">
        <v>228</v>
      </c>
      <c r="CQ420" s="0" t="s">
        <v>228</v>
      </c>
      <c r="CR420" s="0" t="s">
        <v>228</v>
      </c>
      <c r="CS420" s="0" t="s">
        <v>228</v>
      </c>
      <c r="CT420" s="0" t="s">
        <v>3568</v>
      </c>
      <c r="CU420" s="0" t="s">
        <v>3569</v>
      </c>
      <c r="CV420" s="0" t="s">
        <v>418</v>
      </c>
      <c r="CW420" s="0" t="s">
        <v>3622</v>
      </c>
      <c r="CX420" s="0" t="s">
        <v>419</v>
      </c>
      <c r="CY420" s="0" t="s">
        <v>418</v>
      </c>
      <c r="CZ420" s="0" t="s">
        <v>3623</v>
      </c>
      <c r="DA420" s="0" t="s">
        <v>3624</v>
      </c>
      <c r="DB420" s="0" t="s">
        <v>3622</v>
      </c>
      <c r="DC420" s="0" t="s">
        <v>362</v>
      </c>
      <c r="DD420" s="0" t="s">
        <v>3572</v>
      </c>
      <c r="DE420" s="0" t="s">
        <v>3632</v>
      </c>
    </row>
    <row customHeight="1" ht="11.25">
      <c r="A421" s="1353" t="s">
        <v>228</v>
      </c>
      <c r="B421" s="0" t="s">
        <v>228</v>
      </c>
      <c r="C421" s="0" t="s">
        <v>228</v>
      </c>
      <c r="D421" s="0" t="s">
        <v>228</v>
      </c>
      <c r="E421" s="0" t="s">
        <v>228</v>
      </c>
      <c r="F421" s="0" t="s">
        <v>228</v>
      </c>
      <c r="G421" s="0" t="s">
        <v>228</v>
      </c>
      <c r="H421" s="0" t="s">
        <v>228</v>
      </c>
      <c r="I421" s="0" t="s">
        <v>3555</v>
      </c>
      <c r="J421" s="0" t="s">
        <v>228</v>
      </c>
      <c r="K421" s="0" t="s">
        <v>228</v>
      </c>
      <c r="L421" s="0" t="s">
        <v>228</v>
      </c>
      <c r="M421" s="0" t="s">
        <v>228</v>
      </c>
      <c r="N421" s="0" t="s">
        <v>228</v>
      </c>
      <c r="O421" s="0" t="s">
        <v>228</v>
      </c>
      <c r="P421" s="0" t="s">
        <v>228</v>
      </c>
      <c r="Q421" s="0" t="s">
        <v>228</v>
      </c>
      <c r="R421" s="0" t="s">
        <v>4007</v>
      </c>
      <c r="S421" s="0" t="s">
        <v>228</v>
      </c>
      <c r="T421" s="0" t="s">
        <v>228</v>
      </c>
      <c r="U421" s="0" t="s">
        <v>101</v>
      </c>
      <c r="V421" s="0" t="s">
        <v>228</v>
      </c>
      <c r="W421" s="0" t="s">
        <v>228</v>
      </c>
      <c r="X421" s="0" t="s">
        <v>3557</v>
      </c>
      <c r="Y421" s="0" t="s">
        <v>228</v>
      </c>
      <c r="Z421" s="0" t="s">
        <v>160</v>
      </c>
      <c r="AA421" s="0" t="s">
        <v>151</v>
      </c>
      <c r="AB421" s="0" t="s">
        <v>151</v>
      </c>
      <c r="AC421" s="0" t="s">
        <v>2317</v>
      </c>
      <c r="AD421" s="0" t="s">
        <v>2317</v>
      </c>
      <c r="AE421" s="0" t="s">
        <v>2318</v>
      </c>
      <c r="AF421" s="0" t="s">
        <v>3615</v>
      </c>
      <c r="AG421" s="0" t="s">
        <v>3616</v>
      </c>
      <c r="AH421" s="0" t="s">
        <v>3617</v>
      </c>
      <c r="AI421" s="0" t="s">
        <v>4008</v>
      </c>
      <c r="AJ421" s="0" t="s">
        <v>3579</v>
      </c>
      <c r="AK421" s="0" t="s">
        <v>3808</v>
      </c>
      <c r="AL421" s="0" t="s">
        <v>3581</v>
      </c>
      <c r="AM421" s="0" t="s">
        <v>3565</v>
      </c>
      <c r="AN421" s="0" t="s">
        <v>3563</v>
      </c>
      <c r="AO421" s="0" t="s">
        <v>3621</v>
      </c>
      <c r="AP421" s="0" t="s">
        <v>228</v>
      </c>
      <c r="AQ421" s="0" t="s">
        <v>228</v>
      </c>
      <c r="AR421" s="0" t="s">
        <v>228</v>
      </c>
      <c r="AS421" s="0" t="s">
        <v>228</v>
      </c>
      <c r="AT421" s="0" t="s">
        <v>228</v>
      </c>
      <c r="AU421" s="0" t="s">
        <v>228</v>
      </c>
      <c r="AV421" s="0" t="s">
        <v>228</v>
      </c>
      <c r="AW421" s="0" t="s">
        <v>228</v>
      </c>
      <c r="AX421" s="0" t="s">
        <v>228</v>
      </c>
      <c r="AY421" s="0" t="s">
        <v>228</v>
      </c>
      <c r="AZ421" s="0" t="s">
        <v>228</v>
      </c>
      <c r="BA421" s="0" t="s">
        <v>228</v>
      </c>
      <c r="BB421" s="0" t="s">
        <v>228</v>
      </c>
      <c r="BC421" s="0" t="s">
        <v>228</v>
      </c>
      <c r="BD421" s="0" t="s">
        <v>228</v>
      </c>
      <c r="BE421" s="0" t="s">
        <v>228</v>
      </c>
      <c r="BF421" s="0" t="s">
        <v>228</v>
      </c>
      <c r="BG421" s="0" t="s">
        <v>228</v>
      </c>
      <c r="BH421" s="0" t="s">
        <v>228</v>
      </c>
      <c r="BI421" s="0" t="s">
        <v>228</v>
      </c>
      <c r="BJ421" s="0" t="s">
        <v>228</v>
      </c>
      <c r="BK421" s="0" t="s">
        <v>228</v>
      </c>
      <c r="BL421" s="0" t="s">
        <v>228</v>
      </c>
      <c r="BM421" s="0" t="s">
        <v>228</v>
      </c>
      <c r="BN421" s="0" t="s">
        <v>228</v>
      </c>
      <c r="BO421" s="0" t="s">
        <v>228</v>
      </c>
      <c r="BP421" s="0" t="s">
        <v>228</v>
      </c>
      <c r="BQ421" s="0" t="s">
        <v>228</v>
      </c>
      <c r="BR421" s="0" t="s">
        <v>228</v>
      </c>
      <c r="BS421" s="0" t="s">
        <v>228</v>
      </c>
      <c r="BT421" s="0" t="s">
        <v>228</v>
      </c>
      <c r="BU421" s="0" t="s">
        <v>228</v>
      </c>
      <c r="BV421" s="0" t="s">
        <v>228</v>
      </c>
      <c r="BW421" s="0" t="s">
        <v>228</v>
      </c>
      <c r="BX421" s="0" t="s">
        <v>228</v>
      </c>
      <c r="BY421" s="0" t="s">
        <v>228</v>
      </c>
      <c r="BZ421" s="0" t="s">
        <v>228</v>
      </c>
      <c r="CA421" s="0" t="s">
        <v>228</v>
      </c>
      <c r="CB421" s="0" t="s">
        <v>228</v>
      </c>
      <c r="CC421" s="0" t="s">
        <v>228</v>
      </c>
      <c r="CD421" s="0" t="s">
        <v>228</v>
      </c>
      <c r="CE421" s="0" t="s">
        <v>228</v>
      </c>
      <c r="CF421" s="0" t="s">
        <v>228</v>
      </c>
      <c r="CG421" s="0" t="s">
        <v>228</v>
      </c>
      <c r="CH421" s="0" t="s">
        <v>228</v>
      </c>
      <c r="CI421" s="0" t="s">
        <v>228</v>
      </c>
      <c r="CJ421" s="0" t="s">
        <v>228</v>
      </c>
      <c r="CK421" s="0" t="s">
        <v>228</v>
      </c>
      <c r="CL421" s="0" t="s">
        <v>228</v>
      </c>
      <c r="CM421" s="0" t="s">
        <v>228</v>
      </c>
      <c r="CN421" s="0" t="s">
        <v>228</v>
      </c>
      <c r="CO421" s="0" t="s">
        <v>228</v>
      </c>
      <c r="CP421" s="0" t="s">
        <v>228</v>
      </c>
      <c r="CQ421" s="0" t="s">
        <v>228</v>
      </c>
      <c r="CR421" s="0" t="s">
        <v>228</v>
      </c>
      <c r="CS421" s="0" t="s">
        <v>228</v>
      </c>
      <c r="CT421" s="0" t="s">
        <v>3568</v>
      </c>
      <c r="CU421" s="0" t="s">
        <v>3569</v>
      </c>
      <c r="CV421" s="0" t="s">
        <v>418</v>
      </c>
      <c r="CW421" s="0" t="s">
        <v>3622</v>
      </c>
      <c r="CX421" s="0" t="s">
        <v>419</v>
      </c>
      <c r="CY421" s="0" t="s">
        <v>418</v>
      </c>
      <c r="CZ421" s="0" t="s">
        <v>3623</v>
      </c>
      <c r="DA421" s="0" t="s">
        <v>3624</v>
      </c>
      <c r="DB421" s="0" t="s">
        <v>3622</v>
      </c>
      <c r="DC421" s="0" t="s">
        <v>362</v>
      </c>
      <c r="DD421" s="0" t="s">
        <v>3572</v>
      </c>
      <c r="DE421" s="0" t="s">
        <v>4009</v>
      </c>
    </row>
    <row customHeight="1" ht="11.25">
      <c r="A422" s="1353" t="s">
        <v>228</v>
      </c>
      <c r="B422" s="0" t="s">
        <v>228</v>
      </c>
      <c r="C422" s="0" t="s">
        <v>228</v>
      </c>
      <c r="D422" s="0" t="s">
        <v>228</v>
      </c>
      <c r="E422" s="0" t="s">
        <v>228</v>
      </c>
      <c r="F422" s="0" t="s">
        <v>228</v>
      </c>
      <c r="G422" s="0" t="s">
        <v>228</v>
      </c>
      <c r="H422" s="0" t="s">
        <v>228</v>
      </c>
      <c r="I422" s="0" t="s">
        <v>3555</v>
      </c>
      <c r="J422" s="0" t="s">
        <v>228</v>
      </c>
      <c r="K422" s="0" t="s">
        <v>228</v>
      </c>
      <c r="L422" s="0" t="s">
        <v>228</v>
      </c>
      <c r="M422" s="0" t="s">
        <v>228</v>
      </c>
      <c r="N422" s="0" t="s">
        <v>228</v>
      </c>
      <c r="O422" s="0" t="s">
        <v>228</v>
      </c>
      <c r="P422" s="0" t="s">
        <v>228</v>
      </c>
      <c r="Q422" s="0" t="s">
        <v>228</v>
      </c>
      <c r="R422" s="0" t="s">
        <v>4010</v>
      </c>
      <c r="S422" s="0" t="s">
        <v>228</v>
      </c>
      <c r="T422" s="0" t="s">
        <v>228</v>
      </c>
      <c r="U422" s="0" t="s">
        <v>101</v>
      </c>
      <c r="V422" s="0" t="s">
        <v>228</v>
      </c>
      <c r="W422" s="0" t="s">
        <v>228</v>
      </c>
      <c r="X422" s="0" t="s">
        <v>3557</v>
      </c>
      <c r="Y422" s="0" t="s">
        <v>228</v>
      </c>
      <c r="Z422" s="0" t="s">
        <v>160</v>
      </c>
      <c r="AA422" s="0" t="s">
        <v>151</v>
      </c>
      <c r="AB422" s="0" t="s">
        <v>151</v>
      </c>
      <c r="AC422" s="0" t="s">
        <v>2317</v>
      </c>
      <c r="AD422" s="0" t="s">
        <v>2317</v>
      </c>
      <c r="AE422" s="0" t="s">
        <v>2318</v>
      </c>
      <c r="AF422" s="0" t="s">
        <v>3615</v>
      </c>
      <c r="AG422" s="0" t="s">
        <v>3616</v>
      </c>
      <c r="AH422" s="0" t="s">
        <v>3617</v>
      </c>
      <c r="AI422" s="0" t="s">
        <v>4011</v>
      </c>
      <c r="AJ422" s="0" t="s">
        <v>3579</v>
      </c>
      <c r="AK422" s="0" t="s">
        <v>3853</v>
      </c>
      <c r="AL422" s="0" t="s">
        <v>3581</v>
      </c>
      <c r="AM422" s="0" t="s">
        <v>3565</v>
      </c>
      <c r="AN422" s="0" t="s">
        <v>3563</v>
      </c>
      <c r="AO422" s="0" t="s">
        <v>3621</v>
      </c>
      <c r="AP422" s="0" t="s">
        <v>228</v>
      </c>
      <c r="AQ422" s="0" t="s">
        <v>228</v>
      </c>
      <c r="AR422" s="0" t="s">
        <v>228</v>
      </c>
      <c r="AS422" s="0" t="s">
        <v>228</v>
      </c>
      <c r="AT422" s="0" t="s">
        <v>228</v>
      </c>
      <c r="AU422" s="0" t="s">
        <v>228</v>
      </c>
      <c r="AV422" s="0" t="s">
        <v>228</v>
      </c>
      <c r="AW422" s="0" t="s">
        <v>228</v>
      </c>
      <c r="AX422" s="0" t="s">
        <v>228</v>
      </c>
      <c r="AY422" s="0" t="s">
        <v>228</v>
      </c>
      <c r="AZ422" s="0" t="s">
        <v>228</v>
      </c>
      <c r="BA422" s="0" t="s">
        <v>228</v>
      </c>
      <c r="BB422" s="0" t="s">
        <v>228</v>
      </c>
      <c r="BC422" s="0" t="s">
        <v>228</v>
      </c>
      <c r="BD422" s="0" t="s">
        <v>228</v>
      </c>
      <c r="BE422" s="0" t="s">
        <v>228</v>
      </c>
      <c r="BF422" s="0" t="s">
        <v>228</v>
      </c>
      <c r="BG422" s="0" t="s">
        <v>228</v>
      </c>
      <c r="BH422" s="0" t="s">
        <v>228</v>
      </c>
      <c r="BI422" s="0" t="s">
        <v>228</v>
      </c>
      <c r="BJ422" s="0" t="s">
        <v>228</v>
      </c>
      <c r="BK422" s="0" t="s">
        <v>228</v>
      </c>
      <c r="BL422" s="0" t="s">
        <v>228</v>
      </c>
      <c r="BM422" s="0" t="s">
        <v>228</v>
      </c>
      <c r="BN422" s="0" t="s">
        <v>228</v>
      </c>
      <c r="BO422" s="0" t="s">
        <v>228</v>
      </c>
      <c r="BP422" s="0" t="s">
        <v>228</v>
      </c>
      <c r="BQ422" s="0" t="s">
        <v>228</v>
      </c>
      <c r="BR422" s="0" t="s">
        <v>228</v>
      </c>
      <c r="BS422" s="0" t="s">
        <v>228</v>
      </c>
      <c r="BT422" s="0" t="s">
        <v>228</v>
      </c>
      <c r="BU422" s="0" t="s">
        <v>228</v>
      </c>
      <c r="BV422" s="0" t="s">
        <v>228</v>
      </c>
      <c r="BW422" s="0" t="s">
        <v>228</v>
      </c>
      <c r="BX422" s="0" t="s">
        <v>228</v>
      </c>
      <c r="BY422" s="0" t="s">
        <v>228</v>
      </c>
      <c r="BZ422" s="0" t="s">
        <v>228</v>
      </c>
      <c r="CA422" s="0" t="s">
        <v>228</v>
      </c>
      <c r="CB422" s="0" t="s">
        <v>228</v>
      </c>
      <c r="CC422" s="0" t="s">
        <v>228</v>
      </c>
      <c r="CD422" s="0" t="s">
        <v>228</v>
      </c>
      <c r="CE422" s="0" t="s">
        <v>228</v>
      </c>
      <c r="CF422" s="0" t="s">
        <v>228</v>
      </c>
      <c r="CG422" s="0" t="s">
        <v>228</v>
      </c>
      <c r="CH422" s="0" t="s">
        <v>228</v>
      </c>
      <c r="CI422" s="0" t="s">
        <v>228</v>
      </c>
      <c r="CJ422" s="0" t="s">
        <v>228</v>
      </c>
      <c r="CK422" s="0" t="s">
        <v>228</v>
      </c>
      <c r="CL422" s="0" t="s">
        <v>228</v>
      </c>
      <c r="CM422" s="0" t="s">
        <v>228</v>
      </c>
      <c r="CN422" s="0" t="s">
        <v>228</v>
      </c>
      <c r="CO422" s="0" t="s">
        <v>228</v>
      </c>
      <c r="CP422" s="0" t="s">
        <v>228</v>
      </c>
      <c r="CQ422" s="0" t="s">
        <v>228</v>
      </c>
      <c r="CR422" s="0" t="s">
        <v>228</v>
      </c>
      <c r="CS422" s="0" t="s">
        <v>228</v>
      </c>
      <c r="CT422" s="0" t="s">
        <v>3568</v>
      </c>
      <c r="CU422" s="0" t="s">
        <v>3569</v>
      </c>
      <c r="CV422" s="0" t="s">
        <v>418</v>
      </c>
      <c r="CW422" s="0" t="s">
        <v>3622</v>
      </c>
      <c r="CX422" s="0" t="s">
        <v>419</v>
      </c>
      <c r="CY422" s="0" t="s">
        <v>418</v>
      </c>
      <c r="CZ422" s="0" t="s">
        <v>3623</v>
      </c>
      <c r="DA422" s="0" t="s">
        <v>3624</v>
      </c>
      <c r="DB422" s="0" t="s">
        <v>3622</v>
      </c>
      <c r="DC422" s="0" t="s">
        <v>362</v>
      </c>
      <c r="DD422" s="0" t="s">
        <v>3572</v>
      </c>
      <c r="DE422" s="0" t="s">
        <v>4012</v>
      </c>
    </row>
    <row customHeight="1" ht="11.25">
      <c r="A423" s="1353" t="s">
        <v>228</v>
      </c>
      <c r="B423" s="0" t="s">
        <v>228</v>
      </c>
      <c r="C423" s="0" t="s">
        <v>228</v>
      </c>
      <c r="D423" s="0" t="s">
        <v>228</v>
      </c>
      <c r="E423" s="0" t="s">
        <v>228</v>
      </c>
      <c r="F423" s="0" t="s">
        <v>228</v>
      </c>
      <c r="G423" s="0" t="s">
        <v>228</v>
      </c>
      <c r="H423" s="0" t="s">
        <v>228</v>
      </c>
      <c r="I423" s="0" t="s">
        <v>3555</v>
      </c>
      <c r="J423" s="0" t="s">
        <v>228</v>
      </c>
      <c r="K423" s="0" t="s">
        <v>228</v>
      </c>
      <c r="L423" s="0" t="s">
        <v>228</v>
      </c>
      <c r="M423" s="0" t="s">
        <v>228</v>
      </c>
      <c r="N423" s="0" t="s">
        <v>228</v>
      </c>
      <c r="O423" s="0" t="s">
        <v>228</v>
      </c>
      <c r="P423" s="0" t="s">
        <v>228</v>
      </c>
      <c r="Q423" s="0" t="s">
        <v>228</v>
      </c>
      <c r="R423" s="0" t="s">
        <v>4279</v>
      </c>
      <c r="S423" s="0" t="s">
        <v>228</v>
      </c>
      <c r="T423" s="0" t="s">
        <v>228</v>
      </c>
      <c r="U423" s="0" t="s">
        <v>101</v>
      </c>
      <c r="V423" s="0" t="s">
        <v>228</v>
      </c>
      <c r="W423" s="0" t="s">
        <v>228</v>
      </c>
      <c r="X423" s="0" t="s">
        <v>3661</v>
      </c>
      <c r="Y423" s="0" t="s">
        <v>228</v>
      </c>
      <c r="Z423" s="0" t="s">
        <v>151</v>
      </c>
      <c r="AA423" s="0" t="s">
        <v>151</v>
      </c>
      <c r="AB423" s="0" t="s">
        <v>160</v>
      </c>
      <c r="AC423" s="0" t="s">
        <v>2317</v>
      </c>
      <c r="AD423" s="0" t="s">
        <v>2317</v>
      </c>
      <c r="AE423" s="0" t="s">
        <v>2318</v>
      </c>
      <c r="AF423" s="0" t="s">
        <v>4088</v>
      </c>
      <c r="AG423" s="0" t="s">
        <v>4089</v>
      </c>
      <c r="AH423" s="0" t="s">
        <v>3651</v>
      </c>
      <c r="AI423" s="0" t="s">
        <v>3651</v>
      </c>
      <c r="AJ423" s="0" t="s">
        <v>228</v>
      </c>
      <c r="AK423" s="0" t="s">
        <v>228</v>
      </c>
      <c r="AL423" s="0" t="s">
        <v>228</v>
      </c>
      <c r="AM423" s="0" t="s">
        <v>228</v>
      </c>
      <c r="AN423" s="0" t="s">
        <v>228</v>
      </c>
      <c r="AO423" s="0" t="s">
        <v>228</v>
      </c>
      <c r="AP423" s="0" t="s">
        <v>228</v>
      </c>
      <c r="AQ423" s="0" t="s">
        <v>228</v>
      </c>
      <c r="AR423" s="0" t="s">
        <v>228</v>
      </c>
      <c r="AS423" s="0" t="s">
        <v>228</v>
      </c>
      <c r="AT423" s="0" t="s">
        <v>228</v>
      </c>
      <c r="AU423" s="0" t="s">
        <v>228</v>
      </c>
      <c r="AV423" s="0" t="s">
        <v>228</v>
      </c>
      <c r="AW423" s="0" t="s">
        <v>228</v>
      </c>
      <c r="AX423" s="0" t="s">
        <v>228</v>
      </c>
      <c r="AY423" s="0" t="s">
        <v>228</v>
      </c>
      <c r="AZ423" s="0" t="s">
        <v>228</v>
      </c>
      <c r="BA423" s="0" t="s">
        <v>228</v>
      </c>
      <c r="BB423" s="0" t="s">
        <v>228</v>
      </c>
      <c r="BC423" s="0" t="s">
        <v>228</v>
      </c>
      <c r="BD423" s="0" t="s">
        <v>228</v>
      </c>
      <c r="BE423" s="0" t="s">
        <v>3627</v>
      </c>
      <c r="BF423" s="0" t="s">
        <v>3619</v>
      </c>
      <c r="BG423" s="0" t="s">
        <v>111</v>
      </c>
      <c r="BH423" s="0" t="s">
        <v>3665</v>
      </c>
      <c r="BI423" s="0" t="s">
        <v>122</v>
      </c>
      <c r="BJ423" s="0" t="s">
        <v>228</v>
      </c>
      <c r="BK423" s="0" t="s">
        <v>3684</v>
      </c>
      <c r="BL423" s="0" t="s">
        <v>2317</v>
      </c>
      <c r="BM423" s="0" t="s">
        <v>2317</v>
      </c>
      <c r="BN423" s="0" t="s">
        <v>3740</v>
      </c>
      <c r="BO423" s="0" t="s">
        <v>4088</v>
      </c>
      <c r="BP423" s="0" t="s">
        <v>4280</v>
      </c>
      <c r="BQ423" s="0" t="s">
        <v>3651</v>
      </c>
      <c r="BR423" s="0" t="s">
        <v>3651</v>
      </c>
      <c r="BS423" s="0" t="s">
        <v>228</v>
      </c>
      <c r="BT423" s="0" t="s">
        <v>3727</v>
      </c>
      <c r="BU423" s="0" t="s">
        <v>4281</v>
      </c>
      <c r="BV423" s="0" t="s">
        <v>4281</v>
      </c>
      <c r="BW423" s="0" t="s">
        <v>3674</v>
      </c>
      <c r="BX423" s="0" t="s">
        <v>3674</v>
      </c>
      <c r="BY423" s="0" t="s">
        <v>3674</v>
      </c>
      <c r="BZ423" s="0" t="s">
        <v>3674</v>
      </c>
      <c r="CA423" s="0" t="s">
        <v>3674</v>
      </c>
      <c r="CB423" s="0" t="s">
        <v>228</v>
      </c>
      <c r="CC423" s="0" t="s">
        <v>228</v>
      </c>
      <c r="CD423" s="0" t="s">
        <v>228</v>
      </c>
      <c r="CE423" s="0" t="s">
        <v>228</v>
      </c>
      <c r="CF423" s="0" t="s">
        <v>228</v>
      </c>
      <c r="CG423" s="0" t="s">
        <v>3674</v>
      </c>
      <c r="CH423" s="0" t="s">
        <v>228</v>
      </c>
      <c r="CI423" s="0" t="s">
        <v>228</v>
      </c>
      <c r="CJ423" s="0" t="s">
        <v>228</v>
      </c>
      <c r="CK423" s="0" t="s">
        <v>228</v>
      </c>
      <c r="CL423" s="0" t="s">
        <v>228</v>
      </c>
      <c r="CM423" s="0" t="s">
        <v>4281</v>
      </c>
      <c r="CN423" s="0" t="s">
        <v>4281</v>
      </c>
      <c r="CO423" s="0" t="s">
        <v>228</v>
      </c>
      <c r="CP423" s="0" t="s">
        <v>228</v>
      </c>
      <c r="CQ423" s="0" t="s">
        <v>228</v>
      </c>
      <c r="CR423" s="0" t="s">
        <v>228</v>
      </c>
      <c r="CS423" s="0" t="s">
        <v>3743</v>
      </c>
      <c r="CT423" s="0" t="s">
        <v>3568</v>
      </c>
      <c r="CU423" s="0" t="s">
        <v>3569</v>
      </c>
      <c r="CV423" s="0" t="s">
        <v>418</v>
      </c>
      <c r="CW423" s="0" t="s">
        <v>3622</v>
      </c>
      <c r="CX423" s="0" t="s">
        <v>419</v>
      </c>
      <c r="CY423" s="0" t="s">
        <v>418</v>
      </c>
      <c r="CZ423" s="0" t="s">
        <v>3623</v>
      </c>
      <c r="DA423" s="0" t="s">
        <v>3624</v>
      </c>
      <c r="DB423" s="0" t="s">
        <v>3622</v>
      </c>
      <c r="DC423" s="0" t="s">
        <v>362</v>
      </c>
      <c r="DD423" s="0" t="s">
        <v>3572</v>
      </c>
      <c r="DE423" s="0" t="s">
        <v>4282</v>
      </c>
    </row>
    <row customHeight="1" ht="11.25">
      <c r="A424" s="1353" t="s">
        <v>228</v>
      </c>
      <c r="B424" s="0" t="s">
        <v>228</v>
      </c>
      <c r="C424" s="0" t="s">
        <v>228</v>
      </c>
      <c r="D424" s="0" t="s">
        <v>228</v>
      </c>
      <c r="E424" s="0" t="s">
        <v>228</v>
      </c>
      <c r="F424" s="0" t="s">
        <v>228</v>
      </c>
      <c r="G424" s="0" t="s">
        <v>228</v>
      </c>
      <c r="H424" s="0" t="s">
        <v>228</v>
      </c>
      <c r="I424" s="0" t="s">
        <v>3555</v>
      </c>
      <c r="J424" s="0" t="s">
        <v>228</v>
      </c>
      <c r="K424" s="0" t="s">
        <v>228</v>
      </c>
      <c r="L424" s="0" t="s">
        <v>228</v>
      </c>
      <c r="M424" s="0" t="s">
        <v>228</v>
      </c>
      <c r="N424" s="0" t="s">
        <v>228</v>
      </c>
      <c r="O424" s="0" t="s">
        <v>228</v>
      </c>
      <c r="P424" s="0" t="s">
        <v>228</v>
      </c>
      <c r="Q424" s="0" t="s">
        <v>228</v>
      </c>
      <c r="R424" s="0" t="s">
        <v>4295</v>
      </c>
      <c r="S424" s="0" t="s">
        <v>228</v>
      </c>
      <c r="T424" s="0" t="s">
        <v>228</v>
      </c>
      <c r="U424" s="0" t="s">
        <v>101</v>
      </c>
      <c r="V424" s="0" t="s">
        <v>228</v>
      </c>
      <c r="W424" s="0" t="s">
        <v>228</v>
      </c>
      <c r="X424" s="0" t="s">
        <v>3557</v>
      </c>
      <c r="Y424" s="0" t="s">
        <v>228</v>
      </c>
      <c r="Z424" s="0" t="s">
        <v>160</v>
      </c>
      <c r="AA424" s="0" t="s">
        <v>151</v>
      </c>
      <c r="AB424" s="0" t="s">
        <v>151</v>
      </c>
      <c r="AC424" s="0" t="s">
        <v>2721</v>
      </c>
      <c r="AD424" s="0" t="s">
        <v>2721</v>
      </c>
      <c r="AE424" s="0" t="s">
        <v>2722</v>
      </c>
      <c r="AF424" s="0" t="s">
        <v>4024</v>
      </c>
      <c r="AG424" s="0" t="s">
        <v>4025</v>
      </c>
      <c r="AH424" s="0" t="s">
        <v>4146</v>
      </c>
      <c r="AI424" s="0" t="s">
        <v>151</v>
      </c>
      <c r="AJ424" s="0" t="s">
        <v>4027</v>
      </c>
      <c r="AK424" s="0" t="s">
        <v>4296</v>
      </c>
      <c r="AL424" s="0" t="s">
        <v>3646</v>
      </c>
      <c r="AM424" s="0" t="s">
        <v>3565</v>
      </c>
      <c r="AN424" s="0" t="s">
        <v>4297</v>
      </c>
      <c r="AO424" s="0" t="s">
        <v>4298</v>
      </c>
      <c r="AP424" s="0" t="s">
        <v>228</v>
      </c>
      <c r="AQ424" s="0" t="s">
        <v>228</v>
      </c>
      <c r="AR424" s="0" t="s">
        <v>228</v>
      </c>
      <c r="AS424" s="0" t="s">
        <v>228</v>
      </c>
      <c r="AT424" s="0" t="s">
        <v>228</v>
      </c>
      <c r="AU424" s="0" t="s">
        <v>228</v>
      </c>
      <c r="AV424" s="0" t="s">
        <v>228</v>
      </c>
      <c r="AW424" s="0" t="s">
        <v>228</v>
      </c>
      <c r="AX424" s="0" t="s">
        <v>228</v>
      </c>
      <c r="AY424" s="0" t="s">
        <v>228</v>
      </c>
      <c r="AZ424" s="0" t="s">
        <v>228</v>
      </c>
      <c r="BA424" s="0" t="s">
        <v>228</v>
      </c>
      <c r="BB424" s="0" t="s">
        <v>228</v>
      </c>
      <c r="BC424" s="0" t="s">
        <v>228</v>
      </c>
      <c r="BD424" s="0" t="s">
        <v>228</v>
      </c>
      <c r="BE424" s="0" t="s">
        <v>228</v>
      </c>
      <c r="BF424" s="0" t="s">
        <v>228</v>
      </c>
      <c r="BG424" s="0" t="s">
        <v>228</v>
      </c>
      <c r="BH424" s="0" t="s">
        <v>228</v>
      </c>
      <c r="BI424" s="0" t="s">
        <v>228</v>
      </c>
      <c r="BJ424" s="0" t="s">
        <v>228</v>
      </c>
      <c r="BK424" s="0" t="s">
        <v>228</v>
      </c>
      <c r="BL424" s="0" t="s">
        <v>228</v>
      </c>
      <c r="BM424" s="0" t="s">
        <v>228</v>
      </c>
      <c r="BN424" s="0" t="s">
        <v>228</v>
      </c>
      <c r="BO424" s="0" t="s">
        <v>228</v>
      </c>
      <c r="BP424" s="0" t="s">
        <v>228</v>
      </c>
      <c r="BQ424" s="0" t="s">
        <v>228</v>
      </c>
      <c r="BR424" s="0" t="s">
        <v>228</v>
      </c>
      <c r="BS424" s="0" t="s">
        <v>228</v>
      </c>
      <c r="BT424" s="0" t="s">
        <v>228</v>
      </c>
      <c r="BU424" s="0" t="s">
        <v>228</v>
      </c>
      <c r="BV424" s="0" t="s">
        <v>228</v>
      </c>
      <c r="BW424" s="0" t="s">
        <v>228</v>
      </c>
      <c r="BX424" s="0" t="s">
        <v>228</v>
      </c>
      <c r="BY424" s="0" t="s">
        <v>228</v>
      </c>
      <c r="BZ424" s="0" t="s">
        <v>228</v>
      </c>
      <c r="CA424" s="0" t="s">
        <v>228</v>
      </c>
      <c r="CB424" s="0" t="s">
        <v>228</v>
      </c>
      <c r="CC424" s="0" t="s">
        <v>228</v>
      </c>
      <c r="CD424" s="0" t="s">
        <v>228</v>
      </c>
      <c r="CE424" s="0" t="s">
        <v>228</v>
      </c>
      <c r="CF424" s="0" t="s">
        <v>228</v>
      </c>
      <c r="CG424" s="0" t="s">
        <v>228</v>
      </c>
      <c r="CH424" s="0" t="s">
        <v>228</v>
      </c>
      <c r="CI424" s="0" t="s">
        <v>228</v>
      </c>
      <c r="CJ424" s="0" t="s">
        <v>228</v>
      </c>
      <c r="CK424" s="0" t="s">
        <v>228</v>
      </c>
      <c r="CL424" s="0" t="s">
        <v>228</v>
      </c>
      <c r="CM424" s="0" t="s">
        <v>228</v>
      </c>
      <c r="CN424" s="0" t="s">
        <v>228</v>
      </c>
      <c r="CO424" s="0" t="s">
        <v>228</v>
      </c>
      <c r="CP424" s="0" t="s">
        <v>228</v>
      </c>
      <c r="CQ424" s="0" t="s">
        <v>228</v>
      </c>
      <c r="CR424" s="0" t="s">
        <v>228</v>
      </c>
      <c r="CS424" s="0" t="s">
        <v>228</v>
      </c>
      <c r="CT424" s="0" t="s">
        <v>3568</v>
      </c>
      <c r="CU424" s="0" t="s">
        <v>3569</v>
      </c>
      <c r="CV424" s="0" t="s">
        <v>4030</v>
      </c>
      <c r="CW424" s="0" t="s">
        <v>4031</v>
      </c>
      <c r="CX424" s="0" t="s">
        <v>3603</v>
      </c>
      <c r="CY424" s="0" t="s">
        <v>4030</v>
      </c>
      <c r="CZ424" s="0" t="s">
        <v>3608</v>
      </c>
      <c r="DA424" s="0" t="s">
        <v>4032</v>
      </c>
      <c r="DB424" s="0" t="s">
        <v>3676</v>
      </c>
      <c r="DC424" s="0" t="s">
        <v>362</v>
      </c>
      <c r="DD424" s="0" t="s">
        <v>3572</v>
      </c>
      <c r="DE424" s="0" t="s">
        <v>4156</v>
      </c>
    </row>
    <row customHeight="1" ht="11.25">
      <c r="A425" s="1353" t="s">
        <v>228</v>
      </c>
      <c r="B425" s="0" t="s">
        <v>228</v>
      </c>
      <c r="C425" s="0" t="s">
        <v>228</v>
      </c>
      <c r="D425" s="0" t="s">
        <v>228</v>
      </c>
      <c r="E425" s="0" t="s">
        <v>228</v>
      </c>
      <c r="F425" s="0" t="s">
        <v>228</v>
      </c>
      <c r="G425" s="0" t="s">
        <v>228</v>
      </c>
      <c r="H425" s="0" t="s">
        <v>228</v>
      </c>
      <c r="I425" s="0" t="s">
        <v>3555</v>
      </c>
      <c r="J425" s="0" t="s">
        <v>228</v>
      </c>
      <c r="K425" s="0" t="s">
        <v>228</v>
      </c>
      <c r="L425" s="0" t="s">
        <v>228</v>
      </c>
      <c r="M425" s="0" t="s">
        <v>228</v>
      </c>
      <c r="N425" s="0" t="s">
        <v>228</v>
      </c>
      <c r="O425" s="0" t="s">
        <v>228</v>
      </c>
      <c r="P425" s="0" t="s">
        <v>228</v>
      </c>
      <c r="Q425" s="0" t="s">
        <v>228</v>
      </c>
      <c r="R425" s="0" t="s">
        <v>3648</v>
      </c>
      <c r="S425" s="0" t="s">
        <v>228</v>
      </c>
      <c r="T425" s="0" t="s">
        <v>228</v>
      </c>
      <c r="U425" s="0" t="s">
        <v>101</v>
      </c>
      <c r="V425" s="0" t="s">
        <v>228</v>
      </c>
      <c r="W425" s="0" t="s">
        <v>228</v>
      </c>
      <c r="X425" s="0" t="s">
        <v>3557</v>
      </c>
      <c r="Y425" s="0" t="s">
        <v>228</v>
      </c>
      <c r="Z425" s="0" t="s">
        <v>160</v>
      </c>
      <c r="AA425" s="0" t="s">
        <v>151</v>
      </c>
      <c r="AB425" s="0" t="s">
        <v>151</v>
      </c>
      <c r="AC425" s="0" t="s">
        <v>2317</v>
      </c>
      <c r="AD425" s="0" t="s">
        <v>2317</v>
      </c>
      <c r="AE425" s="0" t="s">
        <v>2318</v>
      </c>
      <c r="AF425" s="0" t="s">
        <v>4538</v>
      </c>
      <c r="AG425" s="0" t="s">
        <v>4539</v>
      </c>
      <c r="AH425" s="0" t="s">
        <v>4540</v>
      </c>
      <c r="AI425" s="0" t="s">
        <v>3626</v>
      </c>
      <c r="AJ425" s="0" t="s">
        <v>4514</v>
      </c>
      <c r="AK425" s="0" t="s">
        <v>4541</v>
      </c>
      <c r="AL425" s="0" t="s">
        <v>3581</v>
      </c>
      <c r="AM425" s="0" t="s">
        <v>3565</v>
      </c>
      <c r="AN425" s="0" t="s">
        <v>3620</v>
      </c>
      <c r="AO425" s="0" t="s">
        <v>3591</v>
      </c>
      <c r="AP425" s="0" t="s">
        <v>228</v>
      </c>
      <c r="AQ425" s="0" t="s">
        <v>228</v>
      </c>
      <c r="AR425" s="0" t="s">
        <v>228</v>
      </c>
      <c r="AS425" s="0" t="s">
        <v>228</v>
      </c>
      <c r="AT425" s="0" t="s">
        <v>228</v>
      </c>
      <c r="AU425" s="0" t="s">
        <v>228</v>
      </c>
      <c r="AV425" s="0" t="s">
        <v>228</v>
      </c>
      <c r="AW425" s="0" t="s">
        <v>228</v>
      </c>
      <c r="AX425" s="0" t="s">
        <v>228</v>
      </c>
      <c r="AY425" s="0" t="s">
        <v>228</v>
      </c>
      <c r="AZ425" s="0" t="s">
        <v>228</v>
      </c>
      <c r="BA425" s="0" t="s">
        <v>228</v>
      </c>
      <c r="BB425" s="0" t="s">
        <v>228</v>
      </c>
      <c r="BC425" s="0" t="s">
        <v>228</v>
      </c>
      <c r="BD425" s="0" t="s">
        <v>228</v>
      </c>
      <c r="BE425" s="0" t="s">
        <v>228</v>
      </c>
      <c r="BF425" s="0" t="s">
        <v>228</v>
      </c>
      <c r="BG425" s="0" t="s">
        <v>228</v>
      </c>
      <c r="BH425" s="0" t="s">
        <v>228</v>
      </c>
      <c r="BI425" s="0" t="s">
        <v>228</v>
      </c>
      <c r="BJ425" s="0" t="s">
        <v>228</v>
      </c>
      <c r="BK425" s="0" t="s">
        <v>228</v>
      </c>
      <c r="BL425" s="0" t="s">
        <v>228</v>
      </c>
      <c r="BM425" s="0" t="s">
        <v>228</v>
      </c>
      <c r="BN425" s="0" t="s">
        <v>228</v>
      </c>
      <c r="BO425" s="0" t="s">
        <v>228</v>
      </c>
      <c r="BP425" s="0" t="s">
        <v>228</v>
      </c>
      <c r="BQ425" s="0" t="s">
        <v>228</v>
      </c>
      <c r="BR425" s="0" t="s">
        <v>228</v>
      </c>
      <c r="BS425" s="0" t="s">
        <v>228</v>
      </c>
      <c r="BT425" s="0" t="s">
        <v>228</v>
      </c>
      <c r="BU425" s="0" t="s">
        <v>228</v>
      </c>
      <c r="BV425" s="0" t="s">
        <v>228</v>
      </c>
      <c r="BW425" s="0" t="s">
        <v>228</v>
      </c>
      <c r="BX425" s="0" t="s">
        <v>228</v>
      </c>
      <c r="BY425" s="0" t="s">
        <v>228</v>
      </c>
      <c r="BZ425" s="0" t="s">
        <v>228</v>
      </c>
      <c r="CA425" s="0" t="s">
        <v>228</v>
      </c>
      <c r="CB425" s="0" t="s">
        <v>228</v>
      </c>
      <c r="CC425" s="0" t="s">
        <v>228</v>
      </c>
      <c r="CD425" s="0" t="s">
        <v>228</v>
      </c>
      <c r="CE425" s="0" t="s">
        <v>228</v>
      </c>
      <c r="CF425" s="0" t="s">
        <v>228</v>
      </c>
      <c r="CG425" s="0" t="s">
        <v>228</v>
      </c>
      <c r="CH425" s="0" t="s">
        <v>228</v>
      </c>
      <c r="CI425" s="0" t="s">
        <v>228</v>
      </c>
      <c r="CJ425" s="0" t="s">
        <v>228</v>
      </c>
      <c r="CK425" s="0" t="s">
        <v>228</v>
      </c>
      <c r="CL425" s="0" t="s">
        <v>228</v>
      </c>
      <c r="CM425" s="0" t="s">
        <v>228</v>
      </c>
      <c r="CN425" s="0" t="s">
        <v>228</v>
      </c>
      <c r="CO425" s="0" t="s">
        <v>228</v>
      </c>
      <c r="CP425" s="0" t="s">
        <v>228</v>
      </c>
      <c r="CQ425" s="0" t="s">
        <v>228</v>
      </c>
      <c r="CR425" s="0" t="s">
        <v>228</v>
      </c>
      <c r="CS425" s="0" t="s">
        <v>228</v>
      </c>
      <c r="CT425" s="0" t="s">
        <v>3568</v>
      </c>
      <c r="CU425" s="0" t="s">
        <v>3569</v>
      </c>
      <c r="CV425" s="0" t="s">
        <v>418</v>
      </c>
      <c r="CW425" s="0" t="s">
        <v>3622</v>
      </c>
      <c r="CX425" s="0" t="s">
        <v>419</v>
      </c>
      <c r="CY425" s="0" t="s">
        <v>418</v>
      </c>
      <c r="CZ425" s="0" t="s">
        <v>3623</v>
      </c>
      <c r="DA425" s="0" t="s">
        <v>3624</v>
      </c>
      <c r="DB425" s="0" t="s">
        <v>3622</v>
      </c>
      <c r="DC425" s="0" t="s">
        <v>362</v>
      </c>
      <c r="DD425" s="0" t="s">
        <v>3572</v>
      </c>
      <c r="DE425" s="0" t="s">
        <v>4542</v>
      </c>
    </row>
    <row customHeight="1" ht="11.25">
      <c r="A426" s="1353" t="s">
        <v>228</v>
      </c>
      <c r="B426" s="0" t="s">
        <v>228</v>
      </c>
      <c r="C426" s="0" t="s">
        <v>228</v>
      </c>
      <c r="D426" s="0" t="s">
        <v>228</v>
      </c>
      <c r="E426" s="0" t="s">
        <v>228</v>
      </c>
      <c r="F426" s="0" t="s">
        <v>228</v>
      </c>
      <c r="G426" s="0" t="s">
        <v>228</v>
      </c>
      <c r="H426" s="0" t="s">
        <v>228</v>
      </c>
      <c r="I426" s="0" t="s">
        <v>3555</v>
      </c>
      <c r="J426" s="0" t="s">
        <v>228</v>
      </c>
      <c r="K426" s="0" t="s">
        <v>228</v>
      </c>
      <c r="L426" s="0" t="s">
        <v>228</v>
      </c>
      <c r="M426" s="0" t="s">
        <v>228</v>
      </c>
      <c r="N426" s="0" t="s">
        <v>228</v>
      </c>
      <c r="O426" s="0" t="s">
        <v>228</v>
      </c>
      <c r="P426" s="0" t="s">
        <v>228</v>
      </c>
      <c r="Q426" s="0" t="s">
        <v>228</v>
      </c>
      <c r="R426" s="0" t="s">
        <v>3648</v>
      </c>
      <c r="S426" s="0" t="s">
        <v>228</v>
      </c>
      <c r="T426" s="0" t="s">
        <v>228</v>
      </c>
      <c r="U426" s="0" t="s">
        <v>101</v>
      </c>
      <c r="V426" s="0" t="s">
        <v>228</v>
      </c>
      <c r="W426" s="0" t="s">
        <v>228</v>
      </c>
      <c r="X426" s="0" t="s">
        <v>3557</v>
      </c>
      <c r="Y426" s="0" t="s">
        <v>228</v>
      </c>
      <c r="Z426" s="0" t="s">
        <v>160</v>
      </c>
      <c r="AA426" s="0" t="s">
        <v>151</v>
      </c>
      <c r="AB426" s="0" t="s">
        <v>151</v>
      </c>
      <c r="AC426" s="0" t="s">
        <v>2315</v>
      </c>
      <c r="AD426" s="0" t="s">
        <v>2315</v>
      </c>
      <c r="AE426" s="0" t="s">
        <v>2316</v>
      </c>
      <c r="AF426" s="0" t="s">
        <v>3871</v>
      </c>
      <c r="AG426" s="0" t="s">
        <v>3872</v>
      </c>
      <c r="AH426" s="0" t="s">
        <v>3693</v>
      </c>
      <c r="AI426" s="0" t="s">
        <v>5008</v>
      </c>
      <c r="AJ426" s="0" t="s">
        <v>3853</v>
      </c>
      <c r="AK426" s="0" t="s">
        <v>3891</v>
      </c>
      <c r="AL426" s="0" t="s">
        <v>3581</v>
      </c>
      <c r="AM426" s="0" t="s">
        <v>3565</v>
      </c>
      <c r="AN426" s="0" t="s">
        <v>3654</v>
      </c>
      <c r="AO426" s="0" t="s">
        <v>3655</v>
      </c>
      <c r="AP426" s="0" t="s">
        <v>228</v>
      </c>
      <c r="AQ426" s="0" t="s">
        <v>228</v>
      </c>
      <c r="AR426" s="0" t="s">
        <v>228</v>
      </c>
      <c r="AS426" s="0" t="s">
        <v>228</v>
      </c>
      <c r="AT426" s="0" t="s">
        <v>228</v>
      </c>
      <c r="AU426" s="0" t="s">
        <v>228</v>
      </c>
      <c r="AV426" s="0" t="s">
        <v>228</v>
      </c>
      <c r="AW426" s="0" t="s">
        <v>228</v>
      </c>
      <c r="AX426" s="0" t="s">
        <v>228</v>
      </c>
      <c r="AY426" s="0" t="s">
        <v>228</v>
      </c>
      <c r="AZ426" s="0" t="s">
        <v>228</v>
      </c>
      <c r="BA426" s="0" t="s">
        <v>228</v>
      </c>
      <c r="BB426" s="0" t="s">
        <v>228</v>
      </c>
      <c r="BC426" s="0" t="s">
        <v>228</v>
      </c>
      <c r="BD426" s="0" t="s">
        <v>228</v>
      </c>
      <c r="BE426" s="0" t="s">
        <v>228</v>
      </c>
      <c r="BF426" s="0" t="s">
        <v>228</v>
      </c>
      <c r="BG426" s="0" t="s">
        <v>228</v>
      </c>
      <c r="BH426" s="0" t="s">
        <v>228</v>
      </c>
      <c r="BI426" s="0" t="s">
        <v>228</v>
      </c>
      <c r="BJ426" s="0" t="s">
        <v>228</v>
      </c>
      <c r="BK426" s="0" t="s">
        <v>228</v>
      </c>
      <c r="BL426" s="0" t="s">
        <v>228</v>
      </c>
      <c r="BM426" s="0" t="s">
        <v>228</v>
      </c>
      <c r="BN426" s="0" t="s">
        <v>228</v>
      </c>
      <c r="BO426" s="0" t="s">
        <v>228</v>
      </c>
      <c r="BP426" s="0" t="s">
        <v>228</v>
      </c>
      <c r="BQ426" s="0" t="s">
        <v>228</v>
      </c>
      <c r="BR426" s="0" t="s">
        <v>228</v>
      </c>
      <c r="BS426" s="0" t="s">
        <v>228</v>
      </c>
      <c r="BT426" s="0" t="s">
        <v>228</v>
      </c>
      <c r="BU426" s="0" t="s">
        <v>228</v>
      </c>
      <c r="BV426" s="0" t="s">
        <v>228</v>
      </c>
      <c r="BW426" s="0" t="s">
        <v>228</v>
      </c>
      <c r="BX426" s="0" t="s">
        <v>228</v>
      </c>
      <c r="BY426" s="0" t="s">
        <v>228</v>
      </c>
      <c r="BZ426" s="0" t="s">
        <v>228</v>
      </c>
      <c r="CA426" s="0" t="s">
        <v>228</v>
      </c>
      <c r="CB426" s="0" t="s">
        <v>228</v>
      </c>
      <c r="CC426" s="0" t="s">
        <v>228</v>
      </c>
      <c r="CD426" s="0" t="s">
        <v>228</v>
      </c>
      <c r="CE426" s="0" t="s">
        <v>228</v>
      </c>
      <c r="CF426" s="0" t="s">
        <v>228</v>
      </c>
      <c r="CG426" s="0" t="s">
        <v>228</v>
      </c>
      <c r="CH426" s="0" t="s">
        <v>228</v>
      </c>
      <c r="CI426" s="0" t="s">
        <v>228</v>
      </c>
      <c r="CJ426" s="0" t="s">
        <v>228</v>
      </c>
      <c r="CK426" s="0" t="s">
        <v>228</v>
      </c>
      <c r="CL426" s="0" t="s">
        <v>228</v>
      </c>
      <c r="CM426" s="0" t="s">
        <v>228</v>
      </c>
      <c r="CN426" s="0" t="s">
        <v>228</v>
      </c>
      <c r="CO426" s="0" t="s">
        <v>228</v>
      </c>
      <c r="CP426" s="0" t="s">
        <v>228</v>
      </c>
      <c r="CQ426" s="0" t="s">
        <v>228</v>
      </c>
      <c r="CR426" s="0" t="s">
        <v>228</v>
      </c>
      <c r="CS426" s="0" t="s">
        <v>228</v>
      </c>
      <c r="CT426" s="0" t="s">
        <v>3568</v>
      </c>
      <c r="CU426" s="0" t="s">
        <v>3569</v>
      </c>
      <c r="CV426" s="0" t="s">
        <v>418</v>
      </c>
      <c r="CW426" s="0" t="s">
        <v>3656</v>
      </c>
      <c r="CX426" s="0" t="s">
        <v>419</v>
      </c>
      <c r="CY426" s="0" t="s">
        <v>418</v>
      </c>
      <c r="CZ426" s="0" t="s">
        <v>3657</v>
      </c>
      <c r="DA426" s="0" t="s">
        <v>3658</v>
      </c>
      <c r="DB426" s="0" t="s">
        <v>3656</v>
      </c>
      <c r="DC426" s="0" t="s">
        <v>362</v>
      </c>
      <c r="DD426" s="0" t="s">
        <v>3572</v>
      </c>
      <c r="DE426" s="0" t="s">
        <v>5009</v>
      </c>
    </row>
    <row customHeight="1" ht="11.25">
      <c r="A427" s="1353" t="s">
        <v>228</v>
      </c>
      <c r="B427" s="0" t="s">
        <v>228</v>
      </c>
      <c r="C427" s="0" t="s">
        <v>228</v>
      </c>
      <c r="D427" s="0" t="s">
        <v>228</v>
      </c>
      <c r="E427" s="0" t="s">
        <v>228</v>
      </c>
      <c r="F427" s="0" t="s">
        <v>228</v>
      </c>
      <c r="G427" s="0" t="s">
        <v>228</v>
      </c>
      <c r="H427" s="0" t="s">
        <v>228</v>
      </c>
      <c r="I427" s="0" t="s">
        <v>3555</v>
      </c>
      <c r="J427" s="0" t="s">
        <v>228</v>
      </c>
      <c r="K427" s="0" t="s">
        <v>228</v>
      </c>
      <c r="L427" s="0" t="s">
        <v>228</v>
      </c>
      <c r="M427" s="0" t="s">
        <v>228</v>
      </c>
      <c r="N427" s="0" t="s">
        <v>228</v>
      </c>
      <c r="O427" s="0" t="s">
        <v>228</v>
      </c>
      <c r="P427" s="0" t="s">
        <v>228</v>
      </c>
      <c r="Q427" s="0" t="s">
        <v>228</v>
      </c>
      <c r="R427" s="0" t="s">
        <v>3648</v>
      </c>
      <c r="S427" s="0" t="s">
        <v>228</v>
      </c>
      <c r="T427" s="0" t="s">
        <v>228</v>
      </c>
      <c r="U427" s="0" t="s">
        <v>101</v>
      </c>
      <c r="V427" s="0" t="s">
        <v>228</v>
      </c>
      <c r="W427" s="0" t="s">
        <v>228</v>
      </c>
      <c r="X427" s="0" t="s">
        <v>3557</v>
      </c>
      <c r="Y427" s="0" t="s">
        <v>228</v>
      </c>
      <c r="Z427" s="0" t="s">
        <v>160</v>
      </c>
      <c r="AA427" s="0" t="s">
        <v>151</v>
      </c>
      <c r="AB427" s="0" t="s">
        <v>151</v>
      </c>
      <c r="AC427" s="0" t="s">
        <v>2315</v>
      </c>
      <c r="AD427" s="0" t="s">
        <v>2315</v>
      </c>
      <c r="AE427" s="0" t="s">
        <v>2316</v>
      </c>
      <c r="AF427" s="0" t="s">
        <v>3871</v>
      </c>
      <c r="AG427" s="0" t="s">
        <v>3872</v>
      </c>
      <c r="AH427" s="0" t="s">
        <v>5010</v>
      </c>
      <c r="AI427" s="0" t="s">
        <v>5011</v>
      </c>
      <c r="AJ427" s="0" t="s">
        <v>3652</v>
      </c>
      <c r="AK427" s="0" t="s">
        <v>5012</v>
      </c>
      <c r="AL427" s="0" t="s">
        <v>3581</v>
      </c>
      <c r="AM427" s="0" t="s">
        <v>3565</v>
      </c>
      <c r="AN427" s="0" t="s">
        <v>3654</v>
      </c>
      <c r="AO427" s="0" t="s">
        <v>3655</v>
      </c>
      <c r="AP427" s="0" t="s">
        <v>228</v>
      </c>
      <c r="AQ427" s="0" t="s">
        <v>228</v>
      </c>
      <c r="AR427" s="0" t="s">
        <v>228</v>
      </c>
      <c r="AS427" s="0" t="s">
        <v>228</v>
      </c>
      <c r="AT427" s="0" t="s">
        <v>228</v>
      </c>
      <c r="AU427" s="0" t="s">
        <v>228</v>
      </c>
      <c r="AV427" s="0" t="s">
        <v>228</v>
      </c>
      <c r="AW427" s="0" t="s">
        <v>228</v>
      </c>
      <c r="AX427" s="0" t="s">
        <v>228</v>
      </c>
      <c r="AY427" s="0" t="s">
        <v>228</v>
      </c>
      <c r="AZ427" s="0" t="s">
        <v>228</v>
      </c>
      <c r="BA427" s="0" t="s">
        <v>228</v>
      </c>
      <c r="BB427" s="0" t="s">
        <v>228</v>
      </c>
      <c r="BC427" s="0" t="s">
        <v>228</v>
      </c>
      <c r="BD427" s="0" t="s">
        <v>228</v>
      </c>
      <c r="BE427" s="0" t="s">
        <v>228</v>
      </c>
      <c r="BF427" s="0" t="s">
        <v>228</v>
      </c>
      <c r="BG427" s="0" t="s">
        <v>228</v>
      </c>
      <c r="BH427" s="0" t="s">
        <v>228</v>
      </c>
      <c r="BI427" s="0" t="s">
        <v>228</v>
      </c>
      <c r="BJ427" s="0" t="s">
        <v>228</v>
      </c>
      <c r="BK427" s="0" t="s">
        <v>228</v>
      </c>
      <c r="BL427" s="0" t="s">
        <v>228</v>
      </c>
      <c r="BM427" s="0" t="s">
        <v>228</v>
      </c>
      <c r="BN427" s="0" t="s">
        <v>228</v>
      </c>
      <c r="BO427" s="0" t="s">
        <v>228</v>
      </c>
      <c r="BP427" s="0" t="s">
        <v>228</v>
      </c>
      <c r="BQ427" s="0" t="s">
        <v>228</v>
      </c>
      <c r="BR427" s="0" t="s">
        <v>228</v>
      </c>
      <c r="BS427" s="0" t="s">
        <v>228</v>
      </c>
      <c r="BT427" s="0" t="s">
        <v>228</v>
      </c>
      <c r="BU427" s="0" t="s">
        <v>228</v>
      </c>
      <c r="BV427" s="0" t="s">
        <v>228</v>
      </c>
      <c r="BW427" s="0" t="s">
        <v>228</v>
      </c>
      <c r="BX427" s="0" t="s">
        <v>228</v>
      </c>
      <c r="BY427" s="0" t="s">
        <v>228</v>
      </c>
      <c r="BZ427" s="0" t="s">
        <v>228</v>
      </c>
      <c r="CA427" s="0" t="s">
        <v>228</v>
      </c>
      <c r="CB427" s="0" t="s">
        <v>228</v>
      </c>
      <c r="CC427" s="0" t="s">
        <v>228</v>
      </c>
      <c r="CD427" s="0" t="s">
        <v>228</v>
      </c>
      <c r="CE427" s="0" t="s">
        <v>228</v>
      </c>
      <c r="CF427" s="0" t="s">
        <v>228</v>
      </c>
      <c r="CG427" s="0" t="s">
        <v>228</v>
      </c>
      <c r="CH427" s="0" t="s">
        <v>228</v>
      </c>
      <c r="CI427" s="0" t="s">
        <v>228</v>
      </c>
      <c r="CJ427" s="0" t="s">
        <v>228</v>
      </c>
      <c r="CK427" s="0" t="s">
        <v>228</v>
      </c>
      <c r="CL427" s="0" t="s">
        <v>228</v>
      </c>
      <c r="CM427" s="0" t="s">
        <v>228</v>
      </c>
      <c r="CN427" s="0" t="s">
        <v>228</v>
      </c>
      <c r="CO427" s="0" t="s">
        <v>228</v>
      </c>
      <c r="CP427" s="0" t="s">
        <v>228</v>
      </c>
      <c r="CQ427" s="0" t="s">
        <v>228</v>
      </c>
      <c r="CR427" s="0" t="s">
        <v>228</v>
      </c>
      <c r="CS427" s="0" t="s">
        <v>228</v>
      </c>
      <c r="CT427" s="0" t="s">
        <v>3568</v>
      </c>
      <c r="CU427" s="0" t="s">
        <v>3569</v>
      </c>
      <c r="CV427" s="0" t="s">
        <v>418</v>
      </c>
      <c r="CW427" s="0" t="s">
        <v>3656</v>
      </c>
      <c r="CX427" s="0" t="s">
        <v>419</v>
      </c>
      <c r="CY427" s="0" t="s">
        <v>418</v>
      </c>
      <c r="CZ427" s="0" t="s">
        <v>3657</v>
      </c>
      <c r="DA427" s="0" t="s">
        <v>3658</v>
      </c>
      <c r="DB427" s="0" t="s">
        <v>3656</v>
      </c>
      <c r="DC427" s="0" t="s">
        <v>362</v>
      </c>
      <c r="DD427" s="0" t="s">
        <v>3572</v>
      </c>
      <c r="DE427" s="0" t="s">
        <v>5013</v>
      </c>
    </row>
    <row customHeight="1" ht="11.25">
      <c r="A428" s="1353" t="s">
        <v>228</v>
      </c>
      <c r="B428" s="0" t="s">
        <v>228</v>
      </c>
      <c r="C428" s="0" t="s">
        <v>228</v>
      </c>
      <c r="D428" s="0" t="s">
        <v>228</v>
      </c>
      <c r="E428" s="0" t="s">
        <v>228</v>
      </c>
      <c r="F428" s="0" t="s">
        <v>228</v>
      </c>
      <c r="G428" s="0" t="s">
        <v>228</v>
      </c>
      <c r="H428" s="0" t="s">
        <v>228</v>
      </c>
      <c r="I428" s="0" t="s">
        <v>3555</v>
      </c>
      <c r="J428" s="0" t="s">
        <v>228</v>
      </c>
      <c r="K428" s="0" t="s">
        <v>228</v>
      </c>
      <c r="L428" s="0" t="s">
        <v>228</v>
      </c>
      <c r="M428" s="0" t="s">
        <v>228</v>
      </c>
      <c r="N428" s="0" t="s">
        <v>228</v>
      </c>
      <c r="O428" s="0" t="s">
        <v>228</v>
      </c>
      <c r="P428" s="0" t="s">
        <v>228</v>
      </c>
      <c r="Q428" s="0" t="s">
        <v>228</v>
      </c>
      <c r="R428" s="0" t="s">
        <v>3870</v>
      </c>
      <c r="S428" s="0" t="s">
        <v>228</v>
      </c>
      <c r="T428" s="0" t="s">
        <v>228</v>
      </c>
      <c r="U428" s="0" t="s">
        <v>101</v>
      </c>
      <c r="V428" s="0" t="s">
        <v>228</v>
      </c>
      <c r="W428" s="0" t="s">
        <v>228</v>
      </c>
      <c r="X428" s="0" t="s">
        <v>3661</v>
      </c>
      <c r="Y428" s="0" t="s">
        <v>228</v>
      </c>
      <c r="Z428" s="0" t="s">
        <v>151</v>
      </c>
      <c r="AA428" s="0" t="s">
        <v>151</v>
      </c>
      <c r="AB428" s="0" t="s">
        <v>160</v>
      </c>
      <c r="AC428" s="0" t="s">
        <v>2315</v>
      </c>
      <c r="AD428" s="0" t="s">
        <v>2315</v>
      </c>
      <c r="AE428" s="0" t="s">
        <v>2316</v>
      </c>
      <c r="AF428" s="0" t="s">
        <v>3871</v>
      </c>
      <c r="AG428" s="0" t="s">
        <v>3872</v>
      </c>
      <c r="AH428" s="0" t="s">
        <v>3651</v>
      </c>
      <c r="AI428" s="0" t="s">
        <v>3651</v>
      </c>
      <c r="AJ428" s="0" t="s">
        <v>228</v>
      </c>
      <c r="AK428" s="0" t="s">
        <v>228</v>
      </c>
      <c r="AL428" s="0" t="s">
        <v>228</v>
      </c>
      <c r="AM428" s="0" t="s">
        <v>228</v>
      </c>
      <c r="AN428" s="0" t="s">
        <v>228</v>
      </c>
      <c r="AO428" s="0" t="s">
        <v>228</v>
      </c>
      <c r="AP428" s="0" t="s">
        <v>228</v>
      </c>
      <c r="AQ428" s="0" t="s">
        <v>228</v>
      </c>
      <c r="AR428" s="0" t="s">
        <v>228</v>
      </c>
      <c r="AS428" s="0" t="s">
        <v>228</v>
      </c>
      <c r="AT428" s="0" t="s">
        <v>228</v>
      </c>
      <c r="AU428" s="0" t="s">
        <v>228</v>
      </c>
      <c r="AV428" s="0" t="s">
        <v>228</v>
      </c>
      <c r="AW428" s="0" t="s">
        <v>228</v>
      </c>
      <c r="AX428" s="0" t="s">
        <v>228</v>
      </c>
      <c r="AY428" s="0" t="s">
        <v>228</v>
      </c>
      <c r="AZ428" s="0" t="s">
        <v>228</v>
      </c>
      <c r="BA428" s="0" t="s">
        <v>228</v>
      </c>
      <c r="BB428" s="0" t="s">
        <v>228</v>
      </c>
      <c r="BC428" s="0" t="s">
        <v>228</v>
      </c>
      <c r="BD428" s="0" t="s">
        <v>228</v>
      </c>
      <c r="BE428" s="0" t="s">
        <v>3873</v>
      </c>
      <c r="BF428" s="0" t="s">
        <v>3874</v>
      </c>
      <c r="BG428" s="0" t="s">
        <v>111</v>
      </c>
      <c r="BH428" s="0" t="s">
        <v>3665</v>
      </c>
      <c r="BI428" s="0" t="s">
        <v>122</v>
      </c>
      <c r="BJ428" s="0" t="s">
        <v>228</v>
      </c>
      <c r="BK428" s="0" t="s">
        <v>3684</v>
      </c>
      <c r="BL428" s="0" t="s">
        <v>2315</v>
      </c>
      <c r="BM428" s="0" t="s">
        <v>2315</v>
      </c>
      <c r="BN428" s="0" t="s">
        <v>3875</v>
      </c>
      <c r="BO428" s="0" t="s">
        <v>3871</v>
      </c>
      <c r="BP428" s="0" t="s">
        <v>3876</v>
      </c>
      <c r="BQ428" s="0" t="s">
        <v>3651</v>
      </c>
      <c r="BR428" s="0" t="s">
        <v>3651</v>
      </c>
      <c r="BS428" s="0" t="s">
        <v>228</v>
      </c>
      <c r="BT428" s="0" t="s">
        <v>3727</v>
      </c>
      <c r="BU428" s="0" t="s">
        <v>3877</v>
      </c>
      <c r="BV428" s="0" t="s">
        <v>3877</v>
      </c>
      <c r="BW428" s="0" t="s">
        <v>3674</v>
      </c>
      <c r="BX428" s="0" t="s">
        <v>3674</v>
      </c>
      <c r="BY428" s="0" t="s">
        <v>3674</v>
      </c>
      <c r="BZ428" s="0" t="s">
        <v>3674</v>
      </c>
      <c r="CA428" s="0" t="s">
        <v>3674</v>
      </c>
      <c r="CB428" s="0" t="s">
        <v>228</v>
      </c>
      <c r="CC428" s="0" t="s">
        <v>228</v>
      </c>
      <c r="CD428" s="0" t="s">
        <v>228</v>
      </c>
      <c r="CE428" s="0" t="s">
        <v>228</v>
      </c>
      <c r="CF428" s="0" t="s">
        <v>228</v>
      </c>
      <c r="CG428" s="0" t="s">
        <v>3674</v>
      </c>
      <c r="CH428" s="0" t="s">
        <v>228</v>
      </c>
      <c r="CI428" s="0" t="s">
        <v>228</v>
      </c>
      <c r="CJ428" s="0" t="s">
        <v>228</v>
      </c>
      <c r="CK428" s="0" t="s">
        <v>228</v>
      </c>
      <c r="CL428" s="0" t="s">
        <v>228</v>
      </c>
      <c r="CM428" s="0" t="s">
        <v>3877</v>
      </c>
      <c r="CN428" s="0" t="s">
        <v>3877</v>
      </c>
      <c r="CO428" s="0" t="s">
        <v>228</v>
      </c>
      <c r="CP428" s="0" t="s">
        <v>228</v>
      </c>
      <c r="CQ428" s="0" t="s">
        <v>228</v>
      </c>
      <c r="CR428" s="0" t="s">
        <v>228</v>
      </c>
      <c r="CS428" s="0" t="s">
        <v>3654</v>
      </c>
      <c r="CT428" s="0" t="s">
        <v>3568</v>
      </c>
      <c r="CU428" s="0" t="s">
        <v>3569</v>
      </c>
      <c r="CV428" s="0" t="s">
        <v>418</v>
      </c>
      <c r="CW428" s="0" t="s">
        <v>3656</v>
      </c>
      <c r="CX428" s="0" t="s">
        <v>419</v>
      </c>
      <c r="CY428" s="0" t="s">
        <v>418</v>
      </c>
      <c r="CZ428" s="0" t="s">
        <v>3657</v>
      </c>
      <c r="DA428" s="0" t="s">
        <v>3658</v>
      </c>
      <c r="DB428" s="0" t="s">
        <v>3656</v>
      </c>
      <c r="DC428" s="0" t="s">
        <v>362</v>
      </c>
      <c r="DD428" s="0" t="s">
        <v>3572</v>
      </c>
      <c r="DE428" s="0" t="s">
        <v>3878</v>
      </c>
    </row>
    <row customHeight="1" ht="11.25">
      <c r="A429" s="1353" t="s">
        <v>228</v>
      </c>
      <c r="B429" s="0" t="s">
        <v>228</v>
      </c>
      <c r="C429" s="0" t="s">
        <v>228</v>
      </c>
      <c r="D429" s="0" t="s">
        <v>228</v>
      </c>
      <c r="E429" s="0" t="s">
        <v>228</v>
      </c>
      <c r="F429" s="0" t="s">
        <v>228</v>
      </c>
      <c r="G429" s="0" t="s">
        <v>228</v>
      </c>
      <c r="H429" s="0" t="s">
        <v>228</v>
      </c>
      <c r="I429" s="0" t="s">
        <v>3555</v>
      </c>
      <c r="J429" s="0" t="s">
        <v>228</v>
      </c>
      <c r="K429" s="0" t="s">
        <v>228</v>
      </c>
      <c r="L429" s="0" t="s">
        <v>228</v>
      </c>
      <c r="M429" s="0" t="s">
        <v>228</v>
      </c>
      <c r="N429" s="0" t="s">
        <v>228</v>
      </c>
      <c r="O429" s="0" t="s">
        <v>228</v>
      </c>
      <c r="P429" s="0" t="s">
        <v>228</v>
      </c>
      <c r="Q429" s="0" t="s">
        <v>228</v>
      </c>
      <c r="R429" s="0" t="s">
        <v>3684</v>
      </c>
      <c r="S429" s="0" t="s">
        <v>228</v>
      </c>
      <c r="T429" s="0" t="s">
        <v>228</v>
      </c>
      <c r="U429" s="0" t="s">
        <v>101</v>
      </c>
      <c r="V429" s="0" t="s">
        <v>228</v>
      </c>
      <c r="W429" s="0" t="s">
        <v>228</v>
      </c>
      <c r="X429" s="0" t="s">
        <v>3557</v>
      </c>
      <c r="Y429" s="0" t="s">
        <v>228</v>
      </c>
      <c r="Z429" s="0" t="s">
        <v>160</v>
      </c>
      <c r="AA429" s="0" t="s">
        <v>151</v>
      </c>
      <c r="AB429" s="0" t="s">
        <v>151</v>
      </c>
      <c r="AC429" s="0" t="s">
        <v>2311</v>
      </c>
      <c r="AD429" s="0" t="s">
        <v>2311</v>
      </c>
      <c r="AE429" s="0" t="s">
        <v>2312</v>
      </c>
      <c r="AF429" s="0" t="s">
        <v>3996</v>
      </c>
      <c r="AG429" s="0" t="s">
        <v>3997</v>
      </c>
      <c r="AH429" s="0" t="s">
        <v>3589</v>
      </c>
      <c r="AI429" s="0" t="s">
        <v>1701</v>
      </c>
      <c r="AJ429" s="0" t="s">
        <v>3579</v>
      </c>
      <c r="AK429" s="0" t="s">
        <v>3580</v>
      </c>
      <c r="AL429" s="0" t="s">
        <v>4196</v>
      </c>
      <c r="AM429" s="0" t="s">
        <v>3565</v>
      </c>
      <c r="AN429" s="0" t="s">
        <v>3582</v>
      </c>
      <c r="AO429" s="0" t="s">
        <v>3845</v>
      </c>
      <c r="AP429" s="0" t="s">
        <v>228</v>
      </c>
      <c r="AQ429" s="0" t="s">
        <v>228</v>
      </c>
      <c r="AR429" s="0" t="s">
        <v>228</v>
      </c>
      <c r="AS429" s="0" t="s">
        <v>228</v>
      </c>
      <c r="AT429" s="0" t="s">
        <v>228</v>
      </c>
      <c r="AU429" s="0" t="s">
        <v>228</v>
      </c>
      <c r="AV429" s="0" t="s">
        <v>228</v>
      </c>
      <c r="AW429" s="0" t="s">
        <v>228</v>
      </c>
      <c r="AX429" s="0" t="s">
        <v>228</v>
      </c>
      <c r="AY429" s="0" t="s">
        <v>228</v>
      </c>
      <c r="AZ429" s="0" t="s">
        <v>228</v>
      </c>
      <c r="BA429" s="0" t="s">
        <v>228</v>
      </c>
      <c r="BB429" s="0" t="s">
        <v>228</v>
      </c>
      <c r="BC429" s="0" t="s">
        <v>228</v>
      </c>
      <c r="BD429" s="0" t="s">
        <v>228</v>
      </c>
      <c r="BE429" s="0" t="s">
        <v>228</v>
      </c>
      <c r="BF429" s="0" t="s">
        <v>228</v>
      </c>
      <c r="BG429" s="0" t="s">
        <v>228</v>
      </c>
      <c r="BH429" s="0" t="s">
        <v>228</v>
      </c>
      <c r="BI429" s="0" t="s">
        <v>228</v>
      </c>
      <c r="BJ429" s="0" t="s">
        <v>228</v>
      </c>
      <c r="BK429" s="0" t="s">
        <v>228</v>
      </c>
      <c r="BL429" s="0" t="s">
        <v>228</v>
      </c>
      <c r="BM429" s="0" t="s">
        <v>228</v>
      </c>
      <c r="BN429" s="0" t="s">
        <v>228</v>
      </c>
      <c r="BO429" s="0" t="s">
        <v>228</v>
      </c>
      <c r="BP429" s="0" t="s">
        <v>228</v>
      </c>
      <c r="BQ429" s="0" t="s">
        <v>228</v>
      </c>
      <c r="BR429" s="0" t="s">
        <v>228</v>
      </c>
      <c r="BS429" s="0" t="s">
        <v>228</v>
      </c>
      <c r="BT429" s="0" t="s">
        <v>228</v>
      </c>
      <c r="BU429" s="0" t="s">
        <v>228</v>
      </c>
      <c r="BV429" s="0" t="s">
        <v>228</v>
      </c>
      <c r="BW429" s="0" t="s">
        <v>228</v>
      </c>
      <c r="BX429" s="0" t="s">
        <v>228</v>
      </c>
      <c r="BY429" s="0" t="s">
        <v>228</v>
      </c>
      <c r="BZ429" s="0" t="s">
        <v>228</v>
      </c>
      <c r="CA429" s="0" t="s">
        <v>228</v>
      </c>
      <c r="CB429" s="0" t="s">
        <v>228</v>
      </c>
      <c r="CC429" s="0" t="s">
        <v>228</v>
      </c>
      <c r="CD429" s="0" t="s">
        <v>228</v>
      </c>
      <c r="CE429" s="0" t="s">
        <v>228</v>
      </c>
      <c r="CF429" s="0" t="s">
        <v>228</v>
      </c>
      <c r="CG429" s="0" t="s">
        <v>228</v>
      </c>
      <c r="CH429" s="0" t="s">
        <v>228</v>
      </c>
      <c r="CI429" s="0" t="s">
        <v>228</v>
      </c>
      <c r="CJ429" s="0" t="s">
        <v>228</v>
      </c>
      <c r="CK429" s="0" t="s">
        <v>228</v>
      </c>
      <c r="CL429" s="0" t="s">
        <v>228</v>
      </c>
      <c r="CM429" s="0" t="s">
        <v>228</v>
      </c>
      <c r="CN429" s="0" t="s">
        <v>228</v>
      </c>
      <c r="CO429" s="0" t="s">
        <v>228</v>
      </c>
      <c r="CP429" s="0" t="s">
        <v>228</v>
      </c>
      <c r="CQ429" s="0" t="s">
        <v>228</v>
      </c>
      <c r="CR429" s="0" t="s">
        <v>228</v>
      </c>
      <c r="CS429" s="0" t="s">
        <v>228</v>
      </c>
      <c r="CT429" s="0" t="s">
        <v>3568</v>
      </c>
      <c r="CU429" s="0" t="s">
        <v>3569</v>
      </c>
      <c r="CV429" s="0" t="s">
        <v>418</v>
      </c>
      <c r="CW429" s="0" t="s">
        <v>3584</v>
      </c>
      <c r="CX429" s="0" t="s">
        <v>419</v>
      </c>
      <c r="CY429" s="0" t="s">
        <v>418</v>
      </c>
      <c r="CZ429" s="0" t="s">
        <v>3585</v>
      </c>
      <c r="DA429" s="0" t="s">
        <v>3586</v>
      </c>
      <c r="DB429" s="0" t="s">
        <v>3584</v>
      </c>
      <c r="DC429" s="0" t="s">
        <v>362</v>
      </c>
      <c r="DD429" s="0" t="s">
        <v>3572</v>
      </c>
      <c r="DE429" s="0" t="s">
        <v>4197</v>
      </c>
    </row>
    <row customHeight="1" ht="11.25">
      <c r="A430" s="1353" t="s">
        <v>228</v>
      </c>
      <c r="B430" s="0" t="s">
        <v>228</v>
      </c>
      <c r="C430" s="0" t="s">
        <v>228</v>
      </c>
      <c r="D430" s="0" t="s">
        <v>228</v>
      </c>
      <c r="E430" s="0" t="s">
        <v>228</v>
      </c>
      <c r="F430" s="0" t="s">
        <v>228</v>
      </c>
      <c r="G430" s="0" t="s">
        <v>228</v>
      </c>
      <c r="H430" s="0" t="s">
        <v>228</v>
      </c>
      <c r="I430" s="0" t="s">
        <v>3555</v>
      </c>
      <c r="J430" s="0" t="s">
        <v>228</v>
      </c>
      <c r="K430" s="0" t="s">
        <v>228</v>
      </c>
      <c r="L430" s="0" t="s">
        <v>228</v>
      </c>
      <c r="M430" s="0" t="s">
        <v>228</v>
      </c>
      <c r="N430" s="0" t="s">
        <v>228</v>
      </c>
      <c r="O430" s="0" t="s">
        <v>228</v>
      </c>
      <c r="P430" s="0" t="s">
        <v>228</v>
      </c>
      <c r="Q430" s="0" t="s">
        <v>228</v>
      </c>
      <c r="R430" s="0" t="s">
        <v>3684</v>
      </c>
      <c r="S430" s="0" t="s">
        <v>228</v>
      </c>
      <c r="T430" s="0" t="s">
        <v>228</v>
      </c>
      <c r="U430" s="0" t="s">
        <v>101</v>
      </c>
      <c r="V430" s="0" t="s">
        <v>228</v>
      </c>
      <c r="W430" s="0" t="s">
        <v>228</v>
      </c>
      <c r="X430" s="0" t="s">
        <v>3557</v>
      </c>
      <c r="Y430" s="0" t="s">
        <v>228</v>
      </c>
      <c r="Z430" s="0" t="s">
        <v>160</v>
      </c>
      <c r="AA430" s="0" t="s">
        <v>151</v>
      </c>
      <c r="AB430" s="0" t="s">
        <v>151</v>
      </c>
      <c r="AC430" s="0" t="s">
        <v>2311</v>
      </c>
      <c r="AD430" s="0" t="s">
        <v>2311</v>
      </c>
      <c r="AE430" s="0" t="s">
        <v>2312</v>
      </c>
      <c r="AF430" s="0" t="s">
        <v>3996</v>
      </c>
      <c r="AG430" s="0" t="s">
        <v>3997</v>
      </c>
      <c r="AH430" s="0" t="s">
        <v>3589</v>
      </c>
      <c r="AI430" s="0" t="s">
        <v>4198</v>
      </c>
      <c r="AJ430" s="0" t="s">
        <v>3579</v>
      </c>
      <c r="AK430" s="0" t="s">
        <v>3580</v>
      </c>
      <c r="AL430" s="0" t="s">
        <v>4196</v>
      </c>
      <c r="AM430" s="0" t="s">
        <v>3565</v>
      </c>
      <c r="AN430" s="0" t="s">
        <v>3582</v>
      </c>
      <c r="AO430" s="0" t="s">
        <v>3845</v>
      </c>
      <c r="AP430" s="0" t="s">
        <v>228</v>
      </c>
      <c r="AQ430" s="0" t="s">
        <v>228</v>
      </c>
      <c r="AR430" s="0" t="s">
        <v>228</v>
      </c>
      <c r="AS430" s="0" t="s">
        <v>228</v>
      </c>
      <c r="AT430" s="0" t="s">
        <v>228</v>
      </c>
      <c r="AU430" s="0" t="s">
        <v>228</v>
      </c>
      <c r="AV430" s="0" t="s">
        <v>228</v>
      </c>
      <c r="AW430" s="0" t="s">
        <v>228</v>
      </c>
      <c r="AX430" s="0" t="s">
        <v>228</v>
      </c>
      <c r="AY430" s="0" t="s">
        <v>228</v>
      </c>
      <c r="AZ430" s="0" t="s">
        <v>228</v>
      </c>
      <c r="BA430" s="0" t="s">
        <v>228</v>
      </c>
      <c r="BB430" s="0" t="s">
        <v>228</v>
      </c>
      <c r="BC430" s="0" t="s">
        <v>228</v>
      </c>
      <c r="BD430" s="0" t="s">
        <v>228</v>
      </c>
      <c r="BE430" s="0" t="s">
        <v>228</v>
      </c>
      <c r="BF430" s="0" t="s">
        <v>228</v>
      </c>
      <c r="BG430" s="0" t="s">
        <v>228</v>
      </c>
      <c r="BH430" s="0" t="s">
        <v>228</v>
      </c>
      <c r="BI430" s="0" t="s">
        <v>228</v>
      </c>
      <c r="BJ430" s="0" t="s">
        <v>228</v>
      </c>
      <c r="BK430" s="0" t="s">
        <v>228</v>
      </c>
      <c r="BL430" s="0" t="s">
        <v>228</v>
      </c>
      <c r="BM430" s="0" t="s">
        <v>228</v>
      </c>
      <c r="BN430" s="0" t="s">
        <v>228</v>
      </c>
      <c r="BO430" s="0" t="s">
        <v>228</v>
      </c>
      <c r="BP430" s="0" t="s">
        <v>228</v>
      </c>
      <c r="BQ430" s="0" t="s">
        <v>228</v>
      </c>
      <c r="BR430" s="0" t="s">
        <v>228</v>
      </c>
      <c r="BS430" s="0" t="s">
        <v>228</v>
      </c>
      <c r="BT430" s="0" t="s">
        <v>228</v>
      </c>
      <c r="BU430" s="0" t="s">
        <v>228</v>
      </c>
      <c r="BV430" s="0" t="s">
        <v>228</v>
      </c>
      <c r="BW430" s="0" t="s">
        <v>228</v>
      </c>
      <c r="BX430" s="0" t="s">
        <v>228</v>
      </c>
      <c r="BY430" s="0" t="s">
        <v>228</v>
      </c>
      <c r="BZ430" s="0" t="s">
        <v>228</v>
      </c>
      <c r="CA430" s="0" t="s">
        <v>228</v>
      </c>
      <c r="CB430" s="0" t="s">
        <v>228</v>
      </c>
      <c r="CC430" s="0" t="s">
        <v>228</v>
      </c>
      <c r="CD430" s="0" t="s">
        <v>228</v>
      </c>
      <c r="CE430" s="0" t="s">
        <v>228</v>
      </c>
      <c r="CF430" s="0" t="s">
        <v>228</v>
      </c>
      <c r="CG430" s="0" t="s">
        <v>228</v>
      </c>
      <c r="CH430" s="0" t="s">
        <v>228</v>
      </c>
      <c r="CI430" s="0" t="s">
        <v>228</v>
      </c>
      <c r="CJ430" s="0" t="s">
        <v>228</v>
      </c>
      <c r="CK430" s="0" t="s">
        <v>228</v>
      </c>
      <c r="CL430" s="0" t="s">
        <v>228</v>
      </c>
      <c r="CM430" s="0" t="s">
        <v>228</v>
      </c>
      <c r="CN430" s="0" t="s">
        <v>228</v>
      </c>
      <c r="CO430" s="0" t="s">
        <v>228</v>
      </c>
      <c r="CP430" s="0" t="s">
        <v>228</v>
      </c>
      <c r="CQ430" s="0" t="s">
        <v>228</v>
      </c>
      <c r="CR430" s="0" t="s">
        <v>228</v>
      </c>
      <c r="CS430" s="0" t="s">
        <v>228</v>
      </c>
      <c r="CT430" s="0" t="s">
        <v>3568</v>
      </c>
      <c r="CU430" s="0" t="s">
        <v>3569</v>
      </c>
      <c r="CV430" s="0" t="s">
        <v>418</v>
      </c>
      <c r="CW430" s="0" t="s">
        <v>3584</v>
      </c>
      <c r="CX430" s="0" t="s">
        <v>419</v>
      </c>
      <c r="CY430" s="0" t="s">
        <v>418</v>
      </c>
      <c r="CZ430" s="0" t="s">
        <v>3585</v>
      </c>
      <c r="DA430" s="0" t="s">
        <v>3586</v>
      </c>
      <c r="DB430" s="0" t="s">
        <v>3584</v>
      </c>
      <c r="DC430" s="0" t="s">
        <v>362</v>
      </c>
      <c r="DD430" s="0" t="s">
        <v>3572</v>
      </c>
      <c r="DE430" s="0" t="s">
        <v>4199</v>
      </c>
    </row>
    <row customHeight="1" ht="11.25">
      <c r="A431" s="1353" t="s">
        <v>228</v>
      </c>
      <c r="B431" s="0" t="s">
        <v>228</v>
      </c>
      <c r="C431" s="0" t="s">
        <v>228</v>
      </c>
      <c r="D431" s="0" t="s">
        <v>228</v>
      </c>
      <c r="E431" s="0" t="s">
        <v>228</v>
      </c>
      <c r="F431" s="0" t="s">
        <v>228</v>
      </c>
      <c r="G431" s="0" t="s">
        <v>228</v>
      </c>
      <c r="H431" s="0" t="s">
        <v>228</v>
      </c>
      <c r="I431" s="0" t="s">
        <v>3555</v>
      </c>
      <c r="J431" s="0" t="s">
        <v>228</v>
      </c>
      <c r="K431" s="0" t="s">
        <v>228</v>
      </c>
      <c r="L431" s="0" t="s">
        <v>228</v>
      </c>
      <c r="M431" s="0" t="s">
        <v>228</v>
      </c>
      <c r="N431" s="0" t="s">
        <v>228</v>
      </c>
      <c r="O431" s="0" t="s">
        <v>228</v>
      </c>
      <c r="P431" s="0" t="s">
        <v>228</v>
      </c>
      <c r="Q431" s="0" t="s">
        <v>228</v>
      </c>
      <c r="R431" s="0" t="s">
        <v>3684</v>
      </c>
      <c r="S431" s="0" t="s">
        <v>228</v>
      </c>
      <c r="T431" s="0" t="s">
        <v>228</v>
      </c>
      <c r="U431" s="0" t="s">
        <v>101</v>
      </c>
      <c r="V431" s="0" t="s">
        <v>228</v>
      </c>
      <c r="W431" s="0" t="s">
        <v>228</v>
      </c>
      <c r="X431" s="0" t="s">
        <v>3557</v>
      </c>
      <c r="Y431" s="0" t="s">
        <v>228</v>
      </c>
      <c r="Z431" s="0" t="s">
        <v>160</v>
      </c>
      <c r="AA431" s="0" t="s">
        <v>151</v>
      </c>
      <c r="AB431" s="0" t="s">
        <v>151</v>
      </c>
      <c r="AC431" s="0" t="s">
        <v>2311</v>
      </c>
      <c r="AD431" s="0" t="s">
        <v>2311</v>
      </c>
      <c r="AE431" s="0" t="s">
        <v>2312</v>
      </c>
      <c r="AF431" s="0" t="s">
        <v>3996</v>
      </c>
      <c r="AG431" s="0" t="s">
        <v>3997</v>
      </c>
      <c r="AH431" s="0" t="s">
        <v>3589</v>
      </c>
      <c r="AI431" s="0" t="s">
        <v>4257</v>
      </c>
      <c r="AJ431" s="0" t="s">
        <v>3579</v>
      </c>
      <c r="AK431" s="0" t="s">
        <v>3580</v>
      </c>
      <c r="AL431" s="0" t="s">
        <v>4196</v>
      </c>
      <c r="AM431" s="0" t="s">
        <v>3565</v>
      </c>
      <c r="AN431" s="0" t="s">
        <v>3582</v>
      </c>
      <c r="AO431" s="0" t="s">
        <v>3845</v>
      </c>
      <c r="AP431" s="0" t="s">
        <v>228</v>
      </c>
      <c r="AQ431" s="0" t="s">
        <v>228</v>
      </c>
      <c r="AR431" s="0" t="s">
        <v>228</v>
      </c>
      <c r="AS431" s="0" t="s">
        <v>228</v>
      </c>
      <c r="AT431" s="0" t="s">
        <v>228</v>
      </c>
      <c r="AU431" s="0" t="s">
        <v>228</v>
      </c>
      <c r="AV431" s="0" t="s">
        <v>228</v>
      </c>
      <c r="AW431" s="0" t="s">
        <v>228</v>
      </c>
      <c r="AX431" s="0" t="s">
        <v>228</v>
      </c>
      <c r="AY431" s="0" t="s">
        <v>228</v>
      </c>
      <c r="AZ431" s="0" t="s">
        <v>228</v>
      </c>
      <c r="BA431" s="0" t="s">
        <v>228</v>
      </c>
      <c r="BB431" s="0" t="s">
        <v>228</v>
      </c>
      <c r="BC431" s="0" t="s">
        <v>228</v>
      </c>
      <c r="BD431" s="0" t="s">
        <v>228</v>
      </c>
      <c r="BE431" s="0" t="s">
        <v>228</v>
      </c>
      <c r="BF431" s="0" t="s">
        <v>228</v>
      </c>
      <c r="BG431" s="0" t="s">
        <v>228</v>
      </c>
      <c r="BH431" s="0" t="s">
        <v>228</v>
      </c>
      <c r="BI431" s="0" t="s">
        <v>228</v>
      </c>
      <c r="BJ431" s="0" t="s">
        <v>228</v>
      </c>
      <c r="BK431" s="0" t="s">
        <v>228</v>
      </c>
      <c r="BL431" s="0" t="s">
        <v>228</v>
      </c>
      <c r="BM431" s="0" t="s">
        <v>228</v>
      </c>
      <c r="BN431" s="0" t="s">
        <v>228</v>
      </c>
      <c r="BO431" s="0" t="s">
        <v>228</v>
      </c>
      <c r="BP431" s="0" t="s">
        <v>228</v>
      </c>
      <c r="BQ431" s="0" t="s">
        <v>228</v>
      </c>
      <c r="BR431" s="0" t="s">
        <v>228</v>
      </c>
      <c r="BS431" s="0" t="s">
        <v>228</v>
      </c>
      <c r="BT431" s="0" t="s">
        <v>228</v>
      </c>
      <c r="BU431" s="0" t="s">
        <v>228</v>
      </c>
      <c r="BV431" s="0" t="s">
        <v>228</v>
      </c>
      <c r="BW431" s="0" t="s">
        <v>228</v>
      </c>
      <c r="BX431" s="0" t="s">
        <v>228</v>
      </c>
      <c r="BY431" s="0" t="s">
        <v>228</v>
      </c>
      <c r="BZ431" s="0" t="s">
        <v>228</v>
      </c>
      <c r="CA431" s="0" t="s">
        <v>228</v>
      </c>
      <c r="CB431" s="0" t="s">
        <v>228</v>
      </c>
      <c r="CC431" s="0" t="s">
        <v>228</v>
      </c>
      <c r="CD431" s="0" t="s">
        <v>228</v>
      </c>
      <c r="CE431" s="0" t="s">
        <v>228</v>
      </c>
      <c r="CF431" s="0" t="s">
        <v>228</v>
      </c>
      <c r="CG431" s="0" t="s">
        <v>228</v>
      </c>
      <c r="CH431" s="0" t="s">
        <v>228</v>
      </c>
      <c r="CI431" s="0" t="s">
        <v>228</v>
      </c>
      <c r="CJ431" s="0" t="s">
        <v>228</v>
      </c>
      <c r="CK431" s="0" t="s">
        <v>228</v>
      </c>
      <c r="CL431" s="0" t="s">
        <v>228</v>
      </c>
      <c r="CM431" s="0" t="s">
        <v>228</v>
      </c>
      <c r="CN431" s="0" t="s">
        <v>228</v>
      </c>
      <c r="CO431" s="0" t="s">
        <v>228</v>
      </c>
      <c r="CP431" s="0" t="s">
        <v>228</v>
      </c>
      <c r="CQ431" s="0" t="s">
        <v>228</v>
      </c>
      <c r="CR431" s="0" t="s">
        <v>228</v>
      </c>
      <c r="CS431" s="0" t="s">
        <v>228</v>
      </c>
      <c r="CT431" s="0" t="s">
        <v>3568</v>
      </c>
      <c r="CU431" s="0" t="s">
        <v>3569</v>
      </c>
      <c r="CV431" s="0" t="s">
        <v>418</v>
      </c>
      <c r="CW431" s="0" t="s">
        <v>3584</v>
      </c>
      <c r="CX431" s="0" t="s">
        <v>419</v>
      </c>
      <c r="CY431" s="0" t="s">
        <v>418</v>
      </c>
      <c r="CZ431" s="0" t="s">
        <v>3585</v>
      </c>
      <c r="DA431" s="0" t="s">
        <v>3586</v>
      </c>
      <c r="DB431" s="0" t="s">
        <v>3584</v>
      </c>
      <c r="DC431" s="0" t="s">
        <v>362</v>
      </c>
      <c r="DD431" s="0" t="s">
        <v>3572</v>
      </c>
      <c r="DE431" s="0" t="s">
        <v>4258</v>
      </c>
    </row>
    <row customHeight="1" ht="11.25">
      <c r="A432" s="1353" t="s">
        <v>228</v>
      </c>
      <c r="B432" s="0" t="s">
        <v>228</v>
      </c>
      <c r="C432" s="0" t="s">
        <v>228</v>
      </c>
      <c r="D432" s="0" t="s">
        <v>228</v>
      </c>
      <c r="E432" s="0" t="s">
        <v>228</v>
      </c>
      <c r="F432" s="0" t="s">
        <v>228</v>
      </c>
      <c r="G432" s="0" t="s">
        <v>228</v>
      </c>
      <c r="H432" s="0" t="s">
        <v>228</v>
      </c>
      <c r="I432" s="0" t="s">
        <v>3555</v>
      </c>
      <c r="J432" s="0" t="s">
        <v>228</v>
      </c>
      <c r="K432" s="0" t="s">
        <v>228</v>
      </c>
      <c r="L432" s="0" t="s">
        <v>228</v>
      </c>
      <c r="M432" s="0" t="s">
        <v>228</v>
      </c>
      <c r="N432" s="0" t="s">
        <v>228</v>
      </c>
      <c r="O432" s="0" t="s">
        <v>228</v>
      </c>
      <c r="P432" s="0" t="s">
        <v>228</v>
      </c>
      <c r="Q432" s="0" t="s">
        <v>228</v>
      </c>
      <c r="R432" s="0" t="s">
        <v>4266</v>
      </c>
      <c r="S432" s="0" t="s">
        <v>228</v>
      </c>
      <c r="T432" s="0" t="s">
        <v>228</v>
      </c>
      <c r="U432" s="0" t="s">
        <v>101</v>
      </c>
      <c r="V432" s="0" t="s">
        <v>228</v>
      </c>
      <c r="W432" s="0" t="s">
        <v>228</v>
      </c>
      <c r="X432" s="0" t="s">
        <v>3661</v>
      </c>
      <c r="Y432" s="0" t="s">
        <v>228</v>
      </c>
      <c r="Z432" s="0" t="s">
        <v>151</v>
      </c>
      <c r="AA432" s="0" t="s">
        <v>151</v>
      </c>
      <c r="AB432" s="0" t="s">
        <v>160</v>
      </c>
      <c r="AC432" s="0" t="s">
        <v>2317</v>
      </c>
      <c r="AD432" s="0" t="s">
        <v>2317</v>
      </c>
      <c r="AE432" s="0" t="s">
        <v>2318</v>
      </c>
      <c r="AF432" s="0" t="s">
        <v>3615</v>
      </c>
      <c r="AG432" s="0" t="s">
        <v>3616</v>
      </c>
      <c r="AH432" s="0" t="s">
        <v>3651</v>
      </c>
      <c r="AI432" s="0" t="s">
        <v>3651</v>
      </c>
      <c r="AJ432" s="0" t="s">
        <v>228</v>
      </c>
      <c r="AK432" s="0" t="s">
        <v>228</v>
      </c>
      <c r="AL432" s="0" t="s">
        <v>228</v>
      </c>
      <c r="AM432" s="0" t="s">
        <v>228</v>
      </c>
      <c r="AN432" s="0" t="s">
        <v>228</v>
      </c>
      <c r="AO432" s="0" t="s">
        <v>228</v>
      </c>
      <c r="AP432" s="0" t="s">
        <v>228</v>
      </c>
      <c r="AQ432" s="0" t="s">
        <v>228</v>
      </c>
      <c r="AR432" s="0" t="s">
        <v>228</v>
      </c>
      <c r="AS432" s="0" t="s">
        <v>228</v>
      </c>
      <c r="AT432" s="0" t="s">
        <v>228</v>
      </c>
      <c r="AU432" s="0" t="s">
        <v>228</v>
      </c>
      <c r="AV432" s="0" t="s">
        <v>228</v>
      </c>
      <c r="AW432" s="0" t="s">
        <v>228</v>
      </c>
      <c r="AX432" s="0" t="s">
        <v>228</v>
      </c>
      <c r="AY432" s="0" t="s">
        <v>228</v>
      </c>
      <c r="AZ432" s="0" t="s">
        <v>228</v>
      </c>
      <c r="BA432" s="0" t="s">
        <v>228</v>
      </c>
      <c r="BB432" s="0" t="s">
        <v>228</v>
      </c>
      <c r="BC432" s="0" t="s">
        <v>228</v>
      </c>
      <c r="BD432" s="0" t="s">
        <v>228</v>
      </c>
      <c r="BE432" s="0" t="s">
        <v>3579</v>
      </c>
      <c r="BF432" s="0" t="s">
        <v>3619</v>
      </c>
      <c r="BG432" s="0" t="s">
        <v>111</v>
      </c>
      <c r="BH432" s="0" t="s">
        <v>3665</v>
      </c>
      <c r="BI432" s="0" t="s">
        <v>122</v>
      </c>
      <c r="BJ432" s="0" t="s">
        <v>228</v>
      </c>
      <c r="BK432" s="0" t="s">
        <v>3684</v>
      </c>
      <c r="BL432" s="0" t="s">
        <v>2317</v>
      </c>
      <c r="BM432" s="0" t="s">
        <v>2317</v>
      </c>
      <c r="BN432" s="0" t="s">
        <v>3740</v>
      </c>
      <c r="BO432" s="0" t="s">
        <v>3615</v>
      </c>
      <c r="BP432" s="0" t="s">
        <v>4267</v>
      </c>
      <c r="BQ432" s="0" t="s">
        <v>3651</v>
      </c>
      <c r="BR432" s="0" t="s">
        <v>3651</v>
      </c>
      <c r="BS432" s="0" t="s">
        <v>228</v>
      </c>
      <c r="BT432" s="0" t="s">
        <v>3727</v>
      </c>
      <c r="BU432" s="0" t="s">
        <v>4268</v>
      </c>
      <c r="BV432" s="0" t="s">
        <v>4268</v>
      </c>
      <c r="BW432" s="0" t="s">
        <v>3674</v>
      </c>
      <c r="BX432" s="0" t="s">
        <v>3674</v>
      </c>
      <c r="BY432" s="0" t="s">
        <v>3674</v>
      </c>
      <c r="BZ432" s="0" t="s">
        <v>3674</v>
      </c>
      <c r="CA432" s="0" t="s">
        <v>3674</v>
      </c>
      <c r="CB432" s="0" t="s">
        <v>228</v>
      </c>
      <c r="CC432" s="0" t="s">
        <v>228</v>
      </c>
      <c r="CD432" s="0" t="s">
        <v>228</v>
      </c>
      <c r="CE432" s="0" t="s">
        <v>228</v>
      </c>
      <c r="CF432" s="0" t="s">
        <v>228</v>
      </c>
      <c r="CG432" s="0" t="s">
        <v>3674</v>
      </c>
      <c r="CH432" s="0" t="s">
        <v>228</v>
      </c>
      <c r="CI432" s="0" t="s">
        <v>228</v>
      </c>
      <c r="CJ432" s="0" t="s">
        <v>228</v>
      </c>
      <c r="CK432" s="0" t="s">
        <v>228</v>
      </c>
      <c r="CL432" s="0" t="s">
        <v>228</v>
      </c>
      <c r="CM432" s="0" t="s">
        <v>4268</v>
      </c>
      <c r="CN432" s="0" t="s">
        <v>4268</v>
      </c>
      <c r="CO432" s="0" t="s">
        <v>228</v>
      </c>
      <c r="CP432" s="0" t="s">
        <v>228</v>
      </c>
      <c r="CQ432" s="0" t="s">
        <v>228</v>
      </c>
      <c r="CR432" s="0" t="s">
        <v>228</v>
      </c>
      <c r="CS432" s="0" t="s">
        <v>3743</v>
      </c>
      <c r="CT432" s="0" t="s">
        <v>3568</v>
      </c>
      <c r="CU432" s="0" t="s">
        <v>3569</v>
      </c>
      <c r="CV432" s="0" t="s">
        <v>418</v>
      </c>
      <c r="CW432" s="0" t="s">
        <v>3622</v>
      </c>
      <c r="CX432" s="0" t="s">
        <v>419</v>
      </c>
      <c r="CY432" s="0" t="s">
        <v>418</v>
      </c>
      <c r="CZ432" s="0" t="s">
        <v>3623</v>
      </c>
      <c r="DA432" s="0" t="s">
        <v>3624</v>
      </c>
      <c r="DB432" s="0" t="s">
        <v>3622</v>
      </c>
      <c r="DC432" s="0" t="s">
        <v>362</v>
      </c>
      <c r="DD432" s="0" t="s">
        <v>3572</v>
      </c>
      <c r="DE432" s="0" t="s">
        <v>4269</v>
      </c>
    </row>
    <row customHeight="1" ht="11.25">
      <c r="A433" s="1353" t="s">
        <v>228</v>
      </c>
      <c r="B433" s="0" t="s">
        <v>228</v>
      </c>
      <c r="C433" s="0" t="s">
        <v>228</v>
      </c>
      <c r="D433" s="0" t="s">
        <v>228</v>
      </c>
      <c r="E433" s="0" t="s">
        <v>228</v>
      </c>
      <c r="F433" s="0" t="s">
        <v>228</v>
      </c>
      <c r="G433" s="0" t="s">
        <v>228</v>
      </c>
      <c r="H433" s="0" t="s">
        <v>228</v>
      </c>
      <c r="I433" s="0" t="s">
        <v>3555</v>
      </c>
      <c r="J433" s="0" t="s">
        <v>228</v>
      </c>
      <c r="K433" s="0" t="s">
        <v>228</v>
      </c>
      <c r="L433" s="0" t="s">
        <v>228</v>
      </c>
      <c r="M433" s="0" t="s">
        <v>228</v>
      </c>
      <c r="N433" s="0" t="s">
        <v>228</v>
      </c>
      <c r="O433" s="0" t="s">
        <v>228</v>
      </c>
      <c r="P433" s="0" t="s">
        <v>228</v>
      </c>
      <c r="Q433" s="0" t="s">
        <v>228</v>
      </c>
      <c r="R433" s="0" t="s">
        <v>4270</v>
      </c>
      <c r="S433" s="0" t="s">
        <v>228</v>
      </c>
      <c r="T433" s="0" t="s">
        <v>228</v>
      </c>
      <c r="U433" s="0" t="s">
        <v>101</v>
      </c>
      <c r="V433" s="0" t="s">
        <v>228</v>
      </c>
      <c r="W433" s="0" t="s">
        <v>228</v>
      </c>
      <c r="X433" s="0" t="s">
        <v>3557</v>
      </c>
      <c r="Y433" s="0" t="s">
        <v>228</v>
      </c>
      <c r="Z433" s="0" t="s">
        <v>160</v>
      </c>
      <c r="AA433" s="0" t="s">
        <v>151</v>
      </c>
      <c r="AB433" s="0" t="s">
        <v>151</v>
      </c>
      <c r="AC433" s="0" t="s">
        <v>2317</v>
      </c>
      <c r="AD433" s="0" t="s">
        <v>2317</v>
      </c>
      <c r="AE433" s="0" t="s">
        <v>2318</v>
      </c>
      <c r="AF433" s="0" t="s">
        <v>4271</v>
      </c>
      <c r="AG433" s="0" t="s">
        <v>4272</v>
      </c>
      <c r="AH433" s="0" t="s">
        <v>3747</v>
      </c>
      <c r="AI433" s="0" t="s">
        <v>4273</v>
      </c>
      <c r="AJ433" s="0" t="s">
        <v>3627</v>
      </c>
      <c r="AK433" s="0" t="s">
        <v>3749</v>
      </c>
      <c r="AL433" s="0" t="s">
        <v>3581</v>
      </c>
      <c r="AM433" s="0" t="s">
        <v>3565</v>
      </c>
      <c r="AN433" s="0" t="s">
        <v>3620</v>
      </c>
      <c r="AO433" s="0" t="s">
        <v>3583</v>
      </c>
      <c r="AP433" s="0" t="s">
        <v>228</v>
      </c>
      <c r="AQ433" s="0" t="s">
        <v>228</v>
      </c>
      <c r="AR433" s="0" t="s">
        <v>228</v>
      </c>
      <c r="AS433" s="0" t="s">
        <v>228</v>
      </c>
      <c r="AT433" s="0" t="s">
        <v>228</v>
      </c>
      <c r="AU433" s="0" t="s">
        <v>228</v>
      </c>
      <c r="AV433" s="0" t="s">
        <v>228</v>
      </c>
      <c r="AW433" s="0" t="s">
        <v>228</v>
      </c>
      <c r="AX433" s="0" t="s">
        <v>228</v>
      </c>
      <c r="AY433" s="0" t="s">
        <v>228</v>
      </c>
      <c r="AZ433" s="0" t="s">
        <v>228</v>
      </c>
      <c r="BA433" s="0" t="s">
        <v>228</v>
      </c>
      <c r="BB433" s="0" t="s">
        <v>228</v>
      </c>
      <c r="BC433" s="0" t="s">
        <v>228</v>
      </c>
      <c r="BD433" s="0" t="s">
        <v>228</v>
      </c>
      <c r="BE433" s="0" t="s">
        <v>228</v>
      </c>
      <c r="BF433" s="0" t="s">
        <v>228</v>
      </c>
      <c r="BG433" s="0" t="s">
        <v>228</v>
      </c>
      <c r="BH433" s="0" t="s">
        <v>228</v>
      </c>
      <c r="BI433" s="0" t="s">
        <v>228</v>
      </c>
      <c r="BJ433" s="0" t="s">
        <v>228</v>
      </c>
      <c r="BK433" s="0" t="s">
        <v>228</v>
      </c>
      <c r="BL433" s="0" t="s">
        <v>228</v>
      </c>
      <c r="BM433" s="0" t="s">
        <v>228</v>
      </c>
      <c r="BN433" s="0" t="s">
        <v>228</v>
      </c>
      <c r="BO433" s="0" t="s">
        <v>228</v>
      </c>
      <c r="BP433" s="0" t="s">
        <v>228</v>
      </c>
      <c r="BQ433" s="0" t="s">
        <v>228</v>
      </c>
      <c r="BR433" s="0" t="s">
        <v>228</v>
      </c>
      <c r="BS433" s="0" t="s">
        <v>228</v>
      </c>
      <c r="BT433" s="0" t="s">
        <v>228</v>
      </c>
      <c r="BU433" s="0" t="s">
        <v>228</v>
      </c>
      <c r="BV433" s="0" t="s">
        <v>228</v>
      </c>
      <c r="BW433" s="0" t="s">
        <v>228</v>
      </c>
      <c r="BX433" s="0" t="s">
        <v>228</v>
      </c>
      <c r="BY433" s="0" t="s">
        <v>228</v>
      </c>
      <c r="BZ433" s="0" t="s">
        <v>228</v>
      </c>
      <c r="CA433" s="0" t="s">
        <v>228</v>
      </c>
      <c r="CB433" s="0" t="s">
        <v>228</v>
      </c>
      <c r="CC433" s="0" t="s">
        <v>228</v>
      </c>
      <c r="CD433" s="0" t="s">
        <v>228</v>
      </c>
      <c r="CE433" s="0" t="s">
        <v>228</v>
      </c>
      <c r="CF433" s="0" t="s">
        <v>228</v>
      </c>
      <c r="CG433" s="0" t="s">
        <v>228</v>
      </c>
      <c r="CH433" s="0" t="s">
        <v>228</v>
      </c>
      <c r="CI433" s="0" t="s">
        <v>228</v>
      </c>
      <c r="CJ433" s="0" t="s">
        <v>228</v>
      </c>
      <c r="CK433" s="0" t="s">
        <v>228</v>
      </c>
      <c r="CL433" s="0" t="s">
        <v>228</v>
      </c>
      <c r="CM433" s="0" t="s">
        <v>228</v>
      </c>
      <c r="CN433" s="0" t="s">
        <v>228</v>
      </c>
      <c r="CO433" s="0" t="s">
        <v>228</v>
      </c>
      <c r="CP433" s="0" t="s">
        <v>228</v>
      </c>
      <c r="CQ433" s="0" t="s">
        <v>228</v>
      </c>
      <c r="CR433" s="0" t="s">
        <v>228</v>
      </c>
      <c r="CS433" s="0" t="s">
        <v>228</v>
      </c>
      <c r="CT433" s="0" t="s">
        <v>3568</v>
      </c>
      <c r="CU433" s="0" t="s">
        <v>3569</v>
      </c>
      <c r="CV433" s="0" t="s">
        <v>418</v>
      </c>
      <c r="CW433" s="0" t="s">
        <v>3622</v>
      </c>
      <c r="CX433" s="0" t="s">
        <v>419</v>
      </c>
      <c r="CY433" s="0" t="s">
        <v>418</v>
      </c>
      <c r="CZ433" s="0" t="s">
        <v>3623</v>
      </c>
      <c r="DA433" s="0" t="s">
        <v>3624</v>
      </c>
      <c r="DB433" s="0" t="s">
        <v>3622</v>
      </c>
      <c r="DC433" s="0" t="s">
        <v>362</v>
      </c>
      <c r="DD433" s="0" t="s">
        <v>3572</v>
      </c>
      <c r="DE433" s="0" t="s">
        <v>4274</v>
      </c>
    </row>
    <row customHeight="1" ht="11.25">
      <c r="A434" s="1353" t="s">
        <v>228</v>
      </c>
      <c r="B434" s="0" t="s">
        <v>228</v>
      </c>
      <c r="C434" s="0" t="s">
        <v>228</v>
      </c>
      <c r="D434" s="0" t="s">
        <v>228</v>
      </c>
      <c r="E434" s="0" t="s">
        <v>228</v>
      </c>
      <c r="F434" s="0" t="s">
        <v>228</v>
      </c>
      <c r="G434" s="0" t="s">
        <v>228</v>
      </c>
      <c r="H434" s="0" t="s">
        <v>228</v>
      </c>
      <c r="I434" s="0" t="s">
        <v>3555</v>
      </c>
      <c r="J434" s="0" t="s">
        <v>228</v>
      </c>
      <c r="K434" s="0" t="s">
        <v>228</v>
      </c>
      <c r="L434" s="0" t="s">
        <v>228</v>
      </c>
      <c r="M434" s="0" t="s">
        <v>228</v>
      </c>
      <c r="N434" s="0" t="s">
        <v>228</v>
      </c>
      <c r="O434" s="0" t="s">
        <v>228</v>
      </c>
      <c r="P434" s="0" t="s">
        <v>228</v>
      </c>
      <c r="Q434" s="0" t="s">
        <v>228</v>
      </c>
      <c r="R434" s="0" t="s">
        <v>4275</v>
      </c>
      <c r="S434" s="0" t="s">
        <v>228</v>
      </c>
      <c r="T434" s="0" t="s">
        <v>228</v>
      </c>
      <c r="U434" s="0" t="s">
        <v>101</v>
      </c>
      <c r="V434" s="0" t="s">
        <v>228</v>
      </c>
      <c r="W434" s="0" t="s">
        <v>228</v>
      </c>
      <c r="X434" s="0" t="s">
        <v>3557</v>
      </c>
      <c r="Y434" s="0" t="s">
        <v>228</v>
      </c>
      <c r="Z434" s="0" t="s">
        <v>160</v>
      </c>
      <c r="AA434" s="0" t="s">
        <v>151</v>
      </c>
      <c r="AB434" s="0" t="s">
        <v>151</v>
      </c>
      <c r="AC434" s="0" t="s">
        <v>2317</v>
      </c>
      <c r="AD434" s="0" t="s">
        <v>2317</v>
      </c>
      <c r="AE434" s="0" t="s">
        <v>2318</v>
      </c>
      <c r="AF434" s="0" t="s">
        <v>4271</v>
      </c>
      <c r="AG434" s="0" t="s">
        <v>4272</v>
      </c>
      <c r="AH434" s="0" t="s">
        <v>4055</v>
      </c>
      <c r="AI434" s="0" t="s">
        <v>4276</v>
      </c>
      <c r="AJ434" s="0" t="s">
        <v>3579</v>
      </c>
      <c r="AK434" s="0" t="s">
        <v>3619</v>
      </c>
      <c r="AL434" s="0" t="s">
        <v>3581</v>
      </c>
      <c r="AM434" s="0" t="s">
        <v>3565</v>
      </c>
      <c r="AN434" s="0" t="s">
        <v>3620</v>
      </c>
      <c r="AO434" s="0" t="s">
        <v>4277</v>
      </c>
      <c r="AP434" s="0" t="s">
        <v>228</v>
      </c>
      <c r="AQ434" s="0" t="s">
        <v>228</v>
      </c>
      <c r="AR434" s="0" t="s">
        <v>228</v>
      </c>
      <c r="AS434" s="0" t="s">
        <v>228</v>
      </c>
      <c r="AT434" s="0" t="s">
        <v>228</v>
      </c>
      <c r="AU434" s="0" t="s">
        <v>228</v>
      </c>
      <c r="AV434" s="0" t="s">
        <v>228</v>
      </c>
      <c r="AW434" s="0" t="s">
        <v>228</v>
      </c>
      <c r="AX434" s="0" t="s">
        <v>228</v>
      </c>
      <c r="AY434" s="0" t="s">
        <v>228</v>
      </c>
      <c r="AZ434" s="0" t="s">
        <v>228</v>
      </c>
      <c r="BA434" s="0" t="s">
        <v>228</v>
      </c>
      <c r="BB434" s="0" t="s">
        <v>228</v>
      </c>
      <c r="BC434" s="0" t="s">
        <v>228</v>
      </c>
      <c r="BD434" s="0" t="s">
        <v>228</v>
      </c>
      <c r="BE434" s="0" t="s">
        <v>228</v>
      </c>
      <c r="BF434" s="0" t="s">
        <v>228</v>
      </c>
      <c r="BG434" s="0" t="s">
        <v>228</v>
      </c>
      <c r="BH434" s="0" t="s">
        <v>228</v>
      </c>
      <c r="BI434" s="0" t="s">
        <v>228</v>
      </c>
      <c r="BJ434" s="0" t="s">
        <v>228</v>
      </c>
      <c r="BK434" s="0" t="s">
        <v>228</v>
      </c>
      <c r="BL434" s="0" t="s">
        <v>228</v>
      </c>
      <c r="BM434" s="0" t="s">
        <v>228</v>
      </c>
      <c r="BN434" s="0" t="s">
        <v>228</v>
      </c>
      <c r="BO434" s="0" t="s">
        <v>228</v>
      </c>
      <c r="BP434" s="0" t="s">
        <v>228</v>
      </c>
      <c r="BQ434" s="0" t="s">
        <v>228</v>
      </c>
      <c r="BR434" s="0" t="s">
        <v>228</v>
      </c>
      <c r="BS434" s="0" t="s">
        <v>228</v>
      </c>
      <c r="BT434" s="0" t="s">
        <v>228</v>
      </c>
      <c r="BU434" s="0" t="s">
        <v>228</v>
      </c>
      <c r="BV434" s="0" t="s">
        <v>228</v>
      </c>
      <c r="BW434" s="0" t="s">
        <v>228</v>
      </c>
      <c r="BX434" s="0" t="s">
        <v>228</v>
      </c>
      <c r="BY434" s="0" t="s">
        <v>228</v>
      </c>
      <c r="BZ434" s="0" t="s">
        <v>228</v>
      </c>
      <c r="CA434" s="0" t="s">
        <v>228</v>
      </c>
      <c r="CB434" s="0" t="s">
        <v>228</v>
      </c>
      <c r="CC434" s="0" t="s">
        <v>228</v>
      </c>
      <c r="CD434" s="0" t="s">
        <v>228</v>
      </c>
      <c r="CE434" s="0" t="s">
        <v>228</v>
      </c>
      <c r="CF434" s="0" t="s">
        <v>228</v>
      </c>
      <c r="CG434" s="0" t="s">
        <v>228</v>
      </c>
      <c r="CH434" s="0" t="s">
        <v>228</v>
      </c>
      <c r="CI434" s="0" t="s">
        <v>228</v>
      </c>
      <c r="CJ434" s="0" t="s">
        <v>228</v>
      </c>
      <c r="CK434" s="0" t="s">
        <v>228</v>
      </c>
      <c r="CL434" s="0" t="s">
        <v>228</v>
      </c>
      <c r="CM434" s="0" t="s">
        <v>228</v>
      </c>
      <c r="CN434" s="0" t="s">
        <v>228</v>
      </c>
      <c r="CO434" s="0" t="s">
        <v>228</v>
      </c>
      <c r="CP434" s="0" t="s">
        <v>228</v>
      </c>
      <c r="CQ434" s="0" t="s">
        <v>228</v>
      </c>
      <c r="CR434" s="0" t="s">
        <v>228</v>
      </c>
      <c r="CS434" s="0" t="s">
        <v>228</v>
      </c>
      <c r="CT434" s="0" t="s">
        <v>3568</v>
      </c>
      <c r="CU434" s="0" t="s">
        <v>3569</v>
      </c>
      <c r="CV434" s="0" t="s">
        <v>418</v>
      </c>
      <c r="CW434" s="0" t="s">
        <v>3622</v>
      </c>
      <c r="CX434" s="0" t="s">
        <v>419</v>
      </c>
      <c r="CY434" s="0" t="s">
        <v>418</v>
      </c>
      <c r="CZ434" s="0" t="s">
        <v>3623</v>
      </c>
      <c r="DA434" s="0" t="s">
        <v>3624</v>
      </c>
      <c r="DB434" s="0" t="s">
        <v>3622</v>
      </c>
      <c r="DC434" s="0" t="s">
        <v>362</v>
      </c>
      <c r="DD434" s="0" t="s">
        <v>3572</v>
      </c>
      <c r="DE434" s="0" t="s">
        <v>4278</v>
      </c>
    </row>
    <row customHeight="1" ht="11.25">
      <c r="A435" s="1353" t="s">
        <v>228</v>
      </c>
      <c r="B435" s="0" t="s">
        <v>228</v>
      </c>
      <c r="C435" s="0" t="s">
        <v>228</v>
      </c>
      <c r="D435" s="0" t="s">
        <v>228</v>
      </c>
      <c r="E435" s="0" t="s">
        <v>228</v>
      </c>
      <c r="F435" s="0" t="s">
        <v>228</v>
      </c>
      <c r="G435" s="0" t="s">
        <v>228</v>
      </c>
      <c r="H435" s="0" t="s">
        <v>228</v>
      </c>
      <c r="I435" s="0" t="s">
        <v>3555</v>
      </c>
      <c r="J435" s="0" t="s">
        <v>228</v>
      </c>
      <c r="K435" s="0" t="s">
        <v>228</v>
      </c>
      <c r="L435" s="0" t="s">
        <v>228</v>
      </c>
      <c r="M435" s="0" t="s">
        <v>228</v>
      </c>
      <c r="N435" s="0" t="s">
        <v>228</v>
      </c>
      <c r="O435" s="0" t="s">
        <v>228</v>
      </c>
      <c r="P435" s="0" t="s">
        <v>228</v>
      </c>
      <c r="Q435" s="0" t="s">
        <v>228</v>
      </c>
      <c r="R435" s="0" t="s">
        <v>4543</v>
      </c>
      <c r="S435" s="0" t="s">
        <v>228</v>
      </c>
      <c r="T435" s="0" t="s">
        <v>228</v>
      </c>
      <c r="U435" s="0" t="s">
        <v>101</v>
      </c>
      <c r="V435" s="0" t="s">
        <v>228</v>
      </c>
      <c r="W435" s="0" t="s">
        <v>228</v>
      </c>
      <c r="X435" s="0" t="s">
        <v>3557</v>
      </c>
      <c r="Y435" s="0" t="s">
        <v>228</v>
      </c>
      <c r="Z435" s="0" t="s">
        <v>160</v>
      </c>
      <c r="AA435" s="0" t="s">
        <v>151</v>
      </c>
      <c r="AB435" s="0" t="s">
        <v>151</v>
      </c>
      <c r="AC435" s="0" t="s">
        <v>2317</v>
      </c>
      <c r="AD435" s="0" t="s">
        <v>2317</v>
      </c>
      <c r="AE435" s="0" t="s">
        <v>2318</v>
      </c>
      <c r="AF435" s="0" t="s">
        <v>4544</v>
      </c>
      <c r="AG435" s="0" t="s">
        <v>4545</v>
      </c>
      <c r="AH435" s="0" t="s">
        <v>3761</v>
      </c>
      <c r="AI435" s="0" t="s">
        <v>4273</v>
      </c>
      <c r="AJ435" s="0" t="s">
        <v>3652</v>
      </c>
      <c r="AK435" s="0" t="s">
        <v>3619</v>
      </c>
      <c r="AL435" s="0" t="s">
        <v>3581</v>
      </c>
      <c r="AM435" s="0" t="s">
        <v>3565</v>
      </c>
      <c r="AN435" s="0" t="s">
        <v>3628</v>
      </c>
      <c r="AO435" s="0" t="s">
        <v>4157</v>
      </c>
      <c r="AP435" s="0" t="s">
        <v>228</v>
      </c>
      <c r="AQ435" s="0" t="s">
        <v>228</v>
      </c>
      <c r="AR435" s="0" t="s">
        <v>228</v>
      </c>
      <c r="AS435" s="0" t="s">
        <v>228</v>
      </c>
      <c r="AT435" s="0" t="s">
        <v>228</v>
      </c>
      <c r="AU435" s="0" t="s">
        <v>228</v>
      </c>
      <c r="AV435" s="0" t="s">
        <v>228</v>
      </c>
      <c r="AW435" s="0" t="s">
        <v>228</v>
      </c>
      <c r="AX435" s="0" t="s">
        <v>228</v>
      </c>
      <c r="AY435" s="0" t="s">
        <v>228</v>
      </c>
      <c r="AZ435" s="0" t="s">
        <v>228</v>
      </c>
      <c r="BA435" s="0" t="s">
        <v>228</v>
      </c>
      <c r="BB435" s="0" t="s">
        <v>228</v>
      </c>
      <c r="BC435" s="0" t="s">
        <v>228</v>
      </c>
      <c r="BD435" s="0" t="s">
        <v>228</v>
      </c>
      <c r="BE435" s="0" t="s">
        <v>228</v>
      </c>
      <c r="BF435" s="0" t="s">
        <v>228</v>
      </c>
      <c r="BG435" s="0" t="s">
        <v>228</v>
      </c>
      <c r="BH435" s="0" t="s">
        <v>228</v>
      </c>
      <c r="BI435" s="0" t="s">
        <v>228</v>
      </c>
      <c r="BJ435" s="0" t="s">
        <v>228</v>
      </c>
      <c r="BK435" s="0" t="s">
        <v>228</v>
      </c>
      <c r="BL435" s="0" t="s">
        <v>228</v>
      </c>
      <c r="BM435" s="0" t="s">
        <v>228</v>
      </c>
      <c r="BN435" s="0" t="s">
        <v>228</v>
      </c>
      <c r="BO435" s="0" t="s">
        <v>228</v>
      </c>
      <c r="BP435" s="0" t="s">
        <v>228</v>
      </c>
      <c r="BQ435" s="0" t="s">
        <v>228</v>
      </c>
      <c r="BR435" s="0" t="s">
        <v>228</v>
      </c>
      <c r="BS435" s="0" t="s">
        <v>228</v>
      </c>
      <c r="BT435" s="0" t="s">
        <v>228</v>
      </c>
      <c r="BU435" s="0" t="s">
        <v>228</v>
      </c>
      <c r="BV435" s="0" t="s">
        <v>228</v>
      </c>
      <c r="BW435" s="0" t="s">
        <v>228</v>
      </c>
      <c r="BX435" s="0" t="s">
        <v>228</v>
      </c>
      <c r="BY435" s="0" t="s">
        <v>228</v>
      </c>
      <c r="BZ435" s="0" t="s">
        <v>228</v>
      </c>
      <c r="CA435" s="0" t="s">
        <v>228</v>
      </c>
      <c r="CB435" s="0" t="s">
        <v>228</v>
      </c>
      <c r="CC435" s="0" t="s">
        <v>228</v>
      </c>
      <c r="CD435" s="0" t="s">
        <v>228</v>
      </c>
      <c r="CE435" s="0" t="s">
        <v>228</v>
      </c>
      <c r="CF435" s="0" t="s">
        <v>228</v>
      </c>
      <c r="CG435" s="0" t="s">
        <v>228</v>
      </c>
      <c r="CH435" s="0" t="s">
        <v>228</v>
      </c>
      <c r="CI435" s="0" t="s">
        <v>228</v>
      </c>
      <c r="CJ435" s="0" t="s">
        <v>228</v>
      </c>
      <c r="CK435" s="0" t="s">
        <v>228</v>
      </c>
      <c r="CL435" s="0" t="s">
        <v>228</v>
      </c>
      <c r="CM435" s="0" t="s">
        <v>228</v>
      </c>
      <c r="CN435" s="0" t="s">
        <v>228</v>
      </c>
      <c r="CO435" s="0" t="s">
        <v>228</v>
      </c>
      <c r="CP435" s="0" t="s">
        <v>228</v>
      </c>
      <c r="CQ435" s="0" t="s">
        <v>228</v>
      </c>
      <c r="CR435" s="0" t="s">
        <v>228</v>
      </c>
      <c r="CS435" s="0" t="s">
        <v>228</v>
      </c>
      <c r="CT435" s="0" t="s">
        <v>3568</v>
      </c>
      <c r="CU435" s="0" t="s">
        <v>3569</v>
      </c>
      <c r="CV435" s="0" t="s">
        <v>418</v>
      </c>
      <c r="CW435" s="0" t="s">
        <v>3622</v>
      </c>
      <c r="CX435" s="0" t="s">
        <v>419</v>
      </c>
      <c r="CY435" s="0" t="s">
        <v>418</v>
      </c>
      <c r="CZ435" s="0" t="s">
        <v>3623</v>
      </c>
      <c r="DA435" s="0" t="s">
        <v>3624</v>
      </c>
      <c r="DB435" s="0" t="s">
        <v>3622</v>
      </c>
      <c r="DC435" s="0" t="s">
        <v>362</v>
      </c>
      <c r="DD435" s="0" t="s">
        <v>3572</v>
      </c>
      <c r="DE435" s="0" t="s">
        <v>4546</v>
      </c>
    </row>
    <row customHeight="1" ht="11.25">
      <c r="A436" s="1353" t="s">
        <v>228</v>
      </c>
      <c r="B436" s="0" t="s">
        <v>228</v>
      </c>
      <c r="C436" s="0" t="s">
        <v>228</v>
      </c>
      <c r="D436" s="0" t="s">
        <v>228</v>
      </c>
      <c r="E436" s="0" t="s">
        <v>228</v>
      </c>
      <c r="F436" s="0" t="s">
        <v>228</v>
      </c>
      <c r="G436" s="0" t="s">
        <v>228</v>
      </c>
      <c r="H436" s="0" t="s">
        <v>228</v>
      </c>
      <c r="I436" s="0" t="s">
        <v>3555</v>
      </c>
      <c r="J436" s="0" t="s">
        <v>228</v>
      </c>
      <c r="K436" s="0" t="s">
        <v>228</v>
      </c>
      <c r="L436" s="0" t="s">
        <v>228</v>
      </c>
      <c r="M436" s="0" t="s">
        <v>228</v>
      </c>
      <c r="N436" s="0" t="s">
        <v>228</v>
      </c>
      <c r="O436" s="0" t="s">
        <v>228</v>
      </c>
      <c r="P436" s="0" t="s">
        <v>228</v>
      </c>
      <c r="Q436" s="0" t="s">
        <v>228</v>
      </c>
      <c r="R436" s="0" t="s">
        <v>5080</v>
      </c>
      <c r="S436" s="0" t="s">
        <v>228</v>
      </c>
      <c r="T436" s="0" t="s">
        <v>228</v>
      </c>
      <c r="U436" s="0" t="s">
        <v>101</v>
      </c>
      <c r="V436" s="0" t="s">
        <v>228</v>
      </c>
      <c r="W436" s="0" t="s">
        <v>228</v>
      </c>
      <c r="X436" s="0" t="s">
        <v>3557</v>
      </c>
      <c r="Y436" s="0" t="s">
        <v>228</v>
      </c>
      <c r="Z436" s="0" t="s">
        <v>160</v>
      </c>
      <c r="AA436" s="0" t="s">
        <v>151</v>
      </c>
      <c r="AB436" s="0" t="s">
        <v>151</v>
      </c>
      <c r="AC436" s="0" t="s">
        <v>2715</v>
      </c>
      <c r="AD436" s="0" t="s">
        <v>2715</v>
      </c>
      <c r="AE436" s="0" t="s">
        <v>2716</v>
      </c>
      <c r="AF436" s="0" t="s">
        <v>3594</v>
      </c>
      <c r="AG436" s="0" t="s">
        <v>3595</v>
      </c>
      <c r="AH436" s="0" t="s">
        <v>4548</v>
      </c>
      <c r="AI436" s="0" t="s">
        <v>4549</v>
      </c>
      <c r="AJ436" s="0" t="s">
        <v>3951</v>
      </c>
      <c r="AK436" s="0" t="s">
        <v>4550</v>
      </c>
      <c r="AL436" s="0" t="s">
        <v>3599</v>
      </c>
      <c r="AM436" s="0" t="s">
        <v>3565</v>
      </c>
      <c r="AN436" s="0" t="s">
        <v>4551</v>
      </c>
      <c r="AO436" s="0" t="s">
        <v>4552</v>
      </c>
      <c r="AP436" s="0" t="s">
        <v>228</v>
      </c>
      <c r="AQ436" s="0" t="s">
        <v>228</v>
      </c>
      <c r="AR436" s="0" t="s">
        <v>228</v>
      </c>
      <c r="AS436" s="0" t="s">
        <v>228</v>
      </c>
      <c r="AT436" s="0" t="s">
        <v>228</v>
      </c>
      <c r="AU436" s="0" t="s">
        <v>228</v>
      </c>
      <c r="AV436" s="0" t="s">
        <v>228</v>
      </c>
      <c r="AW436" s="0" t="s">
        <v>228</v>
      </c>
      <c r="AX436" s="0" t="s">
        <v>228</v>
      </c>
      <c r="AY436" s="0" t="s">
        <v>228</v>
      </c>
      <c r="AZ436" s="0" t="s">
        <v>228</v>
      </c>
      <c r="BA436" s="0" t="s">
        <v>228</v>
      </c>
      <c r="BB436" s="0" t="s">
        <v>228</v>
      </c>
      <c r="BC436" s="0" t="s">
        <v>228</v>
      </c>
      <c r="BD436" s="0" t="s">
        <v>228</v>
      </c>
      <c r="BE436" s="0" t="s">
        <v>228</v>
      </c>
      <c r="BF436" s="0" t="s">
        <v>228</v>
      </c>
      <c r="BG436" s="0" t="s">
        <v>228</v>
      </c>
      <c r="BH436" s="0" t="s">
        <v>228</v>
      </c>
      <c r="BI436" s="0" t="s">
        <v>228</v>
      </c>
      <c r="BJ436" s="0" t="s">
        <v>228</v>
      </c>
      <c r="BK436" s="0" t="s">
        <v>228</v>
      </c>
      <c r="BL436" s="0" t="s">
        <v>228</v>
      </c>
      <c r="BM436" s="0" t="s">
        <v>228</v>
      </c>
      <c r="BN436" s="0" t="s">
        <v>228</v>
      </c>
      <c r="BO436" s="0" t="s">
        <v>228</v>
      </c>
      <c r="BP436" s="0" t="s">
        <v>228</v>
      </c>
      <c r="BQ436" s="0" t="s">
        <v>228</v>
      </c>
      <c r="BR436" s="0" t="s">
        <v>228</v>
      </c>
      <c r="BS436" s="0" t="s">
        <v>228</v>
      </c>
      <c r="BT436" s="0" t="s">
        <v>228</v>
      </c>
      <c r="BU436" s="0" t="s">
        <v>228</v>
      </c>
      <c r="BV436" s="0" t="s">
        <v>228</v>
      </c>
      <c r="BW436" s="0" t="s">
        <v>228</v>
      </c>
      <c r="BX436" s="0" t="s">
        <v>228</v>
      </c>
      <c r="BY436" s="0" t="s">
        <v>228</v>
      </c>
      <c r="BZ436" s="0" t="s">
        <v>228</v>
      </c>
      <c r="CA436" s="0" t="s">
        <v>228</v>
      </c>
      <c r="CB436" s="0" t="s">
        <v>228</v>
      </c>
      <c r="CC436" s="0" t="s">
        <v>228</v>
      </c>
      <c r="CD436" s="0" t="s">
        <v>228</v>
      </c>
      <c r="CE436" s="0" t="s">
        <v>228</v>
      </c>
      <c r="CF436" s="0" t="s">
        <v>228</v>
      </c>
      <c r="CG436" s="0" t="s">
        <v>228</v>
      </c>
      <c r="CH436" s="0" t="s">
        <v>228</v>
      </c>
      <c r="CI436" s="0" t="s">
        <v>228</v>
      </c>
      <c r="CJ436" s="0" t="s">
        <v>228</v>
      </c>
      <c r="CK436" s="0" t="s">
        <v>228</v>
      </c>
      <c r="CL436" s="0" t="s">
        <v>228</v>
      </c>
      <c r="CM436" s="0" t="s">
        <v>228</v>
      </c>
      <c r="CN436" s="0" t="s">
        <v>228</v>
      </c>
      <c r="CO436" s="0" t="s">
        <v>228</v>
      </c>
      <c r="CP436" s="0" t="s">
        <v>228</v>
      </c>
      <c r="CQ436" s="0" t="s">
        <v>228</v>
      </c>
      <c r="CR436" s="0" t="s">
        <v>228</v>
      </c>
      <c r="CS436" s="0" t="s">
        <v>228</v>
      </c>
      <c r="CT436" s="0" t="s">
        <v>3568</v>
      </c>
      <c r="CU436" s="0" t="s">
        <v>3569</v>
      </c>
      <c r="CV436" s="0" t="s">
        <v>418</v>
      </c>
      <c r="CW436" s="0" t="s">
        <v>3602</v>
      </c>
      <c r="CX436" s="0" t="s">
        <v>3603</v>
      </c>
      <c r="CY436" s="0" t="s">
        <v>418</v>
      </c>
      <c r="CZ436" s="0" t="s">
        <v>504</v>
      </c>
      <c r="DA436" s="0" t="s">
        <v>3604</v>
      </c>
      <c r="DB436" s="0" t="s">
        <v>3602</v>
      </c>
      <c r="DC436" s="0" t="s">
        <v>362</v>
      </c>
      <c r="DD436" s="0" t="s">
        <v>3572</v>
      </c>
      <c r="DE436" s="0" t="s">
        <v>4553</v>
      </c>
    </row>
    <row customHeight="1" ht="11.25">
      <c r="A437" s="1353" t="s">
        <v>228</v>
      </c>
      <c r="B437" s="0" t="s">
        <v>228</v>
      </c>
      <c r="C437" s="0" t="s">
        <v>228</v>
      </c>
      <c r="D437" s="0" t="s">
        <v>228</v>
      </c>
      <c r="E437" s="0" t="s">
        <v>228</v>
      </c>
      <c r="F437" s="0" t="s">
        <v>228</v>
      </c>
      <c r="G437" s="0" t="s">
        <v>228</v>
      </c>
      <c r="H437" s="0" t="s">
        <v>228</v>
      </c>
      <c r="I437" s="0" t="s">
        <v>3555</v>
      </c>
      <c r="J437" s="0" t="s">
        <v>228</v>
      </c>
      <c r="K437" s="0" t="s">
        <v>228</v>
      </c>
      <c r="L437" s="0" t="s">
        <v>228</v>
      </c>
      <c r="M437" s="0" t="s">
        <v>228</v>
      </c>
      <c r="N437" s="0" t="s">
        <v>228</v>
      </c>
      <c r="O437" s="0" t="s">
        <v>228</v>
      </c>
      <c r="P437" s="0" t="s">
        <v>228</v>
      </c>
      <c r="Q437" s="0" t="s">
        <v>228</v>
      </c>
      <c r="R437" s="0" t="s">
        <v>4554</v>
      </c>
      <c r="S437" s="0" t="s">
        <v>228</v>
      </c>
      <c r="T437" s="0" t="s">
        <v>228</v>
      </c>
      <c r="U437" s="0" t="s">
        <v>101</v>
      </c>
      <c r="V437" s="0" t="s">
        <v>228</v>
      </c>
      <c r="W437" s="0" t="s">
        <v>228</v>
      </c>
      <c r="X437" s="0" t="s">
        <v>3557</v>
      </c>
      <c r="Y437" s="0" t="s">
        <v>228</v>
      </c>
      <c r="Z437" s="0" t="s">
        <v>160</v>
      </c>
      <c r="AA437" s="0" t="s">
        <v>151</v>
      </c>
      <c r="AB437" s="0" t="s">
        <v>151</v>
      </c>
      <c r="AC437" s="0" t="s">
        <v>2317</v>
      </c>
      <c r="AD437" s="0" t="s">
        <v>2317</v>
      </c>
      <c r="AE437" s="0" t="s">
        <v>2318</v>
      </c>
      <c r="AF437" s="0" t="s">
        <v>4544</v>
      </c>
      <c r="AG437" s="0" t="s">
        <v>4545</v>
      </c>
      <c r="AH437" s="0" t="s">
        <v>4555</v>
      </c>
      <c r="AI437" s="0" t="s">
        <v>4556</v>
      </c>
      <c r="AJ437" s="0" t="s">
        <v>3652</v>
      </c>
      <c r="AK437" s="0" t="s">
        <v>3619</v>
      </c>
      <c r="AL437" s="0" t="s">
        <v>3581</v>
      </c>
      <c r="AM437" s="0" t="s">
        <v>3565</v>
      </c>
      <c r="AN437" s="0" t="s">
        <v>3628</v>
      </c>
      <c r="AO437" s="0" t="s">
        <v>4157</v>
      </c>
      <c r="AP437" s="0" t="s">
        <v>228</v>
      </c>
      <c r="AQ437" s="0" t="s">
        <v>228</v>
      </c>
      <c r="AR437" s="0" t="s">
        <v>228</v>
      </c>
      <c r="AS437" s="0" t="s">
        <v>228</v>
      </c>
      <c r="AT437" s="0" t="s">
        <v>228</v>
      </c>
      <c r="AU437" s="0" t="s">
        <v>228</v>
      </c>
      <c r="AV437" s="0" t="s">
        <v>228</v>
      </c>
      <c r="AW437" s="0" t="s">
        <v>228</v>
      </c>
      <c r="AX437" s="0" t="s">
        <v>228</v>
      </c>
      <c r="AY437" s="0" t="s">
        <v>228</v>
      </c>
      <c r="AZ437" s="0" t="s">
        <v>228</v>
      </c>
      <c r="BA437" s="0" t="s">
        <v>228</v>
      </c>
      <c r="BB437" s="0" t="s">
        <v>228</v>
      </c>
      <c r="BC437" s="0" t="s">
        <v>228</v>
      </c>
      <c r="BD437" s="0" t="s">
        <v>228</v>
      </c>
      <c r="BE437" s="0" t="s">
        <v>228</v>
      </c>
      <c r="BF437" s="0" t="s">
        <v>228</v>
      </c>
      <c r="BG437" s="0" t="s">
        <v>228</v>
      </c>
      <c r="BH437" s="0" t="s">
        <v>228</v>
      </c>
      <c r="BI437" s="0" t="s">
        <v>228</v>
      </c>
      <c r="BJ437" s="0" t="s">
        <v>228</v>
      </c>
      <c r="BK437" s="0" t="s">
        <v>228</v>
      </c>
      <c r="BL437" s="0" t="s">
        <v>228</v>
      </c>
      <c r="BM437" s="0" t="s">
        <v>228</v>
      </c>
      <c r="BN437" s="0" t="s">
        <v>228</v>
      </c>
      <c r="BO437" s="0" t="s">
        <v>228</v>
      </c>
      <c r="BP437" s="0" t="s">
        <v>228</v>
      </c>
      <c r="BQ437" s="0" t="s">
        <v>228</v>
      </c>
      <c r="BR437" s="0" t="s">
        <v>228</v>
      </c>
      <c r="BS437" s="0" t="s">
        <v>228</v>
      </c>
      <c r="BT437" s="0" t="s">
        <v>228</v>
      </c>
      <c r="BU437" s="0" t="s">
        <v>228</v>
      </c>
      <c r="BV437" s="0" t="s">
        <v>228</v>
      </c>
      <c r="BW437" s="0" t="s">
        <v>228</v>
      </c>
      <c r="BX437" s="0" t="s">
        <v>228</v>
      </c>
      <c r="BY437" s="0" t="s">
        <v>228</v>
      </c>
      <c r="BZ437" s="0" t="s">
        <v>228</v>
      </c>
      <c r="CA437" s="0" t="s">
        <v>228</v>
      </c>
      <c r="CB437" s="0" t="s">
        <v>228</v>
      </c>
      <c r="CC437" s="0" t="s">
        <v>228</v>
      </c>
      <c r="CD437" s="0" t="s">
        <v>228</v>
      </c>
      <c r="CE437" s="0" t="s">
        <v>228</v>
      </c>
      <c r="CF437" s="0" t="s">
        <v>228</v>
      </c>
      <c r="CG437" s="0" t="s">
        <v>228</v>
      </c>
      <c r="CH437" s="0" t="s">
        <v>228</v>
      </c>
      <c r="CI437" s="0" t="s">
        <v>228</v>
      </c>
      <c r="CJ437" s="0" t="s">
        <v>228</v>
      </c>
      <c r="CK437" s="0" t="s">
        <v>228</v>
      </c>
      <c r="CL437" s="0" t="s">
        <v>228</v>
      </c>
      <c r="CM437" s="0" t="s">
        <v>228</v>
      </c>
      <c r="CN437" s="0" t="s">
        <v>228</v>
      </c>
      <c r="CO437" s="0" t="s">
        <v>228</v>
      </c>
      <c r="CP437" s="0" t="s">
        <v>228</v>
      </c>
      <c r="CQ437" s="0" t="s">
        <v>228</v>
      </c>
      <c r="CR437" s="0" t="s">
        <v>228</v>
      </c>
      <c r="CS437" s="0" t="s">
        <v>228</v>
      </c>
      <c r="CT437" s="0" t="s">
        <v>3568</v>
      </c>
      <c r="CU437" s="0" t="s">
        <v>3569</v>
      </c>
      <c r="CV437" s="0" t="s">
        <v>418</v>
      </c>
      <c r="CW437" s="0" t="s">
        <v>3622</v>
      </c>
      <c r="CX437" s="0" t="s">
        <v>419</v>
      </c>
      <c r="CY437" s="0" t="s">
        <v>418</v>
      </c>
      <c r="CZ437" s="0" t="s">
        <v>3623</v>
      </c>
      <c r="DA437" s="0" t="s">
        <v>3624</v>
      </c>
      <c r="DB437" s="0" t="s">
        <v>3622</v>
      </c>
      <c r="DC437" s="0" t="s">
        <v>362</v>
      </c>
      <c r="DD437" s="0" t="s">
        <v>3572</v>
      </c>
      <c r="DE437" s="0" t="s">
        <v>4557</v>
      </c>
    </row>
    <row customHeight="1" ht="11.25">
      <c r="A438" s="1353" t="s">
        <v>228</v>
      </c>
      <c r="B438" s="0" t="s">
        <v>228</v>
      </c>
      <c r="C438" s="0" t="s">
        <v>228</v>
      </c>
      <c r="D438" s="0" t="s">
        <v>228</v>
      </c>
      <c r="E438" s="0" t="s">
        <v>228</v>
      </c>
      <c r="F438" s="0" t="s">
        <v>228</v>
      </c>
      <c r="G438" s="0" t="s">
        <v>228</v>
      </c>
      <c r="H438" s="0" t="s">
        <v>228</v>
      </c>
      <c r="I438" s="0" t="s">
        <v>3555</v>
      </c>
      <c r="J438" s="0" t="s">
        <v>228</v>
      </c>
      <c r="K438" s="0" t="s">
        <v>228</v>
      </c>
      <c r="L438" s="0" t="s">
        <v>228</v>
      </c>
      <c r="M438" s="0" t="s">
        <v>228</v>
      </c>
      <c r="N438" s="0" t="s">
        <v>228</v>
      </c>
      <c r="O438" s="0" t="s">
        <v>228</v>
      </c>
      <c r="P438" s="0" t="s">
        <v>228</v>
      </c>
      <c r="Q438" s="0" t="s">
        <v>228</v>
      </c>
      <c r="R438" s="0" t="s">
        <v>4624</v>
      </c>
      <c r="S438" s="0" t="s">
        <v>228</v>
      </c>
      <c r="T438" s="0" t="s">
        <v>228</v>
      </c>
      <c r="U438" s="0" t="s">
        <v>101</v>
      </c>
      <c r="V438" s="0" t="s">
        <v>228</v>
      </c>
      <c r="W438" s="0" t="s">
        <v>228</v>
      </c>
      <c r="X438" s="0" t="s">
        <v>3557</v>
      </c>
      <c r="Y438" s="0" t="s">
        <v>228</v>
      </c>
      <c r="Z438" s="0" t="s">
        <v>160</v>
      </c>
      <c r="AA438" s="0" t="s">
        <v>151</v>
      </c>
      <c r="AB438" s="0" t="s">
        <v>151</v>
      </c>
      <c r="AC438" s="0" t="s">
        <v>2317</v>
      </c>
      <c r="AD438" s="0" t="s">
        <v>2317</v>
      </c>
      <c r="AE438" s="0" t="s">
        <v>2318</v>
      </c>
      <c r="AF438" s="0" t="s">
        <v>4544</v>
      </c>
      <c r="AG438" s="0" t="s">
        <v>4545</v>
      </c>
      <c r="AH438" s="0" t="s">
        <v>4625</v>
      </c>
      <c r="AI438" s="0" t="s">
        <v>4626</v>
      </c>
      <c r="AJ438" s="0" t="s">
        <v>3652</v>
      </c>
      <c r="AK438" s="0" t="s">
        <v>3619</v>
      </c>
      <c r="AL438" s="0" t="s">
        <v>3581</v>
      </c>
      <c r="AM438" s="0" t="s">
        <v>3565</v>
      </c>
      <c r="AN438" s="0" t="s">
        <v>3620</v>
      </c>
      <c r="AO438" s="0" t="s">
        <v>3583</v>
      </c>
      <c r="AP438" s="0" t="s">
        <v>228</v>
      </c>
      <c r="AQ438" s="0" t="s">
        <v>228</v>
      </c>
      <c r="AR438" s="0" t="s">
        <v>228</v>
      </c>
      <c r="AS438" s="0" t="s">
        <v>228</v>
      </c>
      <c r="AT438" s="0" t="s">
        <v>228</v>
      </c>
      <c r="AU438" s="0" t="s">
        <v>228</v>
      </c>
      <c r="AV438" s="0" t="s">
        <v>228</v>
      </c>
      <c r="AW438" s="0" t="s">
        <v>228</v>
      </c>
      <c r="AX438" s="0" t="s">
        <v>228</v>
      </c>
      <c r="AY438" s="0" t="s">
        <v>228</v>
      </c>
      <c r="AZ438" s="0" t="s">
        <v>228</v>
      </c>
      <c r="BA438" s="0" t="s">
        <v>228</v>
      </c>
      <c r="BB438" s="0" t="s">
        <v>228</v>
      </c>
      <c r="BC438" s="0" t="s">
        <v>228</v>
      </c>
      <c r="BD438" s="0" t="s">
        <v>228</v>
      </c>
      <c r="BE438" s="0" t="s">
        <v>228</v>
      </c>
      <c r="BF438" s="0" t="s">
        <v>228</v>
      </c>
      <c r="BG438" s="0" t="s">
        <v>228</v>
      </c>
      <c r="BH438" s="0" t="s">
        <v>228</v>
      </c>
      <c r="BI438" s="0" t="s">
        <v>228</v>
      </c>
      <c r="BJ438" s="0" t="s">
        <v>228</v>
      </c>
      <c r="BK438" s="0" t="s">
        <v>228</v>
      </c>
      <c r="BL438" s="0" t="s">
        <v>228</v>
      </c>
      <c r="BM438" s="0" t="s">
        <v>228</v>
      </c>
      <c r="BN438" s="0" t="s">
        <v>228</v>
      </c>
      <c r="BO438" s="0" t="s">
        <v>228</v>
      </c>
      <c r="BP438" s="0" t="s">
        <v>228</v>
      </c>
      <c r="BQ438" s="0" t="s">
        <v>228</v>
      </c>
      <c r="BR438" s="0" t="s">
        <v>228</v>
      </c>
      <c r="BS438" s="0" t="s">
        <v>228</v>
      </c>
      <c r="BT438" s="0" t="s">
        <v>228</v>
      </c>
      <c r="BU438" s="0" t="s">
        <v>228</v>
      </c>
      <c r="BV438" s="0" t="s">
        <v>228</v>
      </c>
      <c r="BW438" s="0" t="s">
        <v>228</v>
      </c>
      <c r="BX438" s="0" t="s">
        <v>228</v>
      </c>
      <c r="BY438" s="0" t="s">
        <v>228</v>
      </c>
      <c r="BZ438" s="0" t="s">
        <v>228</v>
      </c>
      <c r="CA438" s="0" t="s">
        <v>228</v>
      </c>
      <c r="CB438" s="0" t="s">
        <v>228</v>
      </c>
      <c r="CC438" s="0" t="s">
        <v>228</v>
      </c>
      <c r="CD438" s="0" t="s">
        <v>228</v>
      </c>
      <c r="CE438" s="0" t="s">
        <v>228</v>
      </c>
      <c r="CF438" s="0" t="s">
        <v>228</v>
      </c>
      <c r="CG438" s="0" t="s">
        <v>228</v>
      </c>
      <c r="CH438" s="0" t="s">
        <v>228</v>
      </c>
      <c r="CI438" s="0" t="s">
        <v>228</v>
      </c>
      <c r="CJ438" s="0" t="s">
        <v>228</v>
      </c>
      <c r="CK438" s="0" t="s">
        <v>228</v>
      </c>
      <c r="CL438" s="0" t="s">
        <v>228</v>
      </c>
      <c r="CM438" s="0" t="s">
        <v>228</v>
      </c>
      <c r="CN438" s="0" t="s">
        <v>228</v>
      </c>
      <c r="CO438" s="0" t="s">
        <v>228</v>
      </c>
      <c r="CP438" s="0" t="s">
        <v>228</v>
      </c>
      <c r="CQ438" s="0" t="s">
        <v>228</v>
      </c>
      <c r="CR438" s="0" t="s">
        <v>228</v>
      </c>
      <c r="CS438" s="0" t="s">
        <v>228</v>
      </c>
      <c r="CT438" s="0" t="s">
        <v>3568</v>
      </c>
      <c r="CU438" s="0" t="s">
        <v>3569</v>
      </c>
      <c r="CV438" s="0" t="s">
        <v>418</v>
      </c>
      <c r="CW438" s="0" t="s">
        <v>3622</v>
      </c>
      <c r="CX438" s="0" t="s">
        <v>419</v>
      </c>
      <c r="CY438" s="0" t="s">
        <v>418</v>
      </c>
      <c r="CZ438" s="0" t="s">
        <v>3623</v>
      </c>
      <c r="DA438" s="0" t="s">
        <v>3624</v>
      </c>
      <c r="DB438" s="0" t="s">
        <v>3622</v>
      </c>
      <c r="DC438" s="0" t="s">
        <v>362</v>
      </c>
      <c r="DD438" s="0" t="s">
        <v>3572</v>
      </c>
      <c r="DE438" s="0" t="s">
        <v>4627</v>
      </c>
    </row>
    <row customHeight="1" ht="11.25">
      <c r="A439" s="1353" t="s">
        <v>228</v>
      </c>
      <c r="B439" s="0" t="s">
        <v>228</v>
      </c>
      <c r="C439" s="0" t="s">
        <v>228</v>
      </c>
      <c r="D439" s="0" t="s">
        <v>228</v>
      </c>
      <c r="E439" s="0" t="s">
        <v>228</v>
      </c>
      <c r="F439" s="0" t="s">
        <v>228</v>
      </c>
      <c r="G439" s="0" t="s">
        <v>228</v>
      </c>
      <c r="H439" s="0" t="s">
        <v>228</v>
      </c>
      <c r="I439" s="0" t="s">
        <v>3555</v>
      </c>
      <c r="J439" s="0" t="s">
        <v>228</v>
      </c>
      <c r="K439" s="0" t="s">
        <v>228</v>
      </c>
      <c r="L439" s="0" t="s">
        <v>228</v>
      </c>
      <c r="M439" s="0" t="s">
        <v>228</v>
      </c>
      <c r="N439" s="0" t="s">
        <v>228</v>
      </c>
      <c r="O439" s="0" t="s">
        <v>228</v>
      </c>
      <c r="P439" s="0" t="s">
        <v>228</v>
      </c>
      <c r="Q439" s="0" t="s">
        <v>228</v>
      </c>
      <c r="R439" s="0" t="s">
        <v>3648</v>
      </c>
      <c r="S439" s="0" t="s">
        <v>228</v>
      </c>
      <c r="T439" s="0" t="s">
        <v>228</v>
      </c>
      <c r="U439" s="0" t="s">
        <v>101</v>
      </c>
      <c r="V439" s="0" t="s">
        <v>228</v>
      </c>
      <c r="W439" s="0" t="s">
        <v>228</v>
      </c>
      <c r="X439" s="0" t="s">
        <v>3557</v>
      </c>
      <c r="Y439" s="0" t="s">
        <v>228</v>
      </c>
      <c r="Z439" s="0" t="s">
        <v>160</v>
      </c>
      <c r="AA439" s="0" t="s">
        <v>151</v>
      </c>
      <c r="AB439" s="0" t="s">
        <v>151</v>
      </c>
      <c r="AC439" s="0" t="s">
        <v>2315</v>
      </c>
      <c r="AD439" s="0" t="s">
        <v>2315</v>
      </c>
      <c r="AE439" s="0" t="s">
        <v>2316</v>
      </c>
      <c r="AF439" s="0" t="s">
        <v>3820</v>
      </c>
      <c r="AG439" s="0" t="s">
        <v>3821</v>
      </c>
      <c r="AH439" s="0" t="s">
        <v>3651</v>
      </c>
      <c r="AI439" s="0" t="s">
        <v>3651</v>
      </c>
      <c r="AJ439" s="0" t="s">
        <v>3652</v>
      </c>
      <c r="AK439" s="0" t="s">
        <v>3822</v>
      </c>
      <c r="AL439" s="0" t="s">
        <v>3581</v>
      </c>
      <c r="AM439" s="0" t="s">
        <v>3565</v>
      </c>
      <c r="AN439" s="0" t="s">
        <v>3654</v>
      </c>
      <c r="AO439" s="0" t="s">
        <v>3823</v>
      </c>
      <c r="AP439" s="0" t="s">
        <v>228</v>
      </c>
      <c r="AQ439" s="0" t="s">
        <v>228</v>
      </c>
      <c r="AR439" s="0" t="s">
        <v>228</v>
      </c>
      <c r="AS439" s="0" t="s">
        <v>228</v>
      </c>
      <c r="AT439" s="0" t="s">
        <v>228</v>
      </c>
      <c r="AU439" s="0" t="s">
        <v>228</v>
      </c>
      <c r="AV439" s="0" t="s">
        <v>228</v>
      </c>
      <c r="AW439" s="0" t="s">
        <v>228</v>
      </c>
      <c r="AX439" s="0" t="s">
        <v>228</v>
      </c>
      <c r="AY439" s="0" t="s">
        <v>228</v>
      </c>
      <c r="AZ439" s="0" t="s">
        <v>228</v>
      </c>
      <c r="BA439" s="0" t="s">
        <v>228</v>
      </c>
      <c r="BB439" s="0" t="s">
        <v>228</v>
      </c>
      <c r="BC439" s="0" t="s">
        <v>228</v>
      </c>
      <c r="BD439" s="0" t="s">
        <v>228</v>
      </c>
      <c r="BE439" s="0" t="s">
        <v>228</v>
      </c>
      <c r="BF439" s="0" t="s">
        <v>228</v>
      </c>
      <c r="BG439" s="0" t="s">
        <v>228</v>
      </c>
      <c r="BH439" s="0" t="s">
        <v>228</v>
      </c>
      <c r="BI439" s="0" t="s">
        <v>228</v>
      </c>
      <c r="BJ439" s="0" t="s">
        <v>228</v>
      </c>
      <c r="BK439" s="0" t="s">
        <v>228</v>
      </c>
      <c r="BL439" s="0" t="s">
        <v>228</v>
      </c>
      <c r="BM439" s="0" t="s">
        <v>228</v>
      </c>
      <c r="BN439" s="0" t="s">
        <v>228</v>
      </c>
      <c r="BO439" s="0" t="s">
        <v>228</v>
      </c>
      <c r="BP439" s="0" t="s">
        <v>228</v>
      </c>
      <c r="BQ439" s="0" t="s">
        <v>228</v>
      </c>
      <c r="BR439" s="0" t="s">
        <v>228</v>
      </c>
      <c r="BS439" s="0" t="s">
        <v>228</v>
      </c>
      <c r="BT439" s="0" t="s">
        <v>228</v>
      </c>
      <c r="BU439" s="0" t="s">
        <v>228</v>
      </c>
      <c r="BV439" s="0" t="s">
        <v>228</v>
      </c>
      <c r="BW439" s="0" t="s">
        <v>228</v>
      </c>
      <c r="BX439" s="0" t="s">
        <v>228</v>
      </c>
      <c r="BY439" s="0" t="s">
        <v>228</v>
      </c>
      <c r="BZ439" s="0" t="s">
        <v>228</v>
      </c>
      <c r="CA439" s="0" t="s">
        <v>228</v>
      </c>
      <c r="CB439" s="0" t="s">
        <v>228</v>
      </c>
      <c r="CC439" s="0" t="s">
        <v>228</v>
      </c>
      <c r="CD439" s="0" t="s">
        <v>228</v>
      </c>
      <c r="CE439" s="0" t="s">
        <v>228</v>
      </c>
      <c r="CF439" s="0" t="s">
        <v>228</v>
      </c>
      <c r="CG439" s="0" t="s">
        <v>228</v>
      </c>
      <c r="CH439" s="0" t="s">
        <v>228</v>
      </c>
      <c r="CI439" s="0" t="s">
        <v>228</v>
      </c>
      <c r="CJ439" s="0" t="s">
        <v>228</v>
      </c>
      <c r="CK439" s="0" t="s">
        <v>228</v>
      </c>
      <c r="CL439" s="0" t="s">
        <v>228</v>
      </c>
      <c r="CM439" s="0" t="s">
        <v>228</v>
      </c>
      <c r="CN439" s="0" t="s">
        <v>228</v>
      </c>
      <c r="CO439" s="0" t="s">
        <v>228</v>
      </c>
      <c r="CP439" s="0" t="s">
        <v>228</v>
      </c>
      <c r="CQ439" s="0" t="s">
        <v>228</v>
      </c>
      <c r="CR439" s="0" t="s">
        <v>228</v>
      </c>
      <c r="CS439" s="0" t="s">
        <v>228</v>
      </c>
      <c r="CT439" s="0" t="s">
        <v>3568</v>
      </c>
      <c r="CU439" s="0" t="s">
        <v>3569</v>
      </c>
      <c r="CV439" s="0" t="s">
        <v>418</v>
      </c>
      <c r="CW439" s="0" t="s">
        <v>3656</v>
      </c>
      <c r="CX439" s="0" t="s">
        <v>419</v>
      </c>
      <c r="CY439" s="0" t="s">
        <v>418</v>
      </c>
      <c r="CZ439" s="0" t="s">
        <v>3657</v>
      </c>
      <c r="DA439" s="0" t="s">
        <v>3658</v>
      </c>
      <c r="DB439" s="0" t="s">
        <v>3656</v>
      </c>
      <c r="DC439" s="0" t="s">
        <v>362</v>
      </c>
      <c r="DD439" s="0" t="s">
        <v>3572</v>
      </c>
      <c r="DE439" s="0" t="s">
        <v>3824</v>
      </c>
    </row>
    <row customHeight="1" ht="11.25">
      <c r="A440" s="1353" t="s">
        <v>228</v>
      </c>
      <c r="B440" s="0" t="s">
        <v>228</v>
      </c>
      <c r="C440" s="0" t="s">
        <v>228</v>
      </c>
      <c r="D440" s="0" t="s">
        <v>228</v>
      </c>
      <c r="E440" s="0" t="s">
        <v>228</v>
      </c>
      <c r="F440" s="0" t="s">
        <v>228</v>
      </c>
      <c r="G440" s="0" t="s">
        <v>228</v>
      </c>
      <c r="H440" s="0" t="s">
        <v>228</v>
      </c>
      <c r="I440" s="0" t="s">
        <v>3555</v>
      </c>
      <c r="J440" s="0" t="s">
        <v>228</v>
      </c>
      <c r="K440" s="0" t="s">
        <v>228</v>
      </c>
      <c r="L440" s="0" t="s">
        <v>228</v>
      </c>
      <c r="M440" s="0" t="s">
        <v>228</v>
      </c>
      <c r="N440" s="0" t="s">
        <v>228</v>
      </c>
      <c r="O440" s="0" t="s">
        <v>228</v>
      </c>
      <c r="P440" s="0" t="s">
        <v>228</v>
      </c>
      <c r="Q440" s="0" t="s">
        <v>228</v>
      </c>
      <c r="R440" s="0" t="s">
        <v>4106</v>
      </c>
      <c r="S440" s="0" t="s">
        <v>228</v>
      </c>
      <c r="T440" s="0" t="s">
        <v>228</v>
      </c>
      <c r="U440" s="0" t="s">
        <v>101</v>
      </c>
      <c r="V440" s="0" t="s">
        <v>228</v>
      </c>
      <c r="W440" s="0" t="s">
        <v>228</v>
      </c>
      <c r="X440" s="0" t="s">
        <v>3661</v>
      </c>
      <c r="Y440" s="0" t="s">
        <v>228</v>
      </c>
      <c r="Z440" s="0" t="s">
        <v>151</v>
      </c>
      <c r="AA440" s="0" t="s">
        <v>151</v>
      </c>
      <c r="AB440" s="0" t="s">
        <v>160</v>
      </c>
      <c r="AC440" s="0" t="s">
        <v>2315</v>
      </c>
      <c r="AD440" s="0" t="s">
        <v>2315</v>
      </c>
      <c r="AE440" s="0" t="s">
        <v>2316</v>
      </c>
      <c r="AF440" s="0" t="s">
        <v>3820</v>
      </c>
      <c r="AG440" s="0" t="s">
        <v>3821</v>
      </c>
      <c r="AH440" s="0" t="s">
        <v>3651</v>
      </c>
      <c r="AI440" s="0" t="s">
        <v>3651</v>
      </c>
      <c r="AJ440" s="0" t="s">
        <v>228</v>
      </c>
      <c r="AK440" s="0" t="s">
        <v>228</v>
      </c>
      <c r="AL440" s="0" t="s">
        <v>228</v>
      </c>
      <c r="AM440" s="0" t="s">
        <v>228</v>
      </c>
      <c r="AN440" s="0" t="s">
        <v>228</v>
      </c>
      <c r="AO440" s="0" t="s">
        <v>228</v>
      </c>
      <c r="AP440" s="0" t="s">
        <v>228</v>
      </c>
      <c r="AQ440" s="0" t="s">
        <v>228</v>
      </c>
      <c r="AR440" s="0" t="s">
        <v>228</v>
      </c>
      <c r="AS440" s="0" t="s">
        <v>228</v>
      </c>
      <c r="AT440" s="0" t="s">
        <v>228</v>
      </c>
      <c r="AU440" s="0" t="s">
        <v>228</v>
      </c>
      <c r="AV440" s="0" t="s">
        <v>228</v>
      </c>
      <c r="AW440" s="0" t="s">
        <v>228</v>
      </c>
      <c r="AX440" s="0" t="s">
        <v>228</v>
      </c>
      <c r="AY440" s="0" t="s">
        <v>228</v>
      </c>
      <c r="AZ440" s="0" t="s">
        <v>228</v>
      </c>
      <c r="BA440" s="0" t="s">
        <v>228</v>
      </c>
      <c r="BB440" s="0" t="s">
        <v>228</v>
      </c>
      <c r="BC440" s="0" t="s">
        <v>228</v>
      </c>
      <c r="BD440" s="0" t="s">
        <v>228</v>
      </c>
      <c r="BE440" s="0" t="s">
        <v>3652</v>
      </c>
      <c r="BF440" s="0" t="s">
        <v>3822</v>
      </c>
      <c r="BG440" s="0" t="s">
        <v>111</v>
      </c>
      <c r="BH440" s="0" t="s">
        <v>3665</v>
      </c>
      <c r="BI440" s="0" t="s">
        <v>122</v>
      </c>
      <c r="BJ440" s="0" t="s">
        <v>228</v>
      </c>
      <c r="BK440" s="0" t="s">
        <v>3684</v>
      </c>
      <c r="BL440" s="0" t="s">
        <v>2315</v>
      </c>
      <c r="BM440" s="0" t="s">
        <v>2315</v>
      </c>
      <c r="BN440" s="0" t="s">
        <v>3875</v>
      </c>
      <c r="BO440" s="0" t="s">
        <v>3820</v>
      </c>
      <c r="BP440" s="0" t="s">
        <v>4107</v>
      </c>
      <c r="BQ440" s="0" t="s">
        <v>3651</v>
      </c>
      <c r="BR440" s="0" t="s">
        <v>3651</v>
      </c>
      <c r="BS440" s="0" t="s">
        <v>228</v>
      </c>
      <c r="BT440" s="0" t="s">
        <v>3727</v>
      </c>
      <c r="BU440" s="0" t="s">
        <v>4108</v>
      </c>
      <c r="BV440" s="0" t="s">
        <v>4108</v>
      </c>
      <c r="BW440" s="0" t="s">
        <v>3674</v>
      </c>
      <c r="BX440" s="0" t="s">
        <v>3674</v>
      </c>
      <c r="BY440" s="0" t="s">
        <v>3674</v>
      </c>
      <c r="BZ440" s="0" t="s">
        <v>3674</v>
      </c>
      <c r="CA440" s="0" t="s">
        <v>3674</v>
      </c>
      <c r="CB440" s="0" t="s">
        <v>228</v>
      </c>
      <c r="CC440" s="0" t="s">
        <v>228</v>
      </c>
      <c r="CD440" s="0" t="s">
        <v>228</v>
      </c>
      <c r="CE440" s="0" t="s">
        <v>228</v>
      </c>
      <c r="CF440" s="0" t="s">
        <v>228</v>
      </c>
      <c r="CG440" s="0" t="s">
        <v>3674</v>
      </c>
      <c r="CH440" s="0" t="s">
        <v>228</v>
      </c>
      <c r="CI440" s="0" t="s">
        <v>228</v>
      </c>
      <c r="CJ440" s="0" t="s">
        <v>228</v>
      </c>
      <c r="CK440" s="0" t="s">
        <v>228</v>
      </c>
      <c r="CL440" s="0" t="s">
        <v>228</v>
      </c>
      <c r="CM440" s="0" t="s">
        <v>4108</v>
      </c>
      <c r="CN440" s="0" t="s">
        <v>4108</v>
      </c>
      <c r="CO440" s="0" t="s">
        <v>228</v>
      </c>
      <c r="CP440" s="0" t="s">
        <v>228</v>
      </c>
      <c r="CQ440" s="0" t="s">
        <v>228</v>
      </c>
      <c r="CR440" s="0" t="s">
        <v>228</v>
      </c>
      <c r="CS440" s="0" t="s">
        <v>3563</v>
      </c>
      <c r="CT440" s="0" t="s">
        <v>3568</v>
      </c>
      <c r="CU440" s="0" t="s">
        <v>3569</v>
      </c>
      <c r="CV440" s="0" t="s">
        <v>418</v>
      </c>
      <c r="CW440" s="0" t="s">
        <v>3656</v>
      </c>
      <c r="CX440" s="0" t="s">
        <v>419</v>
      </c>
      <c r="CY440" s="0" t="s">
        <v>418</v>
      </c>
      <c r="CZ440" s="0" t="s">
        <v>3657</v>
      </c>
      <c r="DA440" s="0" t="s">
        <v>3658</v>
      </c>
      <c r="DB440" s="0" t="s">
        <v>3656</v>
      </c>
      <c r="DC440" s="0" t="s">
        <v>362</v>
      </c>
      <c r="DD440" s="0" t="s">
        <v>3572</v>
      </c>
      <c r="DE440" s="0" t="s">
        <v>3824</v>
      </c>
    </row>
    <row customHeight="1" ht="11.25">
      <c r="A441" s="1353" t="s">
        <v>228</v>
      </c>
      <c r="B441" s="0" t="s">
        <v>228</v>
      </c>
      <c r="C441" s="0" t="s">
        <v>228</v>
      </c>
      <c r="D441" s="0" t="s">
        <v>228</v>
      </c>
      <c r="E441" s="0" t="s">
        <v>228</v>
      </c>
      <c r="F441" s="0" t="s">
        <v>228</v>
      </c>
      <c r="G441" s="0" t="s">
        <v>228</v>
      </c>
      <c r="H441" s="0" t="s">
        <v>228</v>
      </c>
      <c r="I441" s="0" t="s">
        <v>3555</v>
      </c>
      <c r="J441" s="0" t="s">
        <v>228</v>
      </c>
      <c r="K441" s="0" t="s">
        <v>228</v>
      </c>
      <c r="L441" s="0" t="s">
        <v>228</v>
      </c>
      <c r="M441" s="0" t="s">
        <v>228</v>
      </c>
      <c r="N441" s="0" t="s">
        <v>228</v>
      </c>
      <c r="O441" s="0" t="s">
        <v>228</v>
      </c>
      <c r="P441" s="0" t="s">
        <v>228</v>
      </c>
      <c r="Q441" s="0" t="s">
        <v>228</v>
      </c>
      <c r="R441" s="0" t="s">
        <v>3718</v>
      </c>
      <c r="S441" s="0" t="s">
        <v>228</v>
      </c>
      <c r="T441" s="0" t="s">
        <v>228</v>
      </c>
      <c r="U441" s="0" t="s">
        <v>101</v>
      </c>
      <c r="V441" s="0" t="s">
        <v>228</v>
      </c>
      <c r="W441" s="0" t="s">
        <v>228</v>
      </c>
      <c r="X441" s="0" t="s">
        <v>3661</v>
      </c>
      <c r="Y441" s="0" t="s">
        <v>228</v>
      </c>
      <c r="Z441" s="0" t="s">
        <v>151</v>
      </c>
      <c r="AA441" s="0" t="s">
        <v>151</v>
      </c>
      <c r="AB441" s="0" t="s">
        <v>160</v>
      </c>
      <c r="AC441" s="0" t="s">
        <v>2311</v>
      </c>
      <c r="AD441" s="0" t="s">
        <v>2311</v>
      </c>
      <c r="AE441" s="0" t="s">
        <v>2312</v>
      </c>
      <c r="AF441" s="0" t="s">
        <v>4464</v>
      </c>
      <c r="AG441" s="0" t="s">
        <v>4465</v>
      </c>
      <c r="AH441" s="0" t="s">
        <v>4464</v>
      </c>
      <c r="AI441" s="0" t="s">
        <v>3721</v>
      </c>
      <c r="AJ441" s="0" t="s">
        <v>228</v>
      </c>
      <c r="AK441" s="0" t="s">
        <v>228</v>
      </c>
      <c r="AL441" s="0" t="s">
        <v>228</v>
      </c>
      <c r="AM441" s="0" t="s">
        <v>228</v>
      </c>
      <c r="AN441" s="0" t="s">
        <v>228</v>
      </c>
      <c r="AO441" s="0" t="s">
        <v>228</v>
      </c>
      <c r="AP441" s="0" t="s">
        <v>228</v>
      </c>
      <c r="AQ441" s="0" t="s">
        <v>228</v>
      </c>
      <c r="AR441" s="0" t="s">
        <v>228</v>
      </c>
      <c r="AS441" s="0" t="s">
        <v>228</v>
      </c>
      <c r="AT441" s="0" t="s">
        <v>228</v>
      </c>
      <c r="AU441" s="0" t="s">
        <v>228</v>
      </c>
      <c r="AV441" s="0" t="s">
        <v>228</v>
      </c>
      <c r="AW441" s="0" t="s">
        <v>228</v>
      </c>
      <c r="AX441" s="0" t="s">
        <v>228</v>
      </c>
      <c r="AY441" s="0" t="s">
        <v>228</v>
      </c>
      <c r="AZ441" s="0" t="s">
        <v>228</v>
      </c>
      <c r="BA441" s="0" t="s">
        <v>228</v>
      </c>
      <c r="BB441" s="0" t="s">
        <v>228</v>
      </c>
      <c r="BC441" s="0" t="s">
        <v>228</v>
      </c>
      <c r="BD441" s="0" t="s">
        <v>228</v>
      </c>
      <c r="BE441" s="0" t="s">
        <v>3722</v>
      </c>
      <c r="BF441" s="0" t="s">
        <v>3722</v>
      </c>
      <c r="BG441" s="0" t="s">
        <v>111</v>
      </c>
      <c r="BH441" s="0" t="s">
        <v>3665</v>
      </c>
      <c r="BI441" s="0" t="s">
        <v>122</v>
      </c>
      <c r="BJ441" s="0" t="s">
        <v>228</v>
      </c>
      <c r="BK441" s="0" t="s">
        <v>3684</v>
      </c>
      <c r="BL441" s="0" t="s">
        <v>2311</v>
      </c>
      <c r="BM441" s="0" t="s">
        <v>2311</v>
      </c>
      <c r="BN441" s="0" t="s">
        <v>3723</v>
      </c>
      <c r="BO441" s="0" t="s">
        <v>4464</v>
      </c>
      <c r="BP441" s="0" t="s">
        <v>4466</v>
      </c>
      <c r="BQ441" s="0" t="s">
        <v>4467</v>
      </c>
      <c r="BR441" s="0" t="s">
        <v>3926</v>
      </c>
      <c r="BS441" s="0" t="s">
        <v>228</v>
      </c>
      <c r="BT441" s="0" t="s">
        <v>3727</v>
      </c>
      <c r="BU441" s="0" t="s">
        <v>4468</v>
      </c>
      <c r="BV441" s="0" t="s">
        <v>4468</v>
      </c>
      <c r="BW441" s="0" t="s">
        <v>3674</v>
      </c>
      <c r="BX441" s="0" t="s">
        <v>3674</v>
      </c>
      <c r="BY441" s="0" t="s">
        <v>3674</v>
      </c>
      <c r="BZ441" s="0" t="s">
        <v>3674</v>
      </c>
      <c r="CA441" s="0" t="s">
        <v>3674</v>
      </c>
      <c r="CB441" s="0" t="s">
        <v>228</v>
      </c>
      <c r="CC441" s="0" t="s">
        <v>228</v>
      </c>
      <c r="CD441" s="0" t="s">
        <v>228</v>
      </c>
      <c r="CE441" s="0" t="s">
        <v>228</v>
      </c>
      <c r="CF441" s="0" t="s">
        <v>228</v>
      </c>
      <c r="CG441" s="0" t="s">
        <v>3674</v>
      </c>
      <c r="CH441" s="0" t="s">
        <v>228</v>
      </c>
      <c r="CI441" s="0" t="s">
        <v>228</v>
      </c>
      <c r="CJ441" s="0" t="s">
        <v>228</v>
      </c>
      <c r="CK441" s="0" t="s">
        <v>228</v>
      </c>
      <c r="CL441" s="0" t="s">
        <v>228</v>
      </c>
      <c r="CM441" s="0" t="s">
        <v>4468</v>
      </c>
      <c r="CN441" s="0" t="s">
        <v>4468</v>
      </c>
      <c r="CO441" s="0" t="s">
        <v>228</v>
      </c>
      <c r="CP441" s="0" t="s">
        <v>228</v>
      </c>
      <c r="CQ441" s="0" t="s">
        <v>228</v>
      </c>
      <c r="CR441" s="0" t="s">
        <v>228</v>
      </c>
      <c r="CS441" s="0" t="s">
        <v>3582</v>
      </c>
      <c r="CT441" s="0" t="s">
        <v>3568</v>
      </c>
      <c r="CU441" s="0" t="s">
        <v>3569</v>
      </c>
      <c r="CV441" s="0" t="s">
        <v>418</v>
      </c>
      <c r="CW441" s="0" t="s">
        <v>3584</v>
      </c>
      <c r="CX441" s="0" t="s">
        <v>419</v>
      </c>
      <c r="CY441" s="0" t="s">
        <v>418</v>
      </c>
      <c r="CZ441" s="0" t="s">
        <v>3585</v>
      </c>
      <c r="DA441" s="0" t="s">
        <v>3586</v>
      </c>
      <c r="DB441" s="0" t="s">
        <v>3584</v>
      </c>
      <c r="DC441" s="0" t="s">
        <v>362</v>
      </c>
      <c r="DD441" s="0" t="s">
        <v>3572</v>
      </c>
      <c r="DE441" s="0" t="s">
        <v>4469</v>
      </c>
    </row>
    <row customHeight="1" ht="11.25">
      <c r="A442" s="1353" t="s">
        <v>228</v>
      </c>
      <c r="B442" s="0" t="s">
        <v>228</v>
      </c>
      <c r="C442" s="0" t="s">
        <v>228</v>
      </c>
      <c r="D442" s="0" t="s">
        <v>228</v>
      </c>
      <c r="E442" s="0" t="s">
        <v>228</v>
      </c>
      <c r="F442" s="0" t="s">
        <v>228</v>
      </c>
      <c r="G442" s="0" t="s">
        <v>228</v>
      </c>
      <c r="H442" s="0" t="s">
        <v>228</v>
      </c>
      <c r="I442" s="0" t="s">
        <v>3555</v>
      </c>
      <c r="J442" s="0" t="s">
        <v>228</v>
      </c>
      <c r="K442" s="0" t="s">
        <v>228</v>
      </c>
      <c r="L442" s="0" t="s">
        <v>228</v>
      </c>
      <c r="M442" s="0" t="s">
        <v>228</v>
      </c>
      <c r="N442" s="0" t="s">
        <v>228</v>
      </c>
      <c r="O442" s="0" t="s">
        <v>228</v>
      </c>
      <c r="P442" s="0" t="s">
        <v>228</v>
      </c>
      <c r="Q442" s="0" t="s">
        <v>228</v>
      </c>
      <c r="R442" s="0" t="s">
        <v>3684</v>
      </c>
      <c r="S442" s="0" t="s">
        <v>228</v>
      </c>
      <c r="T442" s="0" t="s">
        <v>228</v>
      </c>
      <c r="U442" s="0" t="s">
        <v>101</v>
      </c>
      <c r="V442" s="0" t="s">
        <v>228</v>
      </c>
      <c r="W442" s="0" t="s">
        <v>228</v>
      </c>
      <c r="X442" s="0" t="s">
        <v>3557</v>
      </c>
      <c r="Y442" s="0" t="s">
        <v>228</v>
      </c>
      <c r="Z442" s="0" t="s">
        <v>160</v>
      </c>
      <c r="AA442" s="0" t="s">
        <v>151</v>
      </c>
      <c r="AB442" s="0" t="s">
        <v>151</v>
      </c>
      <c r="AC442" s="0" t="s">
        <v>2311</v>
      </c>
      <c r="AD442" s="0" t="s">
        <v>2311</v>
      </c>
      <c r="AE442" s="0" t="s">
        <v>2312</v>
      </c>
      <c r="AF442" s="0" t="s">
        <v>4464</v>
      </c>
      <c r="AG442" s="0" t="s">
        <v>4465</v>
      </c>
      <c r="AH442" s="0" t="s">
        <v>4467</v>
      </c>
      <c r="AI442" s="0" t="s">
        <v>4470</v>
      </c>
      <c r="AJ442" s="0" t="s">
        <v>3579</v>
      </c>
      <c r="AK442" s="0" t="s">
        <v>3580</v>
      </c>
      <c r="AL442" s="0" t="s">
        <v>4196</v>
      </c>
      <c r="AM442" s="0" t="s">
        <v>3565</v>
      </c>
      <c r="AN442" s="0" t="s">
        <v>3582</v>
      </c>
      <c r="AO442" s="0" t="s">
        <v>3695</v>
      </c>
      <c r="AP442" s="0" t="s">
        <v>228</v>
      </c>
      <c r="AQ442" s="0" t="s">
        <v>228</v>
      </c>
      <c r="AR442" s="0" t="s">
        <v>228</v>
      </c>
      <c r="AS442" s="0" t="s">
        <v>228</v>
      </c>
      <c r="AT442" s="0" t="s">
        <v>228</v>
      </c>
      <c r="AU442" s="0" t="s">
        <v>228</v>
      </c>
      <c r="AV442" s="0" t="s">
        <v>228</v>
      </c>
      <c r="AW442" s="0" t="s">
        <v>228</v>
      </c>
      <c r="AX442" s="0" t="s">
        <v>228</v>
      </c>
      <c r="AY442" s="0" t="s">
        <v>228</v>
      </c>
      <c r="AZ442" s="0" t="s">
        <v>228</v>
      </c>
      <c r="BA442" s="0" t="s">
        <v>228</v>
      </c>
      <c r="BB442" s="0" t="s">
        <v>228</v>
      </c>
      <c r="BC442" s="0" t="s">
        <v>228</v>
      </c>
      <c r="BD442" s="0" t="s">
        <v>228</v>
      </c>
      <c r="BE442" s="0" t="s">
        <v>228</v>
      </c>
      <c r="BF442" s="0" t="s">
        <v>228</v>
      </c>
      <c r="BG442" s="0" t="s">
        <v>228</v>
      </c>
      <c r="BH442" s="0" t="s">
        <v>228</v>
      </c>
      <c r="BI442" s="0" t="s">
        <v>228</v>
      </c>
      <c r="BJ442" s="0" t="s">
        <v>228</v>
      </c>
      <c r="BK442" s="0" t="s">
        <v>228</v>
      </c>
      <c r="BL442" s="0" t="s">
        <v>228</v>
      </c>
      <c r="BM442" s="0" t="s">
        <v>228</v>
      </c>
      <c r="BN442" s="0" t="s">
        <v>228</v>
      </c>
      <c r="BO442" s="0" t="s">
        <v>228</v>
      </c>
      <c r="BP442" s="0" t="s">
        <v>228</v>
      </c>
      <c r="BQ442" s="0" t="s">
        <v>228</v>
      </c>
      <c r="BR442" s="0" t="s">
        <v>228</v>
      </c>
      <c r="BS442" s="0" t="s">
        <v>228</v>
      </c>
      <c r="BT442" s="0" t="s">
        <v>228</v>
      </c>
      <c r="BU442" s="0" t="s">
        <v>228</v>
      </c>
      <c r="BV442" s="0" t="s">
        <v>228</v>
      </c>
      <c r="BW442" s="0" t="s">
        <v>228</v>
      </c>
      <c r="BX442" s="0" t="s">
        <v>228</v>
      </c>
      <c r="BY442" s="0" t="s">
        <v>228</v>
      </c>
      <c r="BZ442" s="0" t="s">
        <v>228</v>
      </c>
      <c r="CA442" s="0" t="s">
        <v>228</v>
      </c>
      <c r="CB442" s="0" t="s">
        <v>228</v>
      </c>
      <c r="CC442" s="0" t="s">
        <v>228</v>
      </c>
      <c r="CD442" s="0" t="s">
        <v>228</v>
      </c>
      <c r="CE442" s="0" t="s">
        <v>228</v>
      </c>
      <c r="CF442" s="0" t="s">
        <v>228</v>
      </c>
      <c r="CG442" s="0" t="s">
        <v>228</v>
      </c>
      <c r="CH442" s="0" t="s">
        <v>228</v>
      </c>
      <c r="CI442" s="0" t="s">
        <v>228</v>
      </c>
      <c r="CJ442" s="0" t="s">
        <v>228</v>
      </c>
      <c r="CK442" s="0" t="s">
        <v>228</v>
      </c>
      <c r="CL442" s="0" t="s">
        <v>228</v>
      </c>
      <c r="CM442" s="0" t="s">
        <v>228</v>
      </c>
      <c r="CN442" s="0" t="s">
        <v>228</v>
      </c>
      <c r="CO442" s="0" t="s">
        <v>228</v>
      </c>
      <c r="CP442" s="0" t="s">
        <v>228</v>
      </c>
      <c r="CQ442" s="0" t="s">
        <v>228</v>
      </c>
      <c r="CR442" s="0" t="s">
        <v>228</v>
      </c>
      <c r="CS442" s="0" t="s">
        <v>228</v>
      </c>
      <c r="CT442" s="0" t="s">
        <v>3568</v>
      </c>
      <c r="CU442" s="0" t="s">
        <v>3569</v>
      </c>
      <c r="CV442" s="0" t="s">
        <v>418</v>
      </c>
      <c r="CW442" s="0" t="s">
        <v>3584</v>
      </c>
      <c r="CX442" s="0" t="s">
        <v>419</v>
      </c>
      <c r="CY442" s="0" t="s">
        <v>418</v>
      </c>
      <c r="CZ442" s="0" t="s">
        <v>3585</v>
      </c>
      <c r="DA442" s="0" t="s">
        <v>3586</v>
      </c>
      <c r="DB442" s="0" t="s">
        <v>3584</v>
      </c>
      <c r="DC442" s="0" t="s">
        <v>362</v>
      </c>
      <c r="DD442" s="0" t="s">
        <v>3572</v>
      </c>
      <c r="DE442" s="0" t="s">
        <v>4471</v>
      </c>
    </row>
    <row customHeight="1" ht="11.25">
      <c r="A443" s="1353" t="s">
        <v>228</v>
      </c>
      <c r="B443" s="0" t="s">
        <v>228</v>
      </c>
      <c r="C443" s="0" t="s">
        <v>228</v>
      </c>
      <c r="D443" s="0" t="s">
        <v>228</v>
      </c>
      <c r="E443" s="0" t="s">
        <v>228</v>
      </c>
      <c r="F443" s="0" t="s">
        <v>228</v>
      </c>
      <c r="G443" s="0" t="s">
        <v>228</v>
      </c>
      <c r="H443" s="0" t="s">
        <v>228</v>
      </c>
      <c r="I443" s="0" t="s">
        <v>3555</v>
      </c>
      <c r="J443" s="0" t="s">
        <v>228</v>
      </c>
      <c r="K443" s="0" t="s">
        <v>228</v>
      </c>
      <c r="L443" s="0" t="s">
        <v>228</v>
      </c>
      <c r="M443" s="0" t="s">
        <v>228</v>
      </c>
      <c r="N443" s="0" t="s">
        <v>228</v>
      </c>
      <c r="O443" s="0" t="s">
        <v>228</v>
      </c>
      <c r="P443" s="0" t="s">
        <v>228</v>
      </c>
      <c r="Q443" s="0" t="s">
        <v>228</v>
      </c>
      <c r="R443" s="0" t="s">
        <v>4526</v>
      </c>
      <c r="S443" s="0" t="s">
        <v>228</v>
      </c>
      <c r="T443" s="0" t="s">
        <v>228</v>
      </c>
      <c r="U443" s="0" t="s">
        <v>101</v>
      </c>
      <c r="V443" s="0" t="s">
        <v>228</v>
      </c>
      <c r="W443" s="0" t="s">
        <v>228</v>
      </c>
      <c r="X443" s="0" t="s">
        <v>3557</v>
      </c>
      <c r="Y443" s="0" t="s">
        <v>228</v>
      </c>
      <c r="Z443" s="0" t="s">
        <v>160</v>
      </c>
      <c r="AA443" s="0" t="s">
        <v>151</v>
      </c>
      <c r="AB443" s="0" t="s">
        <v>151</v>
      </c>
      <c r="AC443" s="0" t="s">
        <v>2317</v>
      </c>
      <c r="AD443" s="0" t="s">
        <v>2317</v>
      </c>
      <c r="AE443" s="0" t="s">
        <v>2318</v>
      </c>
      <c r="AF443" s="0" t="s">
        <v>4527</v>
      </c>
      <c r="AG443" s="0" t="s">
        <v>4528</v>
      </c>
      <c r="AH443" s="0" t="s">
        <v>4529</v>
      </c>
      <c r="AI443" s="0" t="s">
        <v>4393</v>
      </c>
      <c r="AJ443" s="0" t="s">
        <v>3627</v>
      </c>
      <c r="AK443" s="0" t="s">
        <v>3619</v>
      </c>
      <c r="AL443" s="0" t="s">
        <v>3581</v>
      </c>
      <c r="AM443" s="0" t="s">
        <v>3565</v>
      </c>
      <c r="AN443" s="0" t="s">
        <v>3620</v>
      </c>
      <c r="AO443" s="0" t="s">
        <v>4530</v>
      </c>
      <c r="AP443" s="0" t="s">
        <v>228</v>
      </c>
      <c r="AQ443" s="0" t="s">
        <v>228</v>
      </c>
      <c r="AR443" s="0" t="s">
        <v>228</v>
      </c>
      <c r="AS443" s="0" t="s">
        <v>228</v>
      </c>
      <c r="AT443" s="0" t="s">
        <v>228</v>
      </c>
      <c r="AU443" s="0" t="s">
        <v>228</v>
      </c>
      <c r="AV443" s="0" t="s">
        <v>228</v>
      </c>
      <c r="AW443" s="0" t="s">
        <v>228</v>
      </c>
      <c r="AX443" s="0" t="s">
        <v>228</v>
      </c>
      <c r="AY443" s="0" t="s">
        <v>228</v>
      </c>
      <c r="AZ443" s="0" t="s">
        <v>228</v>
      </c>
      <c r="BA443" s="0" t="s">
        <v>228</v>
      </c>
      <c r="BB443" s="0" t="s">
        <v>228</v>
      </c>
      <c r="BC443" s="0" t="s">
        <v>228</v>
      </c>
      <c r="BD443" s="0" t="s">
        <v>228</v>
      </c>
      <c r="BE443" s="0" t="s">
        <v>228</v>
      </c>
      <c r="BF443" s="0" t="s">
        <v>228</v>
      </c>
      <c r="BG443" s="0" t="s">
        <v>228</v>
      </c>
      <c r="BH443" s="0" t="s">
        <v>228</v>
      </c>
      <c r="BI443" s="0" t="s">
        <v>228</v>
      </c>
      <c r="BJ443" s="0" t="s">
        <v>228</v>
      </c>
      <c r="BK443" s="0" t="s">
        <v>228</v>
      </c>
      <c r="BL443" s="0" t="s">
        <v>228</v>
      </c>
      <c r="BM443" s="0" t="s">
        <v>228</v>
      </c>
      <c r="BN443" s="0" t="s">
        <v>228</v>
      </c>
      <c r="BO443" s="0" t="s">
        <v>228</v>
      </c>
      <c r="BP443" s="0" t="s">
        <v>228</v>
      </c>
      <c r="BQ443" s="0" t="s">
        <v>228</v>
      </c>
      <c r="BR443" s="0" t="s">
        <v>228</v>
      </c>
      <c r="BS443" s="0" t="s">
        <v>228</v>
      </c>
      <c r="BT443" s="0" t="s">
        <v>228</v>
      </c>
      <c r="BU443" s="0" t="s">
        <v>228</v>
      </c>
      <c r="BV443" s="0" t="s">
        <v>228</v>
      </c>
      <c r="BW443" s="0" t="s">
        <v>228</v>
      </c>
      <c r="BX443" s="0" t="s">
        <v>228</v>
      </c>
      <c r="BY443" s="0" t="s">
        <v>228</v>
      </c>
      <c r="BZ443" s="0" t="s">
        <v>228</v>
      </c>
      <c r="CA443" s="0" t="s">
        <v>228</v>
      </c>
      <c r="CB443" s="0" t="s">
        <v>228</v>
      </c>
      <c r="CC443" s="0" t="s">
        <v>228</v>
      </c>
      <c r="CD443" s="0" t="s">
        <v>228</v>
      </c>
      <c r="CE443" s="0" t="s">
        <v>228</v>
      </c>
      <c r="CF443" s="0" t="s">
        <v>228</v>
      </c>
      <c r="CG443" s="0" t="s">
        <v>228</v>
      </c>
      <c r="CH443" s="0" t="s">
        <v>228</v>
      </c>
      <c r="CI443" s="0" t="s">
        <v>228</v>
      </c>
      <c r="CJ443" s="0" t="s">
        <v>228</v>
      </c>
      <c r="CK443" s="0" t="s">
        <v>228</v>
      </c>
      <c r="CL443" s="0" t="s">
        <v>228</v>
      </c>
      <c r="CM443" s="0" t="s">
        <v>228</v>
      </c>
      <c r="CN443" s="0" t="s">
        <v>228</v>
      </c>
      <c r="CO443" s="0" t="s">
        <v>228</v>
      </c>
      <c r="CP443" s="0" t="s">
        <v>228</v>
      </c>
      <c r="CQ443" s="0" t="s">
        <v>228</v>
      </c>
      <c r="CR443" s="0" t="s">
        <v>228</v>
      </c>
      <c r="CS443" s="0" t="s">
        <v>228</v>
      </c>
      <c r="CT443" s="0" t="s">
        <v>3568</v>
      </c>
      <c r="CU443" s="0" t="s">
        <v>3569</v>
      </c>
      <c r="CV443" s="0" t="s">
        <v>418</v>
      </c>
      <c r="CW443" s="0" t="s">
        <v>3622</v>
      </c>
      <c r="CX443" s="0" t="s">
        <v>419</v>
      </c>
      <c r="CY443" s="0" t="s">
        <v>418</v>
      </c>
      <c r="CZ443" s="0" t="s">
        <v>3623</v>
      </c>
      <c r="DA443" s="0" t="s">
        <v>3624</v>
      </c>
      <c r="DB443" s="0" t="s">
        <v>3622</v>
      </c>
      <c r="DC443" s="0" t="s">
        <v>362</v>
      </c>
      <c r="DD443" s="0" t="s">
        <v>3572</v>
      </c>
      <c r="DE443" s="0" t="s">
        <v>4531</v>
      </c>
    </row>
    <row customHeight="1" ht="11.25">
      <c r="A444" s="1353" t="s">
        <v>228</v>
      </c>
      <c r="B444" s="0" t="s">
        <v>228</v>
      </c>
      <c r="C444" s="0" t="s">
        <v>228</v>
      </c>
      <c r="D444" s="0" t="s">
        <v>228</v>
      </c>
      <c r="E444" s="0" t="s">
        <v>228</v>
      </c>
      <c r="F444" s="0" t="s">
        <v>228</v>
      </c>
      <c r="G444" s="0" t="s">
        <v>228</v>
      </c>
      <c r="H444" s="0" t="s">
        <v>228</v>
      </c>
      <c r="I444" s="0" t="s">
        <v>3555</v>
      </c>
      <c r="J444" s="0" t="s">
        <v>228</v>
      </c>
      <c r="K444" s="0" t="s">
        <v>228</v>
      </c>
      <c r="L444" s="0" t="s">
        <v>228</v>
      </c>
      <c r="M444" s="0" t="s">
        <v>228</v>
      </c>
      <c r="N444" s="0" t="s">
        <v>228</v>
      </c>
      <c r="O444" s="0" t="s">
        <v>228</v>
      </c>
      <c r="P444" s="0" t="s">
        <v>228</v>
      </c>
      <c r="Q444" s="0" t="s">
        <v>228</v>
      </c>
      <c r="R444" s="0" t="s">
        <v>4532</v>
      </c>
      <c r="S444" s="0" t="s">
        <v>228</v>
      </c>
      <c r="T444" s="0" t="s">
        <v>228</v>
      </c>
      <c r="U444" s="0" t="s">
        <v>101</v>
      </c>
      <c r="V444" s="0" t="s">
        <v>228</v>
      </c>
      <c r="W444" s="0" t="s">
        <v>228</v>
      </c>
      <c r="X444" s="0" t="s">
        <v>3557</v>
      </c>
      <c r="Y444" s="0" t="s">
        <v>228</v>
      </c>
      <c r="Z444" s="0" t="s">
        <v>160</v>
      </c>
      <c r="AA444" s="0" t="s">
        <v>151</v>
      </c>
      <c r="AB444" s="0" t="s">
        <v>151</v>
      </c>
      <c r="AC444" s="0" t="s">
        <v>2317</v>
      </c>
      <c r="AD444" s="0" t="s">
        <v>2317</v>
      </c>
      <c r="AE444" s="0" t="s">
        <v>2318</v>
      </c>
      <c r="AF444" s="0" t="s">
        <v>4527</v>
      </c>
      <c r="AG444" s="0" t="s">
        <v>4528</v>
      </c>
      <c r="AH444" s="0" t="s">
        <v>3747</v>
      </c>
      <c r="AI444" s="0" t="s">
        <v>3807</v>
      </c>
      <c r="AJ444" s="0" t="s">
        <v>3579</v>
      </c>
      <c r="AK444" s="0" t="s">
        <v>3749</v>
      </c>
      <c r="AL444" s="0" t="s">
        <v>3581</v>
      </c>
      <c r="AM444" s="0" t="s">
        <v>3565</v>
      </c>
      <c r="AN444" s="0" t="s">
        <v>3563</v>
      </c>
      <c r="AO444" s="0" t="s">
        <v>4533</v>
      </c>
      <c r="AP444" s="0" t="s">
        <v>228</v>
      </c>
      <c r="AQ444" s="0" t="s">
        <v>228</v>
      </c>
      <c r="AR444" s="0" t="s">
        <v>228</v>
      </c>
      <c r="AS444" s="0" t="s">
        <v>228</v>
      </c>
      <c r="AT444" s="0" t="s">
        <v>228</v>
      </c>
      <c r="AU444" s="0" t="s">
        <v>228</v>
      </c>
      <c r="AV444" s="0" t="s">
        <v>228</v>
      </c>
      <c r="AW444" s="0" t="s">
        <v>228</v>
      </c>
      <c r="AX444" s="0" t="s">
        <v>228</v>
      </c>
      <c r="AY444" s="0" t="s">
        <v>228</v>
      </c>
      <c r="AZ444" s="0" t="s">
        <v>228</v>
      </c>
      <c r="BA444" s="0" t="s">
        <v>228</v>
      </c>
      <c r="BB444" s="0" t="s">
        <v>228</v>
      </c>
      <c r="BC444" s="0" t="s">
        <v>228</v>
      </c>
      <c r="BD444" s="0" t="s">
        <v>228</v>
      </c>
      <c r="BE444" s="0" t="s">
        <v>228</v>
      </c>
      <c r="BF444" s="0" t="s">
        <v>228</v>
      </c>
      <c r="BG444" s="0" t="s">
        <v>228</v>
      </c>
      <c r="BH444" s="0" t="s">
        <v>228</v>
      </c>
      <c r="BI444" s="0" t="s">
        <v>228</v>
      </c>
      <c r="BJ444" s="0" t="s">
        <v>228</v>
      </c>
      <c r="BK444" s="0" t="s">
        <v>228</v>
      </c>
      <c r="BL444" s="0" t="s">
        <v>228</v>
      </c>
      <c r="BM444" s="0" t="s">
        <v>228</v>
      </c>
      <c r="BN444" s="0" t="s">
        <v>228</v>
      </c>
      <c r="BO444" s="0" t="s">
        <v>228</v>
      </c>
      <c r="BP444" s="0" t="s">
        <v>228</v>
      </c>
      <c r="BQ444" s="0" t="s">
        <v>228</v>
      </c>
      <c r="BR444" s="0" t="s">
        <v>228</v>
      </c>
      <c r="BS444" s="0" t="s">
        <v>228</v>
      </c>
      <c r="BT444" s="0" t="s">
        <v>228</v>
      </c>
      <c r="BU444" s="0" t="s">
        <v>228</v>
      </c>
      <c r="BV444" s="0" t="s">
        <v>228</v>
      </c>
      <c r="BW444" s="0" t="s">
        <v>228</v>
      </c>
      <c r="BX444" s="0" t="s">
        <v>228</v>
      </c>
      <c r="BY444" s="0" t="s">
        <v>228</v>
      </c>
      <c r="BZ444" s="0" t="s">
        <v>228</v>
      </c>
      <c r="CA444" s="0" t="s">
        <v>228</v>
      </c>
      <c r="CB444" s="0" t="s">
        <v>228</v>
      </c>
      <c r="CC444" s="0" t="s">
        <v>228</v>
      </c>
      <c r="CD444" s="0" t="s">
        <v>228</v>
      </c>
      <c r="CE444" s="0" t="s">
        <v>228</v>
      </c>
      <c r="CF444" s="0" t="s">
        <v>228</v>
      </c>
      <c r="CG444" s="0" t="s">
        <v>228</v>
      </c>
      <c r="CH444" s="0" t="s">
        <v>228</v>
      </c>
      <c r="CI444" s="0" t="s">
        <v>228</v>
      </c>
      <c r="CJ444" s="0" t="s">
        <v>228</v>
      </c>
      <c r="CK444" s="0" t="s">
        <v>228</v>
      </c>
      <c r="CL444" s="0" t="s">
        <v>228</v>
      </c>
      <c r="CM444" s="0" t="s">
        <v>228</v>
      </c>
      <c r="CN444" s="0" t="s">
        <v>228</v>
      </c>
      <c r="CO444" s="0" t="s">
        <v>228</v>
      </c>
      <c r="CP444" s="0" t="s">
        <v>228</v>
      </c>
      <c r="CQ444" s="0" t="s">
        <v>228</v>
      </c>
      <c r="CR444" s="0" t="s">
        <v>228</v>
      </c>
      <c r="CS444" s="0" t="s">
        <v>228</v>
      </c>
      <c r="CT444" s="0" t="s">
        <v>3568</v>
      </c>
      <c r="CU444" s="0" t="s">
        <v>3569</v>
      </c>
      <c r="CV444" s="0" t="s">
        <v>418</v>
      </c>
      <c r="CW444" s="0" t="s">
        <v>3622</v>
      </c>
      <c r="CX444" s="0" t="s">
        <v>419</v>
      </c>
      <c r="CY444" s="0" t="s">
        <v>418</v>
      </c>
      <c r="CZ444" s="0" t="s">
        <v>3623</v>
      </c>
      <c r="DA444" s="0" t="s">
        <v>3624</v>
      </c>
      <c r="DB444" s="0" t="s">
        <v>3622</v>
      </c>
      <c r="DC444" s="0" t="s">
        <v>362</v>
      </c>
      <c r="DD444" s="0" t="s">
        <v>3572</v>
      </c>
      <c r="DE444" s="0" t="s">
        <v>4534</v>
      </c>
    </row>
    <row customHeight="1" ht="11.25">
      <c r="A445" s="1353" t="s">
        <v>228</v>
      </c>
      <c r="B445" s="0" t="s">
        <v>228</v>
      </c>
      <c r="C445" s="0" t="s">
        <v>228</v>
      </c>
      <c r="D445" s="0" t="s">
        <v>228</v>
      </c>
      <c r="E445" s="0" t="s">
        <v>228</v>
      </c>
      <c r="F445" s="0" t="s">
        <v>228</v>
      </c>
      <c r="G445" s="0" t="s">
        <v>228</v>
      </c>
      <c r="H445" s="0" t="s">
        <v>228</v>
      </c>
      <c r="I445" s="0" t="s">
        <v>3555</v>
      </c>
      <c r="J445" s="0" t="s">
        <v>228</v>
      </c>
      <c r="K445" s="0" t="s">
        <v>228</v>
      </c>
      <c r="L445" s="0" t="s">
        <v>228</v>
      </c>
      <c r="M445" s="0" t="s">
        <v>228</v>
      </c>
      <c r="N445" s="0" t="s">
        <v>228</v>
      </c>
      <c r="O445" s="0" t="s">
        <v>228</v>
      </c>
      <c r="P445" s="0" t="s">
        <v>228</v>
      </c>
      <c r="Q445" s="0" t="s">
        <v>228</v>
      </c>
      <c r="R445" s="0" t="s">
        <v>5081</v>
      </c>
      <c r="S445" s="0" t="s">
        <v>228</v>
      </c>
      <c r="T445" s="0" t="s">
        <v>228</v>
      </c>
      <c r="U445" s="0" t="s">
        <v>101</v>
      </c>
      <c r="V445" s="0" t="s">
        <v>228</v>
      </c>
      <c r="W445" s="0" t="s">
        <v>228</v>
      </c>
      <c r="X445" s="0" t="s">
        <v>3557</v>
      </c>
      <c r="Y445" s="0" t="s">
        <v>228</v>
      </c>
      <c r="Z445" s="0" t="s">
        <v>160</v>
      </c>
      <c r="AA445" s="0" t="s">
        <v>151</v>
      </c>
      <c r="AB445" s="0" t="s">
        <v>151</v>
      </c>
      <c r="AC445" s="0" t="s">
        <v>2715</v>
      </c>
      <c r="AD445" s="0" t="s">
        <v>2715</v>
      </c>
      <c r="AE445" s="0" t="s">
        <v>2716</v>
      </c>
      <c r="AF445" s="0" t="s">
        <v>3594</v>
      </c>
      <c r="AG445" s="0" t="s">
        <v>3595</v>
      </c>
      <c r="AH445" s="0" t="s">
        <v>4260</v>
      </c>
      <c r="AI445" s="0" t="s">
        <v>4261</v>
      </c>
      <c r="AJ445" s="0" t="s">
        <v>4536</v>
      </c>
      <c r="AK445" s="0" t="s">
        <v>4537</v>
      </c>
      <c r="AL445" s="0" t="s">
        <v>3564</v>
      </c>
      <c r="AM445" s="0" t="s">
        <v>3565</v>
      </c>
      <c r="AN445" s="0" t="s">
        <v>3654</v>
      </c>
      <c r="AO445" s="0" t="s">
        <v>4132</v>
      </c>
      <c r="AP445" s="0" t="s">
        <v>228</v>
      </c>
      <c r="AQ445" s="0" t="s">
        <v>228</v>
      </c>
      <c r="AR445" s="0" t="s">
        <v>228</v>
      </c>
      <c r="AS445" s="0" t="s">
        <v>228</v>
      </c>
      <c r="AT445" s="0" t="s">
        <v>228</v>
      </c>
      <c r="AU445" s="0" t="s">
        <v>228</v>
      </c>
      <c r="AV445" s="0" t="s">
        <v>228</v>
      </c>
      <c r="AW445" s="0" t="s">
        <v>228</v>
      </c>
      <c r="AX445" s="0" t="s">
        <v>228</v>
      </c>
      <c r="AY445" s="0" t="s">
        <v>228</v>
      </c>
      <c r="AZ445" s="0" t="s">
        <v>228</v>
      </c>
      <c r="BA445" s="0" t="s">
        <v>228</v>
      </c>
      <c r="BB445" s="0" t="s">
        <v>228</v>
      </c>
      <c r="BC445" s="0" t="s">
        <v>228</v>
      </c>
      <c r="BD445" s="0" t="s">
        <v>228</v>
      </c>
      <c r="BE445" s="0" t="s">
        <v>228</v>
      </c>
      <c r="BF445" s="0" t="s">
        <v>228</v>
      </c>
      <c r="BG445" s="0" t="s">
        <v>228</v>
      </c>
      <c r="BH445" s="0" t="s">
        <v>228</v>
      </c>
      <c r="BI445" s="0" t="s">
        <v>228</v>
      </c>
      <c r="BJ445" s="0" t="s">
        <v>228</v>
      </c>
      <c r="BK445" s="0" t="s">
        <v>228</v>
      </c>
      <c r="BL445" s="0" t="s">
        <v>228</v>
      </c>
      <c r="BM445" s="0" t="s">
        <v>228</v>
      </c>
      <c r="BN445" s="0" t="s">
        <v>228</v>
      </c>
      <c r="BO445" s="0" t="s">
        <v>228</v>
      </c>
      <c r="BP445" s="0" t="s">
        <v>228</v>
      </c>
      <c r="BQ445" s="0" t="s">
        <v>228</v>
      </c>
      <c r="BR445" s="0" t="s">
        <v>228</v>
      </c>
      <c r="BS445" s="0" t="s">
        <v>228</v>
      </c>
      <c r="BT445" s="0" t="s">
        <v>228</v>
      </c>
      <c r="BU445" s="0" t="s">
        <v>228</v>
      </c>
      <c r="BV445" s="0" t="s">
        <v>228</v>
      </c>
      <c r="BW445" s="0" t="s">
        <v>228</v>
      </c>
      <c r="BX445" s="0" t="s">
        <v>228</v>
      </c>
      <c r="BY445" s="0" t="s">
        <v>228</v>
      </c>
      <c r="BZ445" s="0" t="s">
        <v>228</v>
      </c>
      <c r="CA445" s="0" t="s">
        <v>228</v>
      </c>
      <c r="CB445" s="0" t="s">
        <v>228</v>
      </c>
      <c r="CC445" s="0" t="s">
        <v>228</v>
      </c>
      <c r="CD445" s="0" t="s">
        <v>228</v>
      </c>
      <c r="CE445" s="0" t="s">
        <v>228</v>
      </c>
      <c r="CF445" s="0" t="s">
        <v>228</v>
      </c>
      <c r="CG445" s="0" t="s">
        <v>228</v>
      </c>
      <c r="CH445" s="0" t="s">
        <v>228</v>
      </c>
      <c r="CI445" s="0" t="s">
        <v>228</v>
      </c>
      <c r="CJ445" s="0" t="s">
        <v>228</v>
      </c>
      <c r="CK445" s="0" t="s">
        <v>228</v>
      </c>
      <c r="CL445" s="0" t="s">
        <v>228</v>
      </c>
      <c r="CM445" s="0" t="s">
        <v>228</v>
      </c>
      <c r="CN445" s="0" t="s">
        <v>228</v>
      </c>
      <c r="CO445" s="0" t="s">
        <v>228</v>
      </c>
      <c r="CP445" s="0" t="s">
        <v>228</v>
      </c>
      <c r="CQ445" s="0" t="s">
        <v>228</v>
      </c>
      <c r="CR445" s="0" t="s">
        <v>228</v>
      </c>
      <c r="CS445" s="0" t="s">
        <v>228</v>
      </c>
      <c r="CT445" s="0" t="s">
        <v>3568</v>
      </c>
      <c r="CU445" s="0" t="s">
        <v>3569</v>
      </c>
      <c r="CV445" s="0" t="s">
        <v>418</v>
      </c>
      <c r="CW445" s="0" t="s">
        <v>3602</v>
      </c>
      <c r="CX445" s="0" t="s">
        <v>3603</v>
      </c>
      <c r="CY445" s="0" t="s">
        <v>418</v>
      </c>
      <c r="CZ445" s="0" t="s">
        <v>504</v>
      </c>
      <c r="DA445" s="0" t="s">
        <v>3604</v>
      </c>
      <c r="DB445" s="0" t="s">
        <v>3602</v>
      </c>
      <c r="DC445" s="0" t="s">
        <v>362</v>
      </c>
      <c r="DD445" s="0" t="s">
        <v>3572</v>
      </c>
      <c r="DE445" s="0" t="s">
        <v>4265</v>
      </c>
    </row>
    <row customHeight="1" ht="11.25">
      <c r="A446" s="1353" t="s">
        <v>228</v>
      </c>
      <c r="B446" s="0" t="s">
        <v>228</v>
      </c>
      <c r="C446" s="0" t="s">
        <v>228</v>
      </c>
      <c r="D446" s="0" t="s">
        <v>228</v>
      </c>
      <c r="E446" s="0" t="s">
        <v>228</v>
      </c>
      <c r="F446" s="0" t="s">
        <v>228</v>
      </c>
      <c r="G446" s="0" t="s">
        <v>228</v>
      </c>
      <c r="H446" s="0" t="s">
        <v>228</v>
      </c>
      <c r="I446" s="0" t="s">
        <v>3555</v>
      </c>
      <c r="J446" s="0" t="s">
        <v>228</v>
      </c>
      <c r="K446" s="0" t="s">
        <v>228</v>
      </c>
      <c r="L446" s="0" t="s">
        <v>228</v>
      </c>
      <c r="M446" s="0" t="s">
        <v>228</v>
      </c>
      <c r="N446" s="0" t="s">
        <v>228</v>
      </c>
      <c r="O446" s="0" t="s">
        <v>228</v>
      </c>
      <c r="P446" s="0" t="s">
        <v>228</v>
      </c>
      <c r="Q446" s="0" t="s">
        <v>228</v>
      </c>
      <c r="R446" s="0" t="s">
        <v>4741</v>
      </c>
      <c r="S446" s="0" t="s">
        <v>228</v>
      </c>
      <c r="T446" s="0" t="s">
        <v>228</v>
      </c>
      <c r="U446" s="0" t="s">
        <v>101</v>
      </c>
      <c r="V446" s="0" t="s">
        <v>228</v>
      </c>
      <c r="W446" s="0" t="s">
        <v>228</v>
      </c>
      <c r="X446" s="0" t="s">
        <v>3661</v>
      </c>
      <c r="Y446" s="0" t="s">
        <v>228</v>
      </c>
      <c r="Z446" s="0" t="s">
        <v>151</v>
      </c>
      <c r="AA446" s="0" t="s">
        <v>151</v>
      </c>
      <c r="AB446" s="0" t="s">
        <v>160</v>
      </c>
      <c r="AC446" s="0" t="s">
        <v>2317</v>
      </c>
      <c r="AD446" s="0" t="s">
        <v>2317</v>
      </c>
      <c r="AE446" s="0" t="s">
        <v>2318</v>
      </c>
      <c r="AF446" s="0" t="s">
        <v>4527</v>
      </c>
      <c r="AG446" s="0" t="s">
        <v>4528</v>
      </c>
      <c r="AH446" s="0" t="s">
        <v>3651</v>
      </c>
      <c r="AI446" s="0" t="s">
        <v>3651</v>
      </c>
      <c r="AJ446" s="0" t="s">
        <v>228</v>
      </c>
      <c r="AK446" s="0" t="s">
        <v>228</v>
      </c>
      <c r="AL446" s="0" t="s">
        <v>228</v>
      </c>
      <c r="AM446" s="0" t="s">
        <v>228</v>
      </c>
      <c r="AN446" s="0" t="s">
        <v>228</v>
      </c>
      <c r="AO446" s="0" t="s">
        <v>228</v>
      </c>
      <c r="AP446" s="0" t="s">
        <v>228</v>
      </c>
      <c r="AQ446" s="0" t="s">
        <v>228</v>
      </c>
      <c r="AR446" s="0" t="s">
        <v>228</v>
      </c>
      <c r="AS446" s="0" t="s">
        <v>228</v>
      </c>
      <c r="AT446" s="0" t="s">
        <v>228</v>
      </c>
      <c r="AU446" s="0" t="s">
        <v>228</v>
      </c>
      <c r="AV446" s="0" t="s">
        <v>228</v>
      </c>
      <c r="AW446" s="0" t="s">
        <v>228</v>
      </c>
      <c r="AX446" s="0" t="s">
        <v>228</v>
      </c>
      <c r="AY446" s="0" t="s">
        <v>228</v>
      </c>
      <c r="AZ446" s="0" t="s">
        <v>228</v>
      </c>
      <c r="BA446" s="0" t="s">
        <v>228</v>
      </c>
      <c r="BB446" s="0" t="s">
        <v>228</v>
      </c>
      <c r="BC446" s="0" t="s">
        <v>228</v>
      </c>
      <c r="BD446" s="0" t="s">
        <v>228</v>
      </c>
      <c r="BE446" s="0" t="s">
        <v>3627</v>
      </c>
      <c r="BF446" s="0" t="s">
        <v>3619</v>
      </c>
      <c r="BG446" s="0" t="s">
        <v>111</v>
      </c>
      <c r="BH446" s="0" t="s">
        <v>3665</v>
      </c>
      <c r="BI446" s="0" t="s">
        <v>122</v>
      </c>
      <c r="BJ446" s="0" t="s">
        <v>228</v>
      </c>
      <c r="BK446" s="0" t="s">
        <v>3684</v>
      </c>
      <c r="BL446" s="0" t="s">
        <v>2317</v>
      </c>
      <c r="BM446" s="0" t="s">
        <v>2317</v>
      </c>
      <c r="BN446" s="0" t="s">
        <v>3740</v>
      </c>
      <c r="BO446" s="0" t="s">
        <v>4527</v>
      </c>
      <c r="BP446" s="0" t="s">
        <v>4742</v>
      </c>
      <c r="BQ446" s="0" t="s">
        <v>3651</v>
      </c>
      <c r="BR446" s="0" t="s">
        <v>3651</v>
      </c>
      <c r="BS446" s="0" t="s">
        <v>228</v>
      </c>
      <c r="BT446" s="0" t="s">
        <v>3727</v>
      </c>
      <c r="BU446" s="0" t="s">
        <v>4743</v>
      </c>
      <c r="BV446" s="0" t="s">
        <v>4743</v>
      </c>
      <c r="BW446" s="0" t="s">
        <v>3674</v>
      </c>
      <c r="BX446" s="0" t="s">
        <v>3674</v>
      </c>
      <c r="BY446" s="0" t="s">
        <v>3674</v>
      </c>
      <c r="BZ446" s="0" t="s">
        <v>3674</v>
      </c>
      <c r="CA446" s="0" t="s">
        <v>3674</v>
      </c>
      <c r="CB446" s="0" t="s">
        <v>228</v>
      </c>
      <c r="CC446" s="0" t="s">
        <v>228</v>
      </c>
      <c r="CD446" s="0" t="s">
        <v>228</v>
      </c>
      <c r="CE446" s="0" t="s">
        <v>228</v>
      </c>
      <c r="CF446" s="0" t="s">
        <v>228</v>
      </c>
      <c r="CG446" s="0" t="s">
        <v>3674</v>
      </c>
      <c r="CH446" s="0" t="s">
        <v>228</v>
      </c>
      <c r="CI446" s="0" t="s">
        <v>228</v>
      </c>
      <c r="CJ446" s="0" t="s">
        <v>228</v>
      </c>
      <c r="CK446" s="0" t="s">
        <v>228</v>
      </c>
      <c r="CL446" s="0" t="s">
        <v>228</v>
      </c>
      <c r="CM446" s="0" t="s">
        <v>4743</v>
      </c>
      <c r="CN446" s="0" t="s">
        <v>4743</v>
      </c>
      <c r="CO446" s="0" t="s">
        <v>228</v>
      </c>
      <c r="CP446" s="0" t="s">
        <v>228</v>
      </c>
      <c r="CQ446" s="0" t="s">
        <v>228</v>
      </c>
      <c r="CR446" s="0" t="s">
        <v>228</v>
      </c>
      <c r="CS446" s="0" t="s">
        <v>3743</v>
      </c>
      <c r="CT446" s="0" t="s">
        <v>3568</v>
      </c>
      <c r="CU446" s="0" t="s">
        <v>3569</v>
      </c>
      <c r="CV446" s="0" t="s">
        <v>418</v>
      </c>
      <c r="CW446" s="0" t="s">
        <v>3622</v>
      </c>
      <c r="CX446" s="0" t="s">
        <v>419</v>
      </c>
      <c r="CY446" s="0" t="s">
        <v>418</v>
      </c>
      <c r="CZ446" s="0" t="s">
        <v>3623</v>
      </c>
      <c r="DA446" s="0" t="s">
        <v>3624</v>
      </c>
      <c r="DB446" s="0" t="s">
        <v>3622</v>
      </c>
      <c r="DC446" s="0" t="s">
        <v>362</v>
      </c>
      <c r="DD446" s="0" t="s">
        <v>3572</v>
      </c>
      <c r="DE446" s="0" t="s">
        <v>4744</v>
      </c>
    </row>
    <row customHeight="1" ht="11.25">
      <c r="A447" s="1353" t="s">
        <v>228</v>
      </c>
      <c r="B447" s="0" t="s">
        <v>228</v>
      </c>
      <c r="C447" s="0" t="s">
        <v>228</v>
      </c>
      <c r="D447" s="0" t="s">
        <v>228</v>
      </c>
      <c r="E447" s="0" t="s">
        <v>228</v>
      </c>
      <c r="F447" s="0" t="s">
        <v>228</v>
      </c>
      <c r="G447" s="0" t="s">
        <v>228</v>
      </c>
      <c r="H447" s="0" t="s">
        <v>228</v>
      </c>
      <c r="I447" s="0" t="s">
        <v>3555</v>
      </c>
      <c r="J447" s="0" t="s">
        <v>228</v>
      </c>
      <c r="K447" s="0" t="s">
        <v>228</v>
      </c>
      <c r="L447" s="0" t="s">
        <v>228</v>
      </c>
      <c r="M447" s="0" t="s">
        <v>228</v>
      </c>
      <c r="N447" s="0" t="s">
        <v>228</v>
      </c>
      <c r="O447" s="0" t="s">
        <v>228</v>
      </c>
      <c r="P447" s="0" t="s">
        <v>228</v>
      </c>
      <c r="Q447" s="0" t="s">
        <v>228</v>
      </c>
      <c r="R447" s="0" t="s">
        <v>3648</v>
      </c>
      <c r="S447" s="0" t="s">
        <v>228</v>
      </c>
      <c r="T447" s="0" t="s">
        <v>228</v>
      </c>
      <c r="U447" s="0" t="s">
        <v>101</v>
      </c>
      <c r="V447" s="0" t="s">
        <v>228</v>
      </c>
      <c r="W447" s="0" t="s">
        <v>228</v>
      </c>
      <c r="X447" s="0" t="s">
        <v>3557</v>
      </c>
      <c r="Y447" s="0" t="s">
        <v>228</v>
      </c>
      <c r="Z447" s="0" t="s">
        <v>160</v>
      </c>
      <c r="AA447" s="0" t="s">
        <v>151</v>
      </c>
      <c r="AB447" s="0" t="s">
        <v>151</v>
      </c>
      <c r="AC447" s="0" t="s">
        <v>2317</v>
      </c>
      <c r="AD447" s="0" t="s">
        <v>2317</v>
      </c>
      <c r="AE447" s="0" t="s">
        <v>2318</v>
      </c>
      <c r="AF447" s="0" t="s">
        <v>4544</v>
      </c>
      <c r="AG447" s="0" t="s">
        <v>4545</v>
      </c>
      <c r="AH447" s="0" t="s">
        <v>3832</v>
      </c>
      <c r="AI447" s="0" t="s">
        <v>1703</v>
      </c>
      <c r="AJ447" s="0" t="s">
        <v>3652</v>
      </c>
      <c r="AK447" s="0" t="s">
        <v>3822</v>
      </c>
      <c r="AL447" s="0" t="s">
        <v>3581</v>
      </c>
      <c r="AM447" s="0" t="s">
        <v>3565</v>
      </c>
      <c r="AN447" s="0" t="s">
        <v>3628</v>
      </c>
      <c r="AO447" s="0" t="s">
        <v>3829</v>
      </c>
      <c r="AP447" s="0" t="s">
        <v>228</v>
      </c>
      <c r="AQ447" s="0" t="s">
        <v>228</v>
      </c>
      <c r="AR447" s="0" t="s">
        <v>228</v>
      </c>
      <c r="AS447" s="0" t="s">
        <v>228</v>
      </c>
      <c r="AT447" s="0" t="s">
        <v>228</v>
      </c>
      <c r="AU447" s="0" t="s">
        <v>228</v>
      </c>
      <c r="AV447" s="0" t="s">
        <v>228</v>
      </c>
      <c r="AW447" s="0" t="s">
        <v>228</v>
      </c>
      <c r="AX447" s="0" t="s">
        <v>228</v>
      </c>
      <c r="AY447" s="0" t="s">
        <v>228</v>
      </c>
      <c r="AZ447" s="0" t="s">
        <v>228</v>
      </c>
      <c r="BA447" s="0" t="s">
        <v>228</v>
      </c>
      <c r="BB447" s="0" t="s">
        <v>228</v>
      </c>
      <c r="BC447" s="0" t="s">
        <v>228</v>
      </c>
      <c r="BD447" s="0" t="s">
        <v>228</v>
      </c>
      <c r="BE447" s="0" t="s">
        <v>228</v>
      </c>
      <c r="BF447" s="0" t="s">
        <v>228</v>
      </c>
      <c r="BG447" s="0" t="s">
        <v>228</v>
      </c>
      <c r="BH447" s="0" t="s">
        <v>228</v>
      </c>
      <c r="BI447" s="0" t="s">
        <v>228</v>
      </c>
      <c r="BJ447" s="0" t="s">
        <v>228</v>
      </c>
      <c r="BK447" s="0" t="s">
        <v>228</v>
      </c>
      <c r="BL447" s="0" t="s">
        <v>228</v>
      </c>
      <c r="BM447" s="0" t="s">
        <v>228</v>
      </c>
      <c r="BN447" s="0" t="s">
        <v>228</v>
      </c>
      <c r="BO447" s="0" t="s">
        <v>228</v>
      </c>
      <c r="BP447" s="0" t="s">
        <v>228</v>
      </c>
      <c r="BQ447" s="0" t="s">
        <v>228</v>
      </c>
      <c r="BR447" s="0" t="s">
        <v>228</v>
      </c>
      <c r="BS447" s="0" t="s">
        <v>228</v>
      </c>
      <c r="BT447" s="0" t="s">
        <v>228</v>
      </c>
      <c r="BU447" s="0" t="s">
        <v>228</v>
      </c>
      <c r="BV447" s="0" t="s">
        <v>228</v>
      </c>
      <c r="BW447" s="0" t="s">
        <v>228</v>
      </c>
      <c r="BX447" s="0" t="s">
        <v>228</v>
      </c>
      <c r="BY447" s="0" t="s">
        <v>228</v>
      </c>
      <c r="BZ447" s="0" t="s">
        <v>228</v>
      </c>
      <c r="CA447" s="0" t="s">
        <v>228</v>
      </c>
      <c r="CB447" s="0" t="s">
        <v>228</v>
      </c>
      <c r="CC447" s="0" t="s">
        <v>228</v>
      </c>
      <c r="CD447" s="0" t="s">
        <v>228</v>
      </c>
      <c r="CE447" s="0" t="s">
        <v>228</v>
      </c>
      <c r="CF447" s="0" t="s">
        <v>228</v>
      </c>
      <c r="CG447" s="0" t="s">
        <v>228</v>
      </c>
      <c r="CH447" s="0" t="s">
        <v>228</v>
      </c>
      <c r="CI447" s="0" t="s">
        <v>228</v>
      </c>
      <c r="CJ447" s="0" t="s">
        <v>228</v>
      </c>
      <c r="CK447" s="0" t="s">
        <v>228</v>
      </c>
      <c r="CL447" s="0" t="s">
        <v>228</v>
      </c>
      <c r="CM447" s="0" t="s">
        <v>228</v>
      </c>
      <c r="CN447" s="0" t="s">
        <v>228</v>
      </c>
      <c r="CO447" s="0" t="s">
        <v>228</v>
      </c>
      <c r="CP447" s="0" t="s">
        <v>228</v>
      </c>
      <c r="CQ447" s="0" t="s">
        <v>228</v>
      </c>
      <c r="CR447" s="0" t="s">
        <v>228</v>
      </c>
      <c r="CS447" s="0" t="s">
        <v>228</v>
      </c>
      <c r="CT447" s="0" t="s">
        <v>3568</v>
      </c>
      <c r="CU447" s="0" t="s">
        <v>3569</v>
      </c>
      <c r="CV447" s="0" t="s">
        <v>418</v>
      </c>
      <c r="CW447" s="0" t="s">
        <v>3622</v>
      </c>
      <c r="CX447" s="0" t="s">
        <v>419</v>
      </c>
      <c r="CY447" s="0" t="s">
        <v>418</v>
      </c>
      <c r="CZ447" s="0" t="s">
        <v>3623</v>
      </c>
      <c r="DA447" s="0" t="s">
        <v>3624</v>
      </c>
      <c r="DB447" s="0" t="s">
        <v>3622</v>
      </c>
      <c r="DC447" s="0" t="s">
        <v>362</v>
      </c>
      <c r="DD447" s="0" t="s">
        <v>3572</v>
      </c>
      <c r="DE447" s="0" t="s">
        <v>4628</v>
      </c>
    </row>
    <row customHeight="1" ht="11.25">
      <c r="A448" s="1353" t="s">
        <v>228</v>
      </c>
      <c r="B448" s="0" t="s">
        <v>228</v>
      </c>
      <c r="C448" s="0" t="s">
        <v>228</v>
      </c>
      <c r="D448" s="0" t="s">
        <v>228</v>
      </c>
      <c r="E448" s="0" t="s">
        <v>228</v>
      </c>
      <c r="F448" s="0" t="s">
        <v>228</v>
      </c>
      <c r="G448" s="0" t="s">
        <v>228</v>
      </c>
      <c r="H448" s="0" t="s">
        <v>228</v>
      </c>
      <c r="I448" s="0" t="s">
        <v>3555</v>
      </c>
      <c r="J448" s="0" t="s">
        <v>228</v>
      </c>
      <c r="K448" s="0" t="s">
        <v>228</v>
      </c>
      <c r="L448" s="0" t="s">
        <v>228</v>
      </c>
      <c r="M448" s="0" t="s">
        <v>228</v>
      </c>
      <c r="N448" s="0" t="s">
        <v>228</v>
      </c>
      <c r="O448" s="0" t="s">
        <v>228</v>
      </c>
      <c r="P448" s="0" t="s">
        <v>228</v>
      </c>
      <c r="Q448" s="0" t="s">
        <v>228</v>
      </c>
      <c r="R448" s="0" t="s">
        <v>3648</v>
      </c>
      <c r="S448" s="0" t="s">
        <v>228</v>
      </c>
      <c r="T448" s="0" t="s">
        <v>228</v>
      </c>
      <c r="U448" s="0" t="s">
        <v>101</v>
      </c>
      <c r="V448" s="0" t="s">
        <v>228</v>
      </c>
      <c r="W448" s="0" t="s">
        <v>228</v>
      </c>
      <c r="X448" s="0" t="s">
        <v>3557</v>
      </c>
      <c r="Y448" s="0" t="s">
        <v>228</v>
      </c>
      <c r="Z448" s="0" t="s">
        <v>160</v>
      </c>
      <c r="AA448" s="0" t="s">
        <v>151</v>
      </c>
      <c r="AB448" s="0" t="s">
        <v>151</v>
      </c>
      <c r="AC448" s="0" t="s">
        <v>2317</v>
      </c>
      <c r="AD448" s="0" t="s">
        <v>2317</v>
      </c>
      <c r="AE448" s="0" t="s">
        <v>2318</v>
      </c>
      <c r="AF448" s="0" t="s">
        <v>4544</v>
      </c>
      <c r="AG448" s="0" t="s">
        <v>4545</v>
      </c>
      <c r="AH448" s="0" t="s">
        <v>4805</v>
      </c>
      <c r="AI448" s="0" t="s">
        <v>3771</v>
      </c>
      <c r="AJ448" s="0" t="s">
        <v>3579</v>
      </c>
      <c r="AK448" s="0" t="s">
        <v>3619</v>
      </c>
      <c r="AL448" s="0" t="s">
        <v>3581</v>
      </c>
      <c r="AM448" s="0" t="s">
        <v>3565</v>
      </c>
      <c r="AN448" s="0" t="s">
        <v>3620</v>
      </c>
      <c r="AO448" s="0" t="s">
        <v>3772</v>
      </c>
      <c r="AP448" s="0" t="s">
        <v>228</v>
      </c>
      <c r="AQ448" s="0" t="s">
        <v>228</v>
      </c>
      <c r="AR448" s="0" t="s">
        <v>228</v>
      </c>
      <c r="AS448" s="0" t="s">
        <v>228</v>
      </c>
      <c r="AT448" s="0" t="s">
        <v>228</v>
      </c>
      <c r="AU448" s="0" t="s">
        <v>228</v>
      </c>
      <c r="AV448" s="0" t="s">
        <v>228</v>
      </c>
      <c r="AW448" s="0" t="s">
        <v>228</v>
      </c>
      <c r="AX448" s="0" t="s">
        <v>228</v>
      </c>
      <c r="AY448" s="0" t="s">
        <v>228</v>
      </c>
      <c r="AZ448" s="0" t="s">
        <v>228</v>
      </c>
      <c r="BA448" s="0" t="s">
        <v>228</v>
      </c>
      <c r="BB448" s="0" t="s">
        <v>228</v>
      </c>
      <c r="BC448" s="0" t="s">
        <v>228</v>
      </c>
      <c r="BD448" s="0" t="s">
        <v>228</v>
      </c>
      <c r="BE448" s="0" t="s">
        <v>228</v>
      </c>
      <c r="BF448" s="0" t="s">
        <v>228</v>
      </c>
      <c r="BG448" s="0" t="s">
        <v>228</v>
      </c>
      <c r="BH448" s="0" t="s">
        <v>228</v>
      </c>
      <c r="BI448" s="0" t="s">
        <v>228</v>
      </c>
      <c r="BJ448" s="0" t="s">
        <v>228</v>
      </c>
      <c r="BK448" s="0" t="s">
        <v>228</v>
      </c>
      <c r="BL448" s="0" t="s">
        <v>228</v>
      </c>
      <c r="BM448" s="0" t="s">
        <v>228</v>
      </c>
      <c r="BN448" s="0" t="s">
        <v>228</v>
      </c>
      <c r="BO448" s="0" t="s">
        <v>228</v>
      </c>
      <c r="BP448" s="0" t="s">
        <v>228</v>
      </c>
      <c r="BQ448" s="0" t="s">
        <v>228</v>
      </c>
      <c r="BR448" s="0" t="s">
        <v>228</v>
      </c>
      <c r="BS448" s="0" t="s">
        <v>228</v>
      </c>
      <c r="BT448" s="0" t="s">
        <v>228</v>
      </c>
      <c r="BU448" s="0" t="s">
        <v>228</v>
      </c>
      <c r="BV448" s="0" t="s">
        <v>228</v>
      </c>
      <c r="BW448" s="0" t="s">
        <v>228</v>
      </c>
      <c r="BX448" s="0" t="s">
        <v>228</v>
      </c>
      <c r="BY448" s="0" t="s">
        <v>228</v>
      </c>
      <c r="BZ448" s="0" t="s">
        <v>228</v>
      </c>
      <c r="CA448" s="0" t="s">
        <v>228</v>
      </c>
      <c r="CB448" s="0" t="s">
        <v>228</v>
      </c>
      <c r="CC448" s="0" t="s">
        <v>228</v>
      </c>
      <c r="CD448" s="0" t="s">
        <v>228</v>
      </c>
      <c r="CE448" s="0" t="s">
        <v>228</v>
      </c>
      <c r="CF448" s="0" t="s">
        <v>228</v>
      </c>
      <c r="CG448" s="0" t="s">
        <v>228</v>
      </c>
      <c r="CH448" s="0" t="s">
        <v>228</v>
      </c>
      <c r="CI448" s="0" t="s">
        <v>228</v>
      </c>
      <c r="CJ448" s="0" t="s">
        <v>228</v>
      </c>
      <c r="CK448" s="0" t="s">
        <v>228</v>
      </c>
      <c r="CL448" s="0" t="s">
        <v>228</v>
      </c>
      <c r="CM448" s="0" t="s">
        <v>228</v>
      </c>
      <c r="CN448" s="0" t="s">
        <v>228</v>
      </c>
      <c r="CO448" s="0" t="s">
        <v>228</v>
      </c>
      <c r="CP448" s="0" t="s">
        <v>228</v>
      </c>
      <c r="CQ448" s="0" t="s">
        <v>228</v>
      </c>
      <c r="CR448" s="0" t="s">
        <v>228</v>
      </c>
      <c r="CS448" s="0" t="s">
        <v>228</v>
      </c>
      <c r="CT448" s="0" t="s">
        <v>3568</v>
      </c>
      <c r="CU448" s="0" t="s">
        <v>3569</v>
      </c>
      <c r="CV448" s="0" t="s">
        <v>418</v>
      </c>
      <c r="CW448" s="0" t="s">
        <v>3622</v>
      </c>
      <c r="CX448" s="0" t="s">
        <v>419</v>
      </c>
      <c r="CY448" s="0" t="s">
        <v>418</v>
      </c>
      <c r="CZ448" s="0" t="s">
        <v>3623</v>
      </c>
      <c r="DA448" s="0" t="s">
        <v>3624</v>
      </c>
      <c r="DB448" s="0" t="s">
        <v>3622</v>
      </c>
      <c r="DC448" s="0" t="s">
        <v>362</v>
      </c>
      <c r="DD448" s="0" t="s">
        <v>3572</v>
      </c>
      <c r="DE448" s="0" t="s">
        <v>4806</v>
      </c>
    </row>
    <row customHeight="1" ht="11.25">
      <c r="A449" s="1353" t="s">
        <v>228</v>
      </c>
      <c r="B449" s="0" t="s">
        <v>228</v>
      </c>
      <c r="C449" s="0" t="s">
        <v>228</v>
      </c>
      <c r="D449" s="0" t="s">
        <v>228</v>
      </c>
      <c r="E449" s="0" t="s">
        <v>228</v>
      </c>
      <c r="F449" s="0" t="s">
        <v>228</v>
      </c>
      <c r="G449" s="0" t="s">
        <v>228</v>
      </c>
      <c r="H449" s="0" t="s">
        <v>228</v>
      </c>
      <c r="I449" s="0" t="s">
        <v>3555</v>
      </c>
      <c r="J449" s="0" t="s">
        <v>228</v>
      </c>
      <c r="K449" s="0" t="s">
        <v>228</v>
      </c>
      <c r="L449" s="0" t="s">
        <v>228</v>
      </c>
      <c r="M449" s="0" t="s">
        <v>228</v>
      </c>
      <c r="N449" s="0" t="s">
        <v>228</v>
      </c>
      <c r="O449" s="0" t="s">
        <v>228</v>
      </c>
      <c r="P449" s="0" t="s">
        <v>228</v>
      </c>
      <c r="Q449" s="0" t="s">
        <v>228</v>
      </c>
      <c r="R449" s="0" t="s">
        <v>4807</v>
      </c>
      <c r="S449" s="0" t="s">
        <v>228</v>
      </c>
      <c r="T449" s="0" t="s">
        <v>228</v>
      </c>
      <c r="U449" s="0" t="s">
        <v>101</v>
      </c>
      <c r="V449" s="0" t="s">
        <v>228</v>
      </c>
      <c r="W449" s="0" t="s">
        <v>228</v>
      </c>
      <c r="X449" s="0" t="s">
        <v>3557</v>
      </c>
      <c r="Y449" s="0" t="s">
        <v>228</v>
      </c>
      <c r="Z449" s="0" t="s">
        <v>160</v>
      </c>
      <c r="AA449" s="0" t="s">
        <v>151</v>
      </c>
      <c r="AB449" s="0" t="s">
        <v>151</v>
      </c>
      <c r="AC449" s="0" t="s">
        <v>2317</v>
      </c>
      <c r="AD449" s="0" t="s">
        <v>2317</v>
      </c>
      <c r="AE449" s="0" t="s">
        <v>2318</v>
      </c>
      <c r="AF449" s="0" t="s">
        <v>4808</v>
      </c>
      <c r="AG449" s="0" t="s">
        <v>4809</v>
      </c>
      <c r="AH449" s="0" t="s">
        <v>3747</v>
      </c>
      <c r="AI449" s="0" t="s">
        <v>4748</v>
      </c>
      <c r="AJ449" s="0" t="s">
        <v>3579</v>
      </c>
      <c r="AK449" s="0" t="s">
        <v>3749</v>
      </c>
      <c r="AL449" s="0" t="s">
        <v>3581</v>
      </c>
      <c r="AM449" s="0" t="s">
        <v>3565</v>
      </c>
      <c r="AN449" s="0" t="s">
        <v>3628</v>
      </c>
      <c r="AO449" s="0" t="s">
        <v>3701</v>
      </c>
      <c r="AP449" s="0" t="s">
        <v>228</v>
      </c>
      <c r="AQ449" s="0" t="s">
        <v>228</v>
      </c>
      <c r="AR449" s="0" t="s">
        <v>228</v>
      </c>
      <c r="AS449" s="0" t="s">
        <v>228</v>
      </c>
      <c r="AT449" s="0" t="s">
        <v>228</v>
      </c>
      <c r="AU449" s="0" t="s">
        <v>228</v>
      </c>
      <c r="AV449" s="0" t="s">
        <v>228</v>
      </c>
      <c r="AW449" s="0" t="s">
        <v>228</v>
      </c>
      <c r="AX449" s="0" t="s">
        <v>228</v>
      </c>
      <c r="AY449" s="0" t="s">
        <v>228</v>
      </c>
      <c r="AZ449" s="0" t="s">
        <v>228</v>
      </c>
      <c r="BA449" s="0" t="s">
        <v>228</v>
      </c>
      <c r="BB449" s="0" t="s">
        <v>228</v>
      </c>
      <c r="BC449" s="0" t="s">
        <v>228</v>
      </c>
      <c r="BD449" s="0" t="s">
        <v>228</v>
      </c>
      <c r="BE449" s="0" t="s">
        <v>228</v>
      </c>
      <c r="BF449" s="0" t="s">
        <v>228</v>
      </c>
      <c r="BG449" s="0" t="s">
        <v>228</v>
      </c>
      <c r="BH449" s="0" t="s">
        <v>228</v>
      </c>
      <c r="BI449" s="0" t="s">
        <v>228</v>
      </c>
      <c r="BJ449" s="0" t="s">
        <v>228</v>
      </c>
      <c r="BK449" s="0" t="s">
        <v>228</v>
      </c>
      <c r="BL449" s="0" t="s">
        <v>228</v>
      </c>
      <c r="BM449" s="0" t="s">
        <v>228</v>
      </c>
      <c r="BN449" s="0" t="s">
        <v>228</v>
      </c>
      <c r="BO449" s="0" t="s">
        <v>228</v>
      </c>
      <c r="BP449" s="0" t="s">
        <v>228</v>
      </c>
      <c r="BQ449" s="0" t="s">
        <v>228</v>
      </c>
      <c r="BR449" s="0" t="s">
        <v>228</v>
      </c>
      <c r="BS449" s="0" t="s">
        <v>228</v>
      </c>
      <c r="BT449" s="0" t="s">
        <v>228</v>
      </c>
      <c r="BU449" s="0" t="s">
        <v>228</v>
      </c>
      <c r="BV449" s="0" t="s">
        <v>228</v>
      </c>
      <c r="BW449" s="0" t="s">
        <v>228</v>
      </c>
      <c r="BX449" s="0" t="s">
        <v>228</v>
      </c>
      <c r="BY449" s="0" t="s">
        <v>228</v>
      </c>
      <c r="BZ449" s="0" t="s">
        <v>228</v>
      </c>
      <c r="CA449" s="0" t="s">
        <v>228</v>
      </c>
      <c r="CB449" s="0" t="s">
        <v>228</v>
      </c>
      <c r="CC449" s="0" t="s">
        <v>228</v>
      </c>
      <c r="CD449" s="0" t="s">
        <v>228</v>
      </c>
      <c r="CE449" s="0" t="s">
        <v>228</v>
      </c>
      <c r="CF449" s="0" t="s">
        <v>228</v>
      </c>
      <c r="CG449" s="0" t="s">
        <v>228</v>
      </c>
      <c r="CH449" s="0" t="s">
        <v>228</v>
      </c>
      <c r="CI449" s="0" t="s">
        <v>228</v>
      </c>
      <c r="CJ449" s="0" t="s">
        <v>228</v>
      </c>
      <c r="CK449" s="0" t="s">
        <v>228</v>
      </c>
      <c r="CL449" s="0" t="s">
        <v>228</v>
      </c>
      <c r="CM449" s="0" t="s">
        <v>228</v>
      </c>
      <c r="CN449" s="0" t="s">
        <v>228</v>
      </c>
      <c r="CO449" s="0" t="s">
        <v>228</v>
      </c>
      <c r="CP449" s="0" t="s">
        <v>228</v>
      </c>
      <c r="CQ449" s="0" t="s">
        <v>228</v>
      </c>
      <c r="CR449" s="0" t="s">
        <v>228</v>
      </c>
      <c r="CS449" s="0" t="s">
        <v>228</v>
      </c>
      <c r="CT449" s="0" t="s">
        <v>3568</v>
      </c>
      <c r="CU449" s="0" t="s">
        <v>3569</v>
      </c>
      <c r="CV449" s="0" t="s">
        <v>418</v>
      </c>
      <c r="CW449" s="0" t="s">
        <v>3622</v>
      </c>
      <c r="CX449" s="0" t="s">
        <v>419</v>
      </c>
      <c r="CY449" s="0" t="s">
        <v>418</v>
      </c>
      <c r="CZ449" s="0" t="s">
        <v>3623</v>
      </c>
      <c r="DA449" s="0" t="s">
        <v>3624</v>
      </c>
      <c r="DB449" s="0" t="s">
        <v>3622</v>
      </c>
      <c r="DC449" s="0" t="s">
        <v>362</v>
      </c>
      <c r="DD449" s="0" t="s">
        <v>3572</v>
      </c>
      <c r="DE449" s="0" t="s">
        <v>4810</v>
      </c>
    </row>
    <row customHeight="1" ht="11.25">
      <c r="A450" s="1353" t="s">
        <v>228</v>
      </c>
      <c r="B450" s="0" t="s">
        <v>228</v>
      </c>
      <c r="C450" s="0" t="s">
        <v>228</v>
      </c>
      <c r="D450" s="0" t="s">
        <v>228</v>
      </c>
      <c r="E450" s="0" t="s">
        <v>228</v>
      </c>
      <c r="F450" s="0" t="s">
        <v>228</v>
      </c>
      <c r="G450" s="0" t="s">
        <v>228</v>
      </c>
      <c r="H450" s="0" t="s">
        <v>228</v>
      </c>
      <c r="I450" s="0" t="s">
        <v>3555</v>
      </c>
      <c r="J450" s="0" t="s">
        <v>228</v>
      </c>
      <c r="K450" s="0" t="s">
        <v>228</v>
      </c>
      <c r="L450" s="0" t="s">
        <v>228</v>
      </c>
      <c r="M450" s="0" t="s">
        <v>228</v>
      </c>
      <c r="N450" s="0" t="s">
        <v>228</v>
      </c>
      <c r="O450" s="0" t="s">
        <v>228</v>
      </c>
      <c r="P450" s="0" t="s">
        <v>228</v>
      </c>
      <c r="Q450" s="0" t="s">
        <v>228</v>
      </c>
      <c r="R450" s="0" t="s">
        <v>4102</v>
      </c>
      <c r="S450" s="0" t="s">
        <v>228</v>
      </c>
      <c r="T450" s="0" t="s">
        <v>228</v>
      </c>
      <c r="U450" s="0" t="s">
        <v>101</v>
      </c>
      <c r="V450" s="0" t="s">
        <v>228</v>
      </c>
      <c r="W450" s="0" t="s">
        <v>228</v>
      </c>
      <c r="X450" s="0" t="s">
        <v>3661</v>
      </c>
      <c r="Y450" s="0" t="s">
        <v>228</v>
      </c>
      <c r="Z450" s="0" t="s">
        <v>151</v>
      </c>
      <c r="AA450" s="0" t="s">
        <v>151</v>
      </c>
      <c r="AB450" s="0" t="s">
        <v>160</v>
      </c>
      <c r="AC450" s="0" t="s">
        <v>2317</v>
      </c>
      <c r="AD450" s="0" t="s">
        <v>2317</v>
      </c>
      <c r="AE450" s="0" t="s">
        <v>2318</v>
      </c>
      <c r="AF450" s="0" t="s">
        <v>3768</v>
      </c>
      <c r="AG450" s="0" t="s">
        <v>3769</v>
      </c>
      <c r="AH450" s="0" t="s">
        <v>3651</v>
      </c>
      <c r="AI450" s="0" t="s">
        <v>3651</v>
      </c>
      <c r="AJ450" s="0" t="s">
        <v>228</v>
      </c>
      <c r="AK450" s="0" t="s">
        <v>228</v>
      </c>
      <c r="AL450" s="0" t="s">
        <v>228</v>
      </c>
      <c r="AM450" s="0" t="s">
        <v>228</v>
      </c>
      <c r="AN450" s="0" t="s">
        <v>228</v>
      </c>
      <c r="AO450" s="0" t="s">
        <v>228</v>
      </c>
      <c r="AP450" s="0" t="s">
        <v>228</v>
      </c>
      <c r="AQ450" s="0" t="s">
        <v>228</v>
      </c>
      <c r="AR450" s="0" t="s">
        <v>228</v>
      </c>
      <c r="AS450" s="0" t="s">
        <v>228</v>
      </c>
      <c r="AT450" s="0" t="s">
        <v>228</v>
      </c>
      <c r="AU450" s="0" t="s">
        <v>228</v>
      </c>
      <c r="AV450" s="0" t="s">
        <v>228</v>
      </c>
      <c r="AW450" s="0" t="s">
        <v>228</v>
      </c>
      <c r="AX450" s="0" t="s">
        <v>228</v>
      </c>
      <c r="AY450" s="0" t="s">
        <v>228</v>
      </c>
      <c r="AZ450" s="0" t="s">
        <v>228</v>
      </c>
      <c r="BA450" s="0" t="s">
        <v>228</v>
      </c>
      <c r="BB450" s="0" t="s">
        <v>228</v>
      </c>
      <c r="BC450" s="0" t="s">
        <v>228</v>
      </c>
      <c r="BD450" s="0" t="s">
        <v>228</v>
      </c>
      <c r="BE450" s="0" t="s">
        <v>3652</v>
      </c>
      <c r="BF450" s="0" t="s">
        <v>3749</v>
      </c>
      <c r="BG450" s="0" t="s">
        <v>111</v>
      </c>
      <c r="BH450" s="0" t="s">
        <v>3665</v>
      </c>
      <c r="BI450" s="0" t="s">
        <v>122</v>
      </c>
      <c r="BJ450" s="0" t="s">
        <v>228</v>
      </c>
      <c r="BK450" s="0" t="s">
        <v>3684</v>
      </c>
      <c r="BL450" s="0" t="s">
        <v>2317</v>
      </c>
      <c r="BM450" s="0" t="s">
        <v>2317</v>
      </c>
      <c r="BN450" s="0" t="s">
        <v>3740</v>
      </c>
      <c r="BO450" s="0" t="s">
        <v>3768</v>
      </c>
      <c r="BP450" s="0" t="s">
        <v>4103</v>
      </c>
      <c r="BQ450" s="0" t="s">
        <v>3651</v>
      </c>
      <c r="BR450" s="0" t="s">
        <v>3651</v>
      </c>
      <c r="BS450" s="0" t="s">
        <v>228</v>
      </c>
      <c r="BT450" s="0" t="s">
        <v>3727</v>
      </c>
      <c r="BU450" s="0" t="s">
        <v>4104</v>
      </c>
      <c r="BV450" s="0" t="s">
        <v>4104</v>
      </c>
      <c r="BW450" s="0" t="s">
        <v>3674</v>
      </c>
      <c r="BX450" s="0" t="s">
        <v>3674</v>
      </c>
      <c r="BY450" s="0" t="s">
        <v>3674</v>
      </c>
      <c r="BZ450" s="0" t="s">
        <v>3674</v>
      </c>
      <c r="CA450" s="0" t="s">
        <v>3674</v>
      </c>
      <c r="CB450" s="0" t="s">
        <v>228</v>
      </c>
      <c r="CC450" s="0" t="s">
        <v>228</v>
      </c>
      <c r="CD450" s="0" t="s">
        <v>228</v>
      </c>
      <c r="CE450" s="0" t="s">
        <v>228</v>
      </c>
      <c r="CF450" s="0" t="s">
        <v>228</v>
      </c>
      <c r="CG450" s="0" t="s">
        <v>3674</v>
      </c>
      <c r="CH450" s="0" t="s">
        <v>228</v>
      </c>
      <c r="CI450" s="0" t="s">
        <v>228</v>
      </c>
      <c r="CJ450" s="0" t="s">
        <v>228</v>
      </c>
      <c r="CK450" s="0" t="s">
        <v>228</v>
      </c>
      <c r="CL450" s="0" t="s">
        <v>228</v>
      </c>
      <c r="CM450" s="0" t="s">
        <v>4104</v>
      </c>
      <c r="CN450" s="0" t="s">
        <v>4104</v>
      </c>
      <c r="CO450" s="0" t="s">
        <v>228</v>
      </c>
      <c r="CP450" s="0" t="s">
        <v>228</v>
      </c>
      <c r="CQ450" s="0" t="s">
        <v>228</v>
      </c>
      <c r="CR450" s="0" t="s">
        <v>228</v>
      </c>
      <c r="CS450" s="0" t="s">
        <v>3743</v>
      </c>
      <c r="CT450" s="0" t="s">
        <v>3568</v>
      </c>
      <c r="CU450" s="0" t="s">
        <v>3569</v>
      </c>
      <c r="CV450" s="0" t="s">
        <v>418</v>
      </c>
      <c r="CW450" s="0" t="s">
        <v>3622</v>
      </c>
      <c r="CX450" s="0" t="s">
        <v>419</v>
      </c>
      <c r="CY450" s="0" t="s">
        <v>418</v>
      </c>
      <c r="CZ450" s="0" t="s">
        <v>3623</v>
      </c>
      <c r="DA450" s="0" t="s">
        <v>3624</v>
      </c>
      <c r="DB450" s="0" t="s">
        <v>3622</v>
      </c>
      <c r="DC450" s="0" t="s">
        <v>362</v>
      </c>
      <c r="DD450" s="0" t="s">
        <v>3572</v>
      </c>
      <c r="DE450" s="0" t="s">
        <v>4105</v>
      </c>
    </row>
    <row customHeight="1" ht="11.25">
      <c r="A451" s="1353" t="s">
        <v>228</v>
      </c>
      <c r="B451" s="0" t="s">
        <v>228</v>
      </c>
      <c r="C451" s="0" t="s">
        <v>228</v>
      </c>
      <c r="D451" s="0" t="s">
        <v>228</v>
      </c>
      <c r="E451" s="0" t="s">
        <v>228</v>
      </c>
      <c r="F451" s="0" t="s">
        <v>228</v>
      </c>
      <c r="G451" s="0" t="s">
        <v>228</v>
      </c>
      <c r="H451" s="0" t="s">
        <v>228</v>
      </c>
      <c r="I451" s="0" t="s">
        <v>3555</v>
      </c>
      <c r="J451" s="0" t="s">
        <v>228</v>
      </c>
      <c r="K451" s="0" t="s">
        <v>228</v>
      </c>
      <c r="L451" s="0" t="s">
        <v>228</v>
      </c>
      <c r="M451" s="0" t="s">
        <v>228</v>
      </c>
      <c r="N451" s="0" t="s">
        <v>228</v>
      </c>
      <c r="O451" s="0" t="s">
        <v>228</v>
      </c>
      <c r="P451" s="0" t="s">
        <v>228</v>
      </c>
      <c r="Q451" s="0" t="s">
        <v>228</v>
      </c>
      <c r="R451" s="0" t="s">
        <v>3648</v>
      </c>
      <c r="S451" s="0" t="s">
        <v>228</v>
      </c>
      <c r="T451" s="0" t="s">
        <v>228</v>
      </c>
      <c r="U451" s="0" t="s">
        <v>101</v>
      </c>
      <c r="V451" s="0" t="s">
        <v>228</v>
      </c>
      <c r="W451" s="0" t="s">
        <v>228</v>
      </c>
      <c r="X451" s="0" t="s">
        <v>3557</v>
      </c>
      <c r="Y451" s="0" t="s">
        <v>228</v>
      </c>
      <c r="Z451" s="0" t="s">
        <v>160</v>
      </c>
      <c r="AA451" s="0" t="s">
        <v>151</v>
      </c>
      <c r="AB451" s="0" t="s">
        <v>151</v>
      </c>
      <c r="AC451" s="0" t="s">
        <v>2315</v>
      </c>
      <c r="AD451" s="0" t="s">
        <v>2315</v>
      </c>
      <c r="AE451" s="0" t="s">
        <v>2316</v>
      </c>
      <c r="AF451" s="0" t="s">
        <v>4109</v>
      </c>
      <c r="AG451" s="0" t="s">
        <v>4110</v>
      </c>
      <c r="AH451" s="0" t="s">
        <v>3651</v>
      </c>
      <c r="AI451" s="0" t="s">
        <v>3651</v>
      </c>
      <c r="AJ451" s="0" t="s">
        <v>3652</v>
      </c>
      <c r="AK451" s="0" t="s">
        <v>4111</v>
      </c>
      <c r="AL451" s="0" t="s">
        <v>3581</v>
      </c>
      <c r="AM451" s="0" t="s">
        <v>3565</v>
      </c>
      <c r="AN451" s="0" t="s">
        <v>3654</v>
      </c>
      <c r="AO451" s="0" t="s">
        <v>3701</v>
      </c>
      <c r="AP451" s="0" t="s">
        <v>228</v>
      </c>
      <c r="AQ451" s="0" t="s">
        <v>228</v>
      </c>
      <c r="AR451" s="0" t="s">
        <v>228</v>
      </c>
      <c r="AS451" s="0" t="s">
        <v>228</v>
      </c>
      <c r="AT451" s="0" t="s">
        <v>228</v>
      </c>
      <c r="AU451" s="0" t="s">
        <v>228</v>
      </c>
      <c r="AV451" s="0" t="s">
        <v>228</v>
      </c>
      <c r="AW451" s="0" t="s">
        <v>228</v>
      </c>
      <c r="AX451" s="0" t="s">
        <v>228</v>
      </c>
      <c r="AY451" s="0" t="s">
        <v>228</v>
      </c>
      <c r="AZ451" s="0" t="s">
        <v>228</v>
      </c>
      <c r="BA451" s="0" t="s">
        <v>228</v>
      </c>
      <c r="BB451" s="0" t="s">
        <v>228</v>
      </c>
      <c r="BC451" s="0" t="s">
        <v>228</v>
      </c>
      <c r="BD451" s="0" t="s">
        <v>228</v>
      </c>
      <c r="BE451" s="0" t="s">
        <v>228</v>
      </c>
      <c r="BF451" s="0" t="s">
        <v>228</v>
      </c>
      <c r="BG451" s="0" t="s">
        <v>228</v>
      </c>
      <c r="BH451" s="0" t="s">
        <v>228</v>
      </c>
      <c r="BI451" s="0" t="s">
        <v>228</v>
      </c>
      <c r="BJ451" s="0" t="s">
        <v>228</v>
      </c>
      <c r="BK451" s="0" t="s">
        <v>228</v>
      </c>
      <c r="BL451" s="0" t="s">
        <v>228</v>
      </c>
      <c r="BM451" s="0" t="s">
        <v>228</v>
      </c>
      <c r="BN451" s="0" t="s">
        <v>228</v>
      </c>
      <c r="BO451" s="0" t="s">
        <v>228</v>
      </c>
      <c r="BP451" s="0" t="s">
        <v>228</v>
      </c>
      <c r="BQ451" s="0" t="s">
        <v>228</v>
      </c>
      <c r="BR451" s="0" t="s">
        <v>228</v>
      </c>
      <c r="BS451" s="0" t="s">
        <v>228</v>
      </c>
      <c r="BT451" s="0" t="s">
        <v>228</v>
      </c>
      <c r="BU451" s="0" t="s">
        <v>228</v>
      </c>
      <c r="BV451" s="0" t="s">
        <v>228</v>
      </c>
      <c r="BW451" s="0" t="s">
        <v>228</v>
      </c>
      <c r="BX451" s="0" t="s">
        <v>228</v>
      </c>
      <c r="BY451" s="0" t="s">
        <v>228</v>
      </c>
      <c r="BZ451" s="0" t="s">
        <v>228</v>
      </c>
      <c r="CA451" s="0" t="s">
        <v>228</v>
      </c>
      <c r="CB451" s="0" t="s">
        <v>228</v>
      </c>
      <c r="CC451" s="0" t="s">
        <v>228</v>
      </c>
      <c r="CD451" s="0" t="s">
        <v>228</v>
      </c>
      <c r="CE451" s="0" t="s">
        <v>228</v>
      </c>
      <c r="CF451" s="0" t="s">
        <v>228</v>
      </c>
      <c r="CG451" s="0" t="s">
        <v>228</v>
      </c>
      <c r="CH451" s="0" t="s">
        <v>228</v>
      </c>
      <c r="CI451" s="0" t="s">
        <v>228</v>
      </c>
      <c r="CJ451" s="0" t="s">
        <v>228</v>
      </c>
      <c r="CK451" s="0" t="s">
        <v>228</v>
      </c>
      <c r="CL451" s="0" t="s">
        <v>228</v>
      </c>
      <c r="CM451" s="0" t="s">
        <v>228</v>
      </c>
      <c r="CN451" s="0" t="s">
        <v>228</v>
      </c>
      <c r="CO451" s="0" t="s">
        <v>228</v>
      </c>
      <c r="CP451" s="0" t="s">
        <v>228</v>
      </c>
      <c r="CQ451" s="0" t="s">
        <v>228</v>
      </c>
      <c r="CR451" s="0" t="s">
        <v>228</v>
      </c>
      <c r="CS451" s="0" t="s">
        <v>228</v>
      </c>
      <c r="CT451" s="0" t="s">
        <v>3568</v>
      </c>
      <c r="CU451" s="0" t="s">
        <v>3569</v>
      </c>
      <c r="CV451" s="0" t="s">
        <v>418</v>
      </c>
      <c r="CW451" s="0" t="s">
        <v>3656</v>
      </c>
      <c r="CX451" s="0" t="s">
        <v>419</v>
      </c>
      <c r="CY451" s="0" t="s">
        <v>418</v>
      </c>
      <c r="CZ451" s="0" t="s">
        <v>3657</v>
      </c>
      <c r="DA451" s="0" t="s">
        <v>3658</v>
      </c>
      <c r="DB451" s="0" t="s">
        <v>3656</v>
      </c>
      <c r="DC451" s="0" t="s">
        <v>362</v>
      </c>
      <c r="DD451" s="0" t="s">
        <v>3572</v>
      </c>
      <c r="DE451" s="0" t="s">
        <v>4112</v>
      </c>
    </row>
    <row customHeight="1" ht="11.25">
      <c r="A452" s="1353" t="s">
        <v>228</v>
      </c>
      <c r="B452" s="0" t="s">
        <v>228</v>
      </c>
      <c r="C452" s="0" t="s">
        <v>228</v>
      </c>
      <c r="D452" s="0" t="s">
        <v>228</v>
      </c>
      <c r="E452" s="0" t="s">
        <v>228</v>
      </c>
      <c r="F452" s="0" t="s">
        <v>228</v>
      </c>
      <c r="G452" s="0" t="s">
        <v>228</v>
      </c>
      <c r="H452" s="0" t="s">
        <v>228</v>
      </c>
      <c r="I452" s="0" t="s">
        <v>3555</v>
      </c>
      <c r="J452" s="0" t="s">
        <v>228</v>
      </c>
      <c r="K452" s="0" t="s">
        <v>228</v>
      </c>
      <c r="L452" s="0" t="s">
        <v>228</v>
      </c>
      <c r="M452" s="0" t="s">
        <v>228</v>
      </c>
      <c r="N452" s="0" t="s">
        <v>228</v>
      </c>
      <c r="O452" s="0" t="s">
        <v>228</v>
      </c>
      <c r="P452" s="0" t="s">
        <v>228</v>
      </c>
      <c r="Q452" s="0" t="s">
        <v>228</v>
      </c>
      <c r="R452" s="0" t="s">
        <v>4373</v>
      </c>
      <c r="S452" s="0" t="s">
        <v>228</v>
      </c>
      <c r="T452" s="0" t="s">
        <v>228</v>
      </c>
      <c r="U452" s="0" t="s">
        <v>101</v>
      </c>
      <c r="V452" s="0" t="s">
        <v>228</v>
      </c>
      <c r="W452" s="0" t="s">
        <v>228</v>
      </c>
      <c r="X452" s="0" t="s">
        <v>3661</v>
      </c>
      <c r="Y452" s="0" t="s">
        <v>228</v>
      </c>
      <c r="Z452" s="0" t="s">
        <v>151</v>
      </c>
      <c r="AA452" s="0" t="s">
        <v>151</v>
      </c>
      <c r="AB452" s="0" t="s">
        <v>160</v>
      </c>
      <c r="AC452" s="0" t="s">
        <v>2315</v>
      </c>
      <c r="AD452" s="0" t="s">
        <v>2315</v>
      </c>
      <c r="AE452" s="0" t="s">
        <v>2316</v>
      </c>
      <c r="AF452" s="0" t="s">
        <v>4109</v>
      </c>
      <c r="AG452" s="0" t="s">
        <v>4110</v>
      </c>
      <c r="AH452" s="0" t="s">
        <v>3651</v>
      </c>
      <c r="AI452" s="0" t="s">
        <v>3651</v>
      </c>
      <c r="AJ452" s="0" t="s">
        <v>228</v>
      </c>
      <c r="AK452" s="0" t="s">
        <v>228</v>
      </c>
      <c r="AL452" s="0" t="s">
        <v>228</v>
      </c>
      <c r="AM452" s="0" t="s">
        <v>228</v>
      </c>
      <c r="AN452" s="0" t="s">
        <v>228</v>
      </c>
      <c r="AO452" s="0" t="s">
        <v>228</v>
      </c>
      <c r="AP452" s="0" t="s">
        <v>228</v>
      </c>
      <c r="AQ452" s="0" t="s">
        <v>228</v>
      </c>
      <c r="AR452" s="0" t="s">
        <v>228</v>
      </c>
      <c r="AS452" s="0" t="s">
        <v>228</v>
      </c>
      <c r="AT452" s="0" t="s">
        <v>228</v>
      </c>
      <c r="AU452" s="0" t="s">
        <v>228</v>
      </c>
      <c r="AV452" s="0" t="s">
        <v>228</v>
      </c>
      <c r="AW452" s="0" t="s">
        <v>228</v>
      </c>
      <c r="AX452" s="0" t="s">
        <v>228</v>
      </c>
      <c r="AY452" s="0" t="s">
        <v>228</v>
      </c>
      <c r="AZ452" s="0" t="s">
        <v>228</v>
      </c>
      <c r="BA452" s="0" t="s">
        <v>228</v>
      </c>
      <c r="BB452" s="0" t="s">
        <v>228</v>
      </c>
      <c r="BC452" s="0" t="s">
        <v>228</v>
      </c>
      <c r="BD452" s="0" t="s">
        <v>228</v>
      </c>
      <c r="BE452" s="0" t="s">
        <v>3652</v>
      </c>
      <c r="BF452" s="0" t="s">
        <v>4111</v>
      </c>
      <c r="BG452" s="0" t="s">
        <v>111</v>
      </c>
      <c r="BH452" s="0" t="s">
        <v>3665</v>
      </c>
      <c r="BI452" s="0" t="s">
        <v>122</v>
      </c>
      <c r="BJ452" s="0" t="s">
        <v>228</v>
      </c>
      <c r="BK452" s="0" t="s">
        <v>3684</v>
      </c>
      <c r="BL452" s="0" t="s">
        <v>2315</v>
      </c>
      <c r="BM452" s="0" t="s">
        <v>2315</v>
      </c>
      <c r="BN452" s="0" t="s">
        <v>3875</v>
      </c>
      <c r="BO452" s="0" t="s">
        <v>4109</v>
      </c>
      <c r="BP452" s="0" t="s">
        <v>4374</v>
      </c>
      <c r="BQ452" s="0" t="s">
        <v>3651</v>
      </c>
      <c r="BR452" s="0" t="s">
        <v>3651</v>
      </c>
      <c r="BS452" s="0" t="s">
        <v>228</v>
      </c>
      <c r="BT452" s="0" t="s">
        <v>3727</v>
      </c>
      <c r="BU452" s="0" t="s">
        <v>4375</v>
      </c>
      <c r="BV452" s="0" t="s">
        <v>4375</v>
      </c>
      <c r="BW452" s="0" t="s">
        <v>3674</v>
      </c>
      <c r="BX452" s="0" t="s">
        <v>3674</v>
      </c>
      <c r="BY452" s="0" t="s">
        <v>3674</v>
      </c>
      <c r="BZ452" s="0" t="s">
        <v>3674</v>
      </c>
      <c r="CA452" s="0" t="s">
        <v>3674</v>
      </c>
      <c r="CB452" s="0" t="s">
        <v>228</v>
      </c>
      <c r="CC452" s="0" t="s">
        <v>228</v>
      </c>
      <c r="CD452" s="0" t="s">
        <v>228</v>
      </c>
      <c r="CE452" s="0" t="s">
        <v>228</v>
      </c>
      <c r="CF452" s="0" t="s">
        <v>228</v>
      </c>
      <c r="CG452" s="0" t="s">
        <v>3674</v>
      </c>
      <c r="CH452" s="0" t="s">
        <v>228</v>
      </c>
      <c r="CI452" s="0" t="s">
        <v>228</v>
      </c>
      <c r="CJ452" s="0" t="s">
        <v>228</v>
      </c>
      <c r="CK452" s="0" t="s">
        <v>228</v>
      </c>
      <c r="CL452" s="0" t="s">
        <v>228</v>
      </c>
      <c r="CM452" s="0" t="s">
        <v>4375</v>
      </c>
      <c r="CN452" s="0" t="s">
        <v>4375</v>
      </c>
      <c r="CO452" s="0" t="s">
        <v>228</v>
      </c>
      <c r="CP452" s="0" t="s">
        <v>228</v>
      </c>
      <c r="CQ452" s="0" t="s">
        <v>228</v>
      </c>
      <c r="CR452" s="0" t="s">
        <v>228</v>
      </c>
      <c r="CS452" s="0" t="s">
        <v>3628</v>
      </c>
      <c r="CT452" s="0" t="s">
        <v>3568</v>
      </c>
      <c r="CU452" s="0" t="s">
        <v>3569</v>
      </c>
      <c r="CV452" s="0" t="s">
        <v>418</v>
      </c>
      <c r="CW452" s="0" t="s">
        <v>3656</v>
      </c>
      <c r="CX452" s="0" t="s">
        <v>419</v>
      </c>
      <c r="CY452" s="0" t="s">
        <v>418</v>
      </c>
      <c r="CZ452" s="0" t="s">
        <v>3657</v>
      </c>
      <c r="DA452" s="0" t="s">
        <v>3658</v>
      </c>
      <c r="DB452" s="0" t="s">
        <v>3656</v>
      </c>
      <c r="DC452" s="0" t="s">
        <v>362</v>
      </c>
      <c r="DD452" s="0" t="s">
        <v>3572</v>
      </c>
      <c r="DE452" s="0" t="s">
        <v>4112</v>
      </c>
    </row>
    <row customHeight="1" ht="11.25">
      <c r="A453" s="1353" t="s">
        <v>228</v>
      </c>
      <c r="B453" s="0" t="s">
        <v>228</v>
      </c>
      <c r="C453" s="0" t="s">
        <v>228</v>
      </c>
      <c r="D453" s="0" t="s">
        <v>228</v>
      </c>
      <c r="E453" s="0" t="s">
        <v>228</v>
      </c>
      <c r="F453" s="0" t="s">
        <v>228</v>
      </c>
      <c r="G453" s="0" t="s">
        <v>228</v>
      </c>
      <c r="H453" s="0" t="s">
        <v>228</v>
      </c>
      <c r="I453" s="0" t="s">
        <v>3555</v>
      </c>
      <c r="J453" s="0" t="s">
        <v>228</v>
      </c>
      <c r="K453" s="0" t="s">
        <v>228</v>
      </c>
      <c r="L453" s="0" t="s">
        <v>228</v>
      </c>
      <c r="M453" s="0" t="s">
        <v>228</v>
      </c>
      <c r="N453" s="0" t="s">
        <v>228</v>
      </c>
      <c r="O453" s="0" t="s">
        <v>228</v>
      </c>
      <c r="P453" s="0" t="s">
        <v>228</v>
      </c>
      <c r="Q453" s="0" t="s">
        <v>228</v>
      </c>
      <c r="R453" s="0" t="s">
        <v>5082</v>
      </c>
      <c r="S453" s="0" t="s">
        <v>228</v>
      </c>
      <c r="T453" s="0" t="s">
        <v>228</v>
      </c>
      <c r="U453" s="0" t="s">
        <v>101</v>
      </c>
      <c r="V453" s="0" t="s">
        <v>228</v>
      </c>
      <c r="W453" s="0" t="s">
        <v>228</v>
      </c>
      <c r="X453" s="0" t="s">
        <v>3557</v>
      </c>
      <c r="Y453" s="0" t="s">
        <v>228</v>
      </c>
      <c r="Z453" s="0" t="s">
        <v>160</v>
      </c>
      <c r="AA453" s="0" t="s">
        <v>151</v>
      </c>
      <c r="AB453" s="0" t="s">
        <v>151</v>
      </c>
      <c r="AC453" s="0" t="s">
        <v>2715</v>
      </c>
      <c r="AD453" s="0" t="s">
        <v>2715</v>
      </c>
      <c r="AE453" s="0" t="s">
        <v>2716</v>
      </c>
      <c r="AF453" s="0" t="s">
        <v>3594</v>
      </c>
      <c r="AG453" s="0" t="s">
        <v>3595</v>
      </c>
      <c r="AH453" s="0" t="s">
        <v>3634</v>
      </c>
      <c r="AI453" s="0" t="s">
        <v>3635</v>
      </c>
      <c r="AJ453" s="0" t="s">
        <v>3636</v>
      </c>
      <c r="AK453" s="0" t="s">
        <v>3637</v>
      </c>
      <c r="AL453" s="0" t="s">
        <v>3599</v>
      </c>
      <c r="AM453" s="0" t="s">
        <v>3565</v>
      </c>
      <c r="AN453" s="0" t="s">
        <v>3638</v>
      </c>
      <c r="AO453" s="0" t="s">
        <v>3639</v>
      </c>
      <c r="AP453" s="0" t="s">
        <v>228</v>
      </c>
      <c r="AQ453" s="0" t="s">
        <v>228</v>
      </c>
      <c r="AR453" s="0" t="s">
        <v>228</v>
      </c>
      <c r="AS453" s="0" t="s">
        <v>228</v>
      </c>
      <c r="AT453" s="0" t="s">
        <v>228</v>
      </c>
      <c r="AU453" s="0" t="s">
        <v>228</v>
      </c>
      <c r="AV453" s="0" t="s">
        <v>228</v>
      </c>
      <c r="AW453" s="0" t="s">
        <v>228</v>
      </c>
      <c r="AX453" s="0" t="s">
        <v>228</v>
      </c>
      <c r="AY453" s="0" t="s">
        <v>228</v>
      </c>
      <c r="AZ453" s="0" t="s">
        <v>228</v>
      </c>
      <c r="BA453" s="0" t="s">
        <v>228</v>
      </c>
      <c r="BB453" s="0" t="s">
        <v>228</v>
      </c>
      <c r="BC453" s="0" t="s">
        <v>228</v>
      </c>
      <c r="BD453" s="0" t="s">
        <v>228</v>
      </c>
      <c r="BE453" s="0" t="s">
        <v>228</v>
      </c>
      <c r="BF453" s="0" t="s">
        <v>228</v>
      </c>
      <c r="BG453" s="0" t="s">
        <v>228</v>
      </c>
      <c r="BH453" s="0" t="s">
        <v>228</v>
      </c>
      <c r="BI453" s="0" t="s">
        <v>228</v>
      </c>
      <c r="BJ453" s="0" t="s">
        <v>228</v>
      </c>
      <c r="BK453" s="0" t="s">
        <v>228</v>
      </c>
      <c r="BL453" s="0" t="s">
        <v>228</v>
      </c>
      <c r="BM453" s="0" t="s">
        <v>228</v>
      </c>
      <c r="BN453" s="0" t="s">
        <v>228</v>
      </c>
      <c r="BO453" s="0" t="s">
        <v>228</v>
      </c>
      <c r="BP453" s="0" t="s">
        <v>228</v>
      </c>
      <c r="BQ453" s="0" t="s">
        <v>228</v>
      </c>
      <c r="BR453" s="0" t="s">
        <v>228</v>
      </c>
      <c r="BS453" s="0" t="s">
        <v>228</v>
      </c>
      <c r="BT453" s="0" t="s">
        <v>228</v>
      </c>
      <c r="BU453" s="0" t="s">
        <v>228</v>
      </c>
      <c r="BV453" s="0" t="s">
        <v>228</v>
      </c>
      <c r="BW453" s="0" t="s">
        <v>228</v>
      </c>
      <c r="BX453" s="0" t="s">
        <v>228</v>
      </c>
      <c r="BY453" s="0" t="s">
        <v>228</v>
      </c>
      <c r="BZ453" s="0" t="s">
        <v>228</v>
      </c>
      <c r="CA453" s="0" t="s">
        <v>228</v>
      </c>
      <c r="CB453" s="0" t="s">
        <v>228</v>
      </c>
      <c r="CC453" s="0" t="s">
        <v>228</v>
      </c>
      <c r="CD453" s="0" t="s">
        <v>228</v>
      </c>
      <c r="CE453" s="0" t="s">
        <v>228</v>
      </c>
      <c r="CF453" s="0" t="s">
        <v>228</v>
      </c>
      <c r="CG453" s="0" t="s">
        <v>228</v>
      </c>
      <c r="CH453" s="0" t="s">
        <v>228</v>
      </c>
      <c r="CI453" s="0" t="s">
        <v>228</v>
      </c>
      <c r="CJ453" s="0" t="s">
        <v>228</v>
      </c>
      <c r="CK453" s="0" t="s">
        <v>228</v>
      </c>
      <c r="CL453" s="0" t="s">
        <v>228</v>
      </c>
      <c r="CM453" s="0" t="s">
        <v>228</v>
      </c>
      <c r="CN453" s="0" t="s">
        <v>228</v>
      </c>
      <c r="CO453" s="0" t="s">
        <v>228</v>
      </c>
      <c r="CP453" s="0" t="s">
        <v>228</v>
      </c>
      <c r="CQ453" s="0" t="s">
        <v>228</v>
      </c>
      <c r="CR453" s="0" t="s">
        <v>228</v>
      </c>
      <c r="CS453" s="0" t="s">
        <v>228</v>
      </c>
      <c r="CT453" s="0" t="s">
        <v>3568</v>
      </c>
      <c r="CU453" s="0" t="s">
        <v>3569</v>
      </c>
      <c r="CV453" s="0" t="s">
        <v>418</v>
      </c>
      <c r="CW453" s="0" t="s">
        <v>3602</v>
      </c>
      <c r="CX453" s="0" t="s">
        <v>3603</v>
      </c>
      <c r="CY453" s="0" t="s">
        <v>418</v>
      </c>
      <c r="CZ453" s="0" t="s">
        <v>504</v>
      </c>
      <c r="DA453" s="0" t="s">
        <v>3604</v>
      </c>
      <c r="DB453" s="0" t="s">
        <v>3602</v>
      </c>
      <c r="DC453" s="0" t="s">
        <v>362</v>
      </c>
      <c r="DD453" s="0" t="s">
        <v>3572</v>
      </c>
      <c r="DE453" s="0" t="s">
        <v>3640</v>
      </c>
    </row>
    <row customHeight="1" ht="11.25">
      <c r="A454" s="1353" t="s">
        <v>228</v>
      </c>
      <c r="B454" s="0" t="s">
        <v>228</v>
      </c>
      <c r="C454" s="0" t="s">
        <v>228</v>
      </c>
      <c r="D454" s="0" t="s">
        <v>228</v>
      </c>
      <c r="E454" s="0" t="s">
        <v>228</v>
      </c>
      <c r="F454" s="0" t="s">
        <v>228</v>
      </c>
      <c r="G454" s="0" t="s">
        <v>228</v>
      </c>
      <c r="H454" s="0" t="s">
        <v>228</v>
      </c>
      <c r="I454" s="0" t="s">
        <v>3555</v>
      </c>
      <c r="J454" s="0" t="s">
        <v>228</v>
      </c>
      <c r="K454" s="0" t="s">
        <v>228</v>
      </c>
      <c r="L454" s="0" t="s">
        <v>228</v>
      </c>
      <c r="M454" s="0" t="s">
        <v>228</v>
      </c>
      <c r="N454" s="0" t="s">
        <v>228</v>
      </c>
      <c r="O454" s="0" t="s">
        <v>228</v>
      </c>
      <c r="P454" s="0" t="s">
        <v>228</v>
      </c>
      <c r="Q454" s="0" t="s">
        <v>228</v>
      </c>
      <c r="R454" s="0" t="s">
        <v>3684</v>
      </c>
      <c r="S454" s="0" t="s">
        <v>228</v>
      </c>
      <c r="T454" s="0" t="s">
        <v>228</v>
      </c>
      <c r="U454" s="0" t="s">
        <v>101</v>
      </c>
      <c r="V454" s="0" t="s">
        <v>228</v>
      </c>
      <c r="W454" s="0" t="s">
        <v>228</v>
      </c>
      <c r="X454" s="0" t="s">
        <v>3557</v>
      </c>
      <c r="Y454" s="0" t="s">
        <v>228</v>
      </c>
      <c r="Z454" s="0" t="s">
        <v>160</v>
      </c>
      <c r="AA454" s="0" t="s">
        <v>151</v>
      </c>
      <c r="AB454" s="0" t="s">
        <v>151</v>
      </c>
      <c r="AC454" s="0" t="s">
        <v>2311</v>
      </c>
      <c r="AD454" s="0" t="s">
        <v>2311</v>
      </c>
      <c r="AE454" s="0" t="s">
        <v>2312</v>
      </c>
      <c r="AF454" s="0" t="s">
        <v>4520</v>
      </c>
      <c r="AG454" s="0" t="s">
        <v>4521</v>
      </c>
      <c r="AH454" s="0" t="s">
        <v>4729</v>
      </c>
      <c r="AI454" s="0" t="s">
        <v>4730</v>
      </c>
      <c r="AJ454" s="0" t="s">
        <v>3579</v>
      </c>
      <c r="AK454" s="0" t="s">
        <v>3580</v>
      </c>
      <c r="AL454" s="0" t="s">
        <v>3581</v>
      </c>
      <c r="AM454" s="0" t="s">
        <v>3565</v>
      </c>
      <c r="AN454" s="0" t="s">
        <v>3582</v>
      </c>
      <c r="AO454" s="0" t="s">
        <v>3712</v>
      </c>
      <c r="AP454" s="0" t="s">
        <v>228</v>
      </c>
      <c r="AQ454" s="0" t="s">
        <v>228</v>
      </c>
      <c r="AR454" s="0" t="s">
        <v>228</v>
      </c>
      <c r="AS454" s="0" t="s">
        <v>228</v>
      </c>
      <c r="AT454" s="0" t="s">
        <v>228</v>
      </c>
      <c r="AU454" s="0" t="s">
        <v>228</v>
      </c>
      <c r="AV454" s="0" t="s">
        <v>228</v>
      </c>
      <c r="AW454" s="0" t="s">
        <v>228</v>
      </c>
      <c r="AX454" s="0" t="s">
        <v>228</v>
      </c>
      <c r="AY454" s="0" t="s">
        <v>228</v>
      </c>
      <c r="AZ454" s="0" t="s">
        <v>228</v>
      </c>
      <c r="BA454" s="0" t="s">
        <v>228</v>
      </c>
      <c r="BB454" s="0" t="s">
        <v>228</v>
      </c>
      <c r="BC454" s="0" t="s">
        <v>228</v>
      </c>
      <c r="BD454" s="0" t="s">
        <v>228</v>
      </c>
      <c r="BE454" s="0" t="s">
        <v>228</v>
      </c>
      <c r="BF454" s="0" t="s">
        <v>228</v>
      </c>
      <c r="BG454" s="0" t="s">
        <v>228</v>
      </c>
      <c r="BH454" s="0" t="s">
        <v>228</v>
      </c>
      <c r="BI454" s="0" t="s">
        <v>228</v>
      </c>
      <c r="BJ454" s="0" t="s">
        <v>228</v>
      </c>
      <c r="BK454" s="0" t="s">
        <v>228</v>
      </c>
      <c r="BL454" s="0" t="s">
        <v>228</v>
      </c>
      <c r="BM454" s="0" t="s">
        <v>228</v>
      </c>
      <c r="BN454" s="0" t="s">
        <v>228</v>
      </c>
      <c r="BO454" s="0" t="s">
        <v>228</v>
      </c>
      <c r="BP454" s="0" t="s">
        <v>228</v>
      </c>
      <c r="BQ454" s="0" t="s">
        <v>228</v>
      </c>
      <c r="BR454" s="0" t="s">
        <v>228</v>
      </c>
      <c r="BS454" s="0" t="s">
        <v>228</v>
      </c>
      <c r="BT454" s="0" t="s">
        <v>228</v>
      </c>
      <c r="BU454" s="0" t="s">
        <v>228</v>
      </c>
      <c r="BV454" s="0" t="s">
        <v>228</v>
      </c>
      <c r="BW454" s="0" t="s">
        <v>228</v>
      </c>
      <c r="BX454" s="0" t="s">
        <v>228</v>
      </c>
      <c r="BY454" s="0" t="s">
        <v>228</v>
      </c>
      <c r="BZ454" s="0" t="s">
        <v>228</v>
      </c>
      <c r="CA454" s="0" t="s">
        <v>228</v>
      </c>
      <c r="CB454" s="0" t="s">
        <v>228</v>
      </c>
      <c r="CC454" s="0" t="s">
        <v>228</v>
      </c>
      <c r="CD454" s="0" t="s">
        <v>228</v>
      </c>
      <c r="CE454" s="0" t="s">
        <v>228</v>
      </c>
      <c r="CF454" s="0" t="s">
        <v>228</v>
      </c>
      <c r="CG454" s="0" t="s">
        <v>228</v>
      </c>
      <c r="CH454" s="0" t="s">
        <v>228</v>
      </c>
      <c r="CI454" s="0" t="s">
        <v>228</v>
      </c>
      <c r="CJ454" s="0" t="s">
        <v>228</v>
      </c>
      <c r="CK454" s="0" t="s">
        <v>228</v>
      </c>
      <c r="CL454" s="0" t="s">
        <v>228</v>
      </c>
      <c r="CM454" s="0" t="s">
        <v>228</v>
      </c>
      <c r="CN454" s="0" t="s">
        <v>228</v>
      </c>
      <c r="CO454" s="0" t="s">
        <v>228</v>
      </c>
      <c r="CP454" s="0" t="s">
        <v>228</v>
      </c>
      <c r="CQ454" s="0" t="s">
        <v>228</v>
      </c>
      <c r="CR454" s="0" t="s">
        <v>228</v>
      </c>
      <c r="CS454" s="0" t="s">
        <v>228</v>
      </c>
      <c r="CT454" s="0" t="s">
        <v>3568</v>
      </c>
      <c r="CU454" s="0" t="s">
        <v>3569</v>
      </c>
      <c r="CV454" s="0" t="s">
        <v>418</v>
      </c>
      <c r="CW454" s="0" t="s">
        <v>3584</v>
      </c>
      <c r="CX454" s="0" t="s">
        <v>419</v>
      </c>
      <c r="CY454" s="0" t="s">
        <v>418</v>
      </c>
      <c r="CZ454" s="0" t="s">
        <v>3585</v>
      </c>
      <c r="DA454" s="0" t="s">
        <v>3586</v>
      </c>
      <c r="DB454" s="0" t="s">
        <v>3584</v>
      </c>
      <c r="DC454" s="0" t="s">
        <v>362</v>
      </c>
      <c r="DD454" s="0" t="s">
        <v>3572</v>
      </c>
      <c r="DE454" s="0" t="s">
        <v>4731</v>
      </c>
    </row>
    <row customHeight="1" ht="11.25">
      <c r="A455" s="1353" t="s">
        <v>228</v>
      </c>
      <c r="B455" s="0" t="s">
        <v>228</v>
      </c>
      <c r="C455" s="0" t="s">
        <v>228</v>
      </c>
      <c r="D455" s="0" t="s">
        <v>228</v>
      </c>
      <c r="E455" s="0" t="s">
        <v>228</v>
      </c>
      <c r="F455" s="0" t="s">
        <v>228</v>
      </c>
      <c r="G455" s="0" t="s">
        <v>228</v>
      </c>
      <c r="H455" s="0" t="s">
        <v>228</v>
      </c>
      <c r="I455" s="0" t="s">
        <v>3555</v>
      </c>
      <c r="J455" s="0" t="s">
        <v>228</v>
      </c>
      <c r="K455" s="0" t="s">
        <v>228</v>
      </c>
      <c r="L455" s="0" t="s">
        <v>228</v>
      </c>
      <c r="M455" s="0" t="s">
        <v>228</v>
      </c>
      <c r="N455" s="0" t="s">
        <v>228</v>
      </c>
      <c r="O455" s="0" t="s">
        <v>228</v>
      </c>
      <c r="P455" s="0" t="s">
        <v>228</v>
      </c>
      <c r="Q455" s="0" t="s">
        <v>228</v>
      </c>
      <c r="R455" s="0" t="s">
        <v>3718</v>
      </c>
      <c r="S455" s="0" t="s">
        <v>228</v>
      </c>
      <c r="T455" s="0" t="s">
        <v>228</v>
      </c>
      <c r="U455" s="0" t="s">
        <v>101</v>
      </c>
      <c r="V455" s="0" t="s">
        <v>228</v>
      </c>
      <c r="W455" s="0" t="s">
        <v>228</v>
      </c>
      <c r="X455" s="0" t="s">
        <v>3661</v>
      </c>
      <c r="Y455" s="0" t="s">
        <v>228</v>
      </c>
      <c r="Z455" s="0" t="s">
        <v>151</v>
      </c>
      <c r="AA455" s="0" t="s">
        <v>151</v>
      </c>
      <c r="AB455" s="0" t="s">
        <v>160</v>
      </c>
      <c r="AC455" s="0" t="s">
        <v>2311</v>
      </c>
      <c r="AD455" s="0" t="s">
        <v>2311</v>
      </c>
      <c r="AE455" s="0" t="s">
        <v>2312</v>
      </c>
      <c r="AF455" s="0" t="s">
        <v>4567</v>
      </c>
      <c r="AG455" s="0" t="s">
        <v>4568</v>
      </c>
      <c r="AH455" s="0" t="s">
        <v>4567</v>
      </c>
      <c r="AI455" s="0" t="s">
        <v>3721</v>
      </c>
      <c r="AJ455" s="0" t="s">
        <v>228</v>
      </c>
      <c r="AK455" s="0" t="s">
        <v>228</v>
      </c>
      <c r="AL455" s="0" t="s">
        <v>228</v>
      </c>
      <c r="AM455" s="0" t="s">
        <v>228</v>
      </c>
      <c r="AN455" s="0" t="s">
        <v>228</v>
      </c>
      <c r="AO455" s="0" t="s">
        <v>228</v>
      </c>
      <c r="AP455" s="0" t="s">
        <v>228</v>
      </c>
      <c r="AQ455" s="0" t="s">
        <v>228</v>
      </c>
      <c r="AR455" s="0" t="s">
        <v>228</v>
      </c>
      <c r="AS455" s="0" t="s">
        <v>228</v>
      </c>
      <c r="AT455" s="0" t="s">
        <v>228</v>
      </c>
      <c r="AU455" s="0" t="s">
        <v>228</v>
      </c>
      <c r="AV455" s="0" t="s">
        <v>228</v>
      </c>
      <c r="AW455" s="0" t="s">
        <v>228</v>
      </c>
      <c r="AX455" s="0" t="s">
        <v>228</v>
      </c>
      <c r="AY455" s="0" t="s">
        <v>228</v>
      </c>
      <c r="AZ455" s="0" t="s">
        <v>228</v>
      </c>
      <c r="BA455" s="0" t="s">
        <v>228</v>
      </c>
      <c r="BB455" s="0" t="s">
        <v>228</v>
      </c>
      <c r="BC455" s="0" t="s">
        <v>228</v>
      </c>
      <c r="BD455" s="0" t="s">
        <v>228</v>
      </c>
      <c r="BE455" s="0" t="s">
        <v>3722</v>
      </c>
      <c r="BF455" s="0" t="s">
        <v>3722</v>
      </c>
      <c r="BG455" s="0" t="s">
        <v>111</v>
      </c>
      <c r="BH455" s="0" t="s">
        <v>3665</v>
      </c>
      <c r="BI455" s="0" t="s">
        <v>122</v>
      </c>
      <c r="BJ455" s="0" t="s">
        <v>228</v>
      </c>
      <c r="BK455" s="0" t="s">
        <v>3684</v>
      </c>
      <c r="BL455" s="0" t="s">
        <v>2311</v>
      </c>
      <c r="BM455" s="0" t="s">
        <v>2311</v>
      </c>
      <c r="BN455" s="0" t="s">
        <v>3723</v>
      </c>
      <c r="BO455" s="0" t="s">
        <v>4567</v>
      </c>
      <c r="BP455" s="0" t="s">
        <v>4569</v>
      </c>
      <c r="BQ455" s="0" t="s">
        <v>4567</v>
      </c>
      <c r="BR455" s="0" t="s">
        <v>3721</v>
      </c>
      <c r="BS455" s="0" t="s">
        <v>228</v>
      </c>
      <c r="BT455" s="0" t="s">
        <v>3727</v>
      </c>
      <c r="BU455" s="0" t="s">
        <v>4570</v>
      </c>
      <c r="BV455" s="0" t="s">
        <v>4570</v>
      </c>
      <c r="BW455" s="0" t="s">
        <v>3674</v>
      </c>
      <c r="BX455" s="0" t="s">
        <v>3674</v>
      </c>
      <c r="BY455" s="0" t="s">
        <v>3674</v>
      </c>
      <c r="BZ455" s="0" t="s">
        <v>3674</v>
      </c>
      <c r="CA455" s="0" t="s">
        <v>3674</v>
      </c>
      <c r="CB455" s="0" t="s">
        <v>228</v>
      </c>
      <c r="CC455" s="0" t="s">
        <v>228</v>
      </c>
      <c r="CD455" s="0" t="s">
        <v>228</v>
      </c>
      <c r="CE455" s="0" t="s">
        <v>228</v>
      </c>
      <c r="CF455" s="0" t="s">
        <v>228</v>
      </c>
      <c r="CG455" s="0" t="s">
        <v>3674</v>
      </c>
      <c r="CH455" s="0" t="s">
        <v>228</v>
      </c>
      <c r="CI455" s="0" t="s">
        <v>228</v>
      </c>
      <c r="CJ455" s="0" t="s">
        <v>228</v>
      </c>
      <c r="CK455" s="0" t="s">
        <v>228</v>
      </c>
      <c r="CL455" s="0" t="s">
        <v>228</v>
      </c>
      <c r="CM455" s="0" t="s">
        <v>4570</v>
      </c>
      <c r="CN455" s="0" t="s">
        <v>4570</v>
      </c>
      <c r="CO455" s="0" t="s">
        <v>228</v>
      </c>
      <c r="CP455" s="0" t="s">
        <v>228</v>
      </c>
      <c r="CQ455" s="0" t="s">
        <v>228</v>
      </c>
      <c r="CR455" s="0" t="s">
        <v>228</v>
      </c>
      <c r="CS455" s="0" t="s">
        <v>3582</v>
      </c>
      <c r="CT455" s="0" t="s">
        <v>3568</v>
      </c>
      <c r="CU455" s="0" t="s">
        <v>3569</v>
      </c>
      <c r="CV455" s="0" t="s">
        <v>418</v>
      </c>
      <c r="CW455" s="0" t="s">
        <v>3584</v>
      </c>
      <c r="CX455" s="0" t="s">
        <v>419</v>
      </c>
      <c r="CY455" s="0" t="s">
        <v>418</v>
      </c>
      <c r="CZ455" s="0" t="s">
        <v>3585</v>
      </c>
      <c r="DA455" s="0" t="s">
        <v>3586</v>
      </c>
      <c r="DB455" s="0" t="s">
        <v>3584</v>
      </c>
      <c r="DC455" s="0" t="s">
        <v>362</v>
      </c>
      <c r="DD455" s="0" t="s">
        <v>3572</v>
      </c>
      <c r="DE455" s="0" t="s">
        <v>4571</v>
      </c>
    </row>
    <row customHeight="1" ht="11.25">
      <c r="A456" s="1353" t="s">
        <v>228</v>
      </c>
      <c r="B456" s="0" t="s">
        <v>228</v>
      </c>
      <c r="C456" s="0" t="s">
        <v>228</v>
      </c>
      <c r="D456" s="0" t="s">
        <v>228</v>
      </c>
      <c r="E456" s="0" t="s">
        <v>228</v>
      </c>
      <c r="F456" s="0" t="s">
        <v>228</v>
      </c>
      <c r="G456" s="0" t="s">
        <v>228</v>
      </c>
      <c r="H456" s="0" t="s">
        <v>228</v>
      </c>
      <c r="I456" s="0" t="s">
        <v>3555</v>
      </c>
      <c r="J456" s="0" t="s">
        <v>228</v>
      </c>
      <c r="K456" s="0" t="s">
        <v>228</v>
      </c>
      <c r="L456" s="0" t="s">
        <v>228</v>
      </c>
      <c r="M456" s="0" t="s">
        <v>228</v>
      </c>
      <c r="N456" s="0" t="s">
        <v>228</v>
      </c>
      <c r="O456" s="0" t="s">
        <v>228</v>
      </c>
      <c r="P456" s="0" t="s">
        <v>228</v>
      </c>
      <c r="Q456" s="0" t="s">
        <v>228</v>
      </c>
      <c r="R456" s="0" t="s">
        <v>5083</v>
      </c>
      <c r="S456" s="0" t="s">
        <v>228</v>
      </c>
      <c r="T456" s="0" t="s">
        <v>228</v>
      </c>
      <c r="U456" s="0" t="s">
        <v>101</v>
      </c>
      <c r="V456" s="0" t="s">
        <v>228</v>
      </c>
      <c r="W456" s="0" t="s">
        <v>228</v>
      </c>
      <c r="X456" s="0" t="s">
        <v>3988</v>
      </c>
      <c r="Y456" s="0" t="s">
        <v>228</v>
      </c>
      <c r="Z456" s="0" t="s">
        <v>151</v>
      </c>
      <c r="AA456" s="0" t="s">
        <v>160</v>
      </c>
      <c r="AB456" s="0" t="s">
        <v>151</v>
      </c>
      <c r="AC456" s="0" t="s">
        <v>2715</v>
      </c>
      <c r="AD456" s="0" t="s">
        <v>2715</v>
      </c>
      <c r="AE456" s="0" t="s">
        <v>2716</v>
      </c>
      <c r="AF456" s="0" t="s">
        <v>3594</v>
      </c>
      <c r="AG456" s="0" t="s">
        <v>3595</v>
      </c>
      <c r="AH456" s="0" t="s">
        <v>3704</v>
      </c>
      <c r="AI456" s="0" t="s">
        <v>3608</v>
      </c>
      <c r="AJ456" s="0" t="s">
        <v>228</v>
      </c>
      <c r="AK456" s="0" t="s">
        <v>228</v>
      </c>
      <c r="AL456" s="0" t="s">
        <v>228</v>
      </c>
      <c r="AM456" s="0" t="s">
        <v>228</v>
      </c>
      <c r="AN456" s="0" t="s">
        <v>228</v>
      </c>
      <c r="AO456" s="0" t="s">
        <v>228</v>
      </c>
      <c r="AP456" s="0" t="s">
        <v>3793</v>
      </c>
      <c r="AQ456" s="0" t="s">
        <v>4045</v>
      </c>
      <c r="AR456" s="0" t="s">
        <v>111</v>
      </c>
      <c r="AS456" s="0" t="s">
        <v>3665</v>
      </c>
      <c r="AT456" s="0" t="s">
        <v>5054</v>
      </c>
      <c r="AU456" s="0" t="s">
        <v>228</v>
      </c>
      <c r="AV456" s="0" t="s">
        <v>4046</v>
      </c>
      <c r="AW456" s="0" t="s">
        <v>2715</v>
      </c>
      <c r="AX456" s="0" t="s">
        <v>2715</v>
      </c>
      <c r="AY456" s="0" t="s">
        <v>3667</v>
      </c>
      <c r="AZ456" s="0" t="s">
        <v>3594</v>
      </c>
      <c r="BA456" s="0" t="s">
        <v>3668</v>
      </c>
      <c r="BB456" s="0" t="s">
        <v>4047</v>
      </c>
      <c r="BC456" s="0" t="s">
        <v>3608</v>
      </c>
      <c r="BD456" s="0" t="s">
        <v>3706</v>
      </c>
      <c r="BE456" s="0" t="s">
        <v>228</v>
      </c>
      <c r="BF456" s="0" t="s">
        <v>228</v>
      </c>
      <c r="BG456" s="0" t="s">
        <v>228</v>
      </c>
      <c r="BH456" s="0" t="s">
        <v>228</v>
      </c>
      <c r="BI456" s="0" t="s">
        <v>228</v>
      </c>
      <c r="BJ456" s="0" t="s">
        <v>228</v>
      </c>
      <c r="BK456" s="0" t="s">
        <v>228</v>
      </c>
      <c r="BL456" s="0" t="s">
        <v>228</v>
      </c>
      <c r="BM456" s="0" t="s">
        <v>228</v>
      </c>
      <c r="BN456" s="0" t="s">
        <v>228</v>
      </c>
      <c r="BO456" s="0" t="s">
        <v>228</v>
      </c>
      <c r="BP456" s="0" t="s">
        <v>228</v>
      </c>
      <c r="BQ456" s="0" t="s">
        <v>228</v>
      </c>
      <c r="BR456" s="0" t="s">
        <v>228</v>
      </c>
      <c r="BS456" s="0" t="s">
        <v>228</v>
      </c>
      <c r="BT456" s="0" t="s">
        <v>228</v>
      </c>
      <c r="BU456" s="0" t="s">
        <v>228</v>
      </c>
      <c r="BV456" s="0" t="s">
        <v>228</v>
      </c>
      <c r="BW456" s="0" t="s">
        <v>228</v>
      </c>
      <c r="BX456" s="0" t="s">
        <v>228</v>
      </c>
      <c r="BY456" s="0" t="s">
        <v>228</v>
      </c>
      <c r="BZ456" s="0" t="s">
        <v>228</v>
      </c>
      <c r="CA456" s="0" t="s">
        <v>228</v>
      </c>
      <c r="CB456" s="0" t="s">
        <v>228</v>
      </c>
      <c r="CC456" s="0" t="s">
        <v>228</v>
      </c>
      <c r="CD456" s="0" t="s">
        <v>228</v>
      </c>
      <c r="CE456" s="0" t="s">
        <v>228</v>
      </c>
      <c r="CF456" s="0" t="s">
        <v>228</v>
      </c>
      <c r="CG456" s="0" t="s">
        <v>228</v>
      </c>
      <c r="CH456" s="0" t="s">
        <v>228</v>
      </c>
      <c r="CI456" s="0" t="s">
        <v>228</v>
      </c>
      <c r="CJ456" s="0" t="s">
        <v>228</v>
      </c>
      <c r="CK456" s="0" t="s">
        <v>228</v>
      </c>
      <c r="CL456" s="0" t="s">
        <v>228</v>
      </c>
      <c r="CM456" s="0" t="s">
        <v>228</v>
      </c>
      <c r="CN456" s="0" t="s">
        <v>228</v>
      </c>
      <c r="CO456" s="0" t="s">
        <v>228</v>
      </c>
      <c r="CP456" s="0" t="s">
        <v>228</v>
      </c>
      <c r="CQ456" s="0" t="s">
        <v>228</v>
      </c>
      <c r="CR456" s="0" t="s">
        <v>228</v>
      </c>
      <c r="CS456" s="0" t="s">
        <v>228</v>
      </c>
      <c r="CT456" s="0" t="s">
        <v>3568</v>
      </c>
      <c r="CU456" s="0" t="s">
        <v>3569</v>
      </c>
      <c r="CV456" s="0" t="s">
        <v>418</v>
      </c>
      <c r="CW456" s="0" t="s">
        <v>3602</v>
      </c>
      <c r="CX456" s="0" t="s">
        <v>3603</v>
      </c>
      <c r="CY456" s="0" t="s">
        <v>418</v>
      </c>
      <c r="CZ456" s="0" t="s">
        <v>504</v>
      </c>
      <c r="DA456" s="0" t="s">
        <v>3604</v>
      </c>
      <c r="DB456" s="0" t="s">
        <v>3602</v>
      </c>
      <c r="DC456" s="0" t="s">
        <v>362</v>
      </c>
      <c r="DD456" s="0" t="s">
        <v>3572</v>
      </c>
      <c r="DE456" s="0" t="s">
        <v>3707</v>
      </c>
    </row>
    <row customHeight="1" ht="11.25">
      <c r="A457" s="1353" t="s">
        <v>228</v>
      </c>
      <c r="B457" s="0" t="s">
        <v>228</v>
      </c>
      <c r="C457" s="0" t="s">
        <v>228</v>
      </c>
      <c r="D457" s="0" t="s">
        <v>228</v>
      </c>
      <c r="E457" s="0" t="s">
        <v>228</v>
      </c>
      <c r="F457" s="0" t="s">
        <v>228</v>
      </c>
      <c r="G457" s="0" t="s">
        <v>228</v>
      </c>
      <c r="H457" s="0" t="s">
        <v>228</v>
      </c>
      <c r="I457" s="0" t="s">
        <v>3555</v>
      </c>
      <c r="J457" s="0" t="s">
        <v>228</v>
      </c>
      <c r="K457" s="0" t="s">
        <v>228</v>
      </c>
      <c r="L457" s="0" t="s">
        <v>228</v>
      </c>
      <c r="M457" s="0" t="s">
        <v>228</v>
      </c>
      <c r="N457" s="0" t="s">
        <v>228</v>
      </c>
      <c r="O457" s="0" t="s">
        <v>228</v>
      </c>
      <c r="P457" s="0" t="s">
        <v>228</v>
      </c>
      <c r="Q457" s="0" t="s">
        <v>228</v>
      </c>
      <c r="R457" s="0" t="s">
        <v>3684</v>
      </c>
      <c r="S457" s="0" t="s">
        <v>228</v>
      </c>
      <c r="T457" s="0" t="s">
        <v>228</v>
      </c>
      <c r="U457" s="0" t="s">
        <v>101</v>
      </c>
      <c r="V457" s="0" t="s">
        <v>228</v>
      </c>
      <c r="W457" s="0" t="s">
        <v>228</v>
      </c>
      <c r="X457" s="0" t="s">
        <v>3557</v>
      </c>
      <c r="Y457" s="0" t="s">
        <v>228</v>
      </c>
      <c r="Z457" s="0" t="s">
        <v>160</v>
      </c>
      <c r="AA457" s="0" t="s">
        <v>151</v>
      </c>
      <c r="AB457" s="0" t="s">
        <v>151</v>
      </c>
      <c r="AC457" s="0" t="s">
        <v>2311</v>
      </c>
      <c r="AD457" s="0" t="s">
        <v>2311</v>
      </c>
      <c r="AE457" s="0" t="s">
        <v>2312</v>
      </c>
      <c r="AF457" s="0" t="s">
        <v>4034</v>
      </c>
      <c r="AG457" s="0" t="s">
        <v>4035</v>
      </c>
      <c r="AH457" s="0" t="s">
        <v>4048</v>
      </c>
      <c r="AI457" s="0" t="s">
        <v>4049</v>
      </c>
      <c r="AJ457" s="0" t="s">
        <v>3579</v>
      </c>
      <c r="AK457" s="0" t="s">
        <v>3579</v>
      </c>
      <c r="AL457" s="0" t="s">
        <v>3681</v>
      </c>
      <c r="AM457" s="0" t="s">
        <v>3565</v>
      </c>
      <c r="AN457" s="0" t="s">
        <v>3582</v>
      </c>
      <c r="AO457" s="0" t="s">
        <v>3583</v>
      </c>
      <c r="AP457" s="0" t="s">
        <v>228</v>
      </c>
      <c r="AQ457" s="0" t="s">
        <v>228</v>
      </c>
      <c r="AR457" s="0" t="s">
        <v>228</v>
      </c>
      <c r="AS457" s="0" t="s">
        <v>228</v>
      </c>
      <c r="AT457" s="0" t="s">
        <v>228</v>
      </c>
      <c r="AU457" s="0" t="s">
        <v>228</v>
      </c>
      <c r="AV457" s="0" t="s">
        <v>228</v>
      </c>
      <c r="AW457" s="0" t="s">
        <v>228</v>
      </c>
      <c r="AX457" s="0" t="s">
        <v>228</v>
      </c>
      <c r="AY457" s="0" t="s">
        <v>228</v>
      </c>
      <c r="AZ457" s="0" t="s">
        <v>228</v>
      </c>
      <c r="BA457" s="0" t="s">
        <v>228</v>
      </c>
      <c r="BB457" s="0" t="s">
        <v>228</v>
      </c>
      <c r="BC457" s="0" t="s">
        <v>228</v>
      </c>
      <c r="BD457" s="0" t="s">
        <v>228</v>
      </c>
      <c r="BE457" s="0" t="s">
        <v>228</v>
      </c>
      <c r="BF457" s="0" t="s">
        <v>228</v>
      </c>
      <c r="BG457" s="0" t="s">
        <v>228</v>
      </c>
      <c r="BH457" s="0" t="s">
        <v>228</v>
      </c>
      <c r="BI457" s="0" t="s">
        <v>228</v>
      </c>
      <c r="BJ457" s="0" t="s">
        <v>228</v>
      </c>
      <c r="BK457" s="0" t="s">
        <v>228</v>
      </c>
      <c r="BL457" s="0" t="s">
        <v>228</v>
      </c>
      <c r="BM457" s="0" t="s">
        <v>228</v>
      </c>
      <c r="BN457" s="0" t="s">
        <v>228</v>
      </c>
      <c r="BO457" s="0" t="s">
        <v>228</v>
      </c>
      <c r="BP457" s="0" t="s">
        <v>228</v>
      </c>
      <c r="BQ457" s="0" t="s">
        <v>228</v>
      </c>
      <c r="BR457" s="0" t="s">
        <v>228</v>
      </c>
      <c r="BS457" s="0" t="s">
        <v>228</v>
      </c>
      <c r="BT457" s="0" t="s">
        <v>228</v>
      </c>
      <c r="BU457" s="0" t="s">
        <v>228</v>
      </c>
      <c r="BV457" s="0" t="s">
        <v>228</v>
      </c>
      <c r="BW457" s="0" t="s">
        <v>228</v>
      </c>
      <c r="BX457" s="0" t="s">
        <v>228</v>
      </c>
      <c r="BY457" s="0" t="s">
        <v>228</v>
      </c>
      <c r="BZ457" s="0" t="s">
        <v>228</v>
      </c>
      <c r="CA457" s="0" t="s">
        <v>228</v>
      </c>
      <c r="CB457" s="0" t="s">
        <v>228</v>
      </c>
      <c r="CC457" s="0" t="s">
        <v>228</v>
      </c>
      <c r="CD457" s="0" t="s">
        <v>228</v>
      </c>
      <c r="CE457" s="0" t="s">
        <v>228</v>
      </c>
      <c r="CF457" s="0" t="s">
        <v>228</v>
      </c>
      <c r="CG457" s="0" t="s">
        <v>228</v>
      </c>
      <c r="CH457" s="0" t="s">
        <v>228</v>
      </c>
      <c r="CI457" s="0" t="s">
        <v>228</v>
      </c>
      <c r="CJ457" s="0" t="s">
        <v>228</v>
      </c>
      <c r="CK457" s="0" t="s">
        <v>228</v>
      </c>
      <c r="CL457" s="0" t="s">
        <v>228</v>
      </c>
      <c r="CM457" s="0" t="s">
        <v>228</v>
      </c>
      <c r="CN457" s="0" t="s">
        <v>228</v>
      </c>
      <c r="CO457" s="0" t="s">
        <v>228</v>
      </c>
      <c r="CP457" s="0" t="s">
        <v>228</v>
      </c>
      <c r="CQ457" s="0" t="s">
        <v>228</v>
      </c>
      <c r="CR457" s="0" t="s">
        <v>228</v>
      </c>
      <c r="CS457" s="0" t="s">
        <v>228</v>
      </c>
      <c r="CT457" s="0" t="s">
        <v>3568</v>
      </c>
      <c r="CU457" s="0" t="s">
        <v>3569</v>
      </c>
      <c r="CV457" s="0" t="s">
        <v>418</v>
      </c>
      <c r="CW457" s="0" t="s">
        <v>3584</v>
      </c>
      <c r="CX457" s="0" t="s">
        <v>419</v>
      </c>
      <c r="CY457" s="0" t="s">
        <v>418</v>
      </c>
      <c r="CZ457" s="0" t="s">
        <v>3585</v>
      </c>
      <c r="DA457" s="0" t="s">
        <v>3586</v>
      </c>
      <c r="DB457" s="0" t="s">
        <v>3584</v>
      </c>
      <c r="DC457" s="0" t="s">
        <v>362</v>
      </c>
      <c r="DD457" s="0" t="s">
        <v>3572</v>
      </c>
      <c r="DE457" s="0" t="s">
        <v>4050</v>
      </c>
    </row>
    <row customHeight="1" ht="11.25">
      <c r="A458" s="1353" t="s">
        <v>228</v>
      </c>
      <c r="B458" s="0" t="s">
        <v>228</v>
      </c>
      <c r="C458" s="0" t="s">
        <v>228</v>
      </c>
      <c r="D458" s="0" t="s">
        <v>228</v>
      </c>
      <c r="E458" s="0" t="s">
        <v>228</v>
      </c>
      <c r="F458" s="0" t="s">
        <v>228</v>
      </c>
      <c r="G458" s="0" t="s">
        <v>228</v>
      </c>
      <c r="H458" s="0" t="s">
        <v>228</v>
      </c>
      <c r="I458" s="0" t="s">
        <v>3555</v>
      </c>
      <c r="J458" s="0" t="s">
        <v>228</v>
      </c>
      <c r="K458" s="0" t="s">
        <v>228</v>
      </c>
      <c r="L458" s="0" t="s">
        <v>228</v>
      </c>
      <c r="M458" s="0" t="s">
        <v>228</v>
      </c>
      <c r="N458" s="0" t="s">
        <v>228</v>
      </c>
      <c r="O458" s="0" t="s">
        <v>228</v>
      </c>
      <c r="P458" s="0" t="s">
        <v>228</v>
      </c>
      <c r="Q458" s="0" t="s">
        <v>228</v>
      </c>
      <c r="R458" s="0" t="s">
        <v>3684</v>
      </c>
      <c r="S458" s="0" t="s">
        <v>228</v>
      </c>
      <c r="T458" s="0" t="s">
        <v>228</v>
      </c>
      <c r="U458" s="0" t="s">
        <v>101</v>
      </c>
      <c r="V458" s="0" t="s">
        <v>228</v>
      </c>
      <c r="W458" s="0" t="s">
        <v>228</v>
      </c>
      <c r="X458" s="0" t="s">
        <v>3557</v>
      </c>
      <c r="Y458" s="0" t="s">
        <v>228</v>
      </c>
      <c r="Z458" s="0" t="s">
        <v>160</v>
      </c>
      <c r="AA458" s="0" t="s">
        <v>151</v>
      </c>
      <c r="AB458" s="0" t="s">
        <v>151</v>
      </c>
      <c r="AC458" s="0" t="s">
        <v>2311</v>
      </c>
      <c r="AD458" s="0" t="s">
        <v>2311</v>
      </c>
      <c r="AE458" s="0" t="s">
        <v>2312</v>
      </c>
      <c r="AF458" s="0" t="s">
        <v>4034</v>
      </c>
      <c r="AG458" s="0" t="s">
        <v>4035</v>
      </c>
      <c r="AH458" s="0" t="s">
        <v>3642</v>
      </c>
      <c r="AI458" s="0" t="s">
        <v>559</v>
      </c>
      <c r="AJ458" s="0" t="s">
        <v>3579</v>
      </c>
      <c r="AK458" s="0" t="s">
        <v>3579</v>
      </c>
      <c r="AL458" s="0" t="s">
        <v>3681</v>
      </c>
      <c r="AM458" s="0" t="s">
        <v>3565</v>
      </c>
      <c r="AN458" s="0" t="s">
        <v>3582</v>
      </c>
      <c r="AO458" s="0" t="s">
        <v>3689</v>
      </c>
      <c r="AP458" s="0" t="s">
        <v>228</v>
      </c>
      <c r="AQ458" s="0" t="s">
        <v>228</v>
      </c>
      <c r="AR458" s="0" t="s">
        <v>228</v>
      </c>
      <c r="AS458" s="0" t="s">
        <v>228</v>
      </c>
      <c r="AT458" s="0" t="s">
        <v>228</v>
      </c>
      <c r="AU458" s="0" t="s">
        <v>228</v>
      </c>
      <c r="AV458" s="0" t="s">
        <v>228</v>
      </c>
      <c r="AW458" s="0" t="s">
        <v>228</v>
      </c>
      <c r="AX458" s="0" t="s">
        <v>228</v>
      </c>
      <c r="AY458" s="0" t="s">
        <v>228</v>
      </c>
      <c r="AZ458" s="0" t="s">
        <v>228</v>
      </c>
      <c r="BA458" s="0" t="s">
        <v>228</v>
      </c>
      <c r="BB458" s="0" t="s">
        <v>228</v>
      </c>
      <c r="BC458" s="0" t="s">
        <v>228</v>
      </c>
      <c r="BD458" s="0" t="s">
        <v>228</v>
      </c>
      <c r="BE458" s="0" t="s">
        <v>228</v>
      </c>
      <c r="BF458" s="0" t="s">
        <v>228</v>
      </c>
      <c r="BG458" s="0" t="s">
        <v>228</v>
      </c>
      <c r="BH458" s="0" t="s">
        <v>228</v>
      </c>
      <c r="BI458" s="0" t="s">
        <v>228</v>
      </c>
      <c r="BJ458" s="0" t="s">
        <v>228</v>
      </c>
      <c r="BK458" s="0" t="s">
        <v>228</v>
      </c>
      <c r="BL458" s="0" t="s">
        <v>228</v>
      </c>
      <c r="BM458" s="0" t="s">
        <v>228</v>
      </c>
      <c r="BN458" s="0" t="s">
        <v>228</v>
      </c>
      <c r="BO458" s="0" t="s">
        <v>228</v>
      </c>
      <c r="BP458" s="0" t="s">
        <v>228</v>
      </c>
      <c r="BQ458" s="0" t="s">
        <v>228</v>
      </c>
      <c r="BR458" s="0" t="s">
        <v>228</v>
      </c>
      <c r="BS458" s="0" t="s">
        <v>228</v>
      </c>
      <c r="BT458" s="0" t="s">
        <v>228</v>
      </c>
      <c r="BU458" s="0" t="s">
        <v>228</v>
      </c>
      <c r="BV458" s="0" t="s">
        <v>228</v>
      </c>
      <c r="BW458" s="0" t="s">
        <v>228</v>
      </c>
      <c r="BX458" s="0" t="s">
        <v>228</v>
      </c>
      <c r="BY458" s="0" t="s">
        <v>228</v>
      </c>
      <c r="BZ458" s="0" t="s">
        <v>228</v>
      </c>
      <c r="CA458" s="0" t="s">
        <v>228</v>
      </c>
      <c r="CB458" s="0" t="s">
        <v>228</v>
      </c>
      <c r="CC458" s="0" t="s">
        <v>228</v>
      </c>
      <c r="CD458" s="0" t="s">
        <v>228</v>
      </c>
      <c r="CE458" s="0" t="s">
        <v>228</v>
      </c>
      <c r="CF458" s="0" t="s">
        <v>228</v>
      </c>
      <c r="CG458" s="0" t="s">
        <v>228</v>
      </c>
      <c r="CH458" s="0" t="s">
        <v>228</v>
      </c>
      <c r="CI458" s="0" t="s">
        <v>228</v>
      </c>
      <c r="CJ458" s="0" t="s">
        <v>228</v>
      </c>
      <c r="CK458" s="0" t="s">
        <v>228</v>
      </c>
      <c r="CL458" s="0" t="s">
        <v>228</v>
      </c>
      <c r="CM458" s="0" t="s">
        <v>228</v>
      </c>
      <c r="CN458" s="0" t="s">
        <v>228</v>
      </c>
      <c r="CO458" s="0" t="s">
        <v>228</v>
      </c>
      <c r="CP458" s="0" t="s">
        <v>228</v>
      </c>
      <c r="CQ458" s="0" t="s">
        <v>228</v>
      </c>
      <c r="CR458" s="0" t="s">
        <v>228</v>
      </c>
      <c r="CS458" s="0" t="s">
        <v>228</v>
      </c>
      <c r="CT458" s="0" t="s">
        <v>3568</v>
      </c>
      <c r="CU458" s="0" t="s">
        <v>3569</v>
      </c>
      <c r="CV458" s="0" t="s">
        <v>418</v>
      </c>
      <c r="CW458" s="0" t="s">
        <v>3584</v>
      </c>
      <c r="CX458" s="0" t="s">
        <v>419</v>
      </c>
      <c r="CY458" s="0" t="s">
        <v>418</v>
      </c>
      <c r="CZ458" s="0" t="s">
        <v>3585</v>
      </c>
      <c r="DA458" s="0" t="s">
        <v>3586</v>
      </c>
      <c r="DB458" s="0" t="s">
        <v>3584</v>
      </c>
      <c r="DC458" s="0" t="s">
        <v>362</v>
      </c>
      <c r="DD458" s="0" t="s">
        <v>3572</v>
      </c>
      <c r="DE458" s="0" t="s">
        <v>4319</v>
      </c>
    </row>
    <row customHeight="1" ht="11.25">
      <c r="A459" s="1353" t="s">
        <v>228</v>
      </c>
      <c r="B459" s="0" t="s">
        <v>228</v>
      </c>
      <c r="C459" s="0" t="s">
        <v>228</v>
      </c>
      <c r="D459" s="0" t="s">
        <v>228</v>
      </c>
      <c r="E459" s="0" t="s">
        <v>228</v>
      </c>
      <c r="F459" s="0" t="s">
        <v>228</v>
      </c>
      <c r="G459" s="0" t="s">
        <v>228</v>
      </c>
      <c r="H459" s="0" t="s">
        <v>228</v>
      </c>
      <c r="I459" s="0" t="s">
        <v>3555</v>
      </c>
      <c r="J459" s="0" t="s">
        <v>228</v>
      </c>
      <c r="K459" s="0" t="s">
        <v>228</v>
      </c>
      <c r="L459" s="0" t="s">
        <v>228</v>
      </c>
      <c r="M459" s="0" t="s">
        <v>228</v>
      </c>
      <c r="N459" s="0" t="s">
        <v>228</v>
      </c>
      <c r="O459" s="0" t="s">
        <v>228</v>
      </c>
      <c r="P459" s="0" t="s">
        <v>228</v>
      </c>
      <c r="Q459" s="0" t="s">
        <v>228</v>
      </c>
      <c r="R459" s="0" t="s">
        <v>3782</v>
      </c>
      <c r="S459" s="0" t="s">
        <v>228</v>
      </c>
      <c r="T459" s="0" t="s">
        <v>228</v>
      </c>
      <c r="U459" s="0" t="s">
        <v>101</v>
      </c>
      <c r="V459" s="0" t="s">
        <v>228</v>
      </c>
      <c r="W459" s="0" t="s">
        <v>228</v>
      </c>
      <c r="X459" s="0" t="s">
        <v>3661</v>
      </c>
      <c r="Y459" s="0" t="s">
        <v>228</v>
      </c>
      <c r="Z459" s="0" t="s">
        <v>151</v>
      </c>
      <c r="AA459" s="0" t="s">
        <v>151</v>
      </c>
      <c r="AB459" s="0" t="s">
        <v>160</v>
      </c>
      <c r="AC459" s="0" t="s">
        <v>2311</v>
      </c>
      <c r="AD459" s="0" t="s">
        <v>2311</v>
      </c>
      <c r="AE459" s="0" t="s">
        <v>2312</v>
      </c>
      <c r="AF459" s="0" t="s">
        <v>4520</v>
      </c>
      <c r="AG459" s="0" t="s">
        <v>4521</v>
      </c>
      <c r="AH459" s="0" t="s">
        <v>4520</v>
      </c>
      <c r="AI459" s="0" t="s">
        <v>3721</v>
      </c>
      <c r="AJ459" s="0" t="s">
        <v>228</v>
      </c>
      <c r="AK459" s="0" t="s">
        <v>228</v>
      </c>
      <c r="AL459" s="0" t="s">
        <v>228</v>
      </c>
      <c r="AM459" s="0" t="s">
        <v>228</v>
      </c>
      <c r="AN459" s="0" t="s">
        <v>228</v>
      </c>
      <c r="AO459" s="0" t="s">
        <v>228</v>
      </c>
      <c r="AP459" s="0" t="s">
        <v>228</v>
      </c>
      <c r="AQ459" s="0" t="s">
        <v>228</v>
      </c>
      <c r="AR459" s="0" t="s">
        <v>228</v>
      </c>
      <c r="AS459" s="0" t="s">
        <v>228</v>
      </c>
      <c r="AT459" s="0" t="s">
        <v>228</v>
      </c>
      <c r="AU459" s="0" t="s">
        <v>228</v>
      </c>
      <c r="AV459" s="0" t="s">
        <v>228</v>
      </c>
      <c r="AW459" s="0" t="s">
        <v>228</v>
      </c>
      <c r="AX459" s="0" t="s">
        <v>228</v>
      </c>
      <c r="AY459" s="0" t="s">
        <v>228</v>
      </c>
      <c r="AZ459" s="0" t="s">
        <v>228</v>
      </c>
      <c r="BA459" s="0" t="s">
        <v>228</v>
      </c>
      <c r="BB459" s="0" t="s">
        <v>228</v>
      </c>
      <c r="BC459" s="0" t="s">
        <v>228</v>
      </c>
      <c r="BD459" s="0" t="s">
        <v>228</v>
      </c>
      <c r="BE459" s="0" t="s">
        <v>3722</v>
      </c>
      <c r="BF459" s="0" t="s">
        <v>3722</v>
      </c>
      <c r="BG459" s="0" t="s">
        <v>111</v>
      </c>
      <c r="BH459" s="0" t="s">
        <v>3665</v>
      </c>
      <c r="BI459" s="0" t="s">
        <v>122</v>
      </c>
      <c r="BJ459" s="0" t="s">
        <v>228</v>
      </c>
      <c r="BK459" s="0" t="s">
        <v>3684</v>
      </c>
      <c r="BL459" s="0" t="s">
        <v>2311</v>
      </c>
      <c r="BM459" s="0" t="s">
        <v>2311</v>
      </c>
      <c r="BN459" s="0" t="s">
        <v>3723</v>
      </c>
      <c r="BO459" s="0" t="s">
        <v>4520</v>
      </c>
      <c r="BP459" s="0" t="s">
        <v>4522</v>
      </c>
      <c r="BQ459" s="0" t="s">
        <v>4523</v>
      </c>
      <c r="BR459" s="0" t="s">
        <v>4393</v>
      </c>
      <c r="BS459" s="0" t="s">
        <v>228</v>
      </c>
      <c r="BT459" s="0" t="s">
        <v>3727</v>
      </c>
      <c r="BU459" s="0" t="s">
        <v>4524</v>
      </c>
      <c r="BV459" s="0" t="s">
        <v>4524</v>
      </c>
      <c r="BW459" s="0" t="s">
        <v>3674</v>
      </c>
      <c r="BX459" s="0" t="s">
        <v>3674</v>
      </c>
      <c r="BY459" s="0" t="s">
        <v>3674</v>
      </c>
      <c r="BZ459" s="0" t="s">
        <v>3674</v>
      </c>
      <c r="CA459" s="0" t="s">
        <v>3674</v>
      </c>
      <c r="CB459" s="0" t="s">
        <v>228</v>
      </c>
      <c r="CC459" s="0" t="s">
        <v>228</v>
      </c>
      <c r="CD459" s="0" t="s">
        <v>228</v>
      </c>
      <c r="CE459" s="0" t="s">
        <v>228</v>
      </c>
      <c r="CF459" s="0" t="s">
        <v>228</v>
      </c>
      <c r="CG459" s="0" t="s">
        <v>3674</v>
      </c>
      <c r="CH459" s="0" t="s">
        <v>228</v>
      </c>
      <c r="CI459" s="0" t="s">
        <v>228</v>
      </c>
      <c r="CJ459" s="0" t="s">
        <v>228</v>
      </c>
      <c r="CK459" s="0" t="s">
        <v>228</v>
      </c>
      <c r="CL459" s="0" t="s">
        <v>228</v>
      </c>
      <c r="CM459" s="0" t="s">
        <v>4524</v>
      </c>
      <c r="CN459" s="0" t="s">
        <v>4524</v>
      </c>
      <c r="CO459" s="0" t="s">
        <v>228</v>
      </c>
      <c r="CP459" s="0" t="s">
        <v>228</v>
      </c>
      <c r="CQ459" s="0" t="s">
        <v>228</v>
      </c>
      <c r="CR459" s="0" t="s">
        <v>228</v>
      </c>
      <c r="CS459" s="0" t="s">
        <v>3582</v>
      </c>
      <c r="CT459" s="0" t="s">
        <v>3568</v>
      </c>
      <c r="CU459" s="0" t="s">
        <v>3569</v>
      </c>
      <c r="CV459" s="0" t="s">
        <v>418</v>
      </c>
      <c r="CW459" s="0" t="s">
        <v>3584</v>
      </c>
      <c r="CX459" s="0" t="s">
        <v>419</v>
      </c>
      <c r="CY459" s="0" t="s">
        <v>418</v>
      </c>
      <c r="CZ459" s="0" t="s">
        <v>3585</v>
      </c>
      <c r="DA459" s="0" t="s">
        <v>3586</v>
      </c>
      <c r="DB459" s="0" t="s">
        <v>3584</v>
      </c>
      <c r="DC459" s="0" t="s">
        <v>362</v>
      </c>
      <c r="DD459" s="0" t="s">
        <v>3572</v>
      </c>
      <c r="DE459" s="0" t="s">
        <v>4525</v>
      </c>
    </row>
    <row customHeight="1" ht="11.25">
      <c r="A460" s="1353" t="s">
        <v>228</v>
      </c>
      <c r="B460" s="0" t="s">
        <v>228</v>
      </c>
      <c r="C460" s="0" t="s">
        <v>228</v>
      </c>
      <c r="D460" s="0" t="s">
        <v>228</v>
      </c>
      <c r="E460" s="0" t="s">
        <v>228</v>
      </c>
      <c r="F460" s="0" t="s">
        <v>228</v>
      </c>
      <c r="G460" s="0" t="s">
        <v>228</v>
      </c>
      <c r="H460" s="0" t="s">
        <v>228</v>
      </c>
      <c r="I460" s="0" t="s">
        <v>3555</v>
      </c>
      <c r="J460" s="0" t="s">
        <v>228</v>
      </c>
      <c r="K460" s="0" t="s">
        <v>228</v>
      </c>
      <c r="L460" s="0" t="s">
        <v>228</v>
      </c>
      <c r="M460" s="0" t="s">
        <v>228</v>
      </c>
      <c r="N460" s="0" t="s">
        <v>228</v>
      </c>
      <c r="O460" s="0" t="s">
        <v>228</v>
      </c>
      <c r="P460" s="0" t="s">
        <v>228</v>
      </c>
      <c r="Q460" s="0" t="s">
        <v>228</v>
      </c>
      <c r="R460" s="0" t="s">
        <v>4299</v>
      </c>
      <c r="S460" s="0" t="s">
        <v>228</v>
      </c>
      <c r="T460" s="0" t="s">
        <v>228</v>
      </c>
      <c r="U460" s="0" t="s">
        <v>101</v>
      </c>
      <c r="V460" s="0" t="s">
        <v>228</v>
      </c>
      <c r="W460" s="0" t="s">
        <v>228</v>
      </c>
      <c r="X460" s="0" t="s">
        <v>3557</v>
      </c>
      <c r="Y460" s="0" t="s">
        <v>228</v>
      </c>
      <c r="Z460" s="0" t="s">
        <v>160</v>
      </c>
      <c r="AA460" s="0" t="s">
        <v>151</v>
      </c>
      <c r="AB460" s="0" t="s">
        <v>151</v>
      </c>
      <c r="AC460" s="0" t="s">
        <v>2721</v>
      </c>
      <c r="AD460" s="0" t="s">
        <v>2721</v>
      </c>
      <c r="AE460" s="0" t="s">
        <v>2722</v>
      </c>
      <c r="AF460" s="0" t="s">
        <v>4024</v>
      </c>
      <c r="AG460" s="0" t="s">
        <v>4025</v>
      </c>
      <c r="AH460" s="0" t="s">
        <v>4300</v>
      </c>
      <c r="AI460" s="0" t="s">
        <v>151</v>
      </c>
      <c r="AJ460" s="0" t="s">
        <v>3620</v>
      </c>
      <c r="AK460" s="0" t="s">
        <v>4301</v>
      </c>
      <c r="AL460" s="0" t="s">
        <v>3646</v>
      </c>
      <c r="AM460" s="0" t="s">
        <v>3565</v>
      </c>
      <c r="AN460" s="0" t="s">
        <v>3743</v>
      </c>
      <c r="AO460" s="0" t="s">
        <v>4302</v>
      </c>
      <c r="AP460" s="0" t="s">
        <v>228</v>
      </c>
      <c r="AQ460" s="0" t="s">
        <v>228</v>
      </c>
      <c r="AR460" s="0" t="s">
        <v>228</v>
      </c>
      <c r="AS460" s="0" t="s">
        <v>228</v>
      </c>
      <c r="AT460" s="0" t="s">
        <v>228</v>
      </c>
      <c r="AU460" s="0" t="s">
        <v>228</v>
      </c>
      <c r="AV460" s="0" t="s">
        <v>228</v>
      </c>
      <c r="AW460" s="0" t="s">
        <v>228</v>
      </c>
      <c r="AX460" s="0" t="s">
        <v>228</v>
      </c>
      <c r="AY460" s="0" t="s">
        <v>228</v>
      </c>
      <c r="AZ460" s="0" t="s">
        <v>228</v>
      </c>
      <c r="BA460" s="0" t="s">
        <v>228</v>
      </c>
      <c r="BB460" s="0" t="s">
        <v>228</v>
      </c>
      <c r="BC460" s="0" t="s">
        <v>228</v>
      </c>
      <c r="BD460" s="0" t="s">
        <v>228</v>
      </c>
      <c r="BE460" s="0" t="s">
        <v>228</v>
      </c>
      <c r="BF460" s="0" t="s">
        <v>228</v>
      </c>
      <c r="BG460" s="0" t="s">
        <v>228</v>
      </c>
      <c r="BH460" s="0" t="s">
        <v>228</v>
      </c>
      <c r="BI460" s="0" t="s">
        <v>228</v>
      </c>
      <c r="BJ460" s="0" t="s">
        <v>228</v>
      </c>
      <c r="BK460" s="0" t="s">
        <v>228</v>
      </c>
      <c r="BL460" s="0" t="s">
        <v>228</v>
      </c>
      <c r="BM460" s="0" t="s">
        <v>228</v>
      </c>
      <c r="BN460" s="0" t="s">
        <v>228</v>
      </c>
      <c r="BO460" s="0" t="s">
        <v>228</v>
      </c>
      <c r="BP460" s="0" t="s">
        <v>228</v>
      </c>
      <c r="BQ460" s="0" t="s">
        <v>228</v>
      </c>
      <c r="BR460" s="0" t="s">
        <v>228</v>
      </c>
      <c r="BS460" s="0" t="s">
        <v>228</v>
      </c>
      <c r="BT460" s="0" t="s">
        <v>228</v>
      </c>
      <c r="BU460" s="0" t="s">
        <v>228</v>
      </c>
      <c r="BV460" s="0" t="s">
        <v>228</v>
      </c>
      <c r="BW460" s="0" t="s">
        <v>228</v>
      </c>
      <c r="BX460" s="0" t="s">
        <v>228</v>
      </c>
      <c r="BY460" s="0" t="s">
        <v>228</v>
      </c>
      <c r="BZ460" s="0" t="s">
        <v>228</v>
      </c>
      <c r="CA460" s="0" t="s">
        <v>228</v>
      </c>
      <c r="CB460" s="0" t="s">
        <v>228</v>
      </c>
      <c r="CC460" s="0" t="s">
        <v>228</v>
      </c>
      <c r="CD460" s="0" t="s">
        <v>228</v>
      </c>
      <c r="CE460" s="0" t="s">
        <v>228</v>
      </c>
      <c r="CF460" s="0" t="s">
        <v>228</v>
      </c>
      <c r="CG460" s="0" t="s">
        <v>228</v>
      </c>
      <c r="CH460" s="0" t="s">
        <v>228</v>
      </c>
      <c r="CI460" s="0" t="s">
        <v>228</v>
      </c>
      <c r="CJ460" s="0" t="s">
        <v>228</v>
      </c>
      <c r="CK460" s="0" t="s">
        <v>228</v>
      </c>
      <c r="CL460" s="0" t="s">
        <v>228</v>
      </c>
      <c r="CM460" s="0" t="s">
        <v>228</v>
      </c>
      <c r="CN460" s="0" t="s">
        <v>228</v>
      </c>
      <c r="CO460" s="0" t="s">
        <v>228</v>
      </c>
      <c r="CP460" s="0" t="s">
        <v>228</v>
      </c>
      <c r="CQ460" s="0" t="s">
        <v>228</v>
      </c>
      <c r="CR460" s="0" t="s">
        <v>228</v>
      </c>
      <c r="CS460" s="0" t="s">
        <v>228</v>
      </c>
      <c r="CT460" s="0" t="s">
        <v>3568</v>
      </c>
      <c r="CU460" s="0" t="s">
        <v>3569</v>
      </c>
      <c r="CV460" s="0" t="s">
        <v>4030</v>
      </c>
      <c r="CW460" s="0" t="s">
        <v>4031</v>
      </c>
      <c r="CX460" s="0" t="s">
        <v>3603</v>
      </c>
      <c r="CY460" s="0" t="s">
        <v>4030</v>
      </c>
      <c r="CZ460" s="0" t="s">
        <v>3608</v>
      </c>
      <c r="DA460" s="0" t="s">
        <v>4032</v>
      </c>
      <c r="DB460" s="0" t="s">
        <v>3676</v>
      </c>
      <c r="DC460" s="0" t="s">
        <v>362</v>
      </c>
      <c r="DD460" s="0" t="s">
        <v>3572</v>
      </c>
      <c r="DE460" s="0" t="s">
        <v>4303</v>
      </c>
    </row>
    <row customHeight="1" ht="11.25">
      <c r="A461" s="1353" t="s">
        <v>228</v>
      </c>
      <c r="B461" s="0" t="s">
        <v>228</v>
      </c>
      <c r="C461" s="0" t="s">
        <v>228</v>
      </c>
      <c r="D461" s="0" t="s">
        <v>228</v>
      </c>
      <c r="E461" s="0" t="s">
        <v>228</v>
      </c>
      <c r="F461" s="0" t="s">
        <v>228</v>
      </c>
      <c r="G461" s="0" t="s">
        <v>228</v>
      </c>
      <c r="H461" s="0" t="s">
        <v>228</v>
      </c>
      <c r="I461" s="0" t="s">
        <v>3555</v>
      </c>
      <c r="J461" s="0" t="s">
        <v>228</v>
      </c>
      <c r="K461" s="0" t="s">
        <v>228</v>
      </c>
      <c r="L461" s="0" t="s">
        <v>228</v>
      </c>
      <c r="M461" s="0" t="s">
        <v>228</v>
      </c>
      <c r="N461" s="0" t="s">
        <v>228</v>
      </c>
      <c r="O461" s="0" t="s">
        <v>228</v>
      </c>
      <c r="P461" s="0" t="s">
        <v>228</v>
      </c>
      <c r="Q461" s="0" t="s">
        <v>228</v>
      </c>
      <c r="R461" s="0" t="s">
        <v>3684</v>
      </c>
      <c r="S461" s="0" t="s">
        <v>228</v>
      </c>
      <c r="T461" s="0" t="s">
        <v>228</v>
      </c>
      <c r="U461" s="0" t="s">
        <v>101</v>
      </c>
      <c r="V461" s="0" t="s">
        <v>228</v>
      </c>
      <c r="W461" s="0" t="s">
        <v>228</v>
      </c>
      <c r="X461" s="0" t="s">
        <v>3557</v>
      </c>
      <c r="Y461" s="0" t="s">
        <v>228</v>
      </c>
      <c r="Z461" s="0" t="s">
        <v>160</v>
      </c>
      <c r="AA461" s="0" t="s">
        <v>151</v>
      </c>
      <c r="AB461" s="0" t="s">
        <v>151</v>
      </c>
      <c r="AC461" s="0" t="s">
        <v>2311</v>
      </c>
      <c r="AD461" s="0" t="s">
        <v>2311</v>
      </c>
      <c r="AE461" s="0" t="s">
        <v>2312</v>
      </c>
      <c r="AF461" s="0" t="s">
        <v>4520</v>
      </c>
      <c r="AG461" s="0" t="s">
        <v>4521</v>
      </c>
      <c r="AH461" s="0" t="s">
        <v>4732</v>
      </c>
      <c r="AI461" s="0" t="s">
        <v>4733</v>
      </c>
      <c r="AJ461" s="0" t="s">
        <v>3579</v>
      </c>
      <c r="AK461" s="0" t="s">
        <v>3580</v>
      </c>
      <c r="AL461" s="0" t="s">
        <v>3581</v>
      </c>
      <c r="AM461" s="0" t="s">
        <v>3565</v>
      </c>
      <c r="AN461" s="0" t="s">
        <v>3582</v>
      </c>
      <c r="AO461" s="0" t="s">
        <v>3621</v>
      </c>
      <c r="AP461" s="0" t="s">
        <v>228</v>
      </c>
      <c r="AQ461" s="0" t="s">
        <v>228</v>
      </c>
      <c r="AR461" s="0" t="s">
        <v>228</v>
      </c>
      <c r="AS461" s="0" t="s">
        <v>228</v>
      </c>
      <c r="AT461" s="0" t="s">
        <v>228</v>
      </c>
      <c r="AU461" s="0" t="s">
        <v>228</v>
      </c>
      <c r="AV461" s="0" t="s">
        <v>228</v>
      </c>
      <c r="AW461" s="0" t="s">
        <v>228</v>
      </c>
      <c r="AX461" s="0" t="s">
        <v>228</v>
      </c>
      <c r="AY461" s="0" t="s">
        <v>228</v>
      </c>
      <c r="AZ461" s="0" t="s">
        <v>228</v>
      </c>
      <c r="BA461" s="0" t="s">
        <v>228</v>
      </c>
      <c r="BB461" s="0" t="s">
        <v>228</v>
      </c>
      <c r="BC461" s="0" t="s">
        <v>228</v>
      </c>
      <c r="BD461" s="0" t="s">
        <v>228</v>
      </c>
      <c r="BE461" s="0" t="s">
        <v>228</v>
      </c>
      <c r="BF461" s="0" t="s">
        <v>228</v>
      </c>
      <c r="BG461" s="0" t="s">
        <v>228</v>
      </c>
      <c r="BH461" s="0" t="s">
        <v>228</v>
      </c>
      <c r="BI461" s="0" t="s">
        <v>228</v>
      </c>
      <c r="BJ461" s="0" t="s">
        <v>228</v>
      </c>
      <c r="BK461" s="0" t="s">
        <v>228</v>
      </c>
      <c r="BL461" s="0" t="s">
        <v>228</v>
      </c>
      <c r="BM461" s="0" t="s">
        <v>228</v>
      </c>
      <c r="BN461" s="0" t="s">
        <v>228</v>
      </c>
      <c r="BO461" s="0" t="s">
        <v>228</v>
      </c>
      <c r="BP461" s="0" t="s">
        <v>228</v>
      </c>
      <c r="BQ461" s="0" t="s">
        <v>228</v>
      </c>
      <c r="BR461" s="0" t="s">
        <v>228</v>
      </c>
      <c r="BS461" s="0" t="s">
        <v>228</v>
      </c>
      <c r="BT461" s="0" t="s">
        <v>228</v>
      </c>
      <c r="BU461" s="0" t="s">
        <v>228</v>
      </c>
      <c r="BV461" s="0" t="s">
        <v>228</v>
      </c>
      <c r="BW461" s="0" t="s">
        <v>228</v>
      </c>
      <c r="BX461" s="0" t="s">
        <v>228</v>
      </c>
      <c r="BY461" s="0" t="s">
        <v>228</v>
      </c>
      <c r="BZ461" s="0" t="s">
        <v>228</v>
      </c>
      <c r="CA461" s="0" t="s">
        <v>228</v>
      </c>
      <c r="CB461" s="0" t="s">
        <v>228</v>
      </c>
      <c r="CC461" s="0" t="s">
        <v>228</v>
      </c>
      <c r="CD461" s="0" t="s">
        <v>228</v>
      </c>
      <c r="CE461" s="0" t="s">
        <v>228</v>
      </c>
      <c r="CF461" s="0" t="s">
        <v>228</v>
      </c>
      <c r="CG461" s="0" t="s">
        <v>228</v>
      </c>
      <c r="CH461" s="0" t="s">
        <v>228</v>
      </c>
      <c r="CI461" s="0" t="s">
        <v>228</v>
      </c>
      <c r="CJ461" s="0" t="s">
        <v>228</v>
      </c>
      <c r="CK461" s="0" t="s">
        <v>228</v>
      </c>
      <c r="CL461" s="0" t="s">
        <v>228</v>
      </c>
      <c r="CM461" s="0" t="s">
        <v>228</v>
      </c>
      <c r="CN461" s="0" t="s">
        <v>228</v>
      </c>
      <c r="CO461" s="0" t="s">
        <v>228</v>
      </c>
      <c r="CP461" s="0" t="s">
        <v>228</v>
      </c>
      <c r="CQ461" s="0" t="s">
        <v>228</v>
      </c>
      <c r="CR461" s="0" t="s">
        <v>228</v>
      </c>
      <c r="CS461" s="0" t="s">
        <v>228</v>
      </c>
      <c r="CT461" s="0" t="s">
        <v>3568</v>
      </c>
      <c r="CU461" s="0" t="s">
        <v>3569</v>
      </c>
      <c r="CV461" s="0" t="s">
        <v>418</v>
      </c>
      <c r="CW461" s="0" t="s">
        <v>3584</v>
      </c>
      <c r="CX461" s="0" t="s">
        <v>419</v>
      </c>
      <c r="CY461" s="0" t="s">
        <v>418</v>
      </c>
      <c r="CZ461" s="0" t="s">
        <v>3585</v>
      </c>
      <c r="DA461" s="0" t="s">
        <v>3586</v>
      </c>
      <c r="DB461" s="0" t="s">
        <v>3584</v>
      </c>
      <c r="DC461" s="0" t="s">
        <v>362</v>
      </c>
      <c r="DD461" s="0" t="s">
        <v>3572</v>
      </c>
      <c r="DE461" s="0" t="s">
        <v>4734</v>
      </c>
    </row>
    <row customHeight="1" ht="11.25">
      <c r="A462" s="1353" t="s">
        <v>228</v>
      </c>
      <c r="B462" s="0" t="s">
        <v>228</v>
      </c>
      <c r="C462" s="0" t="s">
        <v>228</v>
      </c>
      <c r="D462" s="0" t="s">
        <v>228</v>
      </c>
      <c r="E462" s="0" t="s">
        <v>228</v>
      </c>
      <c r="F462" s="0" t="s">
        <v>228</v>
      </c>
      <c r="G462" s="0" t="s">
        <v>228</v>
      </c>
      <c r="H462" s="0" t="s">
        <v>228</v>
      </c>
      <c r="I462" s="0" t="s">
        <v>3555</v>
      </c>
      <c r="J462" s="0" t="s">
        <v>228</v>
      </c>
      <c r="K462" s="0" t="s">
        <v>228</v>
      </c>
      <c r="L462" s="0" t="s">
        <v>228</v>
      </c>
      <c r="M462" s="0" t="s">
        <v>228</v>
      </c>
      <c r="N462" s="0" t="s">
        <v>228</v>
      </c>
      <c r="O462" s="0" t="s">
        <v>228</v>
      </c>
      <c r="P462" s="0" t="s">
        <v>228</v>
      </c>
      <c r="Q462" s="0" t="s">
        <v>228</v>
      </c>
      <c r="R462" s="0" t="s">
        <v>3831</v>
      </c>
      <c r="S462" s="0" t="s">
        <v>228</v>
      </c>
      <c r="T462" s="0" t="s">
        <v>228</v>
      </c>
      <c r="U462" s="0" t="s">
        <v>101</v>
      </c>
      <c r="V462" s="0" t="s">
        <v>228</v>
      </c>
      <c r="W462" s="0" t="s">
        <v>228</v>
      </c>
      <c r="X462" s="0" t="s">
        <v>3557</v>
      </c>
      <c r="Y462" s="0" t="s">
        <v>228</v>
      </c>
      <c r="Z462" s="0" t="s">
        <v>160</v>
      </c>
      <c r="AA462" s="0" t="s">
        <v>151</v>
      </c>
      <c r="AB462" s="0" t="s">
        <v>151</v>
      </c>
      <c r="AC462" s="0" t="s">
        <v>2317</v>
      </c>
      <c r="AD462" s="0" t="s">
        <v>2317</v>
      </c>
      <c r="AE462" s="0" t="s">
        <v>2318</v>
      </c>
      <c r="AF462" s="0" t="s">
        <v>4745</v>
      </c>
      <c r="AG462" s="0" t="s">
        <v>4746</v>
      </c>
      <c r="AH462" s="0" t="s">
        <v>4747</v>
      </c>
      <c r="AI462" s="0" t="s">
        <v>4748</v>
      </c>
      <c r="AJ462" s="0" t="s">
        <v>3579</v>
      </c>
      <c r="AK462" s="0" t="s">
        <v>3749</v>
      </c>
      <c r="AL462" s="0" t="s">
        <v>3581</v>
      </c>
      <c r="AM462" s="0" t="s">
        <v>3565</v>
      </c>
      <c r="AN462" s="0" t="s">
        <v>3620</v>
      </c>
      <c r="AO462" s="0" t="s">
        <v>4533</v>
      </c>
      <c r="AP462" s="0" t="s">
        <v>228</v>
      </c>
      <c r="AQ462" s="0" t="s">
        <v>228</v>
      </c>
      <c r="AR462" s="0" t="s">
        <v>228</v>
      </c>
      <c r="AS462" s="0" t="s">
        <v>228</v>
      </c>
      <c r="AT462" s="0" t="s">
        <v>228</v>
      </c>
      <c r="AU462" s="0" t="s">
        <v>228</v>
      </c>
      <c r="AV462" s="0" t="s">
        <v>228</v>
      </c>
      <c r="AW462" s="0" t="s">
        <v>228</v>
      </c>
      <c r="AX462" s="0" t="s">
        <v>228</v>
      </c>
      <c r="AY462" s="0" t="s">
        <v>228</v>
      </c>
      <c r="AZ462" s="0" t="s">
        <v>228</v>
      </c>
      <c r="BA462" s="0" t="s">
        <v>228</v>
      </c>
      <c r="BB462" s="0" t="s">
        <v>228</v>
      </c>
      <c r="BC462" s="0" t="s">
        <v>228</v>
      </c>
      <c r="BD462" s="0" t="s">
        <v>228</v>
      </c>
      <c r="BE462" s="0" t="s">
        <v>228</v>
      </c>
      <c r="BF462" s="0" t="s">
        <v>228</v>
      </c>
      <c r="BG462" s="0" t="s">
        <v>228</v>
      </c>
      <c r="BH462" s="0" t="s">
        <v>228</v>
      </c>
      <c r="BI462" s="0" t="s">
        <v>228</v>
      </c>
      <c r="BJ462" s="0" t="s">
        <v>228</v>
      </c>
      <c r="BK462" s="0" t="s">
        <v>228</v>
      </c>
      <c r="BL462" s="0" t="s">
        <v>228</v>
      </c>
      <c r="BM462" s="0" t="s">
        <v>228</v>
      </c>
      <c r="BN462" s="0" t="s">
        <v>228</v>
      </c>
      <c r="BO462" s="0" t="s">
        <v>228</v>
      </c>
      <c r="BP462" s="0" t="s">
        <v>228</v>
      </c>
      <c r="BQ462" s="0" t="s">
        <v>228</v>
      </c>
      <c r="BR462" s="0" t="s">
        <v>228</v>
      </c>
      <c r="BS462" s="0" t="s">
        <v>228</v>
      </c>
      <c r="BT462" s="0" t="s">
        <v>228</v>
      </c>
      <c r="BU462" s="0" t="s">
        <v>228</v>
      </c>
      <c r="BV462" s="0" t="s">
        <v>228</v>
      </c>
      <c r="BW462" s="0" t="s">
        <v>228</v>
      </c>
      <c r="BX462" s="0" t="s">
        <v>228</v>
      </c>
      <c r="BY462" s="0" t="s">
        <v>228</v>
      </c>
      <c r="BZ462" s="0" t="s">
        <v>228</v>
      </c>
      <c r="CA462" s="0" t="s">
        <v>228</v>
      </c>
      <c r="CB462" s="0" t="s">
        <v>228</v>
      </c>
      <c r="CC462" s="0" t="s">
        <v>228</v>
      </c>
      <c r="CD462" s="0" t="s">
        <v>228</v>
      </c>
      <c r="CE462" s="0" t="s">
        <v>228</v>
      </c>
      <c r="CF462" s="0" t="s">
        <v>228</v>
      </c>
      <c r="CG462" s="0" t="s">
        <v>228</v>
      </c>
      <c r="CH462" s="0" t="s">
        <v>228</v>
      </c>
      <c r="CI462" s="0" t="s">
        <v>228</v>
      </c>
      <c r="CJ462" s="0" t="s">
        <v>228</v>
      </c>
      <c r="CK462" s="0" t="s">
        <v>228</v>
      </c>
      <c r="CL462" s="0" t="s">
        <v>228</v>
      </c>
      <c r="CM462" s="0" t="s">
        <v>228</v>
      </c>
      <c r="CN462" s="0" t="s">
        <v>228</v>
      </c>
      <c r="CO462" s="0" t="s">
        <v>228</v>
      </c>
      <c r="CP462" s="0" t="s">
        <v>228</v>
      </c>
      <c r="CQ462" s="0" t="s">
        <v>228</v>
      </c>
      <c r="CR462" s="0" t="s">
        <v>228</v>
      </c>
      <c r="CS462" s="0" t="s">
        <v>228</v>
      </c>
      <c r="CT462" s="0" t="s">
        <v>3568</v>
      </c>
      <c r="CU462" s="0" t="s">
        <v>3569</v>
      </c>
      <c r="CV462" s="0" t="s">
        <v>418</v>
      </c>
      <c r="CW462" s="0" t="s">
        <v>3622</v>
      </c>
      <c r="CX462" s="0" t="s">
        <v>419</v>
      </c>
      <c r="CY462" s="0" t="s">
        <v>418</v>
      </c>
      <c r="CZ462" s="0" t="s">
        <v>3623</v>
      </c>
      <c r="DA462" s="0" t="s">
        <v>3624</v>
      </c>
      <c r="DB462" s="0" t="s">
        <v>3622</v>
      </c>
      <c r="DC462" s="0" t="s">
        <v>362</v>
      </c>
      <c r="DD462" s="0" t="s">
        <v>3572</v>
      </c>
      <c r="DE462" s="0" t="s">
        <v>4749</v>
      </c>
    </row>
    <row customHeight="1" ht="11.25">
      <c r="A463" s="1353" t="s">
        <v>228</v>
      </c>
      <c r="B463" s="0" t="s">
        <v>228</v>
      </c>
      <c r="C463" s="0" t="s">
        <v>228</v>
      </c>
      <c r="D463" s="0" t="s">
        <v>228</v>
      </c>
      <c r="E463" s="0" t="s">
        <v>228</v>
      </c>
      <c r="F463" s="0" t="s">
        <v>228</v>
      </c>
      <c r="G463" s="0" t="s">
        <v>228</v>
      </c>
      <c r="H463" s="0" t="s">
        <v>228</v>
      </c>
      <c r="I463" s="0" t="s">
        <v>3555</v>
      </c>
      <c r="J463" s="0" t="s">
        <v>228</v>
      </c>
      <c r="K463" s="0" t="s">
        <v>228</v>
      </c>
      <c r="L463" s="0" t="s">
        <v>228</v>
      </c>
      <c r="M463" s="0" t="s">
        <v>228</v>
      </c>
      <c r="N463" s="0" t="s">
        <v>228</v>
      </c>
      <c r="O463" s="0" t="s">
        <v>228</v>
      </c>
      <c r="P463" s="0" t="s">
        <v>228</v>
      </c>
      <c r="Q463" s="0" t="s">
        <v>228</v>
      </c>
      <c r="R463" s="0" t="s">
        <v>4803</v>
      </c>
      <c r="S463" s="0" t="s">
        <v>228</v>
      </c>
      <c r="T463" s="0" t="s">
        <v>228</v>
      </c>
      <c r="U463" s="0" t="s">
        <v>101</v>
      </c>
      <c r="V463" s="0" t="s">
        <v>228</v>
      </c>
      <c r="W463" s="0" t="s">
        <v>228</v>
      </c>
      <c r="X463" s="0" t="s">
        <v>3557</v>
      </c>
      <c r="Y463" s="0" t="s">
        <v>228</v>
      </c>
      <c r="Z463" s="0" t="s">
        <v>160</v>
      </c>
      <c r="AA463" s="0" t="s">
        <v>151</v>
      </c>
      <c r="AB463" s="0" t="s">
        <v>151</v>
      </c>
      <c r="AC463" s="0" t="s">
        <v>2317</v>
      </c>
      <c r="AD463" s="0" t="s">
        <v>2317</v>
      </c>
      <c r="AE463" s="0" t="s">
        <v>2318</v>
      </c>
      <c r="AF463" s="0" t="s">
        <v>4745</v>
      </c>
      <c r="AG463" s="0" t="s">
        <v>4746</v>
      </c>
      <c r="AH463" s="0" t="s">
        <v>3747</v>
      </c>
      <c r="AI463" s="0" t="s">
        <v>4626</v>
      </c>
      <c r="AJ463" s="0" t="s">
        <v>3579</v>
      </c>
      <c r="AK463" s="0" t="s">
        <v>3619</v>
      </c>
      <c r="AL463" s="0" t="s">
        <v>3581</v>
      </c>
      <c r="AM463" s="0" t="s">
        <v>3565</v>
      </c>
      <c r="AN463" s="0" t="s">
        <v>3628</v>
      </c>
      <c r="AO463" s="0" t="s">
        <v>4277</v>
      </c>
      <c r="AP463" s="0" t="s">
        <v>228</v>
      </c>
      <c r="AQ463" s="0" t="s">
        <v>228</v>
      </c>
      <c r="AR463" s="0" t="s">
        <v>228</v>
      </c>
      <c r="AS463" s="0" t="s">
        <v>228</v>
      </c>
      <c r="AT463" s="0" t="s">
        <v>228</v>
      </c>
      <c r="AU463" s="0" t="s">
        <v>228</v>
      </c>
      <c r="AV463" s="0" t="s">
        <v>228</v>
      </c>
      <c r="AW463" s="0" t="s">
        <v>228</v>
      </c>
      <c r="AX463" s="0" t="s">
        <v>228</v>
      </c>
      <c r="AY463" s="0" t="s">
        <v>228</v>
      </c>
      <c r="AZ463" s="0" t="s">
        <v>228</v>
      </c>
      <c r="BA463" s="0" t="s">
        <v>228</v>
      </c>
      <c r="BB463" s="0" t="s">
        <v>228</v>
      </c>
      <c r="BC463" s="0" t="s">
        <v>228</v>
      </c>
      <c r="BD463" s="0" t="s">
        <v>228</v>
      </c>
      <c r="BE463" s="0" t="s">
        <v>228</v>
      </c>
      <c r="BF463" s="0" t="s">
        <v>228</v>
      </c>
      <c r="BG463" s="0" t="s">
        <v>228</v>
      </c>
      <c r="BH463" s="0" t="s">
        <v>228</v>
      </c>
      <c r="BI463" s="0" t="s">
        <v>228</v>
      </c>
      <c r="BJ463" s="0" t="s">
        <v>228</v>
      </c>
      <c r="BK463" s="0" t="s">
        <v>228</v>
      </c>
      <c r="BL463" s="0" t="s">
        <v>228</v>
      </c>
      <c r="BM463" s="0" t="s">
        <v>228</v>
      </c>
      <c r="BN463" s="0" t="s">
        <v>228</v>
      </c>
      <c r="BO463" s="0" t="s">
        <v>228</v>
      </c>
      <c r="BP463" s="0" t="s">
        <v>228</v>
      </c>
      <c r="BQ463" s="0" t="s">
        <v>228</v>
      </c>
      <c r="BR463" s="0" t="s">
        <v>228</v>
      </c>
      <c r="BS463" s="0" t="s">
        <v>228</v>
      </c>
      <c r="BT463" s="0" t="s">
        <v>228</v>
      </c>
      <c r="BU463" s="0" t="s">
        <v>228</v>
      </c>
      <c r="BV463" s="0" t="s">
        <v>228</v>
      </c>
      <c r="BW463" s="0" t="s">
        <v>228</v>
      </c>
      <c r="BX463" s="0" t="s">
        <v>228</v>
      </c>
      <c r="BY463" s="0" t="s">
        <v>228</v>
      </c>
      <c r="BZ463" s="0" t="s">
        <v>228</v>
      </c>
      <c r="CA463" s="0" t="s">
        <v>228</v>
      </c>
      <c r="CB463" s="0" t="s">
        <v>228</v>
      </c>
      <c r="CC463" s="0" t="s">
        <v>228</v>
      </c>
      <c r="CD463" s="0" t="s">
        <v>228</v>
      </c>
      <c r="CE463" s="0" t="s">
        <v>228</v>
      </c>
      <c r="CF463" s="0" t="s">
        <v>228</v>
      </c>
      <c r="CG463" s="0" t="s">
        <v>228</v>
      </c>
      <c r="CH463" s="0" t="s">
        <v>228</v>
      </c>
      <c r="CI463" s="0" t="s">
        <v>228</v>
      </c>
      <c r="CJ463" s="0" t="s">
        <v>228</v>
      </c>
      <c r="CK463" s="0" t="s">
        <v>228</v>
      </c>
      <c r="CL463" s="0" t="s">
        <v>228</v>
      </c>
      <c r="CM463" s="0" t="s">
        <v>228</v>
      </c>
      <c r="CN463" s="0" t="s">
        <v>228</v>
      </c>
      <c r="CO463" s="0" t="s">
        <v>228</v>
      </c>
      <c r="CP463" s="0" t="s">
        <v>228</v>
      </c>
      <c r="CQ463" s="0" t="s">
        <v>228</v>
      </c>
      <c r="CR463" s="0" t="s">
        <v>228</v>
      </c>
      <c r="CS463" s="0" t="s">
        <v>228</v>
      </c>
      <c r="CT463" s="0" t="s">
        <v>3568</v>
      </c>
      <c r="CU463" s="0" t="s">
        <v>3864</v>
      </c>
      <c r="CV463" s="0" t="s">
        <v>418</v>
      </c>
      <c r="CW463" s="0" t="s">
        <v>3622</v>
      </c>
      <c r="CX463" s="0" t="s">
        <v>419</v>
      </c>
      <c r="CY463" s="0" t="s">
        <v>418</v>
      </c>
      <c r="CZ463" s="0" t="s">
        <v>3623</v>
      </c>
      <c r="DA463" s="0" t="s">
        <v>3624</v>
      </c>
      <c r="DB463" s="0" t="s">
        <v>3622</v>
      </c>
      <c r="DC463" s="0" t="s">
        <v>362</v>
      </c>
      <c r="DD463" s="0" t="s">
        <v>3572</v>
      </c>
      <c r="DE463" s="0" t="s">
        <v>4804</v>
      </c>
    </row>
    <row customHeight="1" ht="11.25">
      <c r="A464" s="1353" t="s">
        <v>228</v>
      </c>
      <c r="B464" s="0" t="s">
        <v>228</v>
      </c>
      <c r="C464" s="0" t="s">
        <v>228</v>
      </c>
      <c r="D464" s="0" t="s">
        <v>228</v>
      </c>
      <c r="E464" s="0" t="s">
        <v>228</v>
      </c>
      <c r="F464" s="0" t="s">
        <v>228</v>
      </c>
      <c r="G464" s="0" t="s">
        <v>228</v>
      </c>
      <c r="H464" s="0" t="s">
        <v>228</v>
      </c>
      <c r="I464" s="0" t="s">
        <v>3555</v>
      </c>
      <c r="J464" s="0" t="s">
        <v>228</v>
      </c>
      <c r="K464" s="0" t="s">
        <v>228</v>
      </c>
      <c r="L464" s="0" t="s">
        <v>228</v>
      </c>
      <c r="M464" s="0" t="s">
        <v>228</v>
      </c>
      <c r="N464" s="0" t="s">
        <v>228</v>
      </c>
      <c r="O464" s="0" t="s">
        <v>228</v>
      </c>
      <c r="P464" s="0" t="s">
        <v>228</v>
      </c>
      <c r="Q464" s="0" t="s">
        <v>228</v>
      </c>
      <c r="R464" s="0" t="s">
        <v>4811</v>
      </c>
      <c r="S464" s="0" t="s">
        <v>228</v>
      </c>
      <c r="T464" s="0" t="s">
        <v>228</v>
      </c>
      <c r="U464" s="0" t="s">
        <v>101</v>
      </c>
      <c r="V464" s="0" t="s">
        <v>228</v>
      </c>
      <c r="W464" s="0" t="s">
        <v>228</v>
      </c>
      <c r="X464" s="0" t="s">
        <v>3661</v>
      </c>
      <c r="Y464" s="0" t="s">
        <v>228</v>
      </c>
      <c r="Z464" s="0" t="s">
        <v>151</v>
      </c>
      <c r="AA464" s="0" t="s">
        <v>151</v>
      </c>
      <c r="AB464" s="0" t="s">
        <v>160</v>
      </c>
      <c r="AC464" s="0" t="s">
        <v>2317</v>
      </c>
      <c r="AD464" s="0" t="s">
        <v>2317</v>
      </c>
      <c r="AE464" s="0" t="s">
        <v>2318</v>
      </c>
      <c r="AF464" s="0" t="s">
        <v>4544</v>
      </c>
      <c r="AG464" s="0" t="s">
        <v>4545</v>
      </c>
      <c r="AH464" s="0" t="s">
        <v>3651</v>
      </c>
      <c r="AI464" s="0" t="s">
        <v>3651</v>
      </c>
      <c r="AJ464" s="0" t="s">
        <v>228</v>
      </c>
      <c r="AK464" s="0" t="s">
        <v>228</v>
      </c>
      <c r="AL464" s="0" t="s">
        <v>228</v>
      </c>
      <c r="AM464" s="0" t="s">
        <v>228</v>
      </c>
      <c r="AN464" s="0" t="s">
        <v>228</v>
      </c>
      <c r="AO464" s="0" t="s">
        <v>228</v>
      </c>
      <c r="AP464" s="0" t="s">
        <v>228</v>
      </c>
      <c r="AQ464" s="0" t="s">
        <v>228</v>
      </c>
      <c r="AR464" s="0" t="s">
        <v>228</v>
      </c>
      <c r="AS464" s="0" t="s">
        <v>228</v>
      </c>
      <c r="AT464" s="0" t="s">
        <v>228</v>
      </c>
      <c r="AU464" s="0" t="s">
        <v>228</v>
      </c>
      <c r="AV464" s="0" t="s">
        <v>228</v>
      </c>
      <c r="AW464" s="0" t="s">
        <v>228</v>
      </c>
      <c r="AX464" s="0" t="s">
        <v>228</v>
      </c>
      <c r="AY464" s="0" t="s">
        <v>228</v>
      </c>
      <c r="AZ464" s="0" t="s">
        <v>228</v>
      </c>
      <c r="BA464" s="0" t="s">
        <v>228</v>
      </c>
      <c r="BB464" s="0" t="s">
        <v>228</v>
      </c>
      <c r="BC464" s="0" t="s">
        <v>228</v>
      </c>
      <c r="BD464" s="0" t="s">
        <v>228</v>
      </c>
      <c r="BE464" s="0" t="s">
        <v>3652</v>
      </c>
      <c r="BF464" s="0" t="s">
        <v>3619</v>
      </c>
      <c r="BG464" s="0" t="s">
        <v>111</v>
      </c>
      <c r="BH464" s="0" t="s">
        <v>3665</v>
      </c>
      <c r="BI464" s="0" t="s">
        <v>122</v>
      </c>
      <c r="BJ464" s="0" t="s">
        <v>228</v>
      </c>
      <c r="BK464" s="0" t="s">
        <v>3684</v>
      </c>
      <c r="BL464" s="0" t="s">
        <v>2317</v>
      </c>
      <c r="BM464" s="0" t="s">
        <v>2317</v>
      </c>
      <c r="BN464" s="0" t="s">
        <v>3740</v>
      </c>
      <c r="BO464" s="0" t="s">
        <v>4544</v>
      </c>
      <c r="BP464" s="0" t="s">
        <v>4812</v>
      </c>
      <c r="BQ464" s="0" t="s">
        <v>3651</v>
      </c>
      <c r="BR464" s="0" t="s">
        <v>3651</v>
      </c>
      <c r="BS464" s="0" t="s">
        <v>228</v>
      </c>
      <c r="BT464" s="0" t="s">
        <v>3727</v>
      </c>
      <c r="BU464" s="0" t="s">
        <v>4813</v>
      </c>
      <c r="BV464" s="0" t="s">
        <v>4813</v>
      </c>
      <c r="BW464" s="0" t="s">
        <v>3674</v>
      </c>
      <c r="BX464" s="0" t="s">
        <v>3674</v>
      </c>
      <c r="BY464" s="0" t="s">
        <v>3674</v>
      </c>
      <c r="BZ464" s="0" t="s">
        <v>3674</v>
      </c>
      <c r="CA464" s="0" t="s">
        <v>3674</v>
      </c>
      <c r="CB464" s="0" t="s">
        <v>228</v>
      </c>
      <c r="CC464" s="0" t="s">
        <v>228</v>
      </c>
      <c r="CD464" s="0" t="s">
        <v>228</v>
      </c>
      <c r="CE464" s="0" t="s">
        <v>228</v>
      </c>
      <c r="CF464" s="0" t="s">
        <v>228</v>
      </c>
      <c r="CG464" s="0" t="s">
        <v>3674</v>
      </c>
      <c r="CH464" s="0" t="s">
        <v>228</v>
      </c>
      <c r="CI464" s="0" t="s">
        <v>228</v>
      </c>
      <c r="CJ464" s="0" t="s">
        <v>228</v>
      </c>
      <c r="CK464" s="0" t="s">
        <v>228</v>
      </c>
      <c r="CL464" s="0" t="s">
        <v>228</v>
      </c>
      <c r="CM464" s="0" t="s">
        <v>4813</v>
      </c>
      <c r="CN464" s="0" t="s">
        <v>4813</v>
      </c>
      <c r="CO464" s="0" t="s">
        <v>228</v>
      </c>
      <c r="CP464" s="0" t="s">
        <v>228</v>
      </c>
      <c r="CQ464" s="0" t="s">
        <v>228</v>
      </c>
      <c r="CR464" s="0" t="s">
        <v>228</v>
      </c>
      <c r="CS464" s="0" t="s">
        <v>3743</v>
      </c>
      <c r="CT464" s="0" t="s">
        <v>3568</v>
      </c>
      <c r="CU464" s="0" t="s">
        <v>3569</v>
      </c>
      <c r="CV464" s="0" t="s">
        <v>418</v>
      </c>
      <c r="CW464" s="0" t="s">
        <v>3622</v>
      </c>
      <c r="CX464" s="0" t="s">
        <v>419</v>
      </c>
      <c r="CY464" s="0" t="s">
        <v>418</v>
      </c>
      <c r="CZ464" s="0" t="s">
        <v>3623</v>
      </c>
      <c r="DA464" s="0" t="s">
        <v>3624</v>
      </c>
      <c r="DB464" s="0" t="s">
        <v>3622</v>
      </c>
      <c r="DC464" s="0" t="s">
        <v>362</v>
      </c>
      <c r="DD464" s="0" t="s">
        <v>3572</v>
      </c>
      <c r="DE464" s="0" t="s">
        <v>4814</v>
      </c>
    </row>
    <row customHeight="1" ht="11.25">
      <c r="A465" s="1353" t="s">
        <v>228</v>
      </c>
      <c r="B465" s="0" t="s">
        <v>228</v>
      </c>
      <c r="C465" s="0" t="s">
        <v>228</v>
      </c>
      <c r="D465" s="0" t="s">
        <v>228</v>
      </c>
      <c r="E465" s="0" t="s">
        <v>228</v>
      </c>
      <c r="F465" s="0" t="s">
        <v>228</v>
      </c>
      <c r="G465" s="0" t="s">
        <v>228</v>
      </c>
      <c r="H465" s="0" t="s">
        <v>228</v>
      </c>
      <c r="I465" s="0" t="s">
        <v>3555</v>
      </c>
      <c r="J465" s="0" t="s">
        <v>228</v>
      </c>
      <c r="K465" s="0" t="s">
        <v>228</v>
      </c>
      <c r="L465" s="0" t="s">
        <v>228</v>
      </c>
      <c r="M465" s="0" t="s">
        <v>228</v>
      </c>
      <c r="N465" s="0" t="s">
        <v>228</v>
      </c>
      <c r="O465" s="0" t="s">
        <v>228</v>
      </c>
      <c r="P465" s="0" t="s">
        <v>228</v>
      </c>
      <c r="Q465" s="0" t="s">
        <v>228</v>
      </c>
      <c r="R465" s="0" t="s">
        <v>5031</v>
      </c>
      <c r="S465" s="0" t="s">
        <v>228</v>
      </c>
      <c r="T465" s="0" t="s">
        <v>228</v>
      </c>
      <c r="U465" s="0" t="s">
        <v>101</v>
      </c>
      <c r="V465" s="0" t="s">
        <v>228</v>
      </c>
      <c r="W465" s="0" t="s">
        <v>228</v>
      </c>
      <c r="X465" s="0" t="s">
        <v>3661</v>
      </c>
      <c r="Y465" s="0" t="s">
        <v>228</v>
      </c>
      <c r="Z465" s="0" t="s">
        <v>151</v>
      </c>
      <c r="AA465" s="0" t="s">
        <v>151</v>
      </c>
      <c r="AB465" s="0" t="s">
        <v>160</v>
      </c>
      <c r="AC465" s="0" t="s">
        <v>2317</v>
      </c>
      <c r="AD465" s="0" t="s">
        <v>2317</v>
      </c>
      <c r="AE465" s="0" t="s">
        <v>2318</v>
      </c>
      <c r="AF465" s="0" t="s">
        <v>4808</v>
      </c>
      <c r="AG465" s="0" t="s">
        <v>4809</v>
      </c>
      <c r="AH465" s="0" t="s">
        <v>3651</v>
      </c>
      <c r="AI465" s="0" t="s">
        <v>3651</v>
      </c>
      <c r="AJ465" s="0" t="s">
        <v>228</v>
      </c>
      <c r="AK465" s="0" t="s">
        <v>228</v>
      </c>
      <c r="AL465" s="0" t="s">
        <v>228</v>
      </c>
      <c r="AM465" s="0" t="s">
        <v>228</v>
      </c>
      <c r="AN465" s="0" t="s">
        <v>228</v>
      </c>
      <c r="AO465" s="0" t="s">
        <v>228</v>
      </c>
      <c r="AP465" s="0" t="s">
        <v>228</v>
      </c>
      <c r="AQ465" s="0" t="s">
        <v>228</v>
      </c>
      <c r="AR465" s="0" t="s">
        <v>228</v>
      </c>
      <c r="AS465" s="0" t="s">
        <v>228</v>
      </c>
      <c r="AT465" s="0" t="s">
        <v>228</v>
      </c>
      <c r="AU465" s="0" t="s">
        <v>228</v>
      </c>
      <c r="AV465" s="0" t="s">
        <v>228</v>
      </c>
      <c r="AW465" s="0" t="s">
        <v>228</v>
      </c>
      <c r="AX465" s="0" t="s">
        <v>228</v>
      </c>
      <c r="AY465" s="0" t="s">
        <v>228</v>
      </c>
      <c r="AZ465" s="0" t="s">
        <v>228</v>
      </c>
      <c r="BA465" s="0" t="s">
        <v>228</v>
      </c>
      <c r="BB465" s="0" t="s">
        <v>228</v>
      </c>
      <c r="BC465" s="0" t="s">
        <v>228</v>
      </c>
      <c r="BD465" s="0" t="s">
        <v>228</v>
      </c>
      <c r="BE465" s="0" t="s">
        <v>3579</v>
      </c>
      <c r="BF465" s="0" t="s">
        <v>3749</v>
      </c>
      <c r="BG465" s="0" t="s">
        <v>111</v>
      </c>
      <c r="BH465" s="0" t="s">
        <v>3665</v>
      </c>
      <c r="BI465" s="0" t="s">
        <v>122</v>
      </c>
      <c r="BJ465" s="0" t="s">
        <v>228</v>
      </c>
      <c r="BK465" s="0" t="s">
        <v>3684</v>
      </c>
      <c r="BL465" s="0" t="s">
        <v>2317</v>
      </c>
      <c r="BM465" s="0" t="s">
        <v>2317</v>
      </c>
      <c r="BN465" s="0" t="s">
        <v>3740</v>
      </c>
      <c r="BO465" s="0" t="s">
        <v>4808</v>
      </c>
      <c r="BP465" s="0" t="s">
        <v>5032</v>
      </c>
      <c r="BQ465" s="0" t="s">
        <v>3651</v>
      </c>
      <c r="BR465" s="0" t="s">
        <v>3651</v>
      </c>
      <c r="BS465" s="0" t="s">
        <v>228</v>
      </c>
      <c r="BT465" s="0" t="s">
        <v>3727</v>
      </c>
      <c r="BU465" s="0" t="s">
        <v>5033</v>
      </c>
      <c r="BV465" s="0" t="s">
        <v>5033</v>
      </c>
      <c r="BW465" s="0" t="s">
        <v>3674</v>
      </c>
      <c r="BX465" s="0" t="s">
        <v>3674</v>
      </c>
      <c r="BY465" s="0" t="s">
        <v>3674</v>
      </c>
      <c r="BZ465" s="0" t="s">
        <v>3674</v>
      </c>
      <c r="CA465" s="0" t="s">
        <v>3674</v>
      </c>
      <c r="CB465" s="0" t="s">
        <v>228</v>
      </c>
      <c r="CC465" s="0" t="s">
        <v>228</v>
      </c>
      <c r="CD465" s="0" t="s">
        <v>228</v>
      </c>
      <c r="CE465" s="0" t="s">
        <v>228</v>
      </c>
      <c r="CF465" s="0" t="s">
        <v>228</v>
      </c>
      <c r="CG465" s="0" t="s">
        <v>3674</v>
      </c>
      <c r="CH465" s="0" t="s">
        <v>228</v>
      </c>
      <c r="CI465" s="0" t="s">
        <v>228</v>
      </c>
      <c r="CJ465" s="0" t="s">
        <v>228</v>
      </c>
      <c r="CK465" s="0" t="s">
        <v>228</v>
      </c>
      <c r="CL465" s="0" t="s">
        <v>228</v>
      </c>
      <c r="CM465" s="0" t="s">
        <v>5033</v>
      </c>
      <c r="CN465" s="0" t="s">
        <v>5033</v>
      </c>
      <c r="CO465" s="0" t="s">
        <v>228</v>
      </c>
      <c r="CP465" s="0" t="s">
        <v>228</v>
      </c>
      <c r="CQ465" s="0" t="s">
        <v>228</v>
      </c>
      <c r="CR465" s="0" t="s">
        <v>228</v>
      </c>
      <c r="CS465" s="0" t="s">
        <v>3743</v>
      </c>
      <c r="CT465" s="0" t="s">
        <v>3568</v>
      </c>
      <c r="CU465" s="0" t="s">
        <v>3569</v>
      </c>
      <c r="CV465" s="0" t="s">
        <v>418</v>
      </c>
      <c r="CW465" s="0" t="s">
        <v>3622</v>
      </c>
      <c r="CX465" s="0" t="s">
        <v>419</v>
      </c>
      <c r="CY465" s="0" t="s">
        <v>418</v>
      </c>
      <c r="CZ465" s="0" t="s">
        <v>3623</v>
      </c>
      <c r="DA465" s="0" t="s">
        <v>3624</v>
      </c>
      <c r="DB465" s="0" t="s">
        <v>3622</v>
      </c>
      <c r="DC465" s="0" t="s">
        <v>362</v>
      </c>
      <c r="DD465" s="0" t="s">
        <v>3572</v>
      </c>
      <c r="DE465" s="0" t="s">
        <v>5034</v>
      </c>
    </row>
    <row customHeight="1" ht="11.25">
      <c r="A466" s="1353" t="s">
        <v>228</v>
      </c>
      <c r="B466" s="0" t="s">
        <v>228</v>
      </c>
      <c r="C466" s="0" t="s">
        <v>228</v>
      </c>
      <c r="D466" s="0" t="s">
        <v>228</v>
      </c>
      <c r="E466" s="0" t="s">
        <v>228</v>
      </c>
      <c r="F466" s="0" t="s">
        <v>228</v>
      </c>
      <c r="G466" s="0" t="s">
        <v>228</v>
      </c>
      <c r="H466" s="0" t="s">
        <v>228</v>
      </c>
      <c r="I466" s="0" t="s">
        <v>3555</v>
      </c>
      <c r="J466" s="0" t="s">
        <v>228</v>
      </c>
      <c r="K466" s="0" t="s">
        <v>228</v>
      </c>
      <c r="L466" s="0" t="s">
        <v>228</v>
      </c>
      <c r="M466" s="0" t="s">
        <v>228</v>
      </c>
      <c r="N466" s="0" t="s">
        <v>228</v>
      </c>
      <c r="O466" s="0" t="s">
        <v>228</v>
      </c>
      <c r="P466" s="0" t="s">
        <v>228</v>
      </c>
      <c r="Q466" s="0" t="s">
        <v>228</v>
      </c>
      <c r="R466" s="0" t="s">
        <v>3648</v>
      </c>
      <c r="S466" s="0" t="s">
        <v>228</v>
      </c>
      <c r="T466" s="0" t="s">
        <v>228</v>
      </c>
      <c r="U466" s="0" t="s">
        <v>101</v>
      </c>
      <c r="V466" s="0" t="s">
        <v>228</v>
      </c>
      <c r="W466" s="0" t="s">
        <v>228</v>
      </c>
      <c r="X466" s="0" t="s">
        <v>3557</v>
      </c>
      <c r="Y466" s="0" t="s">
        <v>228</v>
      </c>
      <c r="Z466" s="0" t="s">
        <v>160</v>
      </c>
      <c r="AA466" s="0" t="s">
        <v>151</v>
      </c>
      <c r="AB466" s="0" t="s">
        <v>151</v>
      </c>
      <c r="AC466" s="0" t="s">
        <v>2317</v>
      </c>
      <c r="AD466" s="0" t="s">
        <v>2317</v>
      </c>
      <c r="AE466" s="0" t="s">
        <v>2318</v>
      </c>
      <c r="AF466" s="0" t="s">
        <v>4283</v>
      </c>
      <c r="AG466" s="0" t="s">
        <v>4284</v>
      </c>
      <c r="AH466" s="0" t="s">
        <v>4285</v>
      </c>
      <c r="AI466" s="0" t="s">
        <v>4286</v>
      </c>
      <c r="AJ466" s="0" t="s">
        <v>4287</v>
      </c>
      <c r="AK466" s="0" t="s">
        <v>3853</v>
      </c>
      <c r="AL466" s="0" t="s">
        <v>3581</v>
      </c>
      <c r="AM466" s="0" t="s">
        <v>3565</v>
      </c>
      <c r="AN466" s="0" t="s">
        <v>3628</v>
      </c>
      <c r="AO466" s="0" t="s">
        <v>3946</v>
      </c>
      <c r="AP466" s="0" t="s">
        <v>228</v>
      </c>
      <c r="AQ466" s="0" t="s">
        <v>228</v>
      </c>
      <c r="AR466" s="0" t="s">
        <v>228</v>
      </c>
      <c r="AS466" s="0" t="s">
        <v>228</v>
      </c>
      <c r="AT466" s="0" t="s">
        <v>228</v>
      </c>
      <c r="AU466" s="0" t="s">
        <v>228</v>
      </c>
      <c r="AV466" s="0" t="s">
        <v>228</v>
      </c>
      <c r="AW466" s="0" t="s">
        <v>228</v>
      </c>
      <c r="AX466" s="0" t="s">
        <v>228</v>
      </c>
      <c r="AY466" s="0" t="s">
        <v>228</v>
      </c>
      <c r="AZ466" s="0" t="s">
        <v>228</v>
      </c>
      <c r="BA466" s="0" t="s">
        <v>228</v>
      </c>
      <c r="BB466" s="0" t="s">
        <v>228</v>
      </c>
      <c r="BC466" s="0" t="s">
        <v>228</v>
      </c>
      <c r="BD466" s="0" t="s">
        <v>228</v>
      </c>
      <c r="BE466" s="0" t="s">
        <v>228</v>
      </c>
      <c r="BF466" s="0" t="s">
        <v>228</v>
      </c>
      <c r="BG466" s="0" t="s">
        <v>228</v>
      </c>
      <c r="BH466" s="0" t="s">
        <v>228</v>
      </c>
      <c r="BI466" s="0" t="s">
        <v>228</v>
      </c>
      <c r="BJ466" s="0" t="s">
        <v>228</v>
      </c>
      <c r="BK466" s="0" t="s">
        <v>228</v>
      </c>
      <c r="BL466" s="0" t="s">
        <v>228</v>
      </c>
      <c r="BM466" s="0" t="s">
        <v>228</v>
      </c>
      <c r="BN466" s="0" t="s">
        <v>228</v>
      </c>
      <c r="BO466" s="0" t="s">
        <v>228</v>
      </c>
      <c r="BP466" s="0" t="s">
        <v>228</v>
      </c>
      <c r="BQ466" s="0" t="s">
        <v>228</v>
      </c>
      <c r="BR466" s="0" t="s">
        <v>228</v>
      </c>
      <c r="BS466" s="0" t="s">
        <v>228</v>
      </c>
      <c r="BT466" s="0" t="s">
        <v>228</v>
      </c>
      <c r="BU466" s="0" t="s">
        <v>228</v>
      </c>
      <c r="BV466" s="0" t="s">
        <v>228</v>
      </c>
      <c r="BW466" s="0" t="s">
        <v>228</v>
      </c>
      <c r="BX466" s="0" t="s">
        <v>228</v>
      </c>
      <c r="BY466" s="0" t="s">
        <v>228</v>
      </c>
      <c r="BZ466" s="0" t="s">
        <v>228</v>
      </c>
      <c r="CA466" s="0" t="s">
        <v>228</v>
      </c>
      <c r="CB466" s="0" t="s">
        <v>228</v>
      </c>
      <c r="CC466" s="0" t="s">
        <v>228</v>
      </c>
      <c r="CD466" s="0" t="s">
        <v>228</v>
      </c>
      <c r="CE466" s="0" t="s">
        <v>228</v>
      </c>
      <c r="CF466" s="0" t="s">
        <v>228</v>
      </c>
      <c r="CG466" s="0" t="s">
        <v>228</v>
      </c>
      <c r="CH466" s="0" t="s">
        <v>228</v>
      </c>
      <c r="CI466" s="0" t="s">
        <v>228</v>
      </c>
      <c r="CJ466" s="0" t="s">
        <v>228</v>
      </c>
      <c r="CK466" s="0" t="s">
        <v>228</v>
      </c>
      <c r="CL466" s="0" t="s">
        <v>228</v>
      </c>
      <c r="CM466" s="0" t="s">
        <v>228</v>
      </c>
      <c r="CN466" s="0" t="s">
        <v>228</v>
      </c>
      <c r="CO466" s="0" t="s">
        <v>228</v>
      </c>
      <c r="CP466" s="0" t="s">
        <v>228</v>
      </c>
      <c r="CQ466" s="0" t="s">
        <v>228</v>
      </c>
      <c r="CR466" s="0" t="s">
        <v>228</v>
      </c>
      <c r="CS466" s="0" t="s">
        <v>228</v>
      </c>
      <c r="CT466" s="0" t="s">
        <v>3568</v>
      </c>
      <c r="CU466" s="0" t="s">
        <v>3569</v>
      </c>
      <c r="CV466" s="0" t="s">
        <v>418</v>
      </c>
      <c r="CW466" s="0" t="s">
        <v>3622</v>
      </c>
      <c r="CX466" s="0" t="s">
        <v>419</v>
      </c>
      <c r="CY466" s="0" t="s">
        <v>418</v>
      </c>
      <c r="CZ466" s="0" t="s">
        <v>3623</v>
      </c>
      <c r="DA466" s="0" t="s">
        <v>3624</v>
      </c>
      <c r="DB466" s="0" t="s">
        <v>3622</v>
      </c>
      <c r="DC466" s="0" t="s">
        <v>362</v>
      </c>
      <c r="DD466" s="0" t="s">
        <v>3572</v>
      </c>
      <c r="DE466" s="0" t="s">
        <v>4288</v>
      </c>
    </row>
    <row customHeight="1" ht="11.25">
      <c r="A467" s="1353" t="s">
        <v>228</v>
      </c>
      <c r="B467" s="0" t="s">
        <v>228</v>
      </c>
      <c r="C467" s="0" t="s">
        <v>228</v>
      </c>
      <c r="D467" s="0" t="s">
        <v>228</v>
      </c>
      <c r="E467" s="0" t="s">
        <v>228</v>
      </c>
      <c r="F467" s="0" t="s">
        <v>228</v>
      </c>
      <c r="G467" s="0" t="s">
        <v>228</v>
      </c>
      <c r="H467" s="0" t="s">
        <v>228</v>
      </c>
      <c r="I467" s="0" t="s">
        <v>3555</v>
      </c>
      <c r="J467" s="0" t="s">
        <v>228</v>
      </c>
      <c r="K467" s="0" t="s">
        <v>228</v>
      </c>
      <c r="L467" s="0" t="s">
        <v>228</v>
      </c>
      <c r="M467" s="0" t="s">
        <v>228</v>
      </c>
      <c r="N467" s="0" t="s">
        <v>228</v>
      </c>
      <c r="O467" s="0" t="s">
        <v>228</v>
      </c>
      <c r="P467" s="0" t="s">
        <v>228</v>
      </c>
      <c r="Q467" s="0" t="s">
        <v>228</v>
      </c>
      <c r="R467" s="0" t="s">
        <v>4357</v>
      </c>
      <c r="S467" s="0" t="s">
        <v>228</v>
      </c>
      <c r="T467" s="0" t="s">
        <v>228</v>
      </c>
      <c r="U467" s="0" t="s">
        <v>101</v>
      </c>
      <c r="V467" s="0" t="s">
        <v>228</v>
      </c>
      <c r="W467" s="0" t="s">
        <v>228</v>
      </c>
      <c r="X467" s="0" t="s">
        <v>3661</v>
      </c>
      <c r="Y467" s="0" t="s">
        <v>228</v>
      </c>
      <c r="Z467" s="0" t="s">
        <v>151</v>
      </c>
      <c r="AA467" s="0" t="s">
        <v>151</v>
      </c>
      <c r="AB467" s="0" t="s">
        <v>160</v>
      </c>
      <c r="AC467" s="0" t="s">
        <v>2317</v>
      </c>
      <c r="AD467" s="0" t="s">
        <v>2317</v>
      </c>
      <c r="AE467" s="0" t="s">
        <v>2318</v>
      </c>
      <c r="AF467" s="0" t="s">
        <v>4283</v>
      </c>
      <c r="AG467" s="0" t="s">
        <v>4284</v>
      </c>
      <c r="AH467" s="0" t="s">
        <v>3651</v>
      </c>
      <c r="AI467" s="0" t="s">
        <v>3651</v>
      </c>
      <c r="AJ467" s="0" t="s">
        <v>228</v>
      </c>
      <c r="AK467" s="0" t="s">
        <v>228</v>
      </c>
      <c r="AL467" s="0" t="s">
        <v>228</v>
      </c>
      <c r="AM467" s="0" t="s">
        <v>228</v>
      </c>
      <c r="AN467" s="0" t="s">
        <v>228</v>
      </c>
      <c r="AO467" s="0" t="s">
        <v>228</v>
      </c>
      <c r="AP467" s="0" t="s">
        <v>228</v>
      </c>
      <c r="AQ467" s="0" t="s">
        <v>228</v>
      </c>
      <c r="AR467" s="0" t="s">
        <v>228</v>
      </c>
      <c r="AS467" s="0" t="s">
        <v>228</v>
      </c>
      <c r="AT467" s="0" t="s">
        <v>228</v>
      </c>
      <c r="AU467" s="0" t="s">
        <v>228</v>
      </c>
      <c r="AV467" s="0" t="s">
        <v>228</v>
      </c>
      <c r="AW467" s="0" t="s">
        <v>228</v>
      </c>
      <c r="AX467" s="0" t="s">
        <v>228</v>
      </c>
      <c r="AY467" s="0" t="s">
        <v>228</v>
      </c>
      <c r="AZ467" s="0" t="s">
        <v>228</v>
      </c>
      <c r="BA467" s="0" t="s">
        <v>228</v>
      </c>
      <c r="BB467" s="0" t="s">
        <v>228</v>
      </c>
      <c r="BC467" s="0" t="s">
        <v>228</v>
      </c>
      <c r="BD467" s="0" t="s">
        <v>228</v>
      </c>
      <c r="BE467" s="0" t="s">
        <v>3627</v>
      </c>
      <c r="BF467" s="0" t="s">
        <v>3749</v>
      </c>
      <c r="BG467" s="0" t="s">
        <v>111</v>
      </c>
      <c r="BH467" s="0" t="s">
        <v>3665</v>
      </c>
      <c r="BI467" s="0" t="s">
        <v>122</v>
      </c>
      <c r="BJ467" s="0" t="s">
        <v>228</v>
      </c>
      <c r="BK467" s="0" t="s">
        <v>3684</v>
      </c>
      <c r="BL467" s="0" t="s">
        <v>2317</v>
      </c>
      <c r="BM467" s="0" t="s">
        <v>2317</v>
      </c>
      <c r="BN467" s="0" t="s">
        <v>3740</v>
      </c>
      <c r="BO467" s="0" t="s">
        <v>4283</v>
      </c>
      <c r="BP467" s="0" t="s">
        <v>4358</v>
      </c>
      <c r="BQ467" s="0" t="s">
        <v>3651</v>
      </c>
      <c r="BR467" s="0" t="s">
        <v>3651</v>
      </c>
      <c r="BS467" s="0" t="s">
        <v>228</v>
      </c>
      <c r="BT467" s="0" t="s">
        <v>3727</v>
      </c>
      <c r="BU467" s="0" t="s">
        <v>4359</v>
      </c>
      <c r="BV467" s="0" t="s">
        <v>4359</v>
      </c>
      <c r="BW467" s="0" t="s">
        <v>3674</v>
      </c>
      <c r="BX467" s="0" t="s">
        <v>3674</v>
      </c>
      <c r="BY467" s="0" t="s">
        <v>3674</v>
      </c>
      <c r="BZ467" s="0" t="s">
        <v>3674</v>
      </c>
      <c r="CA467" s="0" t="s">
        <v>3674</v>
      </c>
      <c r="CB467" s="0" t="s">
        <v>228</v>
      </c>
      <c r="CC467" s="0" t="s">
        <v>228</v>
      </c>
      <c r="CD467" s="0" t="s">
        <v>228</v>
      </c>
      <c r="CE467" s="0" t="s">
        <v>228</v>
      </c>
      <c r="CF467" s="0" t="s">
        <v>228</v>
      </c>
      <c r="CG467" s="0" t="s">
        <v>3674</v>
      </c>
      <c r="CH467" s="0" t="s">
        <v>228</v>
      </c>
      <c r="CI467" s="0" t="s">
        <v>228</v>
      </c>
      <c r="CJ467" s="0" t="s">
        <v>228</v>
      </c>
      <c r="CK467" s="0" t="s">
        <v>228</v>
      </c>
      <c r="CL467" s="0" t="s">
        <v>228</v>
      </c>
      <c r="CM467" s="0" t="s">
        <v>4359</v>
      </c>
      <c r="CN467" s="0" t="s">
        <v>4359</v>
      </c>
      <c r="CO467" s="0" t="s">
        <v>228</v>
      </c>
      <c r="CP467" s="0" t="s">
        <v>228</v>
      </c>
      <c r="CQ467" s="0" t="s">
        <v>228</v>
      </c>
      <c r="CR467" s="0" t="s">
        <v>228</v>
      </c>
      <c r="CS467" s="0" t="s">
        <v>3743</v>
      </c>
      <c r="CT467" s="0" t="s">
        <v>3568</v>
      </c>
      <c r="CU467" s="0" t="s">
        <v>3569</v>
      </c>
      <c r="CV467" s="0" t="s">
        <v>418</v>
      </c>
      <c r="CW467" s="0" t="s">
        <v>3622</v>
      </c>
      <c r="CX467" s="0" t="s">
        <v>419</v>
      </c>
      <c r="CY467" s="0" t="s">
        <v>418</v>
      </c>
      <c r="CZ467" s="0" t="s">
        <v>3623</v>
      </c>
      <c r="DA467" s="0" t="s">
        <v>3624</v>
      </c>
      <c r="DB467" s="0" t="s">
        <v>3622</v>
      </c>
      <c r="DC467" s="0" t="s">
        <v>362</v>
      </c>
      <c r="DD467" s="0" t="s">
        <v>3572</v>
      </c>
      <c r="DE467" s="0" t="s">
        <v>4360</v>
      </c>
    </row>
    <row customHeight="1" ht="11.25">
      <c r="A468" s="1353" t="s">
        <v>228</v>
      </c>
      <c r="B468" s="0" t="s">
        <v>228</v>
      </c>
      <c r="C468" s="0" t="s">
        <v>228</v>
      </c>
      <c r="D468" s="0" t="s">
        <v>228</v>
      </c>
      <c r="E468" s="0" t="s">
        <v>228</v>
      </c>
      <c r="F468" s="0" t="s">
        <v>228</v>
      </c>
      <c r="G468" s="0" t="s">
        <v>228</v>
      </c>
      <c r="H468" s="0" t="s">
        <v>228</v>
      </c>
      <c r="I468" s="0" t="s">
        <v>3555</v>
      </c>
      <c r="J468" s="0" t="s">
        <v>228</v>
      </c>
      <c r="K468" s="0" t="s">
        <v>228</v>
      </c>
      <c r="L468" s="0" t="s">
        <v>228</v>
      </c>
      <c r="M468" s="0" t="s">
        <v>228</v>
      </c>
      <c r="N468" s="0" t="s">
        <v>228</v>
      </c>
      <c r="O468" s="0" t="s">
        <v>228</v>
      </c>
      <c r="P468" s="0" t="s">
        <v>228</v>
      </c>
      <c r="Q468" s="0" t="s">
        <v>228</v>
      </c>
      <c r="R468" s="0" t="s">
        <v>5084</v>
      </c>
      <c r="S468" s="0" t="s">
        <v>228</v>
      </c>
      <c r="T468" s="0" t="s">
        <v>228</v>
      </c>
      <c r="U468" s="0" t="s">
        <v>101</v>
      </c>
      <c r="V468" s="0" t="s">
        <v>228</v>
      </c>
      <c r="W468" s="0" t="s">
        <v>228</v>
      </c>
      <c r="X468" s="0" t="s">
        <v>3557</v>
      </c>
      <c r="Y468" s="0" t="s">
        <v>228</v>
      </c>
      <c r="Z468" s="0" t="s">
        <v>160</v>
      </c>
      <c r="AA468" s="0" t="s">
        <v>151</v>
      </c>
      <c r="AB468" s="0" t="s">
        <v>151</v>
      </c>
      <c r="AC468" s="0" t="s">
        <v>2715</v>
      </c>
      <c r="AD468" s="0" t="s">
        <v>2715</v>
      </c>
      <c r="AE468" s="0" t="s">
        <v>2716</v>
      </c>
      <c r="AF468" s="0" t="s">
        <v>3594</v>
      </c>
      <c r="AG468" s="0" t="s">
        <v>3595</v>
      </c>
      <c r="AH468" s="0" t="s">
        <v>4362</v>
      </c>
      <c r="AI468" s="0" t="s">
        <v>3608</v>
      </c>
      <c r="AJ468" s="0" t="s">
        <v>3858</v>
      </c>
      <c r="AK468" s="0" t="s">
        <v>4363</v>
      </c>
      <c r="AL468" s="0" t="s">
        <v>3599</v>
      </c>
      <c r="AM468" s="0" t="s">
        <v>3565</v>
      </c>
      <c r="AN468" s="0" t="s">
        <v>4364</v>
      </c>
      <c r="AO468" s="0" t="s">
        <v>4365</v>
      </c>
      <c r="AP468" s="0" t="s">
        <v>228</v>
      </c>
      <c r="AQ468" s="0" t="s">
        <v>228</v>
      </c>
      <c r="AR468" s="0" t="s">
        <v>228</v>
      </c>
      <c r="AS468" s="0" t="s">
        <v>228</v>
      </c>
      <c r="AT468" s="0" t="s">
        <v>228</v>
      </c>
      <c r="AU468" s="0" t="s">
        <v>228</v>
      </c>
      <c r="AV468" s="0" t="s">
        <v>228</v>
      </c>
      <c r="AW468" s="0" t="s">
        <v>228</v>
      </c>
      <c r="AX468" s="0" t="s">
        <v>228</v>
      </c>
      <c r="AY468" s="0" t="s">
        <v>228</v>
      </c>
      <c r="AZ468" s="0" t="s">
        <v>228</v>
      </c>
      <c r="BA468" s="0" t="s">
        <v>228</v>
      </c>
      <c r="BB468" s="0" t="s">
        <v>228</v>
      </c>
      <c r="BC468" s="0" t="s">
        <v>228</v>
      </c>
      <c r="BD468" s="0" t="s">
        <v>228</v>
      </c>
      <c r="BE468" s="0" t="s">
        <v>228</v>
      </c>
      <c r="BF468" s="0" t="s">
        <v>228</v>
      </c>
      <c r="BG468" s="0" t="s">
        <v>228</v>
      </c>
      <c r="BH468" s="0" t="s">
        <v>228</v>
      </c>
      <c r="BI468" s="0" t="s">
        <v>228</v>
      </c>
      <c r="BJ468" s="0" t="s">
        <v>228</v>
      </c>
      <c r="BK468" s="0" t="s">
        <v>228</v>
      </c>
      <c r="BL468" s="0" t="s">
        <v>228</v>
      </c>
      <c r="BM468" s="0" t="s">
        <v>228</v>
      </c>
      <c r="BN468" s="0" t="s">
        <v>228</v>
      </c>
      <c r="BO468" s="0" t="s">
        <v>228</v>
      </c>
      <c r="BP468" s="0" t="s">
        <v>228</v>
      </c>
      <c r="BQ468" s="0" t="s">
        <v>228</v>
      </c>
      <c r="BR468" s="0" t="s">
        <v>228</v>
      </c>
      <c r="BS468" s="0" t="s">
        <v>228</v>
      </c>
      <c r="BT468" s="0" t="s">
        <v>228</v>
      </c>
      <c r="BU468" s="0" t="s">
        <v>228</v>
      </c>
      <c r="BV468" s="0" t="s">
        <v>228</v>
      </c>
      <c r="BW468" s="0" t="s">
        <v>228</v>
      </c>
      <c r="BX468" s="0" t="s">
        <v>228</v>
      </c>
      <c r="BY468" s="0" t="s">
        <v>228</v>
      </c>
      <c r="BZ468" s="0" t="s">
        <v>228</v>
      </c>
      <c r="CA468" s="0" t="s">
        <v>228</v>
      </c>
      <c r="CB468" s="0" t="s">
        <v>228</v>
      </c>
      <c r="CC468" s="0" t="s">
        <v>228</v>
      </c>
      <c r="CD468" s="0" t="s">
        <v>228</v>
      </c>
      <c r="CE468" s="0" t="s">
        <v>228</v>
      </c>
      <c r="CF468" s="0" t="s">
        <v>228</v>
      </c>
      <c r="CG468" s="0" t="s">
        <v>228</v>
      </c>
      <c r="CH468" s="0" t="s">
        <v>228</v>
      </c>
      <c r="CI468" s="0" t="s">
        <v>228</v>
      </c>
      <c r="CJ468" s="0" t="s">
        <v>228</v>
      </c>
      <c r="CK468" s="0" t="s">
        <v>228</v>
      </c>
      <c r="CL468" s="0" t="s">
        <v>228</v>
      </c>
      <c r="CM468" s="0" t="s">
        <v>228</v>
      </c>
      <c r="CN468" s="0" t="s">
        <v>228</v>
      </c>
      <c r="CO468" s="0" t="s">
        <v>228</v>
      </c>
      <c r="CP468" s="0" t="s">
        <v>228</v>
      </c>
      <c r="CQ468" s="0" t="s">
        <v>228</v>
      </c>
      <c r="CR468" s="0" t="s">
        <v>228</v>
      </c>
      <c r="CS468" s="0" t="s">
        <v>228</v>
      </c>
      <c r="CT468" s="0" t="s">
        <v>3568</v>
      </c>
      <c r="CU468" s="0" t="s">
        <v>3569</v>
      </c>
      <c r="CV468" s="0" t="s">
        <v>418</v>
      </c>
      <c r="CW468" s="0" t="s">
        <v>3602</v>
      </c>
      <c r="CX468" s="0" t="s">
        <v>3603</v>
      </c>
      <c r="CY468" s="0" t="s">
        <v>418</v>
      </c>
      <c r="CZ468" s="0" t="s">
        <v>504</v>
      </c>
      <c r="DA468" s="0" t="s">
        <v>3604</v>
      </c>
      <c r="DB468" s="0" t="s">
        <v>3602</v>
      </c>
      <c r="DC468" s="0" t="s">
        <v>362</v>
      </c>
      <c r="DD468" s="0" t="s">
        <v>3572</v>
      </c>
      <c r="DE468" s="0" t="s">
        <v>4366</v>
      </c>
    </row>
    <row customHeight="1" ht="11.25">
      <c r="A469" s="1353" t="s">
        <v>228</v>
      </c>
      <c r="B469" s="0" t="s">
        <v>228</v>
      </c>
      <c r="C469" s="0" t="s">
        <v>228</v>
      </c>
      <c r="D469" s="0" t="s">
        <v>228</v>
      </c>
      <c r="E469" s="0" t="s">
        <v>228</v>
      </c>
      <c r="F469" s="0" t="s">
        <v>228</v>
      </c>
      <c r="G469" s="0" t="s">
        <v>228</v>
      </c>
      <c r="H469" s="0" t="s">
        <v>228</v>
      </c>
      <c r="I469" s="0" t="s">
        <v>3555</v>
      </c>
      <c r="J469" s="0" t="s">
        <v>228</v>
      </c>
      <c r="K469" s="0" t="s">
        <v>228</v>
      </c>
      <c r="L469" s="0" t="s">
        <v>228</v>
      </c>
      <c r="M469" s="0" t="s">
        <v>228</v>
      </c>
      <c r="N469" s="0" t="s">
        <v>228</v>
      </c>
      <c r="O469" s="0" t="s">
        <v>228</v>
      </c>
      <c r="P469" s="0" t="s">
        <v>228</v>
      </c>
      <c r="Q469" s="0" t="s">
        <v>228</v>
      </c>
      <c r="R469" s="0" t="s">
        <v>3648</v>
      </c>
      <c r="S469" s="0" t="s">
        <v>228</v>
      </c>
      <c r="T469" s="0" t="s">
        <v>228</v>
      </c>
      <c r="U469" s="0" t="s">
        <v>101</v>
      </c>
      <c r="V469" s="0" t="s">
        <v>228</v>
      </c>
      <c r="W469" s="0" t="s">
        <v>228</v>
      </c>
      <c r="X469" s="0" t="s">
        <v>3557</v>
      </c>
      <c r="Y469" s="0" t="s">
        <v>228</v>
      </c>
      <c r="Z469" s="0" t="s">
        <v>160</v>
      </c>
      <c r="AA469" s="0" t="s">
        <v>151</v>
      </c>
      <c r="AB469" s="0" t="s">
        <v>151</v>
      </c>
      <c r="AC469" s="0" t="s">
        <v>2317</v>
      </c>
      <c r="AD469" s="0" t="s">
        <v>2317</v>
      </c>
      <c r="AE469" s="0" t="s">
        <v>2318</v>
      </c>
      <c r="AF469" s="0" t="s">
        <v>4629</v>
      </c>
      <c r="AG469" s="0" t="s">
        <v>4630</v>
      </c>
      <c r="AH469" s="0" t="s">
        <v>4555</v>
      </c>
      <c r="AI469" s="0" t="s">
        <v>1747</v>
      </c>
      <c r="AJ469" s="0" t="s">
        <v>4514</v>
      </c>
      <c r="AK469" s="0" t="s">
        <v>3749</v>
      </c>
      <c r="AL469" s="0" t="s">
        <v>3581</v>
      </c>
      <c r="AM469" s="0" t="s">
        <v>3565</v>
      </c>
      <c r="AN469" s="0" t="s">
        <v>3628</v>
      </c>
      <c r="AO469" s="0" t="s">
        <v>4132</v>
      </c>
      <c r="AP469" s="0" t="s">
        <v>228</v>
      </c>
      <c r="AQ469" s="0" t="s">
        <v>228</v>
      </c>
      <c r="AR469" s="0" t="s">
        <v>228</v>
      </c>
      <c r="AS469" s="0" t="s">
        <v>228</v>
      </c>
      <c r="AT469" s="0" t="s">
        <v>228</v>
      </c>
      <c r="AU469" s="0" t="s">
        <v>228</v>
      </c>
      <c r="AV469" s="0" t="s">
        <v>228</v>
      </c>
      <c r="AW469" s="0" t="s">
        <v>228</v>
      </c>
      <c r="AX469" s="0" t="s">
        <v>228</v>
      </c>
      <c r="AY469" s="0" t="s">
        <v>228</v>
      </c>
      <c r="AZ469" s="0" t="s">
        <v>228</v>
      </c>
      <c r="BA469" s="0" t="s">
        <v>228</v>
      </c>
      <c r="BB469" s="0" t="s">
        <v>228</v>
      </c>
      <c r="BC469" s="0" t="s">
        <v>228</v>
      </c>
      <c r="BD469" s="0" t="s">
        <v>228</v>
      </c>
      <c r="BE469" s="0" t="s">
        <v>228</v>
      </c>
      <c r="BF469" s="0" t="s">
        <v>228</v>
      </c>
      <c r="BG469" s="0" t="s">
        <v>228</v>
      </c>
      <c r="BH469" s="0" t="s">
        <v>228</v>
      </c>
      <c r="BI469" s="0" t="s">
        <v>228</v>
      </c>
      <c r="BJ469" s="0" t="s">
        <v>228</v>
      </c>
      <c r="BK469" s="0" t="s">
        <v>228</v>
      </c>
      <c r="BL469" s="0" t="s">
        <v>228</v>
      </c>
      <c r="BM469" s="0" t="s">
        <v>228</v>
      </c>
      <c r="BN469" s="0" t="s">
        <v>228</v>
      </c>
      <c r="BO469" s="0" t="s">
        <v>228</v>
      </c>
      <c r="BP469" s="0" t="s">
        <v>228</v>
      </c>
      <c r="BQ469" s="0" t="s">
        <v>228</v>
      </c>
      <c r="BR469" s="0" t="s">
        <v>228</v>
      </c>
      <c r="BS469" s="0" t="s">
        <v>228</v>
      </c>
      <c r="BT469" s="0" t="s">
        <v>228</v>
      </c>
      <c r="BU469" s="0" t="s">
        <v>228</v>
      </c>
      <c r="BV469" s="0" t="s">
        <v>228</v>
      </c>
      <c r="BW469" s="0" t="s">
        <v>228</v>
      </c>
      <c r="BX469" s="0" t="s">
        <v>228</v>
      </c>
      <c r="BY469" s="0" t="s">
        <v>228</v>
      </c>
      <c r="BZ469" s="0" t="s">
        <v>228</v>
      </c>
      <c r="CA469" s="0" t="s">
        <v>228</v>
      </c>
      <c r="CB469" s="0" t="s">
        <v>228</v>
      </c>
      <c r="CC469" s="0" t="s">
        <v>228</v>
      </c>
      <c r="CD469" s="0" t="s">
        <v>228</v>
      </c>
      <c r="CE469" s="0" t="s">
        <v>228</v>
      </c>
      <c r="CF469" s="0" t="s">
        <v>228</v>
      </c>
      <c r="CG469" s="0" t="s">
        <v>228</v>
      </c>
      <c r="CH469" s="0" t="s">
        <v>228</v>
      </c>
      <c r="CI469" s="0" t="s">
        <v>228</v>
      </c>
      <c r="CJ469" s="0" t="s">
        <v>228</v>
      </c>
      <c r="CK469" s="0" t="s">
        <v>228</v>
      </c>
      <c r="CL469" s="0" t="s">
        <v>228</v>
      </c>
      <c r="CM469" s="0" t="s">
        <v>228</v>
      </c>
      <c r="CN469" s="0" t="s">
        <v>228</v>
      </c>
      <c r="CO469" s="0" t="s">
        <v>228</v>
      </c>
      <c r="CP469" s="0" t="s">
        <v>228</v>
      </c>
      <c r="CQ469" s="0" t="s">
        <v>228</v>
      </c>
      <c r="CR469" s="0" t="s">
        <v>228</v>
      </c>
      <c r="CS469" s="0" t="s">
        <v>228</v>
      </c>
      <c r="CT469" s="0" t="s">
        <v>3568</v>
      </c>
      <c r="CU469" s="0" t="s">
        <v>3569</v>
      </c>
      <c r="CV469" s="0" t="s">
        <v>418</v>
      </c>
      <c r="CW469" s="0" t="s">
        <v>3622</v>
      </c>
      <c r="CX469" s="0" t="s">
        <v>419</v>
      </c>
      <c r="CY469" s="0" t="s">
        <v>418</v>
      </c>
      <c r="CZ469" s="0" t="s">
        <v>3623</v>
      </c>
      <c r="DA469" s="0" t="s">
        <v>3624</v>
      </c>
      <c r="DB469" s="0" t="s">
        <v>3622</v>
      </c>
      <c r="DC469" s="0" t="s">
        <v>362</v>
      </c>
      <c r="DD469" s="0" t="s">
        <v>3572</v>
      </c>
      <c r="DE469" s="0" t="s">
        <v>4631</v>
      </c>
    </row>
    <row customHeight="1" ht="11.25">
      <c r="A470" s="1353" t="s">
        <v>228</v>
      </c>
      <c r="B470" s="0" t="s">
        <v>228</v>
      </c>
      <c r="C470" s="0" t="s">
        <v>228</v>
      </c>
      <c r="D470" s="0" t="s">
        <v>228</v>
      </c>
      <c r="E470" s="0" t="s">
        <v>228</v>
      </c>
      <c r="F470" s="0" t="s">
        <v>228</v>
      </c>
      <c r="G470" s="0" t="s">
        <v>228</v>
      </c>
      <c r="H470" s="0" t="s">
        <v>228</v>
      </c>
      <c r="I470" s="0" t="s">
        <v>3555</v>
      </c>
      <c r="J470" s="0" t="s">
        <v>228</v>
      </c>
      <c r="K470" s="0" t="s">
        <v>228</v>
      </c>
      <c r="L470" s="0" t="s">
        <v>228</v>
      </c>
      <c r="M470" s="0" t="s">
        <v>228</v>
      </c>
      <c r="N470" s="0" t="s">
        <v>228</v>
      </c>
      <c r="O470" s="0" t="s">
        <v>228</v>
      </c>
      <c r="P470" s="0" t="s">
        <v>228</v>
      </c>
      <c r="Q470" s="0" t="s">
        <v>228</v>
      </c>
      <c r="R470" s="0" t="s">
        <v>3648</v>
      </c>
      <c r="S470" s="0" t="s">
        <v>228</v>
      </c>
      <c r="T470" s="0" t="s">
        <v>228</v>
      </c>
      <c r="U470" s="0" t="s">
        <v>101</v>
      </c>
      <c r="V470" s="0" t="s">
        <v>228</v>
      </c>
      <c r="W470" s="0" t="s">
        <v>228</v>
      </c>
      <c r="X470" s="0" t="s">
        <v>3557</v>
      </c>
      <c r="Y470" s="0" t="s">
        <v>228</v>
      </c>
      <c r="Z470" s="0" t="s">
        <v>160</v>
      </c>
      <c r="AA470" s="0" t="s">
        <v>151</v>
      </c>
      <c r="AB470" s="0" t="s">
        <v>151</v>
      </c>
      <c r="AC470" s="0" t="s">
        <v>2315</v>
      </c>
      <c r="AD470" s="0" t="s">
        <v>2315</v>
      </c>
      <c r="AE470" s="0" t="s">
        <v>2316</v>
      </c>
      <c r="AF470" s="0" t="s">
        <v>4343</v>
      </c>
      <c r="AG470" s="0" t="s">
        <v>4344</v>
      </c>
      <c r="AH470" s="0" t="s">
        <v>4345</v>
      </c>
      <c r="AI470" s="0" t="s">
        <v>4346</v>
      </c>
      <c r="AJ470" s="0" t="s">
        <v>3652</v>
      </c>
      <c r="AK470" s="0" t="s">
        <v>4347</v>
      </c>
      <c r="AL470" s="0" t="s">
        <v>3581</v>
      </c>
      <c r="AM470" s="0" t="s">
        <v>3565</v>
      </c>
      <c r="AN470" s="0" t="s">
        <v>3654</v>
      </c>
      <c r="AO470" s="0" t="s">
        <v>3712</v>
      </c>
      <c r="AP470" s="0" t="s">
        <v>228</v>
      </c>
      <c r="AQ470" s="0" t="s">
        <v>228</v>
      </c>
      <c r="AR470" s="0" t="s">
        <v>228</v>
      </c>
      <c r="AS470" s="0" t="s">
        <v>228</v>
      </c>
      <c r="AT470" s="0" t="s">
        <v>228</v>
      </c>
      <c r="AU470" s="0" t="s">
        <v>228</v>
      </c>
      <c r="AV470" s="0" t="s">
        <v>228</v>
      </c>
      <c r="AW470" s="0" t="s">
        <v>228</v>
      </c>
      <c r="AX470" s="0" t="s">
        <v>228</v>
      </c>
      <c r="AY470" s="0" t="s">
        <v>228</v>
      </c>
      <c r="AZ470" s="0" t="s">
        <v>228</v>
      </c>
      <c r="BA470" s="0" t="s">
        <v>228</v>
      </c>
      <c r="BB470" s="0" t="s">
        <v>228</v>
      </c>
      <c r="BC470" s="0" t="s">
        <v>228</v>
      </c>
      <c r="BD470" s="0" t="s">
        <v>228</v>
      </c>
      <c r="BE470" s="0" t="s">
        <v>228</v>
      </c>
      <c r="BF470" s="0" t="s">
        <v>228</v>
      </c>
      <c r="BG470" s="0" t="s">
        <v>228</v>
      </c>
      <c r="BH470" s="0" t="s">
        <v>228</v>
      </c>
      <c r="BI470" s="0" t="s">
        <v>228</v>
      </c>
      <c r="BJ470" s="0" t="s">
        <v>228</v>
      </c>
      <c r="BK470" s="0" t="s">
        <v>228</v>
      </c>
      <c r="BL470" s="0" t="s">
        <v>228</v>
      </c>
      <c r="BM470" s="0" t="s">
        <v>228</v>
      </c>
      <c r="BN470" s="0" t="s">
        <v>228</v>
      </c>
      <c r="BO470" s="0" t="s">
        <v>228</v>
      </c>
      <c r="BP470" s="0" t="s">
        <v>228</v>
      </c>
      <c r="BQ470" s="0" t="s">
        <v>228</v>
      </c>
      <c r="BR470" s="0" t="s">
        <v>228</v>
      </c>
      <c r="BS470" s="0" t="s">
        <v>228</v>
      </c>
      <c r="BT470" s="0" t="s">
        <v>228</v>
      </c>
      <c r="BU470" s="0" t="s">
        <v>228</v>
      </c>
      <c r="BV470" s="0" t="s">
        <v>228</v>
      </c>
      <c r="BW470" s="0" t="s">
        <v>228</v>
      </c>
      <c r="BX470" s="0" t="s">
        <v>228</v>
      </c>
      <c r="BY470" s="0" t="s">
        <v>228</v>
      </c>
      <c r="BZ470" s="0" t="s">
        <v>228</v>
      </c>
      <c r="CA470" s="0" t="s">
        <v>228</v>
      </c>
      <c r="CB470" s="0" t="s">
        <v>228</v>
      </c>
      <c r="CC470" s="0" t="s">
        <v>228</v>
      </c>
      <c r="CD470" s="0" t="s">
        <v>228</v>
      </c>
      <c r="CE470" s="0" t="s">
        <v>228</v>
      </c>
      <c r="CF470" s="0" t="s">
        <v>228</v>
      </c>
      <c r="CG470" s="0" t="s">
        <v>228</v>
      </c>
      <c r="CH470" s="0" t="s">
        <v>228</v>
      </c>
      <c r="CI470" s="0" t="s">
        <v>228</v>
      </c>
      <c r="CJ470" s="0" t="s">
        <v>228</v>
      </c>
      <c r="CK470" s="0" t="s">
        <v>228</v>
      </c>
      <c r="CL470" s="0" t="s">
        <v>228</v>
      </c>
      <c r="CM470" s="0" t="s">
        <v>228</v>
      </c>
      <c r="CN470" s="0" t="s">
        <v>228</v>
      </c>
      <c r="CO470" s="0" t="s">
        <v>228</v>
      </c>
      <c r="CP470" s="0" t="s">
        <v>228</v>
      </c>
      <c r="CQ470" s="0" t="s">
        <v>228</v>
      </c>
      <c r="CR470" s="0" t="s">
        <v>228</v>
      </c>
      <c r="CS470" s="0" t="s">
        <v>228</v>
      </c>
      <c r="CT470" s="0" t="s">
        <v>3568</v>
      </c>
      <c r="CU470" s="0" t="s">
        <v>3569</v>
      </c>
      <c r="CV470" s="0" t="s">
        <v>418</v>
      </c>
      <c r="CW470" s="0" t="s">
        <v>3656</v>
      </c>
      <c r="CX470" s="0" t="s">
        <v>419</v>
      </c>
      <c r="CY470" s="0" t="s">
        <v>418</v>
      </c>
      <c r="CZ470" s="0" t="s">
        <v>3657</v>
      </c>
      <c r="DA470" s="0" t="s">
        <v>3658</v>
      </c>
      <c r="DB470" s="0" t="s">
        <v>3656</v>
      </c>
      <c r="DC470" s="0" t="s">
        <v>362</v>
      </c>
      <c r="DD470" s="0" t="s">
        <v>3572</v>
      </c>
      <c r="DE470" s="0" t="s">
        <v>4348</v>
      </c>
    </row>
    <row customHeight="1" ht="11.25">
      <c r="A471" s="1353" t="s">
        <v>228</v>
      </c>
      <c r="B471" s="0" t="s">
        <v>228</v>
      </c>
      <c r="C471" s="0" t="s">
        <v>228</v>
      </c>
      <c r="D471" s="0" t="s">
        <v>228</v>
      </c>
      <c r="E471" s="0" t="s">
        <v>228</v>
      </c>
      <c r="F471" s="0" t="s">
        <v>228</v>
      </c>
      <c r="G471" s="0" t="s">
        <v>228</v>
      </c>
      <c r="H471" s="0" t="s">
        <v>228</v>
      </c>
      <c r="I471" s="0" t="s">
        <v>3555</v>
      </c>
      <c r="J471" s="0" t="s">
        <v>228</v>
      </c>
      <c r="K471" s="0" t="s">
        <v>228</v>
      </c>
      <c r="L471" s="0" t="s">
        <v>228</v>
      </c>
      <c r="M471" s="0" t="s">
        <v>228</v>
      </c>
      <c r="N471" s="0" t="s">
        <v>228</v>
      </c>
      <c r="O471" s="0" t="s">
        <v>228</v>
      </c>
      <c r="P471" s="0" t="s">
        <v>228</v>
      </c>
      <c r="Q471" s="0" t="s">
        <v>228</v>
      </c>
      <c r="R471" s="0" t="s">
        <v>4636</v>
      </c>
      <c r="S471" s="0" t="s">
        <v>228</v>
      </c>
      <c r="T471" s="0" t="s">
        <v>228</v>
      </c>
      <c r="U471" s="0" t="s">
        <v>101</v>
      </c>
      <c r="V471" s="0" t="s">
        <v>228</v>
      </c>
      <c r="W471" s="0" t="s">
        <v>228</v>
      </c>
      <c r="X471" s="0" t="s">
        <v>3661</v>
      </c>
      <c r="Y471" s="0" t="s">
        <v>228</v>
      </c>
      <c r="Z471" s="0" t="s">
        <v>151</v>
      </c>
      <c r="AA471" s="0" t="s">
        <v>151</v>
      </c>
      <c r="AB471" s="0" t="s">
        <v>160</v>
      </c>
      <c r="AC471" s="0" t="s">
        <v>2315</v>
      </c>
      <c r="AD471" s="0" t="s">
        <v>2315</v>
      </c>
      <c r="AE471" s="0" t="s">
        <v>2316</v>
      </c>
      <c r="AF471" s="0" t="s">
        <v>4343</v>
      </c>
      <c r="AG471" s="0" t="s">
        <v>4344</v>
      </c>
      <c r="AH471" s="0" t="s">
        <v>3651</v>
      </c>
      <c r="AI471" s="0" t="s">
        <v>3651</v>
      </c>
      <c r="AJ471" s="0" t="s">
        <v>228</v>
      </c>
      <c r="AK471" s="0" t="s">
        <v>228</v>
      </c>
      <c r="AL471" s="0" t="s">
        <v>228</v>
      </c>
      <c r="AM471" s="0" t="s">
        <v>228</v>
      </c>
      <c r="AN471" s="0" t="s">
        <v>228</v>
      </c>
      <c r="AO471" s="0" t="s">
        <v>228</v>
      </c>
      <c r="AP471" s="0" t="s">
        <v>228</v>
      </c>
      <c r="AQ471" s="0" t="s">
        <v>228</v>
      </c>
      <c r="AR471" s="0" t="s">
        <v>228</v>
      </c>
      <c r="AS471" s="0" t="s">
        <v>228</v>
      </c>
      <c r="AT471" s="0" t="s">
        <v>228</v>
      </c>
      <c r="AU471" s="0" t="s">
        <v>228</v>
      </c>
      <c r="AV471" s="0" t="s">
        <v>228</v>
      </c>
      <c r="AW471" s="0" t="s">
        <v>228</v>
      </c>
      <c r="AX471" s="0" t="s">
        <v>228</v>
      </c>
      <c r="AY471" s="0" t="s">
        <v>228</v>
      </c>
      <c r="AZ471" s="0" t="s">
        <v>228</v>
      </c>
      <c r="BA471" s="0" t="s">
        <v>228</v>
      </c>
      <c r="BB471" s="0" t="s">
        <v>228</v>
      </c>
      <c r="BC471" s="0" t="s">
        <v>228</v>
      </c>
      <c r="BD471" s="0" t="s">
        <v>228</v>
      </c>
      <c r="BE471" s="0" t="s">
        <v>3652</v>
      </c>
      <c r="BF471" s="0" t="s">
        <v>4347</v>
      </c>
      <c r="BG471" s="0" t="s">
        <v>111</v>
      </c>
      <c r="BH471" s="0" t="s">
        <v>3665</v>
      </c>
      <c r="BI471" s="0" t="s">
        <v>122</v>
      </c>
      <c r="BJ471" s="0" t="s">
        <v>228</v>
      </c>
      <c r="BK471" s="0" t="s">
        <v>3684</v>
      </c>
      <c r="BL471" s="0" t="s">
        <v>2315</v>
      </c>
      <c r="BM471" s="0" t="s">
        <v>2315</v>
      </c>
      <c r="BN471" s="0" t="s">
        <v>3875</v>
      </c>
      <c r="BO471" s="0" t="s">
        <v>4343</v>
      </c>
      <c r="BP471" s="0" t="s">
        <v>4637</v>
      </c>
      <c r="BQ471" s="0" t="s">
        <v>3651</v>
      </c>
      <c r="BR471" s="0" t="s">
        <v>3651</v>
      </c>
      <c r="BS471" s="0" t="s">
        <v>228</v>
      </c>
      <c r="BT471" s="0" t="s">
        <v>3727</v>
      </c>
      <c r="BU471" s="0" t="s">
        <v>4638</v>
      </c>
      <c r="BV471" s="0" t="s">
        <v>4638</v>
      </c>
      <c r="BW471" s="0" t="s">
        <v>3674</v>
      </c>
      <c r="BX471" s="0" t="s">
        <v>3674</v>
      </c>
      <c r="BY471" s="0" t="s">
        <v>3674</v>
      </c>
      <c r="BZ471" s="0" t="s">
        <v>3674</v>
      </c>
      <c r="CA471" s="0" t="s">
        <v>3674</v>
      </c>
      <c r="CB471" s="0" t="s">
        <v>228</v>
      </c>
      <c r="CC471" s="0" t="s">
        <v>228</v>
      </c>
      <c r="CD471" s="0" t="s">
        <v>228</v>
      </c>
      <c r="CE471" s="0" t="s">
        <v>228</v>
      </c>
      <c r="CF471" s="0" t="s">
        <v>228</v>
      </c>
      <c r="CG471" s="0" t="s">
        <v>3674</v>
      </c>
      <c r="CH471" s="0" t="s">
        <v>228</v>
      </c>
      <c r="CI471" s="0" t="s">
        <v>228</v>
      </c>
      <c r="CJ471" s="0" t="s">
        <v>228</v>
      </c>
      <c r="CK471" s="0" t="s">
        <v>228</v>
      </c>
      <c r="CL471" s="0" t="s">
        <v>228</v>
      </c>
      <c r="CM471" s="0" t="s">
        <v>4638</v>
      </c>
      <c r="CN471" s="0" t="s">
        <v>4638</v>
      </c>
      <c r="CO471" s="0" t="s">
        <v>228</v>
      </c>
      <c r="CP471" s="0" t="s">
        <v>228</v>
      </c>
      <c r="CQ471" s="0" t="s">
        <v>228</v>
      </c>
      <c r="CR471" s="0" t="s">
        <v>228</v>
      </c>
      <c r="CS471" s="0" t="s">
        <v>3654</v>
      </c>
      <c r="CT471" s="0" t="s">
        <v>3568</v>
      </c>
      <c r="CU471" s="0" t="s">
        <v>3569</v>
      </c>
      <c r="CV471" s="0" t="s">
        <v>418</v>
      </c>
      <c r="CW471" s="0" t="s">
        <v>3656</v>
      </c>
      <c r="CX471" s="0" t="s">
        <v>419</v>
      </c>
      <c r="CY471" s="0" t="s">
        <v>418</v>
      </c>
      <c r="CZ471" s="0" t="s">
        <v>3657</v>
      </c>
      <c r="DA471" s="0" t="s">
        <v>3658</v>
      </c>
      <c r="DB471" s="0" t="s">
        <v>3656</v>
      </c>
      <c r="DC471" s="0" t="s">
        <v>362</v>
      </c>
      <c r="DD471" s="0" t="s">
        <v>3572</v>
      </c>
      <c r="DE471" s="0" t="s">
        <v>4639</v>
      </c>
    </row>
    <row customHeight="1" ht="11.25">
      <c r="A472" s="1353" t="s">
        <v>228</v>
      </c>
      <c r="B472" s="0" t="s">
        <v>228</v>
      </c>
      <c r="C472" s="0" t="s">
        <v>228</v>
      </c>
      <c r="D472" s="0" t="s">
        <v>228</v>
      </c>
      <c r="E472" s="0" t="s">
        <v>228</v>
      </c>
      <c r="F472" s="0" t="s">
        <v>228</v>
      </c>
      <c r="G472" s="0" t="s">
        <v>228</v>
      </c>
      <c r="H472" s="0" t="s">
        <v>228</v>
      </c>
      <c r="I472" s="0" t="s">
        <v>3555</v>
      </c>
      <c r="J472" s="0" t="s">
        <v>228</v>
      </c>
      <c r="K472" s="0" t="s">
        <v>228</v>
      </c>
      <c r="L472" s="0" t="s">
        <v>228</v>
      </c>
      <c r="M472" s="0" t="s">
        <v>228</v>
      </c>
      <c r="N472" s="0" t="s">
        <v>228</v>
      </c>
      <c r="O472" s="0" t="s">
        <v>228</v>
      </c>
      <c r="P472" s="0" t="s">
        <v>228</v>
      </c>
      <c r="Q472" s="0" t="s">
        <v>228</v>
      </c>
      <c r="R472" s="0" t="s">
        <v>3648</v>
      </c>
      <c r="S472" s="0" t="s">
        <v>228</v>
      </c>
      <c r="T472" s="0" t="s">
        <v>228</v>
      </c>
      <c r="U472" s="0" t="s">
        <v>101</v>
      </c>
      <c r="V472" s="0" t="s">
        <v>228</v>
      </c>
      <c r="W472" s="0" t="s">
        <v>228</v>
      </c>
      <c r="X472" s="0" t="s">
        <v>3557</v>
      </c>
      <c r="Y472" s="0" t="s">
        <v>228</v>
      </c>
      <c r="Z472" s="0" t="s">
        <v>160</v>
      </c>
      <c r="AA472" s="0" t="s">
        <v>151</v>
      </c>
      <c r="AB472" s="0" t="s">
        <v>151</v>
      </c>
      <c r="AC472" s="0" t="s">
        <v>2315</v>
      </c>
      <c r="AD472" s="0" t="s">
        <v>2315</v>
      </c>
      <c r="AE472" s="0" t="s">
        <v>2316</v>
      </c>
      <c r="AF472" s="0" t="s">
        <v>4640</v>
      </c>
      <c r="AG472" s="0" t="s">
        <v>4641</v>
      </c>
      <c r="AH472" s="0" t="s">
        <v>3651</v>
      </c>
      <c r="AI472" s="0" t="s">
        <v>3651</v>
      </c>
      <c r="AJ472" s="0" t="s">
        <v>3652</v>
      </c>
      <c r="AK472" s="0" t="s">
        <v>4642</v>
      </c>
      <c r="AL472" s="0" t="s">
        <v>3581</v>
      </c>
      <c r="AM472" s="0" t="s">
        <v>3565</v>
      </c>
      <c r="AN472" s="0" t="s">
        <v>3654</v>
      </c>
      <c r="AO472" s="0" t="s">
        <v>3655</v>
      </c>
      <c r="AP472" s="0" t="s">
        <v>228</v>
      </c>
      <c r="AQ472" s="0" t="s">
        <v>228</v>
      </c>
      <c r="AR472" s="0" t="s">
        <v>228</v>
      </c>
      <c r="AS472" s="0" t="s">
        <v>228</v>
      </c>
      <c r="AT472" s="0" t="s">
        <v>228</v>
      </c>
      <c r="AU472" s="0" t="s">
        <v>228</v>
      </c>
      <c r="AV472" s="0" t="s">
        <v>228</v>
      </c>
      <c r="AW472" s="0" t="s">
        <v>228</v>
      </c>
      <c r="AX472" s="0" t="s">
        <v>228</v>
      </c>
      <c r="AY472" s="0" t="s">
        <v>228</v>
      </c>
      <c r="AZ472" s="0" t="s">
        <v>228</v>
      </c>
      <c r="BA472" s="0" t="s">
        <v>228</v>
      </c>
      <c r="BB472" s="0" t="s">
        <v>228</v>
      </c>
      <c r="BC472" s="0" t="s">
        <v>228</v>
      </c>
      <c r="BD472" s="0" t="s">
        <v>228</v>
      </c>
      <c r="BE472" s="0" t="s">
        <v>228</v>
      </c>
      <c r="BF472" s="0" t="s">
        <v>228</v>
      </c>
      <c r="BG472" s="0" t="s">
        <v>228</v>
      </c>
      <c r="BH472" s="0" t="s">
        <v>228</v>
      </c>
      <c r="BI472" s="0" t="s">
        <v>228</v>
      </c>
      <c r="BJ472" s="0" t="s">
        <v>228</v>
      </c>
      <c r="BK472" s="0" t="s">
        <v>228</v>
      </c>
      <c r="BL472" s="0" t="s">
        <v>228</v>
      </c>
      <c r="BM472" s="0" t="s">
        <v>228</v>
      </c>
      <c r="BN472" s="0" t="s">
        <v>228</v>
      </c>
      <c r="BO472" s="0" t="s">
        <v>228</v>
      </c>
      <c r="BP472" s="0" t="s">
        <v>228</v>
      </c>
      <c r="BQ472" s="0" t="s">
        <v>228</v>
      </c>
      <c r="BR472" s="0" t="s">
        <v>228</v>
      </c>
      <c r="BS472" s="0" t="s">
        <v>228</v>
      </c>
      <c r="BT472" s="0" t="s">
        <v>228</v>
      </c>
      <c r="BU472" s="0" t="s">
        <v>228</v>
      </c>
      <c r="BV472" s="0" t="s">
        <v>228</v>
      </c>
      <c r="BW472" s="0" t="s">
        <v>228</v>
      </c>
      <c r="BX472" s="0" t="s">
        <v>228</v>
      </c>
      <c r="BY472" s="0" t="s">
        <v>228</v>
      </c>
      <c r="BZ472" s="0" t="s">
        <v>228</v>
      </c>
      <c r="CA472" s="0" t="s">
        <v>228</v>
      </c>
      <c r="CB472" s="0" t="s">
        <v>228</v>
      </c>
      <c r="CC472" s="0" t="s">
        <v>228</v>
      </c>
      <c r="CD472" s="0" t="s">
        <v>228</v>
      </c>
      <c r="CE472" s="0" t="s">
        <v>228</v>
      </c>
      <c r="CF472" s="0" t="s">
        <v>228</v>
      </c>
      <c r="CG472" s="0" t="s">
        <v>228</v>
      </c>
      <c r="CH472" s="0" t="s">
        <v>228</v>
      </c>
      <c r="CI472" s="0" t="s">
        <v>228</v>
      </c>
      <c r="CJ472" s="0" t="s">
        <v>228</v>
      </c>
      <c r="CK472" s="0" t="s">
        <v>228</v>
      </c>
      <c r="CL472" s="0" t="s">
        <v>228</v>
      </c>
      <c r="CM472" s="0" t="s">
        <v>228</v>
      </c>
      <c r="CN472" s="0" t="s">
        <v>228</v>
      </c>
      <c r="CO472" s="0" t="s">
        <v>228</v>
      </c>
      <c r="CP472" s="0" t="s">
        <v>228</v>
      </c>
      <c r="CQ472" s="0" t="s">
        <v>228</v>
      </c>
      <c r="CR472" s="0" t="s">
        <v>228</v>
      </c>
      <c r="CS472" s="0" t="s">
        <v>228</v>
      </c>
      <c r="CT472" s="0" t="s">
        <v>3568</v>
      </c>
      <c r="CU472" s="0" t="s">
        <v>3569</v>
      </c>
      <c r="CV472" s="0" t="s">
        <v>418</v>
      </c>
      <c r="CW472" s="0" t="s">
        <v>3656</v>
      </c>
      <c r="CX472" s="0" t="s">
        <v>419</v>
      </c>
      <c r="CY472" s="0" t="s">
        <v>418</v>
      </c>
      <c r="CZ472" s="0" t="s">
        <v>3657</v>
      </c>
      <c r="DA472" s="0" t="s">
        <v>3658</v>
      </c>
      <c r="DB472" s="0" t="s">
        <v>3656</v>
      </c>
      <c r="DC472" s="0" t="s">
        <v>362</v>
      </c>
      <c r="DD472" s="0" t="s">
        <v>3572</v>
      </c>
      <c r="DE472" s="0" t="s">
        <v>4643</v>
      </c>
    </row>
    <row customHeight="1" ht="11.25">
      <c r="A473" s="1353" t="s">
        <v>228</v>
      </c>
      <c r="B473" s="0" t="s">
        <v>228</v>
      </c>
      <c r="C473" s="0" t="s">
        <v>228</v>
      </c>
      <c r="D473" s="0" t="s">
        <v>228</v>
      </c>
      <c r="E473" s="0" t="s">
        <v>228</v>
      </c>
      <c r="F473" s="0" t="s">
        <v>228</v>
      </c>
      <c r="G473" s="0" t="s">
        <v>228</v>
      </c>
      <c r="H473" s="0" t="s">
        <v>228</v>
      </c>
      <c r="I473" s="0" t="s">
        <v>3555</v>
      </c>
      <c r="J473" s="0" t="s">
        <v>228</v>
      </c>
      <c r="K473" s="0" t="s">
        <v>228</v>
      </c>
      <c r="L473" s="0" t="s">
        <v>228</v>
      </c>
      <c r="M473" s="0" t="s">
        <v>228</v>
      </c>
      <c r="N473" s="0" t="s">
        <v>228</v>
      </c>
      <c r="O473" s="0" t="s">
        <v>228</v>
      </c>
      <c r="P473" s="0" t="s">
        <v>228</v>
      </c>
      <c r="Q473" s="0" t="s">
        <v>228</v>
      </c>
      <c r="R473" s="0" t="s">
        <v>3574</v>
      </c>
      <c r="S473" s="0" t="s">
        <v>228</v>
      </c>
      <c r="T473" s="0" t="s">
        <v>228</v>
      </c>
      <c r="U473" s="0" t="s">
        <v>101</v>
      </c>
      <c r="V473" s="0" t="s">
        <v>228</v>
      </c>
      <c r="W473" s="0" t="s">
        <v>228</v>
      </c>
      <c r="X473" s="0" t="s">
        <v>3557</v>
      </c>
      <c r="Y473" s="0" t="s">
        <v>228</v>
      </c>
      <c r="Z473" s="0" t="s">
        <v>160</v>
      </c>
      <c r="AA473" s="0" t="s">
        <v>151</v>
      </c>
      <c r="AB473" s="0" t="s">
        <v>151</v>
      </c>
      <c r="AC473" s="0" t="s">
        <v>2311</v>
      </c>
      <c r="AD473" s="0" t="s">
        <v>2311</v>
      </c>
      <c r="AE473" s="0" t="s">
        <v>2312</v>
      </c>
      <c r="AF473" s="0" t="s">
        <v>4034</v>
      </c>
      <c r="AG473" s="0" t="s">
        <v>4035</v>
      </c>
      <c r="AH473" s="0" t="s">
        <v>4039</v>
      </c>
      <c r="AI473" s="0" t="s">
        <v>3578</v>
      </c>
      <c r="AJ473" s="0" t="s">
        <v>3579</v>
      </c>
      <c r="AK473" s="0" t="s">
        <v>3579</v>
      </c>
      <c r="AL473" s="0" t="s">
        <v>3681</v>
      </c>
      <c r="AM473" s="0" t="s">
        <v>3565</v>
      </c>
      <c r="AN473" s="0" t="s">
        <v>3582</v>
      </c>
      <c r="AO473" s="0" t="s">
        <v>3583</v>
      </c>
      <c r="AP473" s="0" t="s">
        <v>228</v>
      </c>
      <c r="AQ473" s="0" t="s">
        <v>228</v>
      </c>
      <c r="AR473" s="0" t="s">
        <v>228</v>
      </c>
      <c r="AS473" s="0" t="s">
        <v>228</v>
      </c>
      <c r="AT473" s="0" t="s">
        <v>228</v>
      </c>
      <c r="AU473" s="0" t="s">
        <v>228</v>
      </c>
      <c r="AV473" s="0" t="s">
        <v>228</v>
      </c>
      <c r="AW473" s="0" t="s">
        <v>228</v>
      </c>
      <c r="AX473" s="0" t="s">
        <v>228</v>
      </c>
      <c r="AY473" s="0" t="s">
        <v>228</v>
      </c>
      <c r="AZ473" s="0" t="s">
        <v>228</v>
      </c>
      <c r="BA473" s="0" t="s">
        <v>228</v>
      </c>
      <c r="BB473" s="0" t="s">
        <v>228</v>
      </c>
      <c r="BC473" s="0" t="s">
        <v>228</v>
      </c>
      <c r="BD473" s="0" t="s">
        <v>228</v>
      </c>
      <c r="BE473" s="0" t="s">
        <v>228</v>
      </c>
      <c r="BF473" s="0" t="s">
        <v>228</v>
      </c>
      <c r="BG473" s="0" t="s">
        <v>228</v>
      </c>
      <c r="BH473" s="0" t="s">
        <v>228</v>
      </c>
      <c r="BI473" s="0" t="s">
        <v>228</v>
      </c>
      <c r="BJ473" s="0" t="s">
        <v>228</v>
      </c>
      <c r="BK473" s="0" t="s">
        <v>228</v>
      </c>
      <c r="BL473" s="0" t="s">
        <v>228</v>
      </c>
      <c r="BM473" s="0" t="s">
        <v>228</v>
      </c>
      <c r="BN473" s="0" t="s">
        <v>228</v>
      </c>
      <c r="BO473" s="0" t="s">
        <v>228</v>
      </c>
      <c r="BP473" s="0" t="s">
        <v>228</v>
      </c>
      <c r="BQ473" s="0" t="s">
        <v>228</v>
      </c>
      <c r="BR473" s="0" t="s">
        <v>228</v>
      </c>
      <c r="BS473" s="0" t="s">
        <v>228</v>
      </c>
      <c r="BT473" s="0" t="s">
        <v>228</v>
      </c>
      <c r="BU473" s="0" t="s">
        <v>228</v>
      </c>
      <c r="BV473" s="0" t="s">
        <v>228</v>
      </c>
      <c r="BW473" s="0" t="s">
        <v>228</v>
      </c>
      <c r="BX473" s="0" t="s">
        <v>228</v>
      </c>
      <c r="BY473" s="0" t="s">
        <v>228</v>
      </c>
      <c r="BZ473" s="0" t="s">
        <v>228</v>
      </c>
      <c r="CA473" s="0" t="s">
        <v>228</v>
      </c>
      <c r="CB473" s="0" t="s">
        <v>228</v>
      </c>
      <c r="CC473" s="0" t="s">
        <v>228</v>
      </c>
      <c r="CD473" s="0" t="s">
        <v>228</v>
      </c>
      <c r="CE473" s="0" t="s">
        <v>228</v>
      </c>
      <c r="CF473" s="0" t="s">
        <v>228</v>
      </c>
      <c r="CG473" s="0" t="s">
        <v>228</v>
      </c>
      <c r="CH473" s="0" t="s">
        <v>228</v>
      </c>
      <c r="CI473" s="0" t="s">
        <v>228</v>
      </c>
      <c r="CJ473" s="0" t="s">
        <v>228</v>
      </c>
      <c r="CK473" s="0" t="s">
        <v>228</v>
      </c>
      <c r="CL473" s="0" t="s">
        <v>228</v>
      </c>
      <c r="CM473" s="0" t="s">
        <v>228</v>
      </c>
      <c r="CN473" s="0" t="s">
        <v>228</v>
      </c>
      <c r="CO473" s="0" t="s">
        <v>228</v>
      </c>
      <c r="CP473" s="0" t="s">
        <v>228</v>
      </c>
      <c r="CQ473" s="0" t="s">
        <v>228</v>
      </c>
      <c r="CR473" s="0" t="s">
        <v>228</v>
      </c>
      <c r="CS473" s="0" t="s">
        <v>228</v>
      </c>
      <c r="CT473" s="0" t="s">
        <v>3568</v>
      </c>
      <c r="CU473" s="0" t="s">
        <v>3569</v>
      </c>
      <c r="CV473" s="0" t="s">
        <v>418</v>
      </c>
      <c r="CW473" s="0" t="s">
        <v>3584</v>
      </c>
      <c r="CX473" s="0" t="s">
        <v>419</v>
      </c>
      <c r="CY473" s="0" t="s">
        <v>418</v>
      </c>
      <c r="CZ473" s="0" t="s">
        <v>3585</v>
      </c>
      <c r="DA473" s="0" t="s">
        <v>3586</v>
      </c>
      <c r="DB473" s="0" t="s">
        <v>3584</v>
      </c>
      <c r="DC473" s="0" t="s">
        <v>362</v>
      </c>
      <c r="DD473" s="0" t="s">
        <v>3572</v>
      </c>
      <c r="DE473" s="0" t="s">
        <v>4320</v>
      </c>
    </row>
    <row customHeight="1" ht="11.25">
      <c r="A474" s="1353" t="s">
        <v>228</v>
      </c>
      <c r="B474" s="0" t="s">
        <v>228</v>
      </c>
      <c r="C474" s="0" t="s">
        <v>228</v>
      </c>
      <c r="D474" s="0" t="s">
        <v>228</v>
      </c>
      <c r="E474" s="0" t="s">
        <v>228</v>
      </c>
      <c r="F474" s="0" t="s">
        <v>228</v>
      </c>
      <c r="G474" s="0" t="s">
        <v>228</v>
      </c>
      <c r="H474" s="0" t="s">
        <v>228</v>
      </c>
      <c r="I474" s="0" t="s">
        <v>3555</v>
      </c>
      <c r="J474" s="0" t="s">
        <v>228</v>
      </c>
      <c r="K474" s="0" t="s">
        <v>228</v>
      </c>
      <c r="L474" s="0" t="s">
        <v>228</v>
      </c>
      <c r="M474" s="0" t="s">
        <v>228</v>
      </c>
      <c r="N474" s="0" t="s">
        <v>228</v>
      </c>
      <c r="O474" s="0" t="s">
        <v>228</v>
      </c>
      <c r="P474" s="0" t="s">
        <v>228</v>
      </c>
      <c r="Q474" s="0" t="s">
        <v>228</v>
      </c>
      <c r="R474" s="0" t="s">
        <v>4385</v>
      </c>
      <c r="S474" s="0" t="s">
        <v>228</v>
      </c>
      <c r="T474" s="0" t="s">
        <v>228</v>
      </c>
      <c r="U474" s="0" t="s">
        <v>101</v>
      </c>
      <c r="V474" s="0" t="s">
        <v>228</v>
      </c>
      <c r="W474" s="0" t="s">
        <v>228</v>
      </c>
      <c r="X474" s="0" t="s">
        <v>3557</v>
      </c>
      <c r="Y474" s="0" t="s">
        <v>228</v>
      </c>
      <c r="Z474" s="0" t="s">
        <v>160</v>
      </c>
      <c r="AA474" s="0" t="s">
        <v>151</v>
      </c>
      <c r="AB474" s="0" t="s">
        <v>151</v>
      </c>
      <c r="AC474" s="0" t="s">
        <v>2311</v>
      </c>
      <c r="AD474" s="0" t="s">
        <v>2311</v>
      </c>
      <c r="AE474" s="0" t="s">
        <v>2312</v>
      </c>
      <c r="AF474" s="0" t="s">
        <v>4034</v>
      </c>
      <c r="AG474" s="0" t="s">
        <v>4035</v>
      </c>
      <c r="AH474" s="0" t="s">
        <v>4386</v>
      </c>
      <c r="AI474" s="0" t="s">
        <v>4387</v>
      </c>
      <c r="AJ474" s="0" t="s">
        <v>3579</v>
      </c>
      <c r="AK474" s="0" t="s">
        <v>3579</v>
      </c>
      <c r="AL474" s="0" t="s">
        <v>3681</v>
      </c>
      <c r="AM474" s="0" t="s">
        <v>3565</v>
      </c>
      <c r="AN474" s="0" t="s">
        <v>3582</v>
      </c>
      <c r="AO474" s="0" t="s">
        <v>4388</v>
      </c>
      <c r="AP474" s="0" t="s">
        <v>228</v>
      </c>
      <c r="AQ474" s="0" t="s">
        <v>228</v>
      </c>
      <c r="AR474" s="0" t="s">
        <v>228</v>
      </c>
      <c r="AS474" s="0" t="s">
        <v>228</v>
      </c>
      <c r="AT474" s="0" t="s">
        <v>228</v>
      </c>
      <c r="AU474" s="0" t="s">
        <v>228</v>
      </c>
      <c r="AV474" s="0" t="s">
        <v>228</v>
      </c>
      <c r="AW474" s="0" t="s">
        <v>228</v>
      </c>
      <c r="AX474" s="0" t="s">
        <v>228</v>
      </c>
      <c r="AY474" s="0" t="s">
        <v>228</v>
      </c>
      <c r="AZ474" s="0" t="s">
        <v>228</v>
      </c>
      <c r="BA474" s="0" t="s">
        <v>228</v>
      </c>
      <c r="BB474" s="0" t="s">
        <v>228</v>
      </c>
      <c r="BC474" s="0" t="s">
        <v>228</v>
      </c>
      <c r="BD474" s="0" t="s">
        <v>228</v>
      </c>
      <c r="BE474" s="0" t="s">
        <v>228</v>
      </c>
      <c r="BF474" s="0" t="s">
        <v>228</v>
      </c>
      <c r="BG474" s="0" t="s">
        <v>228</v>
      </c>
      <c r="BH474" s="0" t="s">
        <v>228</v>
      </c>
      <c r="BI474" s="0" t="s">
        <v>228</v>
      </c>
      <c r="BJ474" s="0" t="s">
        <v>228</v>
      </c>
      <c r="BK474" s="0" t="s">
        <v>228</v>
      </c>
      <c r="BL474" s="0" t="s">
        <v>228</v>
      </c>
      <c r="BM474" s="0" t="s">
        <v>228</v>
      </c>
      <c r="BN474" s="0" t="s">
        <v>228</v>
      </c>
      <c r="BO474" s="0" t="s">
        <v>228</v>
      </c>
      <c r="BP474" s="0" t="s">
        <v>228</v>
      </c>
      <c r="BQ474" s="0" t="s">
        <v>228</v>
      </c>
      <c r="BR474" s="0" t="s">
        <v>228</v>
      </c>
      <c r="BS474" s="0" t="s">
        <v>228</v>
      </c>
      <c r="BT474" s="0" t="s">
        <v>228</v>
      </c>
      <c r="BU474" s="0" t="s">
        <v>228</v>
      </c>
      <c r="BV474" s="0" t="s">
        <v>228</v>
      </c>
      <c r="BW474" s="0" t="s">
        <v>228</v>
      </c>
      <c r="BX474" s="0" t="s">
        <v>228</v>
      </c>
      <c r="BY474" s="0" t="s">
        <v>228</v>
      </c>
      <c r="BZ474" s="0" t="s">
        <v>228</v>
      </c>
      <c r="CA474" s="0" t="s">
        <v>228</v>
      </c>
      <c r="CB474" s="0" t="s">
        <v>228</v>
      </c>
      <c r="CC474" s="0" t="s">
        <v>228</v>
      </c>
      <c r="CD474" s="0" t="s">
        <v>228</v>
      </c>
      <c r="CE474" s="0" t="s">
        <v>228</v>
      </c>
      <c r="CF474" s="0" t="s">
        <v>228</v>
      </c>
      <c r="CG474" s="0" t="s">
        <v>228</v>
      </c>
      <c r="CH474" s="0" t="s">
        <v>228</v>
      </c>
      <c r="CI474" s="0" t="s">
        <v>228</v>
      </c>
      <c r="CJ474" s="0" t="s">
        <v>228</v>
      </c>
      <c r="CK474" s="0" t="s">
        <v>228</v>
      </c>
      <c r="CL474" s="0" t="s">
        <v>228</v>
      </c>
      <c r="CM474" s="0" t="s">
        <v>228</v>
      </c>
      <c r="CN474" s="0" t="s">
        <v>228</v>
      </c>
      <c r="CO474" s="0" t="s">
        <v>228</v>
      </c>
      <c r="CP474" s="0" t="s">
        <v>228</v>
      </c>
      <c r="CQ474" s="0" t="s">
        <v>228</v>
      </c>
      <c r="CR474" s="0" t="s">
        <v>228</v>
      </c>
      <c r="CS474" s="0" t="s">
        <v>228</v>
      </c>
      <c r="CT474" s="0" t="s">
        <v>3568</v>
      </c>
      <c r="CU474" s="0" t="s">
        <v>3569</v>
      </c>
      <c r="CV474" s="0" t="s">
        <v>418</v>
      </c>
      <c r="CW474" s="0" t="s">
        <v>3584</v>
      </c>
      <c r="CX474" s="0" t="s">
        <v>419</v>
      </c>
      <c r="CY474" s="0" t="s">
        <v>418</v>
      </c>
      <c r="CZ474" s="0" t="s">
        <v>3585</v>
      </c>
      <c r="DA474" s="0" t="s">
        <v>3586</v>
      </c>
      <c r="DB474" s="0" t="s">
        <v>3584</v>
      </c>
      <c r="DC474" s="0" t="s">
        <v>362</v>
      </c>
      <c r="DD474" s="0" t="s">
        <v>3572</v>
      </c>
      <c r="DE474" s="0" t="s">
        <v>4389</v>
      </c>
    </row>
    <row customHeight="1" ht="11.25">
      <c r="A475" s="1353" t="s">
        <v>228</v>
      </c>
      <c r="B475" s="0" t="s">
        <v>228</v>
      </c>
      <c r="C475" s="0" t="s">
        <v>228</v>
      </c>
      <c r="D475" s="0" t="s">
        <v>228</v>
      </c>
      <c r="E475" s="0" t="s">
        <v>228</v>
      </c>
      <c r="F475" s="0" t="s">
        <v>228</v>
      </c>
      <c r="G475" s="0" t="s">
        <v>228</v>
      </c>
      <c r="H475" s="0" t="s">
        <v>228</v>
      </c>
      <c r="I475" s="0" t="s">
        <v>3555</v>
      </c>
      <c r="J475" s="0" t="s">
        <v>228</v>
      </c>
      <c r="K475" s="0" t="s">
        <v>228</v>
      </c>
      <c r="L475" s="0" t="s">
        <v>228</v>
      </c>
      <c r="M475" s="0" t="s">
        <v>228</v>
      </c>
      <c r="N475" s="0" t="s">
        <v>228</v>
      </c>
      <c r="O475" s="0" t="s">
        <v>228</v>
      </c>
      <c r="P475" s="0" t="s">
        <v>228</v>
      </c>
      <c r="Q475" s="0" t="s">
        <v>228</v>
      </c>
      <c r="R475" s="0" t="s">
        <v>3684</v>
      </c>
      <c r="S475" s="0" t="s">
        <v>228</v>
      </c>
      <c r="T475" s="0" t="s">
        <v>228</v>
      </c>
      <c r="U475" s="0" t="s">
        <v>101</v>
      </c>
      <c r="V475" s="0" t="s">
        <v>228</v>
      </c>
      <c r="W475" s="0" t="s">
        <v>228</v>
      </c>
      <c r="X475" s="0" t="s">
        <v>3557</v>
      </c>
      <c r="Y475" s="0" t="s">
        <v>228</v>
      </c>
      <c r="Z475" s="0" t="s">
        <v>160</v>
      </c>
      <c r="AA475" s="0" t="s">
        <v>151</v>
      </c>
      <c r="AB475" s="0" t="s">
        <v>151</v>
      </c>
      <c r="AC475" s="0" t="s">
        <v>2311</v>
      </c>
      <c r="AD475" s="0" t="s">
        <v>2311</v>
      </c>
      <c r="AE475" s="0" t="s">
        <v>2312</v>
      </c>
      <c r="AF475" s="0" t="s">
        <v>4034</v>
      </c>
      <c r="AG475" s="0" t="s">
        <v>4035</v>
      </c>
      <c r="AH475" s="0" t="s">
        <v>4572</v>
      </c>
      <c r="AI475" s="0" t="s">
        <v>4573</v>
      </c>
      <c r="AJ475" s="0" t="s">
        <v>3579</v>
      </c>
      <c r="AK475" s="0" t="s">
        <v>3579</v>
      </c>
      <c r="AL475" s="0" t="s">
        <v>3681</v>
      </c>
      <c r="AM475" s="0" t="s">
        <v>3565</v>
      </c>
      <c r="AN475" s="0" t="s">
        <v>3582</v>
      </c>
      <c r="AO475" s="0" t="s">
        <v>4574</v>
      </c>
      <c r="AP475" s="0" t="s">
        <v>228</v>
      </c>
      <c r="AQ475" s="0" t="s">
        <v>228</v>
      </c>
      <c r="AR475" s="0" t="s">
        <v>228</v>
      </c>
      <c r="AS475" s="0" t="s">
        <v>228</v>
      </c>
      <c r="AT475" s="0" t="s">
        <v>228</v>
      </c>
      <c r="AU475" s="0" t="s">
        <v>228</v>
      </c>
      <c r="AV475" s="0" t="s">
        <v>228</v>
      </c>
      <c r="AW475" s="0" t="s">
        <v>228</v>
      </c>
      <c r="AX475" s="0" t="s">
        <v>228</v>
      </c>
      <c r="AY475" s="0" t="s">
        <v>228</v>
      </c>
      <c r="AZ475" s="0" t="s">
        <v>228</v>
      </c>
      <c r="BA475" s="0" t="s">
        <v>228</v>
      </c>
      <c r="BB475" s="0" t="s">
        <v>228</v>
      </c>
      <c r="BC475" s="0" t="s">
        <v>228</v>
      </c>
      <c r="BD475" s="0" t="s">
        <v>228</v>
      </c>
      <c r="BE475" s="0" t="s">
        <v>228</v>
      </c>
      <c r="BF475" s="0" t="s">
        <v>228</v>
      </c>
      <c r="BG475" s="0" t="s">
        <v>228</v>
      </c>
      <c r="BH475" s="0" t="s">
        <v>228</v>
      </c>
      <c r="BI475" s="0" t="s">
        <v>228</v>
      </c>
      <c r="BJ475" s="0" t="s">
        <v>228</v>
      </c>
      <c r="BK475" s="0" t="s">
        <v>228</v>
      </c>
      <c r="BL475" s="0" t="s">
        <v>228</v>
      </c>
      <c r="BM475" s="0" t="s">
        <v>228</v>
      </c>
      <c r="BN475" s="0" t="s">
        <v>228</v>
      </c>
      <c r="BO475" s="0" t="s">
        <v>228</v>
      </c>
      <c r="BP475" s="0" t="s">
        <v>228</v>
      </c>
      <c r="BQ475" s="0" t="s">
        <v>228</v>
      </c>
      <c r="BR475" s="0" t="s">
        <v>228</v>
      </c>
      <c r="BS475" s="0" t="s">
        <v>228</v>
      </c>
      <c r="BT475" s="0" t="s">
        <v>228</v>
      </c>
      <c r="BU475" s="0" t="s">
        <v>228</v>
      </c>
      <c r="BV475" s="0" t="s">
        <v>228</v>
      </c>
      <c r="BW475" s="0" t="s">
        <v>228</v>
      </c>
      <c r="BX475" s="0" t="s">
        <v>228</v>
      </c>
      <c r="BY475" s="0" t="s">
        <v>228</v>
      </c>
      <c r="BZ475" s="0" t="s">
        <v>228</v>
      </c>
      <c r="CA475" s="0" t="s">
        <v>228</v>
      </c>
      <c r="CB475" s="0" t="s">
        <v>228</v>
      </c>
      <c r="CC475" s="0" t="s">
        <v>228</v>
      </c>
      <c r="CD475" s="0" t="s">
        <v>228</v>
      </c>
      <c r="CE475" s="0" t="s">
        <v>228</v>
      </c>
      <c r="CF475" s="0" t="s">
        <v>228</v>
      </c>
      <c r="CG475" s="0" t="s">
        <v>228</v>
      </c>
      <c r="CH475" s="0" t="s">
        <v>228</v>
      </c>
      <c r="CI475" s="0" t="s">
        <v>228</v>
      </c>
      <c r="CJ475" s="0" t="s">
        <v>228</v>
      </c>
      <c r="CK475" s="0" t="s">
        <v>228</v>
      </c>
      <c r="CL475" s="0" t="s">
        <v>228</v>
      </c>
      <c r="CM475" s="0" t="s">
        <v>228</v>
      </c>
      <c r="CN475" s="0" t="s">
        <v>228</v>
      </c>
      <c r="CO475" s="0" t="s">
        <v>228</v>
      </c>
      <c r="CP475" s="0" t="s">
        <v>228</v>
      </c>
      <c r="CQ475" s="0" t="s">
        <v>228</v>
      </c>
      <c r="CR475" s="0" t="s">
        <v>228</v>
      </c>
      <c r="CS475" s="0" t="s">
        <v>228</v>
      </c>
      <c r="CT475" s="0" t="s">
        <v>3568</v>
      </c>
      <c r="CU475" s="0" t="s">
        <v>3569</v>
      </c>
      <c r="CV475" s="0" t="s">
        <v>418</v>
      </c>
      <c r="CW475" s="0" t="s">
        <v>3584</v>
      </c>
      <c r="CX475" s="0" t="s">
        <v>419</v>
      </c>
      <c r="CY475" s="0" t="s">
        <v>418</v>
      </c>
      <c r="CZ475" s="0" t="s">
        <v>3585</v>
      </c>
      <c r="DA475" s="0" t="s">
        <v>3586</v>
      </c>
      <c r="DB475" s="0" t="s">
        <v>3584</v>
      </c>
      <c r="DC475" s="0" t="s">
        <v>362</v>
      </c>
      <c r="DD475" s="0" t="s">
        <v>3572</v>
      </c>
      <c r="DE475" s="0" t="s">
        <v>4575</v>
      </c>
    </row>
    <row customHeight="1" ht="11.25">
      <c r="A476" s="1353" t="s">
        <v>228</v>
      </c>
      <c r="B476" s="0" t="s">
        <v>228</v>
      </c>
      <c r="C476" s="0" t="s">
        <v>228</v>
      </c>
      <c r="D476" s="0" t="s">
        <v>228</v>
      </c>
      <c r="E476" s="0" t="s">
        <v>228</v>
      </c>
      <c r="F476" s="0" t="s">
        <v>228</v>
      </c>
      <c r="G476" s="0" t="s">
        <v>228</v>
      </c>
      <c r="H476" s="0" t="s">
        <v>228</v>
      </c>
      <c r="I476" s="0" t="s">
        <v>3555</v>
      </c>
      <c r="J476" s="0" t="s">
        <v>228</v>
      </c>
      <c r="K476" s="0" t="s">
        <v>228</v>
      </c>
      <c r="L476" s="0" t="s">
        <v>228</v>
      </c>
      <c r="M476" s="0" t="s">
        <v>228</v>
      </c>
      <c r="N476" s="0" t="s">
        <v>228</v>
      </c>
      <c r="O476" s="0" t="s">
        <v>228</v>
      </c>
      <c r="P476" s="0" t="s">
        <v>228</v>
      </c>
      <c r="Q476" s="0" t="s">
        <v>228</v>
      </c>
      <c r="R476" s="0" t="s">
        <v>3684</v>
      </c>
      <c r="S476" s="0" t="s">
        <v>228</v>
      </c>
      <c r="T476" s="0" t="s">
        <v>228</v>
      </c>
      <c r="U476" s="0" t="s">
        <v>101</v>
      </c>
      <c r="V476" s="0" t="s">
        <v>228</v>
      </c>
      <c r="W476" s="0" t="s">
        <v>228</v>
      </c>
      <c r="X476" s="0" t="s">
        <v>3557</v>
      </c>
      <c r="Y476" s="0" t="s">
        <v>228</v>
      </c>
      <c r="Z476" s="0" t="s">
        <v>160</v>
      </c>
      <c r="AA476" s="0" t="s">
        <v>151</v>
      </c>
      <c r="AB476" s="0" t="s">
        <v>151</v>
      </c>
      <c r="AC476" s="0" t="s">
        <v>2311</v>
      </c>
      <c r="AD476" s="0" t="s">
        <v>2311</v>
      </c>
      <c r="AE476" s="0" t="s">
        <v>2312</v>
      </c>
      <c r="AF476" s="0" t="s">
        <v>4520</v>
      </c>
      <c r="AG476" s="0" t="s">
        <v>4521</v>
      </c>
      <c r="AH476" s="0" t="s">
        <v>4523</v>
      </c>
      <c r="AI476" s="0" t="s">
        <v>4996</v>
      </c>
      <c r="AJ476" s="0" t="s">
        <v>3579</v>
      </c>
      <c r="AK476" s="0" t="s">
        <v>3580</v>
      </c>
      <c r="AL476" s="0" t="s">
        <v>3581</v>
      </c>
      <c r="AM476" s="0" t="s">
        <v>3565</v>
      </c>
      <c r="AN476" s="0" t="s">
        <v>3582</v>
      </c>
      <c r="AO476" s="0" t="s">
        <v>3772</v>
      </c>
      <c r="AP476" s="0" t="s">
        <v>228</v>
      </c>
      <c r="AQ476" s="0" t="s">
        <v>228</v>
      </c>
      <c r="AR476" s="0" t="s">
        <v>228</v>
      </c>
      <c r="AS476" s="0" t="s">
        <v>228</v>
      </c>
      <c r="AT476" s="0" t="s">
        <v>228</v>
      </c>
      <c r="AU476" s="0" t="s">
        <v>228</v>
      </c>
      <c r="AV476" s="0" t="s">
        <v>228</v>
      </c>
      <c r="AW476" s="0" t="s">
        <v>228</v>
      </c>
      <c r="AX476" s="0" t="s">
        <v>228</v>
      </c>
      <c r="AY476" s="0" t="s">
        <v>228</v>
      </c>
      <c r="AZ476" s="0" t="s">
        <v>228</v>
      </c>
      <c r="BA476" s="0" t="s">
        <v>228</v>
      </c>
      <c r="BB476" s="0" t="s">
        <v>228</v>
      </c>
      <c r="BC476" s="0" t="s">
        <v>228</v>
      </c>
      <c r="BD476" s="0" t="s">
        <v>228</v>
      </c>
      <c r="BE476" s="0" t="s">
        <v>228</v>
      </c>
      <c r="BF476" s="0" t="s">
        <v>228</v>
      </c>
      <c r="BG476" s="0" t="s">
        <v>228</v>
      </c>
      <c r="BH476" s="0" t="s">
        <v>228</v>
      </c>
      <c r="BI476" s="0" t="s">
        <v>228</v>
      </c>
      <c r="BJ476" s="0" t="s">
        <v>228</v>
      </c>
      <c r="BK476" s="0" t="s">
        <v>228</v>
      </c>
      <c r="BL476" s="0" t="s">
        <v>228</v>
      </c>
      <c r="BM476" s="0" t="s">
        <v>228</v>
      </c>
      <c r="BN476" s="0" t="s">
        <v>228</v>
      </c>
      <c r="BO476" s="0" t="s">
        <v>228</v>
      </c>
      <c r="BP476" s="0" t="s">
        <v>228</v>
      </c>
      <c r="BQ476" s="0" t="s">
        <v>228</v>
      </c>
      <c r="BR476" s="0" t="s">
        <v>228</v>
      </c>
      <c r="BS476" s="0" t="s">
        <v>228</v>
      </c>
      <c r="BT476" s="0" t="s">
        <v>228</v>
      </c>
      <c r="BU476" s="0" t="s">
        <v>228</v>
      </c>
      <c r="BV476" s="0" t="s">
        <v>228</v>
      </c>
      <c r="BW476" s="0" t="s">
        <v>228</v>
      </c>
      <c r="BX476" s="0" t="s">
        <v>228</v>
      </c>
      <c r="BY476" s="0" t="s">
        <v>228</v>
      </c>
      <c r="BZ476" s="0" t="s">
        <v>228</v>
      </c>
      <c r="CA476" s="0" t="s">
        <v>228</v>
      </c>
      <c r="CB476" s="0" t="s">
        <v>228</v>
      </c>
      <c r="CC476" s="0" t="s">
        <v>228</v>
      </c>
      <c r="CD476" s="0" t="s">
        <v>228</v>
      </c>
      <c r="CE476" s="0" t="s">
        <v>228</v>
      </c>
      <c r="CF476" s="0" t="s">
        <v>228</v>
      </c>
      <c r="CG476" s="0" t="s">
        <v>228</v>
      </c>
      <c r="CH476" s="0" t="s">
        <v>228</v>
      </c>
      <c r="CI476" s="0" t="s">
        <v>228</v>
      </c>
      <c r="CJ476" s="0" t="s">
        <v>228</v>
      </c>
      <c r="CK476" s="0" t="s">
        <v>228</v>
      </c>
      <c r="CL476" s="0" t="s">
        <v>228</v>
      </c>
      <c r="CM476" s="0" t="s">
        <v>228</v>
      </c>
      <c r="CN476" s="0" t="s">
        <v>228</v>
      </c>
      <c r="CO476" s="0" t="s">
        <v>228</v>
      </c>
      <c r="CP476" s="0" t="s">
        <v>228</v>
      </c>
      <c r="CQ476" s="0" t="s">
        <v>228</v>
      </c>
      <c r="CR476" s="0" t="s">
        <v>228</v>
      </c>
      <c r="CS476" s="0" t="s">
        <v>228</v>
      </c>
      <c r="CT476" s="0" t="s">
        <v>3568</v>
      </c>
      <c r="CU476" s="0" t="s">
        <v>3569</v>
      </c>
      <c r="CV476" s="0" t="s">
        <v>418</v>
      </c>
      <c r="CW476" s="0" t="s">
        <v>3584</v>
      </c>
      <c r="CX476" s="0" t="s">
        <v>419</v>
      </c>
      <c r="CY476" s="0" t="s">
        <v>418</v>
      </c>
      <c r="CZ476" s="0" t="s">
        <v>3585</v>
      </c>
      <c r="DA476" s="0" t="s">
        <v>3586</v>
      </c>
      <c r="DB476" s="0" t="s">
        <v>3584</v>
      </c>
      <c r="DC476" s="0" t="s">
        <v>362</v>
      </c>
      <c r="DD476" s="0" t="s">
        <v>3572</v>
      </c>
      <c r="DE476" s="0" t="s">
        <v>4997</v>
      </c>
    </row>
    <row customHeight="1" ht="11.25">
      <c r="A477" s="1353" t="s">
        <v>228</v>
      </c>
      <c r="B477" s="0" t="s">
        <v>228</v>
      </c>
      <c r="C477" s="0" t="s">
        <v>228</v>
      </c>
      <c r="D477" s="0" t="s">
        <v>228</v>
      </c>
      <c r="E477" s="0" t="s">
        <v>228</v>
      </c>
      <c r="F477" s="0" t="s">
        <v>228</v>
      </c>
      <c r="G477" s="0" t="s">
        <v>228</v>
      </c>
      <c r="H477" s="0" t="s">
        <v>228</v>
      </c>
      <c r="I477" s="0" t="s">
        <v>3555</v>
      </c>
      <c r="J477" s="0" t="s">
        <v>228</v>
      </c>
      <c r="K477" s="0" t="s">
        <v>228</v>
      </c>
      <c r="L477" s="0" t="s">
        <v>228</v>
      </c>
      <c r="M477" s="0" t="s">
        <v>228</v>
      </c>
      <c r="N477" s="0" t="s">
        <v>228</v>
      </c>
      <c r="O477" s="0" t="s">
        <v>228</v>
      </c>
      <c r="P477" s="0" t="s">
        <v>228</v>
      </c>
      <c r="Q477" s="0" t="s">
        <v>228</v>
      </c>
      <c r="R477" s="0" t="s">
        <v>3782</v>
      </c>
      <c r="S477" s="0" t="s">
        <v>228</v>
      </c>
      <c r="T477" s="0" t="s">
        <v>228</v>
      </c>
      <c r="U477" s="0" t="s">
        <v>101</v>
      </c>
      <c r="V477" s="0" t="s">
        <v>228</v>
      </c>
      <c r="W477" s="0" t="s">
        <v>228</v>
      </c>
      <c r="X477" s="0" t="s">
        <v>3661</v>
      </c>
      <c r="Y477" s="0" t="s">
        <v>228</v>
      </c>
      <c r="Z477" s="0" t="s">
        <v>151</v>
      </c>
      <c r="AA477" s="0" t="s">
        <v>151</v>
      </c>
      <c r="AB477" s="0" t="s">
        <v>160</v>
      </c>
      <c r="AC477" s="0" t="s">
        <v>2311</v>
      </c>
      <c r="AD477" s="0" t="s">
        <v>2311</v>
      </c>
      <c r="AE477" s="0" t="s">
        <v>2312</v>
      </c>
      <c r="AF477" s="0" t="s">
        <v>3697</v>
      </c>
      <c r="AG477" s="0" t="s">
        <v>3698</v>
      </c>
      <c r="AH477" s="0" t="s">
        <v>3697</v>
      </c>
      <c r="AI477" s="0" t="s">
        <v>3721</v>
      </c>
      <c r="AJ477" s="0" t="s">
        <v>228</v>
      </c>
      <c r="AK477" s="0" t="s">
        <v>228</v>
      </c>
      <c r="AL477" s="0" t="s">
        <v>228</v>
      </c>
      <c r="AM477" s="0" t="s">
        <v>228</v>
      </c>
      <c r="AN477" s="0" t="s">
        <v>228</v>
      </c>
      <c r="AO477" s="0" t="s">
        <v>228</v>
      </c>
      <c r="AP477" s="0" t="s">
        <v>228</v>
      </c>
      <c r="AQ477" s="0" t="s">
        <v>228</v>
      </c>
      <c r="AR477" s="0" t="s">
        <v>228</v>
      </c>
      <c r="AS477" s="0" t="s">
        <v>228</v>
      </c>
      <c r="AT477" s="0" t="s">
        <v>228</v>
      </c>
      <c r="AU477" s="0" t="s">
        <v>228</v>
      </c>
      <c r="AV477" s="0" t="s">
        <v>228</v>
      </c>
      <c r="AW477" s="0" t="s">
        <v>228</v>
      </c>
      <c r="AX477" s="0" t="s">
        <v>228</v>
      </c>
      <c r="AY477" s="0" t="s">
        <v>228</v>
      </c>
      <c r="AZ477" s="0" t="s">
        <v>228</v>
      </c>
      <c r="BA477" s="0" t="s">
        <v>228</v>
      </c>
      <c r="BB477" s="0" t="s">
        <v>228</v>
      </c>
      <c r="BC477" s="0" t="s">
        <v>228</v>
      </c>
      <c r="BD477" s="0" t="s">
        <v>228</v>
      </c>
      <c r="BE477" s="0" t="s">
        <v>3722</v>
      </c>
      <c r="BF477" s="0" t="s">
        <v>3722</v>
      </c>
      <c r="BG477" s="0" t="s">
        <v>111</v>
      </c>
      <c r="BH477" s="0" t="s">
        <v>3665</v>
      </c>
      <c r="BI477" s="0" t="s">
        <v>122</v>
      </c>
      <c r="BJ477" s="0" t="s">
        <v>228</v>
      </c>
      <c r="BK477" s="0" t="s">
        <v>3684</v>
      </c>
      <c r="BL477" s="0" t="s">
        <v>2311</v>
      </c>
      <c r="BM477" s="0" t="s">
        <v>2311</v>
      </c>
      <c r="BN477" s="0" t="s">
        <v>3723</v>
      </c>
      <c r="BO477" s="0" t="s">
        <v>3697</v>
      </c>
      <c r="BP477" s="0" t="s">
        <v>4998</v>
      </c>
      <c r="BQ477" s="0" t="s">
        <v>3699</v>
      </c>
      <c r="BR477" s="0" t="s">
        <v>4693</v>
      </c>
      <c r="BS477" s="0" t="s">
        <v>228</v>
      </c>
      <c r="BT477" s="0" t="s">
        <v>3727</v>
      </c>
      <c r="BU477" s="0" t="s">
        <v>5085</v>
      </c>
      <c r="BV477" s="0" t="s">
        <v>5085</v>
      </c>
      <c r="BW477" s="0" t="s">
        <v>3674</v>
      </c>
      <c r="BX477" s="0" t="s">
        <v>3674</v>
      </c>
      <c r="BY477" s="0" t="s">
        <v>3674</v>
      </c>
      <c r="BZ477" s="0" t="s">
        <v>3674</v>
      </c>
      <c r="CA477" s="0" t="s">
        <v>3674</v>
      </c>
      <c r="CB477" s="0" t="s">
        <v>228</v>
      </c>
      <c r="CC477" s="0" t="s">
        <v>228</v>
      </c>
      <c r="CD477" s="0" t="s">
        <v>228</v>
      </c>
      <c r="CE477" s="0" t="s">
        <v>228</v>
      </c>
      <c r="CF477" s="0" t="s">
        <v>228</v>
      </c>
      <c r="CG477" s="0" t="s">
        <v>3674</v>
      </c>
      <c r="CH477" s="0" t="s">
        <v>228</v>
      </c>
      <c r="CI477" s="0" t="s">
        <v>228</v>
      </c>
      <c r="CJ477" s="0" t="s">
        <v>228</v>
      </c>
      <c r="CK477" s="0" t="s">
        <v>228</v>
      </c>
      <c r="CL477" s="0" t="s">
        <v>228</v>
      </c>
      <c r="CM477" s="0" t="s">
        <v>5085</v>
      </c>
      <c r="CN477" s="0" t="s">
        <v>5085</v>
      </c>
      <c r="CO477" s="0" t="s">
        <v>228</v>
      </c>
      <c r="CP477" s="0" t="s">
        <v>228</v>
      </c>
      <c r="CQ477" s="0" t="s">
        <v>228</v>
      </c>
      <c r="CR477" s="0" t="s">
        <v>228</v>
      </c>
      <c r="CS477" s="0" t="s">
        <v>3582</v>
      </c>
      <c r="CT477" s="0" t="s">
        <v>3568</v>
      </c>
      <c r="CU477" s="0" t="s">
        <v>3569</v>
      </c>
      <c r="CV477" s="0" t="s">
        <v>418</v>
      </c>
      <c r="CW477" s="0" t="s">
        <v>3584</v>
      </c>
      <c r="CX477" s="0" t="s">
        <v>419</v>
      </c>
      <c r="CY477" s="0" t="s">
        <v>418</v>
      </c>
      <c r="CZ477" s="0" t="s">
        <v>3585</v>
      </c>
      <c r="DA477" s="0" t="s">
        <v>3586</v>
      </c>
      <c r="DB477" s="0" t="s">
        <v>3584</v>
      </c>
      <c r="DC477" s="0" t="s">
        <v>362</v>
      </c>
      <c r="DD477" s="0" t="s">
        <v>3572</v>
      </c>
      <c r="DE477" s="0" t="s">
        <v>5000</v>
      </c>
    </row>
    <row customHeight="1" ht="11.25">
      <c r="A478" s="1353" t="s">
        <v>228</v>
      </c>
      <c r="B478" s="0" t="s">
        <v>228</v>
      </c>
      <c r="C478" s="0" t="s">
        <v>228</v>
      </c>
      <c r="D478" s="0" t="s">
        <v>228</v>
      </c>
      <c r="E478" s="0" t="s">
        <v>228</v>
      </c>
      <c r="F478" s="0" t="s">
        <v>228</v>
      </c>
      <c r="G478" s="0" t="s">
        <v>228</v>
      </c>
      <c r="H478" s="0" t="s">
        <v>228</v>
      </c>
      <c r="I478" s="0" t="s">
        <v>3555</v>
      </c>
      <c r="J478" s="0" t="s">
        <v>228</v>
      </c>
      <c r="K478" s="0" t="s">
        <v>228</v>
      </c>
      <c r="L478" s="0" t="s">
        <v>228</v>
      </c>
      <c r="M478" s="0" t="s">
        <v>228</v>
      </c>
      <c r="N478" s="0" t="s">
        <v>228</v>
      </c>
      <c r="O478" s="0" t="s">
        <v>228</v>
      </c>
      <c r="P478" s="0" t="s">
        <v>228</v>
      </c>
      <c r="Q478" s="0" t="s">
        <v>228</v>
      </c>
      <c r="R478" s="0" t="s">
        <v>3648</v>
      </c>
      <c r="S478" s="0" t="s">
        <v>228</v>
      </c>
      <c r="T478" s="0" t="s">
        <v>228</v>
      </c>
      <c r="U478" s="0" t="s">
        <v>101</v>
      </c>
      <c r="V478" s="0" t="s">
        <v>228</v>
      </c>
      <c r="W478" s="0" t="s">
        <v>228</v>
      </c>
      <c r="X478" s="0" t="s">
        <v>3557</v>
      </c>
      <c r="Y478" s="0" t="s">
        <v>228</v>
      </c>
      <c r="Z478" s="0" t="s">
        <v>160</v>
      </c>
      <c r="AA478" s="0" t="s">
        <v>151</v>
      </c>
      <c r="AB478" s="0" t="s">
        <v>151</v>
      </c>
      <c r="AC478" s="0" t="s">
        <v>2317</v>
      </c>
      <c r="AD478" s="0" t="s">
        <v>2317</v>
      </c>
      <c r="AE478" s="0" t="s">
        <v>2318</v>
      </c>
      <c r="AF478" s="0" t="s">
        <v>3913</v>
      </c>
      <c r="AG478" s="0" t="s">
        <v>3914</v>
      </c>
      <c r="AH478" s="0" t="s">
        <v>3747</v>
      </c>
      <c r="AI478" s="0" t="s">
        <v>3626</v>
      </c>
      <c r="AJ478" s="0" t="s">
        <v>3579</v>
      </c>
      <c r="AK478" s="0" t="s">
        <v>3749</v>
      </c>
      <c r="AL478" s="0" t="s">
        <v>3581</v>
      </c>
      <c r="AM478" s="0" t="s">
        <v>3565</v>
      </c>
      <c r="AN478" s="0" t="s">
        <v>3620</v>
      </c>
      <c r="AO478" s="0" t="s">
        <v>3915</v>
      </c>
      <c r="AP478" s="0" t="s">
        <v>228</v>
      </c>
      <c r="AQ478" s="0" t="s">
        <v>228</v>
      </c>
      <c r="AR478" s="0" t="s">
        <v>228</v>
      </c>
      <c r="AS478" s="0" t="s">
        <v>228</v>
      </c>
      <c r="AT478" s="0" t="s">
        <v>228</v>
      </c>
      <c r="AU478" s="0" t="s">
        <v>228</v>
      </c>
      <c r="AV478" s="0" t="s">
        <v>228</v>
      </c>
      <c r="AW478" s="0" t="s">
        <v>228</v>
      </c>
      <c r="AX478" s="0" t="s">
        <v>228</v>
      </c>
      <c r="AY478" s="0" t="s">
        <v>228</v>
      </c>
      <c r="AZ478" s="0" t="s">
        <v>228</v>
      </c>
      <c r="BA478" s="0" t="s">
        <v>228</v>
      </c>
      <c r="BB478" s="0" t="s">
        <v>228</v>
      </c>
      <c r="BC478" s="0" t="s">
        <v>228</v>
      </c>
      <c r="BD478" s="0" t="s">
        <v>228</v>
      </c>
      <c r="BE478" s="0" t="s">
        <v>228</v>
      </c>
      <c r="BF478" s="0" t="s">
        <v>228</v>
      </c>
      <c r="BG478" s="0" t="s">
        <v>228</v>
      </c>
      <c r="BH478" s="0" t="s">
        <v>228</v>
      </c>
      <c r="BI478" s="0" t="s">
        <v>228</v>
      </c>
      <c r="BJ478" s="0" t="s">
        <v>228</v>
      </c>
      <c r="BK478" s="0" t="s">
        <v>228</v>
      </c>
      <c r="BL478" s="0" t="s">
        <v>228</v>
      </c>
      <c r="BM478" s="0" t="s">
        <v>228</v>
      </c>
      <c r="BN478" s="0" t="s">
        <v>228</v>
      </c>
      <c r="BO478" s="0" t="s">
        <v>228</v>
      </c>
      <c r="BP478" s="0" t="s">
        <v>228</v>
      </c>
      <c r="BQ478" s="0" t="s">
        <v>228</v>
      </c>
      <c r="BR478" s="0" t="s">
        <v>228</v>
      </c>
      <c r="BS478" s="0" t="s">
        <v>228</v>
      </c>
      <c r="BT478" s="0" t="s">
        <v>228</v>
      </c>
      <c r="BU478" s="0" t="s">
        <v>228</v>
      </c>
      <c r="BV478" s="0" t="s">
        <v>228</v>
      </c>
      <c r="BW478" s="0" t="s">
        <v>228</v>
      </c>
      <c r="BX478" s="0" t="s">
        <v>228</v>
      </c>
      <c r="BY478" s="0" t="s">
        <v>228</v>
      </c>
      <c r="BZ478" s="0" t="s">
        <v>228</v>
      </c>
      <c r="CA478" s="0" t="s">
        <v>228</v>
      </c>
      <c r="CB478" s="0" t="s">
        <v>228</v>
      </c>
      <c r="CC478" s="0" t="s">
        <v>228</v>
      </c>
      <c r="CD478" s="0" t="s">
        <v>228</v>
      </c>
      <c r="CE478" s="0" t="s">
        <v>228</v>
      </c>
      <c r="CF478" s="0" t="s">
        <v>228</v>
      </c>
      <c r="CG478" s="0" t="s">
        <v>228</v>
      </c>
      <c r="CH478" s="0" t="s">
        <v>228</v>
      </c>
      <c r="CI478" s="0" t="s">
        <v>228</v>
      </c>
      <c r="CJ478" s="0" t="s">
        <v>228</v>
      </c>
      <c r="CK478" s="0" t="s">
        <v>228</v>
      </c>
      <c r="CL478" s="0" t="s">
        <v>228</v>
      </c>
      <c r="CM478" s="0" t="s">
        <v>228</v>
      </c>
      <c r="CN478" s="0" t="s">
        <v>228</v>
      </c>
      <c r="CO478" s="0" t="s">
        <v>228</v>
      </c>
      <c r="CP478" s="0" t="s">
        <v>228</v>
      </c>
      <c r="CQ478" s="0" t="s">
        <v>228</v>
      </c>
      <c r="CR478" s="0" t="s">
        <v>228</v>
      </c>
      <c r="CS478" s="0" t="s">
        <v>228</v>
      </c>
      <c r="CT478" s="0" t="s">
        <v>3568</v>
      </c>
      <c r="CU478" s="0" t="s">
        <v>3569</v>
      </c>
      <c r="CV478" s="0" t="s">
        <v>418</v>
      </c>
      <c r="CW478" s="0" t="s">
        <v>3622</v>
      </c>
      <c r="CX478" s="0" t="s">
        <v>419</v>
      </c>
      <c r="CY478" s="0" t="s">
        <v>418</v>
      </c>
      <c r="CZ478" s="0" t="s">
        <v>3623</v>
      </c>
      <c r="DA478" s="0" t="s">
        <v>3624</v>
      </c>
      <c r="DB478" s="0" t="s">
        <v>3622</v>
      </c>
      <c r="DC478" s="0" t="s">
        <v>362</v>
      </c>
      <c r="DD478" s="0" t="s">
        <v>3572</v>
      </c>
      <c r="DE478" s="0" t="s">
        <v>3916</v>
      </c>
    </row>
    <row customHeight="1" ht="11.25">
      <c r="A479" s="1353" t="s">
        <v>228</v>
      </c>
      <c r="B479" s="0" t="s">
        <v>228</v>
      </c>
      <c r="C479" s="0" t="s">
        <v>228</v>
      </c>
      <c r="D479" s="0" t="s">
        <v>228</v>
      </c>
      <c r="E479" s="0" t="s">
        <v>228</v>
      </c>
      <c r="F479" s="0" t="s">
        <v>228</v>
      </c>
      <c r="G479" s="0" t="s">
        <v>228</v>
      </c>
      <c r="H479" s="0" t="s">
        <v>228</v>
      </c>
      <c r="I479" s="0" t="s">
        <v>3555</v>
      </c>
      <c r="J479" s="0" t="s">
        <v>228</v>
      </c>
      <c r="K479" s="0" t="s">
        <v>228</v>
      </c>
      <c r="L479" s="0" t="s">
        <v>228</v>
      </c>
      <c r="M479" s="0" t="s">
        <v>228</v>
      </c>
      <c r="N479" s="0" t="s">
        <v>228</v>
      </c>
      <c r="O479" s="0" t="s">
        <v>228</v>
      </c>
      <c r="P479" s="0" t="s">
        <v>228</v>
      </c>
      <c r="Q479" s="0" t="s">
        <v>228</v>
      </c>
      <c r="R479" s="0" t="s">
        <v>5001</v>
      </c>
      <c r="S479" s="0" t="s">
        <v>228</v>
      </c>
      <c r="T479" s="0" t="s">
        <v>228</v>
      </c>
      <c r="U479" s="0" t="s">
        <v>101</v>
      </c>
      <c r="V479" s="0" t="s">
        <v>228</v>
      </c>
      <c r="W479" s="0" t="s">
        <v>228</v>
      </c>
      <c r="X479" s="0" t="s">
        <v>3661</v>
      </c>
      <c r="Y479" s="0" t="s">
        <v>228</v>
      </c>
      <c r="Z479" s="0" t="s">
        <v>151</v>
      </c>
      <c r="AA479" s="0" t="s">
        <v>151</v>
      </c>
      <c r="AB479" s="0" t="s">
        <v>160</v>
      </c>
      <c r="AC479" s="0" t="s">
        <v>2317</v>
      </c>
      <c r="AD479" s="0" t="s">
        <v>2317</v>
      </c>
      <c r="AE479" s="0" t="s">
        <v>2318</v>
      </c>
      <c r="AF479" s="0" t="s">
        <v>4745</v>
      </c>
      <c r="AG479" s="0" t="s">
        <v>4746</v>
      </c>
      <c r="AH479" s="0" t="s">
        <v>3651</v>
      </c>
      <c r="AI479" s="0" t="s">
        <v>3651</v>
      </c>
      <c r="AJ479" s="0" t="s">
        <v>228</v>
      </c>
      <c r="AK479" s="0" t="s">
        <v>228</v>
      </c>
      <c r="AL479" s="0" t="s">
        <v>228</v>
      </c>
      <c r="AM479" s="0" t="s">
        <v>228</v>
      </c>
      <c r="AN479" s="0" t="s">
        <v>228</v>
      </c>
      <c r="AO479" s="0" t="s">
        <v>228</v>
      </c>
      <c r="AP479" s="0" t="s">
        <v>228</v>
      </c>
      <c r="AQ479" s="0" t="s">
        <v>228</v>
      </c>
      <c r="AR479" s="0" t="s">
        <v>228</v>
      </c>
      <c r="AS479" s="0" t="s">
        <v>228</v>
      </c>
      <c r="AT479" s="0" t="s">
        <v>228</v>
      </c>
      <c r="AU479" s="0" t="s">
        <v>228</v>
      </c>
      <c r="AV479" s="0" t="s">
        <v>228</v>
      </c>
      <c r="AW479" s="0" t="s">
        <v>228</v>
      </c>
      <c r="AX479" s="0" t="s">
        <v>228</v>
      </c>
      <c r="AY479" s="0" t="s">
        <v>228</v>
      </c>
      <c r="AZ479" s="0" t="s">
        <v>228</v>
      </c>
      <c r="BA479" s="0" t="s">
        <v>228</v>
      </c>
      <c r="BB479" s="0" t="s">
        <v>228</v>
      </c>
      <c r="BC479" s="0" t="s">
        <v>228</v>
      </c>
      <c r="BD479" s="0" t="s">
        <v>228</v>
      </c>
      <c r="BE479" s="0" t="s">
        <v>3579</v>
      </c>
      <c r="BF479" s="0" t="s">
        <v>3619</v>
      </c>
      <c r="BG479" s="0" t="s">
        <v>111</v>
      </c>
      <c r="BH479" s="0" t="s">
        <v>3665</v>
      </c>
      <c r="BI479" s="0" t="s">
        <v>122</v>
      </c>
      <c r="BJ479" s="0" t="s">
        <v>228</v>
      </c>
      <c r="BK479" s="0" t="s">
        <v>3684</v>
      </c>
      <c r="BL479" s="0" t="s">
        <v>2317</v>
      </c>
      <c r="BM479" s="0" t="s">
        <v>2317</v>
      </c>
      <c r="BN479" s="0" t="s">
        <v>3740</v>
      </c>
      <c r="BO479" s="0" t="s">
        <v>4745</v>
      </c>
      <c r="BP479" s="0" t="s">
        <v>5002</v>
      </c>
      <c r="BQ479" s="0" t="s">
        <v>3651</v>
      </c>
      <c r="BR479" s="0" t="s">
        <v>3651</v>
      </c>
      <c r="BS479" s="0" t="s">
        <v>228</v>
      </c>
      <c r="BT479" s="0" t="s">
        <v>3727</v>
      </c>
      <c r="BU479" s="0" t="s">
        <v>5003</v>
      </c>
      <c r="BV479" s="0" t="s">
        <v>5003</v>
      </c>
      <c r="BW479" s="0" t="s">
        <v>3674</v>
      </c>
      <c r="BX479" s="0" t="s">
        <v>3674</v>
      </c>
      <c r="BY479" s="0" t="s">
        <v>3674</v>
      </c>
      <c r="BZ479" s="0" t="s">
        <v>3674</v>
      </c>
      <c r="CA479" s="0" t="s">
        <v>3674</v>
      </c>
      <c r="CB479" s="0" t="s">
        <v>228</v>
      </c>
      <c r="CC479" s="0" t="s">
        <v>228</v>
      </c>
      <c r="CD479" s="0" t="s">
        <v>228</v>
      </c>
      <c r="CE479" s="0" t="s">
        <v>228</v>
      </c>
      <c r="CF479" s="0" t="s">
        <v>228</v>
      </c>
      <c r="CG479" s="0" t="s">
        <v>3674</v>
      </c>
      <c r="CH479" s="0" t="s">
        <v>228</v>
      </c>
      <c r="CI479" s="0" t="s">
        <v>228</v>
      </c>
      <c r="CJ479" s="0" t="s">
        <v>228</v>
      </c>
      <c r="CK479" s="0" t="s">
        <v>228</v>
      </c>
      <c r="CL479" s="0" t="s">
        <v>228</v>
      </c>
      <c r="CM479" s="0" t="s">
        <v>5003</v>
      </c>
      <c r="CN479" s="0" t="s">
        <v>5003</v>
      </c>
      <c r="CO479" s="0" t="s">
        <v>228</v>
      </c>
      <c r="CP479" s="0" t="s">
        <v>228</v>
      </c>
      <c r="CQ479" s="0" t="s">
        <v>228</v>
      </c>
      <c r="CR479" s="0" t="s">
        <v>228</v>
      </c>
      <c r="CS479" s="0" t="s">
        <v>3743</v>
      </c>
      <c r="CT479" s="0" t="s">
        <v>3568</v>
      </c>
      <c r="CU479" s="0" t="s">
        <v>3569</v>
      </c>
      <c r="CV479" s="0" t="s">
        <v>418</v>
      </c>
      <c r="CW479" s="0" t="s">
        <v>3622</v>
      </c>
      <c r="CX479" s="0" t="s">
        <v>419</v>
      </c>
      <c r="CY479" s="0" t="s">
        <v>418</v>
      </c>
      <c r="CZ479" s="0" t="s">
        <v>3623</v>
      </c>
      <c r="DA479" s="0" t="s">
        <v>3624</v>
      </c>
      <c r="DB479" s="0" t="s">
        <v>3622</v>
      </c>
      <c r="DC479" s="0" t="s">
        <v>362</v>
      </c>
      <c r="DD479" s="0" t="s">
        <v>3572</v>
      </c>
      <c r="DE479" s="0" t="s">
        <v>5004</v>
      </c>
    </row>
    <row customHeight="1" ht="11.25">
      <c r="A480" s="1353" t="s">
        <v>228</v>
      </c>
      <c r="B480" s="0" t="s">
        <v>228</v>
      </c>
      <c r="C480" s="0" t="s">
        <v>228</v>
      </c>
      <c r="D480" s="0" t="s">
        <v>228</v>
      </c>
      <c r="E480" s="0" t="s">
        <v>228</v>
      </c>
      <c r="F480" s="0" t="s">
        <v>228</v>
      </c>
      <c r="G480" s="0" t="s">
        <v>228</v>
      </c>
      <c r="H480" s="0" t="s">
        <v>228</v>
      </c>
      <c r="I480" s="0" t="s">
        <v>3555</v>
      </c>
      <c r="J480" s="0" t="s">
        <v>228</v>
      </c>
      <c r="K480" s="0" t="s">
        <v>228</v>
      </c>
      <c r="L480" s="0" t="s">
        <v>228</v>
      </c>
      <c r="M480" s="0" t="s">
        <v>228</v>
      </c>
      <c r="N480" s="0" t="s">
        <v>228</v>
      </c>
      <c r="O480" s="0" t="s">
        <v>228</v>
      </c>
      <c r="P480" s="0" t="s">
        <v>228</v>
      </c>
      <c r="Q480" s="0" t="s">
        <v>228</v>
      </c>
      <c r="R480" s="0" t="s">
        <v>5005</v>
      </c>
      <c r="S480" s="0" t="s">
        <v>228</v>
      </c>
      <c r="T480" s="0" t="s">
        <v>228</v>
      </c>
      <c r="U480" s="0" t="s">
        <v>101</v>
      </c>
      <c r="V480" s="0" t="s">
        <v>228</v>
      </c>
      <c r="W480" s="0" t="s">
        <v>228</v>
      </c>
      <c r="X480" s="0" t="s">
        <v>3557</v>
      </c>
      <c r="Y480" s="0" t="s">
        <v>228</v>
      </c>
      <c r="Z480" s="0" t="s">
        <v>160</v>
      </c>
      <c r="AA480" s="0" t="s">
        <v>151</v>
      </c>
      <c r="AB480" s="0" t="s">
        <v>151</v>
      </c>
      <c r="AC480" s="0" t="s">
        <v>2317</v>
      </c>
      <c r="AD480" s="0" t="s">
        <v>2317</v>
      </c>
      <c r="AE480" s="0" t="s">
        <v>2318</v>
      </c>
      <c r="AF480" s="0" t="s">
        <v>3799</v>
      </c>
      <c r="AG480" s="0" t="s">
        <v>3800</v>
      </c>
      <c r="AH480" s="0" t="s">
        <v>5006</v>
      </c>
      <c r="AI480" s="0" t="s">
        <v>4049</v>
      </c>
      <c r="AJ480" s="0" t="s">
        <v>3627</v>
      </c>
      <c r="AK480" s="0" t="s">
        <v>3749</v>
      </c>
      <c r="AL480" s="0" t="s">
        <v>3581</v>
      </c>
      <c r="AM480" s="0" t="s">
        <v>3565</v>
      </c>
      <c r="AN480" s="0" t="s">
        <v>3563</v>
      </c>
      <c r="AO480" s="0" t="s">
        <v>4533</v>
      </c>
      <c r="AP480" s="0" t="s">
        <v>228</v>
      </c>
      <c r="AQ480" s="0" t="s">
        <v>228</v>
      </c>
      <c r="AR480" s="0" t="s">
        <v>228</v>
      </c>
      <c r="AS480" s="0" t="s">
        <v>228</v>
      </c>
      <c r="AT480" s="0" t="s">
        <v>228</v>
      </c>
      <c r="AU480" s="0" t="s">
        <v>228</v>
      </c>
      <c r="AV480" s="0" t="s">
        <v>228</v>
      </c>
      <c r="AW480" s="0" t="s">
        <v>228</v>
      </c>
      <c r="AX480" s="0" t="s">
        <v>228</v>
      </c>
      <c r="AY480" s="0" t="s">
        <v>228</v>
      </c>
      <c r="AZ480" s="0" t="s">
        <v>228</v>
      </c>
      <c r="BA480" s="0" t="s">
        <v>228</v>
      </c>
      <c r="BB480" s="0" t="s">
        <v>228</v>
      </c>
      <c r="BC480" s="0" t="s">
        <v>228</v>
      </c>
      <c r="BD480" s="0" t="s">
        <v>228</v>
      </c>
      <c r="BE480" s="0" t="s">
        <v>228</v>
      </c>
      <c r="BF480" s="0" t="s">
        <v>228</v>
      </c>
      <c r="BG480" s="0" t="s">
        <v>228</v>
      </c>
      <c r="BH480" s="0" t="s">
        <v>228</v>
      </c>
      <c r="BI480" s="0" t="s">
        <v>228</v>
      </c>
      <c r="BJ480" s="0" t="s">
        <v>228</v>
      </c>
      <c r="BK480" s="0" t="s">
        <v>228</v>
      </c>
      <c r="BL480" s="0" t="s">
        <v>228</v>
      </c>
      <c r="BM480" s="0" t="s">
        <v>228</v>
      </c>
      <c r="BN480" s="0" t="s">
        <v>228</v>
      </c>
      <c r="BO480" s="0" t="s">
        <v>228</v>
      </c>
      <c r="BP480" s="0" t="s">
        <v>228</v>
      </c>
      <c r="BQ480" s="0" t="s">
        <v>228</v>
      </c>
      <c r="BR480" s="0" t="s">
        <v>228</v>
      </c>
      <c r="BS480" s="0" t="s">
        <v>228</v>
      </c>
      <c r="BT480" s="0" t="s">
        <v>228</v>
      </c>
      <c r="BU480" s="0" t="s">
        <v>228</v>
      </c>
      <c r="BV480" s="0" t="s">
        <v>228</v>
      </c>
      <c r="BW480" s="0" t="s">
        <v>228</v>
      </c>
      <c r="BX480" s="0" t="s">
        <v>228</v>
      </c>
      <c r="BY480" s="0" t="s">
        <v>228</v>
      </c>
      <c r="BZ480" s="0" t="s">
        <v>228</v>
      </c>
      <c r="CA480" s="0" t="s">
        <v>228</v>
      </c>
      <c r="CB480" s="0" t="s">
        <v>228</v>
      </c>
      <c r="CC480" s="0" t="s">
        <v>228</v>
      </c>
      <c r="CD480" s="0" t="s">
        <v>228</v>
      </c>
      <c r="CE480" s="0" t="s">
        <v>228</v>
      </c>
      <c r="CF480" s="0" t="s">
        <v>228</v>
      </c>
      <c r="CG480" s="0" t="s">
        <v>228</v>
      </c>
      <c r="CH480" s="0" t="s">
        <v>228</v>
      </c>
      <c r="CI480" s="0" t="s">
        <v>228</v>
      </c>
      <c r="CJ480" s="0" t="s">
        <v>228</v>
      </c>
      <c r="CK480" s="0" t="s">
        <v>228</v>
      </c>
      <c r="CL480" s="0" t="s">
        <v>228</v>
      </c>
      <c r="CM480" s="0" t="s">
        <v>228</v>
      </c>
      <c r="CN480" s="0" t="s">
        <v>228</v>
      </c>
      <c r="CO480" s="0" t="s">
        <v>228</v>
      </c>
      <c r="CP480" s="0" t="s">
        <v>228</v>
      </c>
      <c r="CQ480" s="0" t="s">
        <v>228</v>
      </c>
      <c r="CR480" s="0" t="s">
        <v>228</v>
      </c>
      <c r="CS480" s="0" t="s">
        <v>228</v>
      </c>
      <c r="CT480" s="0" t="s">
        <v>3568</v>
      </c>
      <c r="CU480" s="0" t="s">
        <v>3569</v>
      </c>
      <c r="CV480" s="0" t="s">
        <v>418</v>
      </c>
      <c r="CW480" s="0" t="s">
        <v>3622</v>
      </c>
      <c r="CX480" s="0" t="s">
        <v>419</v>
      </c>
      <c r="CY480" s="0" t="s">
        <v>418</v>
      </c>
      <c r="CZ480" s="0" t="s">
        <v>3623</v>
      </c>
      <c r="DA480" s="0" t="s">
        <v>3624</v>
      </c>
      <c r="DB480" s="0" t="s">
        <v>3622</v>
      </c>
      <c r="DC480" s="0" t="s">
        <v>362</v>
      </c>
      <c r="DD480" s="0" t="s">
        <v>3572</v>
      </c>
      <c r="DE480" s="0" t="s">
        <v>5007</v>
      </c>
    </row>
    <row customHeight="1" ht="11.25">
      <c r="A481" s="1353" t="s">
        <v>228</v>
      </c>
      <c r="B481" s="0" t="s">
        <v>228</v>
      </c>
      <c r="C481" s="0" t="s">
        <v>228</v>
      </c>
      <c r="D481" s="0" t="s">
        <v>228</v>
      </c>
      <c r="E481" s="0" t="s">
        <v>228</v>
      </c>
      <c r="F481" s="0" t="s">
        <v>228</v>
      </c>
      <c r="G481" s="0" t="s">
        <v>228</v>
      </c>
      <c r="H481" s="0" t="s">
        <v>228</v>
      </c>
      <c r="I481" s="0" t="s">
        <v>3555</v>
      </c>
      <c r="J481" s="0" t="s">
        <v>228</v>
      </c>
      <c r="K481" s="0" t="s">
        <v>228</v>
      </c>
      <c r="L481" s="0" t="s">
        <v>228</v>
      </c>
      <c r="M481" s="0" t="s">
        <v>228</v>
      </c>
      <c r="N481" s="0" t="s">
        <v>228</v>
      </c>
      <c r="O481" s="0" t="s">
        <v>228</v>
      </c>
      <c r="P481" s="0" t="s">
        <v>228</v>
      </c>
      <c r="Q481" s="0" t="s">
        <v>228</v>
      </c>
      <c r="R481" s="0" t="s">
        <v>3798</v>
      </c>
      <c r="S481" s="0" t="s">
        <v>228</v>
      </c>
      <c r="T481" s="0" t="s">
        <v>228</v>
      </c>
      <c r="U481" s="0" t="s">
        <v>101</v>
      </c>
      <c r="V481" s="0" t="s">
        <v>228</v>
      </c>
      <c r="W481" s="0" t="s">
        <v>228</v>
      </c>
      <c r="X481" s="0" t="s">
        <v>3661</v>
      </c>
      <c r="Y481" s="0" t="s">
        <v>228</v>
      </c>
      <c r="Z481" s="0" t="s">
        <v>151</v>
      </c>
      <c r="AA481" s="0" t="s">
        <v>151</v>
      </c>
      <c r="AB481" s="0" t="s">
        <v>160</v>
      </c>
      <c r="AC481" s="0" t="s">
        <v>2317</v>
      </c>
      <c r="AD481" s="0" t="s">
        <v>2317</v>
      </c>
      <c r="AE481" s="0" t="s">
        <v>2318</v>
      </c>
      <c r="AF481" s="0" t="s">
        <v>3799</v>
      </c>
      <c r="AG481" s="0" t="s">
        <v>3800</v>
      </c>
      <c r="AH481" s="0" t="s">
        <v>3651</v>
      </c>
      <c r="AI481" s="0" t="s">
        <v>3651</v>
      </c>
      <c r="AJ481" s="0" t="s">
        <v>228</v>
      </c>
      <c r="AK481" s="0" t="s">
        <v>228</v>
      </c>
      <c r="AL481" s="0" t="s">
        <v>228</v>
      </c>
      <c r="AM481" s="0" t="s">
        <v>228</v>
      </c>
      <c r="AN481" s="0" t="s">
        <v>228</v>
      </c>
      <c r="AO481" s="0" t="s">
        <v>228</v>
      </c>
      <c r="AP481" s="0" t="s">
        <v>228</v>
      </c>
      <c r="AQ481" s="0" t="s">
        <v>228</v>
      </c>
      <c r="AR481" s="0" t="s">
        <v>228</v>
      </c>
      <c r="AS481" s="0" t="s">
        <v>228</v>
      </c>
      <c r="AT481" s="0" t="s">
        <v>228</v>
      </c>
      <c r="AU481" s="0" t="s">
        <v>228</v>
      </c>
      <c r="AV481" s="0" t="s">
        <v>228</v>
      </c>
      <c r="AW481" s="0" t="s">
        <v>228</v>
      </c>
      <c r="AX481" s="0" t="s">
        <v>228</v>
      </c>
      <c r="AY481" s="0" t="s">
        <v>228</v>
      </c>
      <c r="AZ481" s="0" t="s">
        <v>228</v>
      </c>
      <c r="BA481" s="0" t="s">
        <v>228</v>
      </c>
      <c r="BB481" s="0" t="s">
        <v>228</v>
      </c>
      <c r="BC481" s="0" t="s">
        <v>228</v>
      </c>
      <c r="BD481" s="0" t="s">
        <v>228</v>
      </c>
      <c r="BE481" s="0" t="s">
        <v>3579</v>
      </c>
      <c r="BF481" s="0" t="s">
        <v>3619</v>
      </c>
      <c r="BG481" s="0" t="s">
        <v>111</v>
      </c>
      <c r="BH481" s="0" t="s">
        <v>3665</v>
      </c>
      <c r="BI481" s="0" t="s">
        <v>122</v>
      </c>
      <c r="BJ481" s="0" t="s">
        <v>228</v>
      </c>
      <c r="BK481" s="0" t="s">
        <v>3684</v>
      </c>
      <c r="BL481" s="0" t="s">
        <v>2317</v>
      </c>
      <c r="BM481" s="0" t="s">
        <v>2317</v>
      </c>
      <c r="BN481" s="0" t="s">
        <v>3740</v>
      </c>
      <c r="BO481" s="0" t="s">
        <v>3799</v>
      </c>
      <c r="BP481" s="0" t="s">
        <v>3801</v>
      </c>
      <c r="BQ481" s="0" t="s">
        <v>3651</v>
      </c>
      <c r="BR481" s="0" t="s">
        <v>3651</v>
      </c>
      <c r="BS481" s="0" t="s">
        <v>228</v>
      </c>
      <c r="BT481" s="0" t="s">
        <v>3727</v>
      </c>
      <c r="BU481" s="0" t="s">
        <v>3802</v>
      </c>
      <c r="BV481" s="0" t="s">
        <v>3802</v>
      </c>
      <c r="BW481" s="0" t="s">
        <v>3674</v>
      </c>
      <c r="BX481" s="0" t="s">
        <v>3674</v>
      </c>
      <c r="BY481" s="0" t="s">
        <v>3674</v>
      </c>
      <c r="BZ481" s="0" t="s">
        <v>3674</v>
      </c>
      <c r="CA481" s="0" t="s">
        <v>3674</v>
      </c>
      <c r="CB481" s="0" t="s">
        <v>228</v>
      </c>
      <c r="CC481" s="0" t="s">
        <v>228</v>
      </c>
      <c r="CD481" s="0" t="s">
        <v>228</v>
      </c>
      <c r="CE481" s="0" t="s">
        <v>228</v>
      </c>
      <c r="CF481" s="0" t="s">
        <v>228</v>
      </c>
      <c r="CG481" s="0" t="s">
        <v>3674</v>
      </c>
      <c r="CH481" s="0" t="s">
        <v>228</v>
      </c>
      <c r="CI481" s="0" t="s">
        <v>228</v>
      </c>
      <c r="CJ481" s="0" t="s">
        <v>228</v>
      </c>
      <c r="CK481" s="0" t="s">
        <v>228</v>
      </c>
      <c r="CL481" s="0" t="s">
        <v>228</v>
      </c>
      <c r="CM481" s="0" t="s">
        <v>3802</v>
      </c>
      <c r="CN481" s="0" t="s">
        <v>3802</v>
      </c>
      <c r="CO481" s="0" t="s">
        <v>228</v>
      </c>
      <c r="CP481" s="0" t="s">
        <v>228</v>
      </c>
      <c r="CQ481" s="0" t="s">
        <v>228</v>
      </c>
      <c r="CR481" s="0" t="s">
        <v>228</v>
      </c>
      <c r="CS481" s="0" t="s">
        <v>3743</v>
      </c>
      <c r="CT481" s="0" t="s">
        <v>3568</v>
      </c>
      <c r="CU481" s="0" t="s">
        <v>3569</v>
      </c>
      <c r="CV481" s="0" t="s">
        <v>418</v>
      </c>
      <c r="CW481" s="0" t="s">
        <v>3622</v>
      </c>
      <c r="CX481" s="0" t="s">
        <v>419</v>
      </c>
      <c r="CY481" s="0" t="s">
        <v>418</v>
      </c>
      <c r="CZ481" s="0" t="s">
        <v>3623</v>
      </c>
      <c r="DA481" s="0" t="s">
        <v>3624</v>
      </c>
      <c r="DB481" s="0" t="s">
        <v>3622</v>
      </c>
      <c r="DC481" s="0" t="s">
        <v>362</v>
      </c>
      <c r="DD481" s="0" t="s">
        <v>3572</v>
      </c>
      <c r="DE481" s="0" t="s">
        <v>3803</v>
      </c>
    </row>
    <row customHeight="1" ht="11.25">
      <c r="A482" s="1353" t="s">
        <v>228</v>
      </c>
      <c r="B482" s="0" t="s">
        <v>228</v>
      </c>
      <c r="C482" s="0" t="s">
        <v>228</v>
      </c>
      <c r="D482" s="0" t="s">
        <v>228</v>
      </c>
      <c r="E482" s="0" t="s">
        <v>228</v>
      </c>
      <c r="F482" s="0" t="s">
        <v>228</v>
      </c>
      <c r="G482" s="0" t="s">
        <v>228</v>
      </c>
      <c r="H482" s="0" t="s">
        <v>228</v>
      </c>
      <c r="I482" s="0" t="s">
        <v>3555</v>
      </c>
      <c r="J482" s="0" t="s">
        <v>228</v>
      </c>
      <c r="K482" s="0" t="s">
        <v>228</v>
      </c>
      <c r="L482" s="0" t="s">
        <v>228</v>
      </c>
      <c r="M482" s="0" t="s">
        <v>228</v>
      </c>
      <c r="N482" s="0" t="s">
        <v>228</v>
      </c>
      <c r="O482" s="0" t="s">
        <v>228</v>
      </c>
      <c r="P482" s="0" t="s">
        <v>228</v>
      </c>
      <c r="Q482" s="0" t="s">
        <v>228</v>
      </c>
      <c r="R482" s="0" t="s">
        <v>3906</v>
      </c>
      <c r="S482" s="0" t="s">
        <v>228</v>
      </c>
      <c r="T482" s="0" t="s">
        <v>228</v>
      </c>
      <c r="U482" s="0" t="s">
        <v>101</v>
      </c>
      <c r="V482" s="0" t="s">
        <v>228</v>
      </c>
      <c r="W482" s="0" t="s">
        <v>228</v>
      </c>
      <c r="X482" s="0" t="s">
        <v>3661</v>
      </c>
      <c r="Y482" s="0" t="s">
        <v>228</v>
      </c>
      <c r="Z482" s="0" t="s">
        <v>151</v>
      </c>
      <c r="AA482" s="0" t="s">
        <v>151</v>
      </c>
      <c r="AB482" s="0" t="s">
        <v>160</v>
      </c>
      <c r="AC482" s="0" t="s">
        <v>2317</v>
      </c>
      <c r="AD482" s="0" t="s">
        <v>2317</v>
      </c>
      <c r="AE482" s="0" t="s">
        <v>2318</v>
      </c>
      <c r="AF482" s="0" t="s">
        <v>3907</v>
      </c>
      <c r="AG482" s="0" t="s">
        <v>3908</v>
      </c>
      <c r="AH482" s="0" t="s">
        <v>3651</v>
      </c>
      <c r="AI482" s="0" t="s">
        <v>3651</v>
      </c>
      <c r="AJ482" s="0" t="s">
        <v>228</v>
      </c>
      <c r="AK482" s="0" t="s">
        <v>228</v>
      </c>
      <c r="AL482" s="0" t="s">
        <v>228</v>
      </c>
      <c r="AM482" s="0" t="s">
        <v>228</v>
      </c>
      <c r="AN482" s="0" t="s">
        <v>228</v>
      </c>
      <c r="AO482" s="0" t="s">
        <v>228</v>
      </c>
      <c r="AP482" s="0" t="s">
        <v>228</v>
      </c>
      <c r="AQ482" s="0" t="s">
        <v>228</v>
      </c>
      <c r="AR482" s="0" t="s">
        <v>228</v>
      </c>
      <c r="AS482" s="0" t="s">
        <v>228</v>
      </c>
      <c r="AT482" s="0" t="s">
        <v>228</v>
      </c>
      <c r="AU482" s="0" t="s">
        <v>228</v>
      </c>
      <c r="AV482" s="0" t="s">
        <v>228</v>
      </c>
      <c r="AW482" s="0" t="s">
        <v>228</v>
      </c>
      <c r="AX482" s="0" t="s">
        <v>228</v>
      </c>
      <c r="AY482" s="0" t="s">
        <v>228</v>
      </c>
      <c r="AZ482" s="0" t="s">
        <v>228</v>
      </c>
      <c r="BA482" s="0" t="s">
        <v>228</v>
      </c>
      <c r="BB482" s="0" t="s">
        <v>228</v>
      </c>
      <c r="BC482" s="0" t="s">
        <v>228</v>
      </c>
      <c r="BD482" s="0" t="s">
        <v>228</v>
      </c>
      <c r="BE482" s="0" t="s">
        <v>3652</v>
      </c>
      <c r="BF482" s="0" t="s">
        <v>3909</v>
      </c>
      <c r="BG482" s="0" t="s">
        <v>111</v>
      </c>
      <c r="BH482" s="0" t="s">
        <v>3665</v>
      </c>
      <c r="BI482" s="0" t="s">
        <v>122</v>
      </c>
      <c r="BJ482" s="0" t="s">
        <v>228</v>
      </c>
      <c r="BK482" s="0" t="s">
        <v>3684</v>
      </c>
      <c r="BL482" s="0" t="s">
        <v>2317</v>
      </c>
      <c r="BM482" s="0" t="s">
        <v>2317</v>
      </c>
      <c r="BN482" s="0" t="s">
        <v>3740</v>
      </c>
      <c r="BO482" s="0" t="s">
        <v>3907</v>
      </c>
      <c r="BP482" s="0" t="s">
        <v>3910</v>
      </c>
      <c r="BQ482" s="0" t="s">
        <v>3651</v>
      </c>
      <c r="BR482" s="0" t="s">
        <v>3651</v>
      </c>
      <c r="BS482" s="0" t="s">
        <v>228</v>
      </c>
      <c r="BT482" s="0" t="s">
        <v>3727</v>
      </c>
      <c r="BU482" s="0" t="s">
        <v>3911</v>
      </c>
      <c r="BV482" s="0" t="s">
        <v>3911</v>
      </c>
      <c r="BW482" s="0" t="s">
        <v>3674</v>
      </c>
      <c r="BX482" s="0" t="s">
        <v>3674</v>
      </c>
      <c r="BY482" s="0" t="s">
        <v>3674</v>
      </c>
      <c r="BZ482" s="0" t="s">
        <v>3674</v>
      </c>
      <c r="CA482" s="0" t="s">
        <v>3674</v>
      </c>
      <c r="CB482" s="0" t="s">
        <v>228</v>
      </c>
      <c r="CC482" s="0" t="s">
        <v>228</v>
      </c>
      <c r="CD482" s="0" t="s">
        <v>228</v>
      </c>
      <c r="CE482" s="0" t="s">
        <v>228</v>
      </c>
      <c r="CF482" s="0" t="s">
        <v>228</v>
      </c>
      <c r="CG482" s="0" t="s">
        <v>3674</v>
      </c>
      <c r="CH482" s="0" t="s">
        <v>228</v>
      </c>
      <c r="CI482" s="0" t="s">
        <v>228</v>
      </c>
      <c r="CJ482" s="0" t="s">
        <v>228</v>
      </c>
      <c r="CK482" s="0" t="s">
        <v>228</v>
      </c>
      <c r="CL482" s="0" t="s">
        <v>228</v>
      </c>
      <c r="CM482" s="0" t="s">
        <v>3911</v>
      </c>
      <c r="CN482" s="0" t="s">
        <v>3911</v>
      </c>
      <c r="CO482" s="0" t="s">
        <v>228</v>
      </c>
      <c r="CP482" s="0" t="s">
        <v>228</v>
      </c>
      <c r="CQ482" s="0" t="s">
        <v>228</v>
      </c>
      <c r="CR482" s="0" t="s">
        <v>228</v>
      </c>
      <c r="CS482" s="0" t="s">
        <v>3743</v>
      </c>
      <c r="CT482" s="0" t="s">
        <v>3568</v>
      </c>
      <c r="CU482" s="0" t="s">
        <v>3569</v>
      </c>
      <c r="CV482" s="0" t="s">
        <v>418</v>
      </c>
      <c r="CW482" s="0" t="s">
        <v>3622</v>
      </c>
      <c r="CX482" s="0" t="s">
        <v>419</v>
      </c>
      <c r="CY482" s="0" t="s">
        <v>418</v>
      </c>
      <c r="CZ482" s="0" t="s">
        <v>3623</v>
      </c>
      <c r="DA482" s="0" t="s">
        <v>3624</v>
      </c>
      <c r="DB482" s="0" t="s">
        <v>3622</v>
      </c>
      <c r="DC482" s="0" t="s">
        <v>362</v>
      </c>
      <c r="DD482" s="0" t="s">
        <v>3572</v>
      </c>
      <c r="DE482" s="0" t="s">
        <v>3912</v>
      </c>
    </row>
    <row customHeight="1" ht="11.25">
      <c r="A483" s="1353" t="s">
        <v>228</v>
      </c>
      <c r="B483" s="0" t="s">
        <v>228</v>
      </c>
      <c r="C483" s="0" t="s">
        <v>228</v>
      </c>
      <c r="D483" s="0" t="s">
        <v>228</v>
      </c>
      <c r="E483" s="0" t="s">
        <v>228</v>
      </c>
      <c r="F483" s="0" t="s">
        <v>228</v>
      </c>
      <c r="G483" s="0" t="s">
        <v>228</v>
      </c>
      <c r="H483" s="0" t="s">
        <v>228</v>
      </c>
      <c r="I483" s="0" t="s">
        <v>3555</v>
      </c>
      <c r="J483" s="0" t="s">
        <v>228</v>
      </c>
      <c r="K483" s="0" t="s">
        <v>228</v>
      </c>
      <c r="L483" s="0" t="s">
        <v>228</v>
      </c>
      <c r="M483" s="0" t="s">
        <v>228</v>
      </c>
      <c r="N483" s="0" t="s">
        <v>228</v>
      </c>
      <c r="O483" s="0" t="s">
        <v>228</v>
      </c>
      <c r="P483" s="0" t="s">
        <v>228</v>
      </c>
      <c r="Q483" s="0" t="s">
        <v>228</v>
      </c>
      <c r="R483" s="0" t="s">
        <v>5086</v>
      </c>
      <c r="S483" s="0" t="s">
        <v>228</v>
      </c>
      <c r="T483" s="0" t="s">
        <v>228</v>
      </c>
      <c r="U483" s="0" t="s">
        <v>101</v>
      </c>
      <c r="V483" s="0" t="s">
        <v>228</v>
      </c>
      <c r="W483" s="0" t="s">
        <v>228</v>
      </c>
      <c r="X483" s="0" t="s">
        <v>3557</v>
      </c>
      <c r="Y483" s="0" t="s">
        <v>228</v>
      </c>
      <c r="Z483" s="0" t="s">
        <v>160</v>
      </c>
      <c r="AA483" s="0" t="s">
        <v>151</v>
      </c>
      <c r="AB483" s="0" t="s">
        <v>151</v>
      </c>
      <c r="AC483" s="0" t="s">
        <v>2715</v>
      </c>
      <c r="AD483" s="0" t="s">
        <v>2715</v>
      </c>
      <c r="AE483" s="0" t="s">
        <v>2716</v>
      </c>
      <c r="AF483" s="0" t="s">
        <v>3594</v>
      </c>
      <c r="AG483" s="0" t="s">
        <v>3595</v>
      </c>
      <c r="AH483" s="0" t="s">
        <v>4673</v>
      </c>
      <c r="AI483" s="0" t="s">
        <v>4011</v>
      </c>
      <c r="AJ483" s="0" t="s">
        <v>3951</v>
      </c>
      <c r="AK483" s="0" t="s">
        <v>4674</v>
      </c>
      <c r="AL483" s="0" t="s">
        <v>3599</v>
      </c>
      <c r="AM483" s="0" t="s">
        <v>3565</v>
      </c>
      <c r="AN483" s="0" t="s">
        <v>4675</v>
      </c>
      <c r="AO483" s="0" t="s">
        <v>4676</v>
      </c>
      <c r="AP483" s="0" t="s">
        <v>228</v>
      </c>
      <c r="AQ483" s="0" t="s">
        <v>228</v>
      </c>
      <c r="AR483" s="0" t="s">
        <v>228</v>
      </c>
      <c r="AS483" s="0" t="s">
        <v>228</v>
      </c>
      <c r="AT483" s="0" t="s">
        <v>228</v>
      </c>
      <c r="AU483" s="0" t="s">
        <v>228</v>
      </c>
      <c r="AV483" s="0" t="s">
        <v>228</v>
      </c>
      <c r="AW483" s="0" t="s">
        <v>228</v>
      </c>
      <c r="AX483" s="0" t="s">
        <v>228</v>
      </c>
      <c r="AY483" s="0" t="s">
        <v>228</v>
      </c>
      <c r="AZ483" s="0" t="s">
        <v>228</v>
      </c>
      <c r="BA483" s="0" t="s">
        <v>228</v>
      </c>
      <c r="BB483" s="0" t="s">
        <v>228</v>
      </c>
      <c r="BC483" s="0" t="s">
        <v>228</v>
      </c>
      <c r="BD483" s="0" t="s">
        <v>228</v>
      </c>
      <c r="BE483" s="0" t="s">
        <v>228</v>
      </c>
      <c r="BF483" s="0" t="s">
        <v>228</v>
      </c>
      <c r="BG483" s="0" t="s">
        <v>228</v>
      </c>
      <c r="BH483" s="0" t="s">
        <v>228</v>
      </c>
      <c r="BI483" s="0" t="s">
        <v>228</v>
      </c>
      <c r="BJ483" s="0" t="s">
        <v>228</v>
      </c>
      <c r="BK483" s="0" t="s">
        <v>228</v>
      </c>
      <c r="BL483" s="0" t="s">
        <v>228</v>
      </c>
      <c r="BM483" s="0" t="s">
        <v>228</v>
      </c>
      <c r="BN483" s="0" t="s">
        <v>228</v>
      </c>
      <c r="BO483" s="0" t="s">
        <v>228</v>
      </c>
      <c r="BP483" s="0" t="s">
        <v>228</v>
      </c>
      <c r="BQ483" s="0" t="s">
        <v>228</v>
      </c>
      <c r="BR483" s="0" t="s">
        <v>228</v>
      </c>
      <c r="BS483" s="0" t="s">
        <v>228</v>
      </c>
      <c r="BT483" s="0" t="s">
        <v>228</v>
      </c>
      <c r="BU483" s="0" t="s">
        <v>228</v>
      </c>
      <c r="BV483" s="0" t="s">
        <v>228</v>
      </c>
      <c r="BW483" s="0" t="s">
        <v>228</v>
      </c>
      <c r="BX483" s="0" t="s">
        <v>228</v>
      </c>
      <c r="BY483" s="0" t="s">
        <v>228</v>
      </c>
      <c r="BZ483" s="0" t="s">
        <v>228</v>
      </c>
      <c r="CA483" s="0" t="s">
        <v>228</v>
      </c>
      <c r="CB483" s="0" t="s">
        <v>228</v>
      </c>
      <c r="CC483" s="0" t="s">
        <v>228</v>
      </c>
      <c r="CD483" s="0" t="s">
        <v>228</v>
      </c>
      <c r="CE483" s="0" t="s">
        <v>228</v>
      </c>
      <c r="CF483" s="0" t="s">
        <v>228</v>
      </c>
      <c r="CG483" s="0" t="s">
        <v>228</v>
      </c>
      <c r="CH483" s="0" t="s">
        <v>228</v>
      </c>
      <c r="CI483" s="0" t="s">
        <v>228</v>
      </c>
      <c r="CJ483" s="0" t="s">
        <v>228</v>
      </c>
      <c r="CK483" s="0" t="s">
        <v>228</v>
      </c>
      <c r="CL483" s="0" t="s">
        <v>228</v>
      </c>
      <c r="CM483" s="0" t="s">
        <v>228</v>
      </c>
      <c r="CN483" s="0" t="s">
        <v>228</v>
      </c>
      <c r="CO483" s="0" t="s">
        <v>228</v>
      </c>
      <c r="CP483" s="0" t="s">
        <v>228</v>
      </c>
      <c r="CQ483" s="0" t="s">
        <v>228</v>
      </c>
      <c r="CR483" s="0" t="s">
        <v>228</v>
      </c>
      <c r="CS483" s="0" t="s">
        <v>228</v>
      </c>
      <c r="CT483" s="0" t="s">
        <v>3568</v>
      </c>
      <c r="CU483" s="0" t="s">
        <v>3569</v>
      </c>
      <c r="CV483" s="0" t="s">
        <v>418</v>
      </c>
      <c r="CW483" s="0" t="s">
        <v>3602</v>
      </c>
      <c r="CX483" s="0" t="s">
        <v>3603</v>
      </c>
      <c r="CY483" s="0" t="s">
        <v>418</v>
      </c>
      <c r="CZ483" s="0" t="s">
        <v>504</v>
      </c>
      <c r="DA483" s="0" t="s">
        <v>3604</v>
      </c>
      <c r="DB483" s="0" t="s">
        <v>3602</v>
      </c>
      <c r="DC483" s="0" t="s">
        <v>362</v>
      </c>
      <c r="DD483" s="0" t="s">
        <v>3572</v>
      </c>
      <c r="DE483" s="0" t="s">
        <v>4677</v>
      </c>
    </row>
    <row customHeight="1" ht="11.25">
      <c r="A484" s="1353" t="s">
        <v>228</v>
      </c>
      <c r="B484" s="0" t="s">
        <v>228</v>
      </c>
      <c r="C484" s="0" t="s">
        <v>228</v>
      </c>
      <c r="D484" s="0" t="s">
        <v>228</v>
      </c>
      <c r="E484" s="0" t="s">
        <v>228</v>
      </c>
      <c r="F484" s="0" t="s">
        <v>228</v>
      </c>
      <c r="G484" s="0" t="s">
        <v>228</v>
      </c>
      <c r="H484" s="0" t="s">
        <v>228</v>
      </c>
      <c r="I484" s="0" t="s">
        <v>3555</v>
      </c>
      <c r="J484" s="0" t="s">
        <v>228</v>
      </c>
      <c r="K484" s="0" t="s">
        <v>228</v>
      </c>
      <c r="L484" s="0" t="s">
        <v>228</v>
      </c>
      <c r="M484" s="0" t="s">
        <v>228</v>
      </c>
      <c r="N484" s="0" t="s">
        <v>228</v>
      </c>
      <c r="O484" s="0" t="s">
        <v>228</v>
      </c>
      <c r="P484" s="0" t="s">
        <v>228</v>
      </c>
      <c r="Q484" s="0" t="s">
        <v>228</v>
      </c>
      <c r="R484" s="0" t="s">
        <v>3648</v>
      </c>
      <c r="S484" s="0" t="s">
        <v>228</v>
      </c>
      <c r="T484" s="0" t="s">
        <v>228</v>
      </c>
      <c r="U484" s="0" t="s">
        <v>101</v>
      </c>
      <c r="V484" s="0" t="s">
        <v>228</v>
      </c>
      <c r="W484" s="0" t="s">
        <v>228</v>
      </c>
      <c r="X484" s="0" t="s">
        <v>3557</v>
      </c>
      <c r="Y484" s="0" t="s">
        <v>228</v>
      </c>
      <c r="Z484" s="0" t="s">
        <v>160</v>
      </c>
      <c r="AA484" s="0" t="s">
        <v>151</v>
      </c>
      <c r="AB484" s="0" t="s">
        <v>151</v>
      </c>
      <c r="AC484" s="0" t="s">
        <v>2317</v>
      </c>
      <c r="AD484" s="0" t="s">
        <v>2317</v>
      </c>
      <c r="AE484" s="0" t="s">
        <v>2318</v>
      </c>
      <c r="AF484" s="0" t="s">
        <v>4133</v>
      </c>
      <c r="AG484" s="0" t="s">
        <v>4134</v>
      </c>
      <c r="AH484" s="0" t="s">
        <v>4135</v>
      </c>
      <c r="AI484" s="0" t="s">
        <v>4136</v>
      </c>
      <c r="AJ484" s="0" t="s">
        <v>3627</v>
      </c>
      <c r="AK484" s="0" t="s">
        <v>3749</v>
      </c>
      <c r="AL484" s="0" t="s">
        <v>3581</v>
      </c>
      <c r="AM484" s="0" t="s">
        <v>3565</v>
      </c>
      <c r="AN484" s="0" t="s">
        <v>3628</v>
      </c>
      <c r="AO484" s="0" t="s">
        <v>3829</v>
      </c>
      <c r="AP484" s="0" t="s">
        <v>228</v>
      </c>
      <c r="AQ484" s="0" t="s">
        <v>228</v>
      </c>
      <c r="AR484" s="0" t="s">
        <v>228</v>
      </c>
      <c r="AS484" s="0" t="s">
        <v>228</v>
      </c>
      <c r="AT484" s="0" t="s">
        <v>228</v>
      </c>
      <c r="AU484" s="0" t="s">
        <v>228</v>
      </c>
      <c r="AV484" s="0" t="s">
        <v>228</v>
      </c>
      <c r="AW484" s="0" t="s">
        <v>228</v>
      </c>
      <c r="AX484" s="0" t="s">
        <v>228</v>
      </c>
      <c r="AY484" s="0" t="s">
        <v>228</v>
      </c>
      <c r="AZ484" s="0" t="s">
        <v>228</v>
      </c>
      <c r="BA484" s="0" t="s">
        <v>228</v>
      </c>
      <c r="BB484" s="0" t="s">
        <v>228</v>
      </c>
      <c r="BC484" s="0" t="s">
        <v>228</v>
      </c>
      <c r="BD484" s="0" t="s">
        <v>228</v>
      </c>
      <c r="BE484" s="0" t="s">
        <v>228</v>
      </c>
      <c r="BF484" s="0" t="s">
        <v>228</v>
      </c>
      <c r="BG484" s="0" t="s">
        <v>228</v>
      </c>
      <c r="BH484" s="0" t="s">
        <v>228</v>
      </c>
      <c r="BI484" s="0" t="s">
        <v>228</v>
      </c>
      <c r="BJ484" s="0" t="s">
        <v>228</v>
      </c>
      <c r="BK484" s="0" t="s">
        <v>228</v>
      </c>
      <c r="BL484" s="0" t="s">
        <v>228</v>
      </c>
      <c r="BM484" s="0" t="s">
        <v>228</v>
      </c>
      <c r="BN484" s="0" t="s">
        <v>228</v>
      </c>
      <c r="BO484" s="0" t="s">
        <v>228</v>
      </c>
      <c r="BP484" s="0" t="s">
        <v>228</v>
      </c>
      <c r="BQ484" s="0" t="s">
        <v>228</v>
      </c>
      <c r="BR484" s="0" t="s">
        <v>228</v>
      </c>
      <c r="BS484" s="0" t="s">
        <v>228</v>
      </c>
      <c r="BT484" s="0" t="s">
        <v>228</v>
      </c>
      <c r="BU484" s="0" t="s">
        <v>228</v>
      </c>
      <c r="BV484" s="0" t="s">
        <v>228</v>
      </c>
      <c r="BW484" s="0" t="s">
        <v>228</v>
      </c>
      <c r="BX484" s="0" t="s">
        <v>228</v>
      </c>
      <c r="BY484" s="0" t="s">
        <v>228</v>
      </c>
      <c r="BZ484" s="0" t="s">
        <v>228</v>
      </c>
      <c r="CA484" s="0" t="s">
        <v>228</v>
      </c>
      <c r="CB484" s="0" t="s">
        <v>228</v>
      </c>
      <c r="CC484" s="0" t="s">
        <v>228</v>
      </c>
      <c r="CD484" s="0" t="s">
        <v>228</v>
      </c>
      <c r="CE484" s="0" t="s">
        <v>228</v>
      </c>
      <c r="CF484" s="0" t="s">
        <v>228</v>
      </c>
      <c r="CG484" s="0" t="s">
        <v>228</v>
      </c>
      <c r="CH484" s="0" t="s">
        <v>228</v>
      </c>
      <c r="CI484" s="0" t="s">
        <v>228</v>
      </c>
      <c r="CJ484" s="0" t="s">
        <v>228</v>
      </c>
      <c r="CK484" s="0" t="s">
        <v>228</v>
      </c>
      <c r="CL484" s="0" t="s">
        <v>228</v>
      </c>
      <c r="CM484" s="0" t="s">
        <v>228</v>
      </c>
      <c r="CN484" s="0" t="s">
        <v>228</v>
      </c>
      <c r="CO484" s="0" t="s">
        <v>228</v>
      </c>
      <c r="CP484" s="0" t="s">
        <v>228</v>
      </c>
      <c r="CQ484" s="0" t="s">
        <v>228</v>
      </c>
      <c r="CR484" s="0" t="s">
        <v>228</v>
      </c>
      <c r="CS484" s="0" t="s">
        <v>228</v>
      </c>
      <c r="CT484" s="0" t="s">
        <v>3568</v>
      </c>
      <c r="CU484" s="0" t="s">
        <v>3569</v>
      </c>
      <c r="CV484" s="0" t="s">
        <v>418</v>
      </c>
      <c r="CW484" s="0" t="s">
        <v>3622</v>
      </c>
      <c r="CX484" s="0" t="s">
        <v>419</v>
      </c>
      <c r="CY484" s="0" t="s">
        <v>418</v>
      </c>
      <c r="CZ484" s="0" t="s">
        <v>3623</v>
      </c>
      <c r="DA484" s="0" t="s">
        <v>3624</v>
      </c>
      <c r="DB484" s="0" t="s">
        <v>3622</v>
      </c>
      <c r="DC484" s="0" t="s">
        <v>362</v>
      </c>
      <c r="DD484" s="0" t="s">
        <v>3572</v>
      </c>
      <c r="DE484" s="0" t="s">
        <v>4137</v>
      </c>
    </row>
    <row customHeight="1" ht="11.25">
      <c r="A485" s="1353" t="s">
        <v>228</v>
      </c>
      <c r="B485" s="0" t="s">
        <v>228</v>
      </c>
      <c r="C485" s="0" t="s">
        <v>228</v>
      </c>
      <c r="D485" s="0" t="s">
        <v>228</v>
      </c>
      <c r="E485" s="0" t="s">
        <v>228</v>
      </c>
      <c r="F485" s="0" t="s">
        <v>228</v>
      </c>
      <c r="G485" s="0" t="s">
        <v>228</v>
      </c>
      <c r="H485" s="0" t="s">
        <v>228</v>
      </c>
      <c r="I485" s="0" t="s">
        <v>3555</v>
      </c>
      <c r="J485" s="0" t="s">
        <v>228</v>
      </c>
      <c r="K485" s="0" t="s">
        <v>228</v>
      </c>
      <c r="L485" s="0" t="s">
        <v>228</v>
      </c>
      <c r="M485" s="0" t="s">
        <v>228</v>
      </c>
      <c r="N485" s="0" t="s">
        <v>228</v>
      </c>
      <c r="O485" s="0" t="s">
        <v>228</v>
      </c>
      <c r="P485" s="0" t="s">
        <v>228</v>
      </c>
      <c r="Q485" s="0" t="s">
        <v>228</v>
      </c>
      <c r="R485" s="0" t="s">
        <v>4632</v>
      </c>
      <c r="S485" s="0" t="s">
        <v>228</v>
      </c>
      <c r="T485" s="0" t="s">
        <v>228</v>
      </c>
      <c r="U485" s="0" t="s">
        <v>101</v>
      </c>
      <c r="V485" s="0" t="s">
        <v>228</v>
      </c>
      <c r="W485" s="0" t="s">
        <v>228</v>
      </c>
      <c r="X485" s="0" t="s">
        <v>3661</v>
      </c>
      <c r="Y485" s="0" t="s">
        <v>228</v>
      </c>
      <c r="Z485" s="0" t="s">
        <v>151</v>
      </c>
      <c r="AA485" s="0" t="s">
        <v>151</v>
      </c>
      <c r="AB485" s="0" t="s">
        <v>160</v>
      </c>
      <c r="AC485" s="0" t="s">
        <v>2317</v>
      </c>
      <c r="AD485" s="0" t="s">
        <v>2317</v>
      </c>
      <c r="AE485" s="0" t="s">
        <v>2318</v>
      </c>
      <c r="AF485" s="0" t="s">
        <v>4629</v>
      </c>
      <c r="AG485" s="0" t="s">
        <v>4630</v>
      </c>
      <c r="AH485" s="0" t="s">
        <v>3651</v>
      </c>
      <c r="AI485" s="0" t="s">
        <v>3651</v>
      </c>
      <c r="AJ485" s="0" t="s">
        <v>228</v>
      </c>
      <c r="AK485" s="0" t="s">
        <v>228</v>
      </c>
      <c r="AL485" s="0" t="s">
        <v>228</v>
      </c>
      <c r="AM485" s="0" t="s">
        <v>228</v>
      </c>
      <c r="AN485" s="0" t="s">
        <v>228</v>
      </c>
      <c r="AO485" s="0" t="s">
        <v>228</v>
      </c>
      <c r="AP485" s="0" t="s">
        <v>228</v>
      </c>
      <c r="AQ485" s="0" t="s">
        <v>228</v>
      </c>
      <c r="AR485" s="0" t="s">
        <v>228</v>
      </c>
      <c r="AS485" s="0" t="s">
        <v>228</v>
      </c>
      <c r="AT485" s="0" t="s">
        <v>228</v>
      </c>
      <c r="AU485" s="0" t="s">
        <v>228</v>
      </c>
      <c r="AV485" s="0" t="s">
        <v>228</v>
      </c>
      <c r="AW485" s="0" t="s">
        <v>228</v>
      </c>
      <c r="AX485" s="0" t="s">
        <v>228</v>
      </c>
      <c r="AY485" s="0" t="s">
        <v>228</v>
      </c>
      <c r="AZ485" s="0" t="s">
        <v>228</v>
      </c>
      <c r="BA485" s="0" t="s">
        <v>228</v>
      </c>
      <c r="BB485" s="0" t="s">
        <v>228</v>
      </c>
      <c r="BC485" s="0" t="s">
        <v>228</v>
      </c>
      <c r="BD485" s="0" t="s">
        <v>228</v>
      </c>
      <c r="BE485" s="0" t="s">
        <v>3627</v>
      </c>
      <c r="BF485" s="0" t="s">
        <v>3749</v>
      </c>
      <c r="BG485" s="0" t="s">
        <v>111</v>
      </c>
      <c r="BH485" s="0" t="s">
        <v>3665</v>
      </c>
      <c r="BI485" s="0" t="s">
        <v>122</v>
      </c>
      <c r="BJ485" s="0" t="s">
        <v>228</v>
      </c>
      <c r="BK485" s="0" t="s">
        <v>3684</v>
      </c>
      <c r="BL485" s="0" t="s">
        <v>2317</v>
      </c>
      <c r="BM485" s="0" t="s">
        <v>2317</v>
      </c>
      <c r="BN485" s="0" t="s">
        <v>3740</v>
      </c>
      <c r="BO485" s="0" t="s">
        <v>4629</v>
      </c>
      <c r="BP485" s="0" t="s">
        <v>4633</v>
      </c>
      <c r="BQ485" s="0" t="s">
        <v>3651</v>
      </c>
      <c r="BR485" s="0" t="s">
        <v>3651</v>
      </c>
      <c r="BS485" s="0" t="s">
        <v>228</v>
      </c>
      <c r="BT485" s="0" t="s">
        <v>3727</v>
      </c>
      <c r="BU485" s="0" t="s">
        <v>4634</v>
      </c>
      <c r="BV485" s="0" t="s">
        <v>4634</v>
      </c>
      <c r="BW485" s="0" t="s">
        <v>3674</v>
      </c>
      <c r="BX485" s="0" t="s">
        <v>3674</v>
      </c>
      <c r="BY485" s="0" t="s">
        <v>3674</v>
      </c>
      <c r="BZ485" s="0" t="s">
        <v>3674</v>
      </c>
      <c r="CA485" s="0" t="s">
        <v>3674</v>
      </c>
      <c r="CB485" s="0" t="s">
        <v>228</v>
      </c>
      <c r="CC485" s="0" t="s">
        <v>228</v>
      </c>
      <c r="CD485" s="0" t="s">
        <v>228</v>
      </c>
      <c r="CE485" s="0" t="s">
        <v>228</v>
      </c>
      <c r="CF485" s="0" t="s">
        <v>228</v>
      </c>
      <c r="CG485" s="0" t="s">
        <v>3674</v>
      </c>
      <c r="CH485" s="0" t="s">
        <v>228</v>
      </c>
      <c r="CI485" s="0" t="s">
        <v>228</v>
      </c>
      <c r="CJ485" s="0" t="s">
        <v>228</v>
      </c>
      <c r="CK485" s="0" t="s">
        <v>228</v>
      </c>
      <c r="CL485" s="0" t="s">
        <v>228</v>
      </c>
      <c r="CM485" s="0" t="s">
        <v>4634</v>
      </c>
      <c r="CN485" s="0" t="s">
        <v>4634</v>
      </c>
      <c r="CO485" s="0" t="s">
        <v>228</v>
      </c>
      <c r="CP485" s="0" t="s">
        <v>228</v>
      </c>
      <c r="CQ485" s="0" t="s">
        <v>228</v>
      </c>
      <c r="CR485" s="0" t="s">
        <v>228</v>
      </c>
      <c r="CS485" s="0" t="s">
        <v>3743</v>
      </c>
      <c r="CT485" s="0" t="s">
        <v>3568</v>
      </c>
      <c r="CU485" s="0" t="s">
        <v>3569</v>
      </c>
      <c r="CV485" s="0" t="s">
        <v>418</v>
      </c>
      <c r="CW485" s="0" t="s">
        <v>3622</v>
      </c>
      <c r="CX485" s="0" t="s">
        <v>419</v>
      </c>
      <c r="CY485" s="0" t="s">
        <v>418</v>
      </c>
      <c r="CZ485" s="0" t="s">
        <v>3623</v>
      </c>
      <c r="DA485" s="0" t="s">
        <v>3624</v>
      </c>
      <c r="DB485" s="0" t="s">
        <v>3622</v>
      </c>
      <c r="DC485" s="0" t="s">
        <v>362</v>
      </c>
      <c r="DD485" s="0" t="s">
        <v>3572</v>
      </c>
      <c r="DE485" s="0" t="s">
        <v>4635</v>
      </c>
    </row>
    <row customHeight="1" ht="11.25">
      <c r="A486" s="1353" t="s">
        <v>228</v>
      </c>
      <c r="B486" s="0" t="s">
        <v>228</v>
      </c>
      <c r="C486" s="0" t="s">
        <v>228</v>
      </c>
      <c r="D486" s="0" t="s">
        <v>228</v>
      </c>
      <c r="E486" s="0" t="s">
        <v>228</v>
      </c>
      <c r="F486" s="0" t="s">
        <v>228</v>
      </c>
      <c r="G486" s="0" t="s">
        <v>228</v>
      </c>
      <c r="H486" s="0" t="s">
        <v>228</v>
      </c>
      <c r="I486" s="0" t="s">
        <v>3555</v>
      </c>
      <c r="J486" s="0" t="s">
        <v>228</v>
      </c>
      <c r="K486" s="0" t="s">
        <v>228</v>
      </c>
      <c r="L486" s="0" t="s">
        <v>228</v>
      </c>
      <c r="M486" s="0" t="s">
        <v>228</v>
      </c>
      <c r="N486" s="0" t="s">
        <v>228</v>
      </c>
      <c r="O486" s="0" t="s">
        <v>228</v>
      </c>
      <c r="P486" s="0" t="s">
        <v>228</v>
      </c>
      <c r="Q486" s="0" t="s">
        <v>228</v>
      </c>
      <c r="R486" s="0" t="s">
        <v>3648</v>
      </c>
      <c r="S486" s="0" t="s">
        <v>228</v>
      </c>
      <c r="T486" s="0" t="s">
        <v>228</v>
      </c>
      <c r="U486" s="0" t="s">
        <v>101</v>
      </c>
      <c r="V486" s="0" t="s">
        <v>228</v>
      </c>
      <c r="W486" s="0" t="s">
        <v>228</v>
      </c>
      <c r="X486" s="0" t="s">
        <v>3557</v>
      </c>
      <c r="Y486" s="0" t="s">
        <v>228</v>
      </c>
      <c r="Z486" s="0" t="s">
        <v>160</v>
      </c>
      <c r="AA486" s="0" t="s">
        <v>151</v>
      </c>
      <c r="AB486" s="0" t="s">
        <v>151</v>
      </c>
      <c r="AC486" s="0" t="s">
        <v>2317</v>
      </c>
      <c r="AD486" s="0" t="s">
        <v>2317</v>
      </c>
      <c r="AE486" s="0" t="s">
        <v>2318</v>
      </c>
      <c r="AF486" s="0" t="s">
        <v>4815</v>
      </c>
      <c r="AG486" s="0" t="s">
        <v>4816</v>
      </c>
      <c r="AH486" s="0" t="s">
        <v>3761</v>
      </c>
      <c r="AI486" s="0" t="s">
        <v>3651</v>
      </c>
      <c r="AJ486" s="0" t="s">
        <v>3579</v>
      </c>
      <c r="AK486" s="0" t="s">
        <v>3619</v>
      </c>
      <c r="AL486" s="0" t="s">
        <v>3581</v>
      </c>
      <c r="AM486" s="0" t="s">
        <v>3565</v>
      </c>
      <c r="AN486" s="0" t="s">
        <v>3628</v>
      </c>
      <c r="AO486" s="0" t="s">
        <v>3701</v>
      </c>
      <c r="AP486" s="0" t="s">
        <v>228</v>
      </c>
      <c r="AQ486" s="0" t="s">
        <v>228</v>
      </c>
      <c r="AR486" s="0" t="s">
        <v>228</v>
      </c>
      <c r="AS486" s="0" t="s">
        <v>228</v>
      </c>
      <c r="AT486" s="0" t="s">
        <v>228</v>
      </c>
      <c r="AU486" s="0" t="s">
        <v>228</v>
      </c>
      <c r="AV486" s="0" t="s">
        <v>228</v>
      </c>
      <c r="AW486" s="0" t="s">
        <v>228</v>
      </c>
      <c r="AX486" s="0" t="s">
        <v>228</v>
      </c>
      <c r="AY486" s="0" t="s">
        <v>228</v>
      </c>
      <c r="AZ486" s="0" t="s">
        <v>228</v>
      </c>
      <c r="BA486" s="0" t="s">
        <v>228</v>
      </c>
      <c r="BB486" s="0" t="s">
        <v>228</v>
      </c>
      <c r="BC486" s="0" t="s">
        <v>228</v>
      </c>
      <c r="BD486" s="0" t="s">
        <v>228</v>
      </c>
      <c r="BE486" s="0" t="s">
        <v>228</v>
      </c>
      <c r="BF486" s="0" t="s">
        <v>228</v>
      </c>
      <c r="BG486" s="0" t="s">
        <v>228</v>
      </c>
      <c r="BH486" s="0" t="s">
        <v>228</v>
      </c>
      <c r="BI486" s="0" t="s">
        <v>228</v>
      </c>
      <c r="BJ486" s="0" t="s">
        <v>228</v>
      </c>
      <c r="BK486" s="0" t="s">
        <v>228</v>
      </c>
      <c r="BL486" s="0" t="s">
        <v>228</v>
      </c>
      <c r="BM486" s="0" t="s">
        <v>228</v>
      </c>
      <c r="BN486" s="0" t="s">
        <v>228</v>
      </c>
      <c r="BO486" s="0" t="s">
        <v>228</v>
      </c>
      <c r="BP486" s="0" t="s">
        <v>228</v>
      </c>
      <c r="BQ486" s="0" t="s">
        <v>228</v>
      </c>
      <c r="BR486" s="0" t="s">
        <v>228</v>
      </c>
      <c r="BS486" s="0" t="s">
        <v>228</v>
      </c>
      <c r="BT486" s="0" t="s">
        <v>228</v>
      </c>
      <c r="BU486" s="0" t="s">
        <v>228</v>
      </c>
      <c r="BV486" s="0" t="s">
        <v>228</v>
      </c>
      <c r="BW486" s="0" t="s">
        <v>228</v>
      </c>
      <c r="BX486" s="0" t="s">
        <v>228</v>
      </c>
      <c r="BY486" s="0" t="s">
        <v>228</v>
      </c>
      <c r="BZ486" s="0" t="s">
        <v>228</v>
      </c>
      <c r="CA486" s="0" t="s">
        <v>228</v>
      </c>
      <c r="CB486" s="0" t="s">
        <v>228</v>
      </c>
      <c r="CC486" s="0" t="s">
        <v>228</v>
      </c>
      <c r="CD486" s="0" t="s">
        <v>228</v>
      </c>
      <c r="CE486" s="0" t="s">
        <v>228</v>
      </c>
      <c r="CF486" s="0" t="s">
        <v>228</v>
      </c>
      <c r="CG486" s="0" t="s">
        <v>228</v>
      </c>
      <c r="CH486" s="0" t="s">
        <v>228</v>
      </c>
      <c r="CI486" s="0" t="s">
        <v>228</v>
      </c>
      <c r="CJ486" s="0" t="s">
        <v>228</v>
      </c>
      <c r="CK486" s="0" t="s">
        <v>228</v>
      </c>
      <c r="CL486" s="0" t="s">
        <v>228</v>
      </c>
      <c r="CM486" s="0" t="s">
        <v>228</v>
      </c>
      <c r="CN486" s="0" t="s">
        <v>228</v>
      </c>
      <c r="CO486" s="0" t="s">
        <v>228</v>
      </c>
      <c r="CP486" s="0" t="s">
        <v>228</v>
      </c>
      <c r="CQ486" s="0" t="s">
        <v>228</v>
      </c>
      <c r="CR486" s="0" t="s">
        <v>228</v>
      </c>
      <c r="CS486" s="0" t="s">
        <v>228</v>
      </c>
      <c r="CT486" s="0" t="s">
        <v>3568</v>
      </c>
      <c r="CU486" s="0" t="s">
        <v>3569</v>
      </c>
      <c r="CV486" s="0" t="s">
        <v>418</v>
      </c>
      <c r="CW486" s="0" t="s">
        <v>3622</v>
      </c>
      <c r="CX486" s="0" t="s">
        <v>419</v>
      </c>
      <c r="CY486" s="0" t="s">
        <v>418</v>
      </c>
      <c r="CZ486" s="0" t="s">
        <v>3623</v>
      </c>
      <c r="DA486" s="0" t="s">
        <v>3624</v>
      </c>
      <c r="DB486" s="0" t="s">
        <v>3622</v>
      </c>
      <c r="DC486" s="0" t="s">
        <v>362</v>
      </c>
      <c r="DD486" s="0" t="s">
        <v>3572</v>
      </c>
      <c r="DE486" s="0" t="s">
        <v>4817</v>
      </c>
    </row>
    <row customHeight="1" ht="11.25">
      <c r="A487" s="1353" t="s">
        <v>228</v>
      </c>
      <c r="B487" s="0" t="s">
        <v>228</v>
      </c>
      <c r="C487" s="0" t="s">
        <v>228</v>
      </c>
      <c r="D487" s="0" t="s">
        <v>228</v>
      </c>
      <c r="E487" s="0" t="s">
        <v>228</v>
      </c>
      <c r="F487" s="0" t="s">
        <v>228</v>
      </c>
      <c r="G487" s="0" t="s">
        <v>228</v>
      </c>
      <c r="H487" s="0" t="s">
        <v>228</v>
      </c>
      <c r="I487" s="0" t="s">
        <v>3555</v>
      </c>
      <c r="J487" s="0" t="s">
        <v>228</v>
      </c>
      <c r="K487" s="0" t="s">
        <v>228</v>
      </c>
      <c r="L487" s="0" t="s">
        <v>228</v>
      </c>
      <c r="M487" s="0" t="s">
        <v>228</v>
      </c>
      <c r="N487" s="0" t="s">
        <v>228</v>
      </c>
      <c r="O487" s="0" t="s">
        <v>228</v>
      </c>
      <c r="P487" s="0" t="s">
        <v>228</v>
      </c>
      <c r="Q487" s="0" t="s">
        <v>228</v>
      </c>
      <c r="R487" s="0" t="s">
        <v>4873</v>
      </c>
      <c r="S487" s="0" t="s">
        <v>228</v>
      </c>
      <c r="T487" s="0" t="s">
        <v>228</v>
      </c>
      <c r="U487" s="0" t="s">
        <v>101</v>
      </c>
      <c r="V487" s="0" t="s">
        <v>228</v>
      </c>
      <c r="W487" s="0" t="s">
        <v>228</v>
      </c>
      <c r="X487" s="0" t="s">
        <v>3661</v>
      </c>
      <c r="Y487" s="0" t="s">
        <v>228</v>
      </c>
      <c r="Z487" s="0" t="s">
        <v>151</v>
      </c>
      <c r="AA487" s="0" t="s">
        <v>151</v>
      </c>
      <c r="AB487" s="0" t="s">
        <v>160</v>
      </c>
      <c r="AC487" s="0" t="s">
        <v>2315</v>
      </c>
      <c r="AD487" s="0" t="s">
        <v>2315</v>
      </c>
      <c r="AE487" s="0" t="s">
        <v>2316</v>
      </c>
      <c r="AF487" s="0" t="s">
        <v>4640</v>
      </c>
      <c r="AG487" s="0" t="s">
        <v>4641</v>
      </c>
      <c r="AH487" s="0" t="s">
        <v>3651</v>
      </c>
      <c r="AI487" s="0" t="s">
        <v>3651</v>
      </c>
      <c r="AJ487" s="0" t="s">
        <v>228</v>
      </c>
      <c r="AK487" s="0" t="s">
        <v>228</v>
      </c>
      <c r="AL487" s="0" t="s">
        <v>228</v>
      </c>
      <c r="AM487" s="0" t="s">
        <v>228</v>
      </c>
      <c r="AN487" s="0" t="s">
        <v>228</v>
      </c>
      <c r="AO487" s="0" t="s">
        <v>228</v>
      </c>
      <c r="AP487" s="0" t="s">
        <v>228</v>
      </c>
      <c r="AQ487" s="0" t="s">
        <v>228</v>
      </c>
      <c r="AR487" s="0" t="s">
        <v>228</v>
      </c>
      <c r="AS487" s="0" t="s">
        <v>228</v>
      </c>
      <c r="AT487" s="0" t="s">
        <v>228</v>
      </c>
      <c r="AU487" s="0" t="s">
        <v>228</v>
      </c>
      <c r="AV487" s="0" t="s">
        <v>228</v>
      </c>
      <c r="AW487" s="0" t="s">
        <v>228</v>
      </c>
      <c r="AX487" s="0" t="s">
        <v>228</v>
      </c>
      <c r="AY487" s="0" t="s">
        <v>228</v>
      </c>
      <c r="AZ487" s="0" t="s">
        <v>228</v>
      </c>
      <c r="BA487" s="0" t="s">
        <v>228</v>
      </c>
      <c r="BB487" s="0" t="s">
        <v>228</v>
      </c>
      <c r="BC487" s="0" t="s">
        <v>228</v>
      </c>
      <c r="BD487" s="0" t="s">
        <v>228</v>
      </c>
      <c r="BE487" s="0" t="s">
        <v>3652</v>
      </c>
      <c r="BF487" s="0" t="s">
        <v>4642</v>
      </c>
      <c r="BG487" s="0" t="s">
        <v>111</v>
      </c>
      <c r="BH487" s="0" t="s">
        <v>3665</v>
      </c>
      <c r="BI487" s="0" t="s">
        <v>122</v>
      </c>
      <c r="BJ487" s="0" t="s">
        <v>228</v>
      </c>
      <c r="BK487" s="0" t="s">
        <v>3684</v>
      </c>
      <c r="BL487" s="0" t="s">
        <v>2315</v>
      </c>
      <c r="BM487" s="0" t="s">
        <v>2315</v>
      </c>
      <c r="BN487" s="0" t="s">
        <v>3875</v>
      </c>
      <c r="BO487" s="0" t="s">
        <v>4640</v>
      </c>
      <c r="BP487" s="0" t="s">
        <v>4874</v>
      </c>
      <c r="BQ487" s="0" t="s">
        <v>3651</v>
      </c>
      <c r="BR487" s="0" t="s">
        <v>3651</v>
      </c>
      <c r="BS487" s="0" t="s">
        <v>228</v>
      </c>
      <c r="BT487" s="0" t="s">
        <v>3727</v>
      </c>
      <c r="BU487" s="0" t="s">
        <v>4875</v>
      </c>
      <c r="BV487" s="0" t="s">
        <v>4875</v>
      </c>
      <c r="BW487" s="0" t="s">
        <v>3674</v>
      </c>
      <c r="BX487" s="0" t="s">
        <v>3674</v>
      </c>
      <c r="BY487" s="0" t="s">
        <v>3674</v>
      </c>
      <c r="BZ487" s="0" t="s">
        <v>3674</v>
      </c>
      <c r="CA487" s="0" t="s">
        <v>3674</v>
      </c>
      <c r="CB487" s="0" t="s">
        <v>228</v>
      </c>
      <c r="CC487" s="0" t="s">
        <v>228</v>
      </c>
      <c r="CD487" s="0" t="s">
        <v>228</v>
      </c>
      <c r="CE487" s="0" t="s">
        <v>228</v>
      </c>
      <c r="CF487" s="0" t="s">
        <v>228</v>
      </c>
      <c r="CG487" s="0" t="s">
        <v>3674</v>
      </c>
      <c r="CH487" s="0" t="s">
        <v>228</v>
      </c>
      <c r="CI487" s="0" t="s">
        <v>228</v>
      </c>
      <c r="CJ487" s="0" t="s">
        <v>228</v>
      </c>
      <c r="CK487" s="0" t="s">
        <v>228</v>
      </c>
      <c r="CL487" s="0" t="s">
        <v>228</v>
      </c>
      <c r="CM487" s="0" t="s">
        <v>4875</v>
      </c>
      <c r="CN487" s="0" t="s">
        <v>4875</v>
      </c>
      <c r="CO487" s="0" t="s">
        <v>228</v>
      </c>
      <c r="CP487" s="0" t="s">
        <v>228</v>
      </c>
      <c r="CQ487" s="0" t="s">
        <v>228</v>
      </c>
      <c r="CR487" s="0" t="s">
        <v>228</v>
      </c>
      <c r="CS487" s="0" t="s">
        <v>3628</v>
      </c>
      <c r="CT487" s="0" t="s">
        <v>3568</v>
      </c>
      <c r="CU487" s="0" t="s">
        <v>3569</v>
      </c>
      <c r="CV487" s="0" t="s">
        <v>418</v>
      </c>
      <c r="CW487" s="0" t="s">
        <v>3656</v>
      </c>
      <c r="CX487" s="0" t="s">
        <v>419</v>
      </c>
      <c r="CY487" s="0" t="s">
        <v>418</v>
      </c>
      <c r="CZ487" s="0" t="s">
        <v>3657</v>
      </c>
      <c r="DA487" s="0" t="s">
        <v>3658</v>
      </c>
      <c r="DB487" s="0" t="s">
        <v>3656</v>
      </c>
      <c r="DC487" s="0" t="s">
        <v>362</v>
      </c>
      <c r="DD487" s="0" t="s">
        <v>3572</v>
      </c>
      <c r="DE487" s="0" t="s">
        <v>4643</v>
      </c>
    </row>
    <row customHeight="1" ht="11.25">
      <c r="A488" s="1353" t="s">
        <v>228</v>
      </c>
      <c r="B488" s="0" t="s">
        <v>228</v>
      </c>
      <c r="C488" s="0" t="s">
        <v>228</v>
      </c>
      <c r="D488" s="0" t="s">
        <v>228</v>
      </c>
      <c r="E488" s="0" t="s">
        <v>228</v>
      </c>
      <c r="F488" s="0" t="s">
        <v>228</v>
      </c>
      <c r="G488" s="0" t="s">
        <v>228</v>
      </c>
      <c r="H488" s="0" t="s">
        <v>228</v>
      </c>
      <c r="I488" s="0" t="s">
        <v>3555</v>
      </c>
      <c r="J488" s="0" t="s">
        <v>228</v>
      </c>
      <c r="K488" s="0" t="s">
        <v>228</v>
      </c>
      <c r="L488" s="0" t="s">
        <v>228</v>
      </c>
      <c r="M488" s="0" t="s">
        <v>228</v>
      </c>
      <c r="N488" s="0" t="s">
        <v>228</v>
      </c>
      <c r="O488" s="0" t="s">
        <v>228</v>
      </c>
      <c r="P488" s="0" t="s">
        <v>228</v>
      </c>
      <c r="Q488" s="0" t="s">
        <v>228</v>
      </c>
      <c r="R488" s="0" t="s">
        <v>3648</v>
      </c>
      <c r="S488" s="0" t="s">
        <v>228</v>
      </c>
      <c r="T488" s="0" t="s">
        <v>228</v>
      </c>
      <c r="U488" s="0" t="s">
        <v>101</v>
      </c>
      <c r="V488" s="0" t="s">
        <v>228</v>
      </c>
      <c r="W488" s="0" t="s">
        <v>228</v>
      </c>
      <c r="X488" s="0" t="s">
        <v>3557</v>
      </c>
      <c r="Y488" s="0" t="s">
        <v>228</v>
      </c>
      <c r="Z488" s="0" t="s">
        <v>160</v>
      </c>
      <c r="AA488" s="0" t="s">
        <v>151</v>
      </c>
      <c r="AB488" s="0" t="s">
        <v>151</v>
      </c>
      <c r="AC488" s="0" t="s">
        <v>2315</v>
      </c>
      <c r="AD488" s="0" t="s">
        <v>2315</v>
      </c>
      <c r="AE488" s="0" t="s">
        <v>2316</v>
      </c>
      <c r="AF488" s="0" t="s">
        <v>4821</v>
      </c>
      <c r="AG488" s="0" t="s">
        <v>4822</v>
      </c>
      <c r="AH488" s="0" t="s">
        <v>4823</v>
      </c>
      <c r="AI488" s="0" t="s">
        <v>3651</v>
      </c>
      <c r="AJ488" s="0" t="s">
        <v>4601</v>
      </c>
      <c r="AK488" s="0" t="s">
        <v>4500</v>
      </c>
      <c r="AL488" s="0" t="s">
        <v>3581</v>
      </c>
      <c r="AM488" s="0" t="s">
        <v>3565</v>
      </c>
      <c r="AN488" s="0" t="s">
        <v>3654</v>
      </c>
      <c r="AO488" s="0" t="s">
        <v>3934</v>
      </c>
      <c r="AP488" s="0" t="s">
        <v>228</v>
      </c>
      <c r="AQ488" s="0" t="s">
        <v>228</v>
      </c>
      <c r="AR488" s="0" t="s">
        <v>228</v>
      </c>
      <c r="AS488" s="0" t="s">
        <v>228</v>
      </c>
      <c r="AT488" s="0" t="s">
        <v>228</v>
      </c>
      <c r="AU488" s="0" t="s">
        <v>228</v>
      </c>
      <c r="AV488" s="0" t="s">
        <v>228</v>
      </c>
      <c r="AW488" s="0" t="s">
        <v>228</v>
      </c>
      <c r="AX488" s="0" t="s">
        <v>228</v>
      </c>
      <c r="AY488" s="0" t="s">
        <v>228</v>
      </c>
      <c r="AZ488" s="0" t="s">
        <v>228</v>
      </c>
      <c r="BA488" s="0" t="s">
        <v>228</v>
      </c>
      <c r="BB488" s="0" t="s">
        <v>228</v>
      </c>
      <c r="BC488" s="0" t="s">
        <v>228</v>
      </c>
      <c r="BD488" s="0" t="s">
        <v>228</v>
      </c>
      <c r="BE488" s="0" t="s">
        <v>228</v>
      </c>
      <c r="BF488" s="0" t="s">
        <v>228</v>
      </c>
      <c r="BG488" s="0" t="s">
        <v>228</v>
      </c>
      <c r="BH488" s="0" t="s">
        <v>228</v>
      </c>
      <c r="BI488" s="0" t="s">
        <v>228</v>
      </c>
      <c r="BJ488" s="0" t="s">
        <v>228</v>
      </c>
      <c r="BK488" s="0" t="s">
        <v>228</v>
      </c>
      <c r="BL488" s="0" t="s">
        <v>228</v>
      </c>
      <c r="BM488" s="0" t="s">
        <v>228</v>
      </c>
      <c r="BN488" s="0" t="s">
        <v>228</v>
      </c>
      <c r="BO488" s="0" t="s">
        <v>228</v>
      </c>
      <c r="BP488" s="0" t="s">
        <v>228</v>
      </c>
      <c r="BQ488" s="0" t="s">
        <v>228</v>
      </c>
      <c r="BR488" s="0" t="s">
        <v>228</v>
      </c>
      <c r="BS488" s="0" t="s">
        <v>228</v>
      </c>
      <c r="BT488" s="0" t="s">
        <v>228</v>
      </c>
      <c r="BU488" s="0" t="s">
        <v>228</v>
      </c>
      <c r="BV488" s="0" t="s">
        <v>228</v>
      </c>
      <c r="BW488" s="0" t="s">
        <v>228</v>
      </c>
      <c r="BX488" s="0" t="s">
        <v>228</v>
      </c>
      <c r="BY488" s="0" t="s">
        <v>228</v>
      </c>
      <c r="BZ488" s="0" t="s">
        <v>228</v>
      </c>
      <c r="CA488" s="0" t="s">
        <v>228</v>
      </c>
      <c r="CB488" s="0" t="s">
        <v>228</v>
      </c>
      <c r="CC488" s="0" t="s">
        <v>228</v>
      </c>
      <c r="CD488" s="0" t="s">
        <v>228</v>
      </c>
      <c r="CE488" s="0" t="s">
        <v>228</v>
      </c>
      <c r="CF488" s="0" t="s">
        <v>228</v>
      </c>
      <c r="CG488" s="0" t="s">
        <v>228</v>
      </c>
      <c r="CH488" s="0" t="s">
        <v>228</v>
      </c>
      <c r="CI488" s="0" t="s">
        <v>228</v>
      </c>
      <c r="CJ488" s="0" t="s">
        <v>228</v>
      </c>
      <c r="CK488" s="0" t="s">
        <v>228</v>
      </c>
      <c r="CL488" s="0" t="s">
        <v>228</v>
      </c>
      <c r="CM488" s="0" t="s">
        <v>228</v>
      </c>
      <c r="CN488" s="0" t="s">
        <v>228</v>
      </c>
      <c r="CO488" s="0" t="s">
        <v>228</v>
      </c>
      <c r="CP488" s="0" t="s">
        <v>228</v>
      </c>
      <c r="CQ488" s="0" t="s">
        <v>228</v>
      </c>
      <c r="CR488" s="0" t="s">
        <v>228</v>
      </c>
      <c r="CS488" s="0" t="s">
        <v>228</v>
      </c>
      <c r="CT488" s="0" t="s">
        <v>3568</v>
      </c>
      <c r="CU488" s="0" t="s">
        <v>3569</v>
      </c>
      <c r="CV488" s="0" t="s">
        <v>418</v>
      </c>
      <c r="CW488" s="0" t="s">
        <v>3656</v>
      </c>
      <c r="CX488" s="0" t="s">
        <v>419</v>
      </c>
      <c r="CY488" s="0" t="s">
        <v>418</v>
      </c>
      <c r="CZ488" s="0" t="s">
        <v>3657</v>
      </c>
      <c r="DA488" s="0" t="s">
        <v>3658</v>
      </c>
      <c r="DB488" s="0" t="s">
        <v>3656</v>
      </c>
      <c r="DC488" s="0" t="s">
        <v>362</v>
      </c>
      <c r="DD488" s="0" t="s">
        <v>3572</v>
      </c>
      <c r="DE488" s="0" t="s">
        <v>4824</v>
      </c>
    </row>
    <row customHeight="1" ht="11.25">
      <c r="A489" s="1353" t="s">
        <v>228</v>
      </c>
      <c r="B489" s="0" t="s">
        <v>228</v>
      </c>
      <c r="C489" s="0" t="s">
        <v>228</v>
      </c>
      <c r="D489" s="0" t="s">
        <v>228</v>
      </c>
      <c r="E489" s="0" t="s">
        <v>228</v>
      </c>
      <c r="F489" s="0" t="s">
        <v>228</v>
      </c>
      <c r="G489" s="0" t="s">
        <v>228</v>
      </c>
      <c r="H489" s="0" t="s">
        <v>228</v>
      </c>
      <c r="I489" s="0" t="s">
        <v>3555</v>
      </c>
      <c r="J489" s="0" t="s">
        <v>228</v>
      </c>
      <c r="K489" s="0" t="s">
        <v>228</v>
      </c>
      <c r="L489" s="0" t="s">
        <v>228</v>
      </c>
      <c r="M489" s="0" t="s">
        <v>228</v>
      </c>
      <c r="N489" s="0" t="s">
        <v>228</v>
      </c>
      <c r="O489" s="0" t="s">
        <v>228</v>
      </c>
      <c r="P489" s="0" t="s">
        <v>228</v>
      </c>
      <c r="Q489" s="0" t="s">
        <v>228</v>
      </c>
      <c r="R489" s="0" t="s">
        <v>4716</v>
      </c>
      <c r="S489" s="0" t="s">
        <v>228</v>
      </c>
      <c r="T489" s="0" t="s">
        <v>228</v>
      </c>
      <c r="U489" s="0" t="s">
        <v>101</v>
      </c>
      <c r="V489" s="0" t="s">
        <v>228</v>
      </c>
      <c r="W489" s="0" t="s">
        <v>228</v>
      </c>
      <c r="X489" s="0" t="s">
        <v>3557</v>
      </c>
      <c r="Y489" s="0" t="s">
        <v>228</v>
      </c>
      <c r="Z489" s="0" t="s">
        <v>160</v>
      </c>
      <c r="AA489" s="0" t="s">
        <v>151</v>
      </c>
      <c r="AB489" s="0" t="s">
        <v>151</v>
      </c>
      <c r="AC489" s="0" t="s">
        <v>2290</v>
      </c>
      <c r="AD489" s="0" t="s">
        <v>2290</v>
      </c>
      <c r="AE489" s="0" t="s">
        <v>2292</v>
      </c>
      <c r="AF489" s="0" t="s">
        <v>3558</v>
      </c>
      <c r="AG489" s="0" t="s">
        <v>3559</v>
      </c>
      <c r="AH489" s="0" t="s">
        <v>4455</v>
      </c>
      <c r="AI489" s="0" t="s">
        <v>4717</v>
      </c>
      <c r="AJ489" s="0" t="s">
        <v>3566</v>
      </c>
      <c r="AK489" s="0" t="s">
        <v>3674</v>
      </c>
      <c r="AL489" s="0" t="s">
        <v>3681</v>
      </c>
      <c r="AM489" s="0" t="s">
        <v>3565</v>
      </c>
      <c r="AN489" s="0" t="s">
        <v>3620</v>
      </c>
      <c r="AO489" s="0" t="s">
        <v>4277</v>
      </c>
      <c r="AP489" s="0" t="s">
        <v>228</v>
      </c>
      <c r="AQ489" s="0" t="s">
        <v>228</v>
      </c>
      <c r="AR489" s="0" t="s">
        <v>228</v>
      </c>
      <c r="AS489" s="0" t="s">
        <v>228</v>
      </c>
      <c r="AT489" s="0" t="s">
        <v>228</v>
      </c>
      <c r="AU489" s="0" t="s">
        <v>228</v>
      </c>
      <c r="AV489" s="0" t="s">
        <v>228</v>
      </c>
      <c r="AW489" s="0" t="s">
        <v>228</v>
      </c>
      <c r="AX489" s="0" t="s">
        <v>228</v>
      </c>
      <c r="AY489" s="0" t="s">
        <v>228</v>
      </c>
      <c r="AZ489" s="0" t="s">
        <v>228</v>
      </c>
      <c r="BA489" s="0" t="s">
        <v>228</v>
      </c>
      <c r="BB489" s="0" t="s">
        <v>228</v>
      </c>
      <c r="BC489" s="0" t="s">
        <v>228</v>
      </c>
      <c r="BD489" s="0" t="s">
        <v>228</v>
      </c>
      <c r="BE489" s="0" t="s">
        <v>228</v>
      </c>
      <c r="BF489" s="0" t="s">
        <v>228</v>
      </c>
      <c r="BG489" s="0" t="s">
        <v>228</v>
      </c>
      <c r="BH489" s="0" t="s">
        <v>228</v>
      </c>
      <c r="BI489" s="0" t="s">
        <v>228</v>
      </c>
      <c r="BJ489" s="0" t="s">
        <v>228</v>
      </c>
      <c r="BK489" s="0" t="s">
        <v>228</v>
      </c>
      <c r="BL489" s="0" t="s">
        <v>228</v>
      </c>
      <c r="BM489" s="0" t="s">
        <v>228</v>
      </c>
      <c r="BN489" s="0" t="s">
        <v>228</v>
      </c>
      <c r="BO489" s="0" t="s">
        <v>228</v>
      </c>
      <c r="BP489" s="0" t="s">
        <v>228</v>
      </c>
      <c r="BQ489" s="0" t="s">
        <v>228</v>
      </c>
      <c r="BR489" s="0" t="s">
        <v>228</v>
      </c>
      <c r="BS489" s="0" t="s">
        <v>228</v>
      </c>
      <c r="BT489" s="0" t="s">
        <v>228</v>
      </c>
      <c r="BU489" s="0" t="s">
        <v>228</v>
      </c>
      <c r="BV489" s="0" t="s">
        <v>228</v>
      </c>
      <c r="BW489" s="0" t="s">
        <v>228</v>
      </c>
      <c r="BX489" s="0" t="s">
        <v>228</v>
      </c>
      <c r="BY489" s="0" t="s">
        <v>228</v>
      </c>
      <c r="BZ489" s="0" t="s">
        <v>228</v>
      </c>
      <c r="CA489" s="0" t="s">
        <v>228</v>
      </c>
      <c r="CB489" s="0" t="s">
        <v>228</v>
      </c>
      <c r="CC489" s="0" t="s">
        <v>228</v>
      </c>
      <c r="CD489" s="0" t="s">
        <v>228</v>
      </c>
      <c r="CE489" s="0" t="s">
        <v>228</v>
      </c>
      <c r="CF489" s="0" t="s">
        <v>228</v>
      </c>
      <c r="CG489" s="0" t="s">
        <v>228</v>
      </c>
      <c r="CH489" s="0" t="s">
        <v>228</v>
      </c>
      <c r="CI489" s="0" t="s">
        <v>228</v>
      </c>
      <c r="CJ489" s="0" t="s">
        <v>228</v>
      </c>
      <c r="CK489" s="0" t="s">
        <v>228</v>
      </c>
      <c r="CL489" s="0" t="s">
        <v>228</v>
      </c>
      <c r="CM489" s="0" t="s">
        <v>228</v>
      </c>
      <c r="CN489" s="0" t="s">
        <v>228</v>
      </c>
      <c r="CO489" s="0" t="s">
        <v>228</v>
      </c>
      <c r="CP489" s="0" t="s">
        <v>228</v>
      </c>
      <c r="CQ489" s="0" t="s">
        <v>228</v>
      </c>
      <c r="CR489" s="0" t="s">
        <v>228</v>
      </c>
      <c r="CS489" s="0" t="s">
        <v>228</v>
      </c>
      <c r="CT489" s="0" t="s">
        <v>3568</v>
      </c>
      <c r="CU489" s="0" t="s">
        <v>3569</v>
      </c>
      <c r="CV489" s="0" t="s">
        <v>418</v>
      </c>
      <c r="CW489" s="0" t="s">
        <v>3570</v>
      </c>
      <c r="CX489" s="0" t="s">
        <v>419</v>
      </c>
      <c r="CY489" s="0" t="s">
        <v>418</v>
      </c>
      <c r="CZ489" s="0" t="s">
        <v>3571</v>
      </c>
      <c r="DA489" s="0" t="s">
        <v>420</v>
      </c>
      <c r="DB489" s="0" t="s">
        <v>3570</v>
      </c>
      <c r="DC489" s="0" t="s">
        <v>362</v>
      </c>
      <c r="DD489" s="0" t="s">
        <v>3572</v>
      </c>
      <c r="DE489" s="0" t="s">
        <v>5087</v>
      </c>
    </row>
    <row customHeight="1" ht="11.25">
      <c r="A490" s="1353" t="s">
        <v>228</v>
      </c>
      <c r="B490" s="0" t="s">
        <v>228</v>
      </c>
      <c r="C490" s="0" t="s">
        <v>228</v>
      </c>
      <c r="D490" s="0" t="s">
        <v>228</v>
      </c>
      <c r="E490" s="0" t="s">
        <v>228</v>
      </c>
      <c r="F490" s="0" t="s">
        <v>228</v>
      </c>
      <c r="G490" s="0" t="s">
        <v>228</v>
      </c>
      <c r="H490" s="0" t="s">
        <v>228</v>
      </c>
      <c r="I490" s="0" t="s">
        <v>3555</v>
      </c>
      <c r="J490" s="0" t="s">
        <v>228</v>
      </c>
      <c r="K490" s="0" t="s">
        <v>228</v>
      </c>
      <c r="L490" s="0" t="s">
        <v>228</v>
      </c>
      <c r="M490" s="0" t="s">
        <v>228</v>
      </c>
      <c r="N490" s="0" t="s">
        <v>228</v>
      </c>
      <c r="O490" s="0" t="s">
        <v>228</v>
      </c>
      <c r="P490" s="0" t="s">
        <v>228</v>
      </c>
      <c r="Q490" s="0" t="s">
        <v>228</v>
      </c>
      <c r="R490" s="0" t="s">
        <v>3718</v>
      </c>
      <c r="S490" s="0" t="s">
        <v>228</v>
      </c>
      <c r="T490" s="0" t="s">
        <v>228</v>
      </c>
      <c r="U490" s="0" t="s">
        <v>101</v>
      </c>
      <c r="V490" s="0" t="s">
        <v>228</v>
      </c>
      <c r="W490" s="0" t="s">
        <v>228</v>
      </c>
      <c r="X490" s="0" t="s">
        <v>3661</v>
      </c>
      <c r="Y490" s="0" t="s">
        <v>228</v>
      </c>
      <c r="Z490" s="0" t="s">
        <v>151</v>
      </c>
      <c r="AA490" s="0" t="s">
        <v>151</v>
      </c>
      <c r="AB490" s="0" t="s">
        <v>160</v>
      </c>
      <c r="AC490" s="0" t="s">
        <v>2290</v>
      </c>
      <c r="AD490" s="0" t="s">
        <v>2290</v>
      </c>
      <c r="AE490" s="0" t="s">
        <v>2292</v>
      </c>
      <c r="AF490" s="0" t="s">
        <v>3558</v>
      </c>
      <c r="AG490" s="0" t="s">
        <v>3559</v>
      </c>
      <c r="AH490" s="0" t="s">
        <v>4719</v>
      </c>
      <c r="AI490" s="0" t="s">
        <v>3651</v>
      </c>
      <c r="AJ490" s="0" t="s">
        <v>228</v>
      </c>
      <c r="AK490" s="0" t="s">
        <v>228</v>
      </c>
      <c r="AL490" s="0" t="s">
        <v>228</v>
      </c>
      <c r="AM490" s="0" t="s">
        <v>228</v>
      </c>
      <c r="AN490" s="0" t="s">
        <v>228</v>
      </c>
      <c r="AO490" s="0" t="s">
        <v>228</v>
      </c>
      <c r="AP490" s="0" t="s">
        <v>228</v>
      </c>
      <c r="AQ490" s="0" t="s">
        <v>228</v>
      </c>
      <c r="AR490" s="0" t="s">
        <v>228</v>
      </c>
      <c r="AS490" s="0" t="s">
        <v>228</v>
      </c>
      <c r="AT490" s="0" t="s">
        <v>228</v>
      </c>
      <c r="AU490" s="0" t="s">
        <v>228</v>
      </c>
      <c r="AV490" s="0" t="s">
        <v>228</v>
      </c>
      <c r="AW490" s="0" t="s">
        <v>228</v>
      </c>
      <c r="AX490" s="0" t="s">
        <v>228</v>
      </c>
      <c r="AY490" s="0" t="s">
        <v>228</v>
      </c>
      <c r="AZ490" s="0" t="s">
        <v>228</v>
      </c>
      <c r="BA490" s="0" t="s">
        <v>228</v>
      </c>
      <c r="BB490" s="0" t="s">
        <v>228</v>
      </c>
      <c r="BC490" s="0" t="s">
        <v>228</v>
      </c>
      <c r="BD490" s="0" t="s">
        <v>228</v>
      </c>
      <c r="BE490" s="0" t="s">
        <v>4612</v>
      </c>
      <c r="BF490" s="0" t="s">
        <v>4613</v>
      </c>
      <c r="BG490" s="0" t="s">
        <v>111</v>
      </c>
      <c r="BH490" s="0" t="s">
        <v>3665</v>
      </c>
      <c r="BI490" s="0" t="s">
        <v>122</v>
      </c>
      <c r="BJ490" s="0" t="s">
        <v>228</v>
      </c>
      <c r="BK490" s="0" t="s">
        <v>4607</v>
      </c>
      <c r="BL490" s="0" t="s">
        <v>2288</v>
      </c>
      <c r="BM490" s="0" t="s">
        <v>2288</v>
      </c>
      <c r="BN490" s="0" t="s">
        <v>4720</v>
      </c>
      <c r="BO490" s="0" t="s">
        <v>4608</v>
      </c>
      <c r="BP490" s="0" t="s">
        <v>4721</v>
      </c>
      <c r="BQ490" s="0" t="s">
        <v>4608</v>
      </c>
      <c r="BR490" s="0" t="s">
        <v>4611</v>
      </c>
      <c r="BS490" s="0" t="s">
        <v>228</v>
      </c>
      <c r="BT490" s="0" t="s">
        <v>3727</v>
      </c>
      <c r="BU490" s="0" t="s">
        <v>5088</v>
      </c>
      <c r="BV490" s="0" t="s">
        <v>5089</v>
      </c>
      <c r="BW490" s="0" t="s">
        <v>4724</v>
      </c>
      <c r="BX490" s="0" t="s">
        <v>3566</v>
      </c>
      <c r="BY490" s="0" t="s">
        <v>4725</v>
      </c>
      <c r="BZ490" s="0" t="s">
        <v>4726</v>
      </c>
      <c r="CA490" s="0" t="s">
        <v>3674</v>
      </c>
      <c r="CB490" s="0" t="s">
        <v>228</v>
      </c>
      <c r="CC490" s="0" t="s">
        <v>228</v>
      </c>
      <c r="CD490" s="0" t="s">
        <v>228</v>
      </c>
      <c r="CE490" s="0" t="s">
        <v>228</v>
      </c>
      <c r="CF490" s="0" t="s">
        <v>228</v>
      </c>
      <c r="CG490" s="0" t="s">
        <v>3674</v>
      </c>
      <c r="CH490" s="0" t="s">
        <v>228</v>
      </c>
      <c r="CI490" s="0" t="s">
        <v>228</v>
      </c>
      <c r="CJ490" s="0" t="s">
        <v>228</v>
      </c>
      <c r="CK490" s="0" t="s">
        <v>228</v>
      </c>
      <c r="CL490" s="0" t="s">
        <v>228</v>
      </c>
      <c r="CM490" s="0" t="s">
        <v>5088</v>
      </c>
      <c r="CN490" s="0" t="s">
        <v>5089</v>
      </c>
      <c r="CO490" s="0" t="s">
        <v>4724</v>
      </c>
      <c r="CP490" s="0" t="s">
        <v>3566</v>
      </c>
      <c r="CQ490" s="0" t="s">
        <v>4725</v>
      </c>
      <c r="CR490" s="0" t="s">
        <v>4726</v>
      </c>
      <c r="CS490" s="0" t="s">
        <v>4727</v>
      </c>
      <c r="CT490" s="0" t="s">
        <v>3568</v>
      </c>
      <c r="CU490" s="0" t="s">
        <v>3569</v>
      </c>
      <c r="CV490" s="0" t="s">
        <v>418</v>
      </c>
      <c r="CW490" s="0" t="s">
        <v>3570</v>
      </c>
      <c r="CX490" s="0" t="s">
        <v>419</v>
      </c>
      <c r="CY490" s="0" t="s">
        <v>418</v>
      </c>
      <c r="CZ490" s="0" t="s">
        <v>3571</v>
      </c>
      <c r="DA490" s="0" t="s">
        <v>420</v>
      </c>
      <c r="DB490" s="0" t="s">
        <v>3570</v>
      </c>
      <c r="DC490" s="0" t="s">
        <v>362</v>
      </c>
      <c r="DD490" s="0" t="s">
        <v>3572</v>
      </c>
      <c r="DE490" s="0" t="s">
        <v>4728</v>
      </c>
    </row>
    <row customHeight="1" ht="11.25">
      <c r="A491" s="1353" t="s">
        <v>228</v>
      </c>
      <c r="B491" s="0" t="s">
        <v>228</v>
      </c>
      <c r="C491" s="0" t="s">
        <v>228</v>
      </c>
      <c r="D491" s="0" t="s">
        <v>228</v>
      </c>
      <c r="E491" s="0" t="s">
        <v>228</v>
      </c>
      <c r="F491" s="0" t="s">
        <v>228</v>
      </c>
      <c r="G491" s="0" t="s">
        <v>228</v>
      </c>
      <c r="H491" s="0" t="s">
        <v>228</v>
      </c>
      <c r="I491" s="0" t="s">
        <v>3555</v>
      </c>
      <c r="J491" s="0" t="s">
        <v>228</v>
      </c>
      <c r="K491" s="0" t="s">
        <v>228</v>
      </c>
      <c r="L491" s="0" t="s">
        <v>228</v>
      </c>
      <c r="M491" s="0" t="s">
        <v>228</v>
      </c>
      <c r="N491" s="0" t="s">
        <v>228</v>
      </c>
      <c r="O491" s="0" t="s">
        <v>228</v>
      </c>
      <c r="P491" s="0" t="s">
        <v>228</v>
      </c>
      <c r="Q491" s="0" t="s">
        <v>228</v>
      </c>
      <c r="R491" s="0" t="s">
        <v>5057</v>
      </c>
      <c r="S491" s="0" t="s">
        <v>228</v>
      </c>
      <c r="T491" s="0" t="s">
        <v>228</v>
      </c>
      <c r="U491" s="0" t="s">
        <v>101</v>
      </c>
      <c r="V491" s="0" t="s">
        <v>228</v>
      </c>
      <c r="W491" s="0" t="s">
        <v>228</v>
      </c>
      <c r="X491" s="0" t="s">
        <v>3988</v>
      </c>
      <c r="Y491" s="0" t="s">
        <v>228</v>
      </c>
      <c r="Z491" s="0" t="s">
        <v>151</v>
      </c>
      <c r="AA491" s="0" t="s">
        <v>160</v>
      </c>
      <c r="AB491" s="0" t="s">
        <v>151</v>
      </c>
      <c r="AC491" s="0" t="s">
        <v>2715</v>
      </c>
      <c r="AD491" s="0" t="s">
        <v>2715</v>
      </c>
      <c r="AE491" s="0" t="s">
        <v>2716</v>
      </c>
      <c r="AF491" s="0" t="s">
        <v>3594</v>
      </c>
      <c r="AG491" s="0" t="s">
        <v>3595</v>
      </c>
      <c r="AH491" s="0" t="s">
        <v>3662</v>
      </c>
      <c r="AI491" s="0" t="s">
        <v>3608</v>
      </c>
      <c r="AJ491" s="0" t="s">
        <v>228</v>
      </c>
      <c r="AK491" s="0" t="s">
        <v>228</v>
      </c>
      <c r="AL491" s="0" t="s">
        <v>228</v>
      </c>
      <c r="AM491" s="0" t="s">
        <v>228</v>
      </c>
      <c r="AN491" s="0" t="s">
        <v>228</v>
      </c>
      <c r="AO491" s="0" t="s">
        <v>228</v>
      </c>
      <c r="AP491" s="0" t="s">
        <v>3663</v>
      </c>
      <c r="AQ491" s="0" t="s">
        <v>4460</v>
      </c>
      <c r="AR491" s="0" t="s">
        <v>111</v>
      </c>
      <c r="AS491" s="0" t="s">
        <v>3665</v>
      </c>
      <c r="AT491" s="0" t="s">
        <v>5054</v>
      </c>
      <c r="AU491" s="0" t="s">
        <v>228</v>
      </c>
      <c r="AV491" s="0" t="s">
        <v>4461</v>
      </c>
      <c r="AW491" s="0" t="s">
        <v>2286</v>
      </c>
      <c r="AX491" s="0" t="s">
        <v>2286</v>
      </c>
      <c r="AY491" s="0" t="s">
        <v>3992</v>
      </c>
      <c r="AZ491" s="0" t="s">
        <v>4462</v>
      </c>
      <c r="BA491" s="0" t="s">
        <v>4463</v>
      </c>
      <c r="BB491" s="0" t="s">
        <v>3662</v>
      </c>
      <c r="BC491" s="0" t="s">
        <v>3608</v>
      </c>
      <c r="BD491" s="0" t="s">
        <v>4072</v>
      </c>
      <c r="BE491" s="0" t="s">
        <v>228</v>
      </c>
      <c r="BF491" s="0" t="s">
        <v>228</v>
      </c>
      <c r="BG491" s="0" t="s">
        <v>228</v>
      </c>
      <c r="BH491" s="0" t="s">
        <v>228</v>
      </c>
      <c r="BI491" s="0" t="s">
        <v>228</v>
      </c>
      <c r="BJ491" s="0" t="s">
        <v>228</v>
      </c>
      <c r="BK491" s="0" t="s">
        <v>228</v>
      </c>
      <c r="BL491" s="0" t="s">
        <v>228</v>
      </c>
      <c r="BM491" s="0" t="s">
        <v>228</v>
      </c>
      <c r="BN491" s="0" t="s">
        <v>228</v>
      </c>
      <c r="BO491" s="0" t="s">
        <v>228</v>
      </c>
      <c r="BP491" s="0" t="s">
        <v>228</v>
      </c>
      <c r="BQ491" s="0" t="s">
        <v>228</v>
      </c>
      <c r="BR491" s="0" t="s">
        <v>228</v>
      </c>
      <c r="BS491" s="0" t="s">
        <v>228</v>
      </c>
      <c r="BT491" s="0" t="s">
        <v>228</v>
      </c>
      <c r="BU491" s="0" t="s">
        <v>228</v>
      </c>
      <c r="BV491" s="0" t="s">
        <v>228</v>
      </c>
      <c r="BW491" s="0" t="s">
        <v>228</v>
      </c>
      <c r="BX491" s="0" t="s">
        <v>228</v>
      </c>
      <c r="BY491" s="0" t="s">
        <v>228</v>
      </c>
      <c r="BZ491" s="0" t="s">
        <v>228</v>
      </c>
      <c r="CA491" s="0" t="s">
        <v>228</v>
      </c>
      <c r="CB491" s="0" t="s">
        <v>228</v>
      </c>
      <c r="CC491" s="0" t="s">
        <v>228</v>
      </c>
      <c r="CD491" s="0" t="s">
        <v>228</v>
      </c>
      <c r="CE491" s="0" t="s">
        <v>228</v>
      </c>
      <c r="CF491" s="0" t="s">
        <v>228</v>
      </c>
      <c r="CG491" s="0" t="s">
        <v>228</v>
      </c>
      <c r="CH491" s="0" t="s">
        <v>228</v>
      </c>
      <c r="CI491" s="0" t="s">
        <v>228</v>
      </c>
      <c r="CJ491" s="0" t="s">
        <v>228</v>
      </c>
      <c r="CK491" s="0" t="s">
        <v>228</v>
      </c>
      <c r="CL491" s="0" t="s">
        <v>228</v>
      </c>
      <c r="CM491" s="0" t="s">
        <v>228</v>
      </c>
      <c r="CN491" s="0" t="s">
        <v>228</v>
      </c>
      <c r="CO491" s="0" t="s">
        <v>228</v>
      </c>
      <c r="CP491" s="0" t="s">
        <v>228</v>
      </c>
      <c r="CQ491" s="0" t="s">
        <v>228</v>
      </c>
      <c r="CR491" s="0" t="s">
        <v>228</v>
      </c>
      <c r="CS491" s="0" t="s">
        <v>228</v>
      </c>
      <c r="CT491" s="0" t="s">
        <v>3568</v>
      </c>
      <c r="CU491" s="0" t="s">
        <v>3569</v>
      </c>
      <c r="CV491" s="0" t="s">
        <v>418</v>
      </c>
      <c r="CW491" s="0" t="s">
        <v>3602</v>
      </c>
      <c r="CX491" s="0" t="s">
        <v>3603</v>
      </c>
      <c r="CY491" s="0" t="s">
        <v>418</v>
      </c>
      <c r="CZ491" s="0" t="s">
        <v>504</v>
      </c>
      <c r="DA491" s="0" t="s">
        <v>3604</v>
      </c>
      <c r="DB491" s="0" t="s">
        <v>3602</v>
      </c>
      <c r="DC491" s="0" t="s">
        <v>362</v>
      </c>
      <c r="DD491" s="0" t="s">
        <v>3572</v>
      </c>
      <c r="DE491" s="0" t="s">
        <v>3677</v>
      </c>
    </row>
    <row customHeight="1" ht="11.25">
      <c r="A492" s="1353" t="s">
        <v>228</v>
      </c>
      <c r="B492" s="0" t="s">
        <v>228</v>
      </c>
      <c r="C492" s="0" t="s">
        <v>228</v>
      </c>
      <c r="D492" s="0" t="s">
        <v>228</v>
      </c>
      <c r="E492" s="0" t="s">
        <v>228</v>
      </c>
      <c r="F492" s="0" t="s">
        <v>228</v>
      </c>
      <c r="G492" s="0" t="s">
        <v>228</v>
      </c>
      <c r="H492" s="0" t="s">
        <v>228</v>
      </c>
      <c r="I492" s="0" t="s">
        <v>3555</v>
      </c>
      <c r="J492" s="0" t="s">
        <v>228</v>
      </c>
      <c r="K492" s="0" t="s">
        <v>228</v>
      </c>
      <c r="L492" s="0" t="s">
        <v>228</v>
      </c>
      <c r="M492" s="0" t="s">
        <v>228</v>
      </c>
      <c r="N492" s="0" t="s">
        <v>228</v>
      </c>
      <c r="O492" s="0" t="s">
        <v>228</v>
      </c>
      <c r="P492" s="0" t="s">
        <v>228</v>
      </c>
      <c r="Q492" s="0" t="s">
        <v>228</v>
      </c>
      <c r="R492" s="0" t="s">
        <v>3718</v>
      </c>
      <c r="S492" s="0" t="s">
        <v>228</v>
      </c>
      <c r="T492" s="0" t="s">
        <v>228</v>
      </c>
      <c r="U492" s="0" t="s">
        <v>101</v>
      </c>
      <c r="V492" s="0" t="s">
        <v>228</v>
      </c>
      <c r="W492" s="0" t="s">
        <v>228</v>
      </c>
      <c r="X492" s="0" t="s">
        <v>3661</v>
      </c>
      <c r="Y492" s="0" t="s">
        <v>228</v>
      </c>
      <c r="Z492" s="0" t="s">
        <v>151</v>
      </c>
      <c r="AA492" s="0" t="s">
        <v>151</v>
      </c>
      <c r="AB492" s="0" t="s">
        <v>160</v>
      </c>
      <c r="AC492" s="0" t="s">
        <v>2290</v>
      </c>
      <c r="AD492" s="0" t="s">
        <v>2290</v>
      </c>
      <c r="AE492" s="0" t="s">
        <v>2292</v>
      </c>
      <c r="AF492" s="0" t="s">
        <v>4912</v>
      </c>
      <c r="AG492" s="0" t="s">
        <v>4913</v>
      </c>
      <c r="AH492" s="0" t="s">
        <v>4914</v>
      </c>
      <c r="AI492" s="0" t="s">
        <v>3651</v>
      </c>
      <c r="AJ492" s="0" t="s">
        <v>228</v>
      </c>
      <c r="AK492" s="0" t="s">
        <v>228</v>
      </c>
      <c r="AL492" s="0" t="s">
        <v>228</v>
      </c>
      <c r="AM492" s="0" t="s">
        <v>228</v>
      </c>
      <c r="AN492" s="0" t="s">
        <v>228</v>
      </c>
      <c r="AO492" s="0" t="s">
        <v>228</v>
      </c>
      <c r="AP492" s="0" t="s">
        <v>228</v>
      </c>
      <c r="AQ492" s="0" t="s">
        <v>228</v>
      </c>
      <c r="AR492" s="0" t="s">
        <v>228</v>
      </c>
      <c r="AS492" s="0" t="s">
        <v>228</v>
      </c>
      <c r="AT492" s="0" t="s">
        <v>228</v>
      </c>
      <c r="AU492" s="0" t="s">
        <v>228</v>
      </c>
      <c r="AV492" s="0" t="s">
        <v>228</v>
      </c>
      <c r="AW492" s="0" t="s">
        <v>228</v>
      </c>
      <c r="AX492" s="0" t="s">
        <v>228</v>
      </c>
      <c r="AY492" s="0" t="s">
        <v>228</v>
      </c>
      <c r="AZ492" s="0" t="s">
        <v>228</v>
      </c>
      <c r="BA492" s="0" t="s">
        <v>228</v>
      </c>
      <c r="BB492" s="0" t="s">
        <v>228</v>
      </c>
      <c r="BC492" s="0" t="s">
        <v>228</v>
      </c>
      <c r="BD492" s="0" t="s">
        <v>228</v>
      </c>
      <c r="BE492" s="0" t="s">
        <v>4915</v>
      </c>
      <c r="BF492" s="0" t="s">
        <v>4916</v>
      </c>
      <c r="BG492" s="0" t="s">
        <v>111</v>
      </c>
      <c r="BH492" s="0" t="s">
        <v>3665</v>
      </c>
      <c r="BI492" s="0" t="s">
        <v>122</v>
      </c>
      <c r="BJ492" s="0" t="s">
        <v>228</v>
      </c>
      <c r="BK492" s="0" t="s">
        <v>3651</v>
      </c>
      <c r="BL492" s="0" t="s">
        <v>2290</v>
      </c>
      <c r="BM492" s="0" t="s">
        <v>2290</v>
      </c>
      <c r="BN492" s="0" t="s">
        <v>4917</v>
      </c>
      <c r="BO492" s="0" t="s">
        <v>4912</v>
      </c>
      <c r="BP492" s="0" t="s">
        <v>4918</v>
      </c>
      <c r="BQ492" s="0" t="s">
        <v>4914</v>
      </c>
      <c r="BR492" s="0" t="s">
        <v>3651</v>
      </c>
      <c r="BS492" s="0" t="s">
        <v>228</v>
      </c>
      <c r="BT492" s="0" t="s">
        <v>3727</v>
      </c>
      <c r="BU492" s="0" t="s">
        <v>5090</v>
      </c>
      <c r="BV492" s="0" t="s">
        <v>5091</v>
      </c>
      <c r="BW492" s="0" t="s">
        <v>3674</v>
      </c>
      <c r="BX492" s="0" t="s">
        <v>4921</v>
      </c>
      <c r="BY492" s="0" t="s">
        <v>3674</v>
      </c>
      <c r="BZ492" s="0" t="s">
        <v>4922</v>
      </c>
      <c r="CA492" s="0" t="s">
        <v>3674</v>
      </c>
      <c r="CB492" s="0" t="s">
        <v>228</v>
      </c>
      <c r="CC492" s="0" t="s">
        <v>228</v>
      </c>
      <c r="CD492" s="0" t="s">
        <v>228</v>
      </c>
      <c r="CE492" s="0" t="s">
        <v>228</v>
      </c>
      <c r="CF492" s="0" t="s">
        <v>228</v>
      </c>
      <c r="CG492" s="0" t="s">
        <v>3674</v>
      </c>
      <c r="CH492" s="0" t="s">
        <v>228</v>
      </c>
      <c r="CI492" s="0" t="s">
        <v>228</v>
      </c>
      <c r="CJ492" s="0" t="s">
        <v>228</v>
      </c>
      <c r="CK492" s="0" t="s">
        <v>228</v>
      </c>
      <c r="CL492" s="0" t="s">
        <v>228</v>
      </c>
      <c r="CM492" s="0" t="s">
        <v>5090</v>
      </c>
      <c r="CN492" s="0" t="s">
        <v>5091</v>
      </c>
      <c r="CO492" s="0" t="s">
        <v>3674</v>
      </c>
      <c r="CP492" s="0" t="s">
        <v>4921</v>
      </c>
      <c r="CQ492" s="0" t="s">
        <v>3674</v>
      </c>
      <c r="CR492" s="0" t="s">
        <v>4922</v>
      </c>
      <c r="CS492" s="0" t="s">
        <v>4188</v>
      </c>
      <c r="CT492" s="0" t="s">
        <v>3568</v>
      </c>
      <c r="CU492" s="0" t="s">
        <v>3569</v>
      </c>
      <c r="CV492" s="0" t="s">
        <v>418</v>
      </c>
      <c r="CW492" s="0" t="s">
        <v>4923</v>
      </c>
      <c r="CX492" s="0" t="s">
        <v>419</v>
      </c>
      <c r="CY492" s="0" t="s">
        <v>418</v>
      </c>
      <c r="CZ492" s="0" t="s">
        <v>319</v>
      </c>
      <c r="DA492" s="0" t="s">
        <v>420</v>
      </c>
      <c r="DB492" s="0" t="s">
        <v>4924</v>
      </c>
      <c r="DC492" s="0" t="s">
        <v>362</v>
      </c>
      <c r="DD492" s="0" t="s">
        <v>3572</v>
      </c>
      <c r="DE492" s="0" t="s">
        <v>4925</v>
      </c>
    </row>
    <row customHeight="1" ht="11.25">
      <c r="A493" s="1353" t="s">
        <v>228</v>
      </c>
      <c r="B493" s="0" t="s">
        <v>228</v>
      </c>
      <c r="C493" s="0" t="s">
        <v>228</v>
      </c>
      <c r="D493" s="0" t="s">
        <v>228</v>
      </c>
      <c r="E493" s="0" t="s">
        <v>228</v>
      </c>
      <c r="F493" s="0" t="s">
        <v>228</v>
      </c>
      <c r="G493" s="0" t="s">
        <v>228</v>
      </c>
      <c r="H493" s="0" t="s">
        <v>228</v>
      </c>
      <c r="I493" s="0" t="s">
        <v>3555</v>
      </c>
      <c r="J493" s="0" t="s">
        <v>228</v>
      </c>
      <c r="K493" s="0" t="s">
        <v>228</v>
      </c>
      <c r="L493" s="0" t="s">
        <v>228</v>
      </c>
      <c r="M493" s="0" t="s">
        <v>228</v>
      </c>
      <c r="N493" s="0" t="s">
        <v>228</v>
      </c>
      <c r="O493" s="0" t="s">
        <v>228</v>
      </c>
      <c r="P493" s="0" t="s">
        <v>228</v>
      </c>
      <c r="Q493" s="0" t="s">
        <v>228</v>
      </c>
      <c r="R493" s="0" t="s">
        <v>4962</v>
      </c>
      <c r="S493" s="0" t="s">
        <v>228</v>
      </c>
      <c r="T493" s="0" t="s">
        <v>228</v>
      </c>
      <c r="U493" s="0" t="s">
        <v>101</v>
      </c>
      <c r="V493" s="0" t="s">
        <v>228</v>
      </c>
      <c r="W493" s="0" t="s">
        <v>228</v>
      </c>
      <c r="X493" s="0" t="s">
        <v>3557</v>
      </c>
      <c r="Y493" s="0" t="s">
        <v>228</v>
      </c>
      <c r="Z493" s="0" t="s">
        <v>160</v>
      </c>
      <c r="AA493" s="0" t="s">
        <v>151</v>
      </c>
      <c r="AB493" s="0" t="s">
        <v>151</v>
      </c>
      <c r="AC493" s="0" t="s">
        <v>2311</v>
      </c>
      <c r="AD493" s="0" t="s">
        <v>2311</v>
      </c>
      <c r="AE493" s="0" t="s">
        <v>2312</v>
      </c>
      <c r="AF493" s="0" t="s">
        <v>4034</v>
      </c>
      <c r="AG493" s="0" t="s">
        <v>4035</v>
      </c>
      <c r="AH493" s="0" t="s">
        <v>4039</v>
      </c>
      <c r="AI493" s="0" t="s">
        <v>4963</v>
      </c>
      <c r="AJ493" s="0" t="s">
        <v>3579</v>
      </c>
      <c r="AK493" s="0" t="s">
        <v>3579</v>
      </c>
      <c r="AL493" s="0" t="s">
        <v>3681</v>
      </c>
      <c r="AM493" s="0" t="s">
        <v>3565</v>
      </c>
      <c r="AN493" s="0" t="s">
        <v>3582</v>
      </c>
      <c r="AO493" s="0" t="s">
        <v>3823</v>
      </c>
      <c r="AP493" s="0" t="s">
        <v>228</v>
      </c>
      <c r="AQ493" s="0" t="s">
        <v>228</v>
      </c>
      <c r="AR493" s="0" t="s">
        <v>228</v>
      </c>
      <c r="AS493" s="0" t="s">
        <v>228</v>
      </c>
      <c r="AT493" s="0" t="s">
        <v>228</v>
      </c>
      <c r="AU493" s="0" t="s">
        <v>228</v>
      </c>
      <c r="AV493" s="0" t="s">
        <v>228</v>
      </c>
      <c r="AW493" s="0" t="s">
        <v>228</v>
      </c>
      <c r="AX493" s="0" t="s">
        <v>228</v>
      </c>
      <c r="AY493" s="0" t="s">
        <v>228</v>
      </c>
      <c r="AZ493" s="0" t="s">
        <v>228</v>
      </c>
      <c r="BA493" s="0" t="s">
        <v>228</v>
      </c>
      <c r="BB493" s="0" t="s">
        <v>228</v>
      </c>
      <c r="BC493" s="0" t="s">
        <v>228</v>
      </c>
      <c r="BD493" s="0" t="s">
        <v>228</v>
      </c>
      <c r="BE493" s="0" t="s">
        <v>228</v>
      </c>
      <c r="BF493" s="0" t="s">
        <v>228</v>
      </c>
      <c r="BG493" s="0" t="s">
        <v>228</v>
      </c>
      <c r="BH493" s="0" t="s">
        <v>228</v>
      </c>
      <c r="BI493" s="0" t="s">
        <v>228</v>
      </c>
      <c r="BJ493" s="0" t="s">
        <v>228</v>
      </c>
      <c r="BK493" s="0" t="s">
        <v>228</v>
      </c>
      <c r="BL493" s="0" t="s">
        <v>228</v>
      </c>
      <c r="BM493" s="0" t="s">
        <v>228</v>
      </c>
      <c r="BN493" s="0" t="s">
        <v>228</v>
      </c>
      <c r="BO493" s="0" t="s">
        <v>228</v>
      </c>
      <c r="BP493" s="0" t="s">
        <v>228</v>
      </c>
      <c r="BQ493" s="0" t="s">
        <v>228</v>
      </c>
      <c r="BR493" s="0" t="s">
        <v>228</v>
      </c>
      <c r="BS493" s="0" t="s">
        <v>228</v>
      </c>
      <c r="BT493" s="0" t="s">
        <v>228</v>
      </c>
      <c r="BU493" s="0" t="s">
        <v>228</v>
      </c>
      <c r="BV493" s="0" t="s">
        <v>228</v>
      </c>
      <c r="BW493" s="0" t="s">
        <v>228</v>
      </c>
      <c r="BX493" s="0" t="s">
        <v>228</v>
      </c>
      <c r="BY493" s="0" t="s">
        <v>228</v>
      </c>
      <c r="BZ493" s="0" t="s">
        <v>228</v>
      </c>
      <c r="CA493" s="0" t="s">
        <v>228</v>
      </c>
      <c r="CB493" s="0" t="s">
        <v>228</v>
      </c>
      <c r="CC493" s="0" t="s">
        <v>228</v>
      </c>
      <c r="CD493" s="0" t="s">
        <v>228</v>
      </c>
      <c r="CE493" s="0" t="s">
        <v>228</v>
      </c>
      <c r="CF493" s="0" t="s">
        <v>228</v>
      </c>
      <c r="CG493" s="0" t="s">
        <v>228</v>
      </c>
      <c r="CH493" s="0" t="s">
        <v>228</v>
      </c>
      <c r="CI493" s="0" t="s">
        <v>228</v>
      </c>
      <c r="CJ493" s="0" t="s">
        <v>228</v>
      </c>
      <c r="CK493" s="0" t="s">
        <v>228</v>
      </c>
      <c r="CL493" s="0" t="s">
        <v>228</v>
      </c>
      <c r="CM493" s="0" t="s">
        <v>228</v>
      </c>
      <c r="CN493" s="0" t="s">
        <v>228</v>
      </c>
      <c r="CO493" s="0" t="s">
        <v>228</v>
      </c>
      <c r="CP493" s="0" t="s">
        <v>228</v>
      </c>
      <c r="CQ493" s="0" t="s">
        <v>228</v>
      </c>
      <c r="CR493" s="0" t="s">
        <v>228</v>
      </c>
      <c r="CS493" s="0" t="s">
        <v>228</v>
      </c>
      <c r="CT493" s="0" t="s">
        <v>3568</v>
      </c>
      <c r="CU493" s="0" t="s">
        <v>3569</v>
      </c>
      <c r="CV493" s="0" t="s">
        <v>418</v>
      </c>
      <c r="CW493" s="0" t="s">
        <v>3584</v>
      </c>
      <c r="CX493" s="0" t="s">
        <v>419</v>
      </c>
      <c r="CY493" s="0" t="s">
        <v>418</v>
      </c>
      <c r="CZ493" s="0" t="s">
        <v>3585</v>
      </c>
      <c r="DA493" s="0" t="s">
        <v>3586</v>
      </c>
      <c r="DB493" s="0" t="s">
        <v>3584</v>
      </c>
      <c r="DC493" s="0" t="s">
        <v>362</v>
      </c>
      <c r="DD493" s="0" t="s">
        <v>3572</v>
      </c>
      <c r="DE493" s="0" t="s">
        <v>4964</v>
      </c>
    </row>
    <row customHeight="1" ht="11.25">
      <c r="A494" s="1353" t="s">
        <v>228</v>
      </c>
      <c r="B494" s="0" t="s">
        <v>228</v>
      </c>
      <c r="C494" s="0" t="s">
        <v>228</v>
      </c>
      <c r="D494" s="0" t="s">
        <v>228</v>
      </c>
      <c r="E494" s="0" t="s">
        <v>228</v>
      </c>
      <c r="F494" s="0" t="s">
        <v>228</v>
      </c>
      <c r="G494" s="0" t="s">
        <v>228</v>
      </c>
      <c r="H494" s="0" t="s">
        <v>228</v>
      </c>
      <c r="I494" s="0" t="s">
        <v>3555</v>
      </c>
      <c r="J494" s="0" t="s">
        <v>228</v>
      </c>
      <c r="K494" s="0" t="s">
        <v>228</v>
      </c>
      <c r="L494" s="0" t="s">
        <v>228</v>
      </c>
      <c r="M494" s="0" t="s">
        <v>228</v>
      </c>
      <c r="N494" s="0" t="s">
        <v>228</v>
      </c>
      <c r="O494" s="0" t="s">
        <v>228</v>
      </c>
      <c r="P494" s="0" t="s">
        <v>228</v>
      </c>
      <c r="Q494" s="0" t="s">
        <v>228</v>
      </c>
      <c r="R494" s="0" t="s">
        <v>3684</v>
      </c>
      <c r="S494" s="0" t="s">
        <v>228</v>
      </c>
      <c r="T494" s="0" t="s">
        <v>228</v>
      </c>
      <c r="U494" s="0" t="s">
        <v>101</v>
      </c>
      <c r="V494" s="0" t="s">
        <v>228</v>
      </c>
      <c r="W494" s="0" t="s">
        <v>228</v>
      </c>
      <c r="X494" s="0" t="s">
        <v>3557</v>
      </c>
      <c r="Y494" s="0" t="s">
        <v>228</v>
      </c>
      <c r="Z494" s="0" t="s">
        <v>160</v>
      </c>
      <c r="AA494" s="0" t="s">
        <v>151</v>
      </c>
      <c r="AB494" s="0" t="s">
        <v>151</v>
      </c>
      <c r="AC494" s="0" t="s">
        <v>2311</v>
      </c>
      <c r="AD494" s="0" t="s">
        <v>2311</v>
      </c>
      <c r="AE494" s="0" t="s">
        <v>2312</v>
      </c>
      <c r="AF494" s="0" t="s">
        <v>3685</v>
      </c>
      <c r="AG494" s="0" t="s">
        <v>3686</v>
      </c>
      <c r="AH494" s="0" t="s">
        <v>3687</v>
      </c>
      <c r="AI494" s="0" t="s">
        <v>3688</v>
      </c>
      <c r="AJ494" s="0" t="s">
        <v>3579</v>
      </c>
      <c r="AK494" s="0" t="s">
        <v>3580</v>
      </c>
      <c r="AL494" s="0" t="s">
        <v>3681</v>
      </c>
      <c r="AM494" s="0" t="s">
        <v>3565</v>
      </c>
      <c r="AN494" s="0" t="s">
        <v>3582</v>
      </c>
      <c r="AO494" s="0" t="s">
        <v>3689</v>
      </c>
      <c r="AP494" s="0" t="s">
        <v>228</v>
      </c>
      <c r="AQ494" s="0" t="s">
        <v>228</v>
      </c>
      <c r="AR494" s="0" t="s">
        <v>228</v>
      </c>
      <c r="AS494" s="0" t="s">
        <v>228</v>
      </c>
      <c r="AT494" s="0" t="s">
        <v>228</v>
      </c>
      <c r="AU494" s="0" t="s">
        <v>228</v>
      </c>
      <c r="AV494" s="0" t="s">
        <v>228</v>
      </c>
      <c r="AW494" s="0" t="s">
        <v>228</v>
      </c>
      <c r="AX494" s="0" t="s">
        <v>228</v>
      </c>
      <c r="AY494" s="0" t="s">
        <v>228</v>
      </c>
      <c r="AZ494" s="0" t="s">
        <v>228</v>
      </c>
      <c r="BA494" s="0" t="s">
        <v>228</v>
      </c>
      <c r="BB494" s="0" t="s">
        <v>228</v>
      </c>
      <c r="BC494" s="0" t="s">
        <v>228</v>
      </c>
      <c r="BD494" s="0" t="s">
        <v>228</v>
      </c>
      <c r="BE494" s="0" t="s">
        <v>228</v>
      </c>
      <c r="BF494" s="0" t="s">
        <v>228</v>
      </c>
      <c r="BG494" s="0" t="s">
        <v>228</v>
      </c>
      <c r="BH494" s="0" t="s">
        <v>228</v>
      </c>
      <c r="BI494" s="0" t="s">
        <v>228</v>
      </c>
      <c r="BJ494" s="0" t="s">
        <v>228</v>
      </c>
      <c r="BK494" s="0" t="s">
        <v>228</v>
      </c>
      <c r="BL494" s="0" t="s">
        <v>228</v>
      </c>
      <c r="BM494" s="0" t="s">
        <v>228</v>
      </c>
      <c r="BN494" s="0" t="s">
        <v>228</v>
      </c>
      <c r="BO494" s="0" t="s">
        <v>228</v>
      </c>
      <c r="BP494" s="0" t="s">
        <v>228</v>
      </c>
      <c r="BQ494" s="0" t="s">
        <v>228</v>
      </c>
      <c r="BR494" s="0" t="s">
        <v>228</v>
      </c>
      <c r="BS494" s="0" t="s">
        <v>228</v>
      </c>
      <c r="BT494" s="0" t="s">
        <v>228</v>
      </c>
      <c r="BU494" s="0" t="s">
        <v>228</v>
      </c>
      <c r="BV494" s="0" t="s">
        <v>228</v>
      </c>
      <c r="BW494" s="0" t="s">
        <v>228</v>
      </c>
      <c r="BX494" s="0" t="s">
        <v>228</v>
      </c>
      <c r="BY494" s="0" t="s">
        <v>228</v>
      </c>
      <c r="BZ494" s="0" t="s">
        <v>228</v>
      </c>
      <c r="CA494" s="0" t="s">
        <v>228</v>
      </c>
      <c r="CB494" s="0" t="s">
        <v>228</v>
      </c>
      <c r="CC494" s="0" t="s">
        <v>228</v>
      </c>
      <c r="CD494" s="0" t="s">
        <v>228</v>
      </c>
      <c r="CE494" s="0" t="s">
        <v>228</v>
      </c>
      <c r="CF494" s="0" t="s">
        <v>228</v>
      </c>
      <c r="CG494" s="0" t="s">
        <v>228</v>
      </c>
      <c r="CH494" s="0" t="s">
        <v>228</v>
      </c>
      <c r="CI494" s="0" t="s">
        <v>228</v>
      </c>
      <c r="CJ494" s="0" t="s">
        <v>228</v>
      </c>
      <c r="CK494" s="0" t="s">
        <v>228</v>
      </c>
      <c r="CL494" s="0" t="s">
        <v>228</v>
      </c>
      <c r="CM494" s="0" t="s">
        <v>228</v>
      </c>
      <c r="CN494" s="0" t="s">
        <v>228</v>
      </c>
      <c r="CO494" s="0" t="s">
        <v>228</v>
      </c>
      <c r="CP494" s="0" t="s">
        <v>228</v>
      </c>
      <c r="CQ494" s="0" t="s">
        <v>228</v>
      </c>
      <c r="CR494" s="0" t="s">
        <v>228</v>
      </c>
      <c r="CS494" s="0" t="s">
        <v>228</v>
      </c>
      <c r="CT494" s="0" t="s">
        <v>3568</v>
      </c>
      <c r="CU494" s="0" t="s">
        <v>3569</v>
      </c>
      <c r="CV494" s="0" t="s">
        <v>418</v>
      </c>
      <c r="CW494" s="0" t="s">
        <v>3584</v>
      </c>
      <c r="CX494" s="0" t="s">
        <v>419</v>
      </c>
      <c r="CY494" s="0" t="s">
        <v>418</v>
      </c>
      <c r="CZ494" s="0" t="s">
        <v>3585</v>
      </c>
      <c r="DA494" s="0" t="s">
        <v>3586</v>
      </c>
      <c r="DB494" s="0" t="s">
        <v>3584</v>
      </c>
      <c r="DC494" s="0" t="s">
        <v>362</v>
      </c>
      <c r="DD494" s="0" t="s">
        <v>3572</v>
      </c>
      <c r="DE494" s="0" t="s">
        <v>3690</v>
      </c>
    </row>
    <row customHeight="1" ht="11.25">
      <c r="A495" s="1353" t="s">
        <v>228</v>
      </c>
      <c r="B495" s="0" t="s">
        <v>228</v>
      </c>
      <c r="C495" s="0" t="s">
        <v>228</v>
      </c>
      <c r="D495" s="0" t="s">
        <v>228</v>
      </c>
      <c r="E495" s="0" t="s">
        <v>228</v>
      </c>
      <c r="F495" s="0" t="s">
        <v>228</v>
      </c>
      <c r="G495" s="0" t="s">
        <v>228</v>
      </c>
      <c r="H495" s="0" t="s">
        <v>228</v>
      </c>
      <c r="I495" s="0" t="s">
        <v>3555</v>
      </c>
      <c r="J495" s="0" t="s">
        <v>228</v>
      </c>
      <c r="K495" s="0" t="s">
        <v>228</v>
      </c>
      <c r="L495" s="0" t="s">
        <v>228</v>
      </c>
      <c r="M495" s="0" t="s">
        <v>228</v>
      </c>
      <c r="N495" s="0" t="s">
        <v>228</v>
      </c>
      <c r="O495" s="0" t="s">
        <v>228</v>
      </c>
      <c r="P495" s="0" t="s">
        <v>228</v>
      </c>
      <c r="Q495" s="0" t="s">
        <v>228</v>
      </c>
      <c r="R495" s="0" t="s">
        <v>3684</v>
      </c>
      <c r="S495" s="0" t="s">
        <v>228</v>
      </c>
      <c r="T495" s="0" t="s">
        <v>228</v>
      </c>
      <c r="U495" s="0" t="s">
        <v>101</v>
      </c>
      <c r="V495" s="0" t="s">
        <v>228</v>
      </c>
      <c r="W495" s="0" t="s">
        <v>228</v>
      </c>
      <c r="X495" s="0" t="s">
        <v>3557</v>
      </c>
      <c r="Y495" s="0" t="s">
        <v>228</v>
      </c>
      <c r="Z495" s="0" t="s">
        <v>160</v>
      </c>
      <c r="AA495" s="0" t="s">
        <v>151</v>
      </c>
      <c r="AB495" s="0" t="s">
        <v>151</v>
      </c>
      <c r="AC495" s="0" t="s">
        <v>2311</v>
      </c>
      <c r="AD495" s="0" t="s">
        <v>2311</v>
      </c>
      <c r="AE495" s="0" t="s">
        <v>2312</v>
      </c>
      <c r="AF495" s="0" t="s">
        <v>3691</v>
      </c>
      <c r="AG495" s="0" t="s">
        <v>3692</v>
      </c>
      <c r="AH495" s="0" t="s">
        <v>3693</v>
      </c>
      <c r="AI495" s="0" t="s">
        <v>3694</v>
      </c>
      <c r="AJ495" s="0" t="s">
        <v>3579</v>
      </c>
      <c r="AK495" s="0" t="s">
        <v>3627</v>
      </c>
      <c r="AL495" s="0" t="s">
        <v>3681</v>
      </c>
      <c r="AM495" s="0" t="s">
        <v>3565</v>
      </c>
      <c r="AN495" s="0" t="s">
        <v>3582</v>
      </c>
      <c r="AO495" s="0" t="s">
        <v>3695</v>
      </c>
      <c r="AP495" s="0" t="s">
        <v>228</v>
      </c>
      <c r="AQ495" s="0" t="s">
        <v>228</v>
      </c>
      <c r="AR495" s="0" t="s">
        <v>228</v>
      </c>
      <c r="AS495" s="0" t="s">
        <v>228</v>
      </c>
      <c r="AT495" s="0" t="s">
        <v>228</v>
      </c>
      <c r="AU495" s="0" t="s">
        <v>228</v>
      </c>
      <c r="AV495" s="0" t="s">
        <v>228</v>
      </c>
      <c r="AW495" s="0" t="s">
        <v>228</v>
      </c>
      <c r="AX495" s="0" t="s">
        <v>228</v>
      </c>
      <c r="AY495" s="0" t="s">
        <v>228</v>
      </c>
      <c r="AZ495" s="0" t="s">
        <v>228</v>
      </c>
      <c r="BA495" s="0" t="s">
        <v>228</v>
      </c>
      <c r="BB495" s="0" t="s">
        <v>228</v>
      </c>
      <c r="BC495" s="0" t="s">
        <v>228</v>
      </c>
      <c r="BD495" s="0" t="s">
        <v>228</v>
      </c>
      <c r="BE495" s="0" t="s">
        <v>228</v>
      </c>
      <c r="BF495" s="0" t="s">
        <v>228</v>
      </c>
      <c r="BG495" s="0" t="s">
        <v>228</v>
      </c>
      <c r="BH495" s="0" t="s">
        <v>228</v>
      </c>
      <c r="BI495" s="0" t="s">
        <v>228</v>
      </c>
      <c r="BJ495" s="0" t="s">
        <v>228</v>
      </c>
      <c r="BK495" s="0" t="s">
        <v>228</v>
      </c>
      <c r="BL495" s="0" t="s">
        <v>228</v>
      </c>
      <c r="BM495" s="0" t="s">
        <v>228</v>
      </c>
      <c r="BN495" s="0" t="s">
        <v>228</v>
      </c>
      <c r="BO495" s="0" t="s">
        <v>228</v>
      </c>
      <c r="BP495" s="0" t="s">
        <v>228</v>
      </c>
      <c r="BQ495" s="0" t="s">
        <v>228</v>
      </c>
      <c r="BR495" s="0" t="s">
        <v>228</v>
      </c>
      <c r="BS495" s="0" t="s">
        <v>228</v>
      </c>
      <c r="BT495" s="0" t="s">
        <v>228</v>
      </c>
      <c r="BU495" s="0" t="s">
        <v>228</v>
      </c>
      <c r="BV495" s="0" t="s">
        <v>228</v>
      </c>
      <c r="BW495" s="0" t="s">
        <v>228</v>
      </c>
      <c r="BX495" s="0" t="s">
        <v>228</v>
      </c>
      <c r="BY495" s="0" t="s">
        <v>228</v>
      </c>
      <c r="BZ495" s="0" t="s">
        <v>228</v>
      </c>
      <c r="CA495" s="0" t="s">
        <v>228</v>
      </c>
      <c r="CB495" s="0" t="s">
        <v>228</v>
      </c>
      <c r="CC495" s="0" t="s">
        <v>228</v>
      </c>
      <c r="CD495" s="0" t="s">
        <v>228</v>
      </c>
      <c r="CE495" s="0" t="s">
        <v>228</v>
      </c>
      <c r="CF495" s="0" t="s">
        <v>228</v>
      </c>
      <c r="CG495" s="0" t="s">
        <v>228</v>
      </c>
      <c r="CH495" s="0" t="s">
        <v>228</v>
      </c>
      <c r="CI495" s="0" t="s">
        <v>228</v>
      </c>
      <c r="CJ495" s="0" t="s">
        <v>228</v>
      </c>
      <c r="CK495" s="0" t="s">
        <v>228</v>
      </c>
      <c r="CL495" s="0" t="s">
        <v>228</v>
      </c>
      <c r="CM495" s="0" t="s">
        <v>228</v>
      </c>
      <c r="CN495" s="0" t="s">
        <v>228</v>
      </c>
      <c r="CO495" s="0" t="s">
        <v>228</v>
      </c>
      <c r="CP495" s="0" t="s">
        <v>228</v>
      </c>
      <c r="CQ495" s="0" t="s">
        <v>228</v>
      </c>
      <c r="CR495" s="0" t="s">
        <v>228</v>
      </c>
      <c r="CS495" s="0" t="s">
        <v>228</v>
      </c>
      <c r="CT495" s="0" t="s">
        <v>3568</v>
      </c>
      <c r="CU495" s="0" t="s">
        <v>3569</v>
      </c>
      <c r="CV495" s="0" t="s">
        <v>418</v>
      </c>
      <c r="CW495" s="0" t="s">
        <v>3584</v>
      </c>
      <c r="CX495" s="0" t="s">
        <v>419</v>
      </c>
      <c r="CY495" s="0" t="s">
        <v>418</v>
      </c>
      <c r="CZ495" s="0" t="s">
        <v>3585</v>
      </c>
      <c r="DA495" s="0" t="s">
        <v>3586</v>
      </c>
      <c r="DB495" s="0" t="s">
        <v>3584</v>
      </c>
      <c r="DC495" s="0" t="s">
        <v>362</v>
      </c>
      <c r="DD495" s="0" t="s">
        <v>3572</v>
      </c>
      <c r="DE495" s="0" t="s">
        <v>3696</v>
      </c>
    </row>
    <row customHeight="1" ht="11.25">
      <c r="A496" s="1353" t="s">
        <v>228</v>
      </c>
      <c r="B496" s="0" t="s">
        <v>228</v>
      </c>
      <c r="C496" s="0" t="s">
        <v>228</v>
      </c>
      <c r="D496" s="0" t="s">
        <v>228</v>
      </c>
      <c r="E496" s="0" t="s">
        <v>228</v>
      </c>
      <c r="F496" s="0" t="s">
        <v>228</v>
      </c>
      <c r="G496" s="0" t="s">
        <v>228</v>
      </c>
      <c r="H496" s="0" t="s">
        <v>228</v>
      </c>
      <c r="I496" s="0" t="s">
        <v>3555</v>
      </c>
      <c r="J496" s="0" t="s">
        <v>228</v>
      </c>
      <c r="K496" s="0" t="s">
        <v>228</v>
      </c>
      <c r="L496" s="0" t="s">
        <v>228</v>
      </c>
      <c r="M496" s="0" t="s">
        <v>228</v>
      </c>
      <c r="N496" s="0" t="s">
        <v>228</v>
      </c>
      <c r="O496" s="0" t="s">
        <v>228</v>
      </c>
      <c r="P496" s="0" t="s">
        <v>228</v>
      </c>
      <c r="Q496" s="0" t="s">
        <v>228</v>
      </c>
      <c r="R496" s="0" t="s">
        <v>3718</v>
      </c>
      <c r="S496" s="0" t="s">
        <v>228</v>
      </c>
      <c r="T496" s="0" t="s">
        <v>228</v>
      </c>
      <c r="U496" s="0" t="s">
        <v>101</v>
      </c>
      <c r="V496" s="0" t="s">
        <v>228</v>
      </c>
      <c r="W496" s="0" t="s">
        <v>228</v>
      </c>
      <c r="X496" s="0" t="s">
        <v>3661</v>
      </c>
      <c r="Y496" s="0" t="s">
        <v>228</v>
      </c>
      <c r="Z496" s="0" t="s">
        <v>151</v>
      </c>
      <c r="AA496" s="0" t="s">
        <v>151</v>
      </c>
      <c r="AB496" s="0" t="s">
        <v>160</v>
      </c>
      <c r="AC496" s="0" t="s">
        <v>2311</v>
      </c>
      <c r="AD496" s="0" t="s">
        <v>2311</v>
      </c>
      <c r="AE496" s="0" t="s">
        <v>2312</v>
      </c>
      <c r="AF496" s="0" t="s">
        <v>4034</v>
      </c>
      <c r="AG496" s="0" t="s">
        <v>4035</v>
      </c>
      <c r="AH496" s="0" t="s">
        <v>4036</v>
      </c>
      <c r="AI496" s="0" t="s">
        <v>3721</v>
      </c>
      <c r="AJ496" s="0" t="s">
        <v>228</v>
      </c>
      <c r="AK496" s="0" t="s">
        <v>228</v>
      </c>
      <c r="AL496" s="0" t="s">
        <v>228</v>
      </c>
      <c r="AM496" s="0" t="s">
        <v>228</v>
      </c>
      <c r="AN496" s="0" t="s">
        <v>228</v>
      </c>
      <c r="AO496" s="0" t="s">
        <v>228</v>
      </c>
      <c r="AP496" s="0" t="s">
        <v>228</v>
      </c>
      <c r="AQ496" s="0" t="s">
        <v>228</v>
      </c>
      <c r="AR496" s="0" t="s">
        <v>228</v>
      </c>
      <c r="AS496" s="0" t="s">
        <v>228</v>
      </c>
      <c r="AT496" s="0" t="s">
        <v>228</v>
      </c>
      <c r="AU496" s="0" t="s">
        <v>228</v>
      </c>
      <c r="AV496" s="0" t="s">
        <v>228</v>
      </c>
      <c r="AW496" s="0" t="s">
        <v>228</v>
      </c>
      <c r="AX496" s="0" t="s">
        <v>228</v>
      </c>
      <c r="AY496" s="0" t="s">
        <v>228</v>
      </c>
      <c r="AZ496" s="0" t="s">
        <v>228</v>
      </c>
      <c r="BA496" s="0" t="s">
        <v>228</v>
      </c>
      <c r="BB496" s="0" t="s">
        <v>228</v>
      </c>
      <c r="BC496" s="0" t="s">
        <v>228</v>
      </c>
      <c r="BD496" s="0" t="s">
        <v>228</v>
      </c>
      <c r="BE496" s="0" t="s">
        <v>3722</v>
      </c>
      <c r="BF496" s="0" t="s">
        <v>3722</v>
      </c>
      <c r="BG496" s="0" t="s">
        <v>111</v>
      </c>
      <c r="BH496" s="0" t="s">
        <v>3665</v>
      </c>
      <c r="BI496" s="0" t="s">
        <v>122</v>
      </c>
      <c r="BJ496" s="0" t="s">
        <v>228</v>
      </c>
      <c r="BK496" s="0" t="s">
        <v>4037</v>
      </c>
      <c r="BL496" s="0" t="s">
        <v>2311</v>
      </c>
      <c r="BM496" s="0" t="s">
        <v>2311</v>
      </c>
      <c r="BN496" s="0" t="s">
        <v>3723</v>
      </c>
      <c r="BO496" s="0" t="s">
        <v>4034</v>
      </c>
      <c r="BP496" s="0" t="s">
        <v>4038</v>
      </c>
      <c r="BQ496" s="0" t="s">
        <v>4039</v>
      </c>
      <c r="BR496" s="0" t="s">
        <v>3626</v>
      </c>
      <c r="BS496" s="0" t="s">
        <v>228</v>
      </c>
      <c r="BT496" s="0" t="s">
        <v>3727</v>
      </c>
      <c r="BU496" s="0" t="s">
        <v>4040</v>
      </c>
      <c r="BV496" s="0" t="s">
        <v>4040</v>
      </c>
      <c r="BW496" s="0" t="s">
        <v>3674</v>
      </c>
      <c r="BX496" s="0" t="s">
        <v>3674</v>
      </c>
      <c r="BY496" s="0" t="s">
        <v>3674</v>
      </c>
      <c r="BZ496" s="0" t="s">
        <v>3674</v>
      </c>
      <c r="CA496" s="0" t="s">
        <v>3674</v>
      </c>
      <c r="CB496" s="0" t="s">
        <v>228</v>
      </c>
      <c r="CC496" s="0" t="s">
        <v>228</v>
      </c>
      <c r="CD496" s="0" t="s">
        <v>228</v>
      </c>
      <c r="CE496" s="0" t="s">
        <v>228</v>
      </c>
      <c r="CF496" s="0" t="s">
        <v>228</v>
      </c>
      <c r="CG496" s="0" t="s">
        <v>3674</v>
      </c>
      <c r="CH496" s="0" t="s">
        <v>228</v>
      </c>
      <c r="CI496" s="0" t="s">
        <v>228</v>
      </c>
      <c r="CJ496" s="0" t="s">
        <v>228</v>
      </c>
      <c r="CK496" s="0" t="s">
        <v>228</v>
      </c>
      <c r="CL496" s="0" t="s">
        <v>228</v>
      </c>
      <c r="CM496" s="0" t="s">
        <v>4040</v>
      </c>
      <c r="CN496" s="0" t="s">
        <v>4040</v>
      </c>
      <c r="CO496" s="0" t="s">
        <v>228</v>
      </c>
      <c r="CP496" s="0" t="s">
        <v>228</v>
      </c>
      <c r="CQ496" s="0" t="s">
        <v>228</v>
      </c>
      <c r="CR496" s="0" t="s">
        <v>228</v>
      </c>
      <c r="CS496" s="0" t="s">
        <v>3582</v>
      </c>
      <c r="CT496" s="0" t="s">
        <v>3568</v>
      </c>
      <c r="CU496" s="0" t="s">
        <v>3569</v>
      </c>
      <c r="CV496" s="0" t="s">
        <v>418</v>
      </c>
      <c r="CW496" s="0" t="s">
        <v>3584</v>
      </c>
      <c r="CX496" s="0" t="s">
        <v>419</v>
      </c>
      <c r="CY496" s="0" t="s">
        <v>418</v>
      </c>
      <c r="CZ496" s="0" t="s">
        <v>3585</v>
      </c>
      <c r="DA496" s="0" t="s">
        <v>3586</v>
      </c>
      <c r="DB496" s="0" t="s">
        <v>3584</v>
      </c>
      <c r="DC496" s="0" t="s">
        <v>362</v>
      </c>
      <c r="DD496" s="0" t="s">
        <v>3572</v>
      </c>
      <c r="DE496" s="0" t="s">
        <v>4041</v>
      </c>
    </row>
    <row customHeight="1" ht="11.25">
      <c r="A497" s="1353" t="s">
        <v>228</v>
      </c>
      <c r="B497" s="0" t="s">
        <v>228</v>
      </c>
      <c r="C497" s="0" t="s">
        <v>228</v>
      </c>
      <c r="D497" s="0" t="s">
        <v>228</v>
      </c>
      <c r="E497" s="0" t="s">
        <v>228</v>
      </c>
      <c r="F497" s="0" t="s">
        <v>228</v>
      </c>
      <c r="G497" s="0" t="s">
        <v>228</v>
      </c>
      <c r="H497" s="0" t="s">
        <v>228</v>
      </c>
      <c r="I497" s="0" t="s">
        <v>3555</v>
      </c>
      <c r="J497" s="0" t="s">
        <v>228</v>
      </c>
      <c r="K497" s="0" t="s">
        <v>228</v>
      </c>
      <c r="L497" s="0" t="s">
        <v>228</v>
      </c>
      <c r="M497" s="0" t="s">
        <v>228</v>
      </c>
      <c r="N497" s="0" t="s">
        <v>228</v>
      </c>
      <c r="O497" s="0" t="s">
        <v>228</v>
      </c>
      <c r="P497" s="0" t="s">
        <v>228</v>
      </c>
      <c r="Q497" s="0" t="s">
        <v>228</v>
      </c>
      <c r="R497" s="0" t="s">
        <v>4309</v>
      </c>
      <c r="S497" s="0" t="s">
        <v>228</v>
      </c>
      <c r="T497" s="0" t="s">
        <v>228</v>
      </c>
      <c r="U497" s="0" t="s">
        <v>101</v>
      </c>
      <c r="V497" s="0" t="s">
        <v>228</v>
      </c>
      <c r="W497" s="0" t="s">
        <v>228</v>
      </c>
      <c r="X497" s="0" t="s">
        <v>3661</v>
      </c>
      <c r="Y497" s="0" t="s">
        <v>228</v>
      </c>
      <c r="Z497" s="0" t="s">
        <v>151</v>
      </c>
      <c r="AA497" s="0" t="s">
        <v>151</v>
      </c>
      <c r="AB497" s="0" t="s">
        <v>160</v>
      </c>
      <c r="AC497" s="0" t="s">
        <v>2311</v>
      </c>
      <c r="AD497" s="0" t="s">
        <v>2311</v>
      </c>
      <c r="AE497" s="0" t="s">
        <v>2312</v>
      </c>
      <c r="AF497" s="0" t="s">
        <v>4034</v>
      </c>
      <c r="AG497" s="0" t="s">
        <v>4035</v>
      </c>
      <c r="AH497" s="0" t="s">
        <v>4034</v>
      </c>
      <c r="AI497" s="0" t="s">
        <v>3721</v>
      </c>
      <c r="AJ497" s="0" t="s">
        <v>228</v>
      </c>
      <c r="AK497" s="0" t="s">
        <v>228</v>
      </c>
      <c r="AL497" s="0" t="s">
        <v>228</v>
      </c>
      <c r="AM497" s="0" t="s">
        <v>228</v>
      </c>
      <c r="AN497" s="0" t="s">
        <v>228</v>
      </c>
      <c r="AO497" s="0" t="s">
        <v>228</v>
      </c>
      <c r="AP497" s="0" t="s">
        <v>228</v>
      </c>
      <c r="AQ497" s="0" t="s">
        <v>228</v>
      </c>
      <c r="AR497" s="0" t="s">
        <v>228</v>
      </c>
      <c r="AS497" s="0" t="s">
        <v>228</v>
      </c>
      <c r="AT497" s="0" t="s">
        <v>228</v>
      </c>
      <c r="AU497" s="0" t="s">
        <v>228</v>
      </c>
      <c r="AV497" s="0" t="s">
        <v>228</v>
      </c>
      <c r="AW497" s="0" t="s">
        <v>228</v>
      </c>
      <c r="AX497" s="0" t="s">
        <v>228</v>
      </c>
      <c r="AY497" s="0" t="s">
        <v>228</v>
      </c>
      <c r="AZ497" s="0" t="s">
        <v>228</v>
      </c>
      <c r="BA497" s="0" t="s">
        <v>228</v>
      </c>
      <c r="BB497" s="0" t="s">
        <v>228</v>
      </c>
      <c r="BC497" s="0" t="s">
        <v>228</v>
      </c>
      <c r="BD497" s="0" t="s">
        <v>228</v>
      </c>
      <c r="BE497" s="0" t="s">
        <v>3722</v>
      </c>
      <c r="BF497" s="0" t="s">
        <v>3722</v>
      </c>
      <c r="BG497" s="0" t="s">
        <v>111</v>
      </c>
      <c r="BH497" s="0" t="s">
        <v>3665</v>
      </c>
      <c r="BI497" s="0" t="s">
        <v>122</v>
      </c>
      <c r="BJ497" s="0" t="s">
        <v>228</v>
      </c>
      <c r="BK497" s="0" t="s">
        <v>3684</v>
      </c>
      <c r="BL497" s="0" t="s">
        <v>2311</v>
      </c>
      <c r="BM497" s="0" t="s">
        <v>2311</v>
      </c>
      <c r="BN497" s="0" t="s">
        <v>3723</v>
      </c>
      <c r="BO497" s="0" t="s">
        <v>4034</v>
      </c>
      <c r="BP497" s="0" t="s">
        <v>4038</v>
      </c>
      <c r="BQ497" s="0" t="s">
        <v>4310</v>
      </c>
      <c r="BR497" s="0" t="s">
        <v>4311</v>
      </c>
      <c r="BS497" s="0" t="s">
        <v>228</v>
      </c>
      <c r="BT497" s="0" t="s">
        <v>3727</v>
      </c>
      <c r="BU497" s="0" t="s">
        <v>4312</v>
      </c>
      <c r="BV497" s="0" t="s">
        <v>4312</v>
      </c>
      <c r="BW497" s="0" t="s">
        <v>3674</v>
      </c>
      <c r="BX497" s="0" t="s">
        <v>3674</v>
      </c>
      <c r="BY497" s="0" t="s">
        <v>3674</v>
      </c>
      <c r="BZ497" s="0" t="s">
        <v>3674</v>
      </c>
      <c r="CA497" s="0" t="s">
        <v>3674</v>
      </c>
      <c r="CB497" s="0" t="s">
        <v>228</v>
      </c>
      <c r="CC497" s="0" t="s">
        <v>228</v>
      </c>
      <c r="CD497" s="0" t="s">
        <v>228</v>
      </c>
      <c r="CE497" s="0" t="s">
        <v>228</v>
      </c>
      <c r="CF497" s="0" t="s">
        <v>228</v>
      </c>
      <c r="CG497" s="0" t="s">
        <v>3674</v>
      </c>
      <c r="CH497" s="0" t="s">
        <v>228</v>
      </c>
      <c r="CI497" s="0" t="s">
        <v>228</v>
      </c>
      <c r="CJ497" s="0" t="s">
        <v>228</v>
      </c>
      <c r="CK497" s="0" t="s">
        <v>228</v>
      </c>
      <c r="CL497" s="0" t="s">
        <v>228</v>
      </c>
      <c r="CM497" s="0" t="s">
        <v>4312</v>
      </c>
      <c r="CN497" s="0" t="s">
        <v>4312</v>
      </c>
      <c r="CO497" s="0" t="s">
        <v>228</v>
      </c>
      <c r="CP497" s="0" t="s">
        <v>228</v>
      </c>
      <c r="CQ497" s="0" t="s">
        <v>228</v>
      </c>
      <c r="CR497" s="0" t="s">
        <v>228</v>
      </c>
      <c r="CS497" s="0" t="s">
        <v>3582</v>
      </c>
      <c r="CT497" s="0" t="s">
        <v>3568</v>
      </c>
      <c r="CU497" s="0" t="s">
        <v>3569</v>
      </c>
      <c r="CV497" s="0" t="s">
        <v>418</v>
      </c>
      <c r="CW497" s="0" t="s">
        <v>3584</v>
      </c>
      <c r="CX497" s="0" t="s">
        <v>419</v>
      </c>
      <c r="CY497" s="0" t="s">
        <v>418</v>
      </c>
      <c r="CZ497" s="0" t="s">
        <v>3585</v>
      </c>
      <c r="DA497" s="0" t="s">
        <v>3586</v>
      </c>
      <c r="DB497" s="0" t="s">
        <v>3584</v>
      </c>
      <c r="DC497" s="0" t="s">
        <v>362</v>
      </c>
      <c r="DD497" s="0" t="s">
        <v>3572</v>
      </c>
      <c r="DE497" s="0" t="s">
        <v>4043</v>
      </c>
    </row>
    <row customHeight="1" ht="11.25">
      <c r="A498" s="1353" t="s">
        <v>228</v>
      </c>
      <c r="B498" s="0" t="s">
        <v>228</v>
      </c>
      <c r="C498" s="0" t="s">
        <v>228</v>
      </c>
      <c r="D498" s="0" t="s">
        <v>228</v>
      </c>
      <c r="E498" s="0" t="s">
        <v>228</v>
      </c>
      <c r="F498" s="0" t="s">
        <v>228</v>
      </c>
      <c r="G498" s="0" t="s">
        <v>228</v>
      </c>
      <c r="H498" s="0" t="s">
        <v>228</v>
      </c>
      <c r="I498" s="0" t="s">
        <v>3555</v>
      </c>
      <c r="J498" s="0" t="s">
        <v>228</v>
      </c>
      <c r="K498" s="0" t="s">
        <v>228</v>
      </c>
      <c r="L498" s="0" t="s">
        <v>228</v>
      </c>
      <c r="M498" s="0" t="s">
        <v>228</v>
      </c>
      <c r="N498" s="0" t="s">
        <v>228</v>
      </c>
      <c r="O498" s="0" t="s">
        <v>228</v>
      </c>
      <c r="P498" s="0" t="s">
        <v>228</v>
      </c>
      <c r="Q498" s="0" t="s">
        <v>228</v>
      </c>
      <c r="R498" s="0" t="s">
        <v>3718</v>
      </c>
      <c r="S498" s="0" t="s">
        <v>228</v>
      </c>
      <c r="T498" s="0" t="s">
        <v>228</v>
      </c>
      <c r="U498" s="0" t="s">
        <v>101</v>
      </c>
      <c r="V498" s="0" t="s">
        <v>228</v>
      </c>
      <c r="W498" s="0" t="s">
        <v>228</v>
      </c>
      <c r="X498" s="0" t="s">
        <v>3661</v>
      </c>
      <c r="Y498" s="0" t="s">
        <v>228</v>
      </c>
      <c r="Z498" s="0" t="s">
        <v>151</v>
      </c>
      <c r="AA498" s="0" t="s">
        <v>151</v>
      </c>
      <c r="AB498" s="0" t="s">
        <v>160</v>
      </c>
      <c r="AC498" s="0" t="s">
        <v>2311</v>
      </c>
      <c r="AD498" s="0" t="s">
        <v>2311</v>
      </c>
      <c r="AE498" s="0" t="s">
        <v>2312</v>
      </c>
      <c r="AF498" s="0" t="s">
        <v>4313</v>
      </c>
      <c r="AG498" s="0" t="s">
        <v>4314</v>
      </c>
      <c r="AH498" s="0" t="s">
        <v>4313</v>
      </c>
      <c r="AI498" s="0" t="s">
        <v>3721</v>
      </c>
      <c r="AJ498" s="0" t="s">
        <v>228</v>
      </c>
      <c r="AK498" s="0" t="s">
        <v>228</v>
      </c>
      <c r="AL498" s="0" t="s">
        <v>228</v>
      </c>
      <c r="AM498" s="0" t="s">
        <v>228</v>
      </c>
      <c r="AN498" s="0" t="s">
        <v>228</v>
      </c>
      <c r="AO498" s="0" t="s">
        <v>228</v>
      </c>
      <c r="AP498" s="0" t="s">
        <v>228</v>
      </c>
      <c r="AQ498" s="0" t="s">
        <v>228</v>
      </c>
      <c r="AR498" s="0" t="s">
        <v>228</v>
      </c>
      <c r="AS498" s="0" t="s">
        <v>228</v>
      </c>
      <c r="AT498" s="0" t="s">
        <v>228</v>
      </c>
      <c r="AU498" s="0" t="s">
        <v>228</v>
      </c>
      <c r="AV498" s="0" t="s">
        <v>228</v>
      </c>
      <c r="AW498" s="0" t="s">
        <v>228</v>
      </c>
      <c r="AX498" s="0" t="s">
        <v>228</v>
      </c>
      <c r="AY498" s="0" t="s">
        <v>228</v>
      </c>
      <c r="AZ498" s="0" t="s">
        <v>228</v>
      </c>
      <c r="BA498" s="0" t="s">
        <v>228</v>
      </c>
      <c r="BB498" s="0" t="s">
        <v>228</v>
      </c>
      <c r="BC498" s="0" t="s">
        <v>228</v>
      </c>
      <c r="BD498" s="0" t="s">
        <v>228</v>
      </c>
      <c r="BE498" s="0" t="s">
        <v>3722</v>
      </c>
      <c r="BF498" s="0" t="s">
        <v>3722</v>
      </c>
      <c r="BG498" s="0" t="s">
        <v>111</v>
      </c>
      <c r="BH498" s="0" t="s">
        <v>3665</v>
      </c>
      <c r="BI498" s="0" t="s">
        <v>122</v>
      </c>
      <c r="BJ498" s="0" t="s">
        <v>228</v>
      </c>
      <c r="BK498" s="0" t="s">
        <v>3684</v>
      </c>
      <c r="BL498" s="0" t="s">
        <v>2311</v>
      </c>
      <c r="BM498" s="0" t="s">
        <v>2311</v>
      </c>
      <c r="BN498" s="0" t="s">
        <v>3723</v>
      </c>
      <c r="BO498" s="0" t="s">
        <v>4313</v>
      </c>
      <c r="BP498" s="0" t="s">
        <v>4315</v>
      </c>
      <c r="BQ498" s="0" t="s">
        <v>4316</v>
      </c>
      <c r="BR498" s="0" t="s">
        <v>4273</v>
      </c>
      <c r="BS498" s="0" t="s">
        <v>228</v>
      </c>
      <c r="BT498" s="0" t="s">
        <v>3727</v>
      </c>
      <c r="BU498" s="0" t="s">
        <v>4317</v>
      </c>
      <c r="BV498" s="0" t="s">
        <v>4317</v>
      </c>
      <c r="BW498" s="0" t="s">
        <v>3674</v>
      </c>
      <c r="BX498" s="0" t="s">
        <v>3674</v>
      </c>
      <c r="BY498" s="0" t="s">
        <v>3674</v>
      </c>
      <c r="BZ498" s="0" t="s">
        <v>3674</v>
      </c>
      <c r="CA498" s="0" t="s">
        <v>3674</v>
      </c>
      <c r="CB498" s="0" t="s">
        <v>228</v>
      </c>
      <c r="CC498" s="0" t="s">
        <v>228</v>
      </c>
      <c r="CD498" s="0" t="s">
        <v>228</v>
      </c>
      <c r="CE498" s="0" t="s">
        <v>228</v>
      </c>
      <c r="CF498" s="0" t="s">
        <v>228</v>
      </c>
      <c r="CG498" s="0" t="s">
        <v>3674</v>
      </c>
      <c r="CH498" s="0" t="s">
        <v>228</v>
      </c>
      <c r="CI498" s="0" t="s">
        <v>228</v>
      </c>
      <c r="CJ498" s="0" t="s">
        <v>228</v>
      </c>
      <c r="CK498" s="0" t="s">
        <v>228</v>
      </c>
      <c r="CL498" s="0" t="s">
        <v>228</v>
      </c>
      <c r="CM498" s="0" t="s">
        <v>4317</v>
      </c>
      <c r="CN498" s="0" t="s">
        <v>4317</v>
      </c>
      <c r="CO498" s="0" t="s">
        <v>228</v>
      </c>
      <c r="CP498" s="0" t="s">
        <v>228</v>
      </c>
      <c r="CQ498" s="0" t="s">
        <v>228</v>
      </c>
      <c r="CR498" s="0" t="s">
        <v>228</v>
      </c>
      <c r="CS498" s="0" t="s">
        <v>3582</v>
      </c>
      <c r="CT498" s="0" t="s">
        <v>3568</v>
      </c>
      <c r="CU498" s="0" t="s">
        <v>3569</v>
      </c>
      <c r="CV498" s="0" t="s">
        <v>418</v>
      </c>
      <c r="CW498" s="0" t="s">
        <v>3584</v>
      </c>
      <c r="CX498" s="0" t="s">
        <v>419</v>
      </c>
      <c r="CY498" s="0" t="s">
        <v>418</v>
      </c>
      <c r="CZ498" s="0" t="s">
        <v>3585</v>
      </c>
      <c r="DA498" s="0" t="s">
        <v>3586</v>
      </c>
      <c r="DB498" s="0" t="s">
        <v>3584</v>
      </c>
      <c r="DC498" s="0" t="s">
        <v>362</v>
      </c>
      <c r="DD498" s="0" t="s">
        <v>3572</v>
      </c>
      <c r="DE498" s="0" t="s">
        <v>4318</v>
      </c>
    </row>
    <row customHeight="1" ht="11.25">
      <c r="A499" s="1353" t="s">
        <v>228</v>
      </c>
      <c r="B499" s="0" t="s">
        <v>228</v>
      </c>
      <c r="C499" s="0" t="s">
        <v>228</v>
      </c>
      <c r="D499" s="0" t="s">
        <v>228</v>
      </c>
      <c r="E499" s="0" t="s">
        <v>228</v>
      </c>
      <c r="F499" s="0" t="s">
        <v>228</v>
      </c>
      <c r="G499" s="0" t="s">
        <v>228</v>
      </c>
      <c r="H499" s="0" t="s">
        <v>228</v>
      </c>
      <c r="I499" s="0" t="s">
        <v>3555</v>
      </c>
      <c r="J499" s="0" t="s">
        <v>228</v>
      </c>
      <c r="K499" s="0" t="s">
        <v>228</v>
      </c>
      <c r="L499" s="0" t="s">
        <v>228</v>
      </c>
      <c r="M499" s="0" t="s">
        <v>228</v>
      </c>
      <c r="N499" s="0" t="s">
        <v>228</v>
      </c>
      <c r="O499" s="0" t="s">
        <v>228</v>
      </c>
      <c r="P499" s="0" t="s">
        <v>228</v>
      </c>
      <c r="Q499" s="0" t="s">
        <v>228</v>
      </c>
      <c r="R499" s="0" t="s">
        <v>3684</v>
      </c>
      <c r="S499" s="0" t="s">
        <v>228</v>
      </c>
      <c r="T499" s="0" t="s">
        <v>228</v>
      </c>
      <c r="U499" s="0" t="s">
        <v>101</v>
      </c>
      <c r="V499" s="0" t="s">
        <v>228</v>
      </c>
      <c r="W499" s="0" t="s">
        <v>228</v>
      </c>
      <c r="X499" s="0" t="s">
        <v>3557</v>
      </c>
      <c r="Y499" s="0" t="s">
        <v>228</v>
      </c>
      <c r="Z499" s="0" t="s">
        <v>160</v>
      </c>
      <c r="AA499" s="0" t="s">
        <v>151</v>
      </c>
      <c r="AB499" s="0" t="s">
        <v>151</v>
      </c>
      <c r="AC499" s="0" t="s">
        <v>2311</v>
      </c>
      <c r="AD499" s="0" t="s">
        <v>2311</v>
      </c>
      <c r="AE499" s="0" t="s">
        <v>2312</v>
      </c>
      <c r="AF499" s="0" t="s">
        <v>4567</v>
      </c>
      <c r="AG499" s="0" t="s">
        <v>4568</v>
      </c>
      <c r="AH499" s="0" t="s">
        <v>4829</v>
      </c>
      <c r="AI499" s="0" t="s">
        <v>3721</v>
      </c>
      <c r="AJ499" s="0" t="s">
        <v>4355</v>
      </c>
      <c r="AK499" s="0" t="s">
        <v>3808</v>
      </c>
      <c r="AL499" s="0" t="s">
        <v>3681</v>
      </c>
      <c r="AM499" s="0" t="s">
        <v>3565</v>
      </c>
      <c r="AN499" s="0" t="s">
        <v>3582</v>
      </c>
      <c r="AO499" s="0" t="s">
        <v>4574</v>
      </c>
      <c r="AP499" s="0" t="s">
        <v>228</v>
      </c>
      <c r="AQ499" s="0" t="s">
        <v>228</v>
      </c>
      <c r="AR499" s="0" t="s">
        <v>228</v>
      </c>
      <c r="AS499" s="0" t="s">
        <v>228</v>
      </c>
      <c r="AT499" s="0" t="s">
        <v>228</v>
      </c>
      <c r="AU499" s="0" t="s">
        <v>228</v>
      </c>
      <c r="AV499" s="0" t="s">
        <v>228</v>
      </c>
      <c r="AW499" s="0" t="s">
        <v>228</v>
      </c>
      <c r="AX499" s="0" t="s">
        <v>228</v>
      </c>
      <c r="AY499" s="0" t="s">
        <v>228</v>
      </c>
      <c r="AZ499" s="0" t="s">
        <v>228</v>
      </c>
      <c r="BA499" s="0" t="s">
        <v>228</v>
      </c>
      <c r="BB499" s="0" t="s">
        <v>228</v>
      </c>
      <c r="BC499" s="0" t="s">
        <v>228</v>
      </c>
      <c r="BD499" s="0" t="s">
        <v>228</v>
      </c>
      <c r="BE499" s="0" t="s">
        <v>228</v>
      </c>
      <c r="BF499" s="0" t="s">
        <v>228</v>
      </c>
      <c r="BG499" s="0" t="s">
        <v>228</v>
      </c>
      <c r="BH499" s="0" t="s">
        <v>228</v>
      </c>
      <c r="BI499" s="0" t="s">
        <v>228</v>
      </c>
      <c r="BJ499" s="0" t="s">
        <v>228</v>
      </c>
      <c r="BK499" s="0" t="s">
        <v>228</v>
      </c>
      <c r="BL499" s="0" t="s">
        <v>228</v>
      </c>
      <c r="BM499" s="0" t="s">
        <v>228</v>
      </c>
      <c r="BN499" s="0" t="s">
        <v>228</v>
      </c>
      <c r="BO499" s="0" t="s">
        <v>228</v>
      </c>
      <c r="BP499" s="0" t="s">
        <v>228</v>
      </c>
      <c r="BQ499" s="0" t="s">
        <v>228</v>
      </c>
      <c r="BR499" s="0" t="s">
        <v>228</v>
      </c>
      <c r="BS499" s="0" t="s">
        <v>228</v>
      </c>
      <c r="BT499" s="0" t="s">
        <v>228</v>
      </c>
      <c r="BU499" s="0" t="s">
        <v>228</v>
      </c>
      <c r="BV499" s="0" t="s">
        <v>228</v>
      </c>
      <c r="BW499" s="0" t="s">
        <v>228</v>
      </c>
      <c r="BX499" s="0" t="s">
        <v>228</v>
      </c>
      <c r="BY499" s="0" t="s">
        <v>228</v>
      </c>
      <c r="BZ499" s="0" t="s">
        <v>228</v>
      </c>
      <c r="CA499" s="0" t="s">
        <v>228</v>
      </c>
      <c r="CB499" s="0" t="s">
        <v>228</v>
      </c>
      <c r="CC499" s="0" t="s">
        <v>228</v>
      </c>
      <c r="CD499" s="0" t="s">
        <v>228</v>
      </c>
      <c r="CE499" s="0" t="s">
        <v>228</v>
      </c>
      <c r="CF499" s="0" t="s">
        <v>228</v>
      </c>
      <c r="CG499" s="0" t="s">
        <v>228</v>
      </c>
      <c r="CH499" s="0" t="s">
        <v>228</v>
      </c>
      <c r="CI499" s="0" t="s">
        <v>228</v>
      </c>
      <c r="CJ499" s="0" t="s">
        <v>228</v>
      </c>
      <c r="CK499" s="0" t="s">
        <v>228</v>
      </c>
      <c r="CL499" s="0" t="s">
        <v>228</v>
      </c>
      <c r="CM499" s="0" t="s">
        <v>228</v>
      </c>
      <c r="CN499" s="0" t="s">
        <v>228</v>
      </c>
      <c r="CO499" s="0" t="s">
        <v>228</v>
      </c>
      <c r="CP499" s="0" t="s">
        <v>228</v>
      </c>
      <c r="CQ499" s="0" t="s">
        <v>228</v>
      </c>
      <c r="CR499" s="0" t="s">
        <v>228</v>
      </c>
      <c r="CS499" s="0" t="s">
        <v>228</v>
      </c>
      <c r="CT499" s="0" t="s">
        <v>3568</v>
      </c>
      <c r="CU499" s="0" t="s">
        <v>3569</v>
      </c>
      <c r="CV499" s="0" t="s">
        <v>418</v>
      </c>
      <c r="CW499" s="0" t="s">
        <v>3584</v>
      </c>
      <c r="CX499" s="0" t="s">
        <v>419</v>
      </c>
      <c r="CY499" s="0" t="s">
        <v>418</v>
      </c>
      <c r="CZ499" s="0" t="s">
        <v>3585</v>
      </c>
      <c r="DA499" s="0" t="s">
        <v>3586</v>
      </c>
      <c r="DB499" s="0" t="s">
        <v>3584</v>
      </c>
      <c r="DC499" s="0" t="s">
        <v>362</v>
      </c>
      <c r="DD499" s="0" t="s">
        <v>3572</v>
      </c>
      <c r="DE499" s="0" t="s">
        <v>4830</v>
      </c>
    </row>
    <row customHeight="1" ht="11.25">
      <c r="A500" s="1353" t="s">
        <v>228</v>
      </c>
      <c r="B500" s="0" t="s">
        <v>228</v>
      </c>
      <c r="C500" s="0" t="s">
        <v>228</v>
      </c>
      <c r="D500" s="0" t="s">
        <v>228</v>
      </c>
      <c r="E500" s="0" t="s">
        <v>228</v>
      </c>
      <c r="F500" s="0" t="s">
        <v>228</v>
      </c>
      <c r="G500" s="0" t="s">
        <v>228</v>
      </c>
      <c r="H500" s="0" t="s">
        <v>228</v>
      </c>
      <c r="I500" s="0" t="s">
        <v>3555</v>
      </c>
      <c r="J500" s="0" t="s">
        <v>228</v>
      </c>
      <c r="K500" s="0" t="s">
        <v>228</v>
      </c>
      <c r="L500" s="0" t="s">
        <v>228</v>
      </c>
      <c r="M500" s="0" t="s">
        <v>228</v>
      </c>
      <c r="N500" s="0" t="s">
        <v>228</v>
      </c>
      <c r="O500" s="0" t="s">
        <v>228</v>
      </c>
      <c r="P500" s="0" t="s">
        <v>228</v>
      </c>
      <c r="Q500" s="0" t="s">
        <v>228</v>
      </c>
      <c r="R500" s="0" t="s">
        <v>4576</v>
      </c>
      <c r="S500" s="0" t="s">
        <v>228</v>
      </c>
      <c r="T500" s="0" t="s">
        <v>228</v>
      </c>
      <c r="U500" s="0" t="s">
        <v>101</v>
      </c>
      <c r="V500" s="0" t="s">
        <v>228</v>
      </c>
      <c r="W500" s="0" t="s">
        <v>228</v>
      </c>
      <c r="X500" s="0" t="s">
        <v>3557</v>
      </c>
      <c r="Y500" s="0" t="s">
        <v>228</v>
      </c>
      <c r="Z500" s="0" t="s">
        <v>160</v>
      </c>
      <c r="AA500" s="0" t="s">
        <v>151</v>
      </c>
      <c r="AB500" s="0" t="s">
        <v>151</v>
      </c>
      <c r="AC500" s="0" t="s">
        <v>2311</v>
      </c>
      <c r="AD500" s="0" t="s">
        <v>2311</v>
      </c>
      <c r="AE500" s="0" t="s">
        <v>2312</v>
      </c>
      <c r="AF500" s="0" t="s">
        <v>4034</v>
      </c>
      <c r="AG500" s="0" t="s">
        <v>4035</v>
      </c>
      <c r="AH500" s="0" t="s">
        <v>4577</v>
      </c>
      <c r="AI500" s="0" t="s">
        <v>4311</v>
      </c>
      <c r="AJ500" s="0" t="s">
        <v>3579</v>
      </c>
      <c r="AK500" s="0" t="s">
        <v>3579</v>
      </c>
      <c r="AL500" s="0" t="s">
        <v>3681</v>
      </c>
      <c r="AM500" s="0" t="s">
        <v>3565</v>
      </c>
      <c r="AN500" s="0" t="s">
        <v>3582</v>
      </c>
      <c r="AO500" s="0" t="s">
        <v>4578</v>
      </c>
      <c r="AP500" s="0" t="s">
        <v>228</v>
      </c>
      <c r="AQ500" s="0" t="s">
        <v>228</v>
      </c>
      <c r="AR500" s="0" t="s">
        <v>228</v>
      </c>
      <c r="AS500" s="0" t="s">
        <v>228</v>
      </c>
      <c r="AT500" s="0" t="s">
        <v>228</v>
      </c>
      <c r="AU500" s="0" t="s">
        <v>228</v>
      </c>
      <c r="AV500" s="0" t="s">
        <v>228</v>
      </c>
      <c r="AW500" s="0" t="s">
        <v>228</v>
      </c>
      <c r="AX500" s="0" t="s">
        <v>228</v>
      </c>
      <c r="AY500" s="0" t="s">
        <v>228</v>
      </c>
      <c r="AZ500" s="0" t="s">
        <v>228</v>
      </c>
      <c r="BA500" s="0" t="s">
        <v>228</v>
      </c>
      <c r="BB500" s="0" t="s">
        <v>228</v>
      </c>
      <c r="BC500" s="0" t="s">
        <v>228</v>
      </c>
      <c r="BD500" s="0" t="s">
        <v>228</v>
      </c>
      <c r="BE500" s="0" t="s">
        <v>228</v>
      </c>
      <c r="BF500" s="0" t="s">
        <v>228</v>
      </c>
      <c r="BG500" s="0" t="s">
        <v>228</v>
      </c>
      <c r="BH500" s="0" t="s">
        <v>228</v>
      </c>
      <c r="BI500" s="0" t="s">
        <v>228</v>
      </c>
      <c r="BJ500" s="0" t="s">
        <v>228</v>
      </c>
      <c r="BK500" s="0" t="s">
        <v>228</v>
      </c>
      <c r="BL500" s="0" t="s">
        <v>228</v>
      </c>
      <c r="BM500" s="0" t="s">
        <v>228</v>
      </c>
      <c r="BN500" s="0" t="s">
        <v>228</v>
      </c>
      <c r="BO500" s="0" t="s">
        <v>228</v>
      </c>
      <c r="BP500" s="0" t="s">
        <v>228</v>
      </c>
      <c r="BQ500" s="0" t="s">
        <v>228</v>
      </c>
      <c r="BR500" s="0" t="s">
        <v>228</v>
      </c>
      <c r="BS500" s="0" t="s">
        <v>228</v>
      </c>
      <c r="BT500" s="0" t="s">
        <v>228</v>
      </c>
      <c r="BU500" s="0" t="s">
        <v>228</v>
      </c>
      <c r="BV500" s="0" t="s">
        <v>228</v>
      </c>
      <c r="BW500" s="0" t="s">
        <v>228</v>
      </c>
      <c r="BX500" s="0" t="s">
        <v>228</v>
      </c>
      <c r="BY500" s="0" t="s">
        <v>228</v>
      </c>
      <c r="BZ500" s="0" t="s">
        <v>228</v>
      </c>
      <c r="CA500" s="0" t="s">
        <v>228</v>
      </c>
      <c r="CB500" s="0" t="s">
        <v>228</v>
      </c>
      <c r="CC500" s="0" t="s">
        <v>228</v>
      </c>
      <c r="CD500" s="0" t="s">
        <v>228</v>
      </c>
      <c r="CE500" s="0" t="s">
        <v>228</v>
      </c>
      <c r="CF500" s="0" t="s">
        <v>228</v>
      </c>
      <c r="CG500" s="0" t="s">
        <v>228</v>
      </c>
      <c r="CH500" s="0" t="s">
        <v>228</v>
      </c>
      <c r="CI500" s="0" t="s">
        <v>228</v>
      </c>
      <c r="CJ500" s="0" t="s">
        <v>228</v>
      </c>
      <c r="CK500" s="0" t="s">
        <v>228</v>
      </c>
      <c r="CL500" s="0" t="s">
        <v>228</v>
      </c>
      <c r="CM500" s="0" t="s">
        <v>228</v>
      </c>
      <c r="CN500" s="0" t="s">
        <v>228</v>
      </c>
      <c r="CO500" s="0" t="s">
        <v>228</v>
      </c>
      <c r="CP500" s="0" t="s">
        <v>228</v>
      </c>
      <c r="CQ500" s="0" t="s">
        <v>228</v>
      </c>
      <c r="CR500" s="0" t="s">
        <v>228</v>
      </c>
      <c r="CS500" s="0" t="s">
        <v>228</v>
      </c>
      <c r="CT500" s="0" t="s">
        <v>3568</v>
      </c>
      <c r="CU500" s="0" t="s">
        <v>3569</v>
      </c>
      <c r="CV500" s="0" t="s">
        <v>418</v>
      </c>
      <c r="CW500" s="0" t="s">
        <v>3584</v>
      </c>
      <c r="CX500" s="0" t="s">
        <v>419</v>
      </c>
      <c r="CY500" s="0" t="s">
        <v>418</v>
      </c>
      <c r="CZ500" s="0" t="s">
        <v>3585</v>
      </c>
      <c r="DA500" s="0" t="s">
        <v>3586</v>
      </c>
      <c r="DB500" s="0" t="s">
        <v>3584</v>
      </c>
      <c r="DC500" s="0" t="s">
        <v>362</v>
      </c>
      <c r="DD500" s="0" t="s">
        <v>3572</v>
      </c>
      <c r="DE500" s="0" t="s">
        <v>4579</v>
      </c>
    </row>
    <row customHeight="1" ht="11.25">
      <c r="A501" s="1353" t="s">
        <v>228</v>
      </c>
      <c r="B501" s="0" t="s">
        <v>228</v>
      </c>
      <c r="C501" s="0" t="s">
        <v>228</v>
      </c>
      <c r="D501" s="0" t="s">
        <v>228</v>
      </c>
      <c r="E501" s="0" t="s">
        <v>228</v>
      </c>
      <c r="F501" s="0" t="s">
        <v>228</v>
      </c>
      <c r="G501" s="0" t="s">
        <v>228</v>
      </c>
      <c r="H501" s="0" t="s">
        <v>228</v>
      </c>
      <c r="I501" s="0" t="s">
        <v>3555</v>
      </c>
      <c r="J501" s="0" t="s">
        <v>228</v>
      </c>
      <c r="K501" s="0" t="s">
        <v>228</v>
      </c>
      <c r="L501" s="0" t="s">
        <v>228</v>
      </c>
      <c r="M501" s="0" t="s">
        <v>228</v>
      </c>
      <c r="N501" s="0" t="s">
        <v>228</v>
      </c>
      <c r="O501" s="0" t="s">
        <v>228</v>
      </c>
      <c r="P501" s="0" t="s">
        <v>228</v>
      </c>
      <c r="Q501" s="0" t="s">
        <v>228</v>
      </c>
      <c r="R501" s="0" t="s">
        <v>3684</v>
      </c>
      <c r="S501" s="0" t="s">
        <v>228</v>
      </c>
      <c r="T501" s="0" t="s">
        <v>228</v>
      </c>
      <c r="U501" s="0" t="s">
        <v>101</v>
      </c>
      <c r="V501" s="0" t="s">
        <v>228</v>
      </c>
      <c r="W501" s="0" t="s">
        <v>228</v>
      </c>
      <c r="X501" s="0" t="s">
        <v>3557</v>
      </c>
      <c r="Y501" s="0" t="s">
        <v>228</v>
      </c>
      <c r="Z501" s="0" t="s">
        <v>160</v>
      </c>
      <c r="AA501" s="0" t="s">
        <v>151</v>
      </c>
      <c r="AB501" s="0" t="s">
        <v>151</v>
      </c>
      <c r="AC501" s="0" t="s">
        <v>2311</v>
      </c>
      <c r="AD501" s="0" t="s">
        <v>2311</v>
      </c>
      <c r="AE501" s="0" t="s">
        <v>2312</v>
      </c>
      <c r="AF501" s="0" t="s">
        <v>4313</v>
      </c>
      <c r="AG501" s="0" t="s">
        <v>4314</v>
      </c>
      <c r="AH501" s="0" t="s">
        <v>4580</v>
      </c>
      <c r="AI501" s="0" t="s">
        <v>4581</v>
      </c>
      <c r="AJ501" s="0" t="s">
        <v>3652</v>
      </c>
      <c r="AK501" s="0" t="s">
        <v>3833</v>
      </c>
      <c r="AL501" s="0" t="s">
        <v>3681</v>
      </c>
      <c r="AM501" s="0" t="s">
        <v>3565</v>
      </c>
      <c r="AN501" s="0" t="s">
        <v>3582</v>
      </c>
      <c r="AO501" s="0" t="s">
        <v>4433</v>
      </c>
      <c r="AP501" s="0" t="s">
        <v>228</v>
      </c>
      <c r="AQ501" s="0" t="s">
        <v>228</v>
      </c>
      <c r="AR501" s="0" t="s">
        <v>228</v>
      </c>
      <c r="AS501" s="0" t="s">
        <v>228</v>
      </c>
      <c r="AT501" s="0" t="s">
        <v>228</v>
      </c>
      <c r="AU501" s="0" t="s">
        <v>228</v>
      </c>
      <c r="AV501" s="0" t="s">
        <v>228</v>
      </c>
      <c r="AW501" s="0" t="s">
        <v>228</v>
      </c>
      <c r="AX501" s="0" t="s">
        <v>228</v>
      </c>
      <c r="AY501" s="0" t="s">
        <v>228</v>
      </c>
      <c r="AZ501" s="0" t="s">
        <v>228</v>
      </c>
      <c r="BA501" s="0" t="s">
        <v>228</v>
      </c>
      <c r="BB501" s="0" t="s">
        <v>228</v>
      </c>
      <c r="BC501" s="0" t="s">
        <v>228</v>
      </c>
      <c r="BD501" s="0" t="s">
        <v>228</v>
      </c>
      <c r="BE501" s="0" t="s">
        <v>228</v>
      </c>
      <c r="BF501" s="0" t="s">
        <v>228</v>
      </c>
      <c r="BG501" s="0" t="s">
        <v>228</v>
      </c>
      <c r="BH501" s="0" t="s">
        <v>228</v>
      </c>
      <c r="BI501" s="0" t="s">
        <v>228</v>
      </c>
      <c r="BJ501" s="0" t="s">
        <v>228</v>
      </c>
      <c r="BK501" s="0" t="s">
        <v>228</v>
      </c>
      <c r="BL501" s="0" t="s">
        <v>228</v>
      </c>
      <c r="BM501" s="0" t="s">
        <v>228</v>
      </c>
      <c r="BN501" s="0" t="s">
        <v>228</v>
      </c>
      <c r="BO501" s="0" t="s">
        <v>228</v>
      </c>
      <c r="BP501" s="0" t="s">
        <v>228</v>
      </c>
      <c r="BQ501" s="0" t="s">
        <v>228</v>
      </c>
      <c r="BR501" s="0" t="s">
        <v>228</v>
      </c>
      <c r="BS501" s="0" t="s">
        <v>228</v>
      </c>
      <c r="BT501" s="0" t="s">
        <v>228</v>
      </c>
      <c r="BU501" s="0" t="s">
        <v>228</v>
      </c>
      <c r="BV501" s="0" t="s">
        <v>228</v>
      </c>
      <c r="BW501" s="0" t="s">
        <v>228</v>
      </c>
      <c r="BX501" s="0" t="s">
        <v>228</v>
      </c>
      <c r="BY501" s="0" t="s">
        <v>228</v>
      </c>
      <c r="BZ501" s="0" t="s">
        <v>228</v>
      </c>
      <c r="CA501" s="0" t="s">
        <v>228</v>
      </c>
      <c r="CB501" s="0" t="s">
        <v>228</v>
      </c>
      <c r="CC501" s="0" t="s">
        <v>228</v>
      </c>
      <c r="CD501" s="0" t="s">
        <v>228</v>
      </c>
      <c r="CE501" s="0" t="s">
        <v>228</v>
      </c>
      <c r="CF501" s="0" t="s">
        <v>228</v>
      </c>
      <c r="CG501" s="0" t="s">
        <v>228</v>
      </c>
      <c r="CH501" s="0" t="s">
        <v>228</v>
      </c>
      <c r="CI501" s="0" t="s">
        <v>228</v>
      </c>
      <c r="CJ501" s="0" t="s">
        <v>228</v>
      </c>
      <c r="CK501" s="0" t="s">
        <v>228</v>
      </c>
      <c r="CL501" s="0" t="s">
        <v>228</v>
      </c>
      <c r="CM501" s="0" t="s">
        <v>228</v>
      </c>
      <c r="CN501" s="0" t="s">
        <v>228</v>
      </c>
      <c r="CO501" s="0" t="s">
        <v>228</v>
      </c>
      <c r="CP501" s="0" t="s">
        <v>228</v>
      </c>
      <c r="CQ501" s="0" t="s">
        <v>228</v>
      </c>
      <c r="CR501" s="0" t="s">
        <v>228</v>
      </c>
      <c r="CS501" s="0" t="s">
        <v>228</v>
      </c>
      <c r="CT501" s="0" t="s">
        <v>3568</v>
      </c>
      <c r="CU501" s="0" t="s">
        <v>3569</v>
      </c>
      <c r="CV501" s="0" t="s">
        <v>418</v>
      </c>
      <c r="CW501" s="0" t="s">
        <v>3584</v>
      </c>
      <c r="CX501" s="0" t="s">
        <v>419</v>
      </c>
      <c r="CY501" s="0" t="s">
        <v>418</v>
      </c>
      <c r="CZ501" s="0" t="s">
        <v>3585</v>
      </c>
      <c r="DA501" s="0" t="s">
        <v>3586</v>
      </c>
      <c r="DB501" s="0" t="s">
        <v>3584</v>
      </c>
      <c r="DC501" s="0" t="s">
        <v>362</v>
      </c>
      <c r="DD501" s="0" t="s">
        <v>3572</v>
      </c>
      <c r="DE501" s="0" t="s">
        <v>4582</v>
      </c>
    </row>
    <row customHeight="1" ht="11.25">
      <c r="A502" s="1353" t="s">
        <v>228</v>
      </c>
      <c r="B502" s="0" t="s">
        <v>228</v>
      </c>
      <c r="C502" s="0" t="s">
        <v>228</v>
      </c>
      <c r="D502" s="0" t="s">
        <v>228</v>
      </c>
      <c r="E502" s="0" t="s">
        <v>228</v>
      </c>
      <c r="F502" s="0" t="s">
        <v>228</v>
      </c>
      <c r="G502" s="0" t="s">
        <v>228</v>
      </c>
      <c r="H502" s="0" t="s">
        <v>228</v>
      </c>
      <c r="I502" s="0" t="s">
        <v>3555</v>
      </c>
      <c r="J502" s="0" t="s">
        <v>228</v>
      </c>
      <c r="K502" s="0" t="s">
        <v>228</v>
      </c>
      <c r="L502" s="0" t="s">
        <v>228</v>
      </c>
      <c r="M502" s="0" t="s">
        <v>228</v>
      </c>
      <c r="N502" s="0" t="s">
        <v>228</v>
      </c>
      <c r="O502" s="0" t="s">
        <v>228</v>
      </c>
      <c r="P502" s="0" t="s">
        <v>228</v>
      </c>
      <c r="Q502" s="0" t="s">
        <v>228</v>
      </c>
      <c r="R502" s="0" t="s">
        <v>3684</v>
      </c>
      <c r="S502" s="0" t="s">
        <v>228</v>
      </c>
      <c r="T502" s="0" t="s">
        <v>228</v>
      </c>
      <c r="U502" s="0" t="s">
        <v>101</v>
      </c>
      <c r="V502" s="0" t="s">
        <v>228</v>
      </c>
      <c r="W502" s="0" t="s">
        <v>228</v>
      </c>
      <c r="X502" s="0" t="s">
        <v>3557</v>
      </c>
      <c r="Y502" s="0" t="s">
        <v>228</v>
      </c>
      <c r="Z502" s="0" t="s">
        <v>160</v>
      </c>
      <c r="AA502" s="0" t="s">
        <v>151</v>
      </c>
      <c r="AB502" s="0" t="s">
        <v>151</v>
      </c>
      <c r="AC502" s="0" t="s">
        <v>2311</v>
      </c>
      <c r="AD502" s="0" t="s">
        <v>2311</v>
      </c>
      <c r="AE502" s="0" t="s">
        <v>2312</v>
      </c>
      <c r="AF502" s="0" t="s">
        <v>3697</v>
      </c>
      <c r="AG502" s="0" t="s">
        <v>3698</v>
      </c>
      <c r="AH502" s="0" t="s">
        <v>3699</v>
      </c>
      <c r="AI502" s="0" t="s">
        <v>3700</v>
      </c>
      <c r="AJ502" s="0" t="s">
        <v>3579</v>
      </c>
      <c r="AK502" s="0" t="s">
        <v>3580</v>
      </c>
      <c r="AL502" s="0" t="s">
        <v>3581</v>
      </c>
      <c r="AM502" s="0" t="s">
        <v>3565</v>
      </c>
      <c r="AN502" s="0" t="s">
        <v>3582</v>
      </c>
      <c r="AO502" s="0" t="s">
        <v>3701</v>
      </c>
      <c r="AP502" s="0" t="s">
        <v>228</v>
      </c>
      <c r="AQ502" s="0" t="s">
        <v>228</v>
      </c>
      <c r="AR502" s="0" t="s">
        <v>228</v>
      </c>
      <c r="AS502" s="0" t="s">
        <v>228</v>
      </c>
      <c r="AT502" s="0" t="s">
        <v>228</v>
      </c>
      <c r="AU502" s="0" t="s">
        <v>228</v>
      </c>
      <c r="AV502" s="0" t="s">
        <v>228</v>
      </c>
      <c r="AW502" s="0" t="s">
        <v>228</v>
      </c>
      <c r="AX502" s="0" t="s">
        <v>228</v>
      </c>
      <c r="AY502" s="0" t="s">
        <v>228</v>
      </c>
      <c r="AZ502" s="0" t="s">
        <v>228</v>
      </c>
      <c r="BA502" s="0" t="s">
        <v>228</v>
      </c>
      <c r="BB502" s="0" t="s">
        <v>228</v>
      </c>
      <c r="BC502" s="0" t="s">
        <v>228</v>
      </c>
      <c r="BD502" s="0" t="s">
        <v>228</v>
      </c>
      <c r="BE502" s="0" t="s">
        <v>228</v>
      </c>
      <c r="BF502" s="0" t="s">
        <v>228</v>
      </c>
      <c r="BG502" s="0" t="s">
        <v>228</v>
      </c>
      <c r="BH502" s="0" t="s">
        <v>228</v>
      </c>
      <c r="BI502" s="0" t="s">
        <v>228</v>
      </c>
      <c r="BJ502" s="0" t="s">
        <v>228</v>
      </c>
      <c r="BK502" s="0" t="s">
        <v>228</v>
      </c>
      <c r="BL502" s="0" t="s">
        <v>228</v>
      </c>
      <c r="BM502" s="0" t="s">
        <v>228</v>
      </c>
      <c r="BN502" s="0" t="s">
        <v>228</v>
      </c>
      <c r="BO502" s="0" t="s">
        <v>228</v>
      </c>
      <c r="BP502" s="0" t="s">
        <v>228</v>
      </c>
      <c r="BQ502" s="0" t="s">
        <v>228</v>
      </c>
      <c r="BR502" s="0" t="s">
        <v>228</v>
      </c>
      <c r="BS502" s="0" t="s">
        <v>228</v>
      </c>
      <c r="BT502" s="0" t="s">
        <v>228</v>
      </c>
      <c r="BU502" s="0" t="s">
        <v>228</v>
      </c>
      <c r="BV502" s="0" t="s">
        <v>228</v>
      </c>
      <c r="BW502" s="0" t="s">
        <v>228</v>
      </c>
      <c r="BX502" s="0" t="s">
        <v>228</v>
      </c>
      <c r="BY502" s="0" t="s">
        <v>228</v>
      </c>
      <c r="BZ502" s="0" t="s">
        <v>228</v>
      </c>
      <c r="CA502" s="0" t="s">
        <v>228</v>
      </c>
      <c r="CB502" s="0" t="s">
        <v>228</v>
      </c>
      <c r="CC502" s="0" t="s">
        <v>228</v>
      </c>
      <c r="CD502" s="0" t="s">
        <v>228</v>
      </c>
      <c r="CE502" s="0" t="s">
        <v>228</v>
      </c>
      <c r="CF502" s="0" t="s">
        <v>228</v>
      </c>
      <c r="CG502" s="0" t="s">
        <v>228</v>
      </c>
      <c r="CH502" s="0" t="s">
        <v>228</v>
      </c>
      <c r="CI502" s="0" t="s">
        <v>228</v>
      </c>
      <c r="CJ502" s="0" t="s">
        <v>228</v>
      </c>
      <c r="CK502" s="0" t="s">
        <v>228</v>
      </c>
      <c r="CL502" s="0" t="s">
        <v>228</v>
      </c>
      <c r="CM502" s="0" t="s">
        <v>228</v>
      </c>
      <c r="CN502" s="0" t="s">
        <v>228</v>
      </c>
      <c r="CO502" s="0" t="s">
        <v>228</v>
      </c>
      <c r="CP502" s="0" t="s">
        <v>228</v>
      </c>
      <c r="CQ502" s="0" t="s">
        <v>228</v>
      </c>
      <c r="CR502" s="0" t="s">
        <v>228</v>
      </c>
      <c r="CS502" s="0" t="s">
        <v>228</v>
      </c>
      <c r="CT502" s="0" t="s">
        <v>3568</v>
      </c>
      <c r="CU502" s="0" t="s">
        <v>3569</v>
      </c>
      <c r="CV502" s="0" t="s">
        <v>418</v>
      </c>
      <c r="CW502" s="0" t="s">
        <v>3584</v>
      </c>
      <c r="CX502" s="0" t="s">
        <v>419</v>
      </c>
      <c r="CY502" s="0" t="s">
        <v>418</v>
      </c>
      <c r="CZ502" s="0" t="s">
        <v>3585</v>
      </c>
      <c r="DA502" s="0" t="s">
        <v>3586</v>
      </c>
      <c r="DB502" s="0" t="s">
        <v>3584</v>
      </c>
      <c r="DC502" s="0" t="s">
        <v>362</v>
      </c>
      <c r="DD502" s="0" t="s">
        <v>3572</v>
      </c>
      <c r="DE502" s="0" t="s">
        <v>3702</v>
      </c>
    </row>
    <row customHeight="1" ht="11.25">
      <c r="A503" s="1353" t="s">
        <v>228</v>
      </c>
      <c r="B503" s="0" t="s">
        <v>228</v>
      </c>
      <c r="C503" s="0" t="s">
        <v>228</v>
      </c>
      <c r="D503" s="0" t="s">
        <v>228</v>
      </c>
      <c r="E503" s="0" t="s">
        <v>228</v>
      </c>
      <c r="F503" s="0" t="s">
        <v>228</v>
      </c>
      <c r="G503" s="0" t="s">
        <v>228</v>
      </c>
      <c r="H503" s="0" t="s">
        <v>228</v>
      </c>
      <c r="I503" s="0" t="s">
        <v>3555</v>
      </c>
      <c r="J503" s="0" t="s">
        <v>228</v>
      </c>
      <c r="K503" s="0" t="s">
        <v>228</v>
      </c>
      <c r="L503" s="0" t="s">
        <v>228</v>
      </c>
      <c r="M503" s="0" t="s">
        <v>228</v>
      </c>
      <c r="N503" s="0" t="s">
        <v>228</v>
      </c>
      <c r="O503" s="0" t="s">
        <v>228</v>
      </c>
      <c r="P503" s="0" t="s">
        <v>228</v>
      </c>
      <c r="Q503" s="0" t="s">
        <v>228</v>
      </c>
      <c r="R503" s="0" t="s">
        <v>3684</v>
      </c>
      <c r="S503" s="0" t="s">
        <v>228</v>
      </c>
      <c r="T503" s="0" t="s">
        <v>228</v>
      </c>
      <c r="U503" s="0" t="s">
        <v>101</v>
      </c>
      <c r="V503" s="0" t="s">
        <v>228</v>
      </c>
      <c r="W503" s="0" t="s">
        <v>228</v>
      </c>
      <c r="X503" s="0" t="s">
        <v>3557</v>
      </c>
      <c r="Y503" s="0" t="s">
        <v>228</v>
      </c>
      <c r="Z503" s="0" t="s">
        <v>160</v>
      </c>
      <c r="AA503" s="0" t="s">
        <v>151</v>
      </c>
      <c r="AB503" s="0" t="s">
        <v>151</v>
      </c>
      <c r="AC503" s="0" t="s">
        <v>2311</v>
      </c>
      <c r="AD503" s="0" t="s">
        <v>2311</v>
      </c>
      <c r="AE503" s="0" t="s">
        <v>2312</v>
      </c>
      <c r="AF503" s="0" t="s">
        <v>3697</v>
      </c>
      <c r="AG503" s="0" t="s">
        <v>3698</v>
      </c>
      <c r="AH503" s="0" t="s">
        <v>3699</v>
      </c>
      <c r="AI503" s="0" t="s">
        <v>3716</v>
      </c>
      <c r="AJ503" s="0" t="s">
        <v>3579</v>
      </c>
      <c r="AK503" s="0" t="s">
        <v>3580</v>
      </c>
      <c r="AL503" s="0" t="s">
        <v>3581</v>
      </c>
      <c r="AM503" s="0" t="s">
        <v>3565</v>
      </c>
      <c r="AN503" s="0" t="s">
        <v>3582</v>
      </c>
      <c r="AO503" s="0" t="s">
        <v>3772</v>
      </c>
      <c r="AP503" s="0" t="s">
        <v>228</v>
      </c>
      <c r="AQ503" s="0" t="s">
        <v>228</v>
      </c>
      <c r="AR503" s="0" t="s">
        <v>228</v>
      </c>
      <c r="AS503" s="0" t="s">
        <v>228</v>
      </c>
      <c r="AT503" s="0" t="s">
        <v>228</v>
      </c>
      <c r="AU503" s="0" t="s">
        <v>228</v>
      </c>
      <c r="AV503" s="0" t="s">
        <v>228</v>
      </c>
      <c r="AW503" s="0" t="s">
        <v>228</v>
      </c>
      <c r="AX503" s="0" t="s">
        <v>228</v>
      </c>
      <c r="AY503" s="0" t="s">
        <v>228</v>
      </c>
      <c r="AZ503" s="0" t="s">
        <v>228</v>
      </c>
      <c r="BA503" s="0" t="s">
        <v>228</v>
      </c>
      <c r="BB503" s="0" t="s">
        <v>228</v>
      </c>
      <c r="BC503" s="0" t="s">
        <v>228</v>
      </c>
      <c r="BD503" s="0" t="s">
        <v>228</v>
      </c>
      <c r="BE503" s="0" t="s">
        <v>228</v>
      </c>
      <c r="BF503" s="0" t="s">
        <v>228</v>
      </c>
      <c r="BG503" s="0" t="s">
        <v>228</v>
      </c>
      <c r="BH503" s="0" t="s">
        <v>228</v>
      </c>
      <c r="BI503" s="0" t="s">
        <v>228</v>
      </c>
      <c r="BJ503" s="0" t="s">
        <v>228</v>
      </c>
      <c r="BK503" s="0" t="s">
        <v>228</v>
      </c>
      <c r="BL503" s="0" t="s">
        <v>228</v>
      </c>
      <c r="BM503" s="0" t="s">
        <v>228</v>
      </c>
      <c r="BN503" s="0" t="s">
        <v>228</v>
      </c>
      <c r="BO503" s="0" t="s">
        <v>228</v>
      </c>
      <c r="BP503" s="0" t="s">
        <v>228</v>
      </c>
      <c r="BQ503" s="0" t="s">
        <v>228</v>
      </c>
      <c r="BR503" s="0" t="s">
        <v>228</v>
      </c>
      <c r="BS503" s="0" t="s">
        <v>228</v>
      </c>
      <c r="BT503" s="0" t="s">
        <v>228</v>
      </c>
      <c r="BU503" s="0" t="s">
        <v>228</v>
      </c>
      <c r="BV503" s="0" t="s">
        <v>228</v>
      </c>
      <c r="BW503" s="0" t="s">
        <v>228</v>
      </c>
      <c r="BX503" s="0" t="s">
        <v>228</v>
      </c>
      <c r="BY503" s="0" t="s">
        <v>228</v>
      </c>
      <c r="BZ503" s="0" t="s">
        <v>228</v>
      </c>
      <c r="CA503" s="0" t="s">
        <v>228</v>
      </c>
      <c r="CB503" s="0" t="s">
        <v>228</v>
      </c>
      <c r="CC503" s="0" t="s">
        <v>228</v>
      </c>
      <c r="CD503" s="0" t="s">
        <v>228</v>
      </c>
      <c r="CE503" s="0" t="s">
        <v>228</v>
      </c>
      <c r="CF503" s="0" t="s">
        <v>228</v>
      </c>
      <c r="CG503" s="0" t="s">
        <v>228</v>
      </c>
      <c r="CH503" s="0" t="s">
        <v>228</v>
      </c>
      <c r="CI503" s="0" t="s">
        <v>228</v>
      </c>
      <c r="CJ503" s="0" t="s">
        <v>228</v>
      </c>
      <c r="CK503" s="0" t="s">
        <v>228</v>
      </c>
      <c r="CL503" s="0" t="s">
        <v>228</v>
      </c>
      <c r="CM503" s="0" t="s">
        <v>228</v>
      </c>
      <c r="CN503" s="0" t="s">
        <v>228</v>
      </c>
      <c r="CO503" s="0" t="s">
        <v>228</v>
      </c>
      <c r="CP503" s="0" t="s">
        <v>228</v>
      </c>
      <c r="CQ503" s="0" t="s">
        <v>228</v>
      </c>
      <c r="CR503" s="0" t="s">
        <v>228</v>
      </c>
      <c r="CS503" s="0" t="s">
        <v>228</v>
      </c>
      <c r="CT503" s="0" t="s">
        <v>3568</v>
      </c>
      <c r="CU503" s="0" t="s">
        <v>3569</v>
      </c>
      <c r="CV503" s="0" t="s">
        <v>418</v>
      </c>
      <c r="CW503" s="0" t="s">
        <v>3584</v>
      </c>
      <c r="CX503" s="0" t="s">
        <v>419</v>
      </c>
      <c r="CY503" s="0" t="s">
        <v>418</v>
      </c>
      <c r="CZ503" s="0" t="s">
        <v>3585</v>
      </c>
      <c r="DA503" s="0" t="s">
        <v>3586</v>
      </c>
      <c r="DB503" s="0" t="s">
        <v>3584</v>
      </c>
      <c r="DC503" s="0" t="s">
        <v>362</v>
      </c>
      <c r="DD503" s="0" t="s">
        <v>3572</v>
      </c>
      <c r="DE503" s="0" t="s">
        <v>3774</v>
      </c>
    </row>
    <row customHeight="1" ht="11.25">
      <c r="A504" s="1353" t="s">
        <v>228</v>
      </c>
      <c r="B504" s="0" t="s">
        <v>228</v>
      </c>
      <c r="C504" s="0" t="s">
        <v>228</v>
      </c>
      <c r="D504" s="0" t="s">
        <v>228</v>
      </c>
      <c r="E504" s="0" t="s">
        <v>228</v>
      </c>
      <c r="F504" s="0" t="s">
        <v>228</v>
      </c>
      <c r="G504" s="0" t="s">
        <v>228</v>
      </c>
      <c r="H504" s="0" t="s">
        <v>228</v>
      </c>
      <c r="I504" s="0" t="s">
        <v>3555</v>
      </c>
      <c r="J504" s="0" t="s">
        <v>228</v>
      </c>
      <c r="K504" s="0" t="s">
        <v>228</v>
      </c>
      <c r="L504" s="0" t="s">
        <v>228</v>
      </c>
      <c r="M504" s="0" t="s">
        <v>228</v>
      </c>
      <c r="N504" s="0" t="s">
        <v>228</v>
      </c>
      <c r="O504" s="0" t="s">
        <v>228</v>
      </c>
      <c r="P504" s="0" t="s">
        <v>228</v>
      </c>
      <c r="Q504" s="0" t="s">
        <v>228</v>
      </c>
      <c r="R504" s="0" t="s">
        <v>3782</v>
      </c>
      <c r="S504" s="0" t="s">
        <v>228</v>
      </c>
      <c r="T504" s="0" t="s">
        <v>228</v>
      </c>
      <c r="U504" s="0" t="s">
        <v>101</v>
      </c>
      <c r="V504" s="0" t="s">
        <v>228</v>
      </c>
      <c r="W504" s="0" t="s">
        <v>228</v>
      </c>
      <c r="X504" s="0" t="s">
        <v>3661</v>
      </c>
      <c r="Y504" s="0" t="s">
        <v>228</v>
      </c>
      <c r="Z504" s="0" t="s">
        <v>151</v>
      </c>
      <c r="AA504" s="0" t="s">
        <v>151</v>
      </c>
      <c r="AB504" s="0" t="s">
        <v>160</v>
      </c>
      <c r="AC504" s="0" t="s">
        <v>2311</v>
      </c>
      <c r="AD504" s="0" t="s">
        <v>2311</v>
      </c>
      <c r="AE504" s="0" t="s">
        <v>2312</v>
      </c>
      <c r="AF504" s="0" t="s">
        <v>3783</v>
      </c>
      <c r="AG504" s="0" t="s">
        <v>3784</v>
      </c>
      <c r="AH504" s="0" t="s">
        <v>3577</v>
      </c>
      <c r="AI504" s="0" t="s">
        <v>3721</v>
      </c>
      <c r="AJ504" s="0" t="s">
        <v>228</v>
      </c>
      <c r="AK504" s="0" t="s">
        <v>228</v>
      </c>
      <c r="AL504" s="0" t="s">
        <v>228</v>
      </c>
      <c r="AM504" s="0" t="s">
        <v>228</v>
      </c>
      <c r="AN504" s="0" t="s">
        <v>228</v>
      </c>
      <c r="AO504" s="0" t="s">
        <v>228</v>
      </c>
      <c r="AP504" s="0" t="s">
        <v>228</v>
      </c>
      <c r="AQ504" s="0" t="s">
        <v>228</v>
      </c>
      <c r="AR504" s="0" t="s">
        <v>228</v>
      </c>
      <c r="AS504" s="0" t="s">
        <v>228</v>
      </c>
      <c r="AT504" s="0" t="s">
        <v>228</v>
      </c>
      <c r="AU504" s="0" t="s">
        <v>228</v>
      </c>
      <c r="AV504" s="0" t="s">
        <v>228</v>
      </c>
      <c r="AW504" s="0" t="s">
        <v>228</v>
      </c>
      <c r="AX504" s="0" t="s">
        <v>228</v>
      </c>
      <c r="AY504" s="0" t="s">
        <v>228</v>
      </c>
      <c r="AZ504" s="0" t="s">
        <v>228</v>
      </c>
      <c r="BA504" s="0" t="s">
        <v>228</v>
      </c>
      <c r="BB504" s="0" t="s">
        <v>228</v>
      </c>
      <c r="BC504" s="0" t="s">
        <v>228</v>
      </c>
      <c r="BD504" s="0" t="s">
        <v>228</v>
      </c>
      <c r="BE504" s="0" t="s">
        <v>3722</v>
      </c>
      <c r="BF504" s="0" t="s">
        <v>3722</v>
      </c>
      <c r="BG504" s="0" t="s">
        <v>111</v>
      </c>
      <c r="BH504" s="0" t="s">
        <v>3665</v>
      </c>
      <c r="BI504" s="0" t="s">
        <v>122</v>
      </c>
      <c r="BJ504" s="0" t="s">
        <v>228</v>
      </c>
      <c r="BK504" s="0" t="s">
        <v>3684</v>
      </c>
      <c r="BL504" s="0" t="s">
        <v>2311</v>
      </c>
      <c r="BM504" s="0" t="s">
        <v>2311</v>
      </c>
      <c r="BN504" s="0" t="s">
        <v>3723</v>
      </c>
      <c r="BO504" s="0" t="s">
        <v>3783</v>
      </c>
      <c r="BP504" s="0" t="s">
        <v>3785</v>
      </c>
      <c r="BQ504" s="0" t="s">
        <v>3786</v>
      </c>
      <c r="BR504" s="0" t="s">
        <v>3787</v>
      </c>
      <c r="BS504" s="0" t="s">
        <v>228</v>
      </c>
      <c r="BT504" s="0" t="s">
        <v>3727</v>
      </c>
      <c r="BU504" s="0" t="s">
        <v>5092</v>
      </c>
      <c r="BV504" s="0" t="s">
        <v>5092</v>
      </c>
      <c r="BW504" s="0" t="s">
        <v>3674</v>
      </c>
      <c r="BX504" s="0" t="s">
        <v>3674</v>
      </c>
      <c r="BY504" s="0" t="s">
        <v>3674</v>
      </c>
      <c r="BZ504" s="0" t="s">
        <v>3674</v>
      </c>
      <c r="CA504" s="0" t="s">
        <v>3674</v>
      </c>
      <c r="CB504" s="0" t="s">
        <v>228</v>
      </c>
      <c r="CC504" s="0" t="s">
        <v>228</v>
      </c>
      <c r="CD504" s="0" t="s">
        <v>228</v>
      </c>
      <c r="CE504" s="0" t="s">
        <v>228</v>
      </c>
      <c r="CF504" s="0" t="s">
        <v>228</v>
      </c>
      <c r="CG504" s="0" t="s">
        <v>3674</v>
      </c>
      <c r="CH504" s="0" t="s">
        <v>228</v>
      </c>
      <c r="CI504" s="0" t="s">
        <v>228</v>
      </c>
      <c r="CJ504" s="0" t="s">
        <v>228</v>
      </c>
      <c r="CK504" s="0" t="s">
        <v>228</v>
      </c>
      <c r="CL504" s="0" t="s">
        <v>228</v>
      </c>
      <c r="CM504" s="0" t="s">
        <v>5092</v>
      </c>
      <c r="CN504" s="0" t="s">
        <v>5092</v>
      </c>
      <c r="CO504" s="0" t="s">
        <v>228</v>
      </c>
      <c r="CP504" s="0" t="s">
        <v>228</v>
      </c>
      <c r="CQ504" s="0" t="s">
        <v>228</v>
      </c>
      <c r="CR504" s="0" t="s">
        <v>228</v>
      </c>
      <c r="CS504" s="0" t="s">
        <v>3582</v>
      </c>
      <c r="CT504" s="0" t="s">
        <v>3568</v>
      </c>
      <c r="CU504" s="0" t="s">
        <v>3569</v>
      </c>
      <c r="CV504" s="0" t="s">
        <v>418</v>
      </c>
      <c r="CW504" s="0" t="s">
        <v>3584</v>
      </c>
      <c r="CX504" s="0" t="s">
        <v>419</v>
      </c>
      <c r="CY504" s="0" t="s">
        <v>418</v>
      </c>
      <c r="CZ504" s="0" t="s">
        <v>3585</v>
      </c>
      <c r="DA504" s="0" t="s">
        <v>3586</v>
      </c>
      <c r="DB504" s="0" t="s">
        <v>3584</v>
      </c>
      <c r="DC504" s="0" t="s">
        <v>362</v>
      </c>
      <c r="DD504" s="0" t="s">
        <v>3572</v>
      </c>
      <c r="DE504" s="0" t="s">
        <v>3789</v>
      </c>
    </row>
    <row customHeight="1" ht="11.25">
      <c r="A505" s="1353" t="s">
        <v>228</v>
      </c>
      <c r="B505" s="0" t="s">
        <v>228</v>
      </c>
      <c r="C505" s="0" t="s">
        <v>228</v>
      </c>
      <c r="D505" s="0" t="s">
        <v>228</v>
      </c>
      <c r="E505" s="0" t="s">
        <v>228</v>
      </c>
      <c r="F505" s="0" t="s">
        <v>228</v>
      </c>
      <c r="G505" s="0" t="s">
        <v>228</v>
      </c>
      <c r="H505" s="0" t="s">
        <v>228</v>
      </c>
      <c r="I505" s="0" t="s">
        <v>3555</v>
      </c>
      <c r="J505" s="0" t="s">
        <v>228</v>
      </c>
      <c r="K505" s="0" t="s">
        <v>228</v>
      </c>
      <c r="L505" s="0" t="s">
        <v>228</v>
      </c>
      <c r="M505" s="0" t="s">
        <v>228</v>
      </c>
      <c r="N505" s="0" t="s">
        <v>228</v>
      </c>
      <c r="O505" s="0" t="s">
        <v>228</v>
      </c>
      <c r="P505" s="0" t="s">
        <v>228</v>
      </c>
      <c r="Q505" s="0" t="s">
        <v>228</v>
      </c>
      <c r="R505" s="0" t="s">
        <v>3648</v>
      </c>
      <c r="S505" s="0" t="s">
        <v>228</v>
      </c>
      <c r="T505" s="0" t="s">
        <v>228</v>
      </c>
      <c r="U505" s="0" t="s">
        <v>101</v>
      </c>
      <c r="V505" s="0" t="s">
        <v>228</v>
      </c>
      <c r="W505" s="0" t="s">
        <v>228</v>
      </c>
      <c r="X505" s="0" t="s">
        <v>3557</v>
      </c>
      <c r="Y505" s="0" t="s">
        <v>228</v>
      </c>
      <c r="Z505" s="0" t="s">
        <v>160</v>
      </c>
      <c r="AA505" s="0" t="s">
        <v>151</v>
      </c>
      <c r="AB505" s="0" t="s">
        <v>151</v>
      </c>
      <c r="AC505" s="0" t="s">
        <v>2317</v>
      </c>
      <c r="AD505" s="0" t="s">
        <v>2317</v>
      </c>
      <c r="AE505" s="0" t="s">
        <v>2318</v>
      </c>
      <c r="AF505" s="0" t="s">
        <v>3804</v>
      </c>
      <c r="AG505" s="0" t="s">
        <v>3805</v>
      </c>
      <c r="AH505" s="0" t="s">
        <v>3806</v>
      </c>
      <c r="AI505" s="0" t="s">
        <v>3807</v>
      </c>
      <c r="AJ505" s="0" t="s">
        <v>3652</v>
      </c>
      <c r="AK505" s="0" t="s">
        <v>3808</v>
      </c>
      <c r="AL505" s="0" t="s">
        <v>3581</v>
      </c>
      <c r="AM505" s="0" t="s">
        <v>3565</v>
      </c>
      <c r="AN505" s="0" t="s">
        <v>3563</v>
      </c>
      <c r="AO505" s="0" t="s">
        <v>3591</v>
      </c>
      <c r="AP505" s="0" t="s">
        <v>228</v>
      </c>
      <c r="AQ505" s="0" t="s">
        <v>228</v>
      </c>
      <c r="AR505" s="0" t="s">
        <v>228</v>
      </c>
      <c r="AS505" s="0" t="s">
        <v>228</v>
      </c>
      <c r="AT505" s="0" t="s">
        <v>228</v>
      </c>
      <c r="AU505" s="0" t="s">
        <v>228</v>
      </c>
      <c r="AV505" s="0" t="s">
        <v>228</v>
      </c>
      <c r="AW505" s="0" t="s">
        <v>228</v>
      </c>
      <c r="AX505" s="0" t="s">
        <v>228</v>
      </c>
      <c r="AY505" s="0" t="s">
        <v>228</v>
      </c>
      <c r="AZ505" s="0" t="s">
        <v>228</v>
      </c>
      <c r="BA505" s="0" t="s">
        <v>228</v>
      </c>
      <c r="BB505" s="0" t="s">
        <v>228</v>
      </c>
      <c r="BC505" s="0" t="s">
        <v>228</v>
      </c>
      <c r="BD505" s="0" t="s">
        <v>228</v>
      </c>
      <c r="BE505" s="0" t="s">
        <v>228</v>
      </c>
      <c r="BF505" s="0" t="s">
        <v>228</v>
      </c>
      <c r="BG505" s="0" t="s">
        <v>228</v>
      </c>
      <c r="BH505" s="0" t="s">
        <v>228</v>
      </c>
      <c r="BI505" s="0" t="s">
        <v>228</v>
      </c>
      <c r="BJ505" s="0" t="s">
        <v>228</v>
      </c>
      <c r="BK505" s="0" t="s">
        <v>228</v>
      </c>
      <c r="BL505" s="0" t="s">
        <v>228</v>
      </c>
      <c r="BM505" s="0" t="s">
        <v>228</v>
      </c>
      <c r="BN505" s="0" t="s">
        <v>228</v>
      </c>
      <c r="BO505" s="0" t="s">
        <v>228</v>
      </c>
      <c r="BP505" s="0" t="s">
        <v>228</v>
      </c>
      <c r="BQ505" s="0" t="s">
        <v>228</v>
      </c>
      <c r="BR505" s="0" t="s">
        <v>228</v>
      </c>
      <c r="BS505" s="0" t="s">
        <v>228</v>
      </c>
      <c r="BT505" s="0" t="s">
        <v>228</v>
      </c>
      <c r="BU505" s="0" t="s">
        <v>228</v>
      </c>
      <c r="BV505" s="0" t="s">
        <v>228</v>
      </c>
      <c r="BW505" s="0" t="s">
        <v>228</v>
      </c>
      <c r="BX505" s="0" t="s">
        <v>228</v>
      </c>
      <c r="BY505" s="0" t="s">
        <v>228</v>
      </c>
      <c r="BZ505" s="0" t="s">
        <v>228</v>
      </c>
      <c r="CA505" s="0" t="s">
        <v>228</v>
      </c>
      <c r="CB505" s="0" t="s">
        <v>228</v>
      </c>
      <c r="CC505" s="0" t="s">
        <v>228</v>
      </c>
      <c r="CD505" s="0" t="s">
        <v>228</v>
      </c>
      <c r="CE505" s="0" t="s">
        <v>228</v>
      </c>
      <c r="CF505" s="0" t="s">
        <v>228</v>
      </c>
      <c r="CG505" s="0" t="s">
        <v>228</v>
      </c>
      <c r="CH505" s="0" t="s">
        <v>228</v>
      </c>
      <c r="CI505" s="0" t="s">
        <v>228</v>
      </c>
      <c r="CJ505" s="0" t="s">
        <v>228</v>
      </c>
      <c r="CK505" s="0" t="s">
        <v>228</v>
      </c>
      <c r="CL505" s="0" t="s">
        <v>228</v>
      </c>
      <c r="CM505" s="0" t="s">
        <v>228</v>
      </c>
      <c r="CN505" s="0" t="s">
        <v>228</v>
      </c>
      <c r="CO505" s="0" t="s">
        <v>228</v>
      </c>
      <c r="CP505" s="0" t="s">
        <v>228</v>
      </c>
      <c r="CQ505" s="0" t="s">
        <v>228</v>
      </c>
      <c r="CR505" s="0" t="s">
        <v>228</v>
      </c>
      <c r="CS505" s="0" t="s">
        <v>228</v>
      </c>
      <c r="CT505" s="0" t="s">
        <v>3568</v>
      </c>
      <c r="CU505" s="0" t="s">
        <v>3569</v>
      </c>
      <c r="CV505" s="0" t="s">
        <v>418</v>
      </c>
      <c r="CW505" s="0" t="s">
        <v>3622</v>
      </c>
      <c r="CX505" s="0" t="s">
        <v>419</v>
      </c>
      <c r="CY505" s="0" t="s">
        <v>418</v>
      </c>
      <c r="CZ505" s="0" t="s">
        <v>3623</v>
      </c>
      <c r="DA505" s="0" t="s">
        <v>3624</v>
      </c>
      <c r="DB505" s="0" t="s">
        <v>3622</v>
      </c>
      <c r="DC505" s="0" t="s">
        <v>362</v>
      </c>
      <c r="DD505" s="0" t="s">
        <v>3572</v>
      </c>
      <c r="DE505" s="0" t="s">
        <v>3809</v>
      </c>
    </row>
    <row customHeight="1" ht="11.25">
      <c r="A506" s="1353" t="s">
        <v>228</v>
      </c>
      <c r="B506" s="0" t="s">
        <v>228</v>
      </c>
      <c r="C506" s="0" t="s">
        <v>228</v>
      </c>
      <c r="D506" s="0" t="s">
        <v>228</v>
      </c>
      <c r="E506" s="0" t="s">
        <v>228</v>
      </c>
      <c r="F506" s="0" t="s">
        <v>228</v>
      </c>
      <c r="G506" s="0" t="s">
        <v>228</v>
      </c>
      <c r="H506" s="0" t="s">
        <v>228</v>
      </c>
      <c r="I506" s="0" t="s">
        <v>3555</v>
      </c>
      <c r="J506" s="0" t="s">
        <v>228</v>
      </c>
      <c r="K506" s="0" t="s">
        <v>228</v>
      </c>
      <c r="L506" s="0" t="s">
        <v>228</v>
      </c>
      <c r="M506" s="0" t="s">
        <v>228</v>
      </c>
      <c r="N506" s="0" t="s">
        <v>228</v>
      </c>
      <c r="O506" s="0" t="s">
        <v>228</v>
      </c>
      <c r="P506" s="0" t="s">
        <v>228</v>
      </c>
      <c r="Q506" s="0" t="s">
        <v>228</v>
      </c>
      <c r="R506" s="0" t="s">
        <v>3648</v>
      </c>
      <c r="S506" s="0" t="s">
        <v>228</v>
      </c>
      <c r="T506" s="0" t="s">
        <v>228</v>
      </c>
      <c r="U506" s="0" t="s">
        <v>101</v>
      </c>
      <c r="V506" s="0" t="s">
        <v>228</v>
      </c>
      <c r="W506" s="0" t="s">
        <v>228</v>
      </c>
      <c r="X506" s="0" t="s">
        <v>3557</v>
      </c>
      <c r="Y506" s="0" t="s">
        <v>228</v>
      </c>
      <c r="Z506" s="0" t="s">
        <v>160</v>
      </c>
      <c r="AA506" s="0" t="s">
        <v>151</v>
      </c>
      <c r="AB506" s="0" t="s">
        <v>151</v>
      </c>
      <c r="AC506" s="0" t="s">
        <v>2317</v>
      </c>
      <c r="AD506" s="0" t="s">
        <v>2317</v>
      </c>
      <c r="AE506" s="0" t="s">
        <v>2318</v>
      </c>
      <c r="AF506" s="0" t="s">
        <v>3804</v>
      </c>
      <c r="AG506" s="0" t="s">
        <v>3805</v>
      </c>
      <c r="AH506" s="0" t="s">
        <v>3810</v>
      </c>
      <c r="AI506" s="0" t="s">
        <v>3811</v>
      </c>
      <c r="AJ506" s="0" t="s">
        <v>3627</v>
      </c>
      <c r="AK506" s="0" t="s">
        <v>3619</v>
      </c>
      <c r="AL506" s="0" t="s">
        <v>3581</v>
      </c>
      <c r="AM506" s="0" t="s">
        <v>3565</v>
      </c>
      <c r="AN506" s="0" t="s">
        <v>3563</v>
      </c>
      <c r="AO506" s="0" t="s">
        <v>3812</v>
      </c>
      <c r="AP506" s="0" t="s">
        <v>228</v>
      </c>
      <c r="AQ506" s="0" t="s">
        <v>228</v>
      </c>
      <c r="AR506" s="0" t="s">
        <v>228</v>
      </c>
      <c r="AS506" s="0" t="s">
        <v>228</v>
      </c>
      <c r="AT506" s="0" t="s">
        <v>228</v>
      </c>
      <c r="AU506" s="0" t="s">
        <v>228</v>
      </c>
      <c r="AV506" s="0" t="s">
        <v>228</v>
      </c>
      <c r="AW506" s="0" t="s">
        <v>228</v>
      </c>
      <c r="AX506" s="0" t="s">
        <v>228</v>
      </c>
      <c r="AY506" s="0" t="s">
        <v>228</v>
      </c>
      <c r="AZ506" s="0" t="s">
        <v>228</v>
      </c>
      <c r="BA506" s="0" t="s">
        <v>228</v>
      </c>
      <c r="BB506" s="0" t="s">
        <v>228</v>
      </c>
      <c r="BC506" s="0" t="s">
        <v>228</v>
      </c>
      <c r="BD506" s="0" t="s">
        <v>228</v>
      </c>
      <c r="BE506" s="0" t="s">
        <v>228</v>
      </c>
      <c r="BF506" s="0" t="s">
        <v>228</v>
      </c>
      <c r="BG506" s="0" t="s">
        <v>228</v>
      </c>
      <c r="BH506" s="0" t="s">
        <v>228</v>
      </c>
      <c r="BI506" s="0" t="s">
        <v>228</v>
      </c>
      <c r="BJ506" s="0" t="s">
        <v>228</v>
      </c>
      <c r="BK506" s="0" t="s">
        <v>228</v>
      </c>
      <c r="BL506" s="0" t="s">
        <v>228</v>
      </c>
      <c r="BM506" s="0" t="s">
        <v>228</v>
      </c>
      <c r="BN506" s="0" t="s">
        <v>228</v>
      </c>
      <c r="BO506" s="0" t="s">
        <v>228</v>
      </c>
      <c r="BP506" s="0" t="s">
        <v>228</v>
      </c>
      <c r="BQ506" s="0" t="s">
        <v>228</v>
      </c>
      <c r="BR506" s="0" t="s">
        <v>228</v>
      </c>
      <c r="BS506" s="0" t="s">
        <v>228</v>
      </c>
      <c r="BT506" s="0" t="s">
        <v>228</v>
      </c>
      <c r="BU506" s="0" t="s">
        <v>228</v>
      </c>
      <c r="BV506" s="0" t="s">
        <v>228</v>
      </c>
      <c r="BW506" s="0" t="s">
        <v>228</v>
      </c>
      <c r="BX506" s="0" t="s">
        <v>228</v>
      </c>
      <c r="BY506" s="0" t="s">
        <v>228</v>
      </c>
      <c r="BZ506" s="0" t="s">
        <v>228</v>
      </c>
      <c r="CA506" s="0" t="s">
        <v>228</v>
      </c>
      <c r="CB506" s="0" t="s">
        <v>228</v>
      </c>
      <c r="CC506" s="0" t="s">
        <v>228</v>
      </c>
      <c r="CD506" s="0" t="s">
        <v>228</v>
      </c>
      <c r="CE506" s="0" t="s">
        <v>228</v>
      </c>
      <c r="CF506" s="0" t="s">
        <v>228</v>
      </c>
      <c r="CG506" s="0" t="s">
        <v>228</v>
      </c>
      <c r="CH506" s="0" t="s">
        <v>228</v>
      </c>
      <c r="CI506" s="0" t="s">
        <v>228</v>
      </c>
      <c r="CJ506" s="0" t="s">
        <v>228</v>
      </c>
      <c r="CK506" s="0" t="s">
        <v>228</v>
      </c>
      <c r="CL506" s="0" t="s">
        <v>228</v>
      </c>
      <c r="CM506" s="0" t="s">
        <v>228</v>
      </c>
      <c r="CN506" s="0" t="s">
        <v>228</v>
      </c>
      <c r="CO506" s="0" t="s">
        <v>228</v>
      </c>
      <c r="CP506" s="0" t="s">
        <v>228</v>
      </c>
      <c r="CQ506" s="0" t="s">
        <v>228</v>
      </c>
      <c r="CR506" s="0" t="s">
        <v>228</v>
      </c>
      <c r="CS506" s="0" t="s">
        <v>228</v>
      </c>
      <c r="CT506" s="0" t="s">
        <v>3568</v>
      </c>
      <c r="CU506" s="0" t="s">
        <v>3569</v>
      </c>
      <c r="CV506" s="0" t="s">
        <v>418</v>
      </c>
      <c r="CW506" s="0" t="s">
        <v>3622</v>
      </c>
      <c r="CX506" s="0" t="s">
        <v>419</v>
      </c>
      <c r="CY506" s="0" t="s">
        <v>418</v>
      </c>
      <c r="CZ506" s="0" t="s">
        <v>3623</v>
      </c>
      <c r="DA506" s="0" t="s">
        <v>3624</v>
      </c>
      <c r="DB506" s="0" t="s">
        <v>3622</v>
      </c>
      <c r="DC506" s="0" t="s">
        <v>362</v>
      </c>
      <c r="DD506" s="0" t="s">
        <v>3572</v>
      </c>
      <c r="DE506" s="0" t="s">
        <v>3813</v>
      </c>
    </row>
    <row customHeight="1" ht="11.25">
      <c r="A507" s="1353" t="s">
        <v>228</v>
      </c>
      <c r="B507" s="0" t="s">
        <v>228</v>
      </c>
      <c r="C507" s="0" t="s">
        <v>228</v>
      </c>
      <c r="D507" s="0" t="s">
        <v>228</v>
      </c>
      <c r="E507" s="0" t="s">
        <v>228</v>
      </c>
      <c r="F507" s="0" t="s">
        <v>228</v>
      </c>
      <c r="G507" s="0" t="s">
        <v>228</v>
      </c>
      <c r="H507" s="0" t="s">
        <v>228</v>
      </c>
      <c r="I507" s="0" t="s">
        <v>3555</v>
      </c>
      <c r="J507" s="0" t="s">
        <v>228</v>
      </c>
      <c r="K507" s="0" t="s">
        <v>228</v>
      </c>
      <c r="L507" s="0" t="s">
        <v>228</v>
      </c>
      <c r="M507" s="0" t="s">
        <v>228</v>
      </c>
      <c r="N507" s="0" t="s">
        <v>228</v>
      </c>
      <c r="O507" s="0" t="s">
        <v>228</v>
      </c>
      <c r="P507" s="0" t="s">
        <v>228</v>
      </c>
      <c r="Q507" s="0" t="s">
        <v>228</v>
      </c>
      <c r="R507" s="0" t="s">
        <v>5093</v>
      </c>
      <c r="S507" s="0" t="s">
        <v>228</v>
      </c>
      <c r="T507" s="0" t="s">
        <v>228</v>
      </c>
      <c r="U507" s="0" t="s">
        <v>101</v>
      </c>
      <c r="V507" s="0" t="s">
        <v>228</v>
      </c>
      <c r="W507" s="0" t="s">
        <v>228</v>
      </c>
      <c r="X507" s="0" t="s">
        <v>3557</v>
      </c>
      <c r="Y507" s="0" t="s">
        <v>228</v>
      </c>
      <c r="Z507" s="0" t="s">
        <v>160</v>
      </c>
      <c r="AA507" s="0" t="s">
        <v>151</v>
      </c>
      <c r="AB507" s="0" t="s">
        <v>151</v>
      </c>
      <c r="AC507" s="0" t="s">
        <v>2715</v>
      </c>
      <c r="AD507" s="0" t="s">
        <v>2715</v>
      </c>
      <c r="AE507" s="0" t="s">
        <v>2716</v>
      </c>
      <c r="AF507" s="0" t="s">
        <v>3594</v>
      </c>
      <c r="AG507" s="0" t="s">
        <v>3595</v>
      </c>
      <c r="AH507" s="0" t="s">
        <v>3815</v>
      </c>
      <c r="AI507" s="0" t="s">
        <v>3608</v>
      </c>
      <c r="AJ507" s="0" t="s">
        <v>3793</v>
      </c>
      <c r="AK507" s="0" t="s">
        <v>3816</v>
      </c>
      <c r="AL507" s="0" t="s">
        <v>3564</v>
      </c>
      <c r="AM507" s="0" t="s">
        <v>3565</v>
      </c>
      <c r="AN507" s="0" t="s">
        <v>3817</v>
      </c>
      <c r="AO507" s="0" t="s">
        <v>3818</v>
      </c>
      <c r="AP507" s="0" t="s">
        <v>228</v>
      </c>
      <c r="AQ507" s="0" t="s">
        <v>228</v>
      </c>
      <c r="AR507" s="0" t="s">
        <v>228</v>
      </c>
      <c r="AS507" s="0" t="s">
        <v>228</v>
      </c>
      <c r="AT507" s="0" t="s">
        <v>228</v>
      </c>
      <c r="AU507" s="0" t="s">
        <v>228</v>
      </c>
      <c r="AV507" s="0" t="s">
        <v>228</v>
      </c>
      <c r="AW507" s="0" t="s">
        <v>228</v>
      </c>
      <c r="AX507" s="0" t="s">
        <v>228</v>
      </c>
      <c r="AY507" s="0" t="s">
        <v>228</v>
      </c>
      <c r="AZ507" s="0" t="s">
        <v>228</v>
      </c>
      <c r="BA507" s="0" t="s">
        <v>228</v>
      </c>
      <c r="BB507" s="0" t="s">
        <v>228</v>
      </c>
      <c r="BC507" s="0" t="s">
        <v>228</v>
      </c>
      <c r="BD507" s="0" t="s">
        <v>228</v>
      </c>
      <c r="BE507" s="0" t="s">
        <v>228</v>
      </c>
      <c r="BF507" s="0" t="s">
        <v>228</v>
      </c>
      <c r="BG507" s="0" t="s">
        <v>228</v>
      </c>
      <c r="BH507" s="0" t="s">
        <v>228</v>
      </c>
      <c r="BI507" s="0" t="s">
        <v>228</v>
      </c>
      <c r="BJ507" s="0" t="s">
        <v>228</v>
      </c>
      <c r="BK507" s="0" t="s">
        <v>228</v>
      </c>
      <c r="BL507" s="0" t="s">
        <v>228</v>
      </c>
      <c r="BM507" s="0" t="s">
        <v>228</v>
      </c>
      <c r="BN507" s="0" t="s">
        <v>228</v>
      </c>
      <c r="BO507" s="0" t="s">
        <v>228</v>
      </c>
      <c r="BP507" s="0" t="s">
        <v>228</v>
      </c>
      <c r="BQ507" s="0" t="s">
        <v>228</v>
      </c>
      <c r="BR507" s="0" t="s">
        <v>228</v>
      </c>
      <c r="BS507" s="0" t="s">
        <v>228</v>
      </c>
      <c r="BT507" s="0" t="s">
        <v>228</v>
      </c>
      <c r="BU507" s="0" t="s">
        <v>228</v>
      </c>
      <c r="BV507" s="0" t="s">
        <v>228</v>
      </c>
      <c r="BW507" s="0" t="s">
        <v>228</v>
      </c>
      <c r="BX507" s="0" t="s">
        <v>228</v>
      </c>
      <c r="BY507" s="0" t="s">
        <v>228</v>
      </c>
      <c r="BZ507" s="0" t="s">
        <v>228</v>
      </c>
      <c r="CA507" s="0" t="s">
        <v>228</v>
      </c>
      <c r="CB507" s="0" t="s">
        <v>228</v>
      </c>
      <c r="CC507" s="0" t="s">
        <v>228</v>
      </c>
      <c r="CD507" s="0" t="s">
        <v>228</v>
      </c>
      <c r="CE507" s="0" t="s">
        <v>228</v>
      </c>
      <c r="CF507" s="0" t="s">
        <v>228</v>
      </c>
      <c r="CG507" s="0" t="s">
        <v>228</v>
      </c>
      <c r="CH507" s="0" t="s">
        <v>228</v>
      </c>
      <c r="CI507" s="0" t="s">
        <v>228</v>
      </c>
      <c r="CJ507" s="0" t="s">
        <v>228</v>
      </c>
      <c r="CK507" s="0" t="s">
        <v>228</v>
      </c>
      <c r="CL507" s="0" t="s">
        <v>228</v>
      </c>
      <c r="CM507" s="0" t="s">
        <v>228</v>
      </c>
      <c r="CN507" s="0" t="s">
        <v>228</v>
      </c>
      <c r="CO507" s="0" t="s">
        <v>228</v>
      </c>
      <c r="CP507" s="0" t="s">
        <v>228</v>
      </c>
      <c r="CQ507" s="0" t="s">
        <v>228</v>
      </c>
      <c r="CR507" s="0" t="s">
        <v>228</v>
      </c>
      <c r="CS507" s="0" t="s">
        <v>228</v>
      </c>
      <c r="CT507" s="0" t="s">
        <v>3568</v>
      </c>
      <c r="CU507" s="0" t="s">
        <v>3569</v>
      </c>
      <c r="CV507" s="0" t="s">
        <v>418</v>
      </c>
      <c r="CW507" s="0" t="s">
        <v>3602</v>
      </c>
      <c r="CX507" s="0" t="s">
        <v>3603</v>
      </c>
      <c r="CY507" s="0" t="s">
        <v>418</v>
      </c>
      <c r="CZ507" s="0" t="s">
        <v>504</v>
      </c>
      <c r="DA507" s="0" t="s">
        <v>3604</v>
      </c>
      <c r="DB507" s="0" t="s">
        <v>3602</v>
      </c>
      <c r="DC507" s="0" t="s">
        <v>362</v>
      </c>
      <c r="DD507" s="0" t="s">
        <v>3572</v>
      </c>
      <c r="DE507" s="0" t="s">
        <v>3819</v>
      </c>
    </row>
    <row customHeight="1" ht="11.25">
      <c r="A508" s="1353" t="s">
        <v>228</v>
      </c>
      <c r="B508" s="0" t="s">
        <v>228</v>
      </c>
      <c r="C508" s="0" t="s">
        <v>228</v>
      </c>
      <c r="D508" s="0" t="s">
        <v>228</v>
      </c>
      <c r="E508" s="0" t="s">
        <v>228</v>
      </c>
      <c r="F508" s="0" t="s">
        <v>228</v>
      </c>
      <c r="G508" s="0" t="s">
        <v>228</v>
      </c>
      <c r="H508" s="0" t="s">
        <v>228</v>
      </c>
      <c r="I508" s="0" t="s">
        <v>3555</v>
      </c>
      <c r="J508" s="0" t="s">
        <v>228</v>
      </c>
      <c r="K508" s="0" t="s">
        <v>228</v>
      </c>
      <c r="L508" s="0" t="s">
        <v>228</v>
      </c>
      <c r="M508" s="0" t="s">
        <v>228</v>
      </c>
      <c r="N508" s="0" t="s">
        <v>228</v>
      </c>
      <c r="O508" s="0" t="s">
        <v>228</v>
      </c>
      <c r="P508" s="0" t="s">
        <v>228</v>
      </c>
      <c r="Q508" s="0" t="s">
        <v>228</v>
      </c>
      <c r="R508" s="0" t="s">
        <v>4138</v>
      </c>
      <c r="S508" s="0" t="s">
        <v>228</v>
      </c>
      <c r="T508" s="0" t="s">
        <v>228</v>
      </c>
      <c r="U508" s="0" t="s">
        <v>101</v>
      </c>
      <c r="V508" s="0" t="s">
        <v>228</v>
      </c>
      <c r="W508" s="0" t="s">
        <v>228</v>
      </c>
      <c r="X508" s="0" t="s">
        <v>3661</v>
      </c>
      <c r="Y508" s="0" t="s">
        <v>228</v>
      </c>
      <c r="Z508" s="0" t="s">
        <v>151</v>
      </c>
      <c r="AA508" s="0" t="s">
        <v>151</v>
      </c>
      <c r="AB508" s="0" t="s">
        <v>160</v>
      </c>
      <c r="AC508" s="0" t="s">
        <v>2317</v>
      </c>
      <c r="AD508" s="0" t="s">
        <v>2317</v>
      </c>
      <c r="AE508" s="0" t="s">
        <v>2318</v>
      </c>
      <c r="AF508" s="0" t="s">
        <v>4133</v>
      </c>
      <c r="AG508" s="0" t="s">
        <v>4134</v>
      </c>
      <c r="AH508" s="0" t="s">
        <v>3651</v>
      </c>
      <c r="AI508" s="0" t="s">
        <v>3651</v>
      </c>
      <c r="AJ508" s="0" t="s">
        <v>228</v>
      </c>
      <c r="AK508" s="0" t="s">
        <v>228</v>
      </c>
      <c r="AL508" s="0" t="s">
        <v>228</v>
      </c>
      <c r="AM508" s="0" t="s">
        <v>228</v>
      </c>
      <c r="AN508" s="0" t="s">
        <v>228</v>
      </c>
      <c r="AO508" s="0" t="s">
        <v>228</v>
      </c>
      <c r="AP508" s="0" t="s">
        <v>228</v>
      </c>
      <c r="AQ508" s="0" t="s">
        <v>228</v>
      </c>
      <c r="AR508" s="0" t="s">
        <v>228</v>
      </c>
      <c r="AS508" s="0" t="s">
        <v>228</v>
      </c>
      <c r="AT508" s="0" t="s">
        <v>228</v>
      </c>
      <c r="AU508" s="0" t="s">
        <v>228</v>
      </c>
      <c r="AV508" s="0" t="s">
        <v>228</v>
      </c>
      <c r="AW508" s="0" t="s">
        <v>228</v>
      </c>
      <c r="AX508" s="0" t="s">
        <v>228</v>
      </c>
      <c r="AY508" s="0" t="s">
        <v>228</v>
      </c>
      <c r="AZ508" s="0" t="s">
        <v>228</v>
      </c>
      <c r="BA508" s="0" t="s">
        <v>228</v>
      </c>
      <c r="BB508" s="0" t="s">
        <v>228</v>
      </c>
      <c r="BC508" s="0" t="s">
        <v>228</v>
      </c>
      <c r="BD508" s="0" t="s">
        <v>228</v>
      </c>
      <c r="BE508" s="0" t="s">
        <v>3627</v>
      </c>
      <c r="BF508" s="0" t="s">
        <v>3749</v>
      </c>
      <c r="BG508" s="0" t="s">
        <v>111</v>
      </c>
      <c r="BH508" s="0" t="s">
        <v>3665</v>
      </c>
      <c r="BI508" s="0" t="s">
        <v>122</v>
      </c>
      <c r="BJ508" s="0" t="s">
        <v>228</v>
      </c>
      <c r="BK508" s="0" t="s">
        <v>3684</v>
      </c>
      <c r="BL508" s="0" t="s">
        <v>2317</v>
      </c>
      <c r="BM508" s="0" t="s">
        <v>2317</v>
      </c>
      <c r="BN508" s="0" t="s">
        <v>3740</v>
      </c>
      <c r="BO508" s="0" t="s">
        <v>4133</v>
      </c>
      <c r="BP508" s="0" t="s">
        <v>4139</v>
      </c>
      <c r="BQ508" s="0" t="s">
        <v>3651</v>
      </c>
      <c r="BR508" s="0" t="s">
        <v>3651</v>
      </c>
      <c r="BS508" s="0" t="s">
        <v>228</v>
      </c>
      <c r="BT508" s="0" t="s">
        <v>3727</v>
      </c>
      <c r="BU508" s="0" t="s">
        <v>4140</v>
      </c>
      <c r="BV508" s="0" t="s">
        <v>4140</v>
      </c>
      <c r="BW508" s="0" t="s">
        <v>3674</v>
      </c>
      <c r="BX508" s="0" t="s">
        <v>3674</v>
      </c>
      <c r="BY508" s="0" t="s">
        <v>3674</v>
      </c>
      <c r="BZ508" s="0" t="s">
        <v>3674</v>
      </c>
      <c r="CA508" s="0" t="s">
        <v>3674</v>
      </c>
      <c r="CB508" s="0" t="s">
        <v>228</v>
      </c>
      <c r="CC508" s="0" t="s">
        <v>228</v>
      </c>
      <c r="CD508" s="0" t="s">
        <v>228</v>
      </c>
      <c r="CE508" s="0" t="s">
        <v>228</v>
      </c>
      <c r="CF508" s="0" t="s">
        <v>228</v>
      </c>
      <c r="CG508" s="0" t="s">
        <v>3674</v>
      </c>
      <c r="CH508" s="0" t="s">
        <v>228</v>
      </c>
      <c r="CI508" s="0" t="s">
        <v>228</v>
      </c>
      <c r="CJ508" s="0" t="s">
        <v>228</v>
      </c>
      <c r="CK508" s="0" t="s">
        <v>228</v>
      </c>
      <c r="CL508" s="0" t="s">
        <v>228</v>
      </c>
      <c r="CM508" s="0" t="s">
        <v>4140</v>
      </c>
      <c r="CN508" s="0" t="s">
        <v>4140</v>
      </c>
      <c r="CO508" s="0" t="s">
        <v>228</v>
      </c>
      <c r="CP508" s="0" t="s">
        <v>228</v>
      </c>
      <c r="CQ508" s="0" t="s">
        <v>228</v>
      </c>
      <c r="CR508" s="0" t="s">
        <v>228</v>
      </c>
      <c r="CS508" s="0" t="s">
        <v>3743</v>
      </c>
      <c r="CT508" s="0" t="s">
        <v>3568</v>
      </c>
      <c r="CU508" s="0" t="s">
        <v>3569</v>
      </c>
      <c r="CV508" s="0" t="s">
        <v>418</v>
      </c>
      <c r="CW508" s="0" t="s">
        <v>3622</v>
      </c>
      <c r="CX508" s="0" t="s">
        <v>419</v>
      </c>
      <c r="CY508" s="0" t="s">
        <v>418</v>
      </c>
      <c r="CZ508" s="0" t="s">
        <v>3623</v>
      </c>
      <c r="DA508" s="0" t="s">
        <v>3624</v>
      </c>
      <c r="DB508" s="0" t="s">
        <v>3622</v>
      </c>
      <c r="DC508" s="0" t="s">
        <v>362</v>
      </c>
      <c r="DD508" s="0" t="s">
        <v>3572</v>
      </c>
      <c r="DE508" s="0" t="s">
        <v>4141</v>
      </c>
    </row>
    <row customHeight="1" ht="11.25">
      <c r="A509" s="1353" t="s">
        <v>228</v>
      </c>
      <c r="B509" s="0" t="s">
        <v>228</v>
      </c>
      <c r="C509" s="0" t="s">
        <v>228</v>
      </c>
      <c r="D509" s="0" t="s">
        <v>228</v>
      </c>
      <c r="E509" s="0" t="s">
        <v>228</v>
      </c>
      <c r="F509" s="0" t="s">
        <v>228</v>
      </c>
      <c r="G509" s="0" t="s">
        <v>228</v>
      </c>
      <c r="H509" s="0" t="s">
        <v>228</v>
      </c>
      <c r="I509" s="0" t="s">
        <v>3555</v>
      </c>
      <c r="J509" s="0" t="s">
        <v>228</v>
      </c>
      <c r="K509" s="0" t="s">
        <v>228</v>
      </c>
      <c r="L509" s="0" t="s">
        <v>228</v>
      </c>
      <c r="M509" s="0" t="s">
        <v>228</v>
      </c>
      <c r="N509" s="0" t="s">
        <v>228</v>
      </c>
      <c r="O509" s="0" t="s">
        <v>228</v>
      </c>
      <c r="P509" s="0" t="s">
        <v>228</v>
      </c>
      <c r="Q509" s="0" t="s">
        <v>228</v>
      </c>
      <c r="R509" s="0" t="s">
        <v>3648</v>
      </c>
      <c r="S509" s="0" t="s">
        <v>228</v>
      </c>
      <c r="T509" s="0" t="s">
        <v>228</v>
      </c>
      <c r="U509" s="0" t="s">
        <v>101</v>
      </c>
      <c r="V509" s="0" t="s">
        <v>228</v>
      </c>
      <c r="W509" s="0" t="s">
        <v>228</v>
      </c>
      <c r="X509" s="0" t="s">
        <v>3557</v>
      </c>
      <c r="Y509" s="0" t="s">
        <v>228</v>
      </c>
      <c r="Z509" s="0" t="s">
        <v>160</v>
      </c>
      <c r="AA509" s="0" t="s">
        <v>151</v>
      </c>
      <c r="AB509" s="0" t="s">
        <v>151</v>
      </c>
      <c r="AC509" s="0" t="s">
        <v>2317</v>
      </c>
      <c r="AD509" s="0" t="s">
        <v>2317</v>
      </c>
      <c r="AE509" s="0" t="s">
        <v>2318</v>
      </c>
      <c r="AF509" s="0" t="s">
        <v>4200</v>
      </c>
      <c r="AG509" s="0" t="s">
        <v>4201</v>
      </c>
      <c r="AH509" s="0" t="s">
        <v>3851</v>
      </c>
      <c r="AI509" s="0" t="s">
        <v>3807</v>
      </c>
      <c r="AJ509" s="0" t="s">
        <v>3627</v>
      </c>
      <c r="AK509" s="0" t="s">
        <v>3749</v>
      </c>
      <c r="AL509" s="0" t="s">
        <v>3581</v>
      </c>
      <c r="AM509" s="0" t="s">
        <v>3565</v>
      </c>
      <c r="AN509" s="0" t="s">
        <v>3628</v>
      </c>
      <c r="AO509" s="0" t="s">
        <v>3829</v>
      </c>
      <c r="AP509" s="0" t="s">
        <v>228</v>
      </c>
      <c r="AQ509" s="0" t="s">
        <v>228</v>
      </c>
      <c r="AR509" s="0" t="s">
        <v>228</v>
      </c>
      <c r="AS509" s="0" t="s">
        <v>228</v>
      </c>
      <c r="AT509" s="0" t="s">
        <v>228</v>
      </c>
      <c r="AU509" s="0" t="s">
        <v>228</v>
      </c>
      <c r="AV509" s="0" t="s">
        <v>228</v>
      </c>
      <c r="AW509" s="0" t="s">
        <v>228</v>
      </c>
      <c r="AX509" s="0" t="s">
        <v>228</v>
      </c>
      <c r="AY509" s="0" t="s">
        <v>228</v>
      </c>
      <c r="AZ509" s="0" t="s">
        <v>228</v>
      </c>
      <c r="BA509" s="0" t="s">
        <v>228</v>
      </c>
      <c r="BB509" s="0" t="s">
        <v>228</v>
      </c>
      <c r="BC509" s="0" t="s">
        <v>228</v>
      </c>
      <c r="BD509" s="0" t="s">
        <v>228</v>
      </c>
      <c r="BE509" s="0" t="s">
        <v>228</v>
      </c>
      <c r="BF509" s="0" t="s">
        <v>228</v>
      </c>
      <c r="BG509" s="0" t="s">
        <v>228</v>
      </c>
      <c r="BH509" s="0" t="s">
        <v>228</v>
      </c>
      <c r="BI509" s="0" t="s">
        <v>228</v>
      </c>
      <c r="BJ509" s="0" t="s">
        <v>228</v>
      </c>
      <c r="BK509" s="0" t="s">
        <v>228</v>
      </c>
      <c r="BL509" s="0" t="s">
        <v>228</v>
      </c>
      <c r="BM509" s="0" t="s">
        <v>228</v>
      </c>
      <c r="BN509" s="0" t="s">
        <v>228</v>
      </c>
      <c r="BO509" s="0" t="s">
        <v>228</v>
      </c>
      <c r="BP509" s="0" t="s">
        <v>228</v>
      </c>
      <c r="BQ509" s="0" t="s">
        <v>228</v>
      </c>
      <c r="BR509" s="0" t="s">
        <v>228</v>
      </c>
      <c r="BS509" s="0" t="s">
        <v>228</v>
      </c>
      <c r="BT509" s="0" t="s">
        <v>228</v>
      </c>
      <c r="BU509" s="0" t="s">
        <v>228</v>
      </c>
      <c r="BV509" s="0" t="s">
        <v>228</v>
      </c>
      <c r="BW509" s="0" t="s">
        <v>228</v>
      </c>
      <c r="BX509" s="0" t="s">
        <v>228</v>
      </c>
      <c r="BY509" s="0" t="s">
        <v>228</v>
      </c>
      <c r="BZ509" s="0" t="s">
        <v>228</v>
      </c>
      <c r="CA509" s="0" t="s">
        <v>228</v>
      </c>
      <c r="CB509" s="0" t="s">
        <v>228</v>
      </c>
      <c r="CC509" s="0" t="s">
        <v>228</v>
      </c>
      <c r="CD509" s="0" t="s">
        <v>228</v>
      </c>
      <c r="CE509" s="0" t="s">
        <v>228</v>
      </c>
      <c r="CF509" s="0" t="s">
        <v>228</v>
      </c>
      <c r="CG509" s="0" t="s">
        <v>228</v>
      </c>
      <c r="CH509" s="0" t="s">
        <v>228</v>
      </c>
      <c r="CI509" s="0" t="s">
        <v>228</v>
      </c>
      <c r="CJ509" s="0" t="s">
        <v>228</v>
      </c>
      <c r="CK509" s="0" t="s">
        <v>228</v>
      </c>
      <c r="CL509" s="0" t="s">
        <v>228</v>
      </c>
      <c r="CM509" s="0" t="s">
        <v>228</v>
      </c>
      <c r="CN509" s="0" t="s">
        <v>228</v>
      </c>
      <c r="CO509" s="0" t="s">
        <v>228</v>
      </c>
      <c r="CP509" s="0" t="s">
        <v>228</v>
      </c>
      <c r="CQ509" s="0" t="s">
        <v>228</v>
      </c>
      <c r="CR509" s="0" t="s">
        <v>228</v>
      </c>
      <c r="CS509" s="0" t="s">
        <v>228</v>
      </c>
      <c r="CT509" s="0" t="s">
        <v>3568</v>
      </c>
      <c r="CU509" s="0" t="s">
        <v>3569</v>
      </c>
      <c r="CV509" s="0" t="s">
        <v>418</v>
      </c>
      <c r="CW509" s="0" t="s">
        <v>3622</v>
      </c>
      <c r="CX509" s="0" t="s">
        <v>419</v>
      </c>
      <c r="CY509" s="0" t="s">
        <v>418</v>
      </c>
      <c r="CZ509" s="0" t="s">
        <v>3623</v>
      </c>
      <c r="DA509" s="0" t="s">
        <v>3624</v>
      </c>
      <c r="DB509" s="0" t="s">
        <v>3622</v>
      </c>
      <c r="DC509" s="0" t="s">
        <v>362</v>
      </c>
      <c r="DD509" s="0" t="s">
        <v>3572</v>
      </c>
      <c r="DE509" s="0" t="s">
        <v>4202</v>
      </c>
    </row>
    <row customHeight="1" ht="11.25">
      <c r="A510" s="1353" t="s">
        <v>228</v>
      </c>
      <c r="B510" s="0" t="s">
        <v>228</v>
      </c>
      <c r="C510" s="0" t="s">
        <v>228</v>
      </c>
      <c r="D510" s="0" t="s">
        <v>228</v>
      </c>
      <c r="E510" s="0" t="s">
        <v>228</v>
      </c>
      <c r="F510" s="0" t="s">
        <v>228</v>
      </c>
      <c r="G510" s="0" t="s">
        <v>228</v>
      </c>
      <c r="H510" s="0" t="s">
        <v>228</v>
      </c>
      <c r="I510" s="0" t="s">
        <v>3555</v>
      </c>
      <c r="J510" s="0" t="s">
        <v>228</v>
      </c>
      <c r="K510" s="0" t="s">
        <v>228</v>
      </c>
      <c r="L510" s="0" t="s">
        <v>228</v>
      </c>
      <c r="M510" s="0" t="s">
        <v>228</v>
      </c>
      <c r="N510" s="0" t="s">
        <v>228</v>
      </c>
      <c r="O510" s="0" t="s">
        <v>228</v>
      </c>
      <c r="P510" s="0" t="s">
        <v>228</v>
      </c>
      <c r="Q510" s="0" t="s">
        <v>228</v>
      </c>
      <c r="R510" s="0" t="s">
        <v>3648</v>
      </c>
      <c r="S510" s="0" t="s">
        <v>228</v>
      </c>
      <c r="T510" s="0" t="s">
        <v>228</v>
      </c>
      <c r="U510" s="0" t="s">
        <v>101</v>
      </c>
      <c r="V510" s="0" t="s">
        <v>228</v>
      </c>
      <c r="W510" s="0" t="s">
        <v>228</v>
      </c>
      <c r="X510" s="0" t="s">
        <v>3557</v>
      </c>
      <c r="Y510" s="0" t="s">
        <v>228</v>
      </c>
      <c r="Z510" s="0" t="s">
        <v>160</v>
      </c>
      <c r="AA510" s="0" t="s">
        <v>151</v>
      </c>
      <c r="AB510" s="0" t="s">
        <v>151</v>
      </c>
      <c r="AC510" s="0" t="s">
        <v>2317</v>
      </c>
      <c r="AD510" s="0" t="s">
        <v>2317</v>
      </c>
      <c r="AE510" s="0" t="s">
        <v>2318</v>
      </c>
      <c r="AF510" s="0" t="s">
        <v>4815</v>
      </c>
      <c r="AG510" s="0" t="s">
        <v>4816</v>
      </c>
      <c r="AH510" s="0" t="s">
        <v>4818</v>
      </c>
      <c r="AI510" s="0" t="s">
        <v>3651</v>
      </c>
      <c r="AJ510" s="0" t="s">
        <v>3579</v>
      </c>
      <c r="AK510" s="0" t="s">
        <v>3749</v>
      </c>
      <c r="AL510" s="0" t="s">
        <v>3581</v>
      </c>
      <c r="AM510" s="0" t="s">
        <v>3565</v>
      </c>
      <c r="AN510" s="0" t="s">
        <v>3628</v>
      </c>
      <c r="AO510" s="0" t="s">
        <v>4819</v>
      </c>
      <c r="AP510" s="0" t="s">
        <v>228</v>
      </c>
      <c r="AQ510" s="0" t="s">
        <v>228</v>
      </c>
      <c r="AR510" s="0" t="s">
        <v>228</v>
      </c>
      <c r="AS510" s="0" t="s">
        <v>228</v>
      </c>
      <c r="AT510" s="0" t="s">
        <v>228</v>
      </c>
      <c r="AU510" s="0" t="s">
        <v>228</v>
      </c>
      <c r="AV510" s="0" t="s">
        <v>228</v>
      </c>
      <c r="AW510" s="0" t="s">
        <v>228</v>
      </c>
      <c r="AX510" s="0" t="s">
        <v>228</v>
      </c>
      <c r="AY510" s="0" t="s">
        <v>228</v>
      </c>
      <c r="AZ510" s="0" t="s">
        <v>228</v>
      </c>
      <c r="BA510" s="0" t="s">
        <v>228</v>
      </c>
      <c r="BB510" s="0" t="s">
        <v>228</v>
      </c>
      <c r="BC510" s="0" t="s">
        <v>228</v>
      </c>
      <c r="BD510" s="0" t="s">
        <v>228</v>
      </c>
      <c r="BE510" s="0" t="s">
        <v>228</v>
      </c>
      <c r="BF510" s="0" t="s">
        <v>228</v>
      </c>
      <c r="BG510" s="0" t="s">
        <v>228</v>
      </c>
      <c r="BH510" s="0" t="s">
        <v>228</v>
      </c>
      <c r="BI510" s="0" t="s">
        <v>228</v>
      </c>
      <c r="BJ510" s="0" t="s">
        <v>228</v>
      </c>
      <c r="BK510" s="0" t="s">
        <v>228</v>
      </c>
      <c r="BL510" s="0" t="s">
        <v>228</v>
      </c>
      <c r="BM510" s="0" t="s">
        <v>228</v>
      </c>
      <c r="BN510" s="0" t="s">
        <v>228</v>
      </c>
      <c r="BO510" s="0" t="s">
        <v>228</v>
      </c>
      <c r="BP510" s="0" t="s">
        <v>228</v>
      </c>
      <c r="BQ510" s="0" t="s">
        <v>228</v>
      </c>
      <c r="BR510" s="0" t="s">
        <v>228</v>
      </c>
      <c r="BS510" s="0" t="s">
        <v>228</v>
      </c>
      <c r="BT510" s="0" t="s">
        <v>228</v>
      </c>
      <c r="BU510" s="0" t="s">
        <v>228</v>
      </c>
      <c r="BV510" s="0" t="s">
        <v>228</v>
      </c>
      <c r="BW510" s="0" t="s">
        <v>228</v>
      </c>
      <c r="BX510" s="0" t="s">
        <v>228</v>
      </c>
      <c r="BY510" s="0" t="s">
        <v>228</v>
      </c>
      <c r="BZ510" s="0" t="s">
        <v>228</v>
      </c>
      <c r="CA510" s="0" t="s">
        <v>228</v>
      </c>
      <c r="CB510" s="0" t="s">
        <v>228</v>
      </c>
      <c r="CC510" s="0" t="s">
        <v>228</v>
      </c>
      <c r="CD510" s="0" t="s">
        <v>228</v>
      </c>
      <c r="CE510" s="0" t="s">
        <v>228</v>
      </c>
      <c r="CF510" s="0" t="s">
        <v>228</v>
      </c>
      <c r="CG510" s="0" t="s">
        <v>228</v>
      </c>
      <c r="CH510" s="0" t="s">
        <v>228</v>
      </c>
      <c r="CI510" s="0" t="s">
        <v>228</v>
      </c>
      <c r="CJ510" s="0" t="s">
        <v>228</v>
      </c>
      <c r="CK510" s="0" t="s">
        <v>228</v>
      </c>
      <c r="CL510" s="0" t="s">
        <v>228</v>
      </c>
      <c r="CM510" s="0" t="s">
        <v>228</v>
      </c>
      <c r="CN510" s="0" t="s">
        <v>228</v>
      </c>
      <c r="CO510" s="0" t="s">
        <v>228</v>
      </c>
      <c r="CP510" s="0" t="s">
        <v>228</v>
      </c>
      <c r="CQ510" s="0" t="s">
        <v>228</v>
      </c>
      <c r="CR510" s="0" t="s">
        <v>228</v>
      </c>
      <c r="CS510" s="0" t="s">
        <v>228</v>
      </c>
      <c r="CT510" s="0" t="s">
        <v>3568</v>
      </c>
      <c r="CU510" s="0" t="s">
        <v>3569</v>
      </c>
      <c r="CV510" s="0" t="s">
        <v>418</v>
      </c>
      <c r="CW510" s="0" t="s">
        <v>3622</v>
      </c>
      <c r="CX510" s="0" t="s">
        <v>419</v>
      </c>
      <c r="CY510" s="0" t="s">
        <v>418</v>
      </c>
      <c r="CZ510" s="0" t="s">
        <v>3623</v>
      </c>
      <c r="DA510" s="0" t="s">
        <v>3624</v>
      </c>
      <c r="DB510" s="0" t="s">
        <v>3622</v>
      </c>
      <c r="DC510" s="0" t="s">
        <v>362</v>
      </c>
      <c r="DD510" s="0" t="s">
        <v>3572</v>
      </c>
      <c r="DE510" s="0" t="s">
        <v>4820</v>
      </c>
    </row>
    <row customHeight="1" ht="11.25">
      <c r="A511" s="1353" t="s">
        <v>228</v>
      </c>
      <c r="B511" s="0" t="s">
        <v>228</v>
      </c>
      <c r="C511" s="0" t="s">
        <v>228</v>
      </c>
      <c r="D511" s="0" t="s">
        <v>228</v>
      </c>
      <c r="E511" s="0" t="s">
        <v>228</v>
      </c>
      <c r="F511" s="0" t="s">
        <v>228</v>
      </c>
      <c r="G511" s="0" t="s">
        <v>228</v>
      </c>
      <c r="H511" s="0" t="s">
        <v>228</v>
      </c>
      <c r="I511" s="0" t="s">
        <v>3555</v>
      </c>
      <c r="J511" s="0" t="s">
        <v>228</v>
      </c>
      <c r="K511" s="0" t="s">
        <v>228</v>
      </c>
      <c r="L511" s="0" t="s">
        <v>228</v>
      </c>
      <c r="M511" s="0" t="s">
        <v>228</v>
      </c>
      <c r="N511" s="0" t="s">
        <v>228</v>
      </c>
      <c r="O511" s="0" t="s">
        <v>228</v>
      </c>
      <c r="P511" s="0" t="s">
        <v>228</v>
      </c>
      <c r="Q511" s="0" t="s">
        <v>228</v>
      </c>
      <c r="R511" s="0" t="s">
        <v>5035</v>
      </c>
      <c r="S511" s="0" t="s">
        <v>228</v>
      </c>
      <c r="T511" s="0" t="s">
        <v>228</v>
      </c>
      <c r="U511" s="0" t="s">
        <v>101</v>
      </c>
      <c r="V511" s="0" t="s">
        <v>228</v>
      </c>
      <c r="W511" s="0" t="s">
        <v>228</v>
      </c>
      <c r="X511" s="0" t="s">
        <v>3661</v>
      </c>
      <c r="Y511" s="0" t="s">
        <v>228</v>
      </c>
      <c r="Z511" s="0" t="s">
        <v>151</v>
      </c>
      <c r="AA511" s="0" t="s">
        <v>151</v>
      </c>
      <c r="AB511" s="0" t="s">
        <v>160</v>
      </c>
      <c r="AC511" s="0" t="s">
        <v>2317</v>
      </c>
      <c r="AD511" s="0" t="s">
        <v>2317</v>
      </c>
      <c r="AE511" s="0" t="s">
        <v>2318</v>
      </c>
      <c r="AF511" s="0" t="s">
        <v>4815</v>
      </c>
      <c r="AG511" s="0" t="s">
        <v>4816</v>
      </c>
      <c r="AH511" s="0" t="s">
        <v>3651</v>
      </c>
      <c r="AI511" s="0" t="s">
        <v>3651</v>
      </c>
      <c r="AJ511" s="0" t="s">
        <v>228</v>
      </c>
      <c r="AK511" s="0" t="s">
        <v>228</v>
      </c>
      <c r="AL511" s="0" t="s">
        <v>228</v>
      </c>
      <c r="AM511" s="0" t="s">
        <v>228</v>
      </c>
      <c r="AN511" s="0" t="s">
        <v>228</v>
      </c>
      <c r="AO511" s="0" t="s">
        <v>228</v>
      </c>
      <c r="AP511" s="0" t="s">
        <v>228</v>
      </c>
      <c r="AQ511" s="0" t="s">
        <v>228</v>
      </c>
      <c r="AR511" s="0" t="s">
        <v>228</v>
      </c>
      <c r="AS511" s="0" t="s">
        <v>228</v>
      </c>
      <c r="AT511" s="0" t="s">
        <v>228</v>
      </c>
      <c r="AU511" s="0" t="s">
        <v>228</v>
      </c>
      <c r="AV511" s="0" t="s">
        <v>228</v>
      </c>
      <c r="AW511" s="0" t="s">
        <v>228</v>
      </c>
      <c r="AX511" s="0" t="s">
        <v>228</v>
      </c>
      <c r="AY511" s="0" t="s">
        <v>228</v>
      </c>
      <c r="AZ511" s="0" t="s">
        <v>228</v>
      </c>
      <c r="BA511" s="0" t="s">
        <v>228</v>
      </c>
      <c r="BB511" s="0" t="s">
        <v>228</v>
      </c>
      <c r="BC511" s="0" t="s">
        <v>228</v>
      </c>
      <c r="BD511" s="0" t="s">
        <v>228</v>
      </c>
      <c r="BE511" s="0" t="s">
        <v>3652</v>
      </c>
      <c r="BF511" s="0" t="s">
        <v>3619</v>
      </c>
      <c r="BG511" s="0" t="s">
        <v>111</v>
      </c>
      <c r="BH511" s="0" t="s">
        <v>3665</v>
      </c>
      <c r="BI511" s="0" t="s">
        <v>122</v>
      </c>
      <c r="BJ511" s="0" t="s">
        <v>228</v>
      </c>
      <c r="BK511" s="0" t="s">
        <v>3684</v>
      </c>
      <c r="BL511" s="0" t="s">
        <v>2317</v>
      </c>
      <c r="BM511" s="0" t="s">
        <v>2317</v>
      </c>
      <c r="BN511" s="0" t="s">
        <v>3740</v>
      </c>
      <c r="BO511" s="0" t="s">
        <v>4815</v>
      </c>
      <c r="BP511" s="0" t="s">
        <v>5036</v>
      </c>
      <c r="BQ511" s="0" t="s">
        <v>3651</v>
      </c>
      <c r="BR511" s="0" t="s">
        <v>3651</v>
      </c>
      <c r="BS511" s="0" t="s">
        <v>228</v>
      </c>
      <c r="BT511" s="0" t="s">
        <v>3727</v>
      </c>
      <c r="BU511" s="0" t="s">
        <v>5037</v>
      </c>
      <c r="BV511" s="0" t="s">
        <v>5037</v>
      </c>
      <c r="BW511" s="0" t="s">
        <v>3674</v>
      </c>
      <c r="BX511" s="0" t="s">
        <v>3674</v>
      </c>
      <c r="BY511" s="0" t="s">
        <v>3674</v>
      </c>
      <c r="BZ511" s="0" t="s">
        <v>3674</v>
      </c>
      <c r="CA511" s="0" t="s">
        <v>3674</v>
      </c>
      <c r="CB511" s="0" t="s">
        <v>228</v>
      </c>
      <c r="CC511" s="0" t="s">
        <v>228</v>
      </c>
      <c r="CD511" s="0" t="s">
        <v>228</v>
      </c>
      <c r="CE511" s="0" t="s">
        <v>228</v>
      </c>
      <c r="CF511" s="0" t="s">
        <v>228</v>
      </c>
      <c r="CG511" s="0" t="s">
        <v>3674</v>
      </c>
      <c r="CH511" s="0" t="s">
        <v>228</v>
      </c>
      <c r="CI511" s="0" t="s">
        <v>228</v>
      </c>
      <c r="CJ511" s="0" t="s">
        <v>228</v>
      </c>
      <c r="CK511" s="0" t="s">
        <v>228</v>
      </c>
      <c r="CL511" s="0" t="s">
        <v>228</v>
      </c>
      <c r="CM511" s="0" t="s">
        <v>5037</v>
      </c>
      <c r="CN511" s="0" t="s">
        <v>5037</v>
      </c>
      <c r="CO511" s="0" t="s">
        <v>228</v>
      </c>
      <c r="CP511" s="0" t="s">
        <v>228</v>
      </c>
      <c r="CQ511" s="0" t="s">
        <v>228</v>
      </c>
      <c r="CR511" s="0" t="s">
        <v>228</v>
      </c>
      <c r="CS511" s="0" t="s">
        <v>3743</v>
      </c>
      <c r="CT511" s="0" t="s">
        <v>3568</v>
      </c>
      <c r="CU511" s="0" t="s">
        <v>3569</v>
      </c>
      <c r="CV511" s="0" t="s">
        <v>418</v>
      </c>
      <c r="CW511" s="0" t="s">
        <v>3622</v>
      </c>
      <c r="CX511" s="0" t="s">
        <v>419</v>
      </c>
      <c r="CY511" s="0" t="s">
        <v>418</v>
      </c>
      <c r="CZ511" s="0" t="s">
        <v>3623</v>
      </c>
      <c r="DA511" s="0" t="s">
        <v>3624</v>
      </c>
      <c r="DB511" s="0" t="s">
        <v>3622</v>
      </c>
      <c r="DC511" s="0" t="s">
        <v>362</v>
      </c>
      <c r="DD511" s="0" t="s">
        <v>3572</v>
      </c>
      <c r="DE511" s="0" t="s">
        <v>5038</v>
      </c>
    </row>
    <row customHeight="1" ht="11.25">
      <c r="A512" s="1353" t="s">
        <v>228</v>
      </c>
      <c r="B512" s="0" t="s">
        <v>228</v>
      </c>
      <c r="C512" s="0" t="s">
        <v>228</v>
      </c>
      <c r="D512" s="0" t="s">
        <v>228</v>
      </c>
      <c r="E512" s="0" t="s">
        <v>228</v>
      </c>
      <c r="F512" s="0" t="s">
        <v>228</v>
      </c>
      <c r="G512" s="0" t="s">
        <v>228</v>
      </c>
      <c r="H512" s="0" t="s">
        <v>228</v>
      </c>
      <c r="I512" s="0" t="s">
        <v>3555</v>
      </c>
      <c r="J512" s="0" t="s">
        <v>228</v>
      </c>
      <c r="K512" s="0" t="s">
        <v>228</v>
      </c>
      <c r="L512" s="0" t="s">
        <v>228</v>
      </c>
      <c r="M512" s="0" t="s">
        <v>228</v>
      </c>
      <c r="N512" s="0" t="s">
        <v>228</v>
      </c>
      <c r="O512" s="0" t="s">
        <v>228</v>
      </c>
      <c r="P512" s="0" t="s">
        <v>228</v>
      </c>
      <c r="Q512" s="0" t="s">
        <v>228</v>
      </c>
      <c r="R512" s="0" t="s">
        <v>3648</v>
      </c>
      <c r="S512" s="0" t="s">
        <v>228</v>
      </c>
      <c r="T512" s="0" t="s">
        <v>228</v>
      </c>
      <c r="U512" s="0" t="s">
        <v>101</v>
      </c>
      <c r="V512" s="0" t="s">
        <v>228</v>
      </c>
      <c r="W512" s="0" t="s">
        <v>228</v>
      </c>
      <c r="X512" s="0" t="s">
        <v>3557</v>
      </c>
      <c r="Y512" s="0" t="s">
        <v>228</v>
      </c>
      <c r="Z512" s="0" t="s">
        <v>160</v>
      </c>
      <c r="AA512" s="0" t="s">
        <v>151</v>
      </c>
      <c r="AB512" s="0" t="s">
        <v>151</v>
      </c>
      <c r="AC512" s="0" t="s">
        <v>2317</v>
      </c>
      <c r="AD512" s="0" t="s">
        <v>2317</v>
      </c>
      <c r="AE512" s="0" t="s">
        <v>2318</v>
      </c>
      <c r="AF512" s="0" t="s">
        <v>4815</v>
      </c>
      <c r="AG512" s="0" t="s">
        <v>4816</v>
      </c>
      <c r="AH512" s="0" t="s">
        <v>4207</v>
      </c>
      <c r="AI512" s="0" t="s">
        <v>3651</v>
      </c>
      <c r="AJ512" s="0" t="s">
        <v>3579</v>
      </c>
      <c r="AK512" s="0" t="s">
        <v>3619</v>
      </c>
      <c r="AL512" s="0" t="s">
        <v>3581</v>
      </c>
      <c r="AM512" s="0" t="s">
        <v>3565</v>
      </c>
      <c r="AN512" s="0" t="s">
        <v>3620</v>
      </c>
      <c r="AO512" s="0" t="s">
        <v>3583</v>
      </c>
      <c r="AP512" s="0" t="s">
        <v>228</v>
      </c>
      <c r="AQ512" s="0" t="s">
        <v>228</v>
      </c>
      <c r="AR512" s="0" t="s">
        <v>228</v>
      </c>
      <c r="AS512" s="0" t="s">
        <v>228</v>
      </c>
      <c r="AT512" s="0" t="s">
        <v>228</v>
      </c>
      <c r="AU512" s="0" t="s">
        <v>228</v>
      </c>
      <c r="AV512" s="0" t="s">
        <v>228</v>
      </c>
      <c r="AW512" s="0" t="s">
        <v>228</v>
      </c>
      <c r="AX512" s="0" t="s">
        <v>228</v>
      </c>
      <c r="AY512" s="0" t="s">
        <v>228</v>
      </c>
      <c r="AZ512" s="0" t="s">
        <v>228</v>
      </c>
      <c r="BA512" s="0" t="s">
        <v>228</v>
      </c>
      <c r="BB512" s="0" t="s">
        <v>228</v>
      </c>
      <c r="BC512" s="0" t="s">
        <v>228</v>
      </c>
      <c r="BD512" s="0" t="s">
        <v>228</v>
      </c>
      <c r="BE512" s="0" t="s">
        <v>228</v>
      </c>
      <c r="BF512" s="0" t="s">
        <v>228</v>
      </c>
      <c r="BG512" s="0" t="s">
        <v>228</v>
      </c>
      <c r="BH512" s="0" t="s">
        <v>228</v>
      </c>
      <c r="BI512" s="0" t="s">
        <v>228</v>
      </c>
      <c r="BJ512" s="0" t="s">
        <v>228</v>
      </c>
      <c r="BK512" s="0" t="s">
        <v>228</v>
      </c>
      <c r="BL512" s="0" t="s">
        <v>228</v>
      </c>
      <c r="BM512" s="0" t="s">
        <v>228</v>
      </c>
      <c r="BN512" s="0" t="s">
        <v>228</v>
      </c>
      <c r="BO512" s="0" t="s">
        <v>228</v>
      </c>
      <c r="BP512" s="0" t="s">
        <v>228</v>
      </c>
      <c r="BQ512" s="0" t="s">
        <v>228</v>
      </c>
      <c r="BR512" s="0" t="s">
        <v>228</v>
      </c>
      <c r="BS512" s="0" t="s">
        <v>228</v>
      </c>
      <c r="BT512" s="0" t="s">
        <v>228</v>
      </c>
      <c r="BU512" s="0" t="s">
        <v>228</v>
      </c>
      <c r="BV512" s="0" t="s">
        <v>228</v>
      </c>
      <c r="BW512" s="0" t="s">
        <v>228</v>
      </c>
      <c r="BX512" s="0" t="s">
        <v>228</v>
      </c>
      <c r="BY512" s="0" t="s">
        <v>228</v>
      </c>
      <c r="BZ512" s="0" t="s">
        <v>228</v>
      </c>
      <c r="CA512" s="0" t="s">
        <v>228</v>
      </c>
      <c r="CB512" s="0" t="s">
        <v>228</v>
      </c>
      <c r="CC512" s="0" t="s">
        <v>228</v>
      </c>
      <c r="CD512" s="0" t="s">
        <v>228</v>
      </c>
      <c r="CE512" s="0" t="s">
        <v>228</v>
      </c>
      <c r="CF512" s="0" t="s">
        <v>228</v>
      </c>
      <c r="CG512" s="0" t="s">
        <v>228</v>
      </c>
      <c r="CH512" s="0" t="s">
        <v>228</v>
      </c>
      <c r="CI512" s="0" t="s">
        <v>228</v>
      </c>
      <c r="CJ512" s="0" t="s">
        <v>228</v>
      </c>
      <c r="CK512" s="0" t="s">
        <v>228</v>
      </c>
      <c r="CL512" s="0" t="s">
        <v>228</v>
      </c>
      <c r="CM512" s="0" t="s">
        <v>228</v>
      </c>
      <c r="CN512" s="0" t="s">
        <v>228</v>
      </c>
      <c r="CO512" s="0" t="s">
        <v>228</v>
      </c>
      <c r="CP512" s="0" t="s">
        <v>228</v>
      </c>
      <c r="CQ512" s="0" t="s">
        <v>228</v>
      </c>
      <c r="CR512" s="0" t="s">
        <v>228</v>
      </c>
      <c r="CS512" s="0" t="s">
        <v>228</v>
      </c>
      <c r="CT512" s="0" t="s">
        <v>3568</v>
      </c>
      <c r="CU512" s="0" t="s">
        <v>3569</v>
      </c>
      <c r="CV512" s="0" t="s">
        <v>418</v>
      </c>
      <c r="CW512" s="0" t="s">
        <v>3622</v>
      </c>
      <c r="CX512" s="0" t="s">
        <v>419</v>
      </c>
      <c r="CY512" s="0" t="s">
        <v>418</v>
      </c>
      <c r="CZ512" s="0" t="s">
        <v>3623</v>
      </c>
      <c r="DA512" s="0" t="s">
        <v>3624</v>
      </c>
      <c r="DB512" s="0" t="s">
        <v>3622</v>
      </c>
      <c r="DC512" s="0" t="s">
        <v>362</v>
      </c>
      <c r="DD512" s="0" t="s">
        <v>3572</v>
      </c>
      <c r="DE512" s="0" t="s">
        <v>5039</v>
      </c>
    </row>
    <row customHeight="1" ht="11.25">
      <c r="A513" s="1353" t="s">
        <v>228</v>
      </c>
      <c r="B513" s="0" t="s">
        <v>228</v>
      </c>
      <c r="C513" s="0" t="s">
        <v>228</v>
      </c>
      <c r="D513" s="0" t="s">
        <v>228</v>
      </c>
      <c r="E513" s="0" t="s">
        <v>228</v>
      </c>
      <c r="F513" s="0" t="s">
        <v>228</v>
      </c>
      <c r="G513" s="0" t="s">
        <v>228</v>
      </c>
      <c r="H513" s="0" t="s">
        <v>228</v>
      </c>
      <c r="I513" s="0" t="s">
        <v>3555</v>
      </c>
      <c r="J513" s="0" t="s">
        <v>228</v>
      </c>
      <c r="K513" s="0" t="s">
        <v>228</v>
      </c>
      <c r="L513" s="0" t="s">
        <v>228</v>
      </c>
      <c r="M513" s="0" t="s">
        <v>228</v>
      </c>
      <c r="N513" s="0" t="s">
        <v>228</v>
      </c>
      <c r="O513" s="0" t="s">
        <v>228</v>
      </c>
      <c r="P513" s="0" t="s">
        <v>228</v>
      </c>
      <c r="Q513" s="0" t="s">
        <v>228</v>
      </c>
      <c r="R513" s="0" t="s">
        <v>4876</v>
      </c>
      <c r="S513" s="0" t="s">
        <v>228</v>
      </c>
      <c r="T513" s="0" t="s">
        <v>228</v>
      </c>
      <c r="U513" s="0" t="s">
        <v>101</v>
      </c>
      <c r="V513" s="0" t="s">
        <v>228</v>
      </c>
      <c r="W513" s="0" t="s">
        <v>228</v>
      </c>
      <c r="X513" s="0" t="s">
        <v>3661</v>
      </c>
      <c r="Y513" s="0" t="s">
        <v>228</v>
      </c>
      <c r="Z513" s="0" t="s">
        <v>151</v>
      </c>
      <c r="AA513" s="0" t="s">
        <v>151</v>
      </c>
      <c r="AB513" s="0" t="s">
        <v>160</v>
      </c>
      <c r="AC513" s="0" t="s">
        <v>2315</v>
      </c>
      <c r="AD513" s="0" t="s">
        <v>2315</v>
      </c>
      <c r="AE513" s="0" t="s">
        <v>2316</v>
      </c>
      <c r="AF513" s="0" t="s">
        <v>4821</v>
      </c>
      <c r="AG513" s="0" t="s">
        <v>4822</v>
      </c>
      <c r="AH513" s="0" t="s">
        <v>3651</v>
      </c>
      <c r="AI513" s="0" t="s">
        <v>3651</v>
      </c>
      <c r="AJ513" s="0" t="s">
        <v>228</v>
      </c>
      <c r="AK513" s="0" t="s">
        <v>228</v>
      </c>
      <c r="AL513" s="0" t="s">
        <v>228</v>
      </c>
      <c r="AM513" s="0" t="s">
        <v>228</v>
      </c>
      <c r="AN513" s="0" t="s">
        <v>228</v>
      </c>
      <c r="AO513" s="0" t="s">
        <v>228</v>
      </c>
      <c r="AP513" s="0" t="s">
        <v>228</v>
      </c>
      <c r="AQ513" s="0" t="s">
        <v>228</v>
      </c>
      <c r="AR513" s="0" t="s">
        <v>228</v>
      </c>
      <c r="AS513" s="0" t="s">
        <v>228</v>
      </c>
      <c r="AT513" s="0" t="s">
        <v>228</v>
      </c>
      <c r="AU513" s="0" t="s">
        <v>228</v>
      </c>
      <c r="AV513" s="0" t="s">
        <v>228</v>
      </c>
      <c r="AW513" s="0" t="s">
        <v>228</v>
      </c>
      <c r="AX513" s="0" t="s">
        <v>228</v>
      </c>
      <c r="AY513" s="0" t="s">
        <v>228</v>
      </c>
      <c r="AZ513" s="0" t="s">
        <v>228</v>
      </c>
      <c r="BA513" s="0" t="s">
        <v>228</v>
      </c>
      <c r="BB513" s="0" t="s">
        <v>228</v>
      </c>
      <c r="BC513" s="0" t="s">
        <v>228</v>
      </c>
      <c r="BD513" s="0" t="s">
        <v>228</v>
      </c>
      <c r="BE513" s="0" t="s">
        <v>4601</v>
      </c>
      <c r="BF513" s="0" t="s">
        <v>4500</v>
      </c>
      <c r="BG513" s="0" t="s">
        <v>111</v>
      </c>
      <c r="BH513" s="0" t="s">
        <v>3665</v>
      </c>
      <c r="BI513" s="0" t="s">
        <v>122</v>
      </c>
      <c r="BJ513" s="0" t="s">
        <v>228</v>
      </c>
      <c r="BK513" s="0" t="s">
        <v>3684</v>
      </c>
      <c r="BL513" s="0" t="s">
        <v>2315</v>
      </c>
      <c r="BM513" s="0" t="s">
        <v>2315</v>
      </c>
      <c r="BN513" s="0" t="s">
        <v>3875</v>
      </c>
      <c r="BO513" s="0" t="s">
        <v>4821</v>
      </c>
      <c r="BP513" s="0" t="s">
        <v>4877</v>
      </c>
      <c r="BQ513" s="0" t="s">
        <v>3651</v>
      </c>
      <c r="BR513" s="0" t="s">
        <v>3651</v>
      </c>
      <c r="BS513" s="0" t="s">
        <v>228</v>
      </c>
      <c r="BT513" s="0" t="s">
        <v>3727</v>
      </c>
      <c r="BU513" s="0" t="s">
        <v>4878</v>
      </c>
      <c r="BV513" s="0" t="s">
        <v>4878</v>
      </c>
      <c r="BW513" s="0" t="s">
        <v>3674</v>
      </c>
      <c r="BX513" s="0" t="s">
        <v>3674</v>
      </c>
      <c r="BY513" s="0" t="s">
        <v>3674</v>
      </c>
      <c r="BZ513" s="0" t="s">
        <v>3674</v>
      </c>
      <c r="CA513" s="0" t="s">
        <v>3674</v>
      </c>
      <c r="CB513" s="0" t="s">
        <v>228</v>
      </c>
      <c r="CC513" s="0" t="s">
        <v>228</v>
      </c>
      <c r="CD513" s="0" t="s">
        <v>228</v>
      </c>
      <c r="CE513" s="0" t="s">
        <v>228</v>
      </c>
      <c r="CF513" s="0" t="s">
        <v>228</v>
      </c>
      <c r="CG513" s="0" t="s">
        <v>3674</v>
      </c>
      <c r="CH513" s="0" t="s">
        <v>228</v>
      </c>
      <c r="CI513" s="0" t="s">
        <v>228</v>
      </c>
      <c r="CJ513" s="0" t="s">
        <v>228</v>
      </c>
      <c r="CK513" s="0" t="s">
        <v>228</v>
      </c>
      <c r="CL513" s="0" t="s">
        <v>228</v>
      </c>
      <c r="CM513" s="0" t="s">
        <v>4878</v>
      </c>
      <c r="CN513" s="0" t="s">
        <v>4878</v>
      </c>
      <c r="CO513" s="0" t="s">
        <v>228</v>
      </c>
      <c r="CP513" s="0" t="s">
        <v>228</v>
      </c>
      <c r="CQ513" s="0" t="s">
        <v>228</v>
      </c>
      <c r="CR513" s="0" t="s">
        <v>228</v>
      </c>
      <c r="CS513" s="0" t="s">
        <v>3563</v>
      </c>
      <c r="CT513" s="0" t="s">
        <v>3568</v>
      </c>
      <c r="CU513" s="0" t="s">
        <v>3569</v>
      </c>
      <c r="CV513" s="0" t="s">
        <v>418</v>
      </c>
      <c r="CW513" s="0" t="s">
        <v>3656</v>
      </c>
      <c r="CX513" s="0" t="s">
        <v>419</v>
      </c>
      <c r="CY513" s="0" t="s">
        <v>418</v>
      </c>
      <c r="CZ513" s="0" t="s">
        <v>3657</v>
      </c>
      <c r="DA513" s="0" t="s">
        <v>3658</v>
      </c>
      <c r="DB513" s="0" t="s">
        <v>3656</v>
      </c>
      <c r="DC513" s="0" t="s">
        <v>362</v>
      </c>
      <c r="DD513" s="0" t="s">
        <v>3572</v>
      </c>
      <c r="DE513" s="0" t="s">
        <v>4879</v>
      </c>
    </row>
    <row customHeight="1" ht="11.25">
      <c r="A514" s="1353" t="s">
        <v>228</v>
      </c>
      <c r="B514" s="0" t="s">
        <v>228</v>
      </c>
      <c r="C514" s="0" t="s">
        <v>228</v>
      </c>
      <c r="D514" s="0" t="s">
        <v>228</v>
      </c>
      <c r="E514" s="0" t="s">
        <v>228</v>
      </c>
      <c r="F514" s="0" t="s">
        <v>228</v>
      </c>
      <c r="G514" s="0" t="s">
        <v>228</v>
      </c>
      <c r="H514" s="0" t="s">
        <v>228</v>
      </c>
      <c r="I514" s="0" t="s">
        <v>3555</v>
      </c>
      <c r="J514" s="0" t="s">
        <v>228</v>
      </c>
      <c r="K514" s="0" t="s">
        <v>228</v>
      </c>
      <c r="L514" s="0" t="s">
        <v>228</v>
      </c>
      <c r="M514" s="0" t="s">
        <v>228</v>
      </c>
      <c r="N514" s="0" t="s">
        <v>228</v>
      </c>
      <c r="O514" s="0" t="s">
        <v>228</v>
      </c>
      <c r="P514" s="0" t="s">
        <v>228</v>
      </c>
      <c r="Q514" s="0" t="s">
        <v>228</v>
      </c>
      <c r="R514" s="0" t="s">
        <v>3648</v>
      </c>
      <c r="S514" s="0" t="s">
        <v>228</v>
      </c>
      <c r="T514" s="0" t="s">
        <v>228</v>
      </c>
      <c r="U514" s="0" t="s">
        <v>101</v>
      </c>
      <c r="V514" s="0" t="s">
        <v>228</v>
      </c>
      <c r="W514" s="0" t="s">
        <v>228</v>
      </c>
      <c r="X514" s="0" t="s">
        <v>3557</v>
      </c>
      <c r="Y514" s="0" t="s">
        <v>228</v>
      </c>
      <c r="Z514" s="0" t="s">
        <v>160</v>
      </c>
      <c r="AA514" s="0" t="s">
        <v>151</v>
      </c>
      <c r="AB514" s="0" t="s">
        <v>151</v>
      </c>
      <c r="AC514" s="0" t="s">
        <v>2315</v>
      </c>
      <c r="AD514" s="0" t="s">
        <v>2315</v>
      </c>
      <c r="AE514" s="0" t="s">
        <v>2316</v>
      </c>
      <c r="AF514" s="0" t="s">
        <v>5042</v>
      </c>
      <c r="AG514" s="0" t="s">
        <v>5043</v>
      </c>
      <c r="AH514" s="0" t="s">
        <v>3651</v>
      </c>
      <c r="AI514" s="0" t="s">
        <v>3651</v>
      </c>
      <c r="AJ514" s="0" t="s">
        <v>4601</v>
      </c>
      <c r="AK514" s="0" t="s">
        <v>3653</v>
      </c>
      <c r="AL514" s="0" t="s">
        <v>3581</v>
      </c>
      <c r="AM514" s="0" t="s">
        <v>3565</v>
      </c>
      <c r="AN514" s="0" t="s">
        <v>3654</v>
      </c>
      <c r="AO514" s="0" t="s">
        <v>3655</v>
      </c>
      <c r="AP514" s="0" t="s">
        <v>228</v>
      </c>
      <c r="AQ514" s="0" t="s">
        <v>228</v>
      </c>
      <c r="AR514" s="0" t="s">
        <v>228</v>
      </c>
      <c r="AS514" s="0" t="s">
        <v>228</v>
      </c>
      <c r="AT514" s="0" t="s">
        <v>228</v>
      </c>
      <c r="AU514" s="0" t="s">
        <v>228</v>
      </c>
      <c r="AV514" s="0" t="s">
        <v>228</v>
      </c>
      <c r="AW514" s="0" t="s">
        <v>228</v>
      </c>
      <c r="AX514" s="0" t="s">
        <v>228</v>
      </c>
      <c r="AY514" s="0" t="s">
        <v>228</v>
      </c>
      <c r="AZ514" s="0" t="s">
        <v>228</v>
      </c>
      <c r="BA514" s="0" t="s">
        <v>228</v>
      </c>
      <c r="BB514" s="0" t="s">
        <v>228</v>
      </c>
      <c r="BC514" s="0" t="s">
        <v>228</v>
      </c>
      <c r="BD514" s="0" t="s">
        <v>228</v>
      </c>
      <c r="BE514" s="0" t="s">
        <v>228</v>
      </c>
      <c r="BF514" s="0" t="s">
        <v>228</v>
      </c>
      <c r="BG514" s="0" t="s">
        <v>228</v>
      </c>
      <c r="BH514" s="0" t="s">
        <v>228</v>
      </c>
      <c r="BI514" s="0" t="s">
        <v>228</v>
      </c>
      <c r="BJ514" s="0" t="s">
        <v>228</v>
      </c>
      <c r="BK514" s="0" t="s">
        <v>228</v>
      </c>
      <c r="BL514" s="0" t="s">
        <v>228</v>
      </c>
      <c r="BM514" s="0" t="s">
        <v>228</v>
      </c>
      <c r="BN514" s="0" t="s">
        <v>228</v>
      </c>
      <c r="BO514" s="0" t="s">
        <v>228</v>
      </c>
      <c r="BP514" s="0" t="s">
        <v>228</v>
      </c>
      <c r="BQ514" s="0" t="s">
        <v>228</v>
      </c>
      <c r="BR514" s="0" t="s">
        <v>228</v>
      </c>
      <c r="BS514" s="0" t="s">
        <v>228</v>
      </c>
      <c r="BT514" s="0" t="s">
        <v>228</v>
      </c>
      <c r="BU514" s="0" t="s">
        <v>228</v>
      </c>
      <c r="BV514" s="0" t="s">
        <v>228</v>
      </c>
      <c r="BW514" s="0" t="s">
        <v>228</v>
      </c>
      <c r="BX514" s="0" t="s">
        <v>228</v>
      </c>
      <c r="BY514" s="0" t="s">
        <v>228</v>
      </c>
      <c r="BZ514" s="0" t="s">
        <v>228</v>
      </c>
      <c r="CA514" s="0" t="s">
        <v>228</v>
      </c>
      <c r="CB514" s="0" t="s">
        <v>228</v>
      </c>
      <c r="CC514" s="0" t="s">
        <v>228</v>
      </c>
      <c r="CD514" s="0" t="s">
        <v>228</v>
      </c>
      <c r="CE514" s="0" t="s">
        <v>228</v>
      </c>
      <c r="CF514" s="0" t="s">
        <v>228</v>
      </c>
      <c r="CG514" s="0" t="s">
        <v>228</v>
      </c>
      <c r="CH514" s="0" t="s">
        <v>228</v>
      </c>
      <c r="CI514" s="0" t="s">
        <v>228</v>
      </c>
      <c r="CJ514" s="0" t="s">
        <v>228</v>
      </c>
      <c r="CK514" s="0" t="s">
        <v>228</v>
      </c>
      <c r="CL514" s="0" t="s">
        <v>228</v>
      </c>
      <c r="CM514" s="0" t="s">
        <v>228</v>
      </c>
      <c r="CN514" s="0" t="s">
        <v>228</v>
      </c>
      <c r="CO514" s="0" t="s">
        <v>228</v>
      </c>
      <c r="CP514" s="0" t="s">
        <v>228</v>
      </c>
      <c r="CQ514" s="0" t="s">
        <v>228</v>
      </c>
      <c r="CR514" s="0" t="s">
        <v>228</v>
      </c>
      <c r="CS514" s="0" t="s">
        <v>228</v>
      </c>
      <c r="CT514" s="0" t="s">
        <v>3568</v>
      </c>
      <c r="CU514" s="0" t="s">
        <v>3569</v>
      </c>
      <c r="CV514" s="0" t="s">
        <v>418</v>
      </c>
      <c r="CW514" s="0" t="s">
        <v>3656</v>
      </c>
      <c r="CX514" s="0" t="s">
        <v>419</v>
      </c>
      <c r="CY514" s="0" t="s">
        <v>418</v>
      </c>
      <c r="CZ514" s="0" t="s">
        <v>3657</v>
      </c>
      <c r="DA514" s="0" t="s">
        <v>3658</v>
      </c>
      <c r="DB514" s="0" t="s">
        <v>3656</v>
      </c>
      <c r="DC514" s="0" t="s">
        <v>362</v>
      </c>
      <c r="DD514" s="0" t="s">
        <v>3572</v>
      </c>
      <c r="DE514" s="0" t="s">
        <v>5044</v>
      </c>
    </row>
    <row customHeight="1" ht="11.25">
      <c r="A515" s="1353" t="s">
        <v>228</v>
      </c>
      <c r="B515" s="0" t="s">
        <v>228</v>
      </c>
      <c r="C515" s="0" t="s">
        <v>228</v>
      </c>
      <c r="D515" s="0" t="s">
        <v>228</v>
      </c>
      <c r="E515" s="0" t="s">
        <v>228</v>
      </c>
      <c r="F515" s="0" t="s">
        <v>228</v>
      </c>
      <c r="G515" s="0" t="s">
        <v>228</v>
      </c>
      <c r="H515" s="0" t="s">
        <v>228</v>
      </c>
      <c r="I515" s="0" t="s">
        <v>3555</v>
      </c>
      <c r="J515" s="0" t="s">
        <v>228</v>
      </c>
      <c r="K515" s="0" t="s">
        <v>228</v>
      </c>
      <c r="L515" s="0" t="s">
        <v>228</v>
      </c>
      <c r="M515" s="0" t="s">
        <v>228</v>
      </c>
      <c r="N515" s="0" t="s">
        <v>228</v>
      </c>
      <c r="O515" s="0" t="s">
        <v>228</v>
      </c>
      <c r="P515" s="0" t="s">
        <v>228</v>
      </c>
      <c r="Q515" s="0" t="s">
        <v>228</v>
      </c>
      <c r="R515" s="0" t="s">
        <v>5045</v>
      </c>
      <c r="S515" s="0" t="s">
        <v>228</v>
      </c>
      <c r="T515" s="0" t="s">
        <v>228</v>
      </c>
      <c r="U515" s="0" t="s">
        <v>101</v>
      </c>
      <c r="V515" s="0" t="s">
        <v>228</v>
      </c>
      <c r="W515" s="0" t="s">
        <v>228</v>
      </c>
      <c r="X515" s="0" t="s">
        <v>3661</v>
      </c>
      <c r="Y515" s="0" t="s">
        <v>228</v>
      </c>
      <c r="Z515" s="0" t="s">
        <v>151</v>
      </c>
      <c r="AA515" s="0" t="s">
        <v>151</v>
      </c>
      <c r="AB515" s="0" t="s">
        <v>160</v>
      </c>
      <c r="AC515" s="0" t="s">
        <v>2315</v>
      </c>
      <c r="AD515" s="0" t="s">
        <v>2315</v>
      </c>
      <c r="AE515" s="0" t="s">
        <v>2316</v>
      </c>
      <c r="AF515" s="0" t="s">
        <v>5042</v>
      </c>
      <c r="AG515" s="0" t="s">
        <v>5043</v>
      </c>
      <c r="AH515" s="0" t="s">
        <v>3651</v>
      </c>
      <c r="AI515" s="0" t="s">
        <v>3651</v>
      </c>
      <c r="AJ515" s="0" t="s">
        <v>228</v>
      </c>
      <c r="AK515" s="0" t="s">
        <v>228</v>
      </c>
      <c r="AL515" s="0" t="s">
        <v>228</v>
      </c>
      <c r="AM515" s="0" t="s">
        <v>228</v>
      </c>
      <c r="AN515" s="0" t="s">
        <v>228</v>
      </c>
      <c r="AO515" s="0" t="s">
        <v>228</v>
      </c>
      <c r="AP515" s="0" t="s">
        <v>228</v>
      </c>
      <c r="AQ515" s="0" t="s">
        <v>228</v>
      </c>
      <c r="AR515" s="0" t="s">
        <v>228</v>
      </c>
      <c r="AS515" s="0" t="s">
        <v>228</v>
      </c>
      <c r="AT515" s="0" t="s">
        <v>228</v>
      </c>
      <c r="AU515" s="0" t="s">
        <v>228</v>
      </c>
      <c r="AV515" s="0" t="s">
        <v>228</v>
      </c>
      <c r="AW515" s="0" t="s">
        <v>228</v>
      </c>
      <c r="AX515" s="0" t="s">
        <v>228</v>
      </c>
      <c r="AY515" s="0" t="s">
        <v>228</v>
      </c>
      <c r="AZ515" s="0" t="s">
        <v>228</v>
      </c>
      <c r="BA515" s="0" t="s">
        <v>228</v>
      </c>
      <c r="BB515" s="0" t="s">
        <v>228</v>
      </c>
      <c r="BC515" s="0" t="s">
        <v>228</v>
      </c>
      <c r="BD515" s="0" t="s">
        <v>228</v>
      </c>
      <c r="BE515" s="0" t="s">
        <v>4601</v>
      </c>
      <c r="BF515" s="0" t="s">
        <v>3653</v>
      </c>
      <c r="BG515" s="0" t="s">
        <v>111</v>
      </c>
      <c r="BH515" s="0" t="s">
        <v>3665</v>
      </c>
      <c r="BI515" s="0" t="s">
        <v>122</v>
      </c>
      <c r="BJ515" s="0" t="s">
        <v>228</v>
      </c>
      <c r="BK515" s="0" t="s">
        <v>3684</v>
      </c>
      <c r="BL515" s="0" t="s">
        <v>2315</v>
      </c>
      <c r="BM515" s="0" t="s">
        <v>2315</v>
      </c>
      <c r="BN515" s="0" t="s">
        <v>3875</v>
      </c>
      <c r="BO515" s="0" t="s">
        <v>5042</v>
      </c>
      <c r="BP515" s="0" t="s">
        <v>5046</v>
      </c>
      <c r="BQ515" s="0" t="s">
        <v>3651</v>
      </c>
      <c r="BR515" s="0" t="s">
        <v>3651</v>
      </c>
      <c r="BS515" s="0" t="s">
        <v>228</v>
      </c>
      <c r="BT515" s="0" t="s">
        <v>3727</v>
      </c>
      <c r="BU515" s="0" t="s">
        <v>5047</v>
      </c>
      <c r="BV515" s="0" t="s">
        <v>5047</v>
      </c>
      <c r="BW515" s="0" t="s">
        <v>3674</v>
      </c>
      <c r="BX515" s="0" t="s">
        <v>3674</v>
      </c>
      <c r="BY515" s="0" t="s">
        <v>3674</v>
      </c>
      <c r="BZ515" s="0" t="s">
        <v>3674</v>
      </c>
      <c r="CA515" s="0" t="s">
        <v>3674</v>
      </c>
      <c r="CB515" s="0" t="s">
        <v>228</v>
      </c>
      <c r="CC515" s="0" t="s">
        <v>228</v>
      </c>
      <c r="CD515" s="0" t="s">
        <v>228</v>
      </c>
      <c r="CE515" s="0" t="s">
        <v>228</v>
      </c>
      <c r="CF515" s="0" t="s">
        <v>228</v>
      </c>
      <c r="CG515" s="0" t="s">
        <v>3674</v>
      </c>
      <c r="CH515" s="0" t="s">
        <v>228</v>
      </c>
      <c r="CI515" s="0" t="s">
        <v>228</v>
      </c>
      <c r="CJ515" s="0" t="s">
        <v>228</v>
      </c>
      <c r="CK515" s="0" t="s">
        <v>228</v>
      </c>
      <c r="CL515" s="0" t="s">
        <v>228</v>
      </c>
      <c r="CM515" s="0" t="s">
        <v>5047</v>
      </c>
      <c r="CN515" s="0" t="s">
        <v>5047</v>
      </c>
      <c r="CO515" s="0" t="s">
        <v>228</v>
      </c>
      <c r="CP515" s="0" t="s">
        <v>228</v>
      </c>
      <c r="CQ515" s="0" t="s">
        <v>228</v>
      </c>
      <c r="CR515" s="0" t="s">
        <v>228</v>
      </c>
      <c r="CS515" s="0" t="s">
        <v>3563</v>
      </c>
      <c r="CT515" s="0" t="s">
        <v>3568</v>
      </c>
      <c r="CU515" s="0" t="s">
        <v>3569</v>
      </c>
      <c r="CV515" s="0" t="s">
        <v>418</v>
      </c>
      <c r="CW515" s="0" t="s">
        <v>3656</v>
      </c>
      <c r="CX515" s="0" t="s">
        <v>419</v>
      </c>
      <c r="CY515" s="0" t="s">
        <v>418</v>
      </c>
      <c r="CZ515" s="0" t="s">
        <v>3657</v>
      </c>
      <c r="DA515" s="0" t="s">
        <v>3658</v>
      </c>
      <c r="DB515" s="0" t="s">
        <v>3656</v>
      </c>
      <c r="DC515" s="0" t="s">
        <v>362</v>
      </c>
      <c r="DD515" s="0" t="s">
        <v>3572</v>
      </c>
      <c r="DE515" s="0" t="s">
        <v>5044</v>
      </c>
    </row>
    <row customHeight="1" ht="11.25">
      <c r="A516" s="1353" t="s">
        <v>228</v>
      </c>
      <c r="B516" s="0" t="s">
        <v>228</v>
      </c>
      <c r="C516" s="0" t="s">
        <v>228</v>
      </c>
      <c r="D516" s="0" t="s">
        <v>228</v>
      </c>
      <c r="E516" s="0" t="s">
        <v>228</v>
      </c>
      <c r="F516" s="0" t="s">
        <v>228</v>
      </c>
      <c r="G516" s="0" t="s">
        <v>228</v>
      </c>
      <c r="H516" s="0" t="s">
        <v>228</v>
      </c>
      <c r="I516" s="0" t="s">
        <v>3555</v>
      </c>
      <c r="J516" s="0" t="s">
        <v>228</v>
      </c>
      <c r="K516" s="0" t="s">
        <v>228</v>
      </c>
      <c r="L516" s="0" t="s">
        <v>228</v>
      </c>
      <c r="M516" s="0" t="s">
        <v>228</v>
      </c>
      <c r="N516" s="0" t="s">
        <v>228</v>
      </c>
      <c r="O516" s="0" t="s">
        <v>228</v>
      </c>
      <c r="P516" s="0" t="s">
        <v>228</v>
      </c>
      <c r="Q516" s="0" t="s">
        <v>228</v>
      </c>
      <c r="R516" s="0" t="s">
        <v>3718</v>
      </c>
      <c r="S516" s="0" t="s">
        <v>228</v>
      </c>
      <c r="T516" s="0" t="s">
        <v>228</v>
      </c>
      <c r="U516" s="0" t="s">
        <v>101</v>
      </c>
      <c r="V516" s="0" t="s">
        <v>228</v>
      </c>
      <c r="W516" s="0" t="s">
        <v>228</v>
      </c>
      <c r="X516" s="0" t="s">
        <v>3661</v>
      </c>
      <c r="Y516" s="0" t="s">
        <v>228</v>
      </c>
      <c r="Z516" s="0" t="s">
        <v>151</v>
      </c>
      <c r="AA516" s="0" t="s">
        <v>151</v>
      </c>
      <c r="AB516" s="0" t="s">
        <v>160</v>
      </c>
      <c r="AC516" s="0" t="s">
        <v>2311</v>
      </c>
      <c r="AD516" s="0" t="s">
        <v>2311</v>
      </c>
      <c r="AE516" s="0" t="s">
        <v>2312</v>
      </c>
      <c r="AF516" s="0" t="s">
        <v>3708</v>
      </c>
      <c r="AG516" s="0" t="s">
        <v>3709</v>
      </c>
      <c r="AH516" s="0" t="s">
        <v>3708</v>
      </c>
      <c r="AI516" s="0" t="s">
        <v>3721</v>
      </c>
      <c r="AJ516" s="0" t="s">
        <v>228</v>
      </c>
      <c r="AK516" s="0" t="s">
        <v>228</v>
      </c>
      <c r="AL516" s="0" t="s">
        <v>228</v>
      </c>
      <c r="AM516" s="0" t="s">
        <v>228</v>
      </c>
      <c r="AN516" s="0" t="s">
        <v>228</v>
      </c>
      <c r="AO516" s="0" t="s">
        <v>228</v>
      </c>
      <c r="AP516" s="0" t="s">
        <v>228</v>
      </c>
      <c r="AQ516" s="0" t="s">
        <v>228</v>
      </c>
      <c r="AR516" s="0" t="s">
        <v>228</v>
      </c>
      <c r="AS516" s="0" t="s">
        <v>228</v>
      </c>
      <c r="AT516" s="0" t="s">
        <v>228</v>
      </c>
      <c r="AU516" s="0" t="s">
        <v>228</v>
      </c>
      <c r="AV516" s="0" t="s">
        <v>228</v>
      </c>
      <c r="AW516" s="0" t="s">
        <v>228</v>
      </c>
      <c r="AX516" s="0" t="s">
        <v>228</v>
      </c>
      <c r="AY516" s="0" t="s">
        <v>228</v>
      </c>
      <c r="AZ516" s="0" t="s">
        <v>228</v>
      </c>
      <c r="BA516" s="0" t="s">
        <v>228</v>
      </c>
      <c r="BB516" s="0" t="s">
        <v>228</v>
      </c>
      <c r="BC516" s="0" t="s">
        <v>228</v>
      </c>
      <c r="BD516" s="0" t="s">
        <v>228</v>
      </c>
      <c r="BE516" s="0" t="s">
        <v>3722</v>
      </c>
      <c r="BF516" s="0" t="s">
        <v>3722</v>
      </c>
      <c r="BG516" s="0" t="s">
        <v>111</v>
      </c>
      <c r="BH516" s="0" t="s">
        <v>3665</v>
      </c>
      <c r="BI516" s="0" t="s">
        <v>122</v>
      </c>
      <c r="BJ516" s="0" t="s">
        <v>228</v>
      </c>
      <c r="BK516" s="0" t="s">
        <v>3684</v>
      </c>
      <c r="BL516" s="0" t="s">
        <v>2311</v>
      </c>
      <c r="BM516" s="0" t="s">
        <v>2311</v>
      </c>
      <c r="BN516" s="0" t="s">
        <v>3723</v>
      </c>
      <c r="BO516" s="0" t="s">
        <v>3708</v>
      </c>
      <c r="BP516" s="0" t="s">
        <v>4831</v>
      </c>
      <c r="BQ516" s="0" t="s">
        <v>3710</v>
      </c>
      <c r="BR516" s="0" t="s">
        <v>4832</v>
      </c>
      <c r="BS516" s="0" t="s">
        <v>228</v>
      </c>
      <c r="BT516" s="0" t="s">
        <v>3727</v>
      </c>
      <c r="BU516" s="0" t="s">
        <v>4833</v>
      </c>
      <c r="BV516" s="0" t="s">
        <v>4833</v>
      </c>
      <c r="BW516" s="0" t="s">
        <v>3674</v>
      </c>
      <c r="BX516" s="0" t="s">
        <v>3674</v>
      </c>
      <c r="BY516" s="0" t="s">
        <v>3674</v>
      </c>
      <c r="BZ516" s="0" t="s">
        <v>3674</v>
      </c>
      <c r="CA516" s="0" t="s">
        <v>3674</v>
      </c>
      <c r="CB516" s="0" t="s">
        <v>228</v>
      </c>
      <c r="CC516" s="0" t="s">
        <v>228</v>
      </c>
      <c r="CD516" s="0" t="s">
        <v>228</v>
      </c>
      <c r="CE516" s="0" t="s">
        <v>228</v>
      </c>
      <c r="CF516" s="0" t="s">
        <v>228</v>
      </c>
      <c r="CG516" s="0" t="s">
        <v>3674</v>
      </c>
      <c r="CH516" s="0" t="s">
        <v>228</v>
      </c>
      <c r="CI516" s="0" t="s">
        <v>228</v>
      </c>
      <c r="CJ516" s="0" t="s">
        <v>228</v>
      </c>
      <c r="CK516" s="0" t="s">
        <v>228</v>
      </c>
      <c r="CL516" s="0" t="s">
        <v>228</v>
      </c>
      <c r="CM516" s="0" t="s">
        <v>4833</v>
      </c>
      <c r="CN516" s="0" t="s">
        <v>4833</v>
      </c>
      <c r="CO516" s="0" t="s">
        <v>228</v>
      </c>
      <c r="CP516" s="0" t="s">
        <v>228</v>
      </c>
      <c r="CQ516" s="0" t="s">
        <v>228</v>
      </c>
      <c r="CR516" s="0" t="s">
        <v>228</v>
      </c>
      <c r="CS516" s="0" t="s">
        <v>3582</v>
      </c>
      <c r="CT516" s="0" t="s">
        <v>3568</v>
      </c>
      <c r="CU516" s="0" t="s">
        <v>3569</v>
      </c>
      <c r="CV516" s="0" t="s">
        <v>418</v>
      </c>
      <c r="CW516" s="0" t="s">
        <v>3584</v>
      </c>
      <c r="CX516" s="0" t="s">
        <v>419</v>
      </c>
      <c r="CY516" s="0" t="s">
        <v>418</v>
      </c>
      <c r="CZ516" s="0" t="s">
        <v>3585</v>
      </c>
      <c r="DA516" s="0" t="s">
        <v>3586</v>
      </c>
      <c r="DB516" s="0" t="s">
        <v>3584</v>
      </c>
      <c r="DC516" s="0" t="s">
        <v>362</v>
      </c>
      <c r="DD516" s="0" t="s">
        <v>3572</v>
      </c>
      <c r="DE516" s="0" t="s">
        <v>4834</v>
      </c>
    </row>
    <row customHeight="1" ht="11.25">
      <c r="A517" s="1353" t="s">
        <v>228</v>
      </c>
      <c r="B517" s="0" t="s">
        <v>228</v>
      </c>
      <c r="C517" s="0" t="s">
        <v>228</v>
      </c>
      <c r="D517" s="0" t="s">
        <v>228</v>
      </c>
      <c r="E517" s="0" t="s">
        <v>228</v>
      </c>
      <c r="F517" s="0" t="s">
        <v>228</v>
      </c>
      <c r="G517" s="0" t="s">
        <v>228</v>
      </c>
      <c r="H517" s="0" t="s">
        <v>228</v>
      </c>
      <c r="I517" s="0" t="s">
        <v>3555</v>
      </c>
      <c r="J517" s="0" t="s">
        <v>228</v>
      </c>
      <c r="K517" s="0" t="s">
        <v>228</v>
      </c>
      <c r="L517" s="0" t="s">
        <v>228</v>
      </c>
      <c r="M517" s="0" t="s">
        <v>228</v>
      </c>
      <c r="N517" s="0" t="s">
        <v>228</v>
      </c>
      <c r="O517" s="0" t="s">
        <v>228</v>
      </c>
      <c r="P517" s="0" t="s">
        <v>228</v>
      </c>
      <c r="Q517" s="0" t="s">
        <v>228</v>
      </c>
      <c r="R517" s="0" t="s">
        <v>5094</v>
      </c>
      <c r="S517" s="0" t="s">
        <v>228</v>
      </c>
      <c r="T517" s="0" t="s">
        <v>228</v>
      </c>
      <c r="U517" s="0" t="s">
        <v>101</v>
      </c>
      <c r="V517" s="0" t="s">
        <v>228</v>
      </c>
      <c r="W517" s="0" t="s">
        <v>228</v>
      </c>
      <c r="X517" s="0" t="s">
        <v>3557</v>
      </c>
      <c r="Y517" s="0" t="s">
        <v>228</v>
      </c>
      <c r="Z517" s="0" t="s">
        <v>160</v>
      </c>
      <c r="AA517" s="0" t="s">
        <v>151</v>
      </c>
      <c r="AB517" s="0" t="s">
        <v>151</v>
      </c>
      <c r="AC517" s="0" t="s">
        <v>2715</v>
      </c>
      <c r="AD517" s="0" t="s">
        <v>2715</v>
      </c>
      <c r="AE517" s="0" t="s">
        <v>2716</v>
      </c>
      <c r="AF517" s="0" t="s">
        <v>3594</v>
      </c>
      <c r="AG517" s="0" t="s">
        <v>3595</v>
      </c>
      <c r="AH517" s="0" t="s">
        <v>3704</v>
      </c>
      <c r="AI517" s="0" t="s">
        <v>3608</v>
      </c>
      <c r="AJ517" s="0" t="s">
        <v>3679</v>
      </c>
      <c r="AK517" s="0" t="s">
        <v>3705</v>
      </c>
      <c r="AL517" s="0" t="s">
        <v>3599</v>
      </c>
      <c r="AM517" s="0" t="s">
        <v>3565</v>
      </c>
      <c r="AN517" s="0" t="s">
        <v>3706</v>
      </c>
      <c r="AO517" s="0" t="s">
        <v>3682</v>
      </c>
      <c r="AP517" s="0" t="s">
        <v>228</v>
      </c>
      <c r="AQ517" s="0" t="s">
        <v>228</v>
      </c>
      <c r="AR517" s="0" t="s">
        <v>228</v>
      </c>
      <c r="AS517" s="0" t="s">
        <v>228</v>
      </c>
      <c r="AT517" s="0" t="s">
        <v>228</v>
      </c>
      <c r="AU517" s="0" t="s">
        <v>228</v>
      </c>
      <c r="AV517" s="0" t="s">
        <v>228</v>
      </c>
      <c r="AW517" s="0" t="s">
        <v>228</v>
      </c>
      <c r="AX517" s="0" t="s">
        <v>228</v>
      </c>
      <c r="AY517" s="0" t="s">
        <v>228</v>
      </c>
      <c r="AZ517" s="0" t="s">
        <v>228</v>
      </c>
      <c r="BA517" s="0" t="s">
        <v>228</v>
      </c>
      <c r="BB517" s="0" t="s">
        <v>228</v>
      </c>
      <c r="BC517" s="0" t="s">
        <v>228</v>
      </c>
      <c r="BD517" s="0" t="s">
        <v>228</v>
      </c>
      <c r="BE517" s="0" t="s">
        <v>228</v>
      </c>
      <c r="BF517" s="0" t="s">
        <v>228</v>
      </c>
      <c r="BG517" s="0" t="s">
        <v>228</v>
      </c>
      <c r="BH517" s="0" t="s">
        <v>228</v>
      </c>
      <c r="BI517" s="0" t="s">
        <v>228</v>
      </c>
      <c r="BJ517" s="0" t="s">
        <v>228</v>
      </c>
      <c r="BK517" s="0" t="s">
        <v>228</v>
      </c>
      <c r="BL517" s="0" t="s">
        <v>228</v>
      </c>
      <c r="BM517" s="0" t="s">
        <v>228</v>
      </c>
      <c r="BN517" s="0" t="s">
        <v>228</v>
      </c>
      <c r="BO517" s="0" t="s">
        <v>228</v>
      </c>
      <c r="BP517" s="0" t="s">
        <v>228</v>
      </c>
      <c r="BQ517" s="0" t="s">
        <v>228</v>
      </c>
      <c r="BR517" s="0" t="s">
        <v>228</v>
      </c>
      <c r="BS517" s="0" t="s">
        <v>228</v>
      </c>
      <c r="BT517" s="0" t="s">
        <v>228</v>
      </c>
      <c r="BU517" s="0" t="s">
        <v>228</v>
      </c>
      <c r="BV517" s="0" t="s">
        <v>228</v>
      </c>
      <c r="BW517" s="0" t="s">
        <v>228</v>
      </c>
      <c r="BX517" s="0" t="s">
        <v>228</v>
      </c>
      <c r="BY517" s="0" t="s">
        <v>228</v>
      </c>
      <c r="BZ517" s="0" t="s">
        <v>228</v>
      </c>
      <c r="CA517" s="0" t="s">
        <v>228</v>
      </c>
      <c r="CB517" s="0" t="s">
        <v>228</v>
      </c>
      <c r="CC517" s="0" t="s">
        <v>228</v>
      </c>
      <c r="CD517" s="0" t="s">
        <v>228</v>
      </c>
      <c r="CE517" s="0" t="s">
        <v>228</v>
      </c>
      <c r="CF517" s="0" t="s">
        <v>228</v>
      </c>
      <c r="CG517" s="0" t="s">
        <v>228</v>
      </c>
      <c r="CH517" s="0" t="s">
        <v>228</v>
      </c>
      <c r="CI517" s="0" t="s">
        <v>228</v>
      </c>
      <c r="CJ517" s="0" t="s">
        <v>228</v>
      </c>
      <c r="CK517" s="0" t="s">
        <v>228</v>
      </c>
      <c r="CL517" s="0" t="s">
        <v>228</v>
      </c>
      <c r="CM517" s="0" t="s">
        <v>228</v>
      </c>
      <c r="CN517" s="0" t="s">
        <v>228</v>
      </c>
      <c r="CO517" s="0" t="s">
        <v>228</v>
      </c>
      <c r="CP517" s="0" t="s">
        <v>228</v>
      </c>
      <c r="CQ517" s="0" t="s">
        <v>228</v>
      </c>
      <c r="CR517" s="0" t="s">
        <v>228</v>
      </c>
      <c r="CS517" s="0" t="s">
        <v>228</v>
      </c>
      <c r="CT517" s="0" t="s">
        <v>3568</v>
      </c>
      <c r="CU517" s="0" t="s">
        <v>3569</v>
      </c>
      <c r="CV517" s="0" t="s">
        <v>418</v>
      </c>
      <c r="CW517" s="0" t="s">
        <v>3602</v>
      </c>
      <c r="CX517" s="0" t="s">
        <v>3603</v>
      </c>
      <c r="CY517" s="0" t="s">
        <v>418</v>
      </c>
      <c r="CZ517" s="0" t="s">
        <v>504</v>
      </c>
      <c r="DA517" s="0" t="s">
        <v>3604</v>
      </c>
      <c r="DB517" s="0" t="s">
        <v>3602</v>
      </c>
      <c r="DC517" s="0" t="s">
        <v>362</v>
      </c>
      <c r="DD517" s="0" t="s">
        <v>3572</v>
      </c>
      <c r="DE517" s="0" t="s">
        <v>3707</v>
      </c>
    </row>
    <row customHeight="1" ht="11.25">
      <c r="A518" s="1353" t="s">
        <v>228</v>
      </c>
      <c r="B518" s="0" t="s">
        <v>228</v>
      </c>
      <c r="C518" s="0" t="s">
        <v>228</v>
      </c>
      <c r="D518" s="0" t="s">
        <v>228</v>
      </c>
      <c r="E518" s="0" t="s">
        <v>228</v>
      </c>
      <c r="F518" s="0" t="s">
        <v>228</v>
      </c>
      <c r="G518" s="0" t="s">
        <v>228</v>
      </c>
      <c r="H518" s="0" t="s">
        <v>228</v>
      </c>
      <c r="I518" s="0" t="s">
        <v>3555</v>
      </c>
      <c r="J518" s="0" t="s">
        <v>228</v>
      </c>
      <c r="K518" s="0" t="s">
        <v>228</v>
      </c>
      <c r="L518" s="0" t="s">
        <v>228</v>
      </c>
      <c r="M518" s="0" t="s">
        <v>228</v>
      </c>
      <c r="N518" s="0" t="s">
        <v>228</v>
      </c>
      <c r="O518" s="0" t="s">
        <v>228</v>
      </c>
      <c r="P518" s="0" t="s">
        <v>228</v>
      </c>
      <c r="Q518" s="0" t="s">
        <v>228</v>
      </c>
      <c r="R518" s="0" t="s">
        <v>3684</v>
      </c>
      <c r="S518" s="0" t="s">
        <v>228</v>
      </c>
      <c r="T518" s="0" t="s">
        <v>228</v>
      </c>
      <c r="U518" s="0" t="s">
        <v>101</v>
      </c>
      <c r="V518" s="0" t="s">
        <v>228</v>
      </c>
      <c r="W518" s="0" t="s">
        <v>228</v>
      </c>
      <c r="X518" s="0" t="s">
        <v>3557</v>
      </c>
      <c r="Y518" s="0" t="s">
        <v>228</v>
      </c>
      <c r="Z518" s="0" t="s">
        <v>160</v>
      </c>
      <c r="AA518" s="0" t="s">
        <v>151</v>
      </c>
      <c r="AB518" s="0" t="s">
        <v>151</v>
      </c>
      <c r="AC518" s="0" t="s">
        <v>2311</v>
      </c>
      <c r="AD518" s="0" t="s">
        <v>2311</v>
      </c>
      <c r="AE518" s="0" t="s">
        <v>2312</v>
      </c>
      <c r="AF518" s="0" t="s">
        <v>3708</v>
      </c>
      <c r="AG518" s="0" t="s">
        <v>3709</v>
      </c>
      <c r="AH518" s="0" t="s">
        <v>3710</v>
      </c>
      <c r="AI518" s="0" t="s">
        <v>3711</v>
      </c>
      <c r="AJ518" s="0" t="s">
        <v>3579</v>
      </c>
      <c r="AK518" s="0" t="s">
        <v>3580</v>
      </c>
      <c r="AL518" s="0" t="s">
        <v>3681</v>
      </c>
      <c r="AM518" s="0" t="s">
        <v>3565</v>
      </c>
      <c r="AN518" s="0" t="s">
        <v>3582</v>
      </c>
      <c r="AO518" s="0" t="s">
        <v>3712</v>
      </c>
      <c r="AP518" s="0" t="s">
        <v>228</v>
      </c>
      <c r="AQ518" s="0" t="s">
        <v>228</v>
      </c>
      <c r="AR518" s="0" t="s">
        <v>228</v>
      </c>
      <c r="AS518" s="0" t="s">
        <v>228</v>
      </c>
      <c r="AT518" s="0" t="s">
        <v>228</v>
      </c>
      <c r="AU518" s="0" t="s">
        <v>228</v>
      </c>
      <c r="AV518" s="0" t="s">
        <v>228</v>
      </c>
      <c r="AW518" s="0" t="s">
        <v>228</v>
      </c>
      <c r="AX518" s="0" t="s">
        <v>228</v>
      </c>
      <c r="AY518" s="0" t="s">
        <v>228</v>
      </c>
      <c r="AZ518" s="0" t="s">
        <v>228</v>
      </c>
      <c r="BA518" s="0" t="s">
        <v>228</v>
      </c>
      <c r="BB518" s="0" t="s">
        <v>228</v>
      </c>
      <c r="BC518" s="0" t="s">
        <v>228</v>
      </c>
      <c r="BD518" s="0" t="s">
        <v>228</v>
      </c>
      <c r="BE518" s="0" t="s">
        <v>228</v>
      </c>
      <c r="BF518" s="0" t="s">
        <v>228</v>
      </c>
      <c r="BG518" s="0" t="s">
        <v>228</v>
      </c>
      <c r="BH518" s="0" t="s">
        <v>228</v>
      </c>
      <c r="BI518" s="0" t="s">
        <v>228</v>
      </c>
      <c r="BJ518" s="0" t="s">
        <v>228</v>
      </c>
      <c r="BK518" s="0" t="s">
        <v>228</v>
      </c>
      <c r="BL518" s="0" t="s">
        <v>228</v>
      </c>
      <c r="BM518" s="0" t="s">
        <v>228</v>
      </c>
      <c r="BN518" s="0" t="s">
        <v>228</v>
      </c>
      <c r="BO518" s="0" t="s">
        <v>228</v>
      </c>
      <c r="BP518" s="0" t="s">
        <v>228</v>
      </c>
      <c r="BQ518" s="0" t="s">
        <v>228</v>
      </c>
      <c r="BR518" s="0" t="s">
        <v>228</v>
      </c>
      <c r="BS518" s="0" t="s">
        <v>228</v>
      </c>
      <c r="BT518" s="0" t="s">
        <v>228</v>
      </c>
      <c r="BU518" s="0" t="s">
        <v>228</v>
      </c>
      <c r="BV518" s="0" t="s">
        <v>228</v>
      </c>
      <c r="BW518" s="0" t="s">
        <v>228</v>
      </c>
      <c r="BX518" s="0" t="s">
        <v>228</v>
      </c>
      <c r="BY518" s="0" t="s">
        <v>228</v>
      </c>
      <c r="BZ518" s="0" t="s">
        <v>228</v>
      </c>
      <c r="CA518" s="0" t="s">
        <v>228</v>
      </c>
      <c r="CB518" s="0" t="s">
        <v>228</v>
      </c>
      <c r="CC518" s="0" t="s">
        <v>228</v>
      </c>
      <c r="CD518" s="0" t="s">
        <v>228</v>
      </c>
      <c r="CE518" s="0" t="s">
        <v>228</v>
      </c>
      <c r="CF518" s="0" t="s">
        <v>228</v>
      </c>
      <c r="CG518" s="0" t="s">
        <v>228</v>
      </c>
      <c r="CH518" s="0" t="s">
        <v>228</v>
      </c>
      <c r="CI518" s="0" t="s">
        <v>228</v>
      </c>
      <c r="CJ518" s="0" t="s">
        <v>228</v>
      </c>
      <c r="CK518" s="0" t="s">
        <v>228</v>
      </c>
      <c r="CL518" s="0" t="s">
        <v>228</v>
      </c>
      <c r="CM518" s="0" t="s">
        <v>228</v>
      </c>
      <c r="CN518" s="0" t="s">
        <v>228</v>
      </c>
      <c r="CO518" s="0" t="s">
        <v>228</v>
      </c>
      <c r="CP518" s="0" t="s">
        <v>228</v>
      </c>
      <c r="CQ518" s="0" t="s">
        <v>228</v>
      </c>
      <c r="CR518" s="0" t="s">
        <v>228</v>
      </c>
      <c r="CS518" s="0" t="s">
        <v>228</v>
      </c>
      <c r="CT518" s="0" t="s">
        <v>3568</v>
      </c>
      <c r="CU518" s="0" t="s">
        <v>3569</v>
      </c>
      <c r="CV518" s="0" t="s">
        <v>418</v>
      </c>
      <c r="CW518" s="0" t="s">
        <v>3584</v>
      </c>
      <c r="CX518" s="0" t="s">
        <v>419</v>
      </c>
      <c r="CY518" s="0" t="s">
        <v>418</v>
      </c>
      <c r="CZ518" s="0" t="s">
        <v>3585</v>
      </c>
      <c r="DA518" s="0" t="s">
        <v>3586</v>
      </c>
      <c r="DB518" s="0" t="s">
        <v>3584</v>
      </c>
      <c r="DC518" s="0" t="s">
        <v>362</v>
      </c>
      <c r="DD518" s="0" t="s">
        <v>3572</v>
      </c>
      <c r="DE518" s="0" t="s">
        <v>3713</v>
      </c>
    </row>
    <row customHeight="1" ht="11.25">
      <c r="A519" s="1353" t="s">
        <v>228</v>
      </c>
      <c r="B519" s="0" t="s">
        <v>228</v>
      </c>
      <c r="C519" s="0" t="s">
        <v>228</v>
      </c>
      <c r="D519" s="0" t="s">
        <v>228</v>
      </c>
      <c r="E519" s="0" t="s">
        <v>228</v>
      </c>
      <c r="F519" s="0" t="s">
        <v>228</v>
      </c>
      <c r="G519" s="0" t="s">
        <v>228</v>
      </c>
      <c r="H519" s="0" t="s">
        <v>228</v>
      </c>
      <c r="I519" s="0" t="s">
        <v>3555</v>
      </c>
      <c r="J519" s="0" t="s">
        <v>228</v>
      </c>
      <c r="K519" s="0" t="s">
        <v>228</v>
      </c>
      <c r="L519" s="0" t="s">
        <v>228</v>
      </c>
      <c r="M519" s="0" t="s">
        <v>228</v>
      </c>
      <c r="N519" s="0" t="s">
        <v>228</v>
      </c>
      <c r="O519" s="0" t="s">
        <v>228</v>
      </c>
      <c r="P519" s="0" t="s">
        <v>228</v>
      </c>
      <c r="Q519" s="0" t="s">
        <v>228</v>
      </c>
      <c r="R519" s="0" t="s">
        <v>3714</v>
      </c>
      <c r="S519" s="0" t="s">
        <v>228</v>
      </c>
      <c r="T519" s="0" t="s">
        <v>228</v>
      </c>
      <c r="U519" s="0" t="s">
        <v>101</v>
      </c>
      <c r="V519" s="0" t="s">
        <v>228</v>
      </c>
      <c r="W519" s="0" t="s">
        <v>228</v>
      </c>
      <c r="X519" s="0" t="s">
        <v>3557</v>
      </c>
      <c r="Y519" s="0" t="s">
        <v>228</v>
      </c>
      <c r="Z519" s="0" t="s">
        <v>160</v>
      </c>
      <c r="AA519" s="0" t="s">
        <v>151</v>
      </c>
      <c r="AB519" s="0" t="s">
        <v>151</v>
      </c>
      <c r="AC519" s="0" t="s">
        <v>2311</v>
      </c>
      <c r="AD519" s="0" t="s">
        <v>2311</v>
      </c>
      <c r="AE519" s="0" t="s">
        <v>2312</v>
      </c>
      <c r="AF519" s="0" t="s">
        <v>3708</v>
      </c>
      <c r="AG519" s="0" t="s">
        <v>3709</v>
      </c>
      <c r="AH519" s="0" t="s">
        <v>3715</v>
      </c>
      <c r="AI519" s="0" t="s">
        <v>3716</v>
      </c>
      <c r="AJ519" s="0" t="s">
        <v>3579</v>
      </c>
      <c r="AK519" s="0" t="s">
        <v>3580</v>
      </c>
      <c r="AL519" s="0" t="s">
        <v>3681</v>
      </c>
      <c r="AM519" s="0" t="s">
        <v>3565</v>
      </c>
      <c r="AN519" s="0" t="s">
        <v>3582</v>
      </c>
      <c r="AO519" s="0" t="s">
        <v>3712</v>
      </c>
      <c r="AP519" s="0" t="s">
        <v>228</v>
      </c>
      <c r="AQ519" s="0" t="s">
        <v>228</v>
      </c>
      <c r="AR519" s="0" t="s">
        <v>228</v>
      </c>
      <c r="AS519" s="0" t="s">
        <v>228</v>
      </c>
      <c r="AT519" s="0" t="s">
        <v>228</v>
      </c>
      <c r="AU519" s="0" t="s">
        <v>228</v>
      </c>
      <c r="AV519" s="0" t="s">
        <v>228</v>
      </c>
      <c r="AW519" s="0" t="s">
        <v>228</v>
      </c>
      <c r="AX519" s="0" t="s">
        <v>228</v>
      </c>
      <c r="AY519" s="0" t="s">
        <v>228</v>
      </c>
      <c r="AZ519" s="0" t="s">
        <v>228</v>
      </c>
      <c r="BA519" s="0" t="s">
        <v>228</v>
      </c>
      <c r="BB519" s="0" t="s">
        <v>228</v>
      </c>
      <c r="BC519" s="0" t="s">
        <v>228</v>
      </c>
      <c r="BD519" s="0" t="s">
        <v>228</v>
      </c>
      <c r="BE519" s="0" t="s">
        <v>228</v>
      </c>
      <c r="BF519" s="0" t="s">
        <v>228</v>
      </c>
      <c r="BG519" s="0" t="s">
        <v>228</v>
      </c>
      <c r="BH519" s="0" t="s">
        <v>228</v>
      </c>
      <c r="BI519" s="0" t="s">
        <v>228</v>
      </c>
      <c r="BJ519" s="0" t="s">
        <v>228</v>
      </c>
      <c r="BK519" s="0" t="s">
        <v>228</v>
      </c>
      <c r="BL519" s="0" t="s">
        <v>228</v>
      </c>
      <c r="BM519" s="0" t="s">
        <v>228</v>
      </c>
      <c r="BN519" s="0" t="s">
        <v>228</v>
      </c>
      <c r="BO519" s="0" t="s">
        <v>228</v>
      </c>
      <c r="BP519" s="0" t="s">
        <v>228</v>
      </c>
      <c r="BQ519" s="0" t="s">
        <v>228</v>
      </c>
      <c r="BR519" s="0" t="s">
        <v>228</v>
      </c>
      <c r="BS519" s="0" t="s">
        <v>228</v>
      </c>
      <c r="BT519" s="0" t="s">
        <v>228</v>
      </c>
      <c r="BU519" s="0" t="s">
        <v>228</v>
      </c>
      <c r="BV519" s="0" t="s">
        <v>228</v>
      </c>
      <c r="BW519" s="0" t="s">
        <v>228</v>
      </c>
      <c r="BX519" s="0" t="s">
        <v>228</v>
      </c>
      <c r="BY519" s="0" t="s">
        <v>228</v>
      </c>
      <c r="BZ519" s="0" t="s">
        <v>228</v>
      </c>
      <c r="CA519" s="0" t="s">
        <v>228</v>
      </c>
      <c r="CB519" s="0" t="s">
        <v>228</v>
      </c>
      <c r="CC519" s="0" t="s">
        <v>228</v>
      </c>
      <c r="CD519" s="0" t="s">
        <v>228</v>
      </c>
      <c r="CE519" s="0" t="s">
        <v>228</v>
      </c>
      <c r="CF519" s="0" t="s">
        <v>228</v>
      </c>
      <c r="CG519" s="0" t="s">
        <v>228</v>
      </c>
      <c r="CH519" s="0" t="s">
        <v>228</v>
      </c>
      <c r="CI519" s="0" t="s">
        <v>228</v>
      </c>
      <c r="CJ519" s="0" t="s">
        <v>228</v>
      </c>
      <c r="CK519" s="0" t="s">
        <v>228</v>
      </c>
      <c r="CL519" s="0" t="s">
        <v>228</v>
      </c>
      <c r="CM519" s="0" t="s">
        <v>228</v>
      </c>
      <c r="CN519" s="0" t="s">
        <v>228</v>
      </c>
      <c r="CO519" s="0" t="s">
        <v>228</v>
      </c>
      <c r="CP519" s="0" t="s">
        <v>228</v>
      </c>
      <c r="CQ519" s="0" t="s">
        <v>228</v>
      </c>
      <c r="CR519" s="0" t="s">
        <v>228</v>
      </c>
      <c r="CS519" s="0" t="s">
        <v>228</v>
      </c>
      <c r="CT519" s="0" t="s">
        <v>3568</v>
      </c>
      <c r="CU519" s="0" t="s">
        <v>3569</v>
      </c>
      <c r="CV519" s="0" t="s">
        <v>418</v>
      </c>
      <c r="CW519" s="0" t="s">
        <v>3584</v>
      </c>
      <c r="CX519" s="0" t="s">
        <v>419</v>
      </c>
      <c r="CY519" s="0" t="s">
        <v>418</v>
      </c>
      <c r="CZ519" s="0" t="s">
        <v>3585</v>
      </c>
      <c r="DA519" s="0" t="s">
        <v>3586</v>
      </c>
      <c r="DB519" s="0" t="s">
        <v>3584</v>
      </c>
      <c r="DC519" s="0" t="s">
        <v>362</v>
      </c>
      <c r="DD519" s="0" t="s">
        <v>3572</v>
      </c>
      <c r="DE519" s="0" t="s">
        <v>3717</v>
      </c>
    </row>
    <row customHeight="1" ht="11.25">
      <c r="A520" s="1353" t="s">
        <v>228</v>
      </c>
      <c r="B520" s="0" t="s">
        <v>228</v>
      </c>
      <c r="C520" s="0" t="s">
        <v>228</v>
      </c>
      <c r="D520" s="0" t="s">
        <v>228</v>
      </c>
      <c r="E520" s="0" t="s">
        <v>228</v>
      </c>
      <c r="F520" s="0" t="s">
        <v>228</v>
      </c>
      <c r="G520" s="0" t="s">
        <v>228</v>
      </c>
      <c r="H520" s="0" t="s">
        <v>228</v>
      </c>
      <c r="I520" s="0" t="s">
        <v>3555</v>
      </c>
      <c r="J520" s="0" t="s">
        <v>228</v>
      </c>
      <c r="K520" s="0" t="s">
        <v>228</v>
      </c>
      <c r="L520" s="0" t="s">
        <v>228</v>
      </c>
      <c r="M520" s="0" t="s">
        <v>228</v>
      </c>
      <c r="N520" s="0" t="s">
        <v>228</v>
      </c>
      <c r="O520" s="0" t="s">
        <v>228</v>
      </c>
      <c r="P520" s="0" t="s">
        <v>228</v>
      </c>
      <c r="Q520" s="0" t="s">
        <v>228</v>
      </c>
      <c r="R520" s="0" t="s">
        <v>5095</v>
      </c>
      <c r="S520" s="0" t="s">
        <v>228</v>
      </c>
      <c r="T520" s="0" t="s">
        <v>228</v>
      </c>
      <c r="U520" s="0" t="s">
        <v>101</v>
      </c>
      <c r="V520" s="0" t="s">
        <v>228</v>
      </c>
      <c r="W520" s="0" t="s">
        <v>228</v>
      </c>
      <c r="X520" s="0" t="s">
        <v>3557</v>
      </c>
      <c r="Y520" s="0" t="s">
        <v>228</v>
      </c>
      <c r="Z520" s="0" t="s">
        <v>160</v>
      </c>
      <c r="AA520" s="0" t="s">
        <v>151</v>
      </c>
      <c r="AB520" s="0" t="s">
        <v>151</v>
      </c>
      <c r="AC520" s="0" t="s">
        <v>2715</v>
      </c>
      <c r="AD520" s="0" t="s">
        <v>2715</v>
      </c>
      <c r="AE520" s="0" t="s">
        <v>2716</v>
      </c>
      <c r="AF520" s="0" t="s">
        <v>3594</v>
      </c>
      <c r="AG520" s="0" t="s">
        <v>3595</v>
      </c>
      <c r="AH520" s="0" t="s">
        <v>3791</v>
      </c>
      <c r="AI520" s="0" t="s">
        <v>3792</v>
      </c>
      <c r="AJ520" s="0" t="s">
        <v>3793</v>
      </c>
      <c r="AK520" s="0" t="s">
        <v>3794</v>
      </c>
      <c r="AL520" s="0" t="s">
        <v>3599</v>
      </c>
      <c r="AM520" s="0" t="s">
        <v>3565</v>
      </c>
      <c r="AN520" s="0" t="s">
        <v>3795</v>
      </c>
      <c r="AO520" s="0" t="s">
        <v>3796</v>
      </c>
      <c r="AP520" s="0" t="s">
        <v>228</v>
      </c>
      <c r="AQ520" s="0" t="s">
        <v>228</v>
      </c>
      <c r="AR520" s="0" t="s">
        <v>228</v>
      </c>
      <c r="AS520" s="0" t="s">
        <v>228</v>
      </c>
      <c r="AT520" s="0" t="s">
        <v>228</v>
      </c>
      <c r="AU520" s="0" t="s">
        <v>228</v>
      </c>
      <c r="AV520" s="0" t="s">
        <v>228</v>
      </c>
      <c r="AW520" s="0" t="s">
        <v>228</v>
      </c>
      <c r="AX520" s="0" t="s">
        <v>228</v>
      </c>
      <c r="AY520" s="0" t="s">
        <v>228</v>
      </c>
      <c r="AZ520" s="0" t="s">
        <v>228</v>
      </c>
      <c r="BA520" s="0" t="s">
        <v>228</v>
      </c>
      <c r="BB520" s="0" t="s">
        <v>228</v>
      </c>
      <c r="BC520" s="0" t="s">
        <v>228</v>
      </c>
      <c r="BD520" s="0" t="s">
        <v>228</v>
      </c>
      <c r="BE520" s="0" t="s">
        <v>228</v>
      </c>
      <c r="BF520" s="0" t="s">
        <v>228</v>
      </c>
      <c r="BG520" s="0" t="s">
        <v>228</v>
      </c>
      <c r="BH520" s="0" t="s">
        <v>228</v>
      </c>
      <c r="BI520" s="0" t="s">
        <v>228</v>
      </c>
      <c r="BJ520" s="0" t="s">
        <v>228</v>
      </c>
      <c r="BK520" s="0" t="s">
        <v>228</v>
      </c>
      <c r="BL520" s="0" t="s">
        <v>228</v>
      </c>
      <c r="BM520" s="0" t="s">
        <v>228</v>
      </c>
      <c r="BN520" s="0" t="s">
        <v>228</v>
      </c>
      <c r="BO520" s="0" t="s">
        <v>228</v>
      </c>
      <c r="BP520" s="0" t="s">
        <v>228</v>
      </c>
      <c r="BQ520" s="0" t="s">
        <v>228</v>
      </c>
      <c r="BR520" s="0" t="s">
        <v>228</v>
      </c>
      <c r="BS520" s="0" t="s">
        <v>228</v>
      </c>
      <c r="BT520" s="0" t="s">
        <v>228</v>
      </c>
      <c r="BU520" s="0" t="s">
        <v>228</v>
      </c>
      <c r="BV520" s="0" t="s">
        <v>228</v>
      </c>
      <c r="BW520" s="0" t="s">
        <v>228</v>
      </c>
      <c r="BX520" s="0" t="s">
        <v>228</v>
      </c>
      <c r="BY520" s="0" t="s">
        <v>228</v>
      </c>
      <c r="BZ520" s="0" t="s">
        <v>228</v>
      </c>
      <c r="CA520" s="0" t="s">
        <v>228</v>
      </c>
      <c r="CB520" s="0" t="s">
        <v>228</v>
      </c>
      <c r="CC520" s="0" t="s">
        <v>228</v>
      </c>
      <c r="CD520" s="0" t="s">
        <v>228</v>
      </c>
      <c r="CE520" s="0" t="s">
        <v>228</v>
      </c>
      <c r="CF520" s="0" t="s">
        <v>228</v>
      </c>
      <c r="CG520" s="0" t="s">
        <v>228</v>
      </c>
      <c r="CH520" s="0" t="s">
        <v>228</v>
      </c>
      <c r="CI520" s="0" t="s">
        <v>228</v>
      </c>
      <c r="CJ520" s="0" t="s">
        <v>228</v>
      </c>
      <c r="CK520" s="0" t="s">
        <v>228</v>
      </c>
      <c r="CL520" s="0" t="s">
        <v>228</v>
      </c>
      <c r="CM520" s="0" t="s">
        <v>228</v>
      </c>
      <c r="CN520" s="0" t="s">
        <v>228</v>
      </c>
      <c r="CO520" s="0" t="s">
        <v>228</v>
      </c>
      <c r="CP520" s="0" t="s">
        <v>228</v>
      </c>
      <c r="CQ520" s="0" t="s">
        <v>228</v>
      </c>
      <c r="CR520" s="0" t="s">
        <v>228</v>
      </c>
      <c r="CS520" s="0" t="s">
        <v>228</v>
      </c>
      <c r="CT520" s="0" t="s">
        <v>3568</v>
      </c>
      <c r="CU520" s="0" t="s">
        <v>3569</v>
      </c>
      <c r="CV520" s="0" t="s">
        <v>418</v>
      </c>
      <c r="CW520" s="0" t="s">
        <v>3602</v>
      </c>
      <c r="CX520" s="0" t="s">
        <v>3603</v>
      </c>
      <c r="CY520" s="0" t="s">
        <v>418</v>
      </c>
      <c r="CZ520" s="0" t="s">
        <v>504</v>
      </c>
      <c r="DA520" s="0" t="s">
        <v>3604</v>
      </c>
      <c r="DB520" s="0" t="s">
        <v>3602</v>
      </c>
      <c r="DC520" s="0" t="s">
        <v>362</v>
      </c>
      <c r="DD520" s="0" t="s">
        <v>3572</v>
      </c>
      <c r="DE520" s="0" t="s">
        <v>3797</v>
      </c>
    </row>
    <row customHeight="1" ht="11.25">
      <c r="A521" s="1353" t="s">
        <v>228</v>
      </c>
      <c r="B521" s="0" t="s">
        <v>228</v>
      </c>
      <c r="C521" s="0" t="s">
        <v>228</v>
      </c>
      <c r="D521" s="0" t="s">
        <v>228</v>
      </c>
      <c r="E521" s="0" t="s">
        <v>228</v>
      </c>
      <c r="F521" s="0" t="s">
        <v>228</v>
      </c>
      <c r="G521" s="0" t="s">
        <v>228</v>
      </c>
      <c r="H521" s="0" t="s">
        <v>228</v>
      </c>
      <c r="I521" s="0" t="s">
        <v>3555</v>
      </c>
      <c r="J521" s="0" t="s">
        <v>228</v>
      </c>
      <c r="K521" s="0" t="s">
        <v>228</v>
      </c>
      <c r="L521" s="0" t="s">
        <v>228</v>
      </c>
      <c r="M521" s="0" t="s">
        <v>228</v>
      </c>
      <c r="N521" s="0" t="s">
        <v>228</v>
      </c>
      <c r="O521" s="0" t="s">
        <v>228</v>
      </c>
      <c r="P521" s="0" t="s">
        <v>228</v>
      </c>
      <c r="Q521" s="0" t="s">
        <v>228</v>
      </c>
      <c r="R521" s="0" t="s">
        <v>3684</v>
      </c>
      <c r="S521" s="0" t="s">
        <v>228</v>
      </c>
      <c r="T521" s="0" t="s">
        <v>228</v>
      </c>
      <c r="U521" s="0" t="s">
        <v>101</v>
      </c>
      <c r="V521" s="0" t="s">
        <v>228</v>
      </c>
      <c r="W521" s="0" t="s">
        <v>228</v>
      </c>
      <c r="X521" s="0" t="s">
        <v>3557</v>
      </c>
      <c r="Y521" s="0" t="s">
        <v>228</v>
      </c>
      <c r="Z521" s="0" t="s">
        <v>160</v>
      </c>
      <c r="AA521" s="0" t="s">
        <v>151</v>
      </c>
      <c r="AB521" s="0" t="s">
        <v>151</v>
      </c>
      <c r="AC521" s="0" t="s">
        <v>2311</v>
      </c>
      <c r="AD521" s="0" t="s">
        <v>2311</v>
      </c>
      <c r="AE521" s="0" t="s">
        <v>2312</v>
      </c>
      <c r="AF521" s="0" t="s">
        <v>3783</v>
      </c>
      <c r="AG521" s="0" t="s">
        <v>3784</v>
      </c>
      <c r="AH521" s="0" t="s">
        <v>3786</v>
      </c>
      <c r="AI521" s="0" t="s">
        <v>4051</v>
      </c>
      <c r="AJ521" s="0" t="s">
        <v>3579</v>
      </c>
      <c r="AK521" s="0" t="s">
        <v>3580</v>
      </c>
      <c r="AL521" s="0" t="s">
        <v>3581</v>
      </c>
      <c r="AM521" s="0" t="s">
        <v>3565</v>
      </c>
      <c r="AN521" s="0" t="s">
        <v>3582</v>
      </c>
      <c r="AO521" s="0" t="s">
        <v>3845</v>
      </c>
      <c r="AP521" s="0" t="s">
        <v>228</v>
      </c>
      <c r="AQ521" s="0" t="s">
        <v>228</v>
      </c>
      <c r="AR521" s="0" t="s">
        <v>228</v>
      </c>
      <c r="AS521" s="0" t="s">
        <v>228</v>
      </c>
      <c r="AT521" s="0" t="s">
        <v>228</v>
      </c>
      <c r="AU521" s="0" t="s">
        <v>228</v>
      </c>
      <c r="AV521" s="0" t="s">
        <v>228</v>
      </c>
      <c r="AW521" s="0" t="s">
        <v>228</v>
      </c>
      <c r="AX521" s="0" t="s">
        <v>228</v>
      </c>
      <c r="AY521" s="0" t="s">
        <v>228</v>
      </c>
      <c r="AZ521" s="0" t="s">
        <v>228</v>
      </c>
      <c r="BA521" s="0" t="s">
        <v>228</v>
      </c>
      <c r="BB521" s="0" t="s">
        <v>228</v>
      </c>
      <c r="BC521" s="0" t="s">
        <v>228</v>
      </c>
      <c r="BD521" s="0" t="s">
        <v>228</v>
      </c>
      <c r="BE521" s="0" t="s">
        <v>228</v>
      </c>
      <c r="BF521" s="0" t="s">
        <v>228</v>
      </c>
      <c r="BG521" s="0" t="s">
        <v>228</v>
      </c>
      <c r="BH521" s="0" t="s">
        <v>228</v>
      </c>
      <c r="BI521" s="0" t="s">
        <v>228</v>
      </c>
      <c r="BJ521" s="0" t="s">
        <v>228</v>
      </c>
      <c r="BK521" s="0" t="s">
        <v>228</v>
      </c>
      <c r="BL521" s="0" t="s">
        <v>228</v>
      </c>
      <c r="BM521" s="0" t="s">
        <v>228</v>
      </c>
      <c r="BN521" s="0" t="s">
        <v>228</v>
      </c>
      <c r="BO521" s="0" t="s">
        <v>228</v>
      </c>
      <c r="BP521" s="0" t="s">
        <v>228</v>
      </c>
      <c r="BQ521" s="0" t="s">
        <v>228</v>
      </c>
      <c r="BR521" s="0" t="s">
        <v>228</v>
      </c>
      <c r="BS521" s="0" t="s">
        <v>228</v>
      </c>
      <c r="BT521" s="0" t="s">
        <v>228</v>
      </c>
      <c r="BU521" s="0" t="s">
        <v>228</v>
      </c>
      <c r="BV521" s="0" t="s">
        <v>228</v>
      </c>
      <c r="BW521" s="0" t="s">
        <v>228</v>
      </c>
      <c r="BX521" s="0" t="s">
        <v>228</v>
      </c>
      <c r="BY521" s="0" t="s">
        <v>228</v>
      </c>
      <c r="BZ521" s="0" t="s">
        <v>228</v>
      </c>
      <c r="CA521" s="0" t="s">
        <v>228</v>
      </c>
      <c r="CB521" s="0" t="s">
        <v>228</v>
      </c>
      <c r="CC521" s="0" t="s">
        <v>228</v>
      </c>
      <c r="CD521" s="0" t="s">
        <v>228</v>
      </c>
      <c r="CE521" s="0" t="s">
        <v>228</v>
      </c>
      <c r="CF521" s="0" t="s">
        <v>228</v>
      </c>
      <c r="CG521" s="0" t="s">
        <v>228</v>
      </c>
      <c r="CH521" s="0" t="s">
        <v>228</v>
      </c>
      <c r="CI521" s="0" t="s">
        <v>228</v>
      </c>
      <c r="CJ521" s="0" t="s">
        <v>228</v>
      </c>
      <c r="CK521" s="0" t="s">
        <v>228</v>
      </c>
      <c r="CL521" s="0" t="s">
        <v>228</v>
      </c>
      <c r="CM521" s="0" t="s">
        <v>228</v>
      </c>
      <c r="CN521" s="0" t="s">
        <v>228</v>
      </c>
      <c r="CO521" s="0" t="s">
        <v>228</v>
      </c>
      <c r="CP521" s="0" t="s">
        <v>228</v>
      </c>
      <c r="CQ521" s="0" t="s">
        <v>228</v>
      </c>
      <c r="CR521" s="0" t="s">
        <v>228</v>
      </c>
      <c r="CS521" s="0" t="s">
        <v>228</v>
      </c>
      <c r="CT521" s="0" t="s">
        <v>3568</v>
      </c>
      <c r="CU521" s="0" t="s">
        <v>3569</v>
      </c>
      <c r="CV521" s="0" t="s">
        <v>418</v>
      </c>
      <c r="CW521" s="0" t="s">
        <v>3584</v>
      </c>
      <c r="CX521" s="0" t="s">
        <v>419</v>
      </c>
      <c r="CY521" s="0" t="s">
        <v>418</v>
      </c>
      <c r="CZ521" s="0" t="s">
        <v>3585</v>
      </c>
      <c r="DA521" s="0" t="s">
        <v>3586</v>
      </c>
      <c r="DB521" s="0" t="s">
        <v>3584</v>
      </c>
      <c r="DC521" s="0" t="s">
        <v>362</v>
      </c>
      <c r="DD521" s="0" t="s">
        <v>3572</v>
      </c>
      <c r="DE521" s="0" t="s">
        <v>4052</v>
      </c>
    </row>
    <row customHeight="1" ht="11.25">
      <c r="A522" s="1353" t="s">
        <v>228</v>
      </c>
      <c r="B522" s="0" t="s">
        <v>228</v>
      </c>
      <c r="C522" s="0" t="s">
        <v>228</v>
      </c>
      <c r="D522" s="0" t="s">
        <v>228</v>
      </c>
      <c r="E522" s="0" t="s">
        <v>228</v>
      </c>
      <c r="F522" s="0" t="s">
        <v>228</v>
      </c>
      <c r="G522" s="0" t="s">
        <v>228</v>
      </c>
      <c r="H522" s="0" t="s">
        <v>228</v>
      </c>
      <c r="I522" s="0" t="s">
        <v>3555</v>
      </c>
      <c r="J522" s="0" t="s">
        <v>228</v>
      </c>
      <c r="K522" s="0" t="s">
        <v>228</v>
      </c>
      <c r="L522" s="0" t="s">
        <v>228</v>
      </c>
      <c r="M522" s="0" t="s">
        <v>228</v>
      </c>
      <c r="N522" s="0" t="s">
        <v>228</v>
      </c>
      <c r="O522" s="0" t="s">
        <v>228</v>
      </c>
      <c r="P522" s="0" t="s">
        <v>228</v>
      </c>
      <c r="Q522" s="0" t="s">
        <v>228</v>
      </c>
      <c r="R522" s="0" t="s">
        <v>3782</v>
      </c>
      <c r="S522" s="0" t="s">
        <v>228</v>
      </c>
      <c r="T522" s="0" t="s">
        <v>228</v>
      </c>
      <c r="U522" s="0" t="s">
        <v>101</v>
      </c>
      <c r="V522" s="0" t="s">
        <v>228</v>
      </c>
      <c r="W522" s="0" t="s">
        <v>228</v>
      </c>
      <c r="X522" s="0" t="s">
        <v>3661</v>
      </c>
      <c r="Y522" s="0" t="s">
        <v>228</v>
      </c>
      <c r="Z522" s="0" t="s">
        <v>151</v>
      </c>
      <c r="AA522" s="0" t="s">
        <v>151</v>
      </c>
      <c r="AB522" s="0" t="s">
        <v>160</v>
      </c>
      <c r="AC522" s="0" t="s">
        <v>2311</v>
      </c>
      <c r="AD522" s="0" t="s">
        <v>2311</v>
      </c>
      <c r="AE522" s="0" t="s">
        <v>2312</v>
      </c>
      <c r="AF522" s="0" t="s">
        <v>3691</v>
      </c>
      <c r="AG522" s="0" t="s">
        <v>3692</v>
      </c>
      <c r="AH522" s="0" t="s">
        <v>3691</v>
      </c>
      <c r="AI522" s="0" t="s">
        <v>3721</v>
      </c>
      <c r="AJ522" s="0" t="s">
        <v>228</v>
      </c>
      <c r="AK522" s="0" t="s">
        <v>228</v>
      </c>
      <c r="AL522" s="0" t="s">
        <v>228</v>
      </c>
      <c r="AM522" s="0" t="s">
        <v>228</v>
      </c>
      <c r="AN522" s="0" t="s">
        <v>228</v>
      </c>
      <c r="AO522" s="0" t="s">
        <v>228</v>
      </c>
      <c r="AP522" s="0" t="s">
        <v>228</v>
      </c>
      <c r="AQ522" s="0" t="s">
        <v>228</v>
      </c>
      <c r="AR522" s="0" t="s">
        <v>228</v>
      </c>
      <c r="AS522" s="0" t="s">
        <v>228</v>
      </c>
      <c r="AT522" s="0" t="s">
        <v>228</v>
      </c>
      <c r="AU522" s="0" t="s">
        <v>228</v>
      </c>
      <c r="AV522" s="0" t="s">
        <v>228</v>
      </c>
      <c r="AW522" s="0" t="s">
        <v>228</v>
      </c>
      <c r="AX522" s="0" t="s">
        <v>228</v>
      </c>
      <c r="AY522" s="0" t="s">
        <v>228</v>
      </c>
      <c r="AZ522" s="0" t="s">
        <v>228</v>
      </c>
      <c r="BA522" s="0" t="s">
        <v>228</v>
      </c>
      <c r="BB522" s="0" t="s">
        <v>228</v>
      </c>
      <c r="BC522" s="0" t="s">
        <v>228</v>
      </c>
      <c r="BD522" s="0" t="s">
        <v>228</v>
      </c>
      <c r="BE522" s="0" t="s">
        <v>3722</v>
      </c>
      <c r="BF522" s="0" t="s">
        <v>3722</v>
      </c>
      <c r="BG522" s="0" t="s">
        <v>111</v>
      </c>
      <c r="BH522" s="0" t="s">
        <v>3665</v>
      </c>
      <c r="BI522" s="0" t="s">
        <v>122</v>
      </c>
      <c r="BJ522" s="0" t="s">
        <v>228</v>
      </c>
      <c r="BK522" s="0" t="s">
        <v>3684</v>
      </c>
      <c r="BL522" s="0" t="s">
        <v>2311</v>
      </c>
      <c r="BM522" s="0" t="s">
        <v>2311</v>
      </c>
      <c r="BN522" s="0" t="s">
        <v>3723</v>
      </c>
      <c r="BO522" s="0" t="s">
        <v>3691</v>
      </c>
      <c r="BP522" s="0" t="s">
        <v>4113</v>
      </c>
      <c r="BQ522" s="0" t="s">
        <v>3577</v>
      </c>
      <c r="BR522" s="0" t="s">
        <v>3694</v>
      </c>
      <c r="BS522" s="0" t="s">
        <v>228</v>
      </c>
      <c r="BT522" s="0" t="s">
        <v>3727</v>
      </c>
      <c r="BU522" s="0" t="s">
        <v>4114</v>
      </c>
      <c r="BV522" s="0" t="s">
        <v>4114</v>
      </c>
      <c r="BW522" s="0" t="s">
        <v>3674</v>
      </c>
      <c r="BX522" s="0" t="s">
        <v>3674</v>
      </c>
      <c r="BY522" s="0" t="s">
        <v>3674</v>
      </c>
      <c r="BZ522" s="0" t="s">
        <v>3674</v>
      </c>
      <c r="CA522" s="0" t="s">
        <v>3674</v>
      </c>
      <c r="CB522" s="0" t="s">
        <v>228</v>
      </c>
      <c r="CC522" s="0" t="s">
        <v>228</v>
      </c>
      <c r="CD522" s="0" t="s">
        <v>228</v>
      </c>
      <c r="CE522" s="0" t="s">
        <v>228</v>
      </c>
      <c r="CF522" s="0" t="s">
        <v>228</v>
      </c>
      <c r="CG522" s="0" t="s">
        <v>3674</v>
      </c>
      <c r="CH522" s="0" t="s">
        <v>228</v>
      </c>
      <c r="CI522" s="0" t="s">
        <v>228</v>
      </c>
      <c r="CJ522" s="0" t="s">
        <v>228</v>
      </c>
      <c r="CK522" s="0" t="s">
        <v>228</v>
      </c>
      <c r="CL522" s="0" t="s">
        <v>228</v>
      </c>
      <c r="CM522" s="0" t="s">
        <v>4114</v>
      </c>
      <c r="CN522" s="0" t="s">
        <v>4114</v>
      </c>
      <c r="CO522" s="0" t="s">
        <v>228</v>
      </c>
      <c r="CP522" s="0" t="s">
        <v>228</v>
      </c>
      <c r="CQ522" s="0" t="s">
        <v>228</v>
      </c>
      <c r="CR522" s="0" t="s">
        <v>228</v>
      </c>
      <c r="CS522" s="0" t="s">
        <v>3582</v>
      </c>
      <c r="CT522" s="0" t="s">
        <v>3568</v>
      </c>
      <c r="CU522" s="0" t="s">
        <v>3569</v>
      </c>
      <c r="CV522" s="0" t="s">
        <v>418</v>
      </c>
      <c r="CW522" s="0" t="s">
        <v>3584</v>
      </c>
      <c r="CX522" s="0" t="s">
        <v>419</v>
      </c>
      <c r="CY522" s="0" t="s">
        <v>418</v>
      </c>
      <c r="CZ522" s="0" t="s">
        <v>3585</v>
      </c>
      <c r="DA522" s="0" t="s">
        <v>3586</v>
      </c>
      <c r="DB522" s="0" t="s">
        <v>3584</v>
      </c>
      <c r="DC522" s="0" t="s">
        <v>362</v>
      </c>
      <c r="DD522" s="0" t="s">
        <v>3572</v>
      </c>
      <c r="DE522" s="0" t="s">
        <v>4115</v>
      </c>
    </row>
    <row customHeight="1" ht="11.25">
      <c r="A523" s="1353" t="s">
        <v>228</v>
      </c>
      <c r="B523" s="0" t="s">
        <v>228</v>
      </c>
      <c r="C523" s="0" t="s">
        <v>228</v>
      </c>
      <c r="D523" s="0" t="s">
        <v>228</v>
      </c>
      <c r="E523" s="0" t="s">
        <v>228</v>
      </c>
      <c r="F523" s="0" t="s">
        <v>228</v>
      </c>
      <c r="G523" s="0" t="s">
        <v>228</v>
      </c>
      <c r="H523" s="0" t="s">
        <v>228</v>
      </c>
      <c r="I523" s="0" t="s">
        <v>3555</v>
      </c>
      <c r="J523" s="0" t="s">
        <v>228</v>
      </c>
      <c r="K523" s="0" t="s">
        <v>228</v>
      </c>
      <c r="L523" s="0" t="s">
        <v>228</v>
      </c>
      <c r="M523" s="0" t="s">
        <v>228</v>
      </c>
      <c r="N523" s="0" t="s">
        <v>228</v>
      </c>
      <c r="O523" s="0" t="s">
        <v>228</v>
      </c>
      <c r="P523" s="0" t="s">
        <v>228</v>
      </c>
      <c r="Q523" s="0" t="s">
        <v>228</v>
      </c>
      <c r="R523" s="0" t="s">
        <v>3648</v>
      </c>
      <c r="S523" s="0" t="s">
        <v>228</v>
      </c>
      <c r="T523" s="0" t="s">
        <v>228</v>
      </c>
      <c r="U523" s="0" t="s">
        <v>101</v>
      </c>
      <c r="V523" s="0" t="s">
        <v>228</v>
      </c>
      <c r="W523" s="0" t="s">
        <v>228</v>
      </c>
      <c r="X523" s="0" t="s">
        <v>3557</v>
      </c>
      <c r="Y523" s="0" t="s">
        <v>228</v>
      </c>
      <c r="Z523" s="0" t="s">
        <v>160</v>
      </c>
      <c r="AA523" s="0" t="s">
        <v>151</v>
      </c>
      <c r="AB523" s="0" t="s">
        <v>151</v>
      </c>
      <c r="AC523" s="0" t="s">
        <v>2317</v>
      </c>
      <c r="AD523" s="0" t="s">
        <v>2317</v>
      </c>
      <c r="AE523" s="0" t="s">
        <v>2318</v>
      </c>
      <c r="AF523" s="0" t="s">
        <v>3804</v>
      </c>
      <c r="AG523" s="0" t="s">
        <v>3805</v>
      </c>
      <c r="AH523" s="0" t="s">
        <v>3903</v>
      </c>
      <c r="AI523" s="0" t="s">
        <v>3904</v>
      </c>
      <c r="AJ523" s="0" t="s">
        <v>3627</v>
      </c>
      <c r="AK523" s="0" t="s">
        <v>3619</v>
      </c>
      <c r="AL523" s="0" t="s">
        <v>3581</v>
      </c>
      <c r="AM523" s="0" t="s">
        <v>3565</v>
      </c>
      <c r="AN523" s="0" t="s">
        <v>3620</v>
      </c>
      <c r="AO523" s="0" t="s">
        <v>3583</v>
      </c>
      <c r="AP523" s="0" t="s">
        <v>228</v>
      </c>
      <c r="AQ523" s="0" t="s">
        <v>228</v>
      </c>
      <c r="AR523" s="0" t="s">
        <v>228</v>
      </c>
      <c r="AS523" s="0" t="s">
        <v>228</v>
      </c>
      <c r="AT523" s="0" t="s">
        <v>228</v>
      </c>
      <c r="AU523" s="0" t="s">
        <v>228</v>
      </c>
      <c r="AV523" s="0" t="s">
        <v>228</v>
      </c>
      <c r="AW523" s="0" t="s">
        <v>228</v>
      </c>
      <c r="AX523" s="0" t="s">
        <v>228</v>
      </c>
      <c r="AY523" s="0" t="s">
        <v>228</v>
      </c>
      <c r="AZ523" s="0" t="s">
        <v>228</v>
      </c>
      <c r="BA523" s="0" t="s">
        <v>228</v>
      </c>
      <c r="BB523" s="0" t="s">
        <v>228</v>
      </c>
      <c r="BC523" s="0" t="s">
        <v>228</v>
      </c>
      <c r="BD523" s="0" t="s">
        <v>228</v>
      </c>
      <c r="BE523" s="0" t="s">
        <v>228</v>
      </c>
      <c r="BF523" s="0" t="s">
        <v>228</v>
      </c>
      <c r="BG523" s="0" t="s">
        <v>228</v>
      </c>
      <c r="BH523" s="0" t="s">
        <v>228</v>
      </c>
      <c r="BI523" s="0" t="s">
        <v>228</v>
      </c>
      <c r="BJ523" s="0" t="s">
        <v>228</v>
      </c>
      <c r="BK523" s="0" t="s">
        <v>228</v>
      </c>
      <c r="BL523" s="0" t="s">
        <v>228</v>
      </c>
      <c r="BM523" s="0" t="s">
        <v>228</v>
      </c>
      <c r="BN523" s="0" t="s">
        <v>228</v>
      </c>
      <c r="BO523" s="0" t="s">
        <v>228</v>
      </c>
      <c r="BP523" s="0" t="s">
        <v>228</v>
      </c>
      <c r="BQ523" s="0" t="s">
        <v>228</v>
      </c>
      <c r="BR523" s="0" t="s">
        <v>228</v>
      </c>
      <c r="BS523" s="0" t="s">
        <v>228</v>
      </c>
      <c r="BT523" s="0" t="s">
        <v>228</v>
      </c>
      <c r="BU523" s="0" t="s">
        <v>228</v>
      </c>
      <c r="BV523" s="0" t="s">
        <v>228</v>
      </c>
      <c r="BW523" s="0" t="s">
        <v>228</v>
      </c>
      <c r="BX523" s="0" t="s">
        <v>228</v>
      </c>
      <c r="BY523" s="0" t="s">
        <v>228</v>
      </c>
      <c r="BZ523" s="0" t="s">
        <v>228</v>
      </c>
      <c r="CA523" s="0" t="s">
        <v>228</v>
      </c>
      <c r="CB523" s="0" t="s">
        <v>228</v>
      </c>
      <c r="CC523" s="0" t="s">
        <v>228</v>
      </c>
      <c r="CD523" s="0" t="s">
        <v>228</v>
      </c>
      <c r="CE523" s="0" t="s">
        <v>228</v>
      </c>
      <c r="CF523" s="0" t="s">
        <v>228</v>
      </c>
      <c r="CG523" s="0" t="s">
        <v>228</v>
      </c>
      <c r="CH523" s="0" t="s">
        <v>228</v>
      </c>
      <c r="CI523" s="0" t="s">
        <v>228</v>
      </c>
      <c r="CJ523" s="0" t="s">
        <v>228</v>
      </c>
      <c r="CK523" s="0" t="s">
        <v>228</v>
      </c>
      <c r="CL523" s="0" t="s">
        <v>228</v>
      </c>
      <c r="CM523" s="0" t="s">
        <v>228</v>
      </c>
      <c r="CN523" s="0" t="s">
        <v>228</v>
      </c>
      <c r="CO523" s="0" t="s">
        <v>228</v>
      </c>
      <c r="CP523" s="0" t="s">
        <v>228</v>
      </c>
      <c r="CQ523" s="0" t="s">
        <v>228</v>
      </c>
      <c r="CR523" s="0" t="s">
        <v>228</v>
      </c>
      <c r="CS523" s="0" t="s">
        <v>228</v>
      </c>
      <c r="CT523" s="0" t="s">
        <v>3568</v>
      </c>
      <c r="CU523" s="0" t="s">
        <v>3569</v>
      </c>
      <c r="CV523" s="0" t="s">
        <v>418</v>
      </c>
      <c r="CW523" s="0" t="s">
        <v>3622</v>
      </c>
      <c r="CX523" s="0" t="s">
        <v>419</v>
      </c>
      <c r="CY523" s="0" t="s">
        <v>418</v>
      </c>
      <c r="CZ523" s="0" t="s">
        <v>3623</v>
      </c>
      <c r="DA523" s="0" t="s">
        <v>3624</v>
      </c>
      <c r="DB523" s="0" t="s">
        <v>3622</v>
      </c>
      <c r="DC523" s="0" t="s">
        <v>362</v>
      </c>
      <c r="DD523" s="0" t="s">
        <v>3572</v>
      </c>
      <c r="DE523" s="0" t="s">
        <v>3905</v>
      </c>
    </row>
    <row customHeight="1" ht="11.25">
      <c r="A524" s="1353" t="s">
        <v>228</v>
      </c>
      <c r="B524" s="0" t="s">
        <v>228</v>
      </c>
      <c r="C524" s="0" t="s">
        <v>228</v>
      </c>
      <c r="D524" s="0" t="s">
        <v>228</v>
      </c>
      <c r="E524" s="0" t="s">
        <v>228</v>
      </c>
      <c r="F524" s="0" t="s">
        <v>228</v>
      </c>
      <c r="G524" s="0" t="s">
        <v>228</v>
      </c>
      <c r="H524" s="0" t="s">
        <v>228</v>
      </c>
      <c r="I524" s="0" t="s">
        <v>3555</v>
      </c>
      <c r="J524" s="0" t="s">
        <v>228</v>
      </c>
      <c r="K524" s="0" t="s">
        <v>228</v>
      </c>
      <c r="L524" s="0" t="s">
        <v>228</v>
      </c>
      <c r="M524" s="0" t="s">
        <v>228</v>
      </c>
      <c r="N524" s="0" t="s">
        <v>228</v>
      </c>
      <c r="O524" s="0" t="s">
        <v>228</v>
      </c>
      <c r="P524" s="0" t="s">
        <v>228</v>
      </c>
      <c r="Q524" s="0" t="s">
        <v>228</v>
      </c>
      <c r="R524" s="0" t="s">
        <v>4124</v>
      </c>
      <c r="S524" s="0" t="s">
        <v>228</v>
      </c>
      <c r="T524" s="0" t="s">
        <v>228</v>
      </c>
      <c r="U524" s="0" t="s">
        <v>101</v>
      </c>
      <c r="V524" s="0" t="s">
        <v>228</v>
      </c>
      <c r="W524" s="0" t="s">
        <v>228</v>
      </c>
      <c r="X524" s="0" t="s">
        <v>3661</v>
      </c>
      <c r="Y524" s="0" t="s">
        <v>228</v>
      </c>
      <c r="Z524" s="0" t="s">
        <v>151</v>
      </c>
      <c r="AA524" s="0" t="s">
        <v>151</v>
      </c>
      <c r="AB524" s="0" t="s">
        <v>160</v>
      </c>
      <c r="AC524" s="0" t="s">
        <v>2317</v>
      </c>
      <c r="AD524" s="0" t="s">
        <v>2317</v>
      </c>
      <c r="AE524" s="0" t="s">
        <v>2318</v>
      </c>
      <c r="AF524" s="0" t="s">
        <v>3804</v>
      </c>
      <c r="AG524" s="0" t="s">
        <v>3805</v>
      </c>
      <c r="AH524" s="0" t="s">
        <v>3651</v>
      </c>
      <c r="AI524" s="0" t="s">
        <v>3651</v>
      </c>
      <c r="AJ524" s="0" t="s">
        <v>228</v>
      </c>
      <c r="AK524" s="0" t="s">
        <v>228</v>
      </c>
      <c r="AL524" s="0" t="s">
        <v>228</v>
      </c>
      <c r="AM524" s="0" t="s">
        <v>228</v>
      </c>
      <c r="AN524" s="0" t="s">
        <v>228</v>
      </c>
      <c r="AO524" s="0" t="s">
        <v>228</v>
      </c>
      <c r="AP524" s="0" t="s">
        <v>228</v>
      </c>
      <c r="AQ524" s="0" t="s">
        <v>228</v>
      </c>
      <c r="AR524" s="0" t="s">
        <v>228</v>
      </c>
      <c r="AS524" s="0" t="s">
        <v>228</v>
      </c>
      <c r="AT524" s="0" t="s">
        <v>228</v>
      </c>
      <c r="AU524" s="0" t="s">
        <v>228</v>
      </c>
      <c r="AV524" s="0" t="s">
        <v>228</v>
      </c>
      <c r="AW524" s="0" t="s">
        <v>228</v>
      </c>
      <c r="AX524" s="0" t="s">
        <v>228</v>
      </c>
      <c r="AY524" s="0" t="s">
        <v>228</v>
      </c>
      <c r="AZ524" s="0" t="s">
        <v>228</v>
      </c>
      <c r="BA524" s="0" t="s">
        <v>228</v>
      </c>
      <c r="BB524" s="0" t="s">
        <v>228</v>
      </c>
      <c r="BC524" s="0" t="s">
        <v>228</v>
      </c>
      <c r="BD524" s="0" t="s">
        <v>228</v>
      </c>
      <c r="BE524" s="0" t="s">
        <v>3579</v>
      </c>
      <c r="BF524" s="0" t="s">
        <v>3619</v>
      </c>
      <c r="BG524" s="0" t="s">
        <v>111</v>
      </c>
      <c r="BH524" s="0" t="s">
        <v>3665</v>
      </c>
      <c r="BI524" s="0" t="s">
        <v>122</v>
      </c>
      <c r="BJ524" s="0" t="s">
        <v>228</v>
      </c>
      <c r="BK524" s="0" t="s">
        <v>3684</v>
      </c>
      <c r="BL524" s="0" t="s">
        <v>2317</v>
      </c>
      <c r="BM524" s="0" t="s">
        <v>2317</v>
      </c>
      <c r="BN524" s="0" t="s">
        <v>3740</v>
      </c>
      <c r="BO524" s="0" t="s">
        <v>3804</v>
      </c>
      <c r="BP524" s="0" t="s">
        <v>4125</v>
      </c>
      <c r="BQ524" s="0" t="s">
        <v>3651</v>
      </c>
      <c r="BR524" s="0" t="s">
        <v>3651</v>
      </c>
      <c r="BS524" s="0" t="s">
        <v>228</v>
      </c>
      <c r="BT524" s="0" t="s">
        <v>3727</v>
      </c>
      <c r="BU524" s="0" t="s">
        <v>4126</v>
      </c>
      <c r="BV524" s="0" t="s">
        <v>4126</v>
      </c>
      <c r="BW524" s="0" t="s">
        <v>3674</v>
      </c>
      <c r="BX524" s="0" t="s">
        <v>3674</v>
      </c>
      <c r="BY524" s="0" t="s">
        <v>3674</v>
      </c>
      <c r="BZ524" s="0" t="s">
        <v>3674</v>
      </c>
      <c r="CA524" s="0" t="s">
        <v>3674</v>
      </c>
      <c r="CB524" s="0" t="s">
        <v>228</v>
      </c>
      <c r="CC524" s="0" t="s">
        <v>228</v>
      </c>
      <c r="CD524" s="0" t="s">
        <v>228</v>
      </c>
      <c r="CE524" s="0" t="s">
        <v>228</v>
      </c>
      <c r="CF524" s="0" t="s">
        <v>228</v>
      </c>
      <c r="CG524" s="0" t="s">
        <v>3674</v>
      </c>
      <c r="CH524" s="0" t="s">
        <v>228</v>
      </c>
      <c r="CI524" s="0" t="s">
        <v>228</v>
      </c>
      <c r="CJ524" s="0" t="s">
        <v>228</v>
      </c>
      <c r="CK524" s="0" t="s">
        <v>228</v>
      </c>
      <c r="CL524" s="0" t="s">
        <v>228</v>
      </c>
      <c r="CM524" s="0" t="s">
        <v>4126</v>
      </c>
      <c r="CN524" s="0" t="s">
        <v>4126</v>
      </c>
      <c r="CO524" s="0" t="s">
        <v>228</v>
      </c>
      <c r="CP524" s="0" t="s">
        <v>228</v>
      </c>
      <c r="CQ524" s="0" t="s">
        <v>228</v>
      </c>
      <c r="CR524" s="0" t="s">
        <v>228</v>
      </c>
      <c r="CS524" s="0" t="s">
        <v>3743</v>
      </c>
      <c r="CT524" s="0" t="s">
        <v>3568</v>
      </c>
      <c r="CU524" s="0" t="s">
        <v>3569</v>
      </c>
      <c r="CV524" s="0" t="s">
        <v>418</v>
      </c>
      <c r="CW524" s="0" t="s">
        <v>3622</v>
      </c>
      <c r="CX524" s="0" t="s">
        <v>419</v>
      </c>
      <c r="CY524" s="0" t="s">
        <v>418</v>
      </c>
      <c r="CZ524" s="0" t="s">
        <v>3623</v>
      </c>
      <c r="DA524" s="0" t="s">
        <v>3624</v>
      </c>
      <c r="DB524" s="0" t="s">
        <v>3622</v>
      </c>
      <c r="DC524" s="0" t="s">
        <v>362</v>
      </c>
      <c r="DD524" s="0" t="s">
        <v>3572</v>
      </c>
      <c r="DE524" s="0" t="s">
        <v>4127</v>
      </c>
    </row>
    <row customHeight="1" ht="11.25">
      <c r="A525" s="1353" t="s">
        <v>228</v>
      </c>
      <c r="B525" s="0" t="s">
        <v>228</v>
      </c>
      <c r="C525" s="0" t="s">
        <v>228</v>
      </c>
      <c r="D525" s="0" t="s">
        <v>228</v>
      </c>
      <c r="E525" s="0" t="s">
        <v>228</v>
      </c>
      <c r="F525" s="0" t="s">
        <v>228</v>
      </c>
      <c r="G525" s="0" t="s">
        <v>228</v>
      </c>
      <c r="H525" s="0" t="s">
        <v>228</v>
      </c>
      <c r="I525" s="0" t="s">
        <v>3555</v>
      </c>
      <c r="J525" s="0" t="s">
        <v>228</v>
      </c>
      <c r="K525" s="0" t="s">
        <v>228</v>
      </c>
      <c r="L525" s="0" t="s">
        <v>228</v>
      </c>
      <c r="M525" s="0" t="s">
        <v>228</v>
      </c>
      <c r="N525" s="0" t="s">
        <v>228</v>
      </c>
      <c r="O525" s="0" t="s">
        <v>228</v>
      </c>
      <c r="P525" s="0" t="s">
        <v>228</v>
      </c>
      <c r="Q525" s="0" t="s">
        <v>228</v>
      </c>
      <c r="R525" s="0" t="s">
        <v>3648</v>
      </c>
      <c r="S525" s="0" t="s">
        <v>228</v>
      </c>
      <c r="T525" s="0" t="s">
        <v>228</v>
      </c>
      <c r="U525" s="0" t="s">
        <v>101</v>
      </c>
      <c r="V525" s="0" t="s">
        <v>228</v>
      </c>
      <c r="W525" s="0" t="s">
        <v>228</v>
      </c>
      <c r="X525" s="0" t="s">
        <v>3557</v>
      </c>
      <c r="Y525" s="0" t="s">
        <v>228</v>
      </c>
      <c r="Z525" s="0" t="s">
        <v>160</v>
      </c>
      <c r="AA525" s="0" t="s">
        <v>151</v>
      </c>
      <c r="AB525" s="0" t="s">
        <v>151</v>
      </c>
      <c r="AC525" s="0" t="s">
        <v>2317</v>
      </c>
      <c r="AD525" s="0" t="s">
        <v>2317</v>
      </c>
      <c r="AE525" s="0" t="s">
        <v>2318</v>
      </c>
      <c r="AF525" s="0" t="s">
        <v>3923</v>
      </c>
      <c r="AG525" s="0" t="s">
        <v>3924</v>
      </c>
      <c r="AH525" s="0" t="s">
        <v>4207</v>
      </c>
      <c r="AI525" s="0" t="s">
        <v>330</v>
      </c>
      <c r="AJ525" s="0" t="s">
        <v>3579</v>
      </c>
      <c r="AK525" s="0" t="s">
        <v>3619</v>
      </c>
      <c r="AL525" s="0" t="s">
        <v>3581</v>
      </c>
      <c r="AM525" s="0" t="s">
        <v>3565</v>
      </c>
      <c r="AN525" s="0" t="s">
        <v>3620</v>
      </c>
      <c r="AO525" s="0" t="s">
        <v>3757</v>
      </c>
      <c r="AP525" s="0" t="s">
        <v>228</v>
      </c>
      <c r="AQ525" s="0" t="s">
        <v>228</v>
      </c>
      <c r="AR525" s="0" t="s">
        <v>228</v>
      </c>
      <c r="AS525" s="0" t="s">
        <v>228</v>
      </c>
      <c r="AT525" s="0" t="s">
        <v>228</v>
      </c>
      <c r="AU525" s="0" t="s">
        <v>228</v>
      </c>
      <c r="AV525" s="0" t="s">
        <v>228</v>
      </c>
      <c r="AW525" s="0" t="s">
        <v>228</v>
      </c>
      <c r="AX525" s="0" t="s">
        <v>228</v>
      </c>
      <c r="AY525" s="0" t="s">
        <v>228</v>
      </c>
      <c r="AZ525" s="0" t="s">
        <v>228</v>
      </c>
      <c r="BA525" s="0" t="s">
        <v>228</v>
      </c>
      <c r="BB525" s="0" t="s">
        <v>228</v>
      </c>
      <c r="BC525" s="0" t="s">
        <v>228</v>
      </c>
      <c r="BD525" s="0" t="s">
        <v>228</v>
      </c>
      <c r="BE525" s="0" t="s">
        <v>228</v>
      </c>
      <c r="BF525" s="0" t="s">
        <v>228</v>
      </c>
      <c r="BG525" s="0" t="s">
        <v>228</v>
      </c>
      <c r="BH525" s="0" t="s">
        <v>228</v>
      </c>
      <c r="BI525" s="0" t="s">
        <v>228</v>
      </c>
      <c r="BJ525" s="0" t="s">
        <v>228</v>
      </c>
      <c r="BK525" s="0" t="s">
        <v>228</v>
      </c>
      <c r="BL525" s="0" t="s">
        <v>228</v>
      </c>
      <c r="BM525" s="0" t="s">
        <v>228</v>
      </c>
      <c r="BN525" s="0" t="s">
        <v>228</v>
      </c>
      <c r="BO525" s="0" t="s">
        <v>228</v>
      </c>
      <c r="BP525" s="0" t="s">
        <v>228</v>
      </c>
      <c r="BQ525" s="0" t="s">
        <v>228</v>
      </c>
      <c r="BR525" s="0" t="s">
        <v>228</v>
      </c>
      <c r="BS525" s="0" t="s">
        <v>228</v>
      </c>
      <c r="BT525" s="0" t="s">
        <v>228</v>
      </c>
      <c r="BU525" s="0" t="s">
        <v>228</v>
      </c>
      <c r="BV525" s="0" t="s">
        <v>228</v>
      </c>
      <c r="BW525" s="0" t="s">
        <v>228</v>
      </c>
      <c r="BX525" s="0" t="s">
        <v>228</v>
      </c>
      <c r="BY525" s="0" t="s">
        <v>228</v>
      </c>
      <c r="BZ525" s="0" t="s">
        <v>228</v>
      </c>
      <c r="CA525" s="0" t="s">
        <v>228</v>
      </c>
      <c r="CB525" s="0" t="s">
        <v>228</v>
      </c>
      <c r="CC525" s="0" t="s">
        <v>228</v>
      </c>
      <c r="CD525" s="0" t="s">
        <v>228</v>
      </c>
      <c r="CE525" s="0" t="s">
        <v>228</v>
      </c>
      <c r="CF525" s="0" t="s">
        <v>228</v>
      </c>
      <c r="CG525" s="0" t="s">
        <v>228</v>
      </c>
      <c r="CH525" s="0" t="s">
        <v>228</v>
      </c>
      <c r="CI525" s="0" t="s">
        <v>228</v>
      </c>
      <c r="CJ525" s="0" t="s">
        <v>228</v>
      </c>
      <c r="CK525" s="0" t="s">
        <v>228</v>
      </c>
      <c r="CL525" s="0" t="s">
        <v>228</v>
      </c>
      <c r="CM525" s="0" t="s">
        <v>228</v>
      </c>
      <c r="CN525" s="0" t="s">
        <v>228</v>
      </c>
      <c r="CO525" s="0" t="s">
        <v>228</v>
      </c>
      <c r="CP525" s="0" t="s">
        <v>228</v>
      </c>
      <c r="CQ525" s="0" t="s">
        <v>228</v>
      </c>
      <c r="CR525" s="0" t="s">
        <v>228</v>
      </c>
      <c r="CS525" s="0" t="s">
        <v>228</v>
      </c>
      <c r="CT525" s="0" t="s">
        <v>3568</v>
      </c>
      <c r="CU525" s="0" t="s">
        <v>3569</v>
      </c>
      <c r="CV525" s="0" t="s">
        <v>418</v>
      </c>
      <c r="CW525" s="0" t="s">
        <v>3622</v>
      </c>
      <c r="CX525" s="0" t="s">
        <v>419</v>
      </c>
      <c r="CY525" s="0" t="s">
        <v>418</v>
      </c>
      <c r="CZ525" s="0" t="s">
        <v>3623</v>
      </c>
      <c r="DA525" s="0" t="s">
        <v>3624</v>
      </c>
      <c r="DB525" s="0" t="s">
        <v>3622</v>
      </c>
      <c r="DC525" s="0" t="s">
        <v>362</v>
      </c>
      <c r="DD525" s="0" t="s">
        <v>3572</v>
      </c>
      <c r="DE525" s="0" t="s">
        <v>4395</v>
      </c>
    </row>
    <row customHeight="1" ht="11.25">
      <c r="A526" s="1353" t="s">
        <v>228</v>
      </c>
      <c r="B526" s="0" t="s">
        <v>228</v>
      </c>
      <c r="C526" s="0" t="s">
        <v>228</v>
      </c>
      <c r="D526" s="0" t="s">
        <v>228</v>
      </c>
      <c r="E526" s="0" t="s">
        <v>228</v>
      </c>
      <c r="F526" s="0" t="s">
        <v>228</v>
      </c>
      <c r="G526" s="0" t="s">
        <v>228</v>
      </c>
      <c r="H526" s="0" t="s">
        <v>228</v>
      </c>
      <c r="I526" s="0" t="s">
        <v>3555</v>
      </c>
      <c r="J526" s="0" t="s">
        <v>228</v>
      </c>
      <c r="K526" s="0" t="s">
        <v>228</v>
      </c>
      <c r="L526" s="0" t="s">
        <v>228</v>
      </c>
      <c r="M526" s="0" t="s">
        <v>228</v>
      </c>
      <c r="N526" s="0" t="s">
        <v>228</v>
      </c>
      <c r="O526" s="0" t="s">
        <v>228</v>
      </c>
      <c r="P526" s="0" t="s">
        <v>228</v>
      </c>
      <c r="Q526" s="0" t="s">
        <v>228</v>
      </c>
      <c r="R526" s="0" t="s">
        <v>4405</v>
      </c>
      <c r="S526" s="0" t="s">
        <v>228</v>
      </c>
      <c r="T526" s="0" t="s">
        <v>228</v>
      </c>
      <c r="U526" s="0" t="s">
        <v>101</v>
      </c>
      <c r="V526" s="0" t="s">
        <v>228</v>
      </c>
      <c r="W526" s="0" t="s">
        <v>228</v>
      </c>
      <c r="X526" s="0" t="s">
        <v>3661</v>
      </c>
      <c r="Y526" s="0" t="s">
        <v>228</v>
      </c>
      <c r="Z526" s="0" t="s">
        <v>151</v>
      </c>
      <c r="AA526" s="0" t="s">
        <v>151</v>
      </c>
      <c r="AB526" s="0" t="s">
        <v>160</v>
      </c>
      <c r="AC526" s="0" t="s">
        <v>2317</v>
      </c>
      <c r="AD526" s="0" t="s">
        <v>2317</v>
      </c>
      <c r="AE526" s="0" t="s">
        <v>2318</v>
      </c>
      <c r="AF526" s="0" t="s">
        <v>4200</v>
      </c>
      <c r="AG526" s="0" t="s">
        <v>4201</v>
      </c>
      <c r="AH526" s="0" t="s">
        <v>3651</v>
      </c>
      <c r="AI526" s="0" t="s">
        <v>3651</v>
      </c>
      <c r="AJ526" s="0" t="s">
        <v>228</v>
      </c>
      <c r="AK526" s="0" t="s">
        <v>228</v>
      </c>
      <c r="AL526" s="0" t="s">
        <v>228</v>
      </c>
      <c r="AM526" s="0" t="s">
        <v>228</v>
      </c>
      <c r="AN526" s="0" t="s">
        <v>228</v>
      </c>
      <c r="AO526" s="0" t="s">
        <v>228</v>
      </c>
      <c r="AP526" s="0" t="s">
        <v>228</v>
      </c>
      <c r="AQ526" s="0" t="s">
        <v>228</v>
      </c>
      <c r="AR526" s="0" t="s">
        <v>228</v>
      </c>
      <c r="AS526" s="0" t="s">
        <v>228</v>
      </c>
      <c r="AT526" s="0" t="s">
        <v>228</v>
      </c>
      <c r="AU526" s="0" t="s">
        <v>228</v>
      </c>
      <c r="AV526" s="0" t="s">
        <v>228</v>
      </c>
      <c r="AW526" s="0" t="s">
        <v>228</v>
      </c>
      <c r="AX526" s="0" t="s">
        <v>228</v>
      </c>
      <c r="AY526" s="0" t="s">
        <v>228</v>
      </c>
      <c r="AZ526" s="0" t="s">
        <v>228</v>
      </c>
      <c r="BA526" s="0" t="s">
        <v>228</v>
      </c>
      <c r="BB526" s="0" t="s">
        <v>228</v>
      </c>
      <c r="BC526" s="0" t="s">
        <v>228</v>
      </c>
      <c r="BD526" s="0" t="s">
        <v>228</v>
      </c>
      <c r="BE526" s="0" t="s">
        <v>3627</v>
      </c>
      <c r="BF526" s="0" t="s">
        <v>3749</v>
      </c>
      <c r="BG526" s="0" t="s">
        <v>111</v>
      </c>
      <c r="BH526" s="0" t="s">
        <v>3665</v>
      </c>
      <c r="BI526" s="0" t="s">
        <v>122</v>
      </c>
      <c r="BJ526" s="0" t="s">
        <v>228</v>
      </c>
      <c r="BK526" s="0" t="s">
        <v>3684</v>
      </c>
      <c r="BL526" s="0" t="s">
        <v>2317</v>
      </c>
      <c r="BM526" s="0" t="s">
        <v>2317</v>
      </c>
      <c r="BN526" s="0" t="s">
        <v>3740</v>
      </c>
      <c r="BO526" s="0" t="s">
        <v>4200</v>
      </c>
      <c r="BP526" s="0" t="s">
        <v>4406</v>
      </c>
      <c r="BQ526" s="0" t="s">
        <v>3651</v>
      </c>
      <c r="BR526" s="0" t="s">
        <v>3651</v>
      </c>
      <c r="BS526" s="0" t="s">
        <v>228</v>
      </c>
      <c r="BT526" s="0" t="s">
        <v>3727</v>
      </c>
      <c r="BU526" s="0" t="s">
        <v>4407</v>
      </c>
      <c r="BV526" s="0" t="s">
        <v>4407</v>
      </c>
      <c r="BW526" s="0" t="s">
        <v>3674</v>
      </c>
      <c r="BX526" s="0" t="s">
        <v>3674</v>
      </c>
      <c r="BY526" s="0" t="s">
        <v>3674</v>
      </c>
      <c r="BZ526" s="0" t="s">
        <v>3674</v>
      </c>
      <c r="CA526" s="0" t="s">
        <v>3674</v>
      </c>
      <c r="CB526" s="0" t="s">
        <v>228</v>
      </c>
      <c r="CC526" s="0" t="s">
        <v>228</v>
      </c>
      <c r="CD526" s="0" t="s">
        <v>228</v>
      </c>
      <c r="CE526" s="0" t="s">
        <v>228</v>
      </c>
      <c r="CF526" s="0" t="s">
        <v>228</v>
      </c>
      <c r="CG526" s="0" t="s">
        <v>3674</v>
      </c>
      <c r="CH526" s="0" t="s">
        <v>228</v>
      </c>
      <c r="CI526" s="0" t="s">
        <v>228</v>
      </c>
      <c r="CJ526" s="0" t="s">
        <v>228</v>
      </c>
      <c r="CK526" s="0" t="s">
        <v>228</v>
      </c>
      <c r="CL526" s="0" t="s">
        <v>228</v>
      </c>
      <c r="CM526" s="0" t="s">
        <v>4407</v>
      </c>
      <c r="CN526" s="0" t="s">
        <v>4407</v>
      </c>
      <c r="CO526" s="0" t="s">
        <v>228</v>
      </c>
      <c r="CP526" s="0" t="s">
        <v>228</v>
      </c>
      <c r="CQ526" s="0" t="s">
        <v>228</v>
      </c>
      <c r="CR526" s="0" t="s">
        <v>228</v>
      </c>
      <c r="CS526" s="0" t="s">
        <v>3743</v>
      </c>
      <c r="CT526" s="0" t="s">
        <v>3568</v>
      </c>
      <c r="CU526" s="0" t="s">
        <v>3569</v>
      </c>
      <c r="CV526" s="0" t="s">
        <v>418</v>
      </c>
      <c r="CW526" s="0" t="s">
        <v>3622</v>
      </c>
      <c r="CX526" s="0" t="s">
        <v>419</v>
      </c>
      <c r="CY526" s="0" t="s">
        <v>418</v>
      </c>
      <c r="CZ526" s="0" t="s">
        <v>3623</v>
      </c>
      <c r="DA526" s="0" t="s">
        <v>3624</v>
      </c>
      <c r="DB526" s="0" t="s">
        <v>3622</v>
      </c>
      <c r="DC526" s="0" t="s">
        <v>362</v>
      </c>
      <c r="DD526" s="0" t="s">
        <v>3572</v>
      </c>
      <c r="DE526" s="0" t="s">
        <v>4408</v>
      </c>
    </row>
    <row customHeight="1" ht="11.25">
      <c r="A527" s="1353" t="s">
        <v>228</v>
      </c>
      <c r="B527" s="0" t="s">
        <v>228</v>
      </c>
      <c r="C527" s="0" t="s">
        <v>228</v>
      </c>
      <c r="D527" s="0" t="s">
        <v>228</v>
      </c>
      <c r="E527" s="0" t="s">
        <v>228</v>
      </c>
      <c r="F527" s="0" t="s">
        <v>228</v>
      </c>
      <c r="G527" s="0" t="s">
        <v>228</v>
      </c>
      <c r="H527" s="0" t="s">
        <v>228</v>
      </c>
      <c r="I527" s="0" t="s">
        <v>3555</v>
      </c>
      <c r="J527" s="0" t="s">
        <v>228</v>
      </c>
      <c r="K527" s="0" t="s">
        <v>228</v>
      </c>
      <c r="L527" s="0" t="s">
        <v>228</v>
      </c>
      <c r="M527" s="0" t="s">
        <v>228</v>
      </c>
      <c r="N527" s="0" t="s">
        <v>228</v>
      </c>
      <c r="O527" s="0" t="s">
        <v>228</v>
      </c>
      <c r="P527" s="0" t="s">
        <v>228</v>
      </c>
      <c r="Q527" s="0" t="s">
        <v>228</v>
      </c>
      <c r="R527" s="0" t="s">
        <v>3648</v>
      </c>
      <c r="S527" s="0" t="s">
        <v>228</v>
      </c>
      <c r="T527" s="0" t="s">
        <v>228</v>
      </c>
      <c r="U527" s="0" t="s">
        <v>101</v>
      </c>
      <c r="V527" s="0" t="s">
        <v>228</v>
      </c>
      <c r="W527" s="0" t="s">
        <v>228</v>
      </c>
      <c r="X527" s="0" t="s">
        <v>3557</v>
      </c>
      <c r="Y527" s="0" t="s">
        <v>228</v>
      </c>
      <c r="Z527" s="0" t="s">
        <v>160</v>
      </c>
      <c r="AA527" s="0" t="s">
        <v>151</v>
      </c>
      <c r="AB527" s="0" t="s">
        <v>151</v>
      </c>
      <c r="AC527" s="0" t="s">
        <v>2317</v>
      </c>
      <c r="AD527" s="0" t="s">
        <v>2317</v>
      </c>
      <c r="AE527" s="0" t="s">
        <v>2318</v>
      </c>
      <c r="AF527" s="0" t="s">
        <v>3963</v>
      </c>
      <c r="AG527" s="0" t="s">
        <v>3964</v>
      </c>
      <c r="AH527" s="0" t="s">
        <v>4472</v>
      </c>
      <c r="AI527" s="0" t="s">
        <v>3694</v>
      </c>
      <c r="AJ527" s="0" t="s">
        <v>3579</v>
      </c>
      <c r="AK527" s="0" t="s">
        <v>3627</v>
      </c>
      <c r="AL527" s="0" t="s">
        <v>3581</v>
      </c>
      <c r="AM527" s="0" t="s">
        <v>3565</v>
      </c>
      <c r="AN527" s="0" t="s">
        <v>3563</v>
      </c>
      <c r="AO527" s="0" t="s">
        <v>4473</v>
      </c>
      <c r="AP527" s="0" t="s">
        <v>228</v>
      </c>
      <c r="AQ527" s="0" t="s">
        <v>228</v>
      </c>
      <c r="AR527" s="0" t="s">
        <v>228</v>
      </c>
      <c r="AS527" s="0" t="s">
        <v>228</v>
      </c>
      <c r="AT527" s="0" t="s">
        <v>228</v>
      </c>
      <c r="AU527" s="0" t="s">
        <v>228</v>
      </c>
      <c r="AV527" s="0" t="s">
        <v>228</v>
      </c>
      <c r="AW527" s="0" t="s">
        <v>228</v>
      </c>
      <c r="AX527" s="0" t="s">
        <v>228</v>
      </c>
      <c r="AY527" s="0" t="s">
        <v>228</v>
      </c>
      <c r="AZ527" s="0" t="s">
        <v>228</v>
      </c>
      <c r="BA527" s="0" t="s">
        <v>228</v>
      </c>
      <c r="BB527" s="0" t="s">
        <v>228</v>
      </c>
      <c r="BC527" s="0" t="s">
        <v>228</v>
      </c>
      <c r="BD527" s="0" t="s">
        <v>228</v>
      </c>
      <c r="BE527" s="0" t="s">
        <v>228</v>
      </c>
      <c r="BF527" s="0" t="s">
        <v>228</v>
      </c>
      <c r="BG527" s="0" t="s">
        <v>228</v>
      </c>
      <c r="BH527" s="0" t="s">
        <v>228</v>
      </c>
      <c r="BI527" s="0" t="s">
        <v>228</v>
      </c>
      <c r="BJ527" s="0" t="s">
        <v>228</v>
      </c>
      <c r="BK527" s="0" t="s">
        <v>228</v>
      </c>
      <c r="BL527" s="0" t="s">
        <v>228</v>
      </c>
      <c r="BM527" s="0" t="s">
        <v>228</v>
      </c>
      <c r="BN527" s="0" t="s">
        <v>228</v>
      </c>
      <c r="BO527" s="0" t="s">
        <v>228</v>
      </c>
      <c r="BP527" s="0" t="s">
        <v>228</v>
      </c>
      <c r="BQ527" s="0" t="s">
        <v>228</v>
      </c>
      <c r="BR527" s="0" t="s">
        <v>228</v>
      </c>
      <c r="BS527" s="0" t="s">
        <v>228</v>
      </c>
      <c r="BT527" s="0" t="s">
        <v>228</v>
      </c>
      <c r="BU527" s="0" t="s">
        <v>228</v>
      </c>
      <c r="BV527" s="0" t="s">
        <v>228</v>
      </c>
      <c r="BW527" s="0" t="s">
        <v>228</v>
      </c>
      <c r="BX527" s="0" t="s">
        <v>228</v>
      </c>
      <c r="BY527" s="0" t="s">
        <v>228</v>
      </c>
      <c r="BZ527" s="0" t="s">
        <v>228</v>
      </c>
      <c r="CA527" s="0" t="s">
        <v>228</v>
      </c>
      <c r="CB527" s="0" t="s">
        <v>228</v>
      </c>
      <c r="CC527" s="0" t="s">
        <v>228</v>
      </c>
      <c r="CD527" s="0" t="s">
        <v>228</v>
      </c>
      <c r="CE527" s="0" t="s">
        <v>228</v>
      </c>
      <c r="CF527" s="0" t="s">
        <v>228</v>
      </c>
      <c r="CG527" s="0" t="s">
        <v>228</v>
      </c>
      <c r="CH527" s="0" t="s">
        <v>228</v>
      </c>
      <c r="CI527" s="0" t="s">
        <v>228</v>
      </c>
      <c r="CJ527" s="0" t="s">
        <v>228</v>
      </c>
      <c r="CK527" s="0" t="s">
        <v>228</v>
      </c>
      <c r="CL527" s="0" t="s">
        <v>228</v>
      </c>
      <c r="CM527" s="0" t="s">
        <v>228</v>
      </c>
      <c r="CN527" s="0" t="s">
        <v>228</v>
      </c>
      <c r="CO527" s="0" t="s">
        <v>228</v>
      </c>
      <c r="CP527" s="0" t="s">
        <v>228</v>
      </c>
      <c r="CQ527" s="0" t="s">
        <v>228</v>
      </c>
      <c r="CR527" s="0" t="s">
        <v>228</v>
      </c>
      <c r="CS527" s="0" t="s">
        <v>228</v>
      </c>
      <c r="CT527" s="0" t="s">
        <v>3568</v>
      </c>
      <c r="CU527" s="0" t="s">
        <v>3569</v>
      </c>
      <c r="CV527" s="0" t="s">
        <v>418</v>
      </c>
      <c r="CW527" s="0" t="s">
        <v>3622</v>
      </c>
      <c r="CX527" s="0" t="s">
        <v>419</v>
      </c>
      <c r="CY527" s="0" t="s">
        <v>418</v>
      </c>
      <c r="CZ527" s="0" t="s">
        <v>3623</v>
      </c>
      <c r="DA527" s="0" t="s">
        <v>3624</v>
      </c>
      <c r="DB527" s="0" t="s">
        <v>3622</v>
      </c>
      <c r="DC527" s="0" t="s">
        <v>362</v>
      </c>
      <c r="DD527" s="0" t="s">
        <v>3572</v>
      </c>
      <c r="DE527" s="0" t="s">
        <v>4474</v>
      </c>
    </row>
    <row customHeight="1" ht="11.25">
      <c r="A528" s="1353" t="s">
        <v>228</v>
      </c>
      <c r="B528" s="0" t="s">
        <v>228</v>
      </c>
      <c r="C528" s="0" t="s">
        <v>228</v>
      </c>
      <c r="D528" s="0" t="s">
        <v>228</v>
      </c>
      <c r="E528" s="0" t="s">
        <v>228</v>
      </c>
      <c r="F528" s="0" t="s">
        <v>228</v>
      </c>
      <c r="G528" s="0" t="s">
        <v>228</v>
      </c>
      <c r="H528" s="0" t="s">
        <v>228</v>
      </c>
      <c r="I528" s="0" t="s">
        <v>3555</v>
      </c>
      <c r="J528" s="0" t="s">
        <v>228</v>
      </c>
      <c r="K528" s="0" t="s">
        <v>228</v>
      </c>
      <c r="L528" s="0" t="s">
        <v>228</v>
      </c>
      <c r="M528" s="0" t="s">
        <v>228</v>
      </c>
      <c r="N528" s="0" t="s">
        <v>228</v>
      </c>
      <c r="O528" s="0" t="s">
        <v>228</v>
      </c>
      <c r="P528" s="0" t="s">
        <v>228</v>
      </c>
      <c r="Q528" s="0" t="s">
        <v>228</v>
      </c>
      <c r="R528" s="0" t="s">
        <v>3648</v>
      </c>
      <c r="S528" s="0" t="s">
        <v>228</v>
      </c>
      <c r="T528" s="0" t="s">
        <v>228</v>
      </c>
      <c r="U528" s="0" t="s">
        <v>101</v>
      </c>
      <c r="V528" s="0" t="s">
        <v>228</v>
      </c>
      <c r="W528" s="0" t="s">
        <v>228</v>
      </c>
      <c r="X528" s="0" t="s">
        <v>3557</v>
      </c>
      <c r="Y528" s="0" t="s">
        <v>228</v>
      </c>
      <c r="Z528" s="0" t="s">
        <v>160</v>
      </c>
      <c r="AA528" s="0" t="s">
        <v>151</v>
      </c>
      <c r="AB528" s="0" t="s">
        <v>151</v>
      </c>
      <c r="AC528" s="0" t="s">
        <v>2317</v>
      </c>
      <c r="AD528" s="0" t="s">
        <v>2317</v>
      </c>
      <c r="AE528" s="0" t="s">
        <v>2318</v>
      </c>
      <c r="AF528" s="0" t="s">
        <v>3918</v>
      </c>
      <c r="AG528" s="0" t="s">
        <v>3919</v>
      </c>
      <c r="AH528" s="0" t="s">
        <v>3965</v>
      </c>
      <c r="AI528" s="0" t="s">
        <v>4657</v>
      </c>
      <c r="AJ528" s="0" t="s">
        <v>3579</v>
      </c>
      <c r="AK528" s="0" t="s">
        <v>3619</v>
      </c>
      <c r="AL528" s="0" t="s">
        <v>3581</v>
      </c>
      <c r="AM528" s="0" t="s">
        <v>3565</v>
      </c>
      <c r="AN528" s="0" t="s">
        <v>3620</v>
      </c>
      <c r="AO528" s="0" t="s">
        <v>3915</v>
      </c>
      <c r="AP528" s="0" t="s">
        <v>228</v>
      </c>
      <c r="AQ528" s="0" t="s">
        <v>228</v>
      </c>
      <c r="AR528" s="0" t="s">
        <v>228</v>
      </c>
      <c r="AS528" s="0" t="s">
        <v>228</v>
      </c>
      <c r="AT528" s="0" t="s">
        <v>228</v>
      </c>
      <c r="AU528" s="0" t="s">
        <v>228</v>
      </c>
      <c r="AV528" s="0" t="s">
        <v>228</v>
      </c>
      <c r="AW528" s="0" t="s">
        <v>228</v>
      </c>
      <c r="AX528" s="0" t="s">
        <v>228</v>
      </c>
      <c r="AY528" s="0" t="s">
        <v>228</v>
      </c>
      <c r="AZ528" s="0" t="s">
        <v>228</v>
      </c>
      <c r="BA528" s="0" t="s">
        <v>228</v>
      </c>
      <c r="BB528" s="0" t="s">
        <v>228</v>
      </c>
      <c r="BC528" s="0" t="s">
        <v>228</v>
      </c>
      <c r="BD528" s="0" t="s">
        <v>228</v>
      </c>
      <c r="BE528" s="0" t="s">
        <v>228</v>
      </c>
      <c r="BF528" s="0" t="s">
        <v>228</v>
      </c>
      <c r="BG528" s="0" t="s">
        <v>228</v>
      </c>
      <c r="BH528" s="0" t="s">
        <v>228</v>
      </c>
      <c r="BI528" s="0" t="s">
        <v>228</v>
      </c>
      <c r="BJ528" s="0" t="s">
        <v>228</v>
      </c>
      <c r="BK528" s="0" t="s">
        <v>228</v>
      </c>
      <c r="BL528" s="0" t="s">
        <v>228</v>
      </c>
      <c r="BM528" s="0" t="s">
        <v>228</v>
      </c>
      <c r="BN528" s="0" t="s">
        <v>228</v>
      </c>
      <c r="BO528" s="0" t="s">
        <v>228</v>
      </c>
      <c r="BP528" s="0" t="s">
        <v>228</v>
      </c>
      <c r="BQ528" s="0" t="s">
        <v>228</v>
      </c>
      <c r="BR528" s="0" t="s">
        <v>228</v>
      </c>
      <c r="BS528" s="0" t="s">
        <v>228</v>
      </c>
      <c r="BT528" s="0" t="s">
        <v>228</v>
      </c>
      <c r="BU528" s="0" t="s">
        <v>228</v>
      </c>
      <c r="BV528" s="0" t="s">
        <v>228</v>
      </c>
      <c r="BW528" s="0" t="s">
        <v>228</v>
      </c>
      <c r="BX528" s="0" t="s">
        <v>228</v>
      </c>
      <c r="BY528" s="0" t="s">
        <v>228</v>
      </c>
      <c r="BZ528" s="0" t="s">
        <v>228</v>
      </c>
      <c r="CA528" s="0" t="s">
        <v>228</v>
      </c>
      <c r="CB528" s="0" t="s">
        <v>228</v>
      </c>
      <c r="CC528" s="0" t="s">
        <v>228</v>
      </c>
      <c r="CD528" s="0" t="s">
        <v>228</v>
      </c>
      <c r="CE528" s="0" t="s">
        <v>228</v>
      </c>
      <c r="CF528" s="0" t="s">
        <v>228</v>
      </c>
      <c r="CG528" s="0" t="s">
        <v>228</v>
      </c>
      <c r="CH528" s="0" t="s">
        <v>228</v>
      </c>
      <c r="CI528" s="0" t="s">
        <v>228</v>
      </c>
      <c r="CJ528" s="0" t="s">
        <v>228</v>
      </c>
      <c r="CK528" s="0" t="s">
        <v>228</v>
      </c>
      <c r="CL528" s="0" t="s">
        <v>228</v>
      </c>
      <c r="CM528" s="0" t="s">
        <v>228</v>
      </c>
      <c r="CN528" s="0" t="s">
        <v>228</v>
      </c>
      <c r="CO528" s="0" t="s">
        <v>228</v>
      </c>
      <c r="CP528" s="0" t="s">
        <v>228</v>
      </c>
      <c r="CQ528" s="0" t="s">
        <v>228</v>
      </c>
      <c r="CR528" s="0" t="s">
        <v>228</v>
      </c>
      <c r="CS528" s="0" t="s">
        <v>228</v>
      </c>
      <c r="CT528" s="0" t="s">
        <v>3568</v>
      </c>
      <c r="CU528" s="0" t="s">
        <v>3569</v>
      </c>
      <c r="CV528" s="0" t="s">
        <v>418</v>
      </c>
      <c r="CW528" s="0" t="s">
        <v>3622</v>
      </c>
      <c r="CX528" s="0" t="s">
        <v>419</v>
      </c>
      <c r="CY528" s="0" t="s">
        <v>418</v>
      </c>
      <c r="CZ528" s="0" t="s">
        <v>3623</v>
      </c>
      <c r="DA528" s="0" t="s">
        <v>3624</v>
      </c>
      <c r="DB528" s="0" t="s">
        <v>3622</v>
      </c>
      <c r="DC528" s="0" t="s">
        <v>362</v>
      </c>
      <c r="DD528" s="0" t="s">
        <v>3572</v>
      </c>
      <c r="DE528" s="0" t="s">
        <v>5040</v>
      </c>
    </row>
    <row customHeight="1" ht="11.25">
      <c r="A529" s="1353" t="s">
        <v>228</v>
      </c>
      <c r="B529" s="0" t="s">
        <v>228</v>
      </c>
      <c r="C529" s="0" t="s">
        <v>228</v>
      </c>
      <c r="D529" s="0" t="s">
        <v>228</v>
      </c>
      <c r="E529" s="0" t="s">
        <v>228</v>
      </c>
      <c r="F529" s="0" t="s">
        <v>228</v>
      </c>
      <c r="G529" s="0" t="s">
        <v>228</v>
      </c>
      <c r="H529" s="0" t="s">
        <v>228</v>
      </c>
      <c r="I529" s="0" t="s">
        <v>3555</v>
      </c>
      <c r="J529" s="0" t="s">
        <v>228</v>
      </c>
      <c r="K529" s="0" t="s">
        <v>228</v>
      </c>
      <c r="L529" s="0" t="s">
        <v>228</v>
      </c>
      <c r="M529" s="0" t="s">
        <v>228</v>
      </c>
      <c r="N529" s="0" t="s">
        <v>228</v>
      </c>
      <c r="O529" s="0" t="s">
        <v>228</v>
      </c>
      <c r="P529" s="0" t="s">
        <v>228</v>
      </c>
      <c r="Q529" s="0" t="s">
        <v>228</v>
      </c>
      <c r="R529" s="0" t="s">
        <v>5096</v>
      </c>
      <c r="S529" s="0" t="s">
        <v>228</v>
      </c>
      <c r="T529" s="0" t="s">
        <v>228</v>
      </c>
      <c r="U529" s="0" t="s">
        <v>101</v>
      </c>
      <c r="V529" s="0" t="s">
        <v>228</v>
      </c>
      <c r="W529" s="0" t="s">
        <v>228</v>
      </c>
      <c r="X529" s="0" t="s">
        <v>3557</v>
      </c>
      <c r="Y529" s="0" t="s">
        <v>228</v>
      </c>
      <c r="Z529" s="0" t="s">
        <v>160</v>
      </c>
      <c r="AA529" s="0" t="s">
        <v>151</v>
      </c>
      <c r="AB529" s="0" t="s">
        <v>151</v>
      </c>
      <c r="AC529" s="0" t="s">
        <v>2715</v>
      </c>
      <c r="AD529" s="0" t="s">
        <v>2715</v>
      </c>
      <c r="AE529" s="0" t="s">
        <v>2716</v>
      </c>
      <c r="AF529" s="0" t="s">
        <v>3594</v>
      </c>
      <c r="AG529" s="0" t="s">
        <v>3595</v>
      </c>
      <c r="AH529" s="0" t="s">
        <v>4210</v>
      </c>
      <c r="AI529" s="0" t="s">
        <v>3608</v>
      </c>
      <c r="AJ529" s="0" t="s">
        <v>3663</v>
      </c>
      <c r="AK529" s="0" t="s">
        <v>4211</v>
      </c>
      <c r="AL529" s="0" t="s">
        <v>3564</v>
      </c>
      <c r="AM529" s="0" t="s">
        <v>3565</v>
      </c>
      <c r="AN529" s="0" t="s">
        <v>3972</v>
      </c>
      <c r="AO529" s="0" t="s">
        <v>4212</v>
      </c>
      <c r="AP529" s="0" t="s">
        <v>228</v>
      </c>
      <c r="AQ529" s="0" t="s">
        <v>228</v>
      </c>
      <c r="AR529" s="0" t="s">
        <v>228</v>
      </c>
      <c r="AS529" s="0" t="s">
        <v>228</v>
      </c>
      <c r="AT529" s="0" t="s">
        <v>228</v>
      </c>
      <c r="AU529" s="0" t="s">
        <v>228</v>
      </c>
      <c r="AV529" s="0" t="s">
        <v>228</v>
      </c>
      <c r="AW529" s="0" t="s">
        <v>228</v>
      </c>
      <c r="AX529" s="0" t="s">
        <v>228</v>
      </c>
      <c r="AY529" s="0" t="s">
        <v>228</v>
      </c>
      <c r="AZ529" s="0" t="s">
        <v>228</v>
      </c>
      <c r="BA529" s="0" t="s">
        <v>228</v>
      </c>
      <c r="BB529" s="0" t="s">
        <v>228</v>
      </c>
      <c r="BC529" s="0" t="s">
        <v>228</v>
      </c>
      <c r="BD529" s="0" t="s">
        <v>228</v>
      </c>
      <c r="BE529" s="0" t="s">
        <v>228</v>
      </c>
      <c r="BF529" s="0" t="s">
        <v>228</v>
      </c>
      <c r="BG529" s="0" t="s">
        <v>228</v>
      </c>
      <c r="BH529" s="0" t="s">
        <v>228</v>
      </c>
      <c r="BI529" s="0" t="s">
        <v>228</v>
      </c>
      <c r="BJ529" s="0" t="s">
        <v>228</v>
      </c>
      <c r="BK529" s="0" t="s">
        <v>228</v>
      </c>
      <c r="BL529" s="0" t="s">
        <v>228</v>
      </c>
      <c r="BM529" s="0" t="s">
        <v>228</v>
      </c>
      <c r="BN529" s="0" t="s">
        <v>228</v>
      </c>
      <c r="BO529" s="0" t="s">
        <v>228</v>
      </c>
      <c r="BP529" s="0" t="s">
        <v>228</v>
      </c>
      <c r="BQ529" s="0" t="s">
        <v>228</v>
      </c>
      <c r="BR529" s="0" t="s">
        <v>228</v>
      </c>
      <c r="BS529" s="0" t="s">
        <v>228</v>
      </c>
      <c r="BT529" s="0" t="s">
        <v>228</v>
      </c>
      <c r="BU529" s="0" t="s">
        <v>228</v>
      </c>
      <c r="BV529" s="0" t="s">
        <v>228</v>
      </c>
      <c r="BW529" s="0" t="s">
        <v>228</v>
      </c>
      <c r="BX529" s="0" t="s">
        <v>228</v>
      </c>
      <c r="BY529" s="0" t="s">
        <v>228</v>
      </c>
      <c r="BZ529" s="0" t="s">
        <v>228</v>
      </c>
      <c r="CA529" s="0" t="s">
        <v>228</v>
      </c>
      <c r="CB529" s="0" t="s">
        <v>228</v>
      </c>
      <c r="CC529" s="0" t="s">
        <v>228</v>
      </c>
      <c r="CD529" s="0" t="s">
        <v>228</v>
      </c>
      <c r="CE529" s="0" t="s">
        <v>228</v>
      </c>
      <c r="CF529" s="0" t="s">
        <v>228</v>
      </c>
      <c r="CG529" s="0" t="s">
        <v>228</v>
      </c>
      <c r="CH529" s="0" t="s">
        <v>228</v>
      </c>
      <c r="CI529" s="0" t="s">
        <v>228</v>
      </c>
      <c r="CJ529" s="0" t="s">
        <v>228</v>
      </c>
      <c r="CK529" s="0" t="s">
        <v>228</v>
      </c>
      <c r="CL529" s="0" t="s">
        <v>228</v>
      </c>
      <c r="CM529" s="0" t="s">
        <v>228</v>
      </c>
      <c r="CN529" s="0" t="s">
        <v>228</v>
      </c>
      <c r="CO529" s="0" t="s">
        <v>228</v>
      </c>
      <c r="CP529" s="0" t="s">
        <v>228</v>
      </c>
      <c r="CQ529" s="0" t="s">
        <v>228</v>
      </c>
      <c r="CR529" s="0" t="s">
        <v>228</v>
      </c>
      <c r="CS529" s="0" t="s">
        <v>228</v>
      </c>
      <c r="CT529" s="0" t="s">
        <v>3568</v>
      </c>
      <c r="CU529" s="0" t="s">
        <v>3569</v>
      </c>
      <c r="CV529" s="0" t="s">
        <v>418</v>
      </c>
      <c r="CW529" s="0" t="s">
        <v>3602</v>
      </c>
      <c r="CX529" s="0" t="s">
        <v>3603</v>
      </c>
      <c r="CY529" s="0" t="s">
        <v>418</v>
      </c>
      <c r="CZ529" s="0" t="s">
        <v>504</v>
      </c>
      <c r="DA529" s="0" t="s">
        <v>3604</v>
      </c>
      <c r="DB529" s="0" t="s">
        <v>3602</v>
      </c>
      <c r="DC529" s="0" t="s">
        <v>362</v>
      </c>
      <c r="DD529" s="0" t="s">
        <v>3572</v>
      </c>
      <c r="DE529" s="0" t="s">
        <v>4213</v>
      </c>
    </row>
    <row customHeight="1" ht="11.25">
      <c r="A530" s="1353" t="s">
        <v>228</v>
      </c>
      <c r="B530" s="0" t="s">
        <v>228</v>
      </c>
      <c r="C530" s="0" t="s">
        <v>228</v>
      </c>
      <c r="D530" s="0" t="s">
        <v>228</v>
      </c>
      <c r="E530" s="0" t="s">
        <v>228</v>
      </c>
      <c r="F530" s="0" t="s">
        <v>228</v>
      </c>
      <c r="G530" s="0" t="s">
        <v>228</v>
      </c>
      <c r="H530" s="0" t="s">
        <v>228</v>
      </c>
      <c r="I530" s="0" t="s">
        <v>3555</v>
      </c>
      <c r="J530" s="0" t="s">
        <v>228</v>
      </c>
      <c r="K530" s="0" t="s">
        <v>228</v>
      </c>
      <c r="L530" s="0" t="s">
        <v>228</v>
      </c>
      <c r="M530" s="0" t="s">
        <v>228</v>
      </c>
      <c r="N530" s="0" t="s">
        <v>228</v>
      </c>
      <c r="O530" s="0" t="s">
        <v>228</v>
      </c>
      <c r="P530" s="0" t="s">
        <v>228</v>
      </c>
      <c r="Q530" s="0" t="s">
        <v>228</v>
      </c>
      <c r="R530" s="0" t="s">
        <v>3648</v>
      </c>
      <c r="S530" s="0" t="s">
        <v>228</v>
      </c>
      <c r="T530" s="0" t="s">
        <v>228</v>
      </c>
      <c r="U530" s="0" t="s">
        <v>101</v>
      </c>
      <c r="V530" s="0" t="s">
        <v>228</v>
      </c>
      <c r="W530" s="0" t="s">
        <v>228</v>
      </c>
      <c r="X530" s="0" t="s">
        <v>3557</v>
      </c>
      <c r="Y530" s="0" t="s">
        <v>228</v>
      </c>
      <c r="Z530" s="0" t="s">
        <v>160</v>
      </c>
      <c r="AA530" s="0" t="s">
        <v>151</v>
      </c>
      <c r="AB530" s="0" t="s">
        <v>151</v>
      </c>
      <c r="AC530" s="0" t="s">
        <v>2317</v>
      </c>
      <c r="AD530" s="0" t="s">
        <v>2317</v>
      </c>
      <c r="AE530" s="0" t="s">
        <v>2318</v>
      </c>
      <c r="AF530" s="0" t="s">
        <v>3918</v>
      </c>
      <c r="AG530" s="0" t="s">
        <v>3919</v>
      </c>
      <c r="AH530" s="0" t="s">
        <v>4203</v>
      </c>
      <c r="AI530" s="0" t="s">
        <v>4049</v>
      </c>
      <c r="AJ530" s="0" t="s">
        <v>3579</v>
      </c>
      <c r="AK530" s="0" t="s">
        <v>3619</v>
      </c>
      <c r="AL530" s="0" t="s">
        <v>3581</v>
      </c>
      <c r="AM530" s="0" t="s">
        <v>3565</v>
      </c>
      <c r="AN530" s="0" t="s">
        <v>3900</v>
      </c>
      <c r="AO530" s="0" t="s">
        <v>4578</v>
      </c>
      <c r="AP530" s="0" t="s">
        <v>228</v>
      </c>
      <c r="AQ530" s="0" t="s">
        <v>228</v>
      </c>
      <c r="AR530" s="0" t="s">
        <v>228</v>
      </c>
      <c r="AS530" s="0" t="s">
        <v>228</v>
      </c>
      <c r="AT530" s="0" t="s">
        <v>228</v>
      </c>
      <c r="AU530" s="0" t="s">
        <v>228</v>
      </c>
      <c r="AV530" s="0" t="s">
        <v>228</v>
      </c>
      <c r="AW530" s="0" t="s">
        <v>228</v>
      </c>
      <c r="AX530" s="0" t="s">
        <v>228</v>
      </c>
      <c r="AY530" s="0" t="s">
        <v>228</v>
      </c>
      <c r="AZ530" s="0" t="s">
        <v>228</v>
      </c>
      <c r="BA530" s="0" t="s">
        <v>228</v>
      </c>
      <c r="BB530" s="0" t="s">
        <v>228</v>
      </c>
      <c r="BC530" s="0" t="s">
        <v>228</v>
      </c>
      <c r="BD530" s="0" t="s">
        <v>228</v>
      </c>
      <c r="BE530" s="0" t="s">
        <v>228</v>
      </c>
      <c r="BF530" s="0" t="s">
        <v>228</v>
      </c>
      <c r="BG530" s="0" t="s">
        <v>228</v>
      </c>
      <c r="BH530" s="0" t="s">
        <v>228</v>
      </c>
      <c r="BI530" s="0" t="s">
        <v>228</v>
      </c>
      <c r="BJ530" s="0" t="s">
        <v>228</v>
      </c>
      <c r="BK530" s="0" t="s">
        <v>228</v>
      </c>
      <c r="BL530" s="0" t="s">
        <v>228</v>
      </c>
      <c r="BM530" s="0" t="s">
        <v>228</v>
      </c>
      <c r="BN530" s="0" t="s">
        <v>228</v>
      </c>
      <c r="BO530" s="0" t="s">
        <v>228</v>
      </c>
      <c r="BP530" s="0" t="s">
        <v>228</v>
      </c>
      <c r="BQ530" s="0" t="s">
        <v>228</v>
      </c>
      <c r="BR530" s="0" t="s">
        <v>228</v>
      </c>
      <c r="BS530" s="0" t="s">
        <v>228</v>
      </c>
      <c r="BT530" s="0" t="s">
        <v>228</v>
      </c>
      <c r="BU530" s="0" t="s">
        <v>228</v>
      </c>
      <c r="BV530" s="0" t="s">
        <v>228</v>
      </c>
      <c r="BW530" s="0" t="s">
        <v>228</v>
      </c>
      <c r="BX530" s="0" t="s">
        <v>228</v>
      </c>
      <c r="BY530" s="0" t="s">
        <v>228</v>
      </c>
      <c r="BZ530" s="0" t="s">
        <v>228</v>
      </c>
      <c r="CA530" s="0" t="s">
        <v>228</v>
      </c>
      <c r="CB530" s="0" t="s">
        <v>228</v>
      </c>
      <c r="CC530" s="0" t="s">
        <v>228</v>
      </c>
      <c r="CD530" s="0" t="s">
        <v>228</v>
      </c>
      <c r="CE530" s="0" t="s">
        <v>228</v>
      </c>
      <c r="CF530" s="0" t="s">
        <v>228</v>
      </c>
      <c r="CG530" s="0" t="s">
        <v>228</v>
      </c>
      <c r="CH530" s="0" t="s">
        <v>228</v>
      </c>
      <c r="CI530" s="0" t="s">
        <v>228</v>
      </c>
      <c r="CJ530" s="0" t="s">
        <v>228</v>
      </c>
      <c r="CK530" s="0" t="s">
        <v>228</v>
      </c>
      <c r="CL530" s="0" t="s">
        <v>228</v>
      </c>
      <c r="CM530" s="0" t="s">
        <v>228</v>
      </c>
      <c r="CN530" s="0" t="s">
        <v>228</v>
      </c>
      <c r="CO530" s="0" t="s">
        <v>228</v>
      </c>
      <c r="CP530" s="0" t="s">
        <v>228</v>
      </c>
      <c r="CQ530" s="0" t="s">
        <v>228</v>
      </c>
      <c r="CR530" s="0" t="s">
        <v>228</v>
      </c>
      <c r="CS530" s="0" t="s">
        <v>228</v>
      </c>
      <c r="CT530" s="0" t="s">
        <v>3568</v>
      </c>
      <c r="CU530" s="0" t="s">
        <v>3569</v>
      </c>
      <c r="CV530" s="0" t="s">
        <v>418</v>
      </c>
      <c r="CW530" s="0" t="s">
        <v>3622</v>
      </c>
      <c r="CX530" s="0" t="s">
        <v>419</v>
      </c>
      <c r="CY530" s="0" t="s">
        <v>418</v>
      </c>
      <c r="CZ530" s="0" t="s">
        <v>3623</v>
      </c>
      <c r="DA530" s="0" t="s">
        <v>3624</v>
      </c>
      <c r="DB530" s="0" t="s">
        <v>3622</v>
      </c>
      <c r="DC530" s="0" t="s">
        <v>362</v>
      </c>
      <c r="DD530" s="0" t="s">
        <v>3572</v>
      </c>
      <c r="DE530" s="0" t="s">
        <v>5041</v>
      </c>
    </row>
    <row customHeight="1" ht="11.25">
      <c r="A531" s="1353" t="s">
        <v>228</v>
      </c>
      <c r="B531" s="0" t="s">
        <v>228</v>
      </c>
      <c r="C531" s="0" t="s">
        <v>228</v>
      </c>
      <c r="D531" s="0" t="s">
        <v>228</v>
      </c>
      <c r="E531" s="0" t="s">
        <v>228</v>
      </c>
      <c r="F531" s="0" t="s">
        <v>228</v>
      </c>
      <c r="G531" s="0" t="s">
        <v>228</v>
      </c>
      <c r="H531" s="0" t="s">
        <v>228</v>
      </c>
      <c r="I531" s="0" t="s">
        <v>3555</v>
      </c>
      <c r="J531" s="0" t="s">
        <v>228</v>
      </c>
      <c r="K531" s="0" t="s">
        <v>228</v>
      </c>
      <c r="L531" s="0" t="s">
        <v>228</v>
      </c>
      <c r="M531" s="0" t="s">
        <v>228</v>
      </c>
      <c r="N531" s="0" t="s">
        <v>228</v>
      </c>
      <c r="O531" s="0" t="s">
        <v>228</v>
      </c>
      <c r="P531" s="0" t="s">
        <v>228</v>
      </c>
      <c r="Q531" s="0" t="s">
        <v>228</v>
      </c>
      <c r="R531" s="0" t="s">
        <v>3917</v>
      </c>
      <c r="S531" s="0" t="s">
        <v>228</v>
      </c>
      <c r="T531" s="0" t="s">
        <v>228</v>
      </c>
      <c r="U531" s="0" t="s">
        <v>101</v>
      </c>
      <c r="V531" s="0" t="s">
        <v>228</v>
      </c>
      <c r="W531" s="0" t="s">
        <v>228</v>
      </c>
      <c r="X531" s="0" t="s">
        <v>3661</v>
      </c>
      <c r="Y531" s="0" t="s">
        <v>228</v>
      </c>
      <c r="Z531" s="0" t="s">
        <v>151</v>
      </c>
      <c r="AA531" s="0" t="s">
        <v>151</v>
      </c>
      <c r="AB531" s="0" t="s">
        <v>160</v>
      </c>
      <c r="AC531" s="0" t="s">
        <v>2317</v>
      </c>
      <c r="AD531" s="0" t="s">
        <v>2317</v>
      </c>
      <c r="AE531" s="0" t="s">
        <v>2318</v>
      </c>
      <c r="AF531" s="0" t="s">
        <v>3918</v>
      </c>
      <c r="AG531" s="0" t="s">
        <v>3919</v>
      </c>
      <c r="AH531" s="0" t="s">
        <v>3651</v>
      </c>
      <c r="AI531" s="0" t="s">
        <v>3651</v>
      </c>
      <c r="AJ531" s="0" t="s">
        <v>228</v>
      </c>
      <c r="AK531" s="0" t="s">
        <v>228</v>
      </c>
      <c r="AL531" s="0" t="s">
        <v>228</v>
      </c>
      <c r="AM531" s="0" t="s">
        <v>228</v>
      </c>
      <c r="AN531" s="0" t="s">
        <v>228</v>
      </c>
      <c r="AO531" s="0" t="s">
        <v>228</v>
      </c>
      <c r="AP531" s="0" t="s">
        <v>228</v>
      </c>
      <c r="AQ531" s="0" t="s">
        <v>228</v>
      </c>
      <c r="AR531" s="0" t="s">
        <v>228</v>
      </c>
      <c r="AS531" s="0" t="s">
        <v>228</v>
      </c>
      <c r="AT531" s="0" t="s">
        <v>228</v>
      </c>
      <c r="AU531" s="0" t="s">
        <v>228</v>
      </c>
      <c r="AV531" s="0" t="s">
        <v>228</v>
      </c>
      <c r="AW531" s="0" t="s">
        <v>228</v>
      </c>
      <c r="AX531" s="0" t="s">
        <v>228</v>
      </c>
      <c r="AY531" s="0" t="s">
        <v>228</v>
      </c>
      <c r="AZ531" s="0" t="s">
        <v>228</v>
      </c>
      <c r="BA531" s="0" t="s">
        <v>228</v>
      </c>
      <c r="BB531" s="0" t="s">
        <v>228</v>
      </c>
      <c r="BC531" s="0" t="s">
        <v>228</v>
      </c>
      <c r="BD531" s="0" t="s">
        <v>228</v>
      </c>
      <c r="BE531" s="0" t="s">
        <v>3627</v>
      </c>
      <c r="BF531" s="0" t="s">
        <v>3749</v>
      </c>
      <c r="BG531" s="0" t="s">
        <v>111</v>
      </c>
      <c r="BH531" s="0" t="s">
        <v>3665</v>
      </c>
      <c r="BI531" s="0" t="s">
        <v>122</v>
      </c>
      <c r="BJ531" s="0" t="s">
        <v>228</v>
      </c>
      <c r="BK531" s="0" t="s">
        <v>3684</v>
      </c>
      <c r="BL531" s="0" t="s">
        <v>2317</v>
      </c>
      <c r="BM531" s="0" t="s">
        <v>2317</v>
      </c>
      <c r="BN531" s="0" t="s">
        <v>3740</v>
      </c>
      <c r="BO531" s="0" t="s">
        <v>3918</v>
      </c>
      <c r="BP531" s="0" t="s">
        <v>3920</v>
      </c>
      <c r="BQ531" s="0" t="s">
        <v>3651</v>
      </c>
      <c r="BR531" s="0" t="s">
        <v>3651</v>
      </c>
      <c r="BS531" s="0" t="s">
        <v>228</v>
      </c>
      <c r="BT531" s="0" t="s">
        <v>3727</v>
      </c>
      <c r="BU531" s="0" t="s">
        <v>3921</v>
      </c>
      <c r="BV531" s="0" t="s">
        <v>3921</v>
      </c>
      <c r="BW531" s="0" t="s">
        <v>3674</v>
      </c>
      <c r="BX531" s="0" t="s">
        <v>3674</v>
      </c>
      <c r="BY531" s="0" t="s">
        <v>3674</v>
      </c>
      <c r="BZ531" s="0" t="s">
        <v>3674</v>
      </c>
      <c r="CA531" s="0" t="s">
        <v>3674</v>
      </c>
      <c r="CB531" s="0" t="s">
        <v>228</v>
      </c>
      <c r="CC531" s="0" t="s">
        <v>228</v>
      </c>
      <c r="CD531" s="0" t="s">
        <v>228</v>
      </c>
      <c r="CE531" s="0" t="s">
        <v>228</v>
      </c>
      <c r="CF531" s="0" t="s">
        <v>228</v>
      </c>
      <c r="CG531" s="0" t="s">
        <v>3674</v>
      </c>
      <c r="CH531" s="0" t="s">
        <v>228</v>
      </c>
      <c r="CI531" s="0" t="s">
        <v>228</v>
      </c>
      <c r="CJ531" s="0" t="s">
        <v>228</v>
      </c>
      <c r="CK531" s="0" t="s">
        <v>228</v>
      </c>
      <c r="CL531" s="0" t="s">
        <v>228</v>
      </c>
      <c r="CM531" s="0" t="s">
        <v>3921</v>
      </c>
      <c r="CN531" s="0" t="s">
        <v>3921</v>
      </c>
      <c r="CO531" s="0" t="s">
        <v>228</v>
      </c>
      <c r="CP531" s="0" t="s">
        <v>228</v>
      </c>
      <c r="CQ531" s="0" t="s">
        <v>228</v>
      </c>
      <c r="CR531" s="0" t="s">
        <v>228</v>
      </c>
      <c r="CS531" s="0" t="s">
        <v>3743</v>
      </c>
      <c r="CT531" s="0" t="s">
        <v>3568</v>
      </c>
      <c r="CU531" s="0" t="s">
        <v>3569</v>
      </c>
      <c r="CV531" s="0" t="s">
        <v>418</v>
      </c>
      <c r="CW531" s="0" t="s">
        <v>3622</v>
      </c>
      <c r="CX531" s="0" t="s">
        <v>419</v>
      </c>
      <c r="CY531" s="0" t="s">
        <v>418</v>
      </c>
      <c r="CZ531" s="0" t="s">
        <v>3623</v>
      </c>
      <c r="DA531" s="0" t="s">
        <v>3624</v>
      </c>
      <c r="DB531" s="0" t="s">
        <v>3622</v>
      </c>
      <c r="DC531" s="0" t="s">
        <v>362</v>
      </c>
      <c r="DD531" s="0" t="s">
        <v>3572</v>
      </c>
      <c r="DE531" s="0" t="s">
        <v>3922</v>
      </c>
    </row>
    <row customHeight="1" ht="11.25">
      <c r="A532" s="1353" t="s">
        <v>228</v>
      </c>
      <c r="B532" s="0" t="s">
        <v>228</v>
      </c>
      <c r="C532" s="0" t="s">
        <v>228</v>
      </c>
      <c r="D532" s="0" t="s">
        <v>228</v>
      </c>
      <c r="E532" s="0" t="s">
        <v>228</v>
      </c>
      <c r="F532" s="0" t="s">
        <v>228</v>
      </c>
      <c r="G532" s="0" t="s">
        <v>228</v>
      </c>
      <c r="H532" s="0" t="s">
        <v>228</v>
      </c>
      <c r="I532" s="0" t="s">
        <v>3555</v>
      </c>
      <c r="J532" s="0" t="s">
        <v>228</v>
      </c>
      <c r="K532" s="0" t="s">
        <v>228</v>
      </c>
      <c r="L532" s="0" t="s">
        <v>228</v>
      </c>
      <c r="M532" s="0" t="s">
        <v>228</v>
      </c>
      <c r="N532" s="0" t="s">
        <v>228</v>
      </c>
      <c r="O532" s="0" t="s">
        <v>228</v>
      </c>
      <c r="P532" s="0" t="s">
        <v>228</v>
      </c>
      <c r="Q532" s="0" t="s">
        <v>228</v>
      </c>
      <c r="R532" s="0" t="s">
        <v>5097</v>
      </c>
      <c r="S532" s="0" t="s">
        <v>228</v>
      </c>
      <c r="T532" s="0" t="s">
        <v>228</v>
      </c>
      <c r="U532" s="0" t="s">
        <v>101</v>
      </c>
      <c r="V532" s="0" t="s">
        <v>228</v>
      </c>
      <c r="W532" s="0" t="s">
        <v>228</v>
      </c>
      <c r="X532" s="0" t="s">
        <v>3557</v>
      </c>
      <c r="Y532" s="0" t="s">
        <v>228</v>
      </c>
      <c r="Z532" s="0" t="s">
        <v>160</v>
      </c>
      <c r="AA532" s="0" t="s">
        <v>151</v>
      </c>
      <c r="AB532" s="0" t="s">
        <v>151</v>
      </c>
      <c r="AC532" s="0" t="s">
        <v>2715</v>
      </c>
      <c r="AD532" s="0" t="s">
        <v>2715</v>
      </c>
      <c r="AE532" s="0" t="s">
        <v>2716</v>
      </c>
      <c r="AF532" s="0" t="s">
        <v>3594</v>
      </c>
      <c r="AG532" s="0" t="s">
        <v>3595</v>
      </c>
      <c r="AH532" s="0" t="s">
        <v>3642</v>
      </c>
      <c r="AI532" s="0" t="s">
        <v>3643</v>
      </c>
      <c r="AJ532" s="0" t="s">
        <v>3644</v>
      </c>
      <c r="AK532" s="0" t="s">
        <v>3645</v>
      </c>
      <c r="AL532" s="0" t="s">
        <v>3646</v>
      </c>
      <c r="AM532" s="0" t="s">
        <v>3565</v>
      </c>
      <c r="AN532" s="0" t="s">
        <v>3600</v>
      </c>
      <c r="AO532" s="0" t="s">
        <v>3601</v>
      </c>
      <c r="AP532" s="0" t="s">
        <v>228</v>
      </c>
      <c r="AQ532" s="0" t="s">
        <v>228</v>
      </c>
      <c r="AR532" s="0" t="s">
        <v>228</v>
      </c>
      <c r="AS532" s="0" t="s">
        <v>228</v>
      </c>
      <c r="AT532" s="0" t="s">
        <v>228</v>
      </c>
      <c r="AU532" s="0" t="s">
        <v>228</v>
      </c>
      <c r="AV532" s="0" t="s">
        <v>228</v>
      </c>
      <c r="AW532" s="0" t="s">
        <v>228</v>
      </c>
      <c r="AX532" s="0" t="s">
        <v>228</v>
      </c>
      <c r="AY532" s="0" t="s">
        <v>228</v>
      </c>
      <c r="AZ532" s="0" t="s">
        <v>228</v>
      </c>
      <c r="BA532" s="0" t="s">
        <v>228</v>
      </c>
      <c r="BB532" s="0" t="s">
        <v>228</v>
      </c>
      <c r="BC532" s="0" t="s">
        <v>228</v>
      </c>
      <c r="BD532" s="0" t="s">
        <v>228</v>
      </c>
      <c r="BE532" s="0" t="s">
        <v>228</v>
      </c>
      <c r="BF532" s="0" t="s">
        <v>228</v>
      </c>
      <c r="BG532" s="0" t="s">
        <v>228</v>
      </c>
      <c r="BH532" s="0" t="s">
        <v>228</v>
      </c>
      <c r="BI532" s="0" t="s">
        <v>228</v>
      </c>
      <c r="BJ532" s="0" t="s">
        <v>228</v>
      </c>
      <c r="BK532" s="0" t="s">
        <v>228</v>
      </c>
      <c r="BL532" s="0" t="s">
        <v>228</v>
      </c>
      <c r="BM532" s="0" t="s">
        <v>228</v>
      </c>
      <c r="BN532" s="0" t="s">
        <v>228</v>
      </c>
      <c r="BO532" s="0" t="s">
        <v>228</v>
      </c>
      <c r="BP532" s="0" t="s">
        <v>228</v>
      </c>
      <c r="BQ532" s="0" t="s">
        <v>228</v>
      </c>
      <c r="BR532" s="0" t="s">
        <v>228</v>
      </c>
      <c r="BS532" s="0" t="s">
        <v>228</v>
      </c>
      <c r="BT532" s="0" t="s">
        <v>228</v>
      </c>
      <c r="BU532" s="0" t="s">
        <v>228</v>
      </c>
      <c r="BV532" s="0" t="s">
        <v>228</v>
      </c>
      <c r="BW532" s="0" t="s">
        <v>228</v>
      </c>
      <c r="BX532" s="0" t="s">
        <v>228</v>
      </c>
      <c r="BY532" s="0" t="s">
        <v>228</v>
      </c>
      <c r="BZ532" s="0" t="s">
        <v>228</v>
      </c>
      <c r="CA532" s="0" t="s">
        <v>228</v>
      </c>
      <c r="CB532" s="0" t="s">
        <v>228</v>
      </c>
      <c r="CC532" s="0" t="s">
        <v>228</v>
      </c>
      <c r="CD532" s="0" t="s">
        <v>228</v>
      </c>
      <c r="CE532" s="0" t="s">
        <v>228</v>
      </c>
      <c r="CF532" s="0" t="s">
        <v>228</v>
      </c>
      <c r="CG532" s="0" t="s">
        <v>228</v>
      </c>
      <c r="CH532" s="0" t="s">
        <v>228</v>
      </c>
      <c r="CI532" s="0" t="s">
        <v>228</v>
      </c>
      <c r="CJ532" s="0" t="s">
        <v>228</v>
      </c>
      <c r="CK532" s="0" t="s">
        <v>228</v>
      </c>
      <c r="CL532" s="0" t="s">
        <v>228</v>
      </c>
      <c r="CM532" s="0" t="s">
        <v>228</v>
      </c>
      <c r="CN532" s="0" t="s">
        <v>228</v>
      </c>
      <c r="CO532" s="0" t="s">
        <v>228</v>
      </c>
      <c r="CP532" s="0" t="s">
        <v>228</v>
      </c>
      <c r="CQ532" s="0" t="s">
        <v>228</v>
      </c>
      <c r="CR532" s="0" t="s">
        <v>228</v>
      </c>
      <c r="CS532" s="0" t="s">
        <v>228</v>
      </c>
      <c r="CT532" s="0" t="s">
        <v>3568</v>
      </c>
      <c r="CU532" s="0" t="s">
        <v>3569</v>
      </c>
      <c r="CV532" s="0" t="s">
        <v>418</v>
      </c>
      <c r="CW532" s="0" t="s">
        <v>3602</v>
      </c>
      <c r="CX532" s="0" t="s">
        <v>3603</v>
      </c>
      <c r="CY532" s="0" t="s">
        <v>418</v>
      </c>
      <c r="CZ532" s="0" t="s">
        <v>504</v>
      </c>
      <c r="DA532" s="0" t="s">
        <v>3604</v>
      </c>
      <c r="DB532" s="0" t="s">
        <v>3602</v>
      </c>
      <c r="DC532" s="0" t="s">
        <v>362</v>
      </c>
      <c r="DD532" s="0" t="s">
        <v>3572</v>
      </c>
      <c r="DE532" s="0" t="s">
        <v>3647</v>
      </c>
    </row>
    <row customHeight="1" ht="11.25">
      <c r="A533" s="1353" t="s">
        <v>228</v>
      </c>
      <c r="B533" s="0" t="s">
        <v>228</v>
      </c>
      <c r="C533" s="0" t="s">
        <v>228</v>
      </c>
      <c r="D533" s="0" t="s">
        <v>228</v>
      </c>
      <c r="E533" s="0" t="s">
        <v>228</v>
      </c>
      <c r="F533" s="0" t="s">
        <v>228</v>
      </c>
      <c r="G533" s="0" t="s">
        <v>228</v>
      </c>
      <c r="H533" s="0" t="s">
        <v>228</v>
      </c>
      <c r="I533" s="0" t="s">
        <v>3555</v>
      </c>
      <c r="J533" s="0" t="s">
        <v>228</v>
      </c>
      <c r="K533" s="0" t="s">
        <v>228</v>
      </c>
      <c r="L533" s="0" t="s">
        <v>228</v>
      </c>
      <c r="M533" s="0" t="s">
        <v>228</v>
      </c>
      <c r="N533" s="0" t="s">
        <v>228</v>
      </c>
      <c r="O533" s="0" t="s">
        <v>228</v>
      </c>
      <c r="P533" s="0" t="s">
        <v>228</v>
      </c>
      <c r="Q533" s="0" t="s">
        <v>228</v>
      </c>
      <c r="R533" s="0" t="s">
        <v>3648</v>
      </c>
      <c r="S533" s="0" t="s">
        <v>228</v>
      </c>
      <c r="T533" s="0" t="s">
        <v>228</v>
      </c>
      <c r="U533" s="0" t="s">
        <v>101</v>
      </c>
      <c r="V533" s="0" t="s">
        <v>228</v>
      </c>
      <c r="W533" s="0" t="s">
        <v>228</v>
      </c>
      <c r="X533" s="0" t="s">
        <v>3557</v>
      </c>
      <c r="Y533" s="0" t="s">
        <v>228</v>
      </c>
      <c r="Z533" s="0" t="s">
        <v>160</v>
      </c>
      <c r="AA533" s="0" t="s">
        <v>151</v>
      </c>
      <c r="AB533" s="0" t="s">
        <v>151</v>
      </c>
      <c r="AC533" s="0" t="s">
        <v>2315</v>
      </c>
      <c r="AD533" s="0" t="s">
        <v>2315</v>
      </c>
      <c r="AE533" s="0" t="s">
        <v>2316</v>
      </c>
      <c r="AF533" s="0" t="s">
        <v>3649</v>
      </c>
      <c r="AG533" s="0" t="s">
        <v>3650</v>
      </c>
      <c r="AH533" s="0" t="s">
        <v>3651</v>
      </c>
      <c r="AI533" s="0" t="s">
        <v>3651</v>
      </c>
      <c r="AJ533" s="0" t="s">
        <v>3652</v>
      </c>
      <c r="AK533" s="0" t="s">
        <v>3653</v>
      </c>
      <c r="AL533" s="0" t="s">
        <v>3581</v>
      </c>
      <c r="AM533" s="0" t="s">
        <v>3565</v>
      </c>
      <c r="AN533" s="0" t="s">
        <v>3654</v>
      </c>
      <c r="AO533" s="0" t="s">
        <v>3655</v>
      </c>
      <c r="AP533" s="0" t="s">
        <v>228</v>
      </c>
      <c r="AQ533" s="0" t="s">
        <v>228</v>
      </c>
      <c r="AR533" s="0" t="s">
        <v>228</v>
      </c>
      <c r="AS533" s="0" t="s">
        <v>228</v>
      </c>
      <c r="AT533" s="0" t="s">
        <v>228</v>
      </c>
      <c r="AU533" s="0" t="s">
        <v>228</v>
      </c>
      <c r="AV533" s="0" t="s">
        <v>228</v>
      </c>
      <c r="AW533" s="0" t="s">
        <v>228</v>
      </c>
      <c r="AX533" s="0" t="s">
        <v>228</v>
      </c>
      <c r="AY533" s="0" t="s">
        <v>228</v>
      </c>
      <c r="AZ533" s="0" t="s">
        <v>228</v>
      </c>
      <c r="BA533" s="0" t="s">
        <v>228</v>
      </c>
      <c r="BB533" s="0" t="s">
        <v>228</v>
      </c>
      <c r="BC533" s="0" t="s">
        <v>228</v>
      </c>
      <c r="BD533" s="0" t="s">
        <v>228</v>
      </c>
      <c r="BE533" s="0" t="s">
        <v>228</v>
      </c>
      <c r="BF533" s="0" t="s">
        <v>228</v>
      </c>
      <c r="BG533" s="0" t="s">
        <v>228</v>
      </c>
      <c r="BH533" s="0" t="s">
        <v>228</v>
      </c>
      <c r="BI533" s="0" t="s">
        <v>228</v>
      </c>
      <c r="BJ533" s="0" t="s">
        <v>228</v>
      </c>
      <c r="BK533" s="0" t="s">
        <v>228</v>
      </c>
      <c r="BL533" s="0" t="s">
        <v>228</v>
      </c>
      <c r="BM533" s="0" t="s">
        <v>228</v>
      </c>
      <c r="BN533" s="0" t="s">
        <v>228</v>
      </c>
      <c r="BO533" s="0" t="s">
        <v>228</v>
      </c>
      <c r="BP533" s="0" t="s">
        <v>228</v>
      </c>
      <c r="BQ533" s="0" t="s">
        <v>228</v>
      </c>
      <c r="BR533" s="0" t="s">
        <v>228</v>
      </c>
      <c r="BS533" s="0" t="s">
        <v>228</v>
      </c>
      <c r="BT533" s="0" t="s">
        <v>228</v>
      </c>
      <c r="BU533" s="0" t="s">
        <v>228</v>
      </c>
      <c r="BV533" s="0" t="s">
        <v>228</v>
      </c>
      <c r="BW533" s="0" t="s">
        <v>228</v>
      </c>
      <c r="BX533" s="0" t="s">
        <v>228</v>
      </c>
      <c r="BY533" s="0" t="s">
        <v>228</v>
      </c>
      <c r="BZ533" s="0" t="s">
        <v>228</v>
      </c>
      <c r="CA533" s="0" t="s">
        <v>228</v>
      </c>
      <c r="CB533" s="0" t="s">
        <v>228</v>
      </c>
      <c r="CC533" s="0" t="s">
        <v>228</v>
      </c>
      <c r="CD533" s="0" t="s">
        <v>228</v>
      </c>
      <c r="CE533" s="0" t="s">
        <v>228</v>
      </c>
      <c r="CF533" s="0" t="s">
        <v>228</v>
      </c>
      <c r="CG533" s="0" t="s">
        <v>228</v>
      </c>
      <c r="CH533" s="0" t="s">
        <v>228</v>
      </c>
      <c r="CI533" s="0" t="s">
        <v>228</v>
      </c>
      <c r="CJ533" s="0" t="s">
        <v>228</v>
      </c>
      <c r="CK533" s="0" t="s">
        <v>228</v>
      </c>
      <c r="CL533" s="0" t="s">
        <v>228</v>
      </c>
      <c r="CM533" s="0" t="s">
        <v>228</v>
      </c>
      <c r="CN533" s="0" t="s">
        <v>228</v>
      </c>
      <c r="CO533" s="0" t="s">
        <v>228</v>
      </c>
      <c r="CP533" s="0" t="s">
        <v>228</v>
      </c>
      <c r="CQ533" s="0" t="s">
        <v>228</v>
      </c>
      <c r="CR533" s="0" t="s">
        <v>228</v>
      </c>
      <c r="CS533" s="0" t="s">
        <v>228</v>
      </c>
      <c r="CT533" s="0" t="s">
        <v>3568</v>
      </c>
      <c r="CU533" s="0" t="s">
        <v>3569</v>
      </c>
      <c r="CV533" s="0" t="s">
        <v>418</v>
      </c>
      <c r="CW533" s="0" t="s">
        <v>3656</v>
      </c>
      <c r="CX533" s="0" t="s">
        <v>419</v>
      </c>
      <c r="CY533" s="0" t="s">
        <v>418</v>
      </c>
      <c r="CZ533" s="0" t="s">
        <v>3657</v>
      </c>
      <c r="DA533" s="0" t="s">
        <v>3658</v>
      </c>
      <c r="DB533" s="0" t="s">
        <v>3656</v>
      </c>
      <c r="DC533" s="0" t="s">
        <v>362</v>
      </c>
      <c r="DD533" s="0" t="s">
        <v>3572</v>
      </c>
      <c r="DE533" s="0" t="s">
        <v>3659</v>
      </c>
    </row>
    <row customHeight="1" ht="11.25">
      <c r="A534" s="1353" t="s">
        <v>228</v>
      </c>
      <c r="B534" s="0" t="s">
        <v>228</v>
      </c>
      <c r="C534" s="0" t="s">
        <v>228</v>
      </c>
      <c r="D534" s="0" t="s">
        <v>228</v>
      </c>
      <c r="E534" s="0" t="s">
        <v>228</v>
      </c>
      <c r="F534" s="0" t="s">
        <v>228</v>
      </c>
      <c r="G534" s="0" t="s">
        <v>228</v>
      </c>
      <c r="H534" s="0" t="s">
        <v>228</v>
      </c>
      <c r="I534" s="0" t="s">
        <v>3555</v>
      </c>
      <c r="J534" s="0" t="s">
        <v>228</v>
      </c>
      <c r="K534" s="0" t="s">
        <v>228</v>
      </c>
      <c r="L534" s="0" t="s">
        <v>228</v>
      </c>
      <c r="M534" s="0" t="s">
        <v>228</v>
      </c>
      <c r="N534" s="0" t="s">
        <v>228</v>
      </c>
      <c r="O534" s="0" t="s">
        <v>228</v>
      </c>
      <c r="P534" s="0" t="s">
        <v>228</v>
      </c>
      <c r="Q534" s="0" t="s">
        <v>228</v>
      </c>
      <c r="R534" s="0" t="s">
        <v>3928</v>
      </c>
      <c r="S534" s="0" t="s">
        <v>228</v>
      </c>
      <c r="T534" s="0" t="s">
        <v>228</v>
      </c>
      <c r="U534" s="0" t="s">
        <v>101</v>
      </c>
      <c r="V534" s="0" t="s">
        <v>228</v>
      </c>
      <c r="W534" s="0" t="s">
        <v>228</v>
      </c>
      <c r="X534" s="0" t="s">
        <v>3661</v>
      </c>
      <c r="Y534" s="0" t="s">
        <v>228</v>
      </c>
      <c r="Z534" s="0" t="s">
        <v>151</v>
      </c>
      <c r="AA534" s="0" t="s">
        <v>151</v>
      </c>
      <c r="AB534" s="0" t="s">
        <v>160</v>
      </c>
      <c r="AC534" s="0" t="s">
        <v>2315</v>
      </c>
      <c r="AD534" s="0" t="s">
        <v>2315</v>
      </c>
      <c r="AE534" s="0" t="s">
        <v>2316</v>
      </c>
      <c r="AF534" s="0" t="s">
        <v>3649</v>
      </c>
      <c r="AG534" s="0" t="s">
        <v>3650</v>
      </c>
      <c r="AH534" s="0" t="s">
        <v>3651</v>
      </c>
      <c r="AI534" s="0" t="s">
        <v>3651</v>
      </c>
      <c r="AJ534" s="0" t="s">
        <v>228</v>
      </c>
      <c r="AK534" s="0" t="s">
        <v>228</v>
      </c>
      <c r="AL534" s="0" t="s">
        <v>228</v>
      </c>
      <c r="AM534" s="0" t="s">
        <v>228</v>
      </c>
      <c r="AN534" s="0" t="s">
        <v>228</v>
      </c>
      <c r="AO534" s="0" t="s">
        <v>228</v>
      </c>
      <c r="AP534" s="0" t="s">
        <v>228</v>
      </c>
      <c r="AQ534" s="0" t="s">
        <v>228</v>
      </c>
      <c r="AR534" s="0" t="s">
        <v>228</v>
      </c>
      <c r="AS534" s="0" t="s">
        <v>228</v>
      </c>
      <c r="AT534" s="0" t="s">
        <v>228</v>
      </c>
      <c r="AU534" s="0" t="s">
        <v>228</v>
      </c>
      <c r="AV534" s="0" t="s">
        <v>228</v>
      </c>
      <c r="AW534" s="0" t="s">
        <v>228</v>
      </c>
      <c r="AX534" s="0" t="s">
        <v>228</v>
      </c>
      <c r="AY534" s="0" t="s">
        <v>228</v>
      </c>
      <c r="AZ534" s="0" t="s">
        <v>228</v>
      </c>
      <c r="BA534" s="0" t="s">
        <v>228</v>
      </c>
      <c r="BB534" s="0" t="s">
        <v>228</v>
      </c>
      <c r="BC534" s="0" t="s">
        <v>228</v>
      </c>
      <c r="BD534" s="0" t="s">
        <v>228</v>
      </c>
      <c r="BE534" s="0" t="s">
        <v>3652</v>
      </c>
      <c r="BF534" s="0" t="s">
        <v>3653</v>
      </c>
      <c r="BG534" s="0" t="s">
        <v>111</v>
      </c>
      <c r="BH534" s="0" t="s">
        <v>3665</v>
      </c>
      <c r="BI534" s="0" t="s">
        <v>122</v>
      </c>
      <c r="BJ534" s="0" t="s">
        <v>228</v>
      </c>
      <c r="BK534" s="0" t="s">
        <v>3684</v>
      </c>
      <c r="BL534" s="0" t="s">
        <v>2315</v>
      </c>
      <c r="BM534" s="0" t="s">
        <v>2315</v>
      </c>
      <c r="BN534" s="0" t="s">
        <v>3875</v>
      </c>
      <c r="BO534" s="0" t="s">
        <v>3649</v>
      </c>
      <c r="BP534" s="0" t="s">
        <v>3929</v>
      </c>
      <c r="BQ534" s="0" t="s">
        <v>3651</v>
      </c>
      <c r="BR534" s="0" t="s">
        <v>3651</v>
      </c>
      <c r="BS534" s="0" t="s">
        <v>228</v>
      </c>
      <c r="BT534" s="0" t="s">
        <v>3727</v>
      </c>
      <c r="BU534" s="0" t="s">
        <v>3930</v>
      </c>
      <c r="BV534" s="0" t="s">
        <v>3930</v>
      </c>
      <c r="BW534" s="0" t="s">
        <v>3674</v>
      </c>
      <c r="BX534" s="0" t="s">
        <v>3674</v>
      </c>
      <c r="BY534" s="0" t="s">
        <v>3674</v>
      </c>
      <c r="BZ534" s="0" t="s">
        <v>3674</v>
      </c>
      <c r="CA534" s="0" t="s">
        <v>3674</v>
      </c>
      <c r="CB534" s="0" t="s">
        <v>228</v>
      </c>
      <c r="CC534" s="0" t="s">
        <v>228</v>
      </c>
      <c r="CD534" s="0" t="s">
        <v>228</v>
      </c>
      <c r="CE534" s="0" t="s">
        <v>228</v>
      </c>
      <c r="CF534" s="0" t="s">
        <v>228</v>
      </c>
      <c r="CG534" s="0" t="s">
        <v>3674</v>
      </c>
      <c r="CH534" s="0" t="s">
        <v>228</v>
      </c>
      <c r="CI534" s="0" t="s">
        <v>228</v>
      </c>
      <c r="CJ534" s="0" t="s">
        <v>228</v>
      </c>
      <c r="CK534" s="0" t="s">
        <v>228</v>
      </c>
      <c r="CL534" s="0" t="s">
        <v>228</v>
      </c>
      <c r="CM534" s="0" t="s">
        <v>3930</v>
      </c>
      <c r="CN534" s="0" t="s">
        <v>3930</v>
      </c>
      <c r="CO534" s="0" t="s">
        <v>228</v>
      </c>
      <c r="CP534" s="0" t="s">
        <v>228</v>
      </c>
      <c r="CQ534" s="0" t="s">
        <v>228</v>
      </c>
      <c r="CR534" s="0" t="s">
        <v>228</v>
      </c>
      <c r="CS534" s="0" t="s">
        <v>3628</v>
      </c>
      <c r="CT534" s="0" t="s">
        <v>3568</v>
      </c>
      <c r="CU534" s="0" t="s">
        <v>3569</v>
      </c>
      <c r="CV534" s="0" t="s">
        <v>418</v>
      </c>
      <c r="CW534" s="0" t="s">
        <v>3656</v>
      </c>
      <c r="CX534" s="0" t="s">
        <v>419</v>
      </c>
      <c r="CY534" s="0" t="s">
        <v>418</v>
      </c>
      <c r="CZ534" s="0" t="s">
        <v>3657</v>
      </c>
      <c r="DA534" s="0" t="s">
        <v>3658</v>
      </c>
      <c r="DB534" s="0" t="s">
        <v>3656</v>
      </c>
      <c r="DC534" s="0" t="s">
        <v>362</v>
      </c>
      <c r="DD534" s="0" t="s">
        <v>3572</v>
      </c>
      <c r="DE534" s="0" t="s">
        <v>3659</v>
      </c>
    </row>
    <row customHeight="1" ht="11.25">
      <c r="A535" s="1353" t="s">
        <v>228</v>
      </c>
      <c r="B535" s="0" t="s">
        <v>228</v>
      </c>
      <c r="C535" s="0" t="s">
        <v>228</v>
      </c>
      <c r="D535" s="0" t="s">
        <v>228</v>
      </c>
      <c r="E535" s="0" t="s">
        <v>228</v>
      </c>
      <c r="F535" s="0" t="s">
        <v>228</v>
      </c>
      <c r="G535" s="0" t="s">
        <v>228</v>
      </c>
      <c r="H535" s="0" t="s">
        <v>228</v>
      </c>
      <c r="I535" s="0" t="s">
        <v>3555</v>
      </c>
      <c r="J535" s="0" t="s">
        <v>228</v>
      </c>
      <c r="K535" s="0" t="s">
        <v>228</v>
      </c>
      <c r="L535" s="0" t="s">
        <v>228</v>
      </c>
      <c r="M535" s="0" t="s">
        <v>228</v>
      </c>
      <c r="N535" s="0" t="s">
        <v>228</v>
      </c>
      <c r="O535" s="0" t="s">
        <v>228</v>
      </c>
      <c r="P535" s="0" t="s">
        <v>228</v>
      </c>
      <c r="Q535" s="0" t="s">
        <v>228</v>
      </c>
      <c r="R535" s="0" t="s">
        <v>5098</v>
      </c>
      <c r="S535" s="0" t="s">
        <v>228</v>
      </c>
      <c r="T535" s="0" t="s">
        <v>228</v>
      </c>
      <c r="U535" s="0" t="s">
        <v>101</v>
      </c>
      <c r="V535" s="0" t="s">
        <v>228</v>
      </c>
      <c r="W535" s="0" t="s">
        <v>228</v>
      </c>
      <c r="X535" s="0" t="s">
        <v>3661</v>
      </c>
      <c r="Y535" s="0" t="s">
        <v>228</v>
      </c>
      <c r="Z535" s="0" t="s">
        <v>151</v>
      </c>
      <c r="AA535" s="0" t="s">
        <v>151</v>
      </c>
      <c r="AB535" s="0" t="s">
        <v>160</v>
      </c>
      <c r="AC535" s="0" t="s">
        <v>2715</v>
      </c>
      <c r="AD535" s="0" t="s">
        <v>2715</v>
      </c>
      <c r="AE535" s="0" t="s">
        <v>2716</v>
      </c>
      <c r="AF535" s="0" t="s">
        <v>3594</v>
      </c>
      <c r="AG535" s="0" t="s">
        <v>3595</v>
      </c>
      <c r="AH535" s="0" t="s">
        <v>3669</v>
      </c>
      <c r="AI535" s="0" t="s">
        <v>3608</v>
      </c>
      <c r="AJ535" s="0" t="s">
        <v>228</v>
      </c>
      <c r="AK535" s="0" t="s">
        <v>228</v>
      </c>
      <c r="AL535" s="0" t="s">
        <v>228</v>
      </c>
      <c r="AM535" s="0" t="s">
        <v>228</v>
      </c>
      <c r="AN535" s="0" t="s">
        <v>228</v>
      </c>
      <c r="AO535" s="0" t="s">
        <v>228</v>
      </c>
      <c r="AP535" s="0" t="s">
        <v>228</v>
      </c>
      <c r="AQ535" s="0" t="s">
        <v>228</v>
      </c>
      <c r="AR535" s="0" t="s">
        <v>228</v>
      </c>
      <c r="AS535" s="0" t="s">
        <v>228</v>
      </c>
      <c r="AT535" s="0" t="s">
        <v>228</v>
      </c>
      <c r="AU535" s="0" t="s">
        <v>228</v>
      </c>
      <c r="AV535" s="0" t="s">
        <v>228</v>
      </c>
      <c r="AW535" s="0" t="s">
        <v>228</v>
      </c>
      <c r="AX535" s="0" t="s">
        <v>228</v>
      </c>
      <c r="AY535" s="0" t="s">
        <v>228</v>
      </c>
      <c r="AZ535" s="0" t="s">
        <v>228</v>
      </c>
      <c r="BA535" s="0" t="s">
        <v>228</v>
      </c>
      <c r="BB535" s="0" t="s">
        <v>228</v>
      </c>
      <c r="BC535" s="0" t="s">
        <v>228</v>
      </c>
      <c r="BD535" s="0" t="s">
        <v>228</v>
      </c>
      <c r="BE535" s="0" t="s">
        <v>3679</v>
      </c>
      <c r="BF535" s="0" t="s">
        <v>4899</v>
      </c>
      <c r="BG535" s="0" t="s">
        <v>111</v>
      </c>
      <c r="BH535" s="0" t="s">
        <v>3665</v>
      </c>
      <c r="BI535" s="0" t="s">
        <v>122</v>
      </c>
      <c r="BJ535" s="0" t="s">
        <v>228</v>
      </c>
      <c r="BK535" s="0" t="s">
        <v>4900</v>
      </c>
      <c r="BL535" s="0" t="s">
        <v>2715</v>
      </c>
      <c r="BM535" s="0" t="s">
        <v>2715</v>
      </c>
      <c r="BN535" s="0" t="s">
        <v>3667</v>
      </c>
      <c r="BO535" s="0" t="s">
        <v>3594</v>
      </c>
      <c r="BP535" s="0" t="s">
        <v>3668</v>
      </c>
      <c r="BQ535" s="0" t="s">
        <v>3669</v>
      </c>
      <c r="BR535" s="0" t="s">
        <v>3608</v>
      </c>
      <c r="BS535" s="0" t="s">
        <v>228</v>
      </c>
      <c r="BT535" s="0" t="s">
        <v>3670</v>
      </c>
      <c r="BU535" s="0" t="s">
        <v>5099</v>
      </c>
      <c r="BV535" s="0" t="s">
        <v>5100</v>
      </c>
      <c r="BW535" s="0" t="s">
        <v>4903</v>
      </c>
      <c r="BX535" s="0" t="s">
        <v>4904</v>
      </c>
      <c r="BY535" s="0" t="s">
        <v>3674</v>
      </c>
      <c r="BZ535" s="0" t="s">
        <v>3674</v>
      </c>
      <c r="CA535" s="0" t="s">
        <v>4905</v>
      </c>
      <c r="CB535" s="0" t="s">
        <v>3674</v>
      </c>
      <c r="CC535" s="0" t="s">
        <v>4905</v>
      </c>
      <c r="CD535" s="0" t="s">
        <v>3674</v>
      </c>
      <c r="CE535" s="0" t="s">
        <v>3674</v>
      </c>
      <c r="CF535" s="0" t="s">
        <v>3674</v>
      </c>
      <c r="CG535" s="0" t="s">
        <v>3674</v>
      </c>
      <c r="CH535" s="0" t="s">
        <v>3674</v>
      </c>
      <c r="CI535" s="0" t="s">
        <v>3674</v>
      </c>
      <c r="CJ535" s="0" t="s">
        <v>3674</v>
      </c>
      <c r="CK535" s="0" t="s">
        <v>3674</v>
      </c>
      <c r="CL535" s="0" t="s">
        <v>3674</v>
      </c>
      <c r="CM535" s="0" t="s">
        <v>5101</v>
      </c>
      <c r="CN535" s="0" t="s">
        <v>5100</v>
      </c>
      <c r="CO535" s="0" t="s">
        <v>4907</v>
      </c>
      <c r="CP535" s="0" t="s">
        <v>4904</v>
      </c>
      <c r="CQ535" s="0" t="s">
        <v>3674</v>
      </c>
      <c r="CR535" s="0" t="s">
        <v>3674</v>
      </c>
      <c r="CS535" s="0" t="s">
        <v>3675</v>
      </c>
      <c r="CT535" s="0" t="s">
        <v>3568</v>
      </c>
      <c r="CU535" s="0" t="s">
        <v>3569</v>
      </c>
      <c r="CV535" s="0" t="s">
        <v>418</v>
      </c>
      <c r="CW535" s="0" t="s">
        <v>3676</v>
      </c>
      <c r="CX535" s="0" t="s">
        <v>3603</v>
      </c>
      <c r="CY535" s="0" t="s">
        <v>418</v>
      </c>
      <c r="CZ535" s="0" t="s">
        <v>504</v>
      </c>
      <c r="DA535" s="0" t="s">
        <v>3604</v>
      </c>
      <c r="DB535" s="0" t="s">
        <v>3676</v>
      </c>
      <c r="DC535" s="0" t="s">
        <v>362</v>
      </c>
      <c r="DD535" s="0" t="s">
        <v>3572</v>
      </c>
      <c r="DE535" s="0" t="s">
        <v>3683</v>
      </c>
    </row>
    <row customHeight="1" ht="11.25">
      <c r="A536" s="1353" t="s">
        <v>228</v>
      </c>
      <c r="B536" s="0" t="s">
        <v>228</v>
      </c>
      <c r="C536" s="0" t="s">
        <v>228</v>
      </c>
      <c r="D536" s="0" t="s">
        <v>228</v>
      </c>
      <c r="E536" s="0" t="s">
        <v>228</v>
      </c>
      <c r="F536" s="0" t="s">
        <v>228</v>
      </c>
      <c r="G536" s="0" t="s">
        <v>228</v>
      </c>
      <c r="H536" s="0" t="s">
        <v>228</v>
      </c>
      <c r="I536" s="0" t="s">
        <v>3555</v>
      </c>
      <c r="J536" s="0" t="s">
        <v>228</v>
      </c>
      <c r="K536" s="0" t="s">
        <v>228</v>
      </c>
      <c r="L536" s="0" t="s">
        <v>228</v>
      </c>
      <c r="M536" s="0" t="s">
        <v>228</v>
      </c>
      <c r="N536" s="0" t="s">
        <v>228</v>
      </c>
      <c r="O536" s="0" t="s">
        <v>228</v>
      </c>
      <c r="P536" s="0" t="s">
        <v>228</v>
      </c>
      <c r="Q536" s="0" t="s">
        <v>228</v>
      </c>
      <c r="R536" s="0" t="s">
        <v>5102</v>
      </c>
      <c r="S536" s="0" t="s">
        <v>228</v>
      </c>
      <c r="T536" s="0" t="s">
        <v>228</v>
      </c>
      <c r="U536" s="0" t="s">
        <v>101</v>
      </c>
      <c r="V536" s="0" t="s">
        <v>228</v>
      </c>
      <c r="W536" s="0" t="s">
        <v>228</v>
      </c>
      <c r="X536" s="0" t="s">
        <v>3661</v>
      </c>
      <c r="Y536" s="0" t="s">
        <v>228</v>
      </c>
      <c r="Z536" s="0" t="s">
        <v>151</v>
      </c>
      <c r="AA536" s="0" t="s">
        <v>151</v>
      </c>
      <c r="AB536" s="0" t="s">
        <v>160</v>
      </c>
      <c r="AC536" s="0" t="s">
        <v>2715</v>
      </c>
      <c r="AD536" s="0" t="s">
        <v>2715</v>
      </c>
      <c r="AE536" s="0" t="s">
        <v>2716</v>
      </c>
      <c r="AF536" s="0" t="s">
        <v>3594</v>
      </c>
      <c r="AG536" s="0" t="s">
        <v>3595</v>
      </c>
      <c r="AH536" s="0" t="s">
        <v>3662</v>
      </c>
      <c r="AI536" s="0" t="s">
        <v>3608</v>
      </c>
      <c r="AJ536" s="0" t="s">
        <v>228</v>
      </c>
      <c r="AK536" s="0" t="s">
        <v>228</v>
      </c>
      <c r="AL536" s="0" t="s">
        <v>228</v>
      </c>
      <c r="AM536" s="0" t="s">
        <v>228</v>
      </c>
      <c r="AN536" s="0" t="s">
        <v>228</v>
      </c>
      <c r="AO536" s="0" t="s">
        <v>228</v>
      </c>
      <c r="AP536" s="0" t="s">
        <v>228</v>
      </c>
      <c r="AQ536" s="0" t="s">
        <v>228</v>
      </c>
      <c r="AR536" s="0" t="s">
        <v>228</v>
      </c>
      <c r="AS536" s="0" t="s">
        <v>228</v>
      </c>
      <c r="AT536" s="0" t="s">
        <v>228</v>
      </c>
      <c r="AU536" s="0" t="s">
        <v>228</v>
      </c>
      <c r="AV536" s="0" t="s">
        <v>228</v>
      </c>
      <c r="AW536" s="0" t="s">
        <v>228</v>
      </c>
      <c r="AX536" s="0" t="s">
        <v>228</v>
      </c>
      <c r="AY536" s="0" t="s">
        <v>228</v>
      </c>
      <c r="AZ536" s="0" t="s">
        <v>228</v>
      </c>
      <c r="BA536" s="0" t="s">
        <v>228</v>
      </c>
      <c r="BB536" s="0" t="s">
        <v>228</v>
      </c>
      <c r="BC536" s="0" t="s">
        <v>228</v>
      </c>
      <c r="BD536" s="0" t="s">
        <v>228</v>
      </c>
      <c r="BE536" s="0" t="s">
        <v>3663</v>
      </c>
      <c r="BF536" s="0" t="s">
        <v>3664</v>
      </c>
      <c r="BG536" s="0" t="s">
        <v>111</v>
      </c>
      <c r="BH536" s="0" t="s">
        <v>3665</v>
      </c>
      <c r="BI536" s="0" t="s">
        <v>122</v>
      </c>
      <c r="BJ536" s="0" t="s">
        <v>228</v>
      </c>
      <c r="BK536" s="0" t="s">
        <v>3666</v>
      </c>
      <c r="BL536" s="0" t="s">
        <v>2715</v>
      </c>
      <c r="BM536" s="0" t="s">
        <v>2715</v>
      </c>
      <c r="BN536" s="0" t="s">
        <v>3667</v>
      </c>
      <c r="BO536" s="0" t="s">
        <v>3594</v>
      </c>
      <c r="BP536" s="0" t="s">
        <v>3668</v>
      </c>
      <c r="BQ536" s="0" t="s">
        <v>3669</v>
      </c>
      <c r="BR536" s="0" t="s">
        <v>3608</v>
      </c>
      <c r="BS536" s="0" t="s">
        <v>228</v>
      </c>
      <c r="BT536" s="0" t="s">
        <v>3670</v>
      </c>
      <c r="BU536" s="0" t="s">
        <v>5103</v>
      </c>
      <c r="BV536" s="0" t="s">
        <v>5104</v>
      </c>
      <c r="BW536" s="0" t="s">
        <v>3673</v>
      </c>
      <c r="BX536" s="0" t="s">
        <v>3674</v>
      </c>
      <c r="BY536" s="0" t="s">
        <v>3674</v>
      </c>
      <c r="BZ536" s="0" t="s">
        <v>3674</v>
      </c>
      <c r="CA536" s="0" t="s">
        <v>3674</v>
      </c>
      <c r="CB536" s="0" t="s">
        <v>3674</v>
      </c>
      <c r="CC536" s="0" t="s">
        <v>3674</v>
      </c>
      <c r="CD536" s="0" t="s">
        <v>3674</v>
      </c>
      <c r="CE536" s="0" t="s">
        <v>3674</v>
      </c>
      <c r="CF536" s="0" t="s">
        <v>3674</v>
      </c>
      <c r="CG536" s="0" t="s">
        <v>3674</v>
      </c>
      <c r="CH536" s="0" t="s">
        <v>3674</v>
      </c>
      <c r="CI536" s="0" t="s">
        <v>3674</v>
      </c>
      <c r="CJ536" s="0" t="s">
        <v>3674</v>
      </c>
      <c r="CK536" s="0" t="s">
        <v>3674</v>
      </c>
      <c r="CL536" s="0" t="s">
        <v>3674</v>
      </c>
      <c r="CM536" s="0" t="s">
        <v>5103</v>
      </c>
      <c r="CN536" s="0" t="s">
        <v>5104</v>
      </c>
      <c r="CO536" s="0" t="s">
        <v>3673</v>
      </c>
      <c r="CP536" s="0" t="s">
        <v>3674</v>
      </c>
      <c r="CQ536" s="0" t="s">
        <v>3674</v>
      </c>
      <c r="CR536" s="0" t="s">
        <v>3674</v>
      </c>
      <c r="CS536" s="0" t="s">
        <v>3675</v>
      </c>
      <c r="CT536" s="0" t="s">
        <v>3568</v>
      </c>
      <c r="CU536" s="0" t="s">
        <v>3569</v>
      </c>
      <c r="CV536" s="0" t="s">
        <v>418</v>
      </c>
      <c r="CW536" s="0" t="s">
        <v>3676</v>
      </c>
      <c r="CX536" s="0" t="s">
        <v>3603</v>
      </c>
      <c r="CY536" s="0" t="s">
        <v>418</v>
      </c>
      <c r="CZ536" s="0" t="s">
        <v>504</v>
      </c>
      <c r="DA536" s="0" t="s">
        <v>3604</v>
      </c>
      <c r="DB536" s="0" t="s">
        <v>3676</v>
      </c>
      <c r="DC536" s="0" t="s">
        <v>362</v>
      </c>
      <c r="DD536" s="0" t="s">
        <v>3572</v>
      </c>
      <c r="DE536" s="0" t="s">
        <v>3677</v>
      </c>
    </row>
    <row customHeight="1" ht="11.25">
      <c r="A537" s="1353" t="s">
        <v>228</v>
      </c>
      <c r="B537" s="0" t="s">
        <v>228</v>
      </c>
      <c r="C537" s="0" t="s">
        <v>228</v>
      </c>
      <c r="D537" s="0" t="s">
        <v>228</v>
      </c>
      <c r="E537" s="0" t="s">
        <v>228</v>
      </c>
      <c r="F537" s="0" t="s">
        <v>228</v>
      </c>
      <c r="G537" s="0" t="s">
        <v>228</v>
      </c>
      <c r="H537" s="0" t="s">
        <v>228</v>
      </c>
      <c r="I537" s="0" t="s">
        <v>3555</v>
      </c>
      <c r="J537" s="0" t="s">
        <v>228</v>
      </c>
      <c r="K537" s="0" t="s">
        <v>228</v>
      </c>
      <c r="L537" s="0" t="s">
        <v>228</v>
      </c>
      <c r="M537" s="0" t="s">
        <v>228</v>
      </c>
      <c r="N537" s="0" t="s">
        <v>228</v>
      </c>
      <c r="O537" s="0" t="s">
        <v>228</v>
      </c>
      <c r="P537" s="0" t="s">
        <v>228</v>
      </c>
      <c r="Q537" s="0" t="s">
        <v>228</v>
      </c>
      <c r="R537" s="0" t="s">
        <v>3678</v>
      </c>
      <c r="S537" s="0" t="s">
        <v>228</v>
      </c>
      <c r="T537" s="0" t="s">
        <v>228</v>
      </c>
      <c r="U537" s="0" t="s">
        <v>101</v>
      </c>
      <c r="V537" s="0" t="s">
        <v>228</v>
      </c>
      <c r="W537" s="0" t="s">
        <v>228</v>
      </c>
      <c r="X537" s="0" t="s">
        <v>3557</v>
      </c>
      <c r="Y537" s="0" t="s">
        <v>228</v>
      </c>
      <c r="Z537" s="0" t="s">
        <v>160</v>
      </c>
      <c r="AA537" s="0" t="s">
        <v>151</v>
      </c>
      <c r="AB537" s="0" t="s">
        <v>151</v>
      </c>
      <c r="AC537" s="0" t="s">
        <v>2715</v>
      </c>
      <c r="AD537" s="0" t="s">
        <v>2715</v>
      </c>
      <c r="AE537" s="0" t="s">
        <v>2716</v>
      </c>
      <c r="AF537" s="0" t="s">
        <v>3594</v>
      </c>
      <c r="AG537" s="0" t="s">
        <v>3595</v>
      </c>
      <c r="AH537" s="0" t="s">
        <v>3669</v>
      </c>
      <c r="AI537" s="0" t="s">
        <v>3608</v>
      </c>
      <c r="AJ537" s="0" t="s">
        <v>3679</v>
      </c>
      <c r="AK537" s="0" t="s">
        <v>3680</v>
      </c>
      <c r="AL537" s="0" t="s">
        <v>3681</v>
      </c>
      <c r="AM537" s="0" t="s">
        <v>3565</v>
      </c>
      <c r="AN537" s="0" t="s">
        <v>3654</v>
      </c>
      <c r="AO537" s="0" t="s">
        <v>3682</v>
      </c>
      <c r="AP537" s="0" t="s">
        <v>228</v>
      </c>
      <c r="AQ537" s="0" t="s">
        <v>228</v>
      </c>
      <c r="AR537" s="0" t="s">
        <v>228</v>
      </c>
      <c r="AS537" s="0" t="s">
        <v>228</v>
      </c>
      <c r="AT537" s="0" t="s">
        <v>228</v>
      </c>
      <c r="AU537" s="0" t="s">
        <v>228</v>
      </c>
      <c r="AV537" s="0" t="s">
        <v>228</v>
      </c>
      <c r="AW537" s="0" t="s">
        <v>228</v>
      </c>
      <c r="AX537" s="0" t="s">
        <v>228</v>
      </c>
      <c r="AY537" s="0" t="s">
        <v>228</v>
      </c>
      <c r="AZ537" s="0" t="s">
        <v>228</v>
      </c>
      <c r="BA537" s="0" t="s">
        <v>228</v>
      </c>
      <c r="BB537" s="0" t="s">
        <v>228</v>
      </c>
      <c r="BC537" s="0" t="s">
        <v>228</v>
      </c>
      <c r="BD537" s="0" t="s">
        <v>228</v>
      </c>
      <c r="BE537" s="0" t="s">
        <v>228</v>
      </c>
      <c r="BF537" s="0" t="s">
        <v>228</v>
      </c>
      <c r="BG537" s="0" t="s">
        <v>228</v>
      </c>
      <c r="BH537" s="0" t="s">
        <v>228</v>
      </c>
      <c r="BI537" s="0" t="s">
        <v>228</v>
      </c>
      <c r="BJ537" s="0" t="s">
        <v>228</v>
      </c>
      <c r="BK537" s="0" t="s">
        <v>228</v>
      </c>
      <c r="BL537" s="0" t="s">
        <v>228</v>
      </c>
      <c r="BM537" s="0" t="s">
        <v>228</v>
      </c>
      <c r="BN537" s="0" t="s">
        <v>228</v>
      </c>
      <c r="BO537" s="0" t="s">
        <v>228</v>
      </c>
      <c r="BP537" s="0" t="s">
        <v>228</v>
      </c>
      <c r="BQ537" s="0" t="s">
        <v>228</v>
      </c>
      <c r="BR537" s="0" t="s">
        <v>228</v>
      </c>
      <c r="BS537" s="0" t="s">
        <v>228</v>
      </c>
      <c r="BT537" s="0" t="s">
        <v>228</v>
      </c>
      <c r="BU537" s="0" t="s">
        <v>228</v>
      </c>
      <c r="BV537" s="0" t="s">
        <v>228</v>
      </c>
      <c r="BW537" s="0" t="s">
        <v>228</v>
      </c>
      <c r="BX537" s="0" t="s">
        <v>228</v>
      </c>
      <c r="BY537" s="0" t="s">
        <v>228</v>
      </c>
      <c r="BZ537" s="0" t="s">
        <v>228</v>
      </c>
      <c r="CA537" s="0" t="s">
        <v>228</v>
      </c>
      <c r="CB537" s="0" t="s">
        <v>228</v>
      </c>
      <c r="CC537" s="0" t="s">
        <v>228</v>
      </c>
      <c r="CD537" s="0" t="s">
        <v>228</v>
      </c>
      <c r="CE537" s="0" t="s">
        <v>228</v>
      </c>
      <c r="CF537" s="0" t="s">
        <v>228</v>
      </c>
      <c r="CG537" s="0" t="s">
        <v>228</v>
      </c>
      <c r="CH537" s="0" t="s">
        <v>228</v>
      </c>
      <c r="CI537" s="0" t="s">
        <v>228</v>
      </c>
      <c r="CJ537" s="0" t="s">
        <v>228</v>
      </c>
      <c r="CK537" s="0" t="s">
        <v>228</v>
      </c>
      <c r="CL537" s="0" t="s">
        <v>228</v>
      </c>
      <c r="CM537" s="0" t="s">
        <v>228</v>
      </c>
      <c r="CN537" s="0" t="s">
        <v>228</v>
      </c>
      <c r="CO537" s="0" t="s">
        <v>228</v>
      </c>
      <c r="CP537" s="0" t="s">
        <v>228</v>
      </c>
      <c r="CQ537" s="0" t="s">
        <v>228</v>
      </c>
      <c r="CR537" s="0" t="s">
        <v>228</v>
      </c>
      <c r="CS537" s="0" t="s">
        <v>228</v>
      </c>
      <c r="CT537" s="0" t="s">
        <v>3568</v>
      </c>
      <c r="CU537" s="0" t="s">
        <v>3569</v>
      </c>
      <c r="CV537" s="0" t="s">
        <v>418</v>
      </c>
      <c r="CW537" s="0" t="s">
        <v>3602</v>
      </c>
      <c r="CX537" s="0" t="s">
        <v>3603</v>
      </c>
      <c r="CY537" s="0" t="s">
        <v>418</v>
      </c>
      <c r="CZ537" s="0" t="s">
        <v>504</v>
      </c>
      <c r="DA537" s="0" t="s">
        <v>3604</v>
      </c>
      <c r="DB537" s="0" t="s">
        <v>3602</v>
      </c>
      <c r="DC537" s="0" t="s">
        <v>362</v>
      </c>
      <c r="DD537" s="0" t="s">
        <v>3572</v>
      </c>
      <c r="DE537" s="0" t="s">
        <v>3683</v>
      </c>
    </row>
    <row customHeight="1" ht="11.25">
      <c r="A538" s="1353" t="s">
        <v>228</v>
      </c>
      <c r="B538" s="0" t="s">
        <v>228</v>
      </c>
      <c r="C538" s="0" t="s">
        <v>228</v>
      </c>
      <c r="D538" s="0" t="s">
        <v>228</v>
      </c>
      <c r="E538" s="0" t="s">
        <v>228</v>
      </c>
      <c r="F538" s="0" t="s">
        <v>228</v>
      </c>
      <c r="G538" s="0" t="s">
        <v>228</v>
      </c>
      <c r="H538" s="0" t="s">
        <v>228</v>
      </c>
      <c r="I538" s="0" t="s">
        <v>3555</v>
      </c>
      <c r="J538" s="0" t="s">
        <v>228</v>
      </c>
      <c r="K538" s="0" t="s">
        <v>228</v>
      </c>
      <c r="L538" s="0" t="s">
        <v>228</v>
      </c>
      <c r="M538" s="0" t="s">
        <v>228</v>
      </c>
      <c r="N538" s="0" t="s">
        <v>228</v>
      </c>
      <c r="O538" s="0" t="s">
        <v>228</v>
      </c>
      <c r="P538" s="0" t="s">
        <v>228</v>
      </c>
      <c r="Q538" s="0" t="s">
        <v>228</v>
      </c>
      <c r="R538" s="0" t="s">
        <v>4013</v>
      </c>
      <c r="S538" s="0" t="s">
        <v>228</v>
      </c>
      <c r="T538" s="0" t="s">
        <v>228</v>
      </c>
      <c r="U538" s="0" t="s">
        <v>101</v>
      </c>
      <c r="V538" s="0" t="s">
        <v>228</v>
      </c>
      <c r="W538" s="0" t="s">
        <v>228</v>
      </c>
      <c r="X538" s="0" t="s">
        <v>3661</v>
      </c>
      <c r="Y538" s="0" t="s">
        <v>228</v>
      </c>
      <c r="Z538" s="0" t="s">
        <v>151</v>
      </c>
      <c r="AA538" s="0" t="s">
        <v>151</v>
      </c>
      <c r="AB538" s="0" t="s">
        <v>160</v>
      </c>
      <c r="AC538" s="0" t="s">
        <v>2715</v>
      </c>
      <c r="AD538" s="0" t="s">
        <v>2715</v>
      </c>
      <c r="AE538" s="0" t="s">
        <v>2716</v>
      </c>
      <c r="AF538" s="0" t="s">
        <v>3594</v>
      </c>
      <c r="AG538" s="0" t="s">
        <v>3595</v>
      </c>
      <c r="AH538" s="0" t="s">
        <v>3642</v>
      </c>
      <c r="AI538" s="0" t="s">
        <v>3643</v>
      </c>
      <c r="AJ538" s="0" t="s">
        <v>228</v>
      </c>
      <c r="AK538" s="0" t="s">
        <v>228</v>
      </c>
      <c r="AL538" s="0" t="s">
        <v>228</v>
      </c>
      <c r="AM538" s="0" t="s">
        <v>228</v>
      </c>
      <c r="AN538" s="0" t="s">
        <v>228</v>
      </c>
      <c r="AO538" s="0" t="s">
        <v>228</v>
      </c>
      <c r="AP538" s="0" t="s">
        <v>228</v>
      </c>
      <c r="AQ538" s="0" t="s">
        <v>228</v>
      </c>
      <c r="AR538" s="0" t="s">
        <v>228</v>
      </c>
      <c r="AS538" s="0" t="s">
        <v>228</v>
      </c>
      <c r="AT538" s="0" t="s">
        <v>228</v>
      </c>
      <c r="AU538" s="0" t="s">
        <v>228</v>
      </c>
      <c r="AV538" s="0" t="s">
        <v>228</v>
      </c>
      <c r="AW538" s="0" t="s">
        <v>228</v>
      </c>
      <c r="AX538" s="0" t="s">
        <v>228</v>
      </c>
      <c r="AY538" s="0" t="s">
        <v>228</v>
      </c>
      <c r="AZ538" s="0" t="s">
        <v>228</v>
      </c>
      <c r="BA538" s="0" t="s">
        <v>228</v>
      </c>
      <c r="BB538" s="0" t="s">
        <v>228</v>
      </c>
      <c r="BC538" s="0" t="s">
        <v>228</v>
      </c>
      <c r="BD538" s="0" t="s">
        <v>228</v>
      </c>
      <c r="BE538" s="0" t="s">
        <v>4014</v>
      </c>
      <c r="BF538" s="0" t="s">
        <v>3598</v>
      </c>
      <c r="BG538" s="0" t="s">
        <v>111</v>
      </c>
      <c r="BH538" s="0" t="s">
        <v>3665</v>
      </c>
      <c r="BI538" s="0" t="s">
        <v>122</v>
      </c>
      <c r="BJ538" s="0" t="s">
        <v>228</v>
      </c>
      <c r="BK538" s="0" t="s">
        <v>4015</v>
      </c>
      <c r="BL538" s="0" t="s">
        <v>2715</v>
      </c>
      <c r="BM538" s="0" t="s">
        <v>2715</v>
      </c>
      <c r="BN538" s="0" t="s">
        <v>3667</v>
      </c>
      <c r="BO538" s="0" t="s">
        <v>3594</v>
      </c>
      <c r="BP538" s="0" t="s">
        <v>3668</v>
      </c>
      <c r="BQ538" s="0" t="s">
        <v>4016</v>
      </c>
      <c r="BR538" s="0" t="s">
        <v>3643</v>
      </c>
      <c r="BS538" s="0" t="s">
        <v>228</v>
      </c>
      <c r="BT538" s="0" t="s">
        <v>3670</v>
      </c>
      <c r="BU538" s="0" t="s">
        <v>5105</v>
      </c>
      <c r="BV538" s="0" t="s">
        <v>5106</v>
      </c>
      <c r="BW538" s="0" t="s">
        <v>5107</v>
      </c>
      <c r="BX538" s="0" t="s">
        <v>4020</v>
      </c>
      <c r="BY538" s="0" t="s">
        <v>4021</v>
      </c>
      <c r="BZ538" s="0" t="s">
        <v>4022</v>
      </c>
      <c r="CA538" s="0" t="s">
        <v>3674</v>
      </c>
      <c r="CB538" s="0" t="s">
        <v>3674</v>
      </c>
      <c r="CC538" s="0" t="s">
        <v>3674</v>
      </c>
      <c r="CD538" s="0" t="s">
        <v>3674</v>
      </c>
      <c r="CE538" s="0" t="s">
        <v>3674</v>
      </c>
      <c r="CF538" s="0" t="s">
        <v>3674</v>
      </c>
      <c r="CG538" s="0" t="s">
        <v>3674</v>
      </c>
      <c r="CH538" s="0" t="s">
        <v>3674</v>
      </c>
      <c r="CI538" s="0" t="s">
        <v>3674</v>
      </c>
      <c r="CJ538" s="0" t="s">
        <v>3674</v>
      </c>
      <c r="CK538" s="0" t="s">
        <v>3674</v>
      </c>
      <c r="CL538" s="0" t="s">
        <v>3674</v>
      </c>
      <c r="CM538" s="0" t="s">
        <v>5105</v>
      </c>
      <c r="CN538" s="0" t="s">
        <v>5106</v>
      </c>
      <c r="CO538" s="0" t="s">
        <v>5107</v>
      </c>
      <c r="CP538" s="0" t="s">
        <v>4020</v>
      </c>
      <c r="CQ538" s="0" t="s">
        <v>4021</v>
      </c>
      <c r="CR538" s="0" t="s">
        <v>4022</v>
      </c>
      <c r="CS538" s="0" t="s">
        <v>3675</v>
      </c>
      <c r="CT538" s="0" t="s">
        <v>3568</v>
      </c>
      <c r="CU538" s="0" t="s">
        <v>3569</v>
      </c>
      <c r="CV538" s="0" t="s">
        <v>418</v>
      </c>
      <c r="CW538" s="0" t="s">
        <v>3676</v>
      </c>
      <c r="CX538" s="0" t="s">
        <v>3603</v>
      </c>
      <c r="CY538" s="0" t="s">
        <v>418</v>
      </c>
      <c r="CZ538" s="0" t="s">
        <v>504</v>
      </c>
      <c r="DA538" s="0" t="s">
        <v>3604</v>
      </c>
      <c r="DB538" s="0" t="s">
        <v>3676</v>
      </c>
      <c r="DC538" s="0" t="s">
        <v>362</v>
      </c>
      <c r="DD538" s="0" t="s">
        <v>3572</v>
      </c>
      <c r="DE538" s="0" t="s">
        <v>3647</v>
      </c>
    </row>
    <row customHeight="1" ht="11.25">
      <c r="A539" s="1353" t="s">
        <v>228</v>
      </c>
      <c r="B539" s="0" t="s">
        <v>228</v>
      </c>
      <c r="C539" s="0" t="s">
        <v>228</v>
      </c>
      <c r="D539" s="0" t="s">
        <v>228</v>
      </c>
      <c r="E539" s="0" t="s">
        <v>228</v>
      </c>
      <c r="F539" s="0" t="s">
        <v>228</v>
      </c>
      <c r="G539" s="0" t="s">
        <v>228</v>
      </c>
      <c r="H539" s="0" t="s">
        <v>228</v>
      </c>
      <c r="I539" s="0" t="s">
        <v>3555</v>
      </c>
      <c r="J539" s="0" t="s">
        <v>228</v>
      </c>
      <c r="K539" s="0" t="s">
        <v>228</v>
      </c>
      <c r="L539" s="0" t="s">
        <v>228</v>
      </c>
      <c r="M539" s="0" t="s">
        <v>228</v>
      </c>
      <c r="N539" s="0" t="s">
        <v>228</v>
      </c>
      <c r="O539" s="0" t="s">
        <v>228</v>
      </c>
      <c r="P539" s="0" t="s">
        <v>228</v>
      </c>
      <c r="Q539" s="0" t="s">
        <v>228</v>
      </c>
      <c r="R539" s="0" t="s">
        <v>4023</v>
      </c>
      <c r="S539" s="0" t="s">
        <v>228</v>
      </c>
      <c r="T539" s="0" t="s">
        <v>228</v>
      </c>
      <c r="U539" s="0" t="s">
        <v>101</v>
      </c>
      <c r="V539" s="0" t="s">
        <v>228</v>
      </c>
      <c r="W539" s="0" t="s">
        <v>228</v>
      </c>
      <c r="X539" s="0" t="s">
        <v>3557</v>
      </c>
      <c r="Y539" s="0" t="s">
        <v>228</v>
      </c>
      <c r="Z539" s="0" t="s">
        <v>160</v>
      </c>
      <c r="AA539" s="0" t="s">
        <v>151</v>
      </c>
      <c r="AB539" s="0" t="s">
        <v>151</v>
      </c>
      <c r="AC539" s="0" t="s">
        <v>2721</v>
      </c>
      <c r="AD539" s="0" t="s">
        <v>2721</v>
      </c>
      <c r="AE539" s="0" t="s">
        <v>2722</v>
      </c>
      <c r="AF539" s="0" t="s">
        <v>4024</v>
      </c>
      <c r="AG539" s="0" t="s">
        <v>4025</v>
      </c>
      <c r="AH539" s="0" t="s">
        <v>4026</v>
      </c>
      <c r="AI539" s="0" t="s">
        <v>151</v>
      </c>
      <c r="AJ539" s="0" t="s">
        <v>4027</v>
      </c>
      <c r="AK539" s="0" t="s">
        <v>4028</v>
      </c>
      <c r="AL539" s="0" t="s">
        <v>3646</v>
      </c>
      <c r="AM539" s="0" t="s">
        <v>3565</v>
      </c>
      <c r="AN539" s="0" t="s">
        <v>3654</v>
      </c>
      <c r="AO539" s="0" t="s">
        <v>4029</v>
      </c>
      <c r="AP539" s="0" t="s">
        <v>228</v>
      </c>
      <c r="AQ539" s="0" t="s">
        <v>228</v>
      </c>
      <c r="AR539" s="0" t="s">
        <v>228</v>
      </c>
      <c r="AS539" s="0" t="s">
        <v>228</v>
      </c>
      <c r="AT539" s="0" t="s">
        <v>228</v>
      </c>
      <c r="AU539" s="0" t="s">
        <v>228</v>
      </c>
      <c r="AV539" s="0" t="s">
        <v>228</v>
      </c>
      <c r="AW539" s="0" t="s">
        <v>228</v>
      </c>
      <c r="AX539" s="0" t="s">
        <v>228</v>
      </c>
      <c r="AY539" s="0" t="s">
        <v>228</v>
      </c>
      <c r="AZ539" s="0" t="s">
        <v>228</v>
      </c>
      <c r="BA539" s="0" t="s">
        <v>228</v>
      </c>
      <c r="BB539" s="0" t="s">
        <v>228</v>
      </c>
      <c r="BC539" s="0" t="s">
        <v>228</v>
      </c>
      <c r="BD539" s="0" t="s">
        <v>228</v>
      </c>
      <c r="BE539" s="0" t="s">
        <v>228</v>
      </c>
      <c r="BF539" s="0" t="s">
        <v>228</v>
      </c>
      <c r="BG539" s="0" t="s">
        <v>228</v>
      </c>
      <c r="BH539" s="0" t="s">
        <v>228</v>
      </c>
      <c r="BI539" s="0" t="s">
        <v>228</v>
      </c>
      <c r="BJ539" s="0" t="s">
        <v>228</v>
      </c>
      <c r="BK539" s="0" t="s">
        <v>228</v>
      </c>
      <c r="BL539" s="0" t="s">
        <v>228</v>
      </c>
      <c r="BM539" s="0" t="s">
        <v>228</v>
      </c>
      <c r="BN539" s="0" t="s">
        <v>228</v>
      </c>
      <c r="BO539" s="0" t="s">
        <v>228</v>
      </c>
      <c r="BP539" s="0" t="s">
        <v>228</v>
      </c>
      <c r="BQ539" s="0" t="s">
        <v>228</v>
      </c>
      <c r="BR539" s="0" t="s">
        <v>228</v>
      </c>
      <c r="BS539" s="0" t="s">
        <v>228</v>
      </c>
      <c r="BT539" s="0" t="s">
        <v>228</v>
      </c>
      <c r="BU539" s="0" t="s">
        <v>228</v>
      </c>
      <c r="BV539" s="0" t="s">
        <v>228</v>
      </c>
      <c r="BW539" s="0" t="s">
        <v>228</v>
      </c>
      <c r="BX539" s="0" t="s">
        <v>228</v>
      </c>
      <c r="BY539" s="0" t="s">
        <v>228</v>
      </c>
      <c r="BZ539" s="0" t="s">
        <v>228</v>
      </c>
      <c r="CA539" s="0" t="s">
        <v>228</v>
      </c>
      <c r="CB539" s="0" t="s">
        <v>228</v>
      </c>
      <c r="CC539" s="0" t="s">
        <v>228</v>
      </c>
      <c r="CD539" s="0" t="s">
        <v>228</v>
      </c>
      <c r="CE539" s="0" t="s">
        <v>228</v>
      </c>
      <c r="CF539" s="0" t="s">
        <v>228</v>
      </c>
      <c r="CG539" s="0" t="s">
        <v>228</v>
      </c>
      <c r="CH539" s="0" t="s">
        <v>228</v>
      </c>
      <c r="CI539" s="0" t="s">
        <v>228</v>
      </c>
      <c r="CJ539" s="0" t="s">
        <v>228</v>
      </c>
      <c r="CK539" s="0" t="s">
        <v>228</v>
      </c>
      <c r="CL539" s="0" t="s">
        <v>228</v>
      </c>
      <c r="CM539" s="0" t="s">
        <v>228</v>
      </c>
      <c r="CN539" s="0" t="s">
        <v>228</v>
      </c>
      <c r="CO539" s="0" t="s">
        <v>228</v>
      </c>
      <c r="CP539" s="0" t="s">
        <v>228</v>
      </c>
      <c r="CQ539" s="0" t="s">
        <v>228</v>
      </c>
      <c r="CR539" s="0" t="s">
        <v>228</v>
      </c>
      <c r="CS539" s="0" t="s">
        <v>228</v>
      </c>
      <c r="CT539" s="0" t="s">
        <v>3568</v>
      </c>
      <c r="CU539" s="0" t="s">
        <v>3569</v>
      </c>
      <c r="CV539" s="0" t="s">
        <v>4030</v>
      </c>
      <c r="CW539" s="0" t="s">
        <v>4031</v>
      </c>
      <c r="CX539" s="0" t="s">
        <v>3603</v>
      </c>
      <c r="CY539" s="0" t="s">
        <v>4030</v>
      </c>
      <c r="CZ539" s="0" t="s">
        <v>3608</v>
      </c>
      <c r="DA539" s="0" t="s">
        <v>4032</v>
      </c>
      <c r="DB539" s="0" t="s">
        <v>3676</v>
      </c>
      <c r="DC539" s="0" t="s">
        <v>362</v>
      </c>
      <c r="DD539" s="0" t="s">
        <v>3572</v>
      </c>
      <c r="DE539" s="0" t="s">
        <v>4033</v>
      </c>
    </row>
    <row customHeight="1" ht="11.25">
      <c r="A540" s="1353" t="s">
        <v>228</v>
      </c>
      <c r="B540" s="0" t="s">
        <v>228</v>
      </c>
      <c r="C540" s="0" t="s">
        <v>228</v>
      </c>
      <c r="D540" s="0" t="s">
        <v>228</v>
      </c>
      <c r="E540" s="0" t="s">
        <v>228</v>
      </c>
      <c r="F540" s="0" t="s">
        <v>228</v>
      </c>
      <c r="G540" s="0" t="s">
        <v>228</v>
      </c>
      <c r="H540" s="0" t="s">
        <v>228</v>
      </c>
      <c r="I540" s="0" t="s">
        <v>3555</v>
      </c>
      <c r="J540" s="0" t="s">
        <v>228</v>
      </c>
      <c r="K540" s="0" t="s">
        <v>228</v>
      </c>
      <c r="L540" s="0" t="s">
        <v>228</v>
      </c>
      <c r="M540" s="0" t="s">
        <v>228</v>
      </c>
      <c r="N540" s="0" t="s">
        <v>228</v>
      </c>
      <c r="O540" s="0" t="s">
        <v>228</v>
      </c>
      <c r="P540" s="0" t="s">
        <v>228</v>
      </c>
      <c r="Q540" s="0" t="s">
        <v>228</v>
      </c>
      <c r="R540" s="0" t="s">
        <v>4289</v>
      </c>
      <c r="S540" s="0" t="s">
        <v>228</v>
      </c>
      <c r="T540" s="0" t="s">
        <v>228</v>
      </c>
      <c r="U540" s="0" t="s">
        <v>101</v>
      </c>
      <c r="V540" s="0" t="s">
        <v>228</v>
      </c>
      <c r="W540" s="0" t="s">
        <v>228</v>
      </c>
      <c r="X540" s="0" t="s">
        <v>3557</v>
      </c>
      <c r="Y540" s="0" t="s">
        <v>228</v>
      </c>
      <c r="Z540" s="0" t="s">
        <v>160</v>
      </c>
      <c r="AA540" s="0" t="s">
        <v>151</v>
      </c>
      <c r="AB540" s="0" t="s">
        <v>151</v>
      </c>
      <c r="AC540" s="0" t="s">
        <v>2721</v>
      </c>
      <c r="AD540" s="0" t="s">
        <v>2721</v>
      </c>
      <c r="AE540" s="0" t="s">
        <v>2722</v>
      </c>
      <c r="AF540" s="0" t="s">
        <v>4024</v>
      </c>
      <c r="AG540" s="0" t="s">
        <v>4025</v>
      </c>
      <c r="AH540" s="0" t="s">
        <v>4146</v>
      </c>
      <c r="AI540" s="0" t="s">
        <v>151</v>
      </c>
      <c r="AJ540" s="0" t="s">
        <v>4290</v>
      </c>
      <c r="AK540" s="0" t="s">
        <v>4291</v>
      </c>
      <c r="AL540" s="0" t="s">
        <v>4292</v>
      </c>
      <c r="AM540" s="0" t="s">
        <v>3565</v>
      </c>
      <c r="AN540" s="0" t="s">
        <v>4293</v>
      </c>
      <c r="AO540" s="0" t="s">
        <v>4294</v>
      </c>
      <c r="AP540" s="0" t="s">
        <v>228</v>
      </c>
      <c r="AQ540" s="0" t="s">
        <v>228</v>
      </c>
      <c r="AR540" s="0" t="s">
        <v>228</v>
      </c>
      <c r="AS540" s="0" t="s">
        <v>228</v>
      </c>
      <c r="AT540" s="0" t="s">
        <v>228</v>
      </c>
      <c r="AU540" s="0" t="s">
        <v>228</v>
      </c>
      <c r="AV540" s="0" t="s">
        <v>228</v>
      </c>
      <c r="AW540" s="0" t="s">
        <v>228</v>
      </c>
      <c r="AX540" s="0" t="s">
        <v>228</v>
      </c>
      <c r="AY540" s="0" t="s">
        <v>228</v>
      </c>
      <c r="AZ540" s="0" t="s">
        <v>228</v>
      </c>
      <c r="BA540" s="0" t="s">
        <v>228</v>
      </c>
      <c r="BB540" s="0" t="s">
        <v>228</v>
      </c>
      <c r="BC540" s="0" t="s">
        <v>228</v>
      </c>
      <c r="BD540" s="0" t="s">
        <v>228</v>
      </c>
      <c r="BE540" s="0" t="s">
        <v>228</v>
      </c>
      <c r="BF540" s="0" t="s">
        <v>228</v>
      </c>
      <c r="BG540" s="0" t="s">
        <v>228</v>
      </c>
      <c r="BH540" s="0" t="s">
        <v>228</v>
      </c>
      <c r="BI540" s="0" t="s">
        <v>228</v>
      </c>
      <c r="BJ540" s="0" t="s">
        <v>228</v>
      </c>
      <c r="BK540" s="0" t="s">
        <v>228</v>
      </c>
      <c r="BL540" s="0" t="s">
        <v>228</v>
      </c>
      <c r="BM540" s="0" t="s">
        <v>228</v>
      </c>
      <c r="BN540" s="0" t="s">
        <v>228</v>
      </c>
      <c r="BO540" s="0" t="s">
        <v>228</v>
      </c>
      <c r="BP540" s="0" t="s">
        <v>228</v>
      </c>
      <c r="BQ540" s="0" t="s">
        <v>228</v>
      </c>
      <c r="BR540" s="0" t="s">
        <v>228</v>
      </c>
      <c r="BS540" s="0" t="s">
        <v>228</v>
      </c>
      <c r="BT540" s="0" t="s">
        <v>228</v>
      </c>
      <c r="BU540" s="0" t="s">
        <v>228</v>
      </c>
      <c r="BV540" s="0" t="s">
        <v>228</v>
      </c>
      <c r="BW540" s="0" t="s">
        <v>228</v>
      </c>
      <c r="BX540" s="0" t="s">
        <v>228</v>
      </c>
      <c r="BY540" s="0" t="s">
        <v>228</v>
      </c>
      <c r="BZ540" s="0" t="s">
        <v>228</v>
      </c>
      <c r="CA540" s="0" t="s">
        <v>228</v>
      </c>
      <c r="CB540" s="0" t="s">
        <v>228</v>
      </c>
      <c r="CC540" s="0" t="s">
        <v>228</v>
      </c>
      <c r="CD540" s="0" t="s">
        <v>228</v>
      </c>
      <c r="CE540" s="0" t="s">
        <v>228</v>
      </c>
      <c r="CF540" s="0" t="s">
        <v>228</v>
      </c>
      <c r="CG540" s="0" t="s">
        <v>228</v>
      </c>
      <c r="CH540" s="0" t="s">
        <v>228</v>
      </c>
      <c r="CI540" s="0" t="s">
        <v>228</v>
      </c>
      <c r="CJ540" s="0" t="s">
        <v>228</v>
      </c>
      <c r="CK540" s="0" t="s">
        <v>228</v>
      </c>
      <c r="CL540" s="0" t="s">
        <v>228</v>
      </c>
      <c r="CM540" s="0" t="s">
        <v>228</v>
      </c>
      <c r="CN540" s="0" t="s">
        <v>228</v>
      </c>
      <c r="CO540" s="0" t="s">
        <v>228</v>
      </c>
      <c r="CP540" s="0" t="s">
        <v>228</v>
      </c>
      <c r="CQ540" s="0" t="s">
        <v>228</v>
      </c>
      <c r="CR540" s="0" t="s">
        <v>228</v>
      </c>
      <c r="CS540" s="0" t="s">
        <v>228</v>
      </c>
      <c r="CT540" s="0" t="s">
        <v>3568</v>
      </c>
      <c r="CU540" s="0" t="s">
        <v>3569</v>
      </c>
      <c r="CV540" s="0" t="s">
        <v>4030</v>
      </c>
      <c r="CW540" s="0" t="s">
        <v>4031</v>
      </c>
      <c r="CX540" s="0" t="s">
        <v>3603</v>
      </c>
      <c r="CY540" s="0" t="s">
        <v>4030</v>
      </c>
      <c r="CZ540" s="0" t="s">
        <v>3608</v>
      </c>
      <c r="DA540" s="0" t="s">
        <v>4032</v>
      </c>
      <c r="DB540" s="0" t="s">
        <v>3676</v>
      </c>
      <c r="DC540" s="0" t="s">
        <v>362</v>
      </c>
      <c r="DD540" s="0" t="s">
        <v>3572</v>
      </c>
      <c r="DE540" s="0" t="s">
        <v>4156</v>
      </c>
    </row>
    <row customHeight="1" ht="11.25">
      <c r="A541" s="1353" t="s">
        <v>228</v>
      </c>
      <c r="B541" s="0" t="s">
        <v>228</v>
      </c>
      <c r="C541" s="0" t="s">
        <v>228</v>
      </c>
      <c r="D541" s="0" t="s">
        <v>228</v>
      </c>
      <c r="E541" s="0" t="s">
        <v>228</v>
      </c>
      <c r="F541" s="0" t="s">
        <v>228</v>
      </c>
      <c r="G541" s="0" t="s">
        <v>228</v>
      </c>
      <c r="H541" s="0" t="s">
        <v>228</v>
      </c>
      <c r="I541" s="0" t="s">
        <v>3555</v>
      </c>
      <c r="J541" s="0" t="s">
        <v>228</v>
      </c>
      <c r="K541" s="0" t="s">
        <v>228</v>
      </c>
      <c r="L541" s="0" t="s">
        <v>228</v>
      </c>
      <c r="M541" s="0" t="s">
        <v>228</v>
      </c>
      <c r="N541" s="0" t="s">
        <v>228</v>
      </c>
      <c r="O541" s="0" t="s">
        <v>228</v>
      </c>
      <c r="P541" s="0" t="s">
        <v>228</v>
      </c>
      <c r="Q541" s="0" t="s">
        <v>228</v>
      </c>
      <c r="R541" s="0" t="s">
        <v>3718</v>
      </c>
      <c r="S541" s="0" t="s">
        <v>228</v>
      </c>
      <c r="T541" s="0" t="s">
        <v>228</v>
      </c>
      <c r="U541" s="0" t="s">
        <v>101</v>
      </c>
      <c r="V541" s="0" t="s">
        <v>228</v>
      </c>
      <c r="W541" s="0" t="s">
        <v>228</v>
      </c>
      <c r="X541" s="0" t="s">
        <v>3661</v>
      </c>
      <c r="Y541" s="0" t="s">
        <v>228</v>
      </c>
      <c r="Z541" s="0" t="s">
        <v>151</v>
      </c>
      <c r="AA541" s="0" t="s">
        <v>151</v>
      </c>
      <c r="AB541" s="0" t="s">
        <v>160</v>
      </c>
      <c r="AC541" s="0" t="s">
        <v>2311</v>
      </c>
      <c r="AD541" s="0" t="s">
        <v>2311</v>
      </c>
      <c r="AE541" s="0" t="s">
        <v>2312</v>
      </c>
      <c r="AF541" s="0" t="s">
        <v>3719</v>
      </c>
      <c r="AG541" s="0" t="s">
        <v>3720</v>
      </c>
      <c r="AH541" s="0" t="s">
        <v>3719</v>
      </c>
      <c r="AI541" s="0" t="s">
        <v>3721</v>
      </c>
      <c r="AJ541" s="0" t="s">
        <v>228</v>
      </c>
      <c r="AK541" s="0" t="s">
        <v>228</v>
      </c>
      <c r="AL541" s="0" t="s">
        <v>228</v>
      </c>
      <c r="AM541" s="0" t="s">
        <v>228</v>
      </c>
      <c r="AN541" s="0" t="s">
        <v>228</v>
      </c>
      <c r="AO541" s="0" t="s">
        <v>228</v>
      </c>
      <c r="AP541" s="0" t="s">
        <v>228</v>
      </c>
      <c r="AQ541" s="0" t="s">
        <v>228</v>
      </c>
      <c r="AR541" s="0" t="s">
        <v>228</v>
      </c>
      <c r="AS541" s="0" t="s">
        <v>228</v>
      </c>
      <c r="AT541" s="0" t="s">
        <v>228</v>
      </c>
      <c r="AU541" s="0" t="s">
        <v>228</v>
      </c>
      <c r="AV541" s="0" t="s">
        <v>228</v>
      </c>
      <c r="AW541" s="0" t="s">
        <v>228</v>
      </c>
      <c r="AX541" s="0" t="s">
        <v>228</v>
      </c>
      <c r="AY541" s="0" t="s">
        <v>228</v>
      </c>
      <c r="AZ541" s="0" t="s">
        <v>228</v>
      </c>
      <c r="BA541" s="0" t="s">
        <v>228</v>
      </c>
      <c r="BB541" s="0" t="s">
        <v>228</v>
      </c>
      <c r="BC541" s="0" t="s">
        <v>228</v>
      </c>
      <c r="BD541" s="0" t="s">
        <v>228</v>
      </c>
      <c r="BE541" s="0" t="s">
        <v>3722</v>
      </c>
      <c r="BF541" s="0" t="s">
        <v>3722</v>
      </c>
      <c r="BG541" s="0" t="s">
        <v>111</v>
      </c>
      <c r="BH541" s="0" t="s">
        <v>3665</v>
      </c>
      <c r="BI541" s="0" t="s">
        <v>122</v>
      </c>
      <c r="BJ541" s="0" t="s">
        <v>228</v>
      </c>
      <c r="BK541" s="0" t="s">
        <v>3684</v>
      </c>
      <c r="BL541" s="0" t="s">
        <v>2311</v>
      </c>
      <c r="BM541" s="0" t="s">
        <v>2311</v>
      </c>
      <c r="BN541" s="0" t="s">
        <v>3723</v>
      </c>
      <c r="BO541" s="0" t="s">
        <v>3719</v>
      </c>
      <c r="BP541" s="0" t="s">
        <v>3724</v>
      </c>
      <c r="BQ541" s="0" t="s">
        <v>3725</v>
      </c>
      <c r="BR541" s="0" t="s">
        <v>3726</v>
      </c>
      <c r="BS541" s="0" t="s">
        <v>228</v>
      </c>
      <c r="BT541" s="0" t="s">
        <v>3727</v>
      </c>
      <c r="BU541" s="0" t="s">
        <v>3728</v>
      </c>
      <c r="BV541" s="0" t="s">
        <v>3728</v>
      </c>
      <c r="BW541" s="0" t="s">
        <v>3674</v>
      </c>
      <c r="BX541" s="0" t="s">
        <v>3674</v>
      </c>
      <c r="BY541" s="0" t="s">
        <v>3674</v>
      </c>
      <c r="BZ541" s="0" t="s">
        <v>3674</v>
      </c>
      <c r="CA541" s="0" t="s">
        <v>3674</v>
      </c>
      <c r="CB541" s="0" t="s">
        <v>228</v>
      </c>
      <c r="CC541" s="0" t="s">
        <v>228</v>
      </c>
      <c r="CD541" s="0" t="s">
        <v>228</v>
      </c>
      <c r="CE541" s="0" t="s">
        <v>228</v>
      </c>
      <c r="CF541" s="0" t="s">
        <v>228</v>
      </c>
      <c r="CG541" s="0" t="s">
        <v>3674</v>
      </c>
      <c r="CH541" s="0" t="s">
        <v>228</v>
      </c>
      <c r="CI541" s="0" t="s">
        <v>228</v>
      </c>
      <c r="CJ541" s="0" t="s">
        <v>228</v>
      </c>
      <c r="CK541" s="0" t="s">
        <v>228</v>
      </c>
      <c r="CL541" s="0" t="s">
        <v>228</v>
      </c>
      <c r="CM541" s="0" t="s">
        <v>3728</v>
      </c>
      <c r="CN541" s="0" t="s">
        <v>3728</v>
      </c>
      <c r="CO541" s="0" t="s">
        <v>228</v>
      </c>
      <c r="CP541" s="0" t="s">
        <v>228</v>
      </c>
      <c r="CQ541" s="0" t="s">
        <v>228</v>
      </c>
      <c r="CR541" s="0" t="s">
        <v>228</v>
      </c>
      <c r="CS541" s="0" t="s">
        <v>3582</v>
      </c>
      <c r="CT541" s="0" t="s">
        <v>3568</v>
      </c>
      <c r="CU541" s="0" t="s">
        <v>3569</v>
      </c>
      <c r="CV541" s="0" t="s">
        <v>418</v>
      </c>
      <c r="CW541" s="0" t="s">
        <v>3584</v>
      </c>
      <c r="CX541" s="0" t="s">
        <v>419</v>
      </c>
      <c r="CY541" s="0" t="s">
        <v>418</v>
      </c>
      <c r="CZ541" s="0" t="s">
        <v>3585</v>
      </c>
      <c r="DA541" s="0" t="s">
        <v>3586</v>
      </c>
      <c r="DB541" s="0" t="s">
        <v>3584</v>
      </c>
      <c r="DC541" s="0" t="s">
        <v>362</v>
      </c>
      <c r="DD541" s="0" t="s">
        <v>3572</v>
      </c>
      <c r="DE541" s="0" t="s">
        <v>3729</v>
      </c>
    </row>
    <row customHeight="1" ht="11.25">
      <c r="A542" s="1353" t="s">
        <v>228</v>
      </c>
      <c r="B542" s="0" t="s">
        <v>228</v>
      </c>
      <c r="C542" s="0" t="s">
        <v>228</v>
      </c>
      <c r="D542" s="0" t="s">
        <v>228</v>
      </c>
      <c r="E542" s="0" t="s">
        <v>228</v>
      </c>
      <c r="F542" s="0" t="s">
        <v>228</v>
      </c>
      <c r="G542" s="0" t="s">
        <v>228</v>
      </c>
      <c r="H542" s="0" t="s">
        <v>228</v>
      </c>
      <c r="I542" s="0" t="s">
        <v>3555</v>
      </c>
      <c r="J542" s="0" t="s">
        <v>228</v>
      </c>
      <c r="K542" s="0" t="s">
        <v>228</v>
      </c>
      <c r="L542" s="0" t="s">
        <v>228</v>
      </c>
      <c r="M542" s="0" t="s">
        <v>228</v>
      </c>
      <c r="N542" s="0" t="s">
        <v>228</v>
      </c>
      <c r="O542" s="0" t="s">
        <v>228</v>
      </c>
      <c r="P542" s="0" t="s">
        <v>228</v>
      </c>
      <c r="Q542" s="0" t="s">
        <v>228</v>
      </c>
      <c r="R542" s="0" t="s">
        <v>3684</v>
      </c>
      <c r="S542" s="0" t="s">
        <v>228</v>
      </c>
      <c r="T542" s="0" t="s">
        <v>228</v>
      </c>
      <c r="U542" s="0" t="s">
        <v>101</v>
      </c>
      <c r="V542" s="0" t="s">
        <v>228</v>
      </c>
      <c r="W542" s="0" t="s">
        <v>228</v>
      </c>
      <c r="X542" s="0" t="s">
        <v>3557</v>
      </c>
      <c r="Y542" s="0" t="s">
        <v>228</v>
      </c>
      <c r="Z542" s="0" t="s">
        <v>160</v>
      </c>
      <c r="AA542" s="0" t="s">
        <v>151</v>
      </c>
      <c r="AB542" s="0" t="s">
        <v>151</v>
      </c>
      <c r="AC542" s="0" t="s">
        <v>2311</v>
      </c>
      <c r="AD542" s="0" t="s">
        <v>2311</v>
      </c>
      <c r="AE542" s="0" t="s">
        <v>2312</v>
      </c>
      <c r="AF542" s="0" t="s">
        <v>3719</v>
      </c>
      <c r="AG542" s="0" t="s">
        <v>3720</v>
      </c>
      <c r="AH542" s="0" t="s">
        <v>3725</v>
      </c>
      <c r="AI542" s="0" t="s">
        <v>3726</v>
      </c>
      <c r="AJ542" s="0" t="s">
        <v>3579</v>
      </c>
      <c r="AK542" s="0" t="s">
        <v>3580</v>
      </c>
      <c r="AL542" s="0" t="s">
        <v>3581</v>
      </c>
      <c r="AM542" s="0" t="s">
        <v>3565</v>
      </c>
      <c r="AN542" s="0" t="s">
        <v>3582</v>
      </c>
      <c r="AO542" s="0" t="s">
        <v>4157</v>
      </c>
      <c r="AP542" s="0" t="s">
        <v>228</v>
      </c>
      <c r="AQ542" s="0" t="s">
        <v>228</v>
      </c>
      <c r="AR542" s="0" t="s">
        <v>228</v>
      </c>
      <c r="AS542" s="0" t="s">
        <v>228</v>
      </c>
      <c r="AT542" s="0" t="s">
        <v>228</v>
      </c>
      <c r="AU542" s="0" t="s">
        <v>228</v>
      </c>
      <c r="AV542" s="0" t="s">
        <v>228</v>
      </c>
      <c r="AW542" s="0" t="s">
        <v>228</v>
      </c>
      <c r="AX542" s="0" t="s">
        <v>228</v>
      </c>
      <c r="AY542" s="0" t="s">
        <v>228</v>
      </c>
      <c r="AZ542" s="0" t="s">
        <v>228</v>
      </c>
      <c r="BA542" s="0" t="s">
        <v>228</v>
      </c>
      <c r="BB542" s="0" t="s">
        <v>228</v>
      </c>
      <c r="BC542" s="0" t="s">
        <v>228</v>
      </c>
      <c r="BD542" s="0" t="s">
        <v>228</v>
      </c>
      <c r="BE542" s="0" t="s">
        <v>228</v>
      </c>
      <c r="BF542" s="0" t="s">
        <v>228</v>
      </c>
      <c r="BG542" s="0" t="s">
        <v>228</v>
      </c>
      <c r="BH542" s="0" t="s">
        <v>228</v>
      </c>
      <c r="BI542" s="0" t="s">
        <v>228</v>
      </c>
      <c r="BJ542" s="0" t="s">
        <v>228</v>
      </c>
      <c r="BK542" s="0" t="s">
        <v>228</v>
      </c>
      <c r="BL542" s="0" t="s">
        <v>228</v>
      </c>
      <c r="BM542" s="0" t="s">
        <v>228</v>
      </c>
      <c r="BN542" s="0" t="s">
        <v>228</v>
      </c>
      <c r="BO542" s="0" t="s">
        <v>228</v>
      </c>
      <c r="BP542" s="0" t="s">
        <v>228</v>
      </c>
      <c r="BQ542" s="0" t="s">
        <v>228</v>
      </c>
      <c r="BR542" s="0" t="s">
        <v>228</v>
      </c>
      <c r="BS542" s="0" t="s">
        <v>228</v>
      </c>
      <c r="BT542" s="0" t="s">
        <v>228</v>
      </c>
      <c r="BU542" s="0" t="s">
        <v>228</v>
      </c>
      <c r="BV542" s="0" t="s">
        <v>228</v>
      </c>
      <c r="BW542" s="0" t="s">
        <v>228</v>
      </c>
      <c r="BX542" s="0" t="s">
        <v>228</v>
      </c>
      <c r="BY542" s="0" t="s">
        <v>228</v>
      </c>
      <c r="BZ542" s="0" t="s">
        <v>228</v>
      </c>
      <c r="CA542" s="0" t="s">
        <v>228</v>
      </c>
      <c r="CB542" s="0" t="s">
        <v>228</v>
      </c>
      <c r="CC542" s="0" t="s">
        <v>228</v>
      </c>
      <c r="CD542" s="0" t="s">
        <v>228</v>
      </c>
      <c r="CE542" s="0" t="s">
        <v>228</v>
      </c>
      <c r="CF542" s="0" t="s">
        <v>228</v>
      </c>
      <c r="CG542" s="0" t="s">
        <v>228</v>
      </c>
      <c r="CH542" s="0" t="s">
        <v>228</v>
      </c>
      <c r="CI542" s="0" t="s">
        <v>228</v>
      </c>
      <c r="CJ542" s="0" t="s">
        <v>228</v>
      </c>
      <c r="CK542" s="0" t="s">
        <v>228</v>
      </c>
      <c r="CL542" s="0" t="s">
        <v>228</v>
      </c>
      <c r="CM542" s="0" t="s">
        <v>228</v>
      </c>
      <c r="CN542" s="0" t="s">
        <v>228</v>
      </c>
      <c r="CO542" s="0" t="s">
        <v>228</v>
      </c>
      <c r="CP542" s="0" t="s">
        <v>228</v>
      </c>
      <c r="CQ542" s="0" t="s">
        <v>228</v>
      </c>
      <c r="CR542" s="0" t="s">
        <v>228</v>
      </c>
      <c r="CS542" s="0" t="s">
        <v>228</v>
      </c>
      <c r="CT542" s="0" t="s">
        <v>3568</v>
      </c>
      <c r="CU542" s="0" t="s">
        <v>3569</v>
      </c>
      <c r="CV542" s="0" t="s">
        <v>418</v>
      </c>
      <c r="CW542" s="0" t="s">
        <v>3584</v>
      </c>
      <c r="CX542" s="0" t="s">
        <v>419</v>
      </c>
      <c r="CY542" s="0" t="s">
        <v>418</v>
      </c>
      <c r="CZ542" s="0" t="s">
        <v>3585</v>
      </c>
      <c r="DA542" s="0" t="s">
        <v>3586</v>
      </c>
      <c r="DB542" s="0" t="s">
        <v>3584</v>
      </c>
      <c r="DC542" s="0" t="s">
        <v>362</v>
      </c>
      <c r="DD542" s="0" t="s">
        <v>3572</v>
      </c>
      <c r="DE542" s="0" t="s">
        <v>4158</v>
      </c>
    </row>
    <row customHeight="1" ht="11.25">
      <c r="A543" s="1353" t="s">
        <v>228</v>
      </c>
      <c r="B543" s="0" t="s">
        <v>228</v>
      </c>
      <c r="C543" s="0" t="s">
        <v>228</v>
      </c>
      <c r="D543" s="0" t="s">
        <v>228</v>
      </c>
      <c r="E543" s="0" t="s">
        <v>228</v>
      </c>
      <c r="F543" s="0" t="s">
        <v>228</v>
      </c>
      <c r="G543" s="0" t="s">
        <v>228</v>
      </c>
      <c r="H543" s="0" t="s">
        <v>228</v>
      </c>
      <c r="I543" s="0" t="s">
        <v>3555</v>
      </c>
      <c r="J543" s="0" t="s">
        <v>228</v>
      </c>
      <c r="K543" s="0" t="s">
        <v>228</v>
      </c>
      <c r="L543" s="0" t="s">
        <v>228</v>
      </c>
      <c r="M543" s="0" t="s">
        <v>228</v>
      </c>
      <c r="N543" s="0" t="s">
        <v>228</v>
      </c>
      <c r="O543" s="0" t="s">
        <v>228</v>
      </c>
      <c r="P543" s="0" t="s">
        <v>228</v>
      </c>
      <c r="Q543" s="0" t="s">
        <v>228</v>
      </c>
      <c r="R543" s="0" t="s">
        <v>3782</v>
      </c>
      <c r="S543" s="0" t="s">
        <v>228</v>
      </c>
      <c r="T543" s="0" t="s">
        <v>228</v>
      </c>
      <c r="U543" s="0" t="s">
        <v>101</v>
      </c>
      <c r="V543" s="0" t="s">
        <v>228</v>
      </c>
      <c r="W543" s="0" t="s">
        <v>228</v>
      </c>
      <c r="X543" s="0" t="s">
        <v>3661</v>
      </c>
      <c r="Y543" s="0" t="s">
        <v>228</v>
      </c>
      <c r="Z543" s="0" t="s">
        <v>151</v>
      </c>
      <c r="AA543" s="0" t="s">
        <v>151</v>
      </c>
      <c r="AB543" s="0" t="s">
        <v>160</v>
      </c>
      <c r="AC543" s="0" t="s">
        <v>2311</v>
      </c>
      <c r="AD543" s="0" t="s">
        <v>2311</v>
      </c>
      <c r="AE543" s="0" t="s">
        <v>2312</v>
      </c>
      <c r="AF543" s="0" t="s">
        <v>4116</v>
      </c>
      <c r="AG543" s="0" t="s">
        <v>4117</v>
      </c>
      <c r="AH543" s="0" t="s">
        <v>4116</v>
      </c>
      <c r="AI543" s="0" t="s">
        <v>3721</v>
      </c>
      <c r="AJ543" s="0" t="s">
        <v>228</v>
      </c>
      <c r="AK543" s="0" t="s">
        <v>228</v>
      </c>
      <c r="AL543" s="0" t="s">
        <v>228</v>
      </c>
      <c r="AM543" s="0" t="s">
        <v>228</v>
      </c>
      <c r="AN543" s="0" t="s">
        <v>228</v>
      </c>
      <c r="AO543" s="0" t="s">
        <v>228</v>
      </c>
      <c r="AP543" s="0" t="s">
        <v>228</v>
      </c>
      <c r="AQ543" s="0" t="s">
        <v>228</v>
      </c>
      <c r="AR543" s="0" t="s">
        <v>228</v>
      </c>
      <c r="AS543" s="0" t="s">
        <v>228</v>
      </c>
      <c r="AT543" s="0" t="s">
        <v>228</v>
      </c>
      <c r="AU543" s="0" t="s">
        <v>228</v>
      </c>
      <c r="AV543" s="0" t="s">
        <v>228</v>
      </c>
      <c r="AW543" s="0" t="s">
        <v>228</v>
      </c>
      <c r="AX543" s="0" t="s">
        <v>228</v>
      </c>
      <c r="AY543" s="0" t="s">
        <v>228</v>
      </c>
      <c r="AZ543" s="0" t="s">
        <v>228</v>
      </c>
      <c r="BA543" s="0" t="s">
        <v>228</v>
      </c>
      <c r="BB543" s="0" t="s">
        <v>228</v>
      </c>
      <c r="BC543" s="0" t="s">
        <v>228</v>
      </c>
      <c r="BD543" s="0" t="s">
        <v>228</v>
      </c>
      <c r="BE543" s="0" t="s">
        <v>3722</v>
      </c>
      <c r="BF543" s="0" t="s">
        <v>3722</v>
      </c>
      <c r="BG543" s="0" t="s">
        <v>111</v>
      </c>
      <c r="BH543" s="0" t="s">
        <v>3665</v>
      </c>
      <c r="BI543" s="0" t="s">
        <v>122</v>
      </c>
      <c r="BJ543" s="0" t="s">
        <v>228</v>
      </c>
      <c r="BK543" s="0" t="s">
        <v>4118</v>
      </c>
      <c r="BL543" s="0" t="s">
        <v>2311</v>
      </c>
      <c r="BM543" s="0" t="s">
        <v>2311</v>
      </c>
      <c r="BN543" s="0" t="s">
        <v>3723</v>
      </c>
      <c r="BO543" s="0" t="s">
        <v>4116</v>
      </c>
      <c r="BP543" s="0" t="s">
        <v>4119</v>
      </c>
      <c r="BQ543" s="0" t="s">
        <v>4120</v>
      </c>
      <c r="BR543" s="0" t="s">
        <v>4121</v>
      </c>
      <c r="BS543" s="0" t="s">
        <v>228</v>
      </c>
      <c r="BT543" s="0" t="s">
        <v>3727</v>
      </c>
      <c r="BU543" s="0" t="s">
        <v>5108</v>
      </c>
      <c r="BV543" s="0" t="s">
        <v>5108</v>
      </c>
      <c r="BW543" s="0" t="s">
        <v>3674</v>
      </c>
      <c r="BX543" s="0" t="s">
        <v>3674</v>
      </c>
      <c r="BY543" s="0" t="s">
        <v>3674</v>
      </c>
      <c r="BZ543" s="0" t="s">
        <v>3674</v>
      </c>
      <c r="CA543" s="0" t="s">
        <v>3674</v>
      </c>
      <c r="CB543" s="0" t="s">
        <v>228</v>
      </c>
      <c r="CC543" s="0" t="s">
        <v>228</v>
      </c>
      <c r="CD543" s="0" t="s">
        <v>228</v>
      </c>
      <c r="CE543" s="0" t="s">
        <v>228</v>
      </c>
      <c r="CF543" s="0" t="s">
        <v>228</v>
      </c>
      <c r="CG543" s="0" t="s">
        <v>3674</v>
      </c>
      <c r="CH543" s="0" t="s">
        <v>228</v>
      </c>
      <c r="CI543" s="0" t="s">
        <v>228</v>
      </c>
      <c r="CJ543" s="0" t="s">
        <v>228</v>
      </c>
      <c r="CK543" s="0" t="s">
        <v>228</v>
      </c>
      <c r="CL543" s="0" t="s">
        <v>228</v>
      </c>
      <c r="CM543" s="0" t="s">
        <v>5108</v>
      </c>
      <c r="CN543" s="0" t="s">
        <v>5108</v>
      </c>
      <c r="CO543" s="0" t="s">
        <v>228</v>
      </c>
      <c r="CP543" s="0" t="s">
        <v>228</v>
      </c>
      <c r="CQ543" s="0" t="s">
        <v>228</v>
      </c>
      <c r="CR543" s="0" t="s">
        <v>228</v>
      </c>
      <c r="CS543" s="0" t="s">
        <v>3582</v>
      </c>
      <c r="CT543" s="0" t="s">
        <v>3568</v>
      </c>
      <c r="CU543" s="0" t="s">
        <v>3569</v>
      </c>
      <c r="CV543" s="0" t="s">
        <v>418</v>
      </c>
      <c r="CW543" s="0" t="s">
        <v>3584</v>
      </c>
      <c r="CX543" s="0" t="s">
        <v>419</v>
      </c>
      <c r="CY543" s="0" t="s">
        <v>418</v>
      </c>
      <c r="CZ543" s="0" t="s">
        <v>3585</v>
      </c>
      <c r="DA543" s="0" t="s">
        <v>3586</v>
      </c>
      <c r="DB543" s="0" t="s">
        <v>3584</v>
      </c>
      <c r="DC543" s="0" t="s">
        <v>362</v>
      </c>
      <c r="DD543" s="0" t="s">
        <v>3572</v>
      </c>
      <c r="DE543" s="0" t="s">
        <v>4123</v>
      </c>
    </row>
    <row customHeight="1" ht="11.25">
      <c r="A544" s="1353" t="s">
        <v>228</v>
      </c>
      <c r="B544" s="0" t="s">
        <v>228</v>
      </c>
      <c r="C544" s="0" t="s">
        <v>228</v>
      </c>
      <c r="D544" s="0" t="s">
        <v>228</v>
      </c>
      <c r="E544" s="0" t="s">
        <v>228</v>
      </c>
      <c r="F544" s="0" t="s">
        <v>228</v>
      </c>
      <c r="G544" s="0" t="s">
        <v>228</v>
      </c>
      <c r="H544" s="0" t="s">
        <v>228</v>
      </c>
      <c r="I544" s="0" t="s">
        <v>3555</v>
      </c>
      <c r="J544" s="0" t="s">
        <v>228</v>
      </c>
      <c r="K544" s="0" t="s">
        <v>228</v>
      </c>
      <c r="L544" s="0" t="s">
        <v>228</v>
      </c>
      <c r="M544" s="0" t="s">
        <v>228</v>
      </c>
      <c r="N544" s="0" t="s">
        <v>228</v>
      </c>
      <c r="O544" s="0" t="s">
        <v>228</v>
      </c>
      <c r="P544" s="0" t="s">
        <v>228</v>
      </c>
      <c r="Q544" s="0" t="s">
        <v>228</v>
      </c>
      <c r="R544" s="0" t="s">
        <v>4390</v>
      </c>
      <c r="S544" s="0" t="s">
        <v>228</v>
      </c>
      <c r="T544" s="0" t="s">
        <v>228</v>
      </c>
      <c r="U544" s="0" t="s">
        <v>101</v>
      </c>
      <c r="V544" s="0" t="s">
        <v>228</v>
      </c>
      <c r="W544" s="0" t="s">
        <v>228</v>
      </c>
      <c r="X544" s="0" t="s">
        <v>3557</v>
      </c>
      <c r="Y544" s="0" t="s">
        <v>228</v>
      </c>
      <c r="Z544" s="0" t="s">
        <v>160</v>
      </c>
      <c r="AA544" s="0" t="s">
        <v>151</v>
      </c>
      <c r="AB544" s="0" t="s">
        <v>151</v>
      </c>
      <c r="AC544" s="0" t="s">
        <v>2311</v>
      </c>
      <c r="AD544" s="0" t="s">
        <v>2311</v>
      </c>
      <c r="AE544" s="0" t="s">
        <v>2312</v>
      </c>
      <c r="AF544" s="0" t="s">
        <v>4116</v>
      </c>
      <c r="AG544" s="0" t="s">
        <v>4117</v>
      </c>
      <c r="AH544" s="0" t="s">
        <v>4120</v>
      </c>
      <c r="AI544" s="0" t="s">
        <v>4121</v>
      </c>
      <c r="AJ544" s="0" t="s">
        <v>3579</v>
      </c>
      <c r="AK544" s="0" t="s">
        <v>3580</v>
      </c>
      <c r="AL544" s="0" t="s">
        <v>3581</v>
      </c>
      <c r="AM544" s="0" t="s">
        <v>3565</v>
      </c>
      <c r="AN544" s="0" t="s">
        <v>3582</v>
      </c>
      <c r="AO544" s="0" t="s">
        <v>3712</v>
      </c>
      <c r="AP544" s="0" t="s">
        <v>228</v>
      </c>
      <c r="AQ544" s="0" t="s">
        <v>228</v>
      </c>
      <c r="AR544" s="0" t="s">
        <v>228</v>
      </c>
      <c r="AS544" s="0" t="s">
        <v>228</v>
      </c>
      <c r="AT544" s="0" t="s">
        <v>228</v>
      </c>
      <c r="AU544" s="0" t="s">
        <v>228</v>
      </c>
      <c r="AV544" s="0" t="s">
        <v>228</v>
      </c>
      <c r="AW544" s="0" t="s">
        <v>228</v>
      </c>
      <c r="AX544" s="0" t="s">
        <v>228</v>
      </c>
      <c r="AY544" s="0" t="s">
        <v>228</v>
      </c>
      <c r="AZ544" s="0" t="s">
        <v>228</v>
      </c>
      <c r="BA544" s="0" t="s">
        <v>228</v>
      </c>
      <c r="BB544" s="0" t="s">
        <v>228</v>
      </c>
      <c r="BC544" s="0" t="s">
        <v>228</v>
      </c>
      <c r="BD544" s="0" t="s">
        <v>228</v>
      </c>
      <c r="BE544" s="0" t="s">
        <v>228</v>
      </c>
      <c r="BF544" s="0" t="s">
        <v>228</v>
      </c>
      <c r="BG544" s="0" t="s">
        <v>228</v>
      </c>
      <c r="BH544" s="0" t="s">
        <v>228</v>
      </c>
      <c r="BI544" s="0" t="s">
        <v>228</v>
      </c>
      <c r="BJ544" s="0" t="s">
        <v>228</v>
      </c>
      <c r="BK544" s="0" t="s">
        <v>228</v>
      </c>
      <c r="BL544" s="0" t="s">
        <v>228</v>
      </c>
      <c r="BM544" s="0" t="s">
        <v>228</v>
      </c>
      <c r="BN544" s="0" t="s">
        <v>228</v>
      </c>
      <c r="BO544" s="0" t="s">
        <v>228</v>
      </c>
      <c r="BP544" s="0" t="s">
        <v>228</v>
      </c>
      <c r="BQ544" s="0" t="s">
        <v>228</v>
      </c>
      <c r="BR544" s="0" t="s">
        <v>228</v>
      </c>
      <c r="BS544" s="0" t="s">
        <v>228</v>
      </c>
      <c r="BT544" s="0" t="s">
        <v>228</v>
      </c>
      <c r="BU544" s="0" t="s">
        <v>228</v>
      </c>
      <c r="BV544" s="0" t="s">
        <v>228</v>
      </c>
      <c r="BW544" s="0" t="s">
        <v>228</v>
      </c>
      <c r="BX544" s="0" t="s">
        <v>228</v>
      </c>
      <c r="BY544" s="0" t="s">
        <v>228</v>
      </c>
      <c r="BZ544" s="0" t="s">
        <v>228</v>
      </c>
      <c r="CA544" s="0" t="s">
        <v>228</v>
      </c>
      <c r="CB544" s="0" t="s">
        <v>228</v>
      </c>
      <c r="CC544" s="0" t="s">
        <v>228</v>
      </c>
      <c r="CD544" s="0" t="s">
        <v>228</v>
      </c>
      <c r="CE544" s="0" t="s">
        <v>228</v>
      </c>
      <c r="CF544" s="0" t="s">
        <v>228</v>
      </c>
      <c r="CG544" s="0" t="s">
        <v>228</v>
      </c>
      <c r="CH544" s="0" t="s">
        <v>228</v>
      </c>
      <c r="CI544" s="0" t="s">
        <v>228</v>
      </c>
      <c r="CJ544" s="0" t="s">
        <v>228</v>
      </c>
      <c r="CK544" s="0" t="s">
        <v>228</v>
      </c>
      <c r="CL544" s="0" t="s">
        <v>228</v>
      </c>
      <c r="CM544" s="0" t="s">
        <v>228</v>
      </c>
      <c r="CN544" s="0" t="s">
        <v>228</v>
      </c>
      <c r="CO544" s="0" t="s">
        <v>228</v>
      </c>
      <c r="CP544" s="0" t="s">
        <v>228</v>
      </c>
      <c r="CQ544" s="0" t="s">
        <v>228</v>
      </c>
      <c r="CR544" s="0" t="s">
        <v>228</v>
      </c>
      <c r="CS544" s="0" t="s">
        <v>228</v>
      </c>
      <c r="CT544" s="0" t="s">
        <v>3568</v>
      </c>
      <c r="CU544" s="0" t="s">
        <v>3569</v>
      </c>
      <c r="CV544" s="0" t="s">
        <v>418</v>
      </c>
      <c r="CW544" s="0" t="s">
        <v>3584</v>
      </c>
      <c r="CX544" s="0" t="s">
        <v>419</v>
      </c>
      <c r="CY544" s="0" t="s">
        <v>418</v>
      </c>
      <c r="CZ544" s="0" t="s">
        <v>3585</v>
      </c>
      <c r="DA544" s="0" t="s">
        <v>3586</v>
      </c>
      <c r="DB544" s="0" t="s">
        <v>3584</v>
      </c>
      <c r="DC544" s="0" t="s">
        <v>362</v>
      </c>
      <c r="DD544" s="0" t="s">
        <v>3572</v>
      </c>
      <c r="DE544" s="0" t="s">
        <v>4391</v>
      </c>
    </row>
    <row customHeight="1" ht="11.25">
      <c r="A545" s="1353" t="s">
        <v>228</v>
      </c>
      <c r="B545" s="0" t="s">
        <v>228</v>
      </c>
      <c r="C545" s="0" t="s">
        <v>228</v>
      </c>
      <c r="D545" s="0" t="s">
        <v>228</v>
      </c>
      <c r="E545" s="0" t="s">
        <v>228</v>
      </c>
      <c r="F545" s="0" t="s">
        <v>228</v>
      </c>
      <c r="G545" s="0" t="s">
        <v>228</v>
      </c>
      <c r="H545" s="0" t="s">
        <v>228</v>
      </c>
      <c r="I545" s="0" t="s">
        <v>3555</v>
      </c>
      <c r="J545" s="0" t="s">
        <v>228</v>
      </c>
      <c r="K545" s="0" t="s">
        <v>228</v>
      </c>
      <c r="L545" s="0" t="s">
        <v>228</v>
      </c>
      <c r="M545" s="0" t="s">
        <v>228</v>
      </c>
      <c r="N545" s="0" t="s">
        <v>228</v>
      </c>
      <c r="O545" s="0" t="s">
        <v>228</v>
      </c>
      <c r="P545" s="0" t="s">
        <v>228</v>
      </c>
      <c r="Q545" s="0" t="s">
        <v>228</v>
      </c>
      <c r="R545" s="0" t="s">
        <v>4392</v>
      </c>
      <c r="S545" s="0" t="s">
        <v>228</v>
      </c>
      <c r="T545" s="0" t="s">
        <v>228</v>
      </c>
      <c r="U545" s="0" t="s">
        <v>101</v>
      </c>
      <c r="V545" s="0" t="s">
        <v>228</v>
      </c>
      <c r="W545" s="0" t="s">
        <v>228</v>
      </c>
      <c r="X545" s="0" t="s">
        <v>3557</v>
      </c>
      <c r="Y545" s="0" t="s">
        <v>228</v>
      </c>
      <c r="Z545" s="0" t="s">
        <v>160</v>
      </c>
      <c r="AA545" s="0" t="s">
        <v>151</v>
      </c>
      <c r="AB545" s="0" t="s">
        <v>151</v>
      </c>
      <c r="AC545" s="0" t="s">
        <v>2317</v>
      </c>
      <c r="AD545" s="0" t="s">
        <v>2317</v>
      </c>
      <c r="AE545" s="0" t="s">
        <v>2318</v>
      </c>
      <c r="AF545" s="0" t="s">
        <v>3826</v>
      </c>
      <c r="AG545" s="0" t="s">
        <v>3827</v>
      </c>
      <c r="AH545" s="0" t="s">
        <v>3761</v>
      </c>
      <c r="AI545" s="0" t="s">
        <v>4393</v>
      </c>
      <c r="AJ545" s="0" t="s">
        <v>3582</v>
      </c>
      <c r="AK545" s="0" t="s">
        <v>3620</v>
      </c>
      <c r="AL545" s="0" t="s">
        <v>4196</v>
      </c>
      <c r="AM545" s="0" t="s">
        <v>3565</v>
      </c>
      <c r="AN545" s="0" t="s">
        <v>3628</v>
      </c>
      <c r="AO545" s="0" t="s">
        <v>3829</v>
      </c>
      <c r="AP545" s="0" t="s">
        <v>228</v>
      </c>
      <c r="AQ545" s="0" t="s">
        <v>228</v>
      </c>
      <c r="AR545" s="0" t="s">
        <v>228</v>
      </c>
      <c r="AS545" s="0" t="s">
        <v>228</v>
      </c>
      <c r="AT545" s="0" t="s">
        <v>228</v>
      </c>
      <c r="AU545" s="0" t="s">
        <v>228</v>
      </c>
      <c r="AV545" s="0" t="s">
        <v>228</v>
      </c>
      <c r="AW545" s="0" t="s">
        <v>228</v>
      </c>
      <c r="AX545" s="0" t="s">
        <v>228</v>
      </c>
      <c r="AY545" s="0" t="s">
        <v>228</v>
      </c>
      <c r="AZ545" s="0" t="s">
        <v>228</v>
      </c>
      <c r="BA545" s="0" t="s">
        <v>228</v>
      </c>
      <c r="BB545" s="0" t="s">
        <v>228</v>
      </c>
      <c r="BC545" s="0" t="s">
        <v>228</v>
      </c>
      <c r="BD545" s="0" t="s">
        <v>228</v>
      </c>
      <c r="BE545" s="0" t="s">
        <v>228</v>
      </c>
      <c r="BF545" s="0" t="s">
        <v>228</v>
      </c>
      <c r="BG545" s="0" t="s">
        <v>228</v>
      </c>
      <c r="BH545" s="0" t="s">
        <v>228</v>
      </c>
      <c r="BI545" s="0" t="s">
        <v>228</v>
      </c>
      <c r="BJ545" s="0" t="s">
        <v>228</v>
      </c>
      <c r="BK545" s="0" t="s">
        <v>228</v>
      </c>
      <c r="BL545" s="0" t="s">
        <v>228</v>
      </c>
      <c r="BM545" s="0" t="s">
        <v>228</v>
      </c>
      <c r="BN545" s="0" t="s">
        <v>228</v>
      </c>
      <c r="BO545" s="0" t="s">
        <v>228</v>
      </c>
      <c r="BP545" s="0" t="s">
        <v>228</v>
      </c>
      <c r="BQ545" s="0" t="s">
        <v>228</v>
      </c>
      <c r="BR545" s="0" t="s">
        <v>228</v>
      </c>
      <c r="BS545" s="0" t="s">
        <v>228</v>
      </c>
      <c r="BT545" s="0" t="s">
        <v>228</v>
      </c>
      <c r="BU545" s="0" t="s">
        <v>228</v>
      </c>
      <c r="BV545" s="0" t="s">
        <v>228</v>
      </c>
      <c r="BW545" s="0" t="s">
        <v>228</v>
      </c>
      <c r="BX545" s="0" t="s">
        <v>228</v>
      </c>
      <c r="BY545" s="0" t="s">
        <v>228</v>
      </c>
      <c r="BZ545" s="0" t="s">
        <v>228</v>
      </c>
      <c r="CA545" s="0" t="s">
        <v>228</v>
      </c>
      <c r="CB545" s="0" t="s">
        <v>228</v>
      </c>
      <c r="CC545" s="0" t="s">
        <v>228</v>
      </c>
      <c r="CD545" s="0" t="s">
        <v>228</v>
      </c>
      <c r="CE545" s="0" t="s">
        <v>228</v>
      </c>
      <c r="CF545" s="0" t="s">
        <v>228</v>
      </c>
      <c r="CG545" s="0" t="s">
        <v>228</v>
      </c>
      <c r="CH545" s="0" t="s">
        <v>228</v>
      </c>
      <c r="CI545" s="0" t="s">
        <v>228</v>
      </c>
      <c r="CJ545" s="0" t="s">
        <v>228</v>
      </c>
      <c r="CK545" s="0" t="s">
        <v>228</v>
      </c>
      <c r="CL545" s="0" t="s">
        <v>228</v>
      </c>
      <c r="CM545" s="0" t="s">
        <v>228</v>
      </c>
      <c r="CN545" s="0" t="s">
        <v>228</v>
      </c>
      <c r="CO545" s="0" t="s">
        <v>228</v>
      </c>
      <c r="CP545" s="0" t="s">
        <v>228</v>
      </c>
      <c r="CQ545" s="0" t="s">
        <v>228</v>
      </c>
      <c r="CR545" s="0" t="s">
        <v>228</v>
      </c>
      <c r="CS545" s="0" t="s">
        <v>228</v>
      </c>
      <c r="CT545" s="0" t="s">
        <v>3568</v>
      </c>
      <c r="CU545" s="0" t="s">
        <v>3569</v>
      </c>
      <c r="CV545" s="0" t="s">
        <v>418</v>
      </c>
      <c r="CW545" s="0" t="s">
        <v>3622</v>
      </c>
      <c r="CX545" s="0" t="s">
        <v>419</v>
      </c>
      <c r="CY545" s="0" t="s">
        <v>418</v>
      </c>
      <c r="CZ545" s="0" t="s">
        <v>3623</v>
      </c>
      <c r="DA545" s="0" t="s">
        <v>3624</v>
      </c>
      <c r="DB545" s="0" t="s">
        <v>3622</v>
      </c>
      <c r="DC545" s="0" t="s">
        <v>362</v>
      </c>
      <c r="DD545" s="0" t="s">
        <v>3572</v>
      </c>
      <c r="DE545" s="0" t="s">
        <v>4394</v>
      </c>
    </row>
    <row customHeight="1" ht="11.25">
      <c r="A546" s="1353" t="s">
        <v>228</v>
      </c>
      <c r="B546" s="0" t="s">
        <v>228</v>
      </c>
      <c r="C546" s="0" t="s">
        <v>228</v>
      </c>
      <c r="D546" s="0" t="s">
        <v>228</v>
      </c>
      <c r="E546" s="0" t="s">
        <v>228</v>
      </c>
      <c r="F546" s="0" t="s">
        <v>228</v>
      </c>
      <c r="G546" s="0" t="s">
        <v>228</v>
      </c>
      <c r="H546" s="0" t="s">
        <v>228</v>
      </c>
      <c r="I546" s="0" t="s">
        <v>3555</v>
      </c>
      <c r="J546" s="0" t="s">
        <v>228</v>
      </c>
      <c r="K546" s="0" t="s">
        <v>228</v>
      </c>
      <c r="L546" s="0" t="s">
        <v>228</v>
      </c>
      <c r="M546" s="0" t="s">
        <v>228</v>
      </c>
      <c r="N546" s="0" t="s">
        <v>228</v>
      </c>
      <c r="O546" s="0" t="s">
        <v>228</v>
      </c>
      <c r="P546" s="0" t="s">
        <v>228</v>
      </c>
      <c r="Q546" s="0" t="s">
        <v>228</v>
      </c>
      <c r="R546" s="0" t="s">
        <v>4396</v>
      </c>
      <c r="S546" s="0" t="s">
        <v>228</v>
      </c>
      <c r="T546" s="0" t="s">
        <v>228</v>
      </c>
      <c r="U546" s="0" t="s">
        <v>101</v>
      </c>
      <c r="V546" s="0" t="s">
        <v>228</v>
      </c>
      <c r="W546" s="0" t="s">
        <v>228</v>
      </c>
      <c r="X546" s="0" t="s">
        <v>3661</v>
      </c>
      <c r="Y546" s="0" t="s">
        <v>228</v>
      </c>
      <c r="Z546" s="0" t="s">
        <v>151</v>
      </c>
      <c r="AA546" s="0" t="s">
        <v>151</v>
      </c>
      <c r="AB546" s="0" t="s">
        <v>160</v>
      </c>
      <c r="AC546" s="0" t="s">
        <v>2317</v>
      </c>
      <c r="AD546" s="0" t="s">
        <v>2317</v>
      </c>
      <c r="AE546" s="0" t="s">
        <v>2318</v>
      </c>
      <c r="AF546" s="0" t="s">
        <v>3923</v>
      </c>
      <c r="AG546" s="0" t="s">
        <v>3924</v>
      </c>
      <c r="AH546" s="0" t="s">
        <v>3651</v>
      </c>
      <c r="AI546" s="0" t="s">
        <v>3651</v>
      </c>
      <c r="AJ546" s="0" t="s">
        <v>228</v>
      </c>
      <c r="AK546" s="0" t="s">
        <v>228</v>
      </c>
      <c r="AL546" s="0" t="s">
        <v>228</v>
      </c>
      <c r="AM546" s="0" t="s">
        <v>228</v>
      </c>
      <c r="AN546" s="0" t="s">
        <v>228</v>
      </c>
      <c r="AO546" s="0" t="s">
        <v>228</v>
      </c>
      <c r="AP546" s="0" t="s">
        <v>228</v>
      </c>
      <c r="AQ546" s="0" t="s">
        <v>228</v>
      </c>
      <c r="AR546" s="0" t="s">
        <v>228</v>
      </c>
      <c r="AS546" s="0" t="s">
        <v>228</v>
      </c>
      <c r="AT546" s="0" t="s">
        <v>228</v>
      </c>
      <c r="AU546" s="0" t="s">
        <v>228</v>
      </c>
      <c r="AV546" s="0" t="s">
        <v>228</v>
      </c>
      <c r="AW546" s="0" t="s">
        <v>228</v>
      </c>
      <c r="AX546" s="0" t="s">
        <v>228</v>
      </c>
      <c r="AY546" s="0" t="s">
        <v>228</v>
      </c>
      <c r="AZ546" s="0" t="s">
        <v>228</v>
      </c>
      <c r="BA546" s="0" t="s">
        <v>228</v>
      </c>
      <c r="BB546" s="0" t="s">
        <v>228</v>
      </c>
      <c r="BC546" s="0" t="s">
        <v>228</v>
      </c>
      <c r="BD546" s="0" t="s">
        <v>228</v>
      </c>
      <c r="BE546" s="0" t="s">
        <v>3579</v>
      </c>
      <c r="BF546" s="0" t="s">
        <v>3619</v>
      </c>
      <c r="BG546" s="0" t="s">
        <v>111</v>
      </c>
      <c r="BH546" s="0" t="s">
        <v>3665</v>
      </c>
      <c r="BI546" s="0" t="s">
        <v>122</v>
      </c>
      <c r="BJ546" s="0" t="s">
        <v>228</v>
      </c>
      <c r="BK546" s="0" t="s">
        <v>3684</v>
      </c>
      <c r="BL546" s="0" t="s">
        <v>2317</v>
      </c>
      <c r="BM546" s="0" t="s">
        <v>2317</v>
      </c>
      <c r="BN546" s="0" t="s">
        <v>3740</v>
      </c>
      <c r="BO546" s="0" t="s">
        <v>3923</v>
      </c>
      <c r="BP546" s="0" t="s">
        <v>4397</v>
      </c>
      <c r="BQ546" s="0" t="s">
        <v>3651</v>
      </c>
      <c r="BR546" s="0" t="s">
        <v>3651</v>
      </c>
      <c r="BS546" s="0" t="s">
        <v>228</v>
      </c>
      <c r="BT546" s="0" t="s">
        <v>3727</v>
      </c>
      <c r="BU546" s="0" t="s">
        <v>4398</v>
      </c>
      <c r="BV546" s="0" t="s">
        <v>4398</v>
      </c>
      <c r="BW546" s="0" t="s">
        <v>3674</v>
      </c>
      <c r="BX546" s="0" t="s">
        <v>3674</v>
      </c>
      <c r="BY546" s="0" t="s">
        <v>3674</v>
      </c>
      <c r="BZ546" s="0" t="s">
        <v>3674</v>
      </c>
      <c r="CA546" s="0" t="s">
        <v>3674</v>
      </c>
      <c r="CB546" s="0" t="s">
        <v>228</v>
      </c>
      <c r="CC546" s="0" t="s">
        <v>228</v>
      </c>
      <c r="CD546" s="0" t="s">
        <v>228</v>
      </c>
      <c r="CE546" s="0" t="s">
        <v>228</v>
      </c>
      <c r="CF546" s="0" t="s">
        <v>228</v>
      </c>
      <c r="CG546" s="0" t="s">
        <v>3674</v>
      </c>
      <c r="CH546" s="0" t="s">
        <v>228</v>
      </c>
      <c r="CI546" s="0" t="s">
        <v>228</v>
      </c>
      <c r="CJ546" s="0" t="s">
        <v>228</v>
      </c>
      <c r="CK546" s="0" t="s">
        <v>228</v>
      </c>
      <c r="CL546" s="0" t="s">
        <v>228</v>
      </c>
      <c r="CM546" s="0" t="s">
        <v>4398</v>
      </c>
      <c r="CN546" s="0" t="s">
        <v>4398</v>
      </c>
      <c r="CO546" s="0" t="s">
        <v>228</v>
      </c>
      <c r="CP546" s="0" t="s">
        <v>228</v>
      </c>
      <c r="CQ546" s="0" t="s">
        <v>228</v>
      </c>
      <c r="CR546" s="0" t="s">
        <v>228</v>
      </c>
      <c r="CS546" s="0" t="s">
        <v>3743</v>
      </c>
      <c r="CT546" s="0" t="s">
        <v>3568</v>
      </c>
      <c r="CU546" s="0" t="s">
        <v>3569</v>
      </c>
      <c r="CV546" s="0" t="s">
        <v>418</v>
      </c>
      <c r="CW546" s="0" t="s">
        <v>3622</v>
      </c>
      <c r="CX546" s="0" t="s">
        <v>419</v>
      </c>
      <c r="CY546" s="0" t="s">
        <v>418</v>
      </c>
      <c r="CZ546" s="0" t="s">
        <v>3623</v>
      </c>
      <c r="DA546" s="0" t="s">
        <v>3624</v>
      </c>
      <c r="DB546" s="0" t="s">
        <v>3622</v>
      </c>
      <c r="DC546" s="0" t="s">
        <v>362</v>
      </c>
      <c r="DD546" s="0" t="s">
        <v>3572</v>
      </c>
      <c r="DE546" s="0" t="s">
        <v>4399</v>
      </c>
    </row>
    <row customHeight="1" ht="11.25">
      <c r="A547" s="1353" t="s">
        <v>228</v>
      </c>
      <c r="B547" s="0" t="s">
        <v>228</v>
      </c>
      <c r="C547" s="0" t="s">
        <v>228</v>
      </c>
      <c r="D547" s="0" t="s">
        <v>228</v>
      </c>
      <c r="E547" s="0" t="s">
        <v>228</v>
      </c>
      <c r="F547" s="0" t="s">
        <v>228</v>
      </c>
      <c r="G547" s="0" t="s">
        <v>228</v>
      </c>
      <c r="H547" s="0" t="s">
        <v>228</v>
      </c>
      <c r="I547" s="0" t="s">
        <v>3555</v>
      </c>
      <c r="J547" s="0" t="s">
        <v>228</v>
      </c>
      <c r="K547" s="0" t="s">
        <v>228</v>
      </c>
      <c r="L547" s="0" t="s">
        <v>228</v>
      </c>
      <c r="M547" s="0" t="s">
        <v>228</v>
      </c>
      <c r="N547" s="0" t="s">
        <v>228</v>
      </c>
      <c r="O547" s="0" t="s">
        <v>228</v>
      </c>
      <c r="P547" s="0" t="s">
        <v>228</v>
      </c>
      <c r="Q547" s="0" t="s">
        <v>228</v>
      </c>
      <c r="R547" s="0" t="s">
        <v>4400</v>
      </c>
      <c r="S547" s="0" t="s">
        <v>228</v>
      </c>
      <c r="T547" s="0" t="s">
        <v>228</v>
      </c>
      <c r="U547" s="0" t="s">
        <v>101</v>
      </c>
      <c r="V547" s="0" t="s">
        <v>228</v>
      </c>
      <c r="W547" s="0" t="s">
        <v>228</v>
      </c>
      <c r="X547" s="0" t="s">
        <v>3557</v>
      </c>
      <c r="Y547" s="0" t="s">
        <v>228</v>
      </c>
      <c r="Z547" s="0" t="s">
        <v>160</v>
      </c>
      <c r="AA547" s="0" t="s">
        <v>151</v>
      </c>
      <c r="AB547" s="0" t="s">
        <v>151</v>
      </c>
      <c r="AC547" s="0" t="s">
        <v>2317</v>
      </c>
      <c r="AD547" s="0" t="s">
        <v>2317</v>
      </c>
      <c r="AE547" s="0" t="s">
        <v>2318</v>
      </c>
      <c r="AF547" s="0" t="s">
        <v>4401</v>
      </c>
      <c r="AG547" s="0" t="s">
        <v>4402</v>
      </c>
      <c r="AH547" s="0" t="s">
        <v>3617</v>
      </c>
      <c r="AI547" s="0" t="s">
        <v>4403</v>
      </c>
      <c r="AJ547" s="0" t="s">
        <v>3579</v>
      </c>
      <c r="AK547" s="0" t="s">
        <v>3853</v>
      </c>
      <c r="AL547" s="0" t="s">
        <v>3581</v>
      </c>
      <c r="AM547" s="0" t="s">
        <v>3565</v>
      </c>
      <c r="AN547" s="0" t="s">
        <v>3620</v>
      </c>
      <c r="AO547" s="0" t="s">
        <v>3583</v>
      </c>
      <c r="AP547" s="0" t="s">
        <v>228</v>
      </c>
      <c r="AQ547" s="0" t="s">
        <v>228</v>
      </c>
      <c r="AR547" s="0" t="s">
        <v>228</v>
      </c>
      <c r="AS547" s="0" t="s">
        <v>228</v>
      </c>
      <c r="AT547" s="0" t="s">
        <v>228</v>
      </c>
      <c r="AU547" s="0" t="s">
        <v>228</v>
      </c>
      <c r="AV547" s="0" t="s">
        <v>228</v>
      </c>
      <c r="AW547" s="0" t="s">
        <v>228</v>
      </c>
      <c r="AX547" s="0" t="s">
        <v>228</v>
      </c>
      <c r="AY547" s="0" t="s">
        <v>228</v>
      </c>
      <c r="AZ547" s="0" t="s">
        <v>228</v>
      </c>
      <c r="BA547" s="0" t="s">
        <v>228</v>
      </c>
      <c r="BB547" s="0" t="s">
        <v>228</v>
      </c>
      <c r="BC547" s="0" t="s">
        <v>228</v>
      </c>
      <c r="BD547" s="0" t="s">
        <v>228</v>
      </c>
      <c r="BE547" s="0" t="s">
        <v>228</v>
      </c>
      <c r="BF547" s="0" t="s">
        <v>228</v>
      </c>
      <c r="BG547" s="0" t="s">
        <v>228</v>
      </c>
      <c r="BH547" s="0" t="s">
        <v>228</v>
      </c>
      <c r="BI547" s="0" t="s">
        <v>228</v>
      </c>
      <c r="BJ547" s="0" t="s">
        <v>228</v>
      </c>
      <c r="BK547" s="0" t="s">
        <v>228</v>
      </c>
      <c r="BL547" s="0" t="s">
        <v>228</v>
      </c>
      <c r="BM547" s="0" t="s">
        <v>228</v>
      </c>
      <c r="BN547" s="0" t="s">
        <v>228</v>
      </c>
      <c r="BO547" s="0" t="s">
        <v>228</v>
      </c>
      <c r="BP547" s="0" t="s">
        <v>228</v>
      </c>
      <c r="BQ547" s="0" t="s">
        <v>228</v>
      </c>
      <c r="BR547" s="0" t="s">
        <v>228</v>
      </c>
      <c r="BS547" s="0" t="s">
        <v>228</v>
      </c>
      <c r="BT547" s="0" t="s">
        <v>228</v>
      </c>
      <c r="BU547" s="0" t="s">
        <v>228</v>
      </c>
      <c r="BV547" s="0" t="s">
        <v>228</v>
      </c>
      <c r="BW547" s="0" t="s">
        <v>228</v>
      </c>
      <c r="BX547" s="0" t="s">
        <v>228</v>
      </c>
      <c r="BY547" s="0" t="s">
        <v>228</v>
      </c>
      <c r="BZ547" s="0" t="s">
        <v>228</v>
      </c>
      <c r="CA547" s="0" t="s">
        <v>228</v>
      </c>
      <c r="CB547" s="0" t="s">
        <v>228</v>
      </c>
      <c r="CC547" s="0" t="s">
        <v>228</v>
      </c>
      <c r="CD547" s="0" t="s">
        <v>228</v>
      </c>
      <c r="CE547" s="0" t="s">
        <v>228</v>
      </c>
      <c r="CF547" s="0" t="s">
        <v>228</v>
      </c>
      <c r="CG547" s="0" t="s">
        <v>228</v>
      </c>
      <c r="CH547" s="0" t="s">
        <v>228</v>
      </c>
      <c r="CI547" s="0" t="s">
        <v>228</v>
      </c>
      <c r="CJ547" s="0" t="s">
        <v>228</v>
      </c>
      <c r="CK547" s="0" t="s">
        <v>228</v>
      </c>
      <c r="CL547" s="0" t="s">
        <v>228</v>
      </c>
      <c r="CM547" s="0" t="s">
        <v>228</v>
      </c>
      <c r="CN547" s="0" t="s">
        <v>228</v>
      </c>
      <c r="CO547" s="0" t="s">
        <v>228</v>
      </c>
      <c r="CP547" s="0" t="s">
        <v>228</v>
      </c>
      <c r="CQ547" s="0" t="s">
        <v>228</v>
      </c>
      <c r="CR547" s="0" t="s">
        <v>228</v>
      </c>
      <c r="CS547" s="0" t="s">
        <v>228</v>
      </c>
      <c r="CT547" s="0" t="s">
        <v>3568</v>
      </c>
      <c r="CU547" s="0" t="s">
        <v>3569</v>
      </c>
      <c r="CV547" s="0" t="s">
        <v>418</v>
      </c>
      <c r="CW547" s="0" t="s">
        <v>3622</v>
      </c>
      <c r="CX547" s="0" t="s">
        <v>419</v>
      </c>
      <c r="CY547" s="0" t="s">
        <v>418</v>
      </c>
      <c r="CZ547" s="0" t="s">
        <v>3623</v>
      </c>
      <c r="DA547" s="0" t="s">
        <v>3624</v>
      </c>
      <c r="DB547" s="0" t="s">
        <v>3622</v>
      </c>
      <c r="DC547" s="0" t="s">
        <v>362</v>
      </c>
      <c r="DD547" s="0" t="s">
        <v>3572</v>
      </c>
      <c r="DE547" s="0" t="s">
        <v>4404</v>
      </c>
    </row>
    <row customHeight="1" ht="11.25">
      <c r="A548" s="1353" t="s">
        <v>228</v>
      </c>
      <c r="B548" s="0" t="s">
        <v>228</v>
      </c>
      <c r="C548" s="0" t="s">
        <v>228</v>
      </c>
      <c r="D548" s="0" t="s">
        <v>228</v>
      </c>
      <c r="E548" s="0" t="s">
        <v>228</v>
      </c>
      <c r="F548" s="0" t="s">
        <v>228</v>
      </c>
      <c r="G548" s="0" t="s">
        <v>228</v>
      </c>
      <c r="H548" s="0" t="s">
        <v>228</v>
      </c>
      <c r="I548" s="0" t="s">
        <v>3555</v>
      </c>
      <c r="J548" s="0" t="s">
        <v>228</v>
      </c>
      <c r="K548" s="0" t="s">
        <v>228</v>
      </c>
      <c r="L548" s="0" t="s">
        <v>228</v>
      </c>
      <c r="M548" s="0" t="s">
        <v>228</v>
      </c>
      <c r="N548" s="0" t="s">
        <v>228</v>
      </c>
      <c r="O548" s="0" t="s">
        <v>228</v>
      </c>
      <c r="P548" s="0" t="s">
        <v>228</v>
      </c>
      <c r="Q548" s="0" t="s">
        <v>228</v>
      </c>
      <c r="R548" s="0" t="s">
        <v>4480</v>
      </c>
      <c r="S548" s="0" t="s">
        <v>228</v>
      </c>
      <c r="T548" s="0" t="s">
        <v>228</v>
      </c>
      <c r="U548" s="0" t="s">
        <v>101</v>
      </c>
      <c r="V548" s="0" t="s">
        <v>228</v>
      </c>
      <c r="W548" s="0" t="s">
        <v>228</v>
      </c>
      <c r="X548" s="0" t="s">
        <v>3557</v>
      </c>
      <c r="Y548" s="0" t="s">
        <v>228</v>
      </c>
      <c r="Z548" s="0" t="s">
        <v>160</v>
      </c>
      <c r="AA548" s="0" t="s">
        <v>151</v>
      </c>
      <c r="AB548" s="0" t="s">
        <v>151</v>
      </c>
      <c r="AC548" s="0" t="s">
        <v>2317</v>
      </c>
      <c r="AD548" s="0" t="s">
        <v>2317</v>
      </c>
      <c r="AE548" s="0" t="s">
        <v>2318</v>
      </c>
      <c r="AF548" s="0" t="s">
        <v>3963</v>
      </c>
      <c r="AG548" s="0" t="s">
        <v>3964</v>
      </c>
      <c r="AH548" s="0" t="s">
        <v>4472</v>
      </c>
      <c r="AI548" s="0" t="s">
        <v>3771</v>
      </c>
      <c r="AJ548" s="0" t="s">
        <v>3627</v>
      </c>
      <c r="AK548" s="0" t="s">
        <v>3853</v>
      </c>
      <c r="AL548" s="0" t="s">
        <v>3581</v>
      </c>
      <c r="AM548" s="0" t="s">
        <v>3565</v>
      </c>
      <c r="AN548" s="0" t="s">
        <v>3628</v>
      </c>
      <c r="AO548" s="0" t="s">
        <v>3567</v>
      </c>
      <c r="AP548" s="0" t="s">
        <v>228</v>
      </c>
      <c r="AQ548" s="0" t="s">
        <v>228</v>
      </c>
      <c r="AR548" s="0" t="s">
        <v>228</v>
      </c>
      <c r="AS548" s="0" t="s">
        <v>228</v>
      </c>
      <c r="AT548" s="0" t="s">
        <v>228</v>
      </c>
      <c r="AU548" s="0" t="s">
        <v>228</v>
      </c>
      <c r="AV548" s="0" t="s">
        <v>228</v>
      </c>
      <c r="AW548" s="0" t="s">
        <v>228</v>
      </c>
      <c r="AX548" s="0" t="s">
        <v>228</v>
      </c>
      <c r="AY548" s="0" t="s">
        <v>228</v>
      </c>
      <c r="AZ548" s="0" t="s">
        <v>228</v>
      </c>
      <c r="BA548" s="0" t="s">
        <v>228</v>
      </c>
      <c r="BB548" s="0" t="s">
        <v>228</v>
      </c>
      <c r="BC548" s="0" t="s">
        <v>228</v>
      </c>
      <c r="BD548" s="0" t="s">
        <v>228</v>
      </c>
      <c r="BE548" s="0" t="s">
        <v>228</v>
      </c>
      <c r="BF548" s="0" t="s">
        <v>228</v>
      </c>
      <c r="BG548" s="0" t="s">
        <v>228</v>
      </c>
      <c r="BH548" s="0" t="s">
        <v>228</v>
      </c>
      <c r="BI548" s="0" t="s">
        <v>228</v>
      </c>
      <c r="BJ548" s="0" t="s">
        <v>228</v>
      </c>
      <c r="BK548" s="0" t="s">
        <v>228</v>
      </c>
      <c r="BL548" s="0" t="s">
        <v>228</v>
      </c>
      <c r="BM548" s="0" t="s">
        <v>228</v>
      </c>
      <c r="BN548" s="0" t="s">
        <v>228</v>
      </c>
      <c r="BO548" s="0" t="s">
        <v>228</v>
      </c>
      <c r="BP548" s="0" t="s">
        <v>228</v>
      </c>
      <c r="BQ548" s="0" t="s">
        <v>228</v>
      </c>
      <c r="BR548" s="0" t="s">
        <v>228</v>
      </c>
      <c r="BS548" s="0" t="s">
        <v>228</v>
      </c>
      <c r="BT548" s="0" t="s">
        <v>228</v>
      </c>
      <c r="BU548" s="0" t="s">
        <v>228</v>
      </c>
      <c r="BV548" s="0" t="s">
        <v>228</v>
      </c>
      <c r="BW548" s="0" t="s">
        <v>228</v>
      </c>
      <c r="BX548" s="0" t="s">
        <v>228</v>
      </c>
      <c r="BY548" s="0" t="s">
        <v>228</v>
      </c>
      <c r="BZ548" s="0" t="s">
        <v>228</v>
      </c>
      <c r="CA548" s="0" t="s">
        <v>228</v>
      </c>
      <c r="CB548" s="0" t="s">
        <v>228</v>
      </c>
      <c r="CC548" s="0" t="s">
        <v>228</v>
      </c>
      <c r="CD548" s="0" t="s">
        <v>228</v>
      </c>
      <c r="CE548" s="0" t="s">
        <v>228</v>
      </c>
      <c r="CF548" s="0" t="s">
        <v>228</v>
      </c>
      <c r="CG548" s="0" t="s">
        <v>228</v>
      </c>
      <c r="CH548" s="0" t="s">
        <v>228</v>
      </c>
      <c r="CI548" s="0" t="s">
        <v>228</v>
      </c>
      <c r="CJ548" s="0" t="s">
        <v>228</v>
      </c>
      <c r="CK548" s="0" t="s">
        <v>228</v>
      </c>
      <c r="CL548" s="0" t="s">
        <v>228</v>
      </c>
      <c r="CM548" s="0" t="s">
        <v>228</v>
      </c>
      <c r="CN548" s="0" t="s">
        <v>228</v>
      </c>
      <c r="CO548" s="0" t="s">
        <v>228</v>
      </c>
      <c r="CP548" s="0" t="s">
        <v>228</v>
      </c>
      <c r="CQ548" s="0" t="s">
        <v>228</v>
      </c>
      <c r="CR548" s="0" t="s">
        <v>228</v>
      </c>
      <c r="CS548" s="0" t="s">
        <v>228</v>
      </c>
      <c r="CT548" s="0" t="s">
        <v>3568</v>
      </c>
      <c r="CU548" s="0" t="s">
        <v>3569</v>
      </c>
      <c r="CV548" s="0" t="s">
        <v>418</v>
      </c>
      <c r="CW548" s="0" t="s">
        <v>3622</v>
      </c>
      <c r="CX548" s="0" t="s">
        <v>419</v>
      </c>
      <c r="CY548" s="0" t="s">
        <v>418</v>
      </c>
      <c r="CZ548" s="0" t="s">
        <v>3623</v>
      </c>
      <c r="DA548" s="0" t="s">
        <v>3624</v>
      </c>
      <c r="DB548" s="0" t="s">
        <v>3622</v>
      </c>
      <c r="DC548" s="0" t="s">
        <v>362</v>
      </c>
      <c r="DD548" s="0" t="s">
        <v>3572</v>
      </c>
      <c r="DE548" s="0" t="s">
        <v>4481</v>
      </c>
    </row>
    <row customHeight="1" ht="11.25">
      <c r="A549" s="1353" t="s">
        <v>228</v>
      </c>
      <c r="B549" s="0" t="s">
        <v>228</v>
      </c>
      <c r="C549" s="0" t="s">
        <v>228</v>
      </c>
      <c r="D549" s="0" t="s">
        <v>228</v>
      </c>
      <c r="E549" s="0" t="s">
        <v>228</v>
      </c>
      <c r="F549" s="0" t="s">
        <v>228</v>
      </c>
      <c r="G549" s="0" t="s">
        <v>228</v>
      </c>
      <c r="H549" s="0" t="s">
        <v>228</v>
      </c>
      <c r="I549" s="0" t="s">
        <v>3555</v>
      </c>
      <c r="J549" s="0" t="s">
        <v>228</v>
      </c>
      <c r="K549" s="0" t="s">
        <v>228</v>
      </c>
      <c r="L549" s="0" t="s">
        <v>228</v>
      </c>
      <c r="M549" s="0" t="s">
        <v>228</v>
      </c>
      <c r="N549" s="0" t="s">
        <v>228</v>
      </c>
      <c r="O549" s="0" t="s">
        <v>228</v>
      </c>
      <c r="P549" s="0" t="s">
        <v>228</v>
      </c>
      <c r="Q549" s="0" t="s">
        <v>228</v>
      </c>
      <c r="R549" s="0" t="s">
        <v>3648</v>
      </c>
      <c r="S549" s="0" t="s">
        <v>228</v>
      </c>
      <c r="T549" s="0" t="s">
        <v>228</v>
      </c>
      <c r="U549" s="0" t="s">
        <v>101</v>
      </c>
      <c r="V549" s="0" t="s">
        <v>228</v>
      </c>
      <c r="W549" s="0" t="s">
        <v>228</v>
      </c>
      <c r="X549" s="0" t="s">
        <v>3557</v>
      </c>
      <c r="Y549" s="0" t="s">
        <v>228</v>
      </c>
      <c r="Z549" s="0" t="s">
        <v>160</v>
      </c>
      <c r="AA549" s="0" t="s">
        <v>151</v>
      </c>
      <c r="AB549" s="0" t="s">
        <v>151</v>
      </c>
      <c r="AC549" s="0" t="s">
        <v>2317</v>
      </c>
      <c r="AD549" s="0" t="s">
        <v>2317</v>
      </c>
      <c r="AE549" s="0" t="s">
        <v>2318</v>
      </c>
      <c r="AF549" s="0" t="s">
        <v>3963</v>
      </c>
      <c r="AG549" s="0" t="s">
        <v>3964</v>
      </c>
      <c r="AH549" s="0" t="s">
        <v>4472</v>
      </c>
      <c r="AI549" s="0" t="s">
        <v>4646</v>
      </c>
      <c r="AJ549" s="0" t="s">
        <v>3627</v>
      </c>
      <c r="AK549" s="0" t="s">
        <v>3619</v>
      </c>
      <c r="AL549" s="0" t="s">
        <v>3581</v>
      </c>
      <c r="AM549" s="0" t="s">
        <v>3565</v>
      </c>
      <c r="AN549" s="0" t="s">
        <v>3628</v>
      </c>
      <c r="AO549" s="0" t="s">
        <v>3823</v>
      </c>
      <c r="AP549" s="0" t="s">
        <v>228</v>
      </c>
      <c r="AQ549" s="0" t="s">
        <v>228</v>
      </c>
      <c r="AR549" s="0" t="s">
        <v>228</v>
      </c>
      <c r="AS549" s="0" t="s">
        <v>228</v>
      </c>
      <c r="AT549" s="0" t="s">
        <v>228</v>
      </c>
      <c r="AU549" s="0" t="s">
        <v>228</v>
      </c>
      <c r="AV549" s="0" t="s">
        <v>228</v>
      </c>
      <c r="AW549" s="0" t="s">
        <v>228</v>
      </c>
      <c r="AX549" s="0" t="s">
        <v>228</v>
      </c>
      <c r="AY549" s="0" t="s">
        <v>228</v>
      </c>
      <c r="AZ549" s="0" t="s">
        <v>228</v>
      </c>
      <c r="BA549" s="0" t="s">
        <v>228</v>
      </c>
      <c r="BB549" s="0" t="s">
        <v>228</v>
      </c>
      <c r="BC549" s="0" t="s">
        <v>228</v>
      </c>
      <c r="BD549" s="0" t="s">
        <v>228</v>
      </c>
      <c r="BE549" s="0" t="s">
        <v>228</v>
      </c>
      <c r="BF549" s="0" t="s">
        <v>228</v>
      </c>
      <c r="BG549" s="0" t="s">
        <v>228</v>
      </c>
      <c r="BH549" s="0" t="s">
        <v>228</v>
      </c>
      <c r="BI549" s="0" t="s">
        <v>228</v>
      </c>
      <c r="BJ549" s="0" t="s">
        <v>228</v>
      </c>
      <c r="BK549" s="0" t="s">
        <v>228</v>
      </c>
      <c r="BL549" s="0" t="s">
        <v>228</v>
      </c>
      <c r="BM549" s="0" t="s">
        <v>228</v>
      </c>
      <c r="BN549" s="0" t="s">
        <v>228</v>
      </c>
      <c r="BO549" s="0" t="s">
        <v>228</v>
      </c>
      <c r="BP549" s="0" t="s">
        <v>228</v>
      </c>
      <c r="BQ549" s="0" t="s">
        <v>228</v>
      </c>
      <c r="BR549" s="0" t="s">
        <v>228</v>
      </c>
      <c r="BS549" s="0" t="s">
        <v>228</v>
      </c>
      <c r="BT549" s="0" t="s">
        <v>228</v>
      </c>
      <c r="BU549" s="0" t="s">
        <v>228</v>
      </c>
      <c r="BV549" s="0" t="s">
        <v>228</v>
      </c>
      <c r="BW549" s="0" t="s">
        <v>228</v>
      </c>
      <c r="BX549" s="0" t="s">
        <v>228</v>
      </c>
      <c r="BY549" s="0" t="s">
        <v>228</v>
      </c>
      <c r="BZ549" s="0" t="s">
        <v>228</v>
      </c>
      <c r="CA549" s="0" t="s">
        <v>228</v>
      </c>
      <c r="CB549" s="0" t="s">
        <v>228</v>
      </c>
      <c r="CC549" s="0" t="s">
        <v>228</v>
      </c>
      <c r="CD549" s="0" t="s">
        <v>228</v>
      </c>
      <c r="CE549" s="0" t="s">
        <v>228</v>
      </c>
      <c r="CF549" s="0" t="s">
        <v>228</v>
      </c>
      <c r="CG549" s="0" t="s">
        <v>228</v>
      </c>
      <c r="CH549" s="0" t="s">
        <v>228</v>
      </c>
      <c r="CI549" s="0" t="s">
        <v>228</v>
      </c>
      <c r="CJ549" s="0" t="s">
        <v>228</v>
      </c>
      <c r="CK549" s="0" t="s">
        <v>228</v>
      </c>
      <c r="CL549" s="0" t="s">
        <v>228</v>
      </c>
      <c r="CM549" s="0" t="s">
        <v>228</v>
      </c>
      <c r="CN549" s="0" t="s">
        <v>228</v>
      </c>
      <c r="CO549" s="0" t="s">
        <v>228</v>
      </c>
      <c r="CP549" s="0" t="s">
        <v>228</v>
      </c>
      <c r="CQ549" s="0" t="s">
        <v>228</v>
      </c>
      <c r="CR549" s="0" t="s">
        <v>228</v>
      </c>
      <c r="CS549" s="0" t="s">
        <v>228</v>
      </c>
      <c r="CT549" s="0" t="s">
        <v>3568</v>
      </c>
      <c r="CU549" s="0" t="s">
        <v>3569</v>
      </c>
      <c r="CV549" s="0" t="s">
        <v>418</v>
      </c>
      <c r="CW549" s="0" t="s">
        <v>3622</v>
      </c>
      <c r="CX549" s="0" t="s">
        <v>419</v>
      </c>
      <c r="CY549" s="0" t="s">
        <v>418</v>
      </c>
      <c r="CZ549" s="0" t="s">
        <v>3623</v>
      </c>
      <c r="DA549" s="0" t="s">
        <v>3624</v>
      </c>
      <c r="DB549" s="0" t="s">
        <v>3622</v>
      </c>
      <c r="DC549" s="0" t="s">
        <v>362</v>
      </c>
      <c r="DD549" s="0" t="s">
        <v>3572</v>
      </c>
      <c r="DE549" s="0" t="s">
        <v>4671</v>
      </c>
    </row>
    <row customHeight="1" ht="11.25">
      <c r="A550" s="1353" t="s">
        <v>228</v>
      </c>
      <c r="B550" s="0" t="s">
        <v>228</v>
      </c>
      <c r="C550" s="0" t="s">
        <v>228</v>
      </c>
      <c r="D550" s="0" t="s">
        <v>228</v>
      </c>
      <c r="E550" s="0" t="s">
        <v>228</v>
      </c>
      <c r="F550" s="0" t="s">
        <v>228</v>
      </c>
      <c r="G550" s="0" t="s">
        <v>228</v>
      </c>
      <c r="H550" s="0" t="s">
        <v>228</v>
      </c>
      <c r="I550" s="0" t="s">
        <v>3555</v>
      </c>
      <c r="J550" s="0" t="s">
        <v>228</v>
      </c>
      <c r="K550" s="0" t="s">
        <v>228</v>
      </c>
      <c r="L550" s="0" t="s">
        <v>228</v>
      </c>
      <c r="M550" s="0" t="s">
        <v>228</v>
      </c>
      <c r="N550" s="0" t="s">
        <v>228</v>
      </c>
      <c r="O550" s="0" t="s">
        <v>228</v>
      </c>
      <c r="P550" s="0" t="s">
        <v>228</v>
      </c>
      <c r="Q550" s="0" t="s">
        <v>228</v>
      </c>
      <c r="R550" s="0" t="s">
        <v>5109</v>
      </c>
      <c r="S550" s="0" t="s">
        <v>228</v>
      </c>
      <c r="T550" s="0" t="s">
        <v>228</v>
      </c>
      <c r="U550" s="0" t="s">
        <v>101</v>
      </c>
      <c r="V550" s="0" t="s">
        <v>228</v>
      </c>
      <c r="W550" s="0" t="s">
        <v>228</v>
      </c>
      <c r="X550" s="0" t="s">
        <v>3557</v>
      </c>
      <c r="Y550" s="0" t="s">
        <v>228</v>
      </c>
      <c r="Z550" s="0" t="s">
        <v>160</v>
      </c>
      <c r="AA550" s="0" t="s">
        <v>151</v>
      </c>
      <c r="AB550" s="0" t="s">
        <v>151</v>
      </c>
      <c r="AC550" s="0" t="s">
        <v>2715</v>
      </c>
      <c r="AD550" s="0" t="s">
        <v>2715</v>
      </c>
      <c r="AE550" s="0" t="s">
        <v>2716</v>
      </c>
      <c r="AF550" s="0" t="s">
        <v>3594</v>
      </c>
      <c r="AG550" s="0" t="s">
        <v>3595</v>
      </c>
      <c r="AH550" s="0" t="s">
        <v>3949</v>
      </c>
      <c r="AI550" s="0" t="s">
        <v>3950</v>
      </c>
      <c r="AJ550" s="0" t="s">
        <v>3951</v>
      </c>
      <c r="AK550" s="0" t="s">
        <v>3952</v>
      </c>
      <c r="AL550" s="0" t="s">
        <v>3599</v>
      </c>
      <c r="AM550" s="0" t="s">
        <v>3565</v>
      </c>
      <c r="AN550" s="0" t="s">
        <v>3953</v>
      </c>
      <c r="AO550" s="0" t="s">
        <v>3954</v>
      </c>
      <c r="AP550" s="0" t="s">
        <v>228</v>
      </c>
      <c r="AQ550" s="0" t="s">
        <v>228</v>
      </c>
      <c r="AR550" s="0" t="s">
        <v>228</v>
      </c>
      <c r="AS550" s="0" t="s">
        <v>228</v>
      </c>
      <c r="AT550" s="0" t="s">
        <v>228</v>
      </c>
      <c r="AU550" s="0" t="s">
        <v>228</v>
      </c>
      <c r="AV550" s="0" t="s">
        <v>228</v>
      </c>
      <c r="AW550" s="0" t="s">
        <v>228</v>
      </c>
      <c r="AX550" s="0" t="s">
        <v>228</v>
      </c>
      <c r="AY550" s="0" t="s">
        <v>228</v>
      </c>
      <c r="AZ550" s="0" t="s">
        <v>228</v>
      </c>
      <c r="BA550" s="0" t="s">
        <v>228</v>
      </c>
      <c r="BB550" s="0" t="s">
        <v>228</v>
      </c>
      <c r="BC550" s="0" t="s">
        <v>228</v>
      </c>
      <c r="BD550" s="0" t="s">
        <v>228</v>
      </c>
      <c r="BE550" s="0" t="s">
        <v>228</v>
      </c>
      <c r="BF550" s="0" t="s">
        <v>228</v>
      </c>
      <c r="BG550" s="0" t="s">
        <v>228</v>
      </c>
      <c r="BH550" s="0" t="s">
        <v>228</v>
      </c>
      <c r="BI550" s="0" t="s">
        <v>228</v>
      </c>
      <c r="BJ550" s="0" t="s">
        <v>228</v>
      </c>
      <c r="BK550" s="0" t="s">
        <v>228</v>
      </c>
      <c r="BL550" s="0" t="s">
        <v>228</v>
      </c>
      <c r="BM550" s="0" t="s">
        <v>228</v>
      </c>
      <c r="BN550" s="0" t="s">
        <v>228</v>
      </c>
      <c r="BO550" s="0" t="s">
        <v>228</v>
      </c>
      <c r="BP550" s="0" t="s">
        <v>228</v>
      </c>
      <c r="BQ550" s="0" t="s">
        <v>228</v>
      </c>
      <c r="BR550" s="0" t="s">
        <v>228</v>
      </c>
      <c r="BS550" s="0" t="s">
        <v>228</v>
      </c>
      <c r="BT550" s="0" t="s">
        <v>228</v>
      </c>
      <c r="BU550" s="0" t="s">
        <v>228</v>
      </c>
      <c r="BV550" s="0" t="s">
        <v>228</v>
      </c>
      <c r="BW550" s="0" t="s">
        <v>228</v>
      </c>
      <c r="BX550" s="0" t="s">
        <v>228</v>
      </c>
      <c r="BY550" s="0" t="s">
        <v>228</v>
      </c>
      <c r="BZ550" s="0" t="s">
        <v>228</v>
      </c>
      <c r="CA550" s="0" t="s">
        <v>228</v>
      </c>
      <c r="CB550" s="0" t="s">
        <v>228</v>
      </c>
      <c r="CC550" s="0" t="s">
        <v>228</v>
      </c>
      <c r="CD550" s="0" t="s">
        <v>228</v>
      </c>
      <c r="CE550" s="0" t="s">
        <v>228</v>
      </c>
      <c r="CF550" s="0" t="s">
        <v>228</v>
      </c>
      <c r="CG550" s="0" t="s">
        <v>228</v>
      </c>
      <c r="CH550" s="0" t="s">
        <v>228</v>
      </c>
      <c r="CI550" s="0" t="s">
        <v>228</v>
      </c>
      <c r="CJ550" s="0" t="s">
        <v>228</v>
      </c>
      <c r="CK550" s="0" t="s">
        <v>228</v>
      </c>
      <c r="CL550" s="0" t="s">
        <v>228</v>
      </c>
      <c r="CM550" s="0" t="s">
        <v>228</v>
      </c>
      <c r="CN550" s="0" t="s">
        <v>228</v>
      </c>
      <c r="CO550" s="0" t="s">
        <v>228</v>
      </c>
      <c r="CP550" s="0" t="s">
        <v>228</v>
      </c>
      <c r="CQ550" s="0" t="s">
        <v>228</v>
      </c>
      <c r="CR550" s="0" t="s">
        <v>228</v>
      </c>
      <c r="CS550" s="0" t="s">
        <v>228</v>
      </c>
      <c r="CT550" s="0" t="s">
        <v>3568</v>
      </c>
      <c r="CU550" s="0" t="s">
        <v>3569</v>
      </c>
      <c r="CV550" s="0" t="s">
        <v>418</v>
      </c>
      <c r="CW550" s="0" t="s">
        <v>3602</v>
      </c>
      <c r="CX550" s="0" t="s">
        <v>3603</v>
      </c>
      <c r="CY550" s="0" t="s">
        <v>418</v>
      </c>
      <c r="CZ550" s="0" t="s">
        <v>504</v>
      </c>
      <c r="DA550" s="0" t="s">
        <v>3604</v>
      </c>
      <c r="DB550" s="0" t="s">
        <v>3602</v>
      </c>
      <c r="DC550" s="0" t="s">
        <v>362</v>
      </c>
      <c r="DD550" s="0" t="s">
        <v>3572</v>
      </c>
      <c r="DE550" s="0" t="s">
        <v>3955</v>
      </c>
    </row>
    <row customHeight="1" ht="11.25">
      <c r="A551" s="1353" t="s">
        <v>228</v>
      </c>
      <c r="B551" s="0" t="s">
        <v>228</v>
      </c>
      <c r="C551" s="0" t="s">
        <v>228</v>
      </c>
      <c r="D551" s="0" t="s">
        <v>228</v>
      </c>
      <c r="E551" s="0" t="s">
        <v>228</v>
      </c>
      <c r="F551" s="0" t="s">
        <v>228</v>
      </c>
      <c r="G551" s="0" t="s">
        <v>228</v>
      </c>
      <c r="H551" s="0" t="s">
        <v>228</v>
      </c>
      <c r="I551" s="0" t="s">
        <v>3555</v>
      </c>
      <c r="J551" s="0" t="s">
        <v>228</v>
      </c>
      <c r="K551" s="0" t="s">
        <v>228</v>
      </c>
      <c r="L551" s="0" t="s">
        <v>228</v>
      </c>
      <c r="M551" s="0" t="s">
        <v>228</v>
      </c>
      <c r="N551" s="0" t="s">
        <v>228</v>
      </c>
      <c r="O551" s="0" t="s">
        <v>228</v>
      </c>
      <c r="P551" s="0" t="s">
        <v>228</v>
      </c>
      <c r="Q551" s="0" t="s">
        <v>228</v>
      </c>
      <c r="R551" s="0" t="s">
        <v>4678</v>
      </c>
      <c r="S551" s="0" t="s">
        <v>228</v>
      </c>
      <c r="T551" s="0" t="s">
        <v>228</v>
      </c>
      <c r="U551" s="0" t="s">
        <v>101</v>
      </c>
      <c r="V551" s="0" t="s">
        <v>228</v>
      </c>
      <c r="W551" s="0" t="s">
        <v>228</v>
      </c>
      <c r="X551" s="0" t="s">
        <v>3557</v>
      </c>
      <c r="Y551" s="0" t="s">
        <v>228</v>
      </c>
      <c r="Z551" s="0" t="s">
        <v>160</v>
      </c>
      <c r="AA551" s="0" t="s">
        <v>151</v>
      </c>
      <c r="AB551" s="0" t="s">
        <v>151</v>
      </c>
      <c r="AC551" s="0" t="s">
        <v>2317</v>
      </c>
      <c r="AD551" s="0" t="s">
        <v>2317</v>
      </c>
      <c r="AE551" s="0" t="s">
        <v>2318</v>
      </c>
      <c r="AF551" s="0" t="s">
        <v>3963</v>
      </c>
      <c r="AG551" s="0" t="s">
        <v>3964</v>
      </c>
      <c r="AH551" s="0" t="s">
        <v>4472</v>
      </c>
      <c r="AI551" s="0" t="s">
        <v>3787</v>
      </c>
      <c r="AJ551" s="0" t="s">
        <v>3627</v>
      </c>
      <c r="AK551" s="0" t="s">
        <v>3853</v>
      </c>
      <c r="AL551" s="0" t="s">
        <v>3581</v>
      </c>
      <c r="AM551" s="0" t="s">
        <v>3565</v>
      </c>
      <c r="AN551" s="0" t="s">
        <v>3628</v>
      </c>
      <c r="AO551" s="0" t="s">
        <v>3966</v>
      </c>
      <c r="AP551" s="0" t="s">
        <v>228</v>
      </c>
      <c r="AQ551" s="0" t="s">
        <v>228</v>
      </c>
      <c r="AR551" s="0" t="s">
        <v>228</v>
      </c>
      <c r="AS551" s="0" t="s">
        <v>228</v>
      </c>
      <c r="AT551" s="0" t="s">
        <v>228</v>
      </c>
      <c r="AU551" s="0" t="s">
        <v>228</v>
      </c>
      <c r="AV551" s="0" t="s">
        <v>228</v>
      </c>
      <c r="AW551" s="0" t="s">
        <v>228</v>
      </c>
      <c r="AX551" s="0" t="s">
        <v>228</v>
      </c>
      <c r="AY551" s="0" t="s">
        <v>228</v>
      </c>
      <c r="AZ551" s="0" t="s">
        <v>228</v>
      </c>
      <c r="BA551" s="0" t="s">
        <v>228</v>
      </c>
      <c r="BB551" s="0" t="s">
        <v>228</v>
      </c>
      <c r="BC551" s="0" t="s">
        <v>228</v>
      </c>
      <c r="BD551" s="0" t="s">
        <v>228</v>
      </c>
      <c r="BE551" s="0" t="s">
        <v>228</v>
      </c>
      <c r="BF551" s="0" t="s">
        <v>228</v>
      </c>
      <c r="BG551" s="0" t="s">
        <v>228</v>
      </c>
      <c r="BH551" s="0" t="s">
        <v>228</v>
      </c>
      <c r="BI551" s="0" t="s">
        <v>228</v>
      </c>
      <c r="BJ551" s="0" t="s">
        <v>228</v>
      </c>
      <c r="BK551" s="0" t="s">
        <v>228</v>
      </c>
      <c r="BL551" s="0" t="s">
        <v>228</v>
      </c>
      <c r="BM551" s="0" t="s">
        <v>228</v>
      </c>
      <c r="BN551" s="0" t="s">
        <v>228</v>
      </c>
      <c r="BO551" s="0" t="s">
        <v>228</v>
      </c>
      <c r="BP551" s="0" t="s">
        <v>228</v>
      </c>
      <c r="BQ551" s="0" t="s">
        <v>228</v>
      </c>
      <c r="BR551" s="0" t="s">
        <v>228</v>
      </c>
      <c r="BS551" s="0" t="s">
        <v>228</v>
      </c>
      <c r="BT551" s="0" t="s">
        <v>228</v>
      </c>
      <c r="BU551" s="0" t="s">
        <v>228</v>
      </c>
      <c r="BV551" s="0" t="s">
        <v>228</v>
      </c>
      <c r="BW551" s="0" t="s">
        <v>228</v>
      </c>
      <c r="BX551" s="0" t="s">
        <v>228</v>
      </c>
      <c r="BY551" s="0" t="s">
        <v>228</v>
      </c>
      <c r="BZ551" s="0" t="s">
        <v>228</v>
      </c>
      <c r="CA551" s="0" t="s">
        <v>228</v>
      </c>
      <c r="CB551" s="0" t="s">
        <v>228</v>
      </c>
      <c r="CC551" s="0" t="s">
        <v>228</v>
      </c>
      <c r="CD551" s="0" t="s">
        <v>228</v>
      </c>
      <c r="CE551" s="0" t="s">
        <v>228</v>
      </c>
      <c r="CF551" s="0" t="s">
        <v>228</v>
      </c>
      <c r="CG551" s="0" t="s">
        <v>228</v>
      </c>
      <c r="CH551" s="0" t="s">
        <v>228</v>
      </c>
      <c r="CI551" s="0" t="s">
        <v>228</v>
      </c>
      <c r="CJ551" s="0" t="s">
        <v>228</v>
      </c>
      <c r="CK551" s="0" t="s">
        <v>228</v>
      </c>
      <c r="CL551" s="0" t="s">
        <v>228</v>
      </c>
      <c r="CM551" s="0" t="s">
        <v>228</v>
      </c>
      <c r="CN551" s="0" t="s">
        <v>228</v>
      </c>
      <c r="CO551" s="0" t="s">
        <v>228</v>
      </c>
      <c r="CP551" s="0" t="s">
        <v>228</v>
      </c>
      <c r="CQ551" s="0" t="s">
        <v>228</v>
      </c>
      <c r="CR551" s="0" t="s">
        <v>228</v>
      </c>
      <c r="CS551" s="0" t="s">
        <v>228</v>
      </c>
      <c r="CT551" s="0" t="s">
        <v>3568</v>
      </c>
      <c r="CU551" s="0" t="s">
        <v>3569</v>
      </c>
      <c r="CV551" s="0" t="s">
        <v>418</v>
      </c>
      <c r="CW551" s="0" t="s">
        <v>3622</v>
      </c>
      <c r="CX551" s="0" t="s">
        <v>419</v>
      </c>
      <c r="CY551" s="0" t="s">
        <v>418</v>
      </c>
      <c r="CZ551" s="0" t="s">
        <v>3623</v>
      </c>
      <c r="DA551" s="0" t="s">
        <v>3624</v>
      </c>
      <c r="DB551" s="0" t="s">
        <v>3622</v>
      </c>
      <c r="DC551" s="0" t="s">
        <v>362</v>
      </c>
      <c r="DD551" s="0" t="s">
        <v>3572</v>
      </c>
      <c r="DE551" s="0" t="s">
        <v>4679</v>
      </c>
    </row>
    <row customHeight="1" ht="11.25">
      <c r="A552" s="1353" t="s">
        <v>228</v>
      </c>
      <c r="B552" s="0" t="s">
        <v>228</v>
      </c>
      <c r="C552" s="0" t="s">
        <v>228</v>
      </c>
      <c r="D552" s="0" t="s">
        <v>228</v>
      </c>
      <c r="E552" s="0" t="s">
        <v>228</v>
      </c>
      <c r="F552" s="0" t="s">
        <v>228</v>
      </c>
      <c r="G552" s="0" t="s">
        <v>228</v>
      </c>
      <c r="H552" s="0" t="s">
        <v>228</v>
      </c>
      <c r="I552" s="0" t="s">
        <v>3555</v>
      </c>
      <c r="J552" s="0" t="s">
        <v>228</v>
      </c>
      <c r="K552" s="0" t="s">
        <v>228</v>
      </c>
      <c r="L552" s="0" t="s">
        <v>228</v>
      </c>
      <c r="M552" s="0" t="s">
        <v>228</v>
      </c>
      <c r="N552" s="0" t="s">
        <v>228</v>
      </c>
      <c r="O552" s="0" t="s">
        <v>228</v>
      </c>
      <c r="P552" s="0" t="s">
        <v>228</v>
      </c>
      <c r="Q552" s="0" t="s">
        <v>228</v>
      </c>
      <c r="R552" s="0" t="s">
        <v>4926</v>
      </c>
      <c r="S552" s="0" t="s">
        <v>228</v>
      </c>
      <c r="T552" s="0" t="s">
        <v>228</v>
      </c>
      <c r="U552" s="0" t="s">
        <v>101</v>
      </c>
      <c r="V552" s="0" t="s">
        <v>228</v>
      </c>
      <c r="W552" s="0" t="s">
        <v>228</v>
      </c>
      <c r="X552" s="0" t="s">
        <v>3661</v>
      </c>
      <c r="Y552" s="0" t="s">
        <v>228</v>
      </c>
      <c r="Z552" s="0" t="s">
        <v>151</v>
      </c>
      <c r="AA552" s="0" t="s">
        <v>151</v>
      </c>
      <c r="AB552" s="0" t="s">
        <v>160</v>
      </c>
      <c r="AC552" s="0" t="s">
        <v>2317</v>
      </c>
      <c r="AD552" s="0" t="s">
        <v>2317</v>
      </c>
      <c r="AE552" s="0" t="s">
        <v>2318</v>
      </c>
      <c r="AF552" s="0" t="s">
        <v>3963</v>
      </c>
      <c r="AG552" s="0" t="s">
        <v>3964</v>
      </c>
      <c r="AH552" s="0" t="s">
        <v>3651</v>
      </c>
      <c r="AI552" s="0" t="s">
        <v>3651</v>
      </c>
      <c r="AJ552" s="0" t="s">
        <v>228</v>
      </c>
      <c r="AK552" s="0" t="s">
        <v>228</v>
      </c>
      <c r="AL552" s="0" t="s">
        <v>228</v>
      </c>
      <c r="AM552" s="0" t="s">
        <v>228</v>
      </c>
      <c r="AN552" s="0" t="s">
        <v>228</v>
      </c>
      <c r="AO552" s="0" t="s">
        <v>228</v>
      </c>
      <c r="AP552" s="0" t="s">
        <v>228</v>
      </c>
      <c r="AQ552" s="0" t="s">
        <v>228</v>
      </c>
      <c r="AR552" s="0" t="s">
        <v>228</v>
      </c>
      <c r="AS552" s="0" t="s">
        <v>228</v>
      </c>
      <c r="AT552" s="0" t="s">
        <v>228</v>
      </c>
      <c r="AU552" s="0" t="s">
        <v>228</v>
      </c>
      <c r="AV552" s="0" t="s">
        <v>228</v>
      </c>
      <c r="AW552" s="0" t="s">
        <v>228</v>
      </c>
      <c r="AX552" s="0" t="s">
        <v>228</v>
      </c>
      <c r="AY552" s="0" t="s">
        <v>228</v>
      </c>
      <c r="AZ552" s="0" t="s">
        <v>228</v>
      </c>
      <c r="BA552" s="0" t="s">
        <v>228</v>
      </c>
      <c r="BB552" s="0" t="s">
        <v>228</v>
      </c>
      <c r="BC552" s="0" t="s">
        <v>228</v>
      </c>
      <c r="BD552" s="0" t="s">
        <v>228</v>
      </c>
      <c r="BE552" s="0" t="s">
        <v>3627</v>
      </c>
      <c r="BF552" s="0" t="s">
        <v>3853</v>
      </c>
      <c r="BG552" s="0" t="s">
        <v>111</v>
      </c>
      <c r="BH552" s="0" t="s">
        <v>3665</v>
      </c>
      <c r="BI552" s="0" t="s">
        <v>122</v>
      </c>
      <c r="BJ552" s="0" t="s">
        <v>228</v>
      </c>
      <c r="BK552" s="0" t="s">
        <v>3684</v>
      </c>
      <c r="BL552" s="0" t="s">
        <v>2317</v>
      </c>
      <c r="BM552" s="0" t="s">
        <v>2317</v>
      </c>
      <c r="BN552" s="0" t="s">
        <v>3740</v>
      </c>
      <c r="BO552" s="0" t="s">
        <v>3963</v>
      </c>
      <c r="BP552" s="0" t="s">
        <v>4927</v>
      </c>
      <c r="BQ552" s="0" t="s">
        <v>3651</v>
      </c>
      <c r="BR552" s="0" t="s">
        <v>3651</v>
      </c>
      <c r="BS552" s="0" t="s">
        <v>228</v>
      </c>
      <c r="BT552" s="0" t="s">
        <v>3727</v>
      </c>
      <c r="BU552" s="0" t="s">
        <v>4928</v>
      </c>
      <c r="BV552" s="0" t="s">
        <v>4928</v>
      </c>
      <c r="BW552" s="0" t="s">
        <v>3674</v>
      </c>
      <c r="BX552" s="0" t="s">
        <v>3674</v>
      </c>
      <c r="BY552" s="0" t="s">
        <v>3674</v>
      </c>
      <c r="BZ552" s="0" t="s">
        <v>3674</v>
      </c>
      <c r="CA552" s="0" t="s">
        <v>3674</v>
      </c>
      <c r="CB552" s="0" t="s">
        <v>228</v>
      </c>
      <c r="CC552" s="0" t="s">
        <v>228</v>
      </c>
      <c r="CD552" s="0" t="s">
        <v>228</v>
      </c>
      <c r="CE552" s="0" t="s">
        <v>228</v>
      </c>
      <c r="CF552" s="0" t="s">
        <v>228</v>
      </c>
      <c r="CG552" s="0" t="s">
        <v>3674</v>
      </c>
      <c r="CH552" s="0" t="s">
        <v>228</v>
      </c>
      <c r="CI552" s="0" t="s">
        <v>228</v>
      </c>
      <c r="CJ552" s="0" t="s">
        <v>228</v>
      </c>
      <c r="CK552" s="0" t="s">
        <v>228</v>
      </c>
      <c r="CL552" s="0" t="s">
        <v>228</v>
      </c>
      <c r="CM552" s="0" t="s">
        <v>4928</v>
      </c>
      <c r="CN552" s="0" t="s">
        <v>4928</v>
      </c>
      <c r="CO552" s="0" t="s">
        <v>228</v>
      </c>
      <c r="CP552" s="0" t="s">
        <v>228</v>
      </c>
      <c r="CQ552" s="0" t="s">
        <v>228</v>
      </c>
      <c r="CR552" s="0" t="s">
        <v>228</v>
      </c>
      <c r="CS552" s="0" t="s">
        <v>3743</v>
      </c>
      <c r="CT552" s="0" t="s">
        <v>3568</v>
      </c>
      <c r="CU552" s="0" t="s">
        <v>3569</v>
      </c>
      <c r="CV552" s="0" t="s">
        <v>418</v>
      </c>
      <c r="CW552" s="0" t="s">
        <v>3622</v>
      </c>
      <c r="CX552" s="0" t="s">
        <v>419</v>
      </c>
      <c r="CY552" s="0" t="s">
        <v>418</v>
      </c>
      <c r="CZ552" s="0" t="s">
        <v>3623</v>
      </c>
      <c r="DA552" s="0" t="s">
        <v>3624</v>
      </c>
      <c r="DB552" s="0" t="s">
        <v>3622</v>
      </c>
      <c r="DC552" s="0" t="s">
        <v>362</v>
      </c>
      <c r="DD552" s="0" t="s">
        <v>3572</v>
      </c>
      <c r="DE552" s="0" t="s">
        <v>4929</v>
      </c>
    </row>
    <row customHeight="1" ht="11.25">
      <c r="A553" s="1353" t="s">
        <v>228</v>
      </c>
      <c r="B553" s="0" t="s">
        <v>228</v>
      </c>
      <c r="C553" s="0" t="s">
        <v>228</v>
      </c>
      <c r="D553" s="0" t="s">
        <v>228</v>
      </c>
      <c r="E553" s="0" t="s">
        <v>228</v>
      </c>
      <c r="F553" s="0" t="s">
        <v>228</v>
      </c>
      <c r="G553" s="0" t="s">
        <v>228</v>
      </c>
      <c r="H553" s="0" t="s">
        <v>228</v>
      </c>
      <c r="I553" s="0" t="s">
        <v>3555</v>
      </c>
      <c r="J553" s="0" t="s">
        <v>228</v>
      </c>
      <c r="K553" s="0" t="s">
        <v>228</v>
      </c>
      <c r="L553" s="0" t="s">
        <v>228</v>
      </c>
      <c r="M553" s="0" t="s">
        <v>228</v>
      </c>
      <c r="N553" s="0" t="s">
        <v>228</v>
      </c>
      <c r="O553" s="0" t="s">
        <v>228</v>
      </c>
      <c r="P553" s="0" t="s">
        <v>228</v>
      </c>
      <c r="Q553" s="0" t="s">
        <v>228</v>
      </c>
      <c r="R553" s="0" t="s">
        <v>3648</v>
      </c>
      <c r="S553" s="0" t="s">
        <v>228</v>
      </c>
      <c r="T553" s="0" t="s">
        <v>228</v>
      </c>
      <c r="U553" s="0" t="s">
        <v>101</v>
      </c>
      <c r="V553" s="0" t="s">
        <v>228</v>
      </c>
      <c r="W553" s="0" t="s">
        <v>228</v>
      </c>
      <c r="X553" s="0" t="s">
        <v>3557</v>
      </c>
      <c r="Y553" s="0" t="s">
        <v>228</v>
      </c>
      <c r="Z553" s="0" t="s">
        <v>160</v>
      </c>
      <c r="AA553" s="0" t="s">
        <v>151</v>
      </c>
      <c r="AB553" s="0" t="s">
        <v>151</v>
      </c>
      <c r="AC553" s="0" t="s">
        <v>2317</v>
      </c>
      <c r="AD553" s="0" t="s">
        <v>2317</v>
      </c>
      <c r="AE553" s="0" t="s">
        <v>2318</v>
      </c>
      <c r="AF553" s="0" t="s">
        <v>3923</v>
      </c>
      <c r="AG553" s="0" t="s">
        <v>3924</v>
      </c>
      <c r="AH553" s="0" t="s">
        <v>3925</v>
      </c>
      <c r="AI553" s="0" t="s">
        <v>3926</v>
      </c>
      <c r="AJ553" s="0" t="s">
        <v>3579</v>
      </c>
      <c r="AK553" s="0" t="s">
        <v>3619</v>
      </c>
      <c r="AL553" s="0" t="s">
        <v>3581</v>
      </c>
      <c r="AM553" s="0" t="s">
        <v>3565</v>
      </c>
      <c r="AN553" s="0" t="s">
        <v>3620</v>
      </c>
      <c r="AO553" s="0" t="s">
        <v>3583</v>
      </c>
      <c r="AP553" s="0" t="s">
        <v>228</v>
      </c>
      <c r="AQ553" s="0" t="s">
        <v>228</v>
      </c>
      <c r="AR553" s="0" t="s">
        <v>228</v>
      </c>
      <c r="AS553" s="0" t="s">
        <v>228</v>
      </c>
      <c r="AT553" s="0" t="s">
        <v>228</v>
      </c>
      <c r="AU553" s="0" t="s">
        <v>228</v>
      </c>
      <c r="AV553" s="0" t="s">
        <v>228</v>
      </c>
      <c r="AW553" s="0" t="s">
        <v>228</v>
      </c>
      <c r="AX553" s="0" t="s">
        <v>228</v>
      </c>
      <c r="AY553" s="0" t="s">
        <v>228</v>
      </c>
      <c r="AZ553" s="0" t="s">
        <v>228</v>
      </c>
      <c r="BA553" s="0" t="s">
        <v>228</v>
      </c>
      <c r="BB553" s="0" t="s">
        <v>228</v>
      </c>
      <c r="BC553" s="0" t="s">
        <v>228</v>
      </c>
      <c r="BD553" s="0" t="s">
        <v>228</v>
      </c>
      <c r="BE553" s="0" t="s">
        <v>228</v>
      </c>
      <c r="BF553" s="0" t="s">
        <v>228</v>
      </c>
      <c r="BG553" s="0" t="s">
        <v>228</v>
      </c>
      <c r="BH553" s="0" t="s">
        <v>228</v>
      </c>
      <c r="BI553" s="0" t="s">
        <v>228</v>
      </c>
      <c r="BJ553" s="0" t="s">
        <v>228</v>
      </c>
      <c r="BK553" s="0" t="s">
        <v>228</v>
      </c>
      <c r="BL553" s="0" t="s">
        <v>228</v>
      </c>
      <c r="BM553" s="0" t="s">
        <v>228</v>
      </c>
      <c r="BN553" s="0" t="s">
        <v>228</v>
      </c>
      <c r="BO553" s="0" t="s">
        <v>228</v>
      </c>
      <c r="BP553" s="0" t="s">
        <v>228</v>
      </c>
      <c r="BQ553" s="0" t="s">
        <v>228</v>
      </c>
      <c r="BR553" s="0" t="s">
        <v>228</v>
      </c>
      <c r="BS553" s="0" t="s">
        <v>228</v>
      </c>
      <c r="BT553" s="0" t="s">
        <v>228</v>
      </c>
      <c r="BU553" s="0" t="s">
        <v>228</v>
      </c>
      <c r="BV553" s="0" t="s">
        <v>228</v>
      </c>
      <c r="BW553" s="0" t="s">
        <v>228</v>
      </c>
      <c r="BX553" s="0" t="s">
        <v>228</v>
      </c>
      <c r="BY553" s="0" t="s">
        <v>228</v>
      </c>
      <c r="BZ553" s="0" t="s">
        <v>228</v>
      </c>
      <c r="CA553" s="0" t="s">
        <v>228</v>
      </c>
      <c r="CB553" s="0" t="s">
        <v>228</v>
      </c>
      <c r="CC553" s="0" t="s">
        <v>228</v>
      </c>
      <c r="CD553" s="0" t="s">
        <v>228</v>
      </c>
      <c r="CE553" s="0" t="s">
        <v>228</v>
      </c>
      <c r="CF553" s="0" t="s">
        <v>228</v>
      </c>
      <c r="CG553" s="0" t="s">
        <v>228</v>
      </c>
      <c r="CH553" s="0" t="s">
        <v>228</v>
      </c>
      <c r="CI553" s="0" t="s">
        <v>228</v>
      </c>
      <c r="CJ553" s="0" t="s">
        <v>228</v>
      </c>
      <c r="CK553" s="0" t="s">
        <v>228</v>
      </c>
      <c r="CL553" s="0" t="s">
        <v>228</v>
      </c>
      <c r="CM553" s="0" t="s">
        <v>228</v>
      </c>
      <c r="CN553" s="0" t="s">
        <v>228</v>
      </c>
      <c r="CO553" s="0" t="s">
        <v>228</v>
      </c>
      <c r="CP553" s="0" t="s">
        <v>228</v>
      </c>
      <c r="CQ553" s="0" t="s">
        <v>228</v>
      </c>
      <c r="CR553" s="0" t="s">
        <v>228</v>
      </c>
      <c r="CS553" s="0" t="s">
        <v>228</v>
      </c>
      <c r="CT553" s="0" t="s">
        <v>3568</v>
      </c>
      <c r="CU553" s="0" t="s">
        <v>3569</v>
      </c>
      <c r="CV553" s="0" t="s">
        <v>418</v>
      </c>
      <c r="CW553" s="0" t="s">
        <v>3622</v>
      </c>
      <c r="CX553" s="0" t="s">
        <v>419</v>
      </c>
      <c r="CY553" s="0" t="s">
        <v>418</v>
      </c>
      <c r="CZ553" s="0" t="s">
        <v>3623</v>
      </c>
      <c r="DA553" s="0" t="s">
        <v>3624</v>
      </c>
      <c r="DB553" s="0" t="s">
        <v>3622</v>
      </c>
      <c r="DC553" s="0" t="s">
        <v>362</v>
      </c>
      <c r="DD553" s="0" t="s">
        <v>3572</v>
      </c>
      <c r="DE553" s="0" t="s">
        <v>3927</v>
      </c>
    </row>
    <row customHeight="1" ht="11.25">
      <c r="A554" s="1353" t="s">
        <v>228</v>
      </c>
      <c r="B554" s="0" t="s">
        <v>228</v>
      </c>
      <c r="C554" s="0" t="s">
        <v>228</v>
      </c>
      <c r="D554" s="0" t="s">
        <v>228</v>
      </c>
      <c r="E554" s="0" t="s">
        <v>228</v>
      </c>
      <c r="F554" s="0" t="s">
        <v>228</v>
      </c>
      <c r="G554" s="0" t="s">
        <v>228</v>
      </c>
      <c r="H554" s="0" t="s">
        <v>228</v>
      </c>
      <c r="I554" s="0" t="s">
        <v>3555</v>
      </c>
      <c r="J554" s="0" t="s">
        <v>228</v>
      </c>
      <c r="K554" s="0" t="s">
        <v>228</v>
      </c>
      <c r="L554" s="0" t="s">
        <v>228</v>
      </c>
      <c r="M554" s="0" t="s">
        <v>228</v>
      </c>
      <c r="N554" s="0" t="s">
        <v>228</v>
      </c>
      <c r="O554" s="0" t="s">
        <v>228</v>
      </c>
      <c r="P554" s="0" t="s">
        <v>228</v>
      </c>
      <c r="Q554" s="0" t="s">
        <v>228</v>
      </c>
      <c r="R554" s="0" t="s">
        <v>3648</v>
      </c>
      <c r="S554" s="0" t="s">
        <v>228</v>
      </c>
      <c r="T554" s="0" t="s">
        <v>228</v>
      </c>
      <c r="U554" s="0" t="s">
        <v>101</v>
      </c>
      <c r="V554" s="0" t="s">
        <v>228</v>
      </c>
      <c r="W554" s="0" t="s">
        <v>228</v>
      </c>
      <c r="X554" s="0" t="s">
        <v>3557</v>
      </c>
      <c r="Y554" s="0" t="s">
        <v>228</v>
      </c>
      <c r="Z554" s="0" t="s">
        <v>160</v>
      </c>
      <c r="AA554" s="0" t="s">
        <v>151</v>
      </c>
      <c r="AB554" s="0" t="s">
        <v>151</v>
      </c>
      <c r="AC554" s="0" t="s">
        <v>2317</v>
      </c>
      <c r="AD554" s="0" t="s">
        <v>2317</v>
      </c>
      <c r="AE554" s="0" t="s">
        <v>2318</v>
      </c>
      <c r="AF554" s="0" t="s">
        <v>3923</v>
      </c>
      <c r="AG554" s="0" t="s">
        <v>3924</v>
      </c>
      <c r="AH554" s="0" t="s">
        <v>4203</v>
      </c>
      <c r="AI554" s="0" t="s">
        <v>3811</v>
      </c>
      <c r="AJ554" s="0" t="s">
        <v>3579</v>
      </c>
      <c r="AK554" s="0" t="s">
        <v>3619</v>
      </c>
      <c r="AL554" s="0" t="s">
        <v>3581</v>
      </c>
      <c r="AM554" s="0" t="s">
        <v>3565</v>
      </c>
      <c r="AN554" s="0" t="s">
        <v>3620</v>
      </c>
      <c r="AO554" s="0" t="s">
        <v>3583</v>
      </c>
      <c r="AP554" s="0" t="s">
        <v>228</v>
      </c>
      <c r="AQ554" s="0" t="s">
        <v>228</v>
      </c>
      <c r="AR554" s="0" t="s">
        <v>228</v>
      </c>
      <c r="AS554" s="0" t="s">
        <v>228</v>
      </c>
      <c r="AT554" s="0" t="s">
        <v>228</v>
      </c>
      <c r="AU554" s="0" t="s">
        <v>228</v>
      </c>
      <c r="AV554" s="0" t="s">
        <v>228</v>
      </c>
      <c r="AW554" s="0" t="s">
        <v>228</v>
      </c>
      <c r="AX554" s="0" t="s">
        <v>228</v>
      </c>
      <c r="AY554" s="0" t="s">
        <v>228</v>
      </c>
      <c r="AZ554" s="0" t="s">
        <v>228</v>
      </c>
      <c r="BA554" s="0" t="s">
        <v>228</v>
      </c>
      <c r="BB554" s="0" t="s">
        <v>228</v>
      </c>
      <c r="BC554" s="0" t="s">
        <v>228</v>
      </c>
      <c r="BD554" s="0" t="s">
        <v>228</v>
      </c>
      <c r="BE554" s="0" t="s">
        <v>228</v>
      </c>
      <c r="BF554" s="0" t="s">
        <v>228</v>
      </c>
      <c r="BG554" s="0" t="s">
        <v>228</v>
      </c>
      <c r="BH554" s="0" t="s">
        <v>228</v>
      </c>
      <c r="BI554" s="0" t="s">
        <v>228</v>
      </c>
      <c r="BJ554" s="0" t="s">
        <v>228</v>
      </c>
      <c r="BK554" s="0" t="s">
        <v>228</v>
      </c>
      <c r="BL554" s="0" t="s">
        <v>228</v>
      </c>
      <c r="BM554" s="0" t="s">
        <v>228</v>
      </c>
      <c r="BN554" s="0" t="s">
        <v>228</v>
      </c>
      <c r="BO554" s="0" t="s">
        <v>228</v>
      </c>
      <c r="BP554" s="0" t="s">
        <v>228</v>
      </c>
      <c r="BQ554" s="0" t="s">
        <v>228</v>
      </c>
      <c r="BR554" s="0" t="s">
        <v>228</v>
      </c>
      <c r="BS554" s="0" t="s">
        <v>228</v>
      </c>
      <c r="BT554" s="0" t="s">
        <v>228</v>
      </c>
      <c r="BU554" s="0" t="s">
        <v>228</v>
      </c>
      <c r="BV554" s="0" t="s">
        <v>228</v>
      </c>
      <c r="BW554" s="0" t="s">
        <v>228</v>
      </c>
      <c r="BX554" s="0" t="s">
        <v>228</v>
      </c>
      <c r="BY554" s="0" t="s">
        <v>228</v>
      </c>
      <c r="BZ554" s="0" t="s">
        <v>228</v>
      </c>
      <c r="CA554" s="0" t="s">
        <v>228</v>
      </c>
      <c r="CB554" s="0" t="s">
        <v>228</v>
      </c>
      <c r="CC554" s="0" t="s">
        <v>228</v>
      </c>
      <c r="CD554" s="0" t="s">
        <v>228</v>
      </c>
      <c r="CE554" s="0" t="s">
        <v>228</v>
      </c>
      <c r="CF554" s="0" t="s">
        <v>228</v>
      </c>
      <c r="CG554" s="0" t="s">
        <v>228</v>
      </c>
      <c r="CH554" s="0" t="s">
        <v>228</v>
      </c>
      <c r="CI554" s="0" t="s">
        <v>228</v>
      </c>
      <c r="CJ554" s="0" t="s">
        <v>228</v>
      </c>
      <c r="CK554" s="0" t="s">
        <v>228</v>
      </c>
      <c r="CL554" s="0" t="s">
        <v>228</v>
      </c>
      <c r="CM554" s="0" t="s">
        <v>228</v>
      </c>
      <c r="CN554" s="0" t="s">
        <v>228</v>
      </c>
      <c r="CO554" s="0" t="s">
        <v>228</v>
      </c>
      <c r="CP554" s="0" t="s">
        <v>228</v>
      </c>
      <c r="CQ554" s="0" t="s">
        <v>228</v>
      </c>
      <c r="CR554" s="0" t="s">
        <v>228</v>
      </c>
      <c r="CS554" s="0" t="s">
        <v>228</v>
      </c>
      <c r="CT554" s="0" t="s">
        <v>3568</v>
      </c>
      <c r="CU554" s="0" t="s">
        <v>3569</v>
      </c>
      <c r="CV554" s="0" t="s">
        <v>418</v>
      </c>
      <c r="CW554" s="0" t="s">
        <v>3622</v>
      </c>
      <c r="CX554" s="0" t="s">
        <v>419</v>
      </c>
      <c r="CY554" s="0" t="s">
        <v>418</v>
      </c>
      <c r="CZ554" s="0" t="s">
        <v>3623</v>
      </c>
      <c r="DA554" s="0" t="s">
        <v>3624</v>
      </c>
      <c r="DB554" s="0" t="s">
        <v>3622</v>
      </c>
      <c r="DC554" s="0" t="s">
        <v>362</v>
      </c>
      <c r="DD554" s="0" t="s">
        <v>3572</v>
      </c>
      <c r="DE554" s="0" t="s">
        <v>4204</v>
      </c>
    </row>
    <row customHeight="1" ht="11.25">
      <c r="A555" s="1353" t="s">
        <v>228</v>
      </c>
      <c r="B555" s="0" t="s">
        <v>228</v>
      </c>
      <c r="C555" s="0" t="s">
        <v>228</v>
      </c>
      <c r="D555" s="0" t="s">
        <v>228</v>
      </c>
      <c r="E555" s="0" t="s">
        <v>228</v>
      </c>
      <c r="F555" s="0" t="s">
        <v>228</v>
      </c>
      <c r="G555" s="0" t="s">
        <v>228</v>
      </c>
      <c r="H555" s="0" t="s">
        <v>228</v>
      </c>
      <c r="I555" s="0" t="s">
        <v>3555</v>
      </c>
      <c r="J555" s="0" t="s">
        <v>228</v>
      </c>
      <c r="K555" s="0" t="s">
        <v>228</v>
      </c>
      <c r="L555" s="0" t="s">
        <v>228</v>
      </c>
      <c r="M555" s="0" t="s">
        <v>228</v>
      </c>
      <c r="N555" s="0" t="s">
        <v>228</v>
      </c>
      <c r="O555" s="0" t="s">
        <v>228</v>
      </c>
      <c r="P555" s="0" t="s">
        <v>228</v>
      </c>
      <c r="Q555" s="0" t="s">
        <v>228</v>
      </c>
      <c r="R555" s="0" t="s">
        <v>3648</v>
      </c>
      <c r="S555" s="0" t="s">
        <v>228</v>
      </c>
      <c r="T555" s="0" t="s">
        <v>228</v>
      </c>
      <c r="U555" s="0" t="s">
        <v>101</v>
      </c>
      <c r="V555" s="0" t="s">
        <v>228</v>
      </c>
      <c r="W555" s="0" t="s">
        <v>228</v>
      </c>
      <c r="X555" s="0" t="s">
        <v>3557</v>
      </c>
      <c r="Y555" s="0" t="s">
        <v>228</v>
      </c>
      <c r="Z555" s="0" t="s">
        <v>160</v>
      </c>
      <c r="AA555" s="0" t="s">
        <v>151</v>
      </c>
      <c r="AB555" s="0" t="s">
        <v>151</v>
      </c>
      <c r="AC555" s="0" t="s">
        <v>2315</v>
      </c>
      <c r="AD555" s="0" t="s">
        <v>2315</v>
      </c>
      <c r="AE555" s="0" t="s">
        <v>2316</v>
      </c>
      <c r="AF555" s="0" t="s">
        <v>3931</v>
      </c>
      <c r="AG555" s="0" t="s">
        <v>3932</v>
      </c>
      <c r="AH555" s="0" t="s">
        <v>3933</v>
      </c>
      <c r="AI555" s="0" t="s">
        <v>489</v>
      </c>
      <c r="AJ555" s="0" t="s">
        <v>3652</v>
      </c>
      <c r="AK555" s="0" t="s">
        <v>3891</v>
      </c>
      <c r="AL555" s="0" t="s">
        <v>3581</v>
      </c>
      <c r="AM555" s="0" t="s">
        <v>3565</v>
      </c>
      <c r="AN555" s="0" t="s">
        <v>3654</v>
      </c>
      <c r="AO555" s="0" t="s">
        <v>3934</v>
      </c>
      <c r="AP555" s="0" t="s">
        <v>228</v>
      </c>
      <c r="AQ555" s="0" t="s">
        <v>228</v>
      </c>
      <c r="AR555" s="0" t="s">
        <v>228</v>
      </c>
      <c r="AS555" s="0" t="s">
        <v>228</v>
      </c>
      <c r="AT555" s="0" t="s">
        <v>228</v>
      </c>
      <c r="AU555" s="0" t="s">
        <v>228</v>
      </c>
      <c r="AV555" s="0" t="s">
        <v>228</v>
      </c>
      <c r="AW555" s="0" t="s">
        <v>228</v>
      </c>
      <c r="AX555" s="0" t="s">
        <v>228</v>
      </c>
      <c r="AY555" s="0" t="s">
        <v>228</v>
      </c>
      <c r="AZ555" s="0" t="s">
        <v>228</v>
      </c>
      <c r="BA555" s="0" t="s">
        <v>228</v>
      </c>
      <c r="BB555" s="0" t="s">
        <v>228</v>
      </c>
      <c r="BC555" s="0" t="s">
        <v>228</v>
      </c>
      <c r="BD555" s="0" t="s">
        <v>228</v>
      </c>
      <c r="BE555" s="0" t="s">
        <v>228</v>
      </c>
      <c r="BF555" s="0" t="s">
        <v>228</v>
      </c>
      <c r="BG555" s="0" t="s">
        <v>228</v>
      </c>
      <c r="BH555" s="0" t="s">
        <v>228</v>
      </c>
      <c r="BI555" s="0" t="s">
        <v>228</v>
      </c>
      <c r="BJ555" s="0" t="s">
        <v>228</v>
      </c>
      <c r="BK555" s="0" t="s">
        <v>228</v>
      </c>
      <c r="BL555" s="0" t="s">
        <v>228</v>
      </c>
      <c r="BM555" s="0" t="s">
        <v>228</v>
      </c>
      <c r="BN555" s="0" t="s">
        <v>228</v>
      </c>
      <c r="BO555" s="0" t="s">
        <v>228</v>
      </c>
      <c r="BP555" s="0" t="s">
        <v>228</v>
      </c>
      <c r="BQ555" s="0" t="s">
        <v>228</v>
      </c>
      <c r="BR555" s="0" t="s">
        <v>228</v>
      </c>
      <c r="BS555" s="0" t="s">
        <v>228</v>
      </c>
      <c r="BT555" s="0" t="s">
        <v>228</v>
      </c>
      <c r="BU555" s="0" t="s">
        <v>228</v>
      </c>
      <c r="BV555" s="0" t="s">
        <v>228</v>
      </c>
      <c r="BW555" s="0" t="s">
        <v>228</v>
      </c>
      <c r="BX555" s="0" t="s">
        <v>228</v>
      </c>
      <c r="BY555" s="0" t="s">
        <v>228</v>
      </c>
      <c r="BZ555" s="0" t="s">
        <v>228</v>
      </c>
      <c r="CA555" s="0" t="s">
        <v>228</v>
      </c>
      <c r="CB555" s="0" t="s">
        <v>228</v>
      </c>
      <c r="CC555" s="0" t="s">
        <v>228</v>
      </c>
      <c r="CD555" s="0" t="s">
        <v>228</v>
      </c>
      <c r="CE555" s="0" t="s">
        <v>228</v>
      </c>
      <c r="CF555" s="0" t="s">
        <v>228</v>
      </c>
      <c r="CG555" s="0" t="s">
        <v>228</v>
      </c>
      <c r="CH555" s="0" t="s">
        <v>228</v>
      </c>
      <c r="CI555" s="0" t="s">
        <v>228</v>
      </c>
      <c r="CJ555" s="0" t="s">
        <v>228</v>
      </c>
      <c r="CK555" s="0" t="s">
        <v>228</v>
      </c>
      <c r="CL555" s="0" t="s">
        <v>228</v>
      </c>
      <c r="CM555" s="0" t="s">
        <v>228</v>
      </c>
      <c r="CN555" s="0" t="s">
        <v>228</v>
      </c>
      <c r="CO555" s="0" t="s">
        <v>228</v>
      </c>
      <c r="CP555" s="0" t="s">
        <v>228</v>
      </c>
      <c r="CQ555" s="0" t="s">
        <v>228</v>
      </c>
      <c r="CR555" s="0" t="s">
        <v>228</v>
      </c>
      <c r="CS555" s="0" t="s">
        <v>228</v>
      </c>
      <c r="CT555" s="0" t="s">
        <v>3568</v>
      </c>
      <c r="CU555" s="0" t="s">
        <v>3569</v>
      </c>
      <c r="CV555" s="0" t="s">
        <v>418</v>
      </c>
      <c r="CW555" s="0" t="s">
        <v>3656</v>
      </c>
      <c r="CX555" s="0" t="s">
        <v>419</v>
      </c>
      <c r="CY555" s="0" t="s">
        <v>418</v>
      </c>
      <c r="CZ555" s="0" t="s">
        <v>3657</v>
      </c>
      <c r="DA555" s="0" t="s">
        <v>3658</v>
      </c>
      <c r="DB555" s="0" t="s">
        <v>3656</v>
      </c>
      <c r="DC555" s="0" t="s">
        <v>362</v>
      </c>
      <c r="DD555" s="0" t="s">
        <v>3572</v>
      </c>
      <c r="DE555" s="0" t="s">
        <v>3935</v>
      </c>
    </row>
    <row customHeight="1" ht="11.25">
      <c r="A556" s="1353" t="s">
        <v>228</v>
      </c>
      <c r="B556" s="0" t="s">
        <v>228</v>
      </c>
      <c r="C556" s="0" t="s">
        <v>228</v>
      </c>
      <c r="D556" s="0" t="s">
        <v>228</v>
      </c>
      <c r="E556" s="0" t="s">
        <v>228</v>
      </c>
      <c r="F556" s="0" t="s">
        <v>228</v>
      </c>
      <c r="G556" s="0" t="s">
        <v>228</v>
      </c>
      <c r="H556" s="0" t="s">
        <v>228</v>
      </c>
      <c r="I556" s="0" t="s">
        <v>3555</v>
      </c>
      <c r="J556" s="0" t="s">
        <v>228</v>
      </c>
      <c r="K556" s="0" t="s">
        <v>228</v>
      </c>
      <c r="L556" s="0" t="s">
        <v>228</v>
      </c>
      <c r="M556" s="0" t="s">
        <v>228</v>
      </c>
      <c r="N556" s="0" t="s">
        <v>228</v>
      </c>
      <c r="O556" s="0" t="s">
        <v>228</v>
      </c>
      <c r="P556" s="0" t="s">
        <v>228</v>
      </c>
      <c r="Q556" s="0" t="s">
        <v>228</v>
      </c>
      <c r="R556" s="0" t="s">
        <v>3648</v>
      </c>
      <c r="S556" s="0" t="s">
        <v>228</v>
      </c>
      <c r="T556" s="0" t="s">
        <v>228</v>
      </c>
      <c r="U556" s="0" t="s">
        <v>101</v>
      </c>
      <c r="V556" s="0" t="s">
        <v>228</v>
      </c>
      <c r="W556" s="0" t="s">
        <v>228</v>
      </c>
      <c r="X556" s="0" t="s">
        <v>3557</v>
      </c>
      <c r="Y556" s="0" t="s">
        <v>228</v>
      </c>
      <c r="Z556" s="0" t="s">
        <v>160</v>
      </c>
      <c r="AA556" s="0" t="s">
        <v>151</v>
      </c>
      <c r="AB556" s="0" t="s">
        <v>151</v>
      </c>
      <c r="AC556" s="0" t="s">
        <v>2315</v>
      </c>
      <c r="AD556" s="0" t="s">
        <v>2315</v>
      </c>
      <c r="AE556" s="0" t="s">
        <v>2316</v>
      </c>
      <c r="AF556" s="0" t="s">
        <v>3931</v>
      </c>
      <c r="AG556" s="0" t="s">
        <v>3932</v>
      </c>
      <c r="AH556" s="0" t="s">
        <v>4214</v>
      </c>
      <c r="AI556" s="0" t="s">
        <v>4215</v>
      </c>
      <c r="AJ556" s="0" t="s">
        <v>3652</v>
      </c>
      <c r="AK556" s="0" t="s">
        <v>3891</v>
      </c>
      <c r="AL556" s="0" t="s">
        <v>3581</v>
      </c>
      <c r="AM556" s="0" t="s">
        <v>3565</v>
      </c>
      <c r="AN556" s="0" t="s">
        <v>3654</v>
      </c>
      <c r="AO556" s="0" t="s">
        <v>3845</v>
      </c>
      <c r="AP556" s="0" t="s">
        <v>228</v>
      </c>
      <c r="AQ556" s="0" t="s">
        <v>228</v>
      </c>
      <c r="AR556" s="0" t="s">
        <v>228</v>
      </c>
      <c r="AS556" s="0" t="s">
        <v>228</v>
      </c>
      <c r="AT556" s="0" t="s">
        <v>228</v>
      </c>
      <c r="AU556" s="0" t="s">
        <v>228</v>
      </c>
      <c r="AV556" s="0" t="s">
        <v>228</v>
      </c>
      <c r="AW556" s="0" t="s">
        <v>228</v>
      </c>
      <c r="AX556" s="0" t="s">
        <v>228</v>
      </c>
      <c r="AY556" s="0" t="s">
        <v>228</v>
      </c>
      <c r="AZ556" s="0" t="s">
        <v>228</v>
      </c>
      <c r="BA556" s="0" t="s">
        <v>228</v>
      </c>
      <c r="BB556" s="0" t="s">
        <v>228</v>
      </c>
      <c r="BC556" s="0" t="s">
        <v>228</v>
      </c>
      <c r="BD556" s="0" t="s">
        <v>228</v>
      </c>
      <c r="BE556" s="0" t="s">
        <v>228</v>
      </c>
      <c r="BF556" s="0" t="s">
        <v>228</v>
      </c>
      <c r="BG556" s="0" t="s">
        <v>228</v>
      </c>
      <c r="BH556" s="0" t="s">
        <v>228</v>
      </c>
      <c r="BI556" s="0" t="s">
        <v>228</v>
      </c>
      <c r="BJ556" s="0" t="s">
        <v>228</v>
      </c>
      <c r="BK556" s="0" t="s">
        <v>228</v>
      </c>
      <c r="BL556" s="0" t="s">
        <v>228</v>
      </c>
      <c r="BM556" s="0" t="s">
        <v>228</v>
      </c>
      <c r="BN556" s="0" t="s">
        <v>228</v>
      </c>
      <c r="BO556" s="0" t="s">
        <v>228</v>
      </c>
      <c r="BP556" s="0" t="s">
        <v>228</v>
      </c>
      <c r="BQ556" s="0" t="s">
        <v>228</v>
      </c>
      <c r="BR556" s="0" t="s">
        <v>228</v>
      </c>
      <c r="BS556" s="0" t="s">
        <v>228</v>
      </c>
      <c r="BT556" s="0" t="s">
        <v>228</v>
      </c>
      <c r="BU556" s="0" t="s">
        <v>228</v>
      </c>
      <c r="BV556" s="0" t="s">
        <v>228</v>
      </c>
      <c r="BW556" s="0" t="s">
        <v>228</v>
      </c>
      <c r="BX556" s="0" t="s">
        <v>228</v>
      </c>
      <c r="BY556" s="0" t="s">
        <v>228</v>
      </c>
      <c r="BZ556" s="0" t="s">
        <v>228</v>
      </c>
      <c r="CA556" s="0" t="s">
        <v>228</v>
      </c>
      <c r="CB556" s="0" t="s">
        <v>228</v>
      </c>
      <c r="CC556" s="0" t="s">
        <v>228</v>
      </c>
      <c r="CD556" s="0" t="s">
        <v>228</v>
      </c>
      <c r="CE556" s="0" t="s">
        <v>228</v>
      </c>
      <c r="CF556" s="0" t="s">
        <v>228</v>
      </c>
      <c r="CG556" s="0" t="s">
        <v>228</v>
      </c>
      <c r="CH556" s="0" t="s">
        <v>228</v>
      </c>
      <c r="CI556" s="0" t="s">
        <v>228</v>
      </c>
      <c r="CJ556" s="0" t="s">
        <v>228</v>
      </c>
      <c r="CK556" s="0" t="s">
        <v>228</v>
      </c>
      <c r="CL556" s="0" t="s">
        <v>228</v>
      </c>
      <c r="CM556" s="0" t="s">
        <v>228</v>
      </c>
      <c r="CN556" s="0" t="s">
        <v>228</v>
      </c>
      <c r="CO556" s="0" t="s">
        <v>228</v>
      </c>
      <c r="CP556" s="0" t="s">
        <v>228</v>
      </c>
      <c r="CQ556" s="0" t="s">
        <v>228</v>
      </c>
      <c r="CR556" s="0" t="s">
        <v>228</v>
      </c>
      <c r="CS556" s="0" t="s">
        <v>228</v>
      </c>
      <c r="CT556" s="0" t="s">
        <v>3568</v>
      </c>
      <c r="CU556" s="0" t="s">
        <v>3569</v>
      </c>
      <c r="CV556" s="0" t="s">
        <v>418</v>
      </c>
      <c r="CW556" s="0" t="s">
        <v>3656</v>
      </c>
      <c r="CX556" s="0" t="s">
        <v>419</v>
      </c>
      <c r="CY556" s="0" t="s">
        <v>418</v>
      </c>
      <c r="CZ556" s="0" t="s">
        <v>3657</v>
      </c>
      <c r="DA556" s="0" t="s">
        <v>3658</v>
      </c>
      <c r="DB556" s="0" t="s">
        <v>3656</v>
      </c>
      <c r="DC556" s="0" t="s">
        <v>362</v>
      </c>
      <c r="DD556" s="0" t="s">
        <v>3572</v>
      </c>
      <c r="DE556" s="0" t="s">
        <v>4216</v>
      </c>
    </row>
    <row customHeight="1" ht="11.25">
      <c r="A557" s="1353" t="s">
        <v>228</v>
      </c>
      <c r="B557" s="0" t="s">
        <v>228</v>
      </c>
      <c r="C557" s="0" t="s">
        <v>228</v>
      </c>
      <c r="D557" s="0" t="s">
        <v>228</v>
      </c>
      <c r="E557" s="0" t="s">
        <v>228</v>
      </c>
      <c r="F557" s="0" t="s">
        <v>228</v>
      </c>
      <c r="G557" s="0" t="s">
        <v>228</v>
      </c>
      <c r="H557" s="0" t="s">
        <v>228</v>
      </c>
      <c r="I557" s="0" t="s">
        <v>3555</v>
      </c>
      <c r="J557" s="0" t="s">
        <v>228</v>
      </c>
      <c r="K557" s="0" t="s">
        <v>228</v>
      </c>
      <c r="L557" s="0" t="s">
        <v>228</v>
      </c>
      <c r="M557" s="0" t="s">
        <v>228</v>
      </c>
      <c r="N557" s="0" t="s">
        <v>228</v>
      </c>
      <c r="O557" s="0" t="s">
        <v>228</v>
      </c>
      <c r="P557" s="0" t="s">
        <v>228</v>
      </c>
      <c r="Q557" s="0" t="s">
        <v>228</v>
      </c>
      <c r="R557" s="0" t="s">
        <v>4217</v>
      </c>
      <c r="S557" s="0" t="s">
        <v>228</v>
      </c>
      <c r="T557" s="0" t="s">
        <v>228</v>
      </c>
      <c r="U557" s="0" t="s">
        <v>101</v>
      </c>
      <c r="V557" s="0" t="s">
        <v>228</v>
      </c>
      <c r="W557" s="0" t="s">
        <v>228</v>
      </c>
      <c r="X557" s="0" t="s">
        <v>3661</v>
      </c>
      <c r="Y557" s="0" t="s">
        <v>228</v>
      </c>
      <c r="Z557" s="0" t="s">
        <v>151</v>
      </c>
      <c r="AA557" s="0" t="s">
        <v>151</v>
      </c>
      <c r="AB557" s="0" t="s">
        <v>160</v>
      </c>
      <c r="AC557" s="0" t="s">
        <v>2315</v>
      </c>
      <c r="AD557" s="0" t="s">
        <v>2315</v>
      </c>
      <c r="AE557" s="0" t="s">
        <v>2316</v>
      </c>
      <c r="AF557" s="0" t="s">
        <v>3931</v>
      </c>
      <c r="AG557" s="0" t="s">
        <v>3932</v>
      </c>
      <c r="AH557" s="0" t="s">
        <v>3651</v>
      </c>
      <c r="AI557" s="0" t="s">
        <v>3651</v>
      </c>
      <c r="AJ557" s="0" t="s">
        <v>228</v>
      </c>
      <c r="AK557" s="0" t="s">
        <v>228</v>
      </c>
      <c r="AL557" s="0" t="s">
        <v>228</v>
      </c>
      <c r="AM557" s="0" t="s">
        <v>228</v>
      </c>
      <c r="AN557" s="0" t="s">
        <v>228</v>
      </c>
      <c r="AO557" s="0" t="s">
        <v>228</v>
      </c>
      <c r="AP557" s="0" t="s">
        <v>228</v>
      </c>
      <c r="AQ557" s="0" t="s">
        <v>228</v>
      </c>
      <c r="AR557" s="0" t="s">
        <v>228</v>
      </c>
      <c r="AS557" s="0" t="s">
        <v>228</v>
      </c>
      <c r="AT557" s="0" t="s">
        <v>228</v>
      </c>
      <c r="AU557" s="0" t="s">
        <v>228</v>
      </c>
      <c r="AV557" s="0" t="s">
        <v>228</v>
      </c>
      <c r="AW557" s="0" t="s">
        <v>228</v>
      </c>
      <c r="AX557" s="0" t="s">
        <v>228</v>
      </c>
      <c r="AY557" s="0" t="s">
        <v>228</v>
      </c>
      <c r="AZ557" s="0" t="s">
        <v>228</v>
      </c>
      <c r="BA557" s="0" t="s">
        <v>228</v>
      </c>
      <c r="BB557" s="0" t="s">
        <v>228</v>
      </c>
      <c r="BC557" s="0" t="s">
        <v>228</v>
      </c>
      <c r="BD557" s="0" t="s">
        <v>228</v>
      </c>
      <c r="BE557" s="0" t="s">
        <v>4075</v>
      </c>
      <c r="BF557" s="0" t="s">
        <v>4218</v>
      </c>
      <c r="BG557" s="0" t="s">
        <v>111</v>
      </c>
      <c r="BH557" s="0" t="s">
        <v>3665</v>
      </c>
      <c r="BI557" s="0" t="s">
        <v>122</v>
      </c>
      <c r="BJ557" s="0" t="s">
        <v>228</v>
      </c>
      <c r="BK557" s="0" t="s">
        <v>3684</v>
      </c>
      <c r="BL557" s="0" t="s">
        <v>2315</v>
      </c>
      <c r="BM557" s="0" t="s">
        <v>2315</v>
      </c>
      <c r="BN557" s="0" t="s">
        <v>3875</v>
      </c>
      <c r="BO557" s="0" t="s">
        <v>3931</v>
      </c>
      <c r="BP557" s="0" t="s">
        <v>4219</v>
      </c>
      <c r="BQ557" s="0" t="s">
        <v>3651</v>
      </c>
      <c r="BR557" s="0" t="s">
        <v>3651</v>
      </c>
      <c r="BS557" s="0" t="s">
        <v>228</v>
      </c>
      <c r="BT557" s="0" t="s">
        <v>3727</v>
      </c>
      <c r="BU557" s="0" t="s">
        <v>4220</v>
      </c>
      <c r="BV557" s="0" t="s">
        <v>4220</v>
      </c>
      <c r="BW557" s="0" t="s">
        <v>3674</v>
      </c>
      <c r="BX557" s="0" t="s">
        <v>3674</v>
      </c>
      <c r="BY557" s="0" t="s">
        <v>3674</v>
      </c>
      <c r="BZ557" s="0" t="s">
        <v>3674</v>
      </c>
      <c r="CA557" s="0" t="s">
        <v>3674</v>
      </c>
      <c r="CB557" s="0" t="s">
        <v>228</v>
      </c>
      <c r="CC557" s="0" t="s">
        <v>228</v>
      </c>
      <c r="CD557" s="0" t="s">
        <v>228</v>
      </c>
      <c r="CE557" s="0" t="s">
        <v>228</v>
      </c>
      <c r="CF557" s="0" t="s">
        <v>228</v>
      </c>
      <c r="CG557" s="0" t="s">
        <v>3674</v>
      </c>
      <c r="CH557" s="0" t="s">
        <v>228</v>
      </c>
      <c r="CI557" s="0" t="s">
        <v>228</v>
      </c>
      <c r="CJ557" s="0" t="s">
        <v>228</v>
      </c>
      <c r="CK557" s="0" t="s">
        <v>228</v>
      </c>
      <c r="CL557" s="0" t="s">
        <v>228</v>
      </c>
      <c r="CM557" s="0" t="s">
        <v>4220</v>
      </c>
      <c r="CN557" s="0" t="s">
        <v>4220</v>
      </c>
      <c r="CO557" s="0" t="s">
        <v>228</v>
      </c>
      <c r="CP557" s="0" t="s">
        <v>228</v>
      </c>
      <c r="CQ557" s="0" t="s">
        <v>228</v>
      </c>
      <c r="CR557" s="0" t="s">
        <v>228</v>
      </c>
      <c r="CS557" s="0" t="s">
        <v>3563</v>
      </c>
      <c r="CT557" s="0" t="s">
        <v>3568</v>
      </c>
      <c r="CU557" s="0" t="s">
        <v>3569</v>
      </c>
      <c r="CV557" s="0" t="s">
        <v>418</v>
      </c>
      <c r="CW557" s="0" t="s">
        <v>3656</v>
      </c>
      <c r="CX557" s="0" t="s">
        <v>419</v>
      </c>
      <c r="CY557" s="0" t="s">
        <v>418</v>
      </c>
      <c r="CZ557" s="0" t="s">
        <v>3657</v>
      </c>
      <c r="DA557" s="0" t="s">
        <v>3658</v>
      </c>
      <c r="DB557" s="0" t="s">
        <v>3656</v>
      </c>
      <c r="DC557" s="0" t="s">
        <v>362</v>
      </c>
      <c r="DD557" s="0" t="s">
        <v>3572</v>
      </c>
      <c r="DE557" s="0" t="s">
        <v>4221</v>
      </c>
    </row>
    <row customHeight="1" ht="11.25">
      <c r="A558" s="1353" t="s">
        <v>228</v>
      </c>
      <c r="B558" s="0" t="s">
        <v>228</v>
      </c>
      <c r="C558" s="0" t="s">
        <v>228</v>
      </c>
      <c r="D558" s="0" t="s">
        <v>228</v>
      </c>
      <c r="E558" s="0" t="s">
        <v>228</v>
      </c>
      <c r="F558" s="0" t="s">
        <v>228</v>
      </c>
      <c r="G558" s="0" t="s">
        <v>228</v>
      </c>
      <c r="H558" s="0" t="s">
        <v>228</v>
      </c>
      <c r="I558" s="0" t="s">
        <v>3555</v>
      </c>
      <c r="J558" s="0" t="s">
        <v>228</v>
      </c>
      <c r="K558" s="0" t="s">
        <v>228</v>
      </c>
      <c r="L558" s="0" t="s">
        <v>228</v>
      </c>
      <c r="M558" s="0" t="s">
        <v>228</v>
      </c>
      <c r="N558" s="0" t="s">
        <v>228</v>
      </c>
      <c r="O558" s="0" t="s">
        <v>228</v>
      </c>
      <c r="P558" s="0" t="s">
        <v>228</v>
      </c>
      <c r="Q558" s="0" t="s">
        <v>228</v>
      </c>
      <c r="R558" s="0" t="s">
        <v>4304</v>
      </c>
      <c r="S558" s="0" t="s">
        <v>228</v>
      </c>
      <c r="T558" s="0" t="s">
        <v>228</v>
      </c>
      <c r="U558" s="0" t="s">
        <v>101</v>
      </c>
      <c r="V558" s="0" t="s">
        <v>228</v>
      </c>
      <c r="W558" s="0" t="s">
        <v>228</v>
      </c>
      <c r="X558" s="0" t="s">
        <v>3557</v>
      </c>
      <c r="Y558" s="0" t="s">
        <v>228</v>
      </c>
      <c r="Z558" s="0" t="s">
        <v>160</v>
      </c>
      <c r="AA558" s="0" t="s">
        <v>151</v>
      </c>
      <c r="AB558" s="0" t="s">
        <v>151</v>
      </c>
      <c r="AC558" s="0" t="s">
        <v>2721</v>
      </c>
      <c r="AD558" s="0" t="s">
        <v>2721</v>
      </c>
      <c r="AE558" s="0" t="s">
        <v>2722</v>
      </c>
      <c r="AF558" s="0" t="s">
        <v>4024</v>
      </c>
      <c r="AG558" s="0" t="s">
        <v>4025</v>
      </c>
      <c r="AH558" s="0" t="s">
        <v>4305</v>
      </c>
      <c r="AI558" s="0" t="s">
        <v>151</v>
      </c>
      <c r="AJ558" s="0" t="s">
        <v>3620</v>
      </c>
      <c r="AK558" s="0" t="s">
        <v>4306</v>
      </c>
      <c r="AL558" s="0" t="s">
        <v>3646</v>
      </c>
      <c r="AM558" s="0" t="s">
        <v>3565</v>
      </c>
      <c r="AN558" s="0" t="s">
        <v>3743</v>
      </c>
      <c r="AO558" s="0" t="s">
        <v>4307</v>
      </c>
      <c r="AP558" s="0" t="s">
        <v>228</v>
      </c>
      <c r="AQ558" s="0" t="s">
        <v>228</v>
      </c>
      <c r="AR558" s="0" t="s">
        <v>228</v>
      </c>
      <c r="AS558" s="0" t="s">
        <v>228</v>
      </c>
      <c r="AT558" s="0" t="s">
        <v>228</v>
      </c>
      <c r="AU558" s="0" t="s">
        <v>228</v>
      </c>
      <c r="AV558" s="0" t="s">
        <v>228</v>
      </c>
      <c r="AW558" s="0" t="s">
        <v>228</v>
      </c>
      <c r="AX558" s="0" t="s">
        <v>228</v>
      </c>
      <c r="AY558" s="0" t="s">
        <v>228</v>
      </c>
      <c r="AZ558" s="0" t="s">
        <v>228</v>
      </c>
      <c r="BA558" s="0" t="s">
        <v>228</v>
      </c>
      <c r="BB558" s="0" t="s">
        <v>228</v>
      </c>
      <c r="BC558" s="0" t="s">
        <v>228</v>
      </c>
      <c r="BD558" s="0" t="s">
        <v>228</v>
      </c>
      <c r="BE558" s="0" t="s">
        <v>228</v>
      </c>
      <c r="BF558" s="0" t="s">
        <v>228</v>
      </c>
      <c r="BG558" s="0" t="s">
        <v>228</v>
      </c>
      <c r="BH558" s="0" t="s">
        <v>228</v>
      </c>
      <c r="BI558" s="0" t="s">
        <v>228</v>
      </c>
      <c r="BJ558" s="0" t="s">
        <v>228</v>
      </c>
      <c r="BK558" s="0" t="s">
        <v>228</v>
      </c>
      <c r="BL558" s="0" t="s">
        <v>228</v>
      </c>
      <c r="BM558" s="0" t="s">
        <v>228</v>
      </c>
      <c r="BN558" s="0" t="s">
        <v>228</v>
      </c>
      <c r="BO558" s="0" t="s">
        <v>228</v>
      </c>
      <c r="BP558" s="0" t="s">
        <v>228</v>
      </c>
      <c r="BQ558" s="0" t="s">
        <v>228</v>
      </c>
      <c r="BR558" s="0" t="s">
        <v>228</v>
      </c>
      <c r="BS558" s="0" t="s">
        <v>228</v>
      </c>
      <c r="BT558" s="0" t="s">
        <v>228</v>
      </c>
      <c r="BU558" s="0" t="s">
        <v>228</v>
      </c>
      <c r="BV558" s="0" t="s">
        <v>228</v>
      </c>
      <c r="BW558" s="0" t="s">
        <v>228</v>
      </c>
      <c r="BX558" s="0" t="s">
        <v>228</v>
      </c>
      <c r="BY558" s="0" t="s">
        <v>228</v>
      </c>
      <c r="BZ558" s="0" t="s">
        <v>228</v>
      </c>
      <c r="CA558" s="0" t="s">
        <v>228</v>
      </c>
      <c r="CB558" s="0" t="s">
        <v>228</v>
      </c>
      <c r="CC558" s="0" t="s">
        <v>228</v>
      </c>
      <c r="CD558" s="0" t="s">
        <v>228</v>
      </c>
      <c r="CE558" s="0" t="s">
        <v>228</v>
      </c>
      <c r="CF558" s="0" t="s">
        <v>228</v>
      </c>
      <c r="CG558" s="0" t="s">
        <v>228</v>
      </c>
      <c r="CH558" s="0" t="s">
        <v>228</v>
      </c>
      <c r="CI558" s="0" t="s">
        <v>228</v>
      </c>
      <c r="CJ558" s="0" t="s">
        <v>228</v>
      </c>
      <c r="CK558" s="0" t="s">
        <v>228</v>
      </c>
      <c r="CL558" s="0" t="s">
        <v>228</v>
      </c>
      <c r="CM558" s="0" t="s">
        <v>228</v>
      </c>
      <c r="CN558" s="0" t="s">
        <v>228</v>
      </c>
      <c r="CO558" s="0" t="s">
        <v>228</v>
      </c>
      <c r="CP558" s="0" t="s">
        <v>228</v>
      </c>
      <c r="CQ558" s="0" t="s">
        <v>228</v>
      </c>
      <c r="CR558" s="0" t="s">
        <v>228</v>
      </c>
      <c r="CS558" s="0" t="s">
        <v>228</v>
      </c>
      <c r="CT558" s="0" t="s">
        <v>3568</v>
      </c>
      <c r="CU558" s="0" t="s">
        <v>3569</v>
      </c>
      <c r="CV558" s="0" t="s">
        <v>4030</v>
      </c>
      <c r="CW558" s="0" t="s">
        <v>4031</v>
      </c>
      <c r="CX558" s="0" t="s">
        <v>3603</v>
      </c>
      <c r="CY558" s="0" t="s">
        <v>4030</v>
      </c>
      <c r="CZ558" s="0" t="s">
        <v>3608</v>
      </c>
      <c r="DA558" s="0" t="s">
        <v>4032</v>
      </c>
      <c r="DB558" s="0" t="s">
        <v>3676</v>
      </c>
      <c r="DC558" s="0" t="s">
        <v>362</v>
      </c>
      <c r="DD558" s="0" t="s">
        <v>3572</v>
      </c>
      <c r="DE558" s="0" t="s">
        <v>4308</v>
      </c>
    </row>
    <row customHeight="1" ht="11.25">
      <c r="A559" s="1353" t="s">
        <v>228</v>
      </c>
      <c r="B559" s="0" t="s">
        <v>228</v>
      </c>
      <c r="C559" s="0" t="s">
        <v>228</v>
      </c>
      <c r="D559" s="0" t="s">
        <v>228</v>
      </c>
      <c r="E559" s="0" t="s">
        <v>228</v>
      </c>
      <c r="F559" s="0" t="s">
        <v>228</v>
      </c>
      <c r="G559" s="0" t="s">
        <v>228</v>
      </c>
      <c r="H559" s="0" t="s">
        <v>228</v>
      </c>
      <c r="I559" s="0" t="s">
        <v>3555</v>
      </c>
      <c r="J559" s="0" t="s">
        <v>228</v>
      </c>
      <c r="K559" s="0" t="s">
        <v>228</v>
      </c>
      <c r="L559" s="0" t="s">
        <v>228</v>
      </c>
      <c r="M559" s="0" t="s">
        <v>228</v>
      </c>
      <c r="N559" s="0" t="s">
        <v>228</v>
      </c>
      <c r="O559" s="0" t="s">
        <v>228</v>
      </c>
      <c r="P559" s="0" t="s">
        <v>228</v>
      </c>
      <c r="Q559" s="0" t="s">
        <v>228</v>
      </c>
      <c r="R559" s="0" t="s">
        <v>4475</v>
      </c>
      <c r="S559" s="0" t="s">
        <v>228</v>
      </c>
      <c r="T559" s="0" t="s">
        <v>228</v>
      </c>
      <c r="U559" s="0" t="s">
        <v>101</v>
      </c>
      <c r="V559" s="0" t="s">
        <v>228</v>
      </c>
      <c r="W559" s="0" t="s">
        <v>228</v>
      </c>
      <c r="X559" s="0" t="s">
        <v>3557</v>
      </c>
      <c r="Y559" s="0" t="s">
        <v>228</v>
      </c>
      <c r="Z559" s="0" t="s">
        <v>160</v>
      </c>
      <c r="AA559" s="0" t="s">
        <v>151</v>
      </c>
      <c r="AB559" s="0" t="s">
        <v>151</v>
      </c>
      <c r="AC559" s="0" t="s">
        <v>2721</v>
      </c>
      <c r="AD559" s="0" t="s">
        <v>2721</v>
      </c>
      <c r="AE559" s="0" t="s">
        <v>2722</v>
      </c>
      <c r="AF559" s="0" t="s">
        <v>4024</v>
      </c>
      <c r="AG559" s="0" t="s">
        <v>4025</v>
      </c>
      <c r="AH559" s="0" t="s">
        <v>4345</v>
      </c>
      <c r="AI559" s="0" t="s">
        <v>151</v>
      </c>
      <c r="AJ559" s="0" t="s">
        <v>3620</v>
      </c>
      <c r="AK559" s="0" t="s">
        <v>4476</v>
      </c>
      <c r="AL559" s="0" t="s">
        <v>3646</v>
      </c>
      <c r="AM559" s="0" t="s">
        <v>3565</v>
      </c>
      <c r="AN559" s="0" t="s">
        <v>4477</v>
      </c>
      <c r="AO559" s="0" t="s">
        <v>4478</v>
      </c>
      <c r="AP559" s="0" t="s">
        <v>228</v>
      </c>
      <c r="AQ559" s="0" t="s">
        <v>228</v>
      </c>
      <c r="AR559" s="0" t="s">
        <v>228</v>
      </c>
      <c r="AS559" s="0" t="s">
        <v>228</v>
      </c>
      <c r="AT559" s="0" t="s">
        <v>228</v>
      </c>
      <c r="AU559" s="0" t="s">
        <v>228</v>
      </c>
      <c r="AV559" s="0" t="s">
        <v>228</v>
      </c>
      <c r="AW559" s="0" t="s">
        <v>228</v>
      </c>
      <c r="AX559" s="0" t="s">
        <v>228</v>
      </c>
      <c r="AY559" s="0" t="s">
        <v>228</v>
      </c>
      <c r="AZ559" s="0" t="s">
        <v>228</v>
      </c>
      <c r="BA559" s="0" t="s">
        <v>228</v>
      </c>
      <c r="BB559" s="0" t="s">
        <v>228</v>
      </c>
      <c r="BC559" s="0" t="s">
        <v>228</v>
      </c>
      <c r="BD559" s="0" t="s">
        <v>228</v>
      </c>
      <c r="BE559" s="0" t="s">
        <v>228</v>
      </c>
      <c r="BF559" s="0" t="s">
        <v>228</v>
      </c>
      <c r="BG559" s="0" t="s">
        <v>228</v>
      </c>
      <c r="BH559" s="0" t="s">
        <v>228</v>
      </c>
      <c r="BI559" s="0" t="s">
        <v>228</v>
      </c>
      <c r="BJ559" s="0" t="s">
        <v>228</v>
      </c>
      <c r="BK559" s="0" t="s">
        <v>228</v>
      </c>
      <c r="BL559" s="0" t="s">
        <v>228</v>
      </c>
      <c r="BM559" s="0" t="s">
        <v>228</v>
      </c>
      <c r="BN559" s="0" t="s">
        <v>228</v>
      </c>
      <c r="BO559" s="0" t="s">
        <v>228</v>
      </c>
      <c r="BP559" s="0" t="s">
        <v>228</v>
      </c>
      <c r="BQ559" s="0" t="s">
        <v>228</v>
      </c>
      <c r="BR559" s="0" t="s">
        <v>228</v>
      </c>
      <c r="BS559" s="0" t="s">
        <v>228</v>
      </c>
      <c r="BT559" s="0" t="s">
        <v>228</v>
      </c>
      <c r="BU559" s="0" t="s">
        <v>228</v>
      </c>
      <c r="BV559" s="0" t="s">
        <v>228</v>
      </c>
      <c r="BW559" s="0" t="s">
        <v>228</v>
      </c>
      <c r="BX559" s="0" t="s">
        <v>228</v>
      </c>
      <c r="BY559" s="0" t="s">
        <v>228</v>
      </c>
      <c r="BZ559" s="0" t="s">
        <v>228</v>
      </c>
      <c r="CA559" s="0" t="s">
        <v>228</v>
      </c>
      <c r="CB559" s="0" t="s">
        <v>228</v>
      </c>
      <c r="CC559" s="0" t="s">
        <v>228</v>
      </c>
      <c r="CD559" s="0" t="s">
        <v>228</v>
      </c>
      <c r="CE559" s="0" t="s">
        <v>228</v>
      </c>
      <c r="CF559" s="0" t="s">
        <v>228</v>
      </c>
      <c r="CG559" s="0" t="s">
        <v>228</v>
      </c>
      <c r="CH559" s="0" t="s">
        <v>228</v>
      </c>
      <c r="CI559" s="0" t="s">
        <v>228</v>
      </c>
      <c r="CJ559" s="0" t="s">
        <v>228</v>
      </c>
      <c r="CK559" s="0" t="s">
        <v>228</v>
      </c>
      <c r="CL559" s="0" t="s">
        <v>228</v>
      </c>
      <c r="CM559" s="0" t="s">
        <v>228</v>
      </c>
      <c r="CN559" s="0" t="s">
        <v>228</v>
      </c>
      <c r="CO559" s="0" t="s">
        <v>228</v>
      </c>
      <c r="CP559" s="0" t="s">
        <v>228</v>
      </c>
      <c r="CQ559" s="0" t="s">
        <v>228</v>
      </c>
      <c r="CR559" s="0" t="s">
        <v>228</v>
      </c>
      <c r="CS559" s="0" t="s">
        <v>228</v>
      </c>
      <c r="CT559" s="0" t="s">
        <v>3568</v>
      </c>
      <c r="CU559" s="0" t="s">
        <v>3569</v>
      </c>
      <c r="CV559" s="0" t="s">
        <v>4030</v>
      </c>
      <c r="CW559" s="0" t="s">
        <v>4031</v>
      </c>
      <c r="CX559" s="0" t="s">
        <v>3603</v>
      </c>
      <c r="CY559" s="0" t="s">
        <v>4030</v>
      </c>
      <c r="CZ559" s="0" t="s">
        <v>3608</v>
      </c>
      <c r="DA559" s="0" t="s">
        <v>4032</v>
      </c>
      <c r="DB559" s="0" t="s">
        <v>3676</v>
      </c>
      <c r="DC559" s="0" t="s">
        <v>362</v>
      </c>
      <c r="DD559" s="0" t="s">
        <v>3572</v>
      </c>
      <c r="DE559" s="0" t="s">
        <v>4479</v>
      </c>
    </row>
    <row customHeight="1" ht="11.25">
      <c r="A560" s="1353" t="s">
        <v>228</v>
      </c>
      <c r="B560" s="0" t="s">
        <v>228</v>
      </c>
      <c r="C560" s="0" t="s">
        <v>228</v>
      </c>
      <c r="D560" s="0" t="s">
        <v>228</v>
      </c>
      <c r="E560" s="0" t="s">
        <v>228</v>
      </c>
      <c r="F560" s="0" t="s">
        <v>228</v>
      </c>
      <c r="G560" s="0" t="s">
        <v>228</v>
      </c>
      <c r="H560" s="0" t="s">
        <v>228</v>
      </c>
      <c r="I560" s="0" t="s">
        <v>3555</v>
      </c>
      <c r="J560" s="0" t="s">
        <v>228</v>
      </c>
      <c r="K560" s="0" t="s">
        <v>228</v>
      </c>
      <c r="L560" s="0" t="s">
        <v>228</v>
      </c>
      <c r="M560" s="0" t="s">
        <v>228</v>
      </c>
      <c r="N560" s="0" t="s">
        <v>228</v>
      </c>
      <c r="O560" s="0" t="s">
        <v>228</v>
      </c>
      <c r="P560" s="0" t="s">
        <v>228</v>
      </c>
      <c r="Q560" s="0" t="s">
        <v>228</v>
      </c>
      <c r="R560" s="0" t="s">
        <v>4558</v>
      </c>
      <c r="S560" s="0" t="s">
        <v>228</v>
      </c>
      <c r="T560" s="0" t="s">
        <v>228</v>
      </c>
      <c r="U560" s="0" t="s">
        <v>101</v>
      </c>
      <c r="V560" s="0" t="s">
        <v>228</v>
      </c>
      <c r="W560" s="0" t="s">
        <v>228</v>
      </c>
      <c r="X560" s="0" t="s">
        <v>3557</v>
      </c>
      <c r="Y560" s="0" t="s">
        <v>228</v>
      </c>
      <c r="Z560" s="0" t="s">
        <v>160</v>
      </c>
      <c r="AA560" s="0" t="s">
        <v>151</v>
      </c>
      <c r="AB560" s="0" t="s">
        <v>151</v>
      </c>
      <c r="AC560" s="0" t="s">
        <v>2721</v>
      </c>
      <c r="AD560" s="0" t="s">
        <v>2721</v>
      </c>
      <c r="AE560" s="0" t="s">
        <v>2722</v>
      </c>
      <c r="AF560" s="0" t="s">
        <v>4024</v>
      </c>
      <c r="AG560" s="0" t="s">
        <v>4025</v>
      </c>
      <c r="AH560" s="0" t="s">
        <v>4146</v>
      </c>
      <c r="AI560" s="0" t="s">
        <v>151</v>
      </c>
      <c r="AJ560" s="0" t="s">
        <v>4559</v>
      </c>
      <c r="AK560" s="0" t="s">
        <v>3674</v>
      </c>
      <c r="AL560" s="0" t="s">
        <v>3581</v>
      </c>
      <c r="AM560" s="0" t="s">
        <v>3565</v>
      </c>
      <c r="AN560" s="0" t="s">
        <v>4560</v>
      </c>
      <c r="AO560" s="0" t="s">
        <v>4294</v>
      </c>
      <c r="AP560" s="0" t="s">
        <v>228</v>
      </c>
      <c r="AQ560" s="0" t="s">
        <v>228</v>
      </c>
      <c r="AR560" s="0" t="s">
        <v>228</v>
      </c>
      <c r="AS560" s="0" t="s">
        <v>228</v>
      </c>
      <c r="AT560" s="0" t="s">
        <v>228</v>
      </c>
      <c r="AU560" s="0" t="s">
        <v>228</v>
      </c>
      <c r="AV560" s="0" t="s">
        <v>228</v>
      </c>
      <c r="AW560" s="0" t="s">
        <v>228</v>
      </c>
      <c r="AX560" s="0" t="s">
        <v>228</v>
      </c>
      <c r="AY560" s="0" t="s">
        <v>228</v>
      </c>
      <c r="AZ560" s="0" t="s">
        <v>228</v>
      </c>
      <c r="BA560" s="0" t="s">
        <v>228</v>
      </c>
      <c r="BB560" s="0" t="s">
        <v>228</v>
      </c>
      <c r="BC560" s="0" t="s">
        <v>228</v>
      </c>
      <c r="BD560" s="0" t="s">
        <v>228</v>
      </c>
      <c r="BE560" s="0" t="s">
        <v>228</v>
      </c>
      <c r="BF560" s="0" t="s">
        <v>228</v>
      </c>
      <c r="BG560" s="0" t="s">
        <v>228</v>
      </c>
      <c r="BH560" s="0" t="s">
        <v>228</v>
      </c>
      <c r="BI560" s="0" t="s">
        <v>228</v>
      </c>
      <c r="BJ560" s="0" t="s">
        <v>228</v>
      </c>
      <c r="BK560" s="0" t="s">
        <v>228</v>
      </c>
      <c r="BL560" s="0" t="s">
        <v>228</v>
      </c>
      <c r="BM560" s="0" t="s">
        <v>228</v>
      </c>
      <c r="BN560" s="0" t="s">
        <v>228</v>
      </c>
      <c r="BO560" s="0" t="s">
        <v>228</v>
      </c>
      <c r="BP560" s="0" t="s">
        <v>228</v>
      </c>
      <c r="BQ560" s="0" t="s">
        <v>228</v>
      </c>
      <c r="BR560" s="0" t="s">
        <v>228</v>
      </c>
      <c r="BS560" s="0" t="s">
        <v>228</v>
      </c>
      <c r="BT560" s="0" t="s">
        <v>228</v>
      </c>
      <c r="BU560" s="0" t="s">
        <v>228</v>
      </c>
      <c r="BV560" s="0" t="s">
        <v>228</v>
      </c>
      <c r="BW560" s="0" t="s">
        <v>228</v>
      </c>
      <c r="BX560" s="0" t="s">
        <v>228</v>
      </c>
      <c r="BY560" s="0" t="s">
        <v>228</v>
      </c>
      <c r="BZ560" s="0" t="s">
        <v>228</v>
      </c>
      <c r="CA560" s="0" t="s">
        <v>228</v>
      </c>
      <c r="CB560" s="0" t="s">
        <v>228</v>
      </c>
      <c r="CC560" s="0" t="s">
        <v>228</v>
      </c>
      <c r="CD560" s="0" t="s">
        <v>228</v>
      </c>
      <c r="CE560" s="0" t="s">
        <v>228</v>
      </c>
      <c r="CF560" s="0" t="s">
        <v>228</v>
      </c>
      <c r="CG560" s="0" t="s">
        <v>228</v>
      </c>
      <c r="CH560" s="0" t="s">
        <v>228</v>
      </c>
      <c r="CI560" s="0" t="s">
        <v>228</v>
      </c>
      <c r="CJ560" s="0" t="s">
        <v>228</v>
      </c>
      <c r="CK560" s="0" t="s">
        <v>228</v>
      </c>
      <c r="CL560" s="0" t="s">
        <v>228</v>
      </c>
      <c r="CM560" s="0" t="s">
        <v>228</v>
      </c>
      <c r="CN560" s="0" t="s">
        <v>228</v>
      </c>
      <c r="CO560" s="0" t="s">
        <v>228</v>
      </c>
      <c r="CP560" s="0" t="s">
        <v>228</v>
      </c>
      <c r="CQ560" s="0" t="s">
        <v>228</v>
      </c>
      <c r="CR560" s="0" t="s">
        <v>228</v>
      </c>
      <c r="CS560" s="0" t="s">
        <v>228</v>
      </c>
      <c r="CT560" s="0" t="s">
        <v>3568</v>
      </c>
      <c r="CU560" s="0" t="s">
        <v>3569</v>
      </c>
      <c r="CV560" s="0" t="s">
        <v>4030</v>
      </c>
      <c r="CW560" s="0" t="s">
        <v>4031</v>
      </c>
      <c r="CX560" s="0" t="s">
        <v>3603</v>
      </c>
      <c r="CY560" s="0" t="s">
        <v>4030</v>
      </c>
      <c r="CZ560" s="0" t="s">
        <v>3608</v>
      </c>
      <c r="DA560" s="0" t="s">
        <v>4032</v>
      </c>
      <c r="DB560" s="0" t="s">
        <v>3676</v>
      </c>
      <c r="DC560" s="0" t="s">
        <v>362</v>
      </c>
      <c r="DD560" s="0" t="s">
        <v>3572</v>
      </c>
      <c r="DE560" s="0" t="s">
        <v>4156</v>
      </c>
    </row>
    <row customHeight="1" ht="11.25">
      <c r="A561" s="1353" t="s">
        <v>228</v>
      </c>
      <c r="B561" s="0" t="s">
        <v>228</v>
      </c>
      <c r="C561" s="0" t="s">
        <v>228</v>
      </c>
      <c r="D561" s="0" t="s">
        <v>228</v>
      </c>
      <c r="E561" s="0" t="s">
        <v>228</v>
      </c>
      <c r="F561" s="0" t="s">
        <v>228</v>
      </c>
      <c r="G561" s="0" t="s">
        <v>228</v>
      </c>
      <c r="H561" s="0" t="s">
        <v>228</v>
      </c>
      <c r="I561" s="0" t="s">
        <v>3555</v>
      </c>
      <c r="J561" s="0" t="s">
        <v>228</v>
      </c>
      <c r="K561" s="0" t="s">
        <v>228</v>
      </c>
      <c r="L561" s="0" t="s">
        <v>228</v>
      </c>
      <c r="M561" s="0" t="s">
        <v>228</v>
      </c>
      <c r="N561" s="0" t="s">
        <v>228</v>
      </c>
      <c r="O561" s="0" t="s">
        <v>228</v>
      </c>
      <c r="P561" s="0" t="s">
        <v>228</v>
      </c>
      <c r="Q561" s="0" t="s">
        <v>228</v>
      </c>
      <c r="R561" s="0" t="s">
        <v>5110</v>
      </c>
      <c r="S561" s="0" t="s">
        <v>228</v>
      </c>
      <c r="T561" s="0" t="s">
        <v>228</v>
      </c>
      <c r="U561" s="0" t="s">
        <v>101</v>
      </c>
      <c r="V561" s="0" t="s">
        <v>228</v>
      </c>
      <c r="W561" s="0" t="s">
        <v>228</v>
      </c>
      <c r="X561" s="0" t="s">
        <v>3557</v>
      </c>
      <c r="Y561" s="0" t="s">
        <v>228</v>
      </c>
      <c r="Z561" s="0" t="s">
        <v>160</v>
      </c>
      <c r="AA561" s="0" t="s">
        <v>151</v>
      </c>
      <c r="AB561" s="0" t="s">
        <v>151</v>
      </c>
      <c r="AC561" s="0" t="s">
        <v>2715</v>
      </c>
      <c r="AD561" s="0" t="s">
        <v>2715</v>
      </c>
      <c r="AE561" s="0" t="s">
        <v>2716</v>
      </c>
      <c r="AF561" s="0" t="s">
        <v>3594</v>
      </c>
      <c r="AG561" s="0" t="s">
        <v>3595</v>
      </c>
      <c r="AH561" s="0" t="s">
        <v>4080</v>
      </c>
      <c r="AI561" s="0" t="s">
        <v>3608</v>
      </c>
      <c r="AJ561" s="0" t="s">
        <v>4143</v>
      </c>
      <c r="AK561" s="0" t="s">
        <v>4081</v>
      </c>
      <c r="AL561" s="0" t="s">
        <v>3646</v>
      </c>
      <c r="AM561" s="0" t="s">
        <v>3565</v>
      </c>
      <c r="AN561" s="0" t="s">
        <v>3654</v>
      </c>
      <c r="AO561" s="0" t="s">
        <v>4144</v>
      </c>
      <c r="AP561" s="0" t="s">
        <v>228</v>
      </c>
      <c r="AQ561" s="0" t="s">
        <v>228</v>
      </c>
      <c r="AR561" s="0" t="s">
        <v>228</v>
      </c>
      <c r="AS561" s="0" t="s">
        <v>228</v>
      </c>
      <c r="AT561" s="0" t="s">
        <v>228</v>
      </c>
      <c r="AU561" s="0" t="s">
        <v>228</v>
      </c>
      <c r="AV561" s="0" t="s">
        <v>228</v>
      </c>
      <c r="AW561" s="0" t="s">
        <v>228</v>
      </c>
      <c r="AX561" s="0" t="s">
        <v>228</v>
      </c>
      <c r="AY561" s="0" t="s">
        <v>228</v>
      </c>
      <c r="AZ561" s="0" t="s">
        <v>228</v>
      </c>
      <c r="BA561" s="0" t="s">
        <v>228</v>
      </c>
      <c r="BB561" s="0" t="s">
        <v>228</v>
      </c>
      <c r="BC561" s="0" t="s">
        <v>228</v>
      </c>
      <c r="BD561" s="0" t="s">
        <v>228</v>
      </c>
      <c r="BE561" s="0" t="s">
        <v>228</v>
      </c>
      <c r="BF561" s="0" t="s">
        <v>228</v>
      </c>
      <c r="BG561" s="0" t="s">
        <v>228</v>
      </c>
      <c r="BH561" s="0" t="s">
        <v>228</v>
      </c>
      <c r="BI561" s="0" t="s">
        <v>228</v>
      </c>
      <c r="BJ561" s="0" t="s">
        <v>228</v>
      </c>
      <c r="BK561" s="0" t="s">
        <v>228</v>
      </c>
      <c r="BL561" s="0" t="s">
        <v>228</v>
      </c>
      <c r="BM561" s="0" t="s">
        <v>228</v>
      </c>
      <c r="BN561" s="0" t="s">
        <v>228</v>
      </c>
      <c r="BO561" s="0" t="s">
        <v>228</v>
      </c>
      <c r="BP561" s="0" t="s">
        <v>228</v>
      </c>
      <c r="BQ561" s="0" t="s">
        <v>228</v>
      </c>
      <c r="BR561" s="0" t="s">
        <v>228</v>
      </c>
      <c r="BS561" s="0" t="s">
        <v>228</v>
      </c>
      <c r="BT561" s="0" t="s">
        <v>228</v>
      </c>
      <c r="BU561" s="0" t="s">
        <v>228</v>
      </c>
      <c r="BV561" s="0" t="s">
        <v>228</v>
      </c>
      <c r="BW561" s="0" t="s">
        <v>228</v>
      </c>
      <c r="BX561" s="0" t="s">
        <v>228</v>
      </c>
      <c r="BY561" s="0" t="s">
        <v>228</v>
      </c>
      <c r="BZ561" s="0" t="s">
        <v>228</v>
      </c>
      <c r="CA561" s="0" t="s">
        <v>228</v>
      </c>
      <c r="CB561" s="0" t="s">
        <v>228</v>
      </c>
      <c r="CC561" s="0" t="s">
        <v>228</v>
      </c>
      <c r="CD561" s="0" t="s">
        <v>228</v>
      </c>
      <c r="CE561" s="0" t="s">
        <v>228</v>
      </c>
      <c r="CF561" s="0" t="s">
        <v>228</v>
      </c>
      <c r="CG561" s="0" t="s">
        <v>228</v>
      </c>
      <c r="CH561" s="0" t="s">
        <v>228</v>
      </c>
      <c r="CI561" s="0" t="s">
        <v>228</v>
      </c>
      <c r="CJ561" s="0" t="s">
        <v>228</v>
      </c>
      <c r="CK561" s="0" t="s">
        <v>228</v>
      </c>
      <c r="CL561" s="0" t="s">
        <v>228</v>
      </c>
      <c r="CM561" s="0" t="s">
        <v>228</v>
      </c>
      <c r="CN561" s="0" t="s">
        <v>228</v>
      </c>
      <c r="CO561" s="0" t="s">
        <v>228</v>
      </c>
      <c r="CP561" s="0" t="s">
        <v>228</v>
      </c>
      <c r="CQ561" s="0" t="s">
        <v>228</v>
      </c>
      <c r="CR561" s="0" t="s">
        <v>228</v>
      </c>
      <c r="CS561" s="0" t="s">
        <v>228</v>
      </c>
      <c r="CT561" s="0" t="s">
        <v>3568</v>
      </c>
      <c r="CU561" s="0" t="s">
        <v>3569</v>
      </c>
      <c r="CV561" s="0" t="s">
        <v>418</v>
      </c>
      <c r="CW561" s="0" t="s">
        <v>3602</v>
      </c>
      <c r="CX561" s="0" t="s">
        <v>3603</v>
      </c>
      <c r="CY561" s="0" t="s">
        <v>418</v>
      </c>
      <c r="CZ561" s="0" t="s">
        <v>504</v>
      </c>
      <c r="DA561" s="0" t="s">
        <v>3604</v>
      </c>
      <c r="DB561" s="0" t="s">
        <v>3602</v>
      </c>
      <c r="DC561" s="0" t="s">
        <v>362</v>
      </c>
      <c r="DD561" s="0" t="s">
        <v>3572</v>
      </c>
      <c r="DE561" s="0" t="s">
        <v>4083</v>
      </c>
    </row>
    <row customHeight="1" ht="11.25">
      <c r="A562" s="1353" t="s">
        <v>228</v>
      </c>
      <c r="B562" s="0" t="s">
        <v>228</v>
      </c>
      <c r="C562" s="0" t="s">
        <v>228</v>
      </c>
      <c r="D562" s="0" t="s">
        <v>228</v>
      </c>
      <c r="E562" s="0" t="s">
        <v>228</v>
      </c>
      <c r="F562" s="0" t="s">
        <v>228</v>
      </c>
      <c r="G562" s="0" t="s">
        <v>228</v>
      </c>
      <c r="H562" s="0" t="s">
        <v>228</v>
      </c>
      <c r="I562" s="0" t="s">
        <v>3555</v>
      </c>
      <c r="J562" s="0" t="s">
        <v>228</v>
      </c>
      <c r="K562" s="0" t="s">
        <v>228</v>
      </c>
      <c r="L562" s="0" t="s">
        <v>228</v>
      </c>
      <c r="M562" s="0" t="s">
        <v>228</v>
      </c>
      <c r="N562" s="0" t="s">
        <v>228</v>
      </c>
      <c r="O562" s="0" t="s">
        <v>228</v>
      </c>
      <c r="P562" s="0" t="s">
        <v>228</v>
      </c>
      <c r="Q562" s="0" t="s">
        <v>228</v>
      </c>
      <c r="R562" s="0" t="s">
        <v>4561</v>
      </c>
      <c r="S562" s="0" t="s">
        <v>228</v>
      </c>
      <c r="T562" s="0" t="s">
        <v>228</v>
      </c>
      <c r="U562" s="0" t="s">
        <v>101</v>
      </c>
      <c r="V562" s="0" t="s">
        <v>228</v>
      </c>
      <c r="W562" s="0" t="s">
        <v>228</v>
      </c>
      <c r="X562" s="0" t="s">
        <v>3557</v>
      </c>
      <c r="Y562" s="0" t="s">
        <v>228</v>
      </c>
      <c r="Z562" s="0" t="s">
        <v>160</v>
      </c>
      <c r="AA562" s="0" t="s">
        <v>151</v>
      </c>
      <c r="AB562" s="0" t="s">
        <v>151</v>
      </c>
      <c r="AC562" s="0" t="s">
        <v>2721</v>
      </c>
      <c r="AD562" s="0" t="s">
        <v>2721</v>
      </c>
      <c r="AE562" s="0" t="s">
        <v>2722</v>
      </c>
      <c r="AF562" s="0" t="s">
        <v>4024</v>
      </c>
      <c r="AG562" s="0" t="s">
        <v>4025</v>
      </c>
      <c r="AH562" s="0" t="s">
        <v>4562</v>
      </c>
      <c r="AI562" s="0" t="s">
        <v>151</v>
      </c>
      <c r="AJ562" s="0" t="s">
        <v>4563</v>
      </c>
      <c r="AK562" s="0" t="s">
        <v>4564</v>
      </c>
      <c r="AL562" s="0" t="s">
        <v>3581</v>
      </c>
      <c r="AM562" s="0" t="s">
        <v>3565</v>
      </c>
      <c r="AN562" s="0" t="s">
        <v>3628</v>
      </c>
      <c r="AO562" s="0" t="s">
        <v>4565</v>
      </c>
      <c r="AP562" s="0" t="s">
        <v>228</v>
      </c>
      <c r="AQ562" s="0" t="s">
        <v>228</v>
      </c>
      <c r="AR562" s="0" t="s">
        <v>228</v>
      </c>
      <c r="AS562" s="0" t="s">
        <v>228</v>
      </c>
      <c r="AT562" s="0" t="s">
        <v>228</v>
      </c>
      <c r="AU562" s="0" t="s">
        <v>228</v>
      </c>
      <c r="AV562" s="0" t="s">
        <v>228</v>
      </c>
      <c r="AW562" s="0" t="s">
        <v>228</v>
      </c>
      <c r="AX562" s="0" t="s">
        <v>228</v>
      </c>
      <c r="AY562" s="0" t="s">
        <v>228</v>
      </c>
      <c r="AZ562" s="0" t="s">
        <v>228</v>
      </c>
      <c r="BA562" s="0" t="s">
        <v>228</v>
      </c>
      <c r="BB562" s="0" t="s">
        <v>228</v>
      </c>
      <c r="BC562" s="0" t="s">
        <v>228</v>
      </c>
      <c r="BD562" s="0" t="s">
        <v>228</v>
      </c>
      <c r="BE562" s="0" t="s">
        <v>228</v>
      </c>
      <c r="BF562" s="0" t="s">
        <v>228</v>
      </c>
      <c r="BG562" s="0" t="s">
        <v>228</v>
      </c>
      <c r="BH562" s="0" t="s">
        <v>228</v>
      </c>
      <c r="BI562" s="0" t="s">
        <v>228</v>
      </c>
      <c r="BJ562" s="0" t="s">
        <v>228</v>
      </c>
      <c r="BK562" s="0" t="s">
        <v>228</v>
      </c>
      <c r="BL562" s="0" t="s">
        <v>228</v>
      </c>
      <c r="BM562" s="0" t="s">
        <v>228</v>
      </c>
      <c r="BN562" s="0" t="s">
        <v>228</v>
      </c>
      <c r="BO562" s="0" t="s">
        <v>228</v>
      </c>
      <c r="BP562" s="0" t="s">
        <v>228</v>
      </c>
      <c r="BQ562" s="0" t="s">
        <v>228</v>
      </c>
      <c r="BR562" s="0" t="s">
        <v>228</v>
      </c>
      <c r="BS562" s="0" t="s">
        <v>228</v>
      </c>
      <c r="BT562" s="0" t="s">
        <v>228</v>
      </c>
      <c r="BU562" s="0" t="s">
        <v>228</v>
      </c>
      <c r="BV562" s="0" t="s">
        <v>228</v>
      </c>
      <c r="BW562" s="0" t="s">
        <v>228</v>
      </c>
      <c r="BX562" s="0" t="s">
        <v>228</v>
      </c>
      <c r="BY562" s="0" t="s">
        <v>228</v>
      </c>
      <c r="BZ562" s="0" t="s">
        <v>228</v>
      </c>
      <c r="CA562" s="0" t="s">
        <v>228</v>
      </c>
      <c r="CB562" s="0" t="s">
        <v>228</v>
      </c>
      <c r="CC562" s="0" t="s">
        <v>228</v>
      </c>
      <c r="CD562" s="0" t="s">
        <v>228</v>
      </c>
      <c r="CE562" s="0" t="s">
        <v>228</v>
      </c>
      <c r="CF562" s="0" t="s">
        <v>228</v>
      </c>
      <c r="CG562" s="0" t="s">
        <v>228</v>
      </c>
      <c r="CH562" s="0" t="s">
        <v>228</v>
      </c>
      <c r="CI562" s="0" t="s">
        <v>228</v>
      </c>
      <c r="CJ562" s="0" t="s">
        <v>228</v>
      </c>
      <c r="CK562" s="0" t="s">
        <v>228</v>
      </c>
      <c r="CL562" s="0" t="s">
        <v>228</v>
      </c>
      <c r="CM562" s="0" t="s">
        <v>228</v>
      </c>
      <c r="CN562" s="0" t="s">
        <v>228</v>
      </c>
      <c r="CO562" s="0" t="s">
        <v>228</v>
      </c>
      <c r="CP562" s="0" t="s">
        <v>228</v>
      </c>
      <c r="CQ562" s="0" t="s">
        <v>228</v>
      </c>
      <c r="CR562" s="0" t="s">
        <v>228</v>
      </c>
      <c r="CS562" s="0" t="s">
        <v>228</v>
      </c>
      <c r="CT562" s="0" t="s">
        <v>3568</v>
      </c>
      <c r="CU562" s="0" t="s">
        <v>3569</v>
      </c>
      <c r="CV562" s="0" t="s">
        <v>4030</v>
      </c>
      <c r="CW562" s="0" t="s">
        <v>4031</v>
      </c>
      <c r="CX562" s="0" t="s">
        <v>3603</v>
      </c>
      <c r="CY562" s="0" t="s">
        <v>4030</v>
      </c>
      <c r="CZ562" s="0" t="s">
        <v>3608</v>
      </c>
      <c r="DA562" s="0" t="s">
        <v>4032</v>
      </c>
      <c r="DB562" s="0" t="s">
        <v>3676</v>
      </c>
      <c r="DC562" s="0" t="s">
        <v>362</v>
      </c>
      <c r="DD562" s="0" t="s">
        <v>3572</v>
      </c>
      <c r="DE562" s="0" t="s">
        <v>4566</v>
      </c>
    </row>
    <row customHeight="1" ht="11.25">
      <c r="A563" s="1353" t="s">
        <v>228</v>
      </c>
      <c r="B563" s="0" t="s">
        <v>228</v>
      </c>
      <c r="C563" s="0" t="s">
        <v>228</v>
      </c>
      <c r="D563" s="0" t="s">
        <v>228</v>
      </c>
      <c r="E563" s="0" t="s">
        <v>228</v>
      </c>
      <c r="F563" s="0" t="s">
        <v>228</v>
      </c>
      <c r="G563" s="0" t="s">
        <v>228</v>
      </c>
      <c r="H563" s="0" t="s">
        <v>228</v>
      </c>
      <c r="I563" s="0" t="s">
        <v>3555</v>
      </c>
      <c r="J563" s="0" t="s">
        <v>228</v>
      </c>
      <c r="K563" s="0" t="s">
        <v>228</v>
      </c>
      <c r="L563" s="0" t="s">
        <v>228</v>
      </c>
      <c r="M563" s="0" t="s">
        <v>228</v>
      </c>
      <c r="N563" s="0" t="s">
        <v>228</v>
      </c>
      <c r="O563" s="0" t="s">
        <v>228</v>
      </c>
      <c r="P563" s="0" t="s">
        <v>228</v>
      </c>
      <c r="Q563" s="0" t="s">
        <v>228</v>
      </c>
      <c r="R563" s="0" t="s">
        <v>4770</v>
      </c>
      <c r="S563" s="0" t="s">
        <v>228</v>
      </c>
      <c r="T563" s="0" t="s">
        <v>228</v>
      </c>
      <c r="U563" s="0" t="s">
        <v>101</v>
      </c>
      <c r="V563" s="0" t="s">
        <v>228</v>
      </c>
      <c r="W563" s="0" t="s">
        <v>228</v>
      </c>
      <c r="X563" s="0" t="s">
        <v>3557</v>
      </c>
      <c r="Y563" s="0" t="s">
        <v>228</v>
      </c>
      <c r="Z563" s="0" t="s">
        <v>160</v>
      </c>
      <c r="AA563" s="0" t="s">
        <v>151</v>
      </c>
      <c r="AB563" s="0" t="s">
        <v>151</v>
      </c>
      <c r="AC563" s="0" t="s">
        <v>2721</v>
      </c>
      <c r="AD563" s="0" t="s">
        <v>2721</v>
      </c>
      <c r="AE563" s="0" t="s">
        <v>2722</v>
      </c>
      <c r="AF563" s="0" t="s">
        <v>4024</v>
      </c>
      <c r="AG563" s="0" t="s">
        <v>4025</v>
      </c>
      <c r="AH563" s="0" t="s">
        <v>4771</v>
      </c>
      <c r="AI563" s="0" t="s">
        <v>151</v>
      </c>
      <c r="AJ563" s="0" t="s">
        <v>3899</v>
      </c>
      <c r="AK563" s="0" t="s">
        <v>4183</v>
      </c>
      <c r="AL563" s="0" t="s">
        <v>3581</v>
      </c>
      <c r="AM563" s="0" t="s">
        <v>3565</v>
      </c>
      <c r="AN563" s="0" t="s">
        <v>3628</v>
      </c>
      <c r="AO563" s="0" t="s">
        <v>4772</v>
      </c>
      <c r="AP563" s="0" t="s">
        <v>228</v>
      </c>
      <c r="AQ563" s="0" t="s">
        <v>228</v>
      </c>
      <c r="AR563" s="0" t="s">
        <v>228</v>
      </c>
      <c r="AS563" s="0" t="s">
        <v>228</v>
      </c>
      <c r="AT563" s="0" t="s">
        <v>228</v>
      </c>
      <c r="AU563" s="0" t="s">
        <v>228</v>
      </c>
      <c r="AV563" s="0" t="s">
        <v>228</v>
      </c>
      <c r="AW563" s="0" t="s">
        <v>228</v>
      </c>
      <c r="AX563" s="0" t="s">
        <v>228</v>
      </c>
      <c r="AY563" s="0" t="s">
        <v>228</v>
      </c>
      <c r="AZ563" s="0" t="s">
        <v>228</v>
      </c>
      <c r="BA563" s="0" t="s">
        <v>228</v>
      </c>
      <c r="BB563" s="0" t="s">
        <v>228</v>
      </c>
      <c r="BC563" s="0" t="s">
        <v>228</v>
      </c>
      <c r="BD563" s="0" t="s">
        <v>228</v>
      </c>
      <c r="BE563" s="0" t="s">
        <v>228</v>
      </c>
      <c r="BF563" s="0" t="s">
        <v>228</v>
      </c>
      <c r="BG563" s="0" t="s">
        <v>228</v>
      </c>
      <c r="BH563" s="0" t="s">
        <v>228</v>
      </c>
      <c r="BI563" s="0" t="s">
        <v>228</v>
      </c>
      <c r="BJ563" s="0" t="s">
        <v>228</v>
      </c>
      <c r="BK563" s="0" t="s">
        <v>228</v>
      </c>
      <c r="BL563" s="0" t="s">
        <v>228</v>
      </c>
      <c r="BM563" s="0" t="s">
        <v>228</v>
      </c>
      <c r="BN563" s="0" t="s">
        <v>228</v>
      </c>
      <c r="BO563" s="0" t="s">
        <v>228</v>
      </c>
      <c r="BP563" s="0" t="s">
        <v>228</v>
      </c>
      <c r="BQ563" s="0" t="s">
        <v>228</v>
      </c>
      <c r="BR563" s="0" t="s">
        <v>228</v>
      </c>
      <c r="BS563" s="0" t="s">
        <v>228</v>
      </c>
      <c r="BT563" s="0" t="s">
        <v>228</v>
      </c>
      <c r="BU563" s="0" t="s">
        <v>228</v>
      </c>
      <c r="BV563" s="0" t="s">
        <v>228</v>
      </c>
      <c r="BW563" s="0" t="s">
        <v>228</v>
      </c>
      <c r="BX563" s="0" t="s">
        <v>228</v>
      </c>
      <c r="BY563" s="0" t="s">
        <v>228</v>
      </c>
      <c r="BZ563" s="0" t="s">
        <v>228</v>
      </c>
      <c r="CA563" s="0" t="s">
        <v>228</v>
      </c>
      <c r="CB563" s="0" t="s">
        <v>228</v>
      </c>
      <c r="CC563" s="0" t="s">
        <v>228</v>
      </c>
      <c r="CD563" s="0" t="s">
        <v>228</v>
      </c>
      <c r="CE563" s="0" t="s">
        <v>228</v>
      </c>
      <c r="CF563" s="0" t="s">
        <v>228</v>
      </c>
      <c r="CG563" s="0" t="s">
        <v>228</v>
      </c>
      <c r="CH563" s="0" t="s">
        <v>228</v>
      </c>
      <c r="CI563" s="0" t="s">
        <v>228</v>
      </c>
      <c r="CJ563" s="0" t="s">
        <v>228</v>
      </c>
      <c r="CK563" s="0" t="s">
        <v>228</v>
      </c>
      <c r="CL563" s="0" t="s">
        <v>228</v>
      </c>
      <c r="CM563" s="0" t="s">
        <v>228</v>
      </c>
      <c r="CN563" s="0" t="s">
        <v>228</v>
      </c>
      <c r="CO563" s="0" t="s">
        <v>228</v>
      </c>
      <c r="CP563" s="0" t="s">
        <v>228</v>
      </c>
      <c r="CQ563" s="0" t="s">
        <v>228</v>
      </c>
      <c r="CR563" s="0" t="s">
        <v>228</v>
      </c>
      <c r="CS563" s="0" t="s">
        <v>228</v>
      </c>
      <c r="CT563" s="0" t="s">
        <v>3568</v>
      </c>
      <c r="CU563" s="0" t="s">
        <v>3569</v>
      </c>
      <c r="CV563" s="0" t="s">
        <v>4030</v>
      </c>
      <c r="CW563" s="0" t="s">
        <v>4031</v>
      </c>
      <c r="CX563" s="0" t="s">
        <v>3603</v>
      </c>
      <c r="CY563" s="0" t="s">
        <v>4030</v>
      </c>
      <c r="CZ563" s="0" t="s">
        <v>3608</v>
      </c>
      <c r="DA563" s="0" t="s">
        <v>4032</v>
      </c>
      <c r="DB563" s="0" t="s">
        <v>3676</v>
      </c>
      <c r="DC563" s="0" t="s">
        <v>362</v>
      </c>
      <c r="DD563" s="0" t="s">
        <v>3572</v>
      </c>
      <c r="DE563" s="0" t="s">
        <v>4773</v>
      </c>
    </row>
    <row customHeight="1" ht="11.25">
      <c r="A564" s="1353" t="s">
        <v>228</v>
      </c>
      <c r="B564" s="0" t="s">
        <v>228</v>
      </c>
      <c r="C564" s="0" t="s">
        <v>228</v>
      </c>
      <c r="D564" s="0" t="s">
        <v>228</v>
      </c>
      <c r="E564" s="0" t="s">
        <v>228</v>
      </c>
      <c r="F564" s="0" t="s">
        <v>228</v>
      </c>
      <c r="G564" s="0" t="s">
        <v>228</v>
      </c>
      <c r="H564" s="0" t="s">
        <v>228</v>
      </c>
      <c r="I564" s="0" t="s">
        <v>3555</v>
      </c>
      <c r="J564" s="0" t="s">
        <v>228</v>
      </c>
      <c r="K564" s="0" t="s">
        <v>228</v>
      </c>
      <c r="L564" s="0" t="s">
        <v>228</v>
      </c>
      <c r="M564" s="0" t="s">
        <v>228</v>
      </c>
      <c r="N564" s="0" t="s">
        <v>228</v>
      </c>
      <c r="O564" s="0" t="s">
        <v>228</v>
      </c>
      <c r="P564" s="0" t="s">
        <v>228</v>
      </c>
      <c r="Q564" s="0" t="s">
        <v>228</v>
      </c>
      <c r="R564" s="0" t="s">
        <v>4774</v>
      </c>
      <c r="S564" s="0" t="s">
        <v>228</v>
      </c>
      <c r="T564" s="0" t="s">
        <v>228</v>
      </c>
      <c r="U564" s="0" t="s">
        <v>101</v>
      </c>
      <c r="V564" s="0" t="s">
        <v>228</v>
      </c>
      <c r="W564" s="0" t="s">
        <v>228</v>
      </c>
      <c r="X564" s="0" t="s">
        <v>3557</v>
      </c>
      <c r="Y564" s="0" t="s">
        <v>228</v>
      </c>
      <c r="Z564" s="0" t="s">
        <v>160</v>
      </c>
      <c r="AA564" s="0" t="s">
        <v>151</v>
      </c>
      <c r="AB564" s="0" t="s">
        <v>151</v>
      </c>
      <c r="AC564" s="0" t="s">
        <v>2721</v>
      </c>
      <c r="AD564" s="0" t="s">
        <v>2721</v>
      </c>
      <c r="AE564" s="0" t="s">
        <v>2722</v>
      </c>
      <c r="AF564" s="0" t="s">
        <v>4024</v>
      </c>
      <c r="AG564" s="0" t="s">
        <v>4025</v>
      </c>
      <c r="AH564" s="0" t="s">
        <v>4775</v>
      </c>
      <c r="AI564" s="0" t="s">
        <v>489</v>
      </c>
      <c r="AJ564" s="0" t="s">
        <v>4776</v>
      </c>
      <c r="AK564" s="0" t="s">
        <v>4777</v>
      </c>
      <c r="AL564" s="0" t="s">
        <v>3599</v>
      </c>
      <c r="AM564" s="0" t="s">
        <v>3565</v>
      </c>
      <c r="AN564" s="0" t="s">
        <v>3654</v>
      </c>
      <c r="AO564" s="0" t="s">
        <v>4778</v>
      </c>
      <c r="AP564" s="0" t="s">
        <v>228</v>
      </c>
      <c r="AQ564" s="0" t="s">
        <v>228</v>
      </c>
      <c r="AR564" s="0" t="s">
        <v>228</v>
      </c>
      <c r="AS564" s="0" t="s">
        <v>228</v>
      </c>
      <c r="AT564" s="0" t="s">
        <v>228</v>
      </c>
      <c r="AU564" s="0" t="s">
        <v>228</v>
      </c>
      <c r="AV564" s="0" t="s">
        <v>228</v>
      </c>
      <c r="AW564" s="0" t="s">
        <v>228</v>
      </c>
      <c r="AX564" s="0" t="s">
        <v>228</v>
      </c>
      <c r="AY564" s="0" t="s">
        <v>228</v>
      </c>
      <c r="AZ564" s="0" t="s">
        <v>228</v>
      </c>
      <c r="BA564" s="0" t="s">
        <v>228</v>
      </c>
      <c r="BB564" s="0" t="s">
        <v>228</v>
      </c>
      <c r="BC564" s="0" t="s">
        <v>228</v>
      </c>
      <c r="BD564" s="0" t="s">
        <v>228</v>
      </c>
      <c r="BE564" s="0" t="s">
        <v>228</v>
      </c>
      <c r="BF564" s="0" t="s">
        <v>228</v>
      </c>
      <c r="BG564" s="0" t="s">
        <v>228</v>
      </c>
      <c r="BH564" s="0" t="s">
        <v>228</v>
      </c>
      <c r="BI564" s="0" t="s">
        <v>228</v>
      </c>
      <c r="BJ564" s="0" t="s">
        <v>228</v>
      </c>
      <c r="BK564" s="0" t="s">
        <v>228</v>
      </c>
      <c r="BL564" s="0" t="s">
        <v>228</v>
      </c>
      <c r="BM564" s="0" t="s">
        <v>228</v>
      </c>
      <c r="BN564" s="0" t="s">
        <v>228</v>
      </c>
      <c r="BO564" s="0" t="s">
        <v>228</v>
      </c>
      <c r="BP564" s="0" t="s">
        <v>228</v>
      </c>
      <c r="BQ564" s="0" t="s">
        <v>228</v>
      </c>
      <c r="BR564" s="0" t="s">
        <v>228</v>
      </c>
      <c r="BS564" s="0" t="s">
        <v>228</v>
      </c>
      <c r="BT564" s="0" t="s">
        <v>228</v>
      </c>
      <c r="BU564" s="0" t="s">
        <v>228</v>
      </c>
      <c r="BV564" s="0" t="s">
        <v>228</v>
      </c>
      <c r="BW564" s="0" t="s">
        <v>228</v>
      </c>
      <c r="BX564" s="0" t="s">
        <v>228</v>
      </c>
      <c r="BY564" s="0" t="s">
        <v>228</v>
      </c>
      <c r="BZ564" s="0" t="s">
        <v>228</v>
      </c>
      <c r="CA564" s="0" t="s">
        <v>228</v>
      </c>
      <c r="CB564" s="0" t="s">
        <v>228</v>
      </c>
      <c r="CC564" s="0" t="s">
        <v>228</v>
      </c>
      <c r="CD564" s="0" t="s">
        <v>228</v>
      </c>
      <c r="CE564" s="0" t="s">
        <v>228</v>
      </c>
      <c r="CF564" s="0" t="s">
        <v>228</v>
      </c>
      <c r="CG564" s="0" t="s">
        <v>228</v>
      </c>
      <c r="CH564" s="0" t="s">
        <v>228</v>
      </c>
      <c r="CI564" s="0" t="s">
        <v>228</v>
      </c>
      <c r="CJ564" s="0" t="s">
        <v>228</v>
      </c>
      <c r="CK564" s="0" t="s">
        <v>228</v>
      </c>
      <c r="CL564" s="0" t="s">
        <v>228</v>
      </c>
      <c r="CM564" s="0" t="s">
        <v>228</v>
      </c>
      <c r="CN564" s="0" t="s">
        <v>228</v>
      </c>
      <c r="CO564" s="0" t="s">
        <v>228</v>
      </c>
      <c r="CP564" s="0" t="s">
        <v>228</v>
      </c>
      <c r="CQ564" s="0" t="s">
        <v>228</v>
      </c>
      <c r="CR564" s="0" t="s">
        <v>228</v>
      </c>
      <c r="CS564" s="0" t="s">
        <v>228</v>
      </c>
      <c r="CT564" s="0" t="s">
        <v>3568</v>
      </c>
      <c r="CU564" s="0" t="s">
        <v>3569</v>
      </c>
      <c r="CV564" s="0" t="s">
        <v>4030</v>
      </c>
      <c r="CW564" s="0" t="s">
        <v>4031</v>
      </c>
      <c r="CX564" s="0" t="s">
        <v>3603</v>
      </c>
      <c r="CY564" s="0" t="s">
        <v>4030</v>
      </c>
      <c r="CZ564" s="0" t="s">
        <v>3608</v>
      </c>
      <c r="DA564" s="0" t="s">
        <v>4032</v>
      </c>
      <c r="DB564" s="0" t="s">
        <v>3676</v>
      </c>
      <c r="DC564" s="0" t="s">
        <v>362</v>
      </c>
      <c r="DD564" s="0" t="s">
        <v>3572</v>
      </c>
      <c r="DE564" s="0" t="s">
        <v>4779</v>
      </c>
    </row>
    <row customHeight="1" ht="11.25">
      <c r="A565" s="1353" t="s">
        <v>228</v>
      </c>
      <c r="B565" s="0" t="s">
        <v>228</v>
      </c>
      <c r="C565" s="0" t="s">
        <v>228</v>
      </c>
      <c r="D565" s="0" t="s">
        <v>228</v>
      </c>
      <c r="E565" s="0" t="s">
        <v>228</v>
      </c>
      <c r="F565" s="0" t="s">
        <v>228</v>
      </c>
      <c r="G565" s="0" t="s">
        <v>228</v>
      </c>
      <c r="H565" s="0" t="s">
        <v>228</v>
      </c>
      <c r="I565" s="0" t="s">
        <v>3555</v>
      </c>
      <c r="J565" s="0" t="s">
        <v>228</v>
      </c>
      <c r="K565" s="0" t="s">
        <v>228</v>
      </c>
      <c r="L565" s="0" t="s">
        <v>228</v>
      </c>
      <c r="M565" s="0" t="s">
        <v>228</v>
      </c>
      <c r="N565" s="0" t="s">
        <v>228</v>
      </c>
      <c r="O565" s="0" t="s">
        <v>228</v>
      </c>
      <c r="P565" s="0" t="s">
        <v>228</v>
      </c>
      <c r="Q565" s="0" t="s">
        <v>228</v>
      </c>
      <c r="R565" s="0" t="s">
        <v>4936</v>
      </c>
      <c r="S565" s="0" t="s">
        <v>228</v>
      </c>
      <c r="T565" s="0" t="s">
        <v>228</v>
      </c>
      <c r="U565" s="0" t="s">
        <v>101</v>
      </c>
      <c r="V565" s="0" t="s">
        <v>228</v>
      </c>
      <c r="W565" s="0" t="s">
        <v>228</v>
      </c>
      <c r="X565" s="0" t="s">
        <v>3661</v>
      </c>
      <c r="Y565" s="0" t="s">
        <v>228</v>
      </c>
      <c r="Z565" s="0" t="s">
        <v>151</v>
      </c>
      <c r="AA565" s="0" t="s">
        <v>151</v>
      </c>
      <c r="AB565" s="0" t="s">
        <v>160</v>
      </c>
      <c r="AC565" s="0" t="s">
        <v>2721</v>
      </c>
      <c r="AD565" s="0" t="s">
        <v>2721</v>
      </c>
      <c r="AE565" s="0" t="s">
        <v>2722</v>
      </c>
      <c r="AF565" s="0" t="s">
        <v>4024</v>
      </c>
      <c r="AG565" s="0" t="s">
        <v>4025</v>
      </c>
      <c r="AH565" s="0" t="s">
        <v>4146</v>
      </c>
      <c r="AI565" s="0" t="s">
        <v>151</v>
      </c>
      <c r="AJ565" s="0" t="s">
        <v>228</v>
      </c>
      <c r="AK565" s="0" t="s">
        <v>228</v>
      </c>
      <c r="AL565" s="0" t="s">
        <v>228</v>
      </c>
      <c r="AM565" s="0" t="s">
        <v>228</v>
      </c>
      <c r="AN565" s="0" t="s">
        <v>228</v>
      </c>
      <c r="AO565" s="0" t="s">
        <v>228</v>
      </c>
      <c r="AP565" s="0" t="s">
        <v>228</v>
      </c>
      <c r="AQ565" s="0" t="s">
        <v>228</v>
      </c>
      <c r="AR565" s="0" t="s">
        <v>228</v>
      </c>
      <c r="AS565" s="0" t="s">
        <v>228</v>
      </c>
      <c r="AT565" s="0" t="s">
        <v>228</v>
      </c>
      <c r="AU565" s="0" t="s">
        <v>228</v>
      </c>
      <c r="AV565" s="0" t="s">
        <v>228</v>
      </c>
      <c r="AW565" s="0" t="s">
        <v>228</v>
      </c>
      <c r="AX565" s="0" t="s">
        <v>228</v>
      </c>
      <c r="AY565" s="0" t="s">
        <v>228</v>
      </c>
      <c r="AZ565" s="0" t="s">
        <v>228</v>
      </c>
      <c r="BA565" s="0" t="s">
        <v>228</v>
      </c>
      <c r="BB565" s="0" t="s">
        <v>228</v>
      </c>
      <c r="BC565" s="0" t="s">
        <v>228</v>
      </c>
      <c r="BD565" s="0" t="s">
        <v>228</v>
      </c>
      <c r="BE565" s="0" t="s">
        <v>4937</v>
      </c>
      <c r="BF565" s="0" t="s">
        <v>4938</v>
      </c>
      <c r="BG565" s="0" t="s">
        <v>111</v>
      </c>
      <c r="BH565" s="0" t="s">
        <v>3665</v>
      </c>
      <c r="BI565" s="0" t="s">
        <v>122</v>
      </c>
      <c r="BJ565" s="0" t="s">
        <v>228</v>
      </c>
      <c r="BK565" s="0" t="s">
        <v>4939</v>
      </c>
      <c r="BL565" s="0" t="s">
        <v>2721</v>
      </c>
      <c r="BM565" s="0" t="s">
        <v>2721</v>
      </c>
      <c r="BN565" s="0" t="s">
        <v>4149</v>
      </c>
      <c r="BO565" s="0" t="s">
        <v>4024</v>
      </c>
      <c r="BP565" s="0" t="s">
        <v>4150</v>
      </c>
      <c r="BQ565" s="0" t="s">
        <v>4940</v>
      </c>
      <c r="BR565" s="0" t="s">
        <v>489</v>
      </c>
      <c r="BS565" s="0" t="s">
        <v>228</v>
      </c>
      <c r="BT565" s="0" t="s">
        <v>3670</v>
      </c>
      <c r="BU565" s="0" t="s">
        <v>4941</v>
      </c>
      <c r="BV565" s="0" t="s">
        <v>4942</v>
      </c>
      <c r="BW565" s="0" t="s">
        <v>4943</v>
      </c>
      <c r="BX565" s="0" t="s">
        <v>4944</v>
      </c>
      <c r="BY565" s="0" t="s">
        <v>3674</v>
      </c>
      <c r="BZ565" s="0" t="s">
        <v>3674</v>
      </c>
      <c r="CA565" s="0" t="s">
        <v>3674</v>
      </c>
      <c r="CB565" s="0" t="s">
        <v>3674</v>
      </c>
      <c r="CC565" s="0" t="s">
        <v>3674</v>
      </c>
      <c r="CD565" s="0" t="s">
        <v>3674</v>
      </c>
      <c r="CE565" s="0" t="s">
        <v>3674</v>
      </c>
      <c r="CF565" s="0" t="s">
        <v>3674</v>
      </c>
      <c r="CG565" s="0" t="s">
        <v>3674</v>
      </c>
      <c r="CH565" s="0" t="s">
        <v>3674</v>
      </c>
      <c r="CI565" s="0" t="s">
        <v>3674</v>
      </c>
      <c r="CJ565" s="0" t="s">
        <v>3674</v>
      </c>
      <c r="CK565" s="0" t="s">
        <v>3674</v>
      </c>
      <c r="CL565" s="0" t="s">
        <v>3674</v>
      </c>
      <c r="CM565" s="0" t="s">
        <v>4941</v>
      </c>
      <c r="CN565" s="0" t="s">
        <v>4942</v>
      </c>
      <c r="CO565" s="0" t="s">
        <v>4943</v>
      </c>
      <c r="CP565" s="0" t="s">
        <v>4944</v>
      </c>
      <c r="CQ565" s="0" t="s">
        <v>3674</v>
      </c>
      <c r="CR565" s="0" t="s">
        <v>3674</v>
      </c>
      <c r="CS565" s="0" t="s">
        <v>4606</v>
      </c>
      <c r="CT565" s="0" t="s">
        <v>3568</v>
      </c>
      <c r="CU565" s="0" t="s">
        <v>3569</v>
      </c>
      <c r="CV565" s="0" t="s">
        <v>4030</v>
      </c>
      <c r="CW565" s="0" t="s">
        <v>4031</v>
      </c>
      <c r="CX565" s="0" t="s">
        <v>3603</v>
      </c>
      <c r="CY565" s="0" t="s">
        <v>4030</v>
      </c>
      <c r="CZ565" s="0" t="s">
        <v>3608</v>
      </c>
      <c r="DA565" s="0" t="s">
        <v>4032</v>
      </c>
      <c r="DB565" s="0" t="s">
        <v>3676</v>
      </c>
      <c r="DC565" s="0" t="s">
        <v>362</v>
      </c>
      <c r="DD565" s="0" t="s">
        <v>3572</v>
      </c>
      <c r="DE565" s="0" t="s">
        <v>4156</v>
      </c>
    </row>
    <row customHeight="1" ht="11.25">
      <c r="A566" s="1353" t="s">
        <v>228</v>
      </c>
      <c r="B566" s="0" t="s">
        <v>228</v>
      </c>
      <c r="C566" s="0" t="s">
        <v>228</v>
      </c>
      <c r="D566" s="0" t="s">
        <v>228</v>
      </c>
      <c r="E566" s="0" t="s">
        <v>228</v>
      </c>
      <c r="F566" s="0" t="s">
        <v>228</v>
      </c>
      <c r="G566" s="0" t="s">
        <v>228</v>
      </c>
      <c r="H566" s="0" t="s">
        <v>228</v>
      </c>
      <c r="I566" s="0" t="s">
        <v>3555</v>
      </c>
      <c r="J566" s="0" t="s">
        <v>228</v>
      </c>
      <c r="K566" s="0" t="s">
        <v>228</v>
      </c>
      <c r="L566" s="0" t="s">
        <v>228</v>
      </c>
      <c r="M566" s="0" t="s">
        <v>228</v>
      </c>
      <c r="N566" s="0" t="s">
        <v>228</v>
      </c>
      <c r="O566" s="0" t="s">
        <v>228</v>
      </c>
      <c r="P566" s="0" t="s">
        <v>228</v>
      </c>
      <c r="Q566" s="0" t="s">
        <v>228</v>
      </c>
      <c r="R566" s="0" t="s">
        <v>4945</v>
      </c>
      <c r="S566" s="0" t="s">
        <v>228</v>
      </c>
      <c r="T566" s="0" t="s">
        <v>228</v>
      </c>
      <c r="U566" s="0" t="s">
        <v>101</v>
      </c>
      <c r="V566" s="0" t="s">
        <v>228</v>
      </c>
      <c r="W566" s="0" t="s">
        <v>228</v>
      </c>
      <c r="X566" s="0" t="s">
        <v>3661</v>
      </c>
      <c r="Y566" s="0" t="s">
        <v>228</v>
      </c>
      <c r="Z566" s="0" t="s">
        <v>151</v>
      </c>
      <c r="AA566" s="0" t="s">
        <v>151</v>
      </c>
      <c r="AB566" s="0" t="s">
        <v>160</v>
      </c>
      <c r="AC566" s="0" t="s">
        <v>2721</v>
      </c>
      <c r="AD566" s="0" t="s">
        <v>2721</v>
      </c>
      <c r="AE566" s="0" t="s">
        <v>2722</v>
      </c>
      <c r="AF566" s="0" t="s">
        <v>4024</v>
      </c>
      <c r="AG566" s="0" t="s">
        <v>4025</v>
      </c>
      <c r="AH566" s="0" t="s">
        <v>4146</v>
      </c>
      <c r="AI566" s="0" t="s">
        <v>151</v>
      </c>
      <c r="AJ566" s="0" t="s">
        <v>228</v>
      </c>
      <c r="AK566" s="0" t="s">
        <v>228</v>
      </c>
      <c r="AL566" s="0" t="s">
        <v>228</v>
      </c>
      <c r="AM566" s="0" t="s">
        <v>228</v>
      </c>
      <c r="AN566" s="0" t="s">
        <v>228</v>
      </c>
      <c r="AO566" s="0" t="s">
        <v>228</v>
      </c>
      <c r="AP566" s="0" t="s">
        <v>228</v>
      </c>
      <c r="AQ566" s="0" t="s">
        <v>228</v>
      </c>
      <c r="AR566" s="0" t="s">
        <v>228</v>
      </c>
      <c r="AS566" s="0" t="s">
        <v>228</v>
      </c>
      <c r="AT566" s="0" t="s">
        <v>228</v>
      </c>
      <c r="AU566" s="0" t="s">
        <v>228</v>
      </c>
      <c r="AV566" s="0" t="s">
        <v>228</v>
      </c>
      <c r="AW566" s="0" t="s">
        <v>228</v>
      </c>
      <c r="AX566" s="0" t="s">
        <v>228</v>
      </c>
      <c r="AY566" s="0" t="s">
        <v>228</v>
      </c>
      <c r="AZ566" s="0" t="s">
        <v>228</v>
      </c>
      <c r="BA566" s="0" t="s">
        <v>228</v>
      </c>
      <c r="BB566" s="0" t="s">
        <v>228</v>
      </c>
      <c r="BC566" s="0" t="s">
        <v>228</v>
      </c>
      <c r="BD566" s="0" t="s">
        <v>228</v>
      </c>
      <c r="BE566" s="0" t="s">
        <v>4027</v>
      </c>
      <c r="BF566" s="0" t="s">
        <v>4296</v>
      </c>
      <c r="BG566" s="0" t="s">
        <v>111</v>
      </c>
      <c r="BH566" s="0" t="s">
        <v>3665</v>
      </c>
      <c r="BI566" s="0" t="s">
        <v>122</v>
      </c>
      <c r="BJ566" s="0" t="s">
        <v>228</v>
      </c>
      <c r="BK566" s="0" t="s">
        <v>4295</v>
      </c>
      <c r="BL566" s="0" t="s">
        <v>2721</v>
      </c>
      <c r="BM566" s="0" t="s">
        <v>2721</v>
      </c>
      <c r="BN566" s="0" t="s">
        <v>4149</v>
      </c>
      <c r="BO566" s="0" t="s">
        <v>4024</v>
      </c>
      <c r="BP566" s="0" t="s">
        <v>4150</v>
      </c>
      <c r="BQ566" s="0" t="s">
        <v>4946</v>
      </c>
      <c r="BR566" s="0" t="s">
        <v>151</v>
      </c>
      <c r="BS566" s="0" t="s">
        <v>228</v>
      </c>
      <c r="BT566" s="0" t="s">
        <v>3670</v>
      </c>
      <c r="BU566" s="0" t="s">
        <v>4947</v>
      </c>
      <c r="BV566" s="0" t="s">
        <v>4948</v>
      </c>
      <c r="BW566" s="0" t="s">
        <v>4949</v>
      </c>
      <c r="BX566" s="0" t="s">
        <v>3674</v>
      </c>
      <c r="BY566" s="0" t="s">
        <v>3674</v>
      </c>
      <c r="BZ566" s="0" t="s">
        <v>3674</v>
      </c>
      <c r="CA566" s="0" t="s">
        <v>3674</v>
      </c>
      <c r="CB566" s="0" t="s">
        <v>3674</v>
      </c>
      <c r="CC566" s="0" t="s">
        <v>3674</v>
      </c>
      <c r="CD566" s="0" t="s">
        <v>3674</v>
      </c>
      <c r="CE566" s="0" t="s">
        <v>3674</v>
      </c>
      <c r="CF566" s="0" t="s">
        <v>3674</v>
      </c>
      <c r="CG566" s="0" t="s">
        <v>3674</v>
      </c>
      <c r="CH566" s="0" t="s">
        <v>3674</v>
      </c>
      <c r="CI566" s="0" t="s">
        <v>3674</v>
      </c>
      <c r="CJ566" s="0" t="s">
        <v>3674</v>
      </c>
      <c r="CK566" s="0" t="s">
        <v>3674</v>
      </c>
      <c r="CL566" s="0" t="s">
        <v>3674</v>
      </c>
      <c r="CM566" s="0" t="s">
        <v>4947</v>
      </c>
      <c r="CN566" s="0" t="s">
        <v>4948</v>
      </c>
      <c r="CO566" s="0" t="s">
        <v>4949</v>
      </c>
      <c r="CP566" s="0" t="s">
        <v>3674</v>
      </c>
      <c r="CQ566" s="0" t="s">
        <v>3674</v>
      </c>
      <c r="CR566" s="0" t="s">
        <v>3674</v>
      </c>
      <c r="CS566" s="0" t="s">
        <v>4950</v>
      </c>
      <c r="CT566" s="0" t="s">
        <v>3568</v>
      </c>
      <c r="CU566" s="0" t="s">
        <v>3569</v>
      </c>
      <c r="CV566" s="0" t="s">
        <v>4030</v>
      </c>
      <c r="CW566" s="0" t="s">
        <v>4031</v>
      </c>
      <c r="CX566" s="0" t="s">
        <v>3603</v>
      </c>
      <c r="CY566" s="0" t="s">
        <v>4030</v>
      </c>
      <c r="CZ566" s="0" t="s">
        <v>3608</v>
      </c>
      <c r="DA566" s="0" t="s">
        <v>4032</v>
      </c>
      <c r="DB566" s="0" t="s">
        <v>3676</v>
      </c>
      <c r="DC566" s="0" t="s">
        <v>362</v>
      </c>
      <c r="DD566" s="0" t="s">
        <v>3572</v>
      </c>
      <c r="DE566" s="0" t="s">
        <v>4156</v>
      </c>
    </row>
    <row customHeight="1" ht="11.25">
      <c r="A567" s="1353" t="s">
        <v>228</v>
      </c>
      <c r="B567" s="0" t="s">
        <v>228</v>
      </c>
      <c r="C567" s="0" t="s">
        <v>228</v>
      </c>
      <c r="D567" s="0" t="s">
        <v>228</v>
      </c>
      <c r="E567" s="0" t="s">
        <v>228</v>
      </c>
      <c r="F567" s="0" t="s">
        <v>228</v>
      </c>
      <c r="G567" s="0" t="s">
        <v>228</v>
      </c>
      <c r="H567" s="0" t="s">
        <v>228</v>
      </c>
      <c r="I567" s="0" t="s">
        <v>3555</v>
      </c>
      <c r="J567" s="0" t="s">
        <v>228</v>
      </c>
      <c r="K567" s="0" t="s">
        <v>228</v>
      </c>
      <c r="L567" s="0" t="s">
        <v>228</v>
      </c>
      <c r="M567" s="0" t="s">
        <v>228</v>
      </c>
      <c r="N567" s="0" t="s">
        <v>228</v>
      </c>
      <c r="O567" s="0" t="s">
        <v>228</v>
      </c>
      <c r="P567" s="0" t="s">
        <v>228</v>
      </c>
      <c r="Q567" s="0" t="s">
        <v>228</v>
      </c>
      <c r="R567" s="0" t="s">
        <v>3718</v>
      </c>
      <c r="S567" s="0" t="s">
        <v>228</v>
      </c>
      <c r="T567" s="0" t="s">
        <v>228</v>
      </c>
      <c r="U567" s="0" t="s">
        <v>101</v>
      </c>
      <c r="V567" s="0" t="s">
        <v>228</v>
      </c>
      <c r="W567" s="0" t="s">
        <v>228</v>
      </c>
      <c r="X567" s="0" t="s">
        <v>3661</v>
      </c>
      <c r="Y567" s="0" t="s">
        <v>228</v>
      </c>
      <c r="Z567" s="0" t="s">
        <v>151</v>
      </c>
      <c r="AA567" s="0" t="s">
        <v>151</v>
      </c>
      <c r="AB567" s="0" t="s">
        <v>160</v>
      </c>
      <c r="AC567" s="0" t="s">
        <v>2311</v>
      </c>
      <c r="AD567" s="0" t="s">
        <v>2311</v>
      </c>
      <c r="AE567" s="0" t="s">
        <v>2312</v>
      </c>
      <c r="AF567" s="0" t="s">
        <v>3685</v>
      </c>
      <c r="AG567" s="0" t="s">
        <v>3686</v>
      </c>
      <c r="AH567" s="0" t="s">
        <v>3685</v>
      </c>
      <c r="AI567" s="0" t="s">
        <v>3721</v>
      </c>
      <c r="AJ567" s="0" t="s">
        <v>228</v>
      </c>
      <c r="AK567" s="0" t="s">
        <v>228</v>
      </c>
      <c r="AL567" s="0" t="s">
        <v>228</v>
      </c>
      <c r="AM567" s="0" t="s">
        <v>228</v>
      </c>
      <c r="AN567" s="0" t="s">
        <v>228</v>
      </c>
      <c r="AO567" s="0" t="s">
        <v>228</v>
      </c>
      <c r="AP567" s="0" t="s">
        <v>228</v>
      </c>
      <c r="AQ567" s="0" t="s">
        <v>228</v>
      </c>
      <c r="AR567" s="0" t="s">
        <v>228</v>
      </c>
      <c r="AS567" s="0" t="s">
        <v>228</v>
      </c>
      <c r="AT567" s="0" t="s">
        <v>228</v>
      </c>
      <c r="AU567" s="0" t="s">
        <v>228</v>
      </c>
      <c r="AV567" s="0" t="s">
        <v>228</v>
      </c>
      <c r="AW567" s="0" t="s">
        <v>228</v>
      </c>
      <c r="AX567" s="0" t="s">
        <v>228</v>
      </c>
      <c r="AY567" s="0" t="s">
        <v>228</v>
      </c>
      <c r="AZ567" s="0" t="s">
        <v>228</v>
      </c>
      <c r="BA567" s="0" t="s">
        <v>228</v>
      </c>
      <c r="BB567" s="0" t="s">
        <v>228</v>
      </c>
      <c r="BC567" s="0" t="s">
        <v>228</v>
      </c>
      <c r="BD567" s="0" t="s">
        <v>228</v>
      </c>
      <c r="BE567" s="0" t="s">
        <v>3722</v>
      </c>
      <c r="BF567" s="0" t="s">
        <v>3722</v>
      </c>
      <c r="BG567" s="0" t="s">
        <v>111</v>
      </c>
      <c r="BH567" s="0" t="s">
        <v>3665</v>
      </c>
      <c r="BI567" s="0" t="s">
        <v>122</v>
      </c>
      <c r="BJ567" s="0" t="s">
        <v>228</v>
      </c>
      <c r="BK567" s="0" t="s">
        <v>3684</v>
      </c>
      <c r="BL567" s="0" t="s">
        <v>2311</v>
      </c>
      <c r="BM567" s="0" t="s">
        <v>2311</v>
      </c>
      <c r="BN567" s="0" t="s">
        <v>3723</v>
      </c>
      <c r="BO567" s="0" t="s">
        <v>3685</v>
      </c>
      <c r="BP567" s="0" t="s">
        <v>4159</v>
      </c>
      <c r="BQ567" s="0" t="s">
        <v>4160</v>
      </c>
      <c r="BR567" s="0" t="s">
        <v>3688</v>
      </c>
      <c r="BS567" s="0" t="s">
        <v>228</v>
      </c>
      <c r="BT567" s="0" t="s">
        <v>3727</v>
      </c>
      <c r="BU567" s="0" t="s">
        <v>4161</v>
      </c>
      <c r="BV567" s="0" t="s">
        <v>4161</v>
      </c>
      <c r="BW567" s="0" t="s">
        <v>3674</v>
      </c>
      <c r="BX567" s="0" t="s">
        <v>3674</v>
      </c>
      <c r="BY567" s="0" t="s">
        <v>3674</v>
      </c>
      <c r="BZ567" s="0" t="s">
        <v>3674</v>
      </c>
      <c r="CA567" s="0" t="s">
        <v>3674</v>
      </c>
      <c r="CB567" s="0" t="s">
        <v>228</v>
      </c>
      <c r="CC567" s="0" t="s">
        <v>228</v>
      </c>
      <c r="CD567" s="0" t="s">
        <v>228</v>
      </c>
      <c r="CE567" s="0" t="s">
        <v>228</v>
      </c>
      <c r="CF567" s="0" t="s">
        <v>228</v>
      </c>
      <c r="CG567" s="0" t="s">
        <v>3674</v>
      </c>
      <c r="CH567" s="0" t="s">
        <v>228</v>
      </c>
      <c r="CI567" s="0" t="s">
        <v>228</v>
      </c>
      <c r="CJ567" s="0" t="s">
        <v>228</v>
      </c>
      <c r="CK567" s="0" t="s">
        <v>228</v>
      </c>
      <c r="CL567" s="0" t="s">
        <v>228</v>
      </c>
      <c r="CM567" s="0" t="s">
        <v>4161</v>
      </c>
      <c r="CN567" s="0" t="s">
        <v>4161</v>
      </c>
      <c r="CO567" s="0" t="s">
        <v>228</v>
      </c>
      <c r="CP567" s="0" t="s">
        <v>228</v>
      </c>
      <c r="CQ567" s="0" t="s">
        <v>228</v>
      </c>
      <c r="CR567" s="0" t="s">
        <v>228</v>
      </c>
      <c r="CS567" s="0" t="s">
        <v>3582</v>
      </c>
      <c r="CT567" s="0" t="s">
        <v>3568</v>
      </c>
      <c r="CU567" s="0" t="s">
        <v>3569</v>
      </c>
      <c r="CV567" s="0" t="s">
        <v>418</v>
      </c>
      <c r="CW567" s="0" t="s">
        <v>3584</v>
      </c>
      <c r="CX567" s="0" t="s">
        <v>419</v>
      </c>
      <c r="CY567" s="0" t="s">
        <v>418</v>
      </c>
      <c r="CZ567" s="0" t="s">
        <v>3585</v>
      </c>
      <c r="DA567" s="0" t="s">
        <v>3586</v>
      </c>
      <c r="DB567" s="0" t="s">
        <v>3584</v>
      </c>
      <c r="DC567" s="0" t="s">
        <v>362</v>
      </c>
      <c r="DD567" s="0" t="s">
        <v>3572</v>
      </c>
      <c r="DE567" s="0" t="s">
        <v>4162</v>
      </c>
    </row>
    <row customHeight="1" ht="11.25">
      <c r="A568" s="1353" t="s">
        <v>228</v>
      </c>
      <c r="B568" s="0" t="s">
        <v>228</v>
      </c>
      <c r="C568" s="0" t="s">
        <v>228</v>
      </c>
      <c r="D568" s="0" t="s">
        <v>228</v>
      </c>
      <c r="E568" s="0" t="s">
        <v>228</v>
      </c>
      <c r="F568" s="0" t="s">
        <v>228</v>
      </c>
      <c r="G568" s="0" t="s">
        <v>228</v>
      </c>
      <c r="H568" s="0" t="s">
        <v>228</v>
      </c>
      <c r="I568" s="0" t="s">
        <v>3555</v>
      </c>
      <c r="J568" s="0" t="s">
        <v>228</v>
      </c>
      <c r="K568" s="0" t="s">
        <v>228</v>
      </c>
      <c r="L568" s="0" t="s">
        <v>228</v>
      </c>
      <c r="M568" s="0" t="s">
        <v>228</v>
      </c>
      <c r="N568" s="0" t="s">
        <v>228</v>
      </c>
      <c r="O568" s="0" t="s">
        <v>228</v>
      </c>
      <c r="P568" s="0" t="s">
        <v>228</v>
      </c>
      <c r="Q568" s="0" t="s">
        <v>228</v>
      </c>
      <c r="R568" s="0" t="s">
        <v>4353</v>
      </c>
      <c r="S568" s="0" t="s">
        <v>228</v>
      </c>
      <c r="T568" s="0" t="s">
        <v>228</v>
      </c>
      <c r="U568" s="0" t="s">
        <v>101</v>
      </c>
      <c r="V568" s="0" t="s">
        <v>228</v>
      </c>
      <c r="W568" s="0" t="s">
        <v>228</v>
      </c>
      <c r="X568" s="0" t="s">
        <v>3557</v>
      </c>
      <c r="Y568" s="0" t="s">
        <v>228</v>
      </c>
      <c r="Z568" s="0" t="s">
        <v>160</v>
      </c>
      <c r="AA568" s="0" t="s">
        <v>151</v>
      </c>
      <c r="AB568" s="0" t="s">
        <v>151</v>
      </c>
      <c r="AC568" s="0" t="s">
        <v>2311</v>
      </c>
      <c r="AD568" s="0" t="s">
        <v>2311</v>
      </c>
      <c r="AE568" s="0" t="s">
        <v>2312</v>
      </c>
      <c r="AF568" s="0" t="s">
        <v>3685</v>
      </c>
      <c r="AG568" s="0" t="s">
        <v>3686</v>
      </c>
      <c r="AH568" s="0" t="s">
        <v>3577</v>
      </c>
      <c r="AI568" s="0" t="s">
        <v>4354</v>
      </c>
      <c r="AJ568" s="0" t="s">
        <v>4355</v>
      </c>
      <c r="AK568" s="0" t="s">
        <v>3808</v>
      </c>
      <c r="AL568" s="0" t="s">
        <v>3581</v>
      </c>
      <c r="AM568" s="0" t="s">
        <v>3565</v>
      </c>
      <c r="AN568" s="0" t="s">
        <v>3582</v>
      </c>
      <c r="AO568" s="0" t="s">
        <v>3689</v>
      </c>
      <c r="AP568" s="0" t="s">
        <v>228</v>
      </c>
      <c r="AQ568" s="0" t="s">
        <v>228</v>
      </c>
      <c r="AR568" s="0" t="s">
        <v>228</v>
      </c>
      <c r="AS568" s="0" t="s">
        <v>228</v>
      </c>
      <c r="AT568" s="0" t="s">
        <v>228</v>
      </c>
      <c r="AU568" s="0" t="s">
        <v>228</v>
      </c>
      <c r="AV568" s="0" t="s">
        <v>228</v>
      </c>
      <c r="AW568" s="0" t="s">
        <v>228</v>
      </c>
      <c r="AX568" s="0" t="s">
        <v>228</v>
      </c>
      <c r="AY568" s="0" t="s">
        <v>228</v>
      </c>
      <c r="AZ568" s="0" t="s">
        <v>228</v>
      </c>
      <c r="BA568" s="0" t="s">
        <v>228</v>
      </c>
      <c r="BB568" s="0" t="s">
        <v>228</v>
      </c>
      <c r="BC568" s="0" t="s">
        <v>228</v>
      </c>
      <c r="BD568" s="0" t="s">
        <v>228</v>
      </c>
      <c r="BE568" s="0" t="s">
        <v>228</v>
      </c>
      <c r="BF568" s="0" t="s">
        <v>228</v>
      </c>
      <c r="BG568" s="0" t="s">
        <v>228</v>
      </c>
      <c r="BH568" s="0" t="s">
        <v>228</v>
      </c>
      <c r="BI568" s="0" t="s">
        <v>228</v>
      </c>
      <c r="BJ568" s="0" t="s">
        <v>228</v>
      </c>
      <c r="BK568" s="0" t="s">
        <v>228</v>
      </c>
      <c r="BL568" s="0" t="s">
        <v>228</v>
      </c>
      <c r="BM568" s="0" t="s">
        <v>228</v>
      </c>
      <c r="BN568" s="0" t="s">
        <v>228</v>
      </c>
      <c r="BO568" s="0" t="s">
        <v>228</v>
      </c>
      <c r="BP568" s="0" t="s">
        <v>228</v>
      </c>
      <c r="BQ568" s="0" t="s">
        <v>228</v>
      </c>
      <c r="BR568" s="0" t="s">
        <v>228</v>
      </c>
      <c r="BS568" s="0" t="s">
        <v>228</v>
      </c>
      <c r="BT568" s="0" t="s">
        <v>228</v>
      </c>
      <c r="BU568" s="0" t="s">
        <v>228</v>
      </c>
      <c r="BV568" s="0" t="s">
        <v>228</v>
      </c>
      <c r="BW568" s="0" t="s">
        <v>228</v>
      </c>
      <c r="BX568" s="0" t="s">
        <v>228</v>
      </c>
      <c r="BY568" s="0" t="s">
        <v>228</v>
      </c>
      <c r="BZ568" s="0" t="s">
        <v>228</v>
      </c>
      <c r="CA568" s="0" t="s">
        <v>228</v>
      </c>
      <c r="CB568" s="0" t="s">
        <v>228</v>
      </c>
      <c r="CC568" s="0" t="s">
        <v>228</v>
      </c>
      <c r="CD568" s="0" t="s">
        <v>228</v>
      </c>
      <c r="CE568" s="0" t="s">
        <v>228</v>
      </c>
      <c r="CF568" s="0" t="s">
        <v>228</v>
      </c>
      <c r="CG568" s="0" t="s">
        <v>228</v>
      </c>
      <c r="CH568" s="0" t="s">
        <v>228</v>
      </c>
      <c r="CI568" s="0" t="s">
        <v>228</v>
      </c>
      <c r="CJ568" s="0" t="s">
        <v>228</v>
      </c>
      <c r="CK568" s="0" t="s">
        <v>228</v>
      </c>
      <c r="CL568" s="0" t="s">
        <v>228</v>
      </c>
      <c r="CM568" s="0" t="s">
        <v>228</v>
      </c>
      <c r="CN568" s="0" t="s">
        <v>228</v>
      </c>
      <c r="CO568" s="0" t="s">
        <v>228</v>
      </c>
      <c r="CP568" s="0" t="s">
        <v>228</v>
      </c>
      <c r="CQ568" s="0" t="s">
        <v>228</v>
      </c>
      <c r="CR568" s="0" t="s">
        <v>228</v>
      </c>
      <c r="CS568" s="0" t="s">
        <v>228</v>
      </c>
      <c r="CT568" s="0" t="s">
        <v>3568</v>
      </c>
      <c r="CU568" s="0" t="s">
        <v>3569</v>
      </c>
      <c r="CV568" s="0" t="s">
        <v>418</v>
      </c>
      <c r="CW568" s="0" t="s">
        <v>3584</v>
      </c>
      <c r="CX568" s="0" t="s">
        <v>419</v>
      </c>
      <c r="CY568" s="0" t="s">
        <v>418</v>
      </c>
      <c r="CZ568" s="0" t="s">
        <v>3585</v>
      </c>
      <c r="DA568" s="0" t="s">
        <v>3586</v>
      </c>
      <c r="DB568" s="0" t="s">
        <v>3584</v>
      </c>
      <c r="DC568" s="0" t="s">
        <v>362</v>
      </c>
      <c r="DD568" s="0" t="s">
        <v>3572</v>
      </c>
      <c r="DE568" s="0" t="s">
        <v>4356</v>
      </c>
    </row>
    <row customHeight="1" ht="11.25">
      <c r="A569" s="1353" t="s">
        <v>228</v>
      </c>
      <c r="B569" s="0" t="s">
        <v>228</v>
      </c>
      <c r="C569" s="0" t="s">
        <v>228</v>
      </c>
      <c r="D569" s="0" t="s">
        <v>228</v>
      </c>
      <c r="E569" s="0" t="s">
        <v>228</v>
      </c>
      <c r="F569" s="0" t="s">
        <v>228</v>
      </c>
      <c r="G569" s="0" t="s">
        <v>228</v>
      </c>
      <c r="H569" s="0" t="s">
        <v>228</v>
      </c>
      <c r="I569" s="0" t="s">
        <v>3555</v>
      </c>
      <c r="J569" s="0" t="s">
        <v>228</v>
      </c>
      <c r="K569" s="0" t="s">
        <v>228</v>
      </c>
      <c r="L569" s="0" t="s">
        <v>228</v>
      </c>
      <c r="M569" s="0" t="s">
        <v>228</v>
      </c>
      <c r="N569" s="0" t="s">
        <v>228</v>
      </c>
      <c r="O569" s="0" t="s">
        <v>228</v>
      </c>
      <c r="P569" s="0" t="s">
        <v>228</v>
      </c>
      <c r="Q569" s="0" t="s">
        <v>228</v>
      </c>
      <c r="R569" s="0" t="s">
        <v>4409</v>
      </c>
      <c r="S569" s="0" t="s">
        <v>228</v>
      </c>
      <c r="T569" s="0" t="s">
        <v>228</v>
      </c>
      <c r="U569" s="0" t="s">
        <v>101</v>
      </c>
      <c r="V569" s="0" t="s">
        <v>228</v>
      </c>
      <c r="W569" s="0" t="s">
        <v>228</v>
      </c>
      <c r="X569" s="0" t="s">
        <v>3661</v>
      </c>
      <c r="Y569" s="0" t="s">
        <v>228</v>
      </c>
      <c r="Z569" s="0" t="s">
        <v>151</v>
      </c>
      <c r="AA569" s="0" t="s">
        <v>151</v>
      </c>
      <c r="AB569" s="0" t="s">
        <v>160</v>
      </c>
      <c r="AC569" s="0" t="s">
        <v>2311</v>
      </c>
      <c r="AD569" s="0" t="s">
        <v>2311</v>
      </c>
      <c r="AE569" s="0" t="s">
        <v>2312</v>
      </c>
      <c r="AF569" s="0" t="s">
        <v>4410</v>
      </c>
      <c r="AG569" s="0" t="s">
        <v>4411</v>
      </c>
      <c r="AH569" s="0" t="s">
        <v>4412</v>
      </c>
      <c r="AI569" s="0" t="s">
        <v>4413</v>
      </c>
      <c r="AJ569" s="0" t="s">
        <v>228</v>
      </c>
      <c r="AK569" s="0" t="s">
        <v>228</v>
      </c>
      <c r="AL569" s="0" t="s">
        <v>228</v>
      </c>
      <c r="AM569" s="0" t="s">
        <v>228</v>
      </c>
      <c r="AN569" s="0" t="s">
        <v>228</v>
      </c>
      <c r="AO569" s="0" t="s">
        <v>228</v>
      </c>
      <c r="AP569" s="0" t="s">
        <v>228</v>
      </c>
      <c r="AQ569" s="0" t="s">
        <v>228</v>
      </c>
      <c r="AR569" s="0" t="s">
        <v>228</v>
      </c>
      <c r="AS569" s="0" t="s">
        <v>228</v>
      </c>
      <c r="AT569" s="0" t="s">
        <v>228</v>
      </c>
      <c r="AU569" s="0" t="s">
        <v>228</v>
      </c>
      <c r="AV569" s="0" t="s">
        <v>228</v>
      </c>
      <c r="AW569" s="0" t="s">
        <v>228</v>
      </c>
      <c r="AX569" s="0" t="s">
        <v>228</v>
      </c>
      <c r="AY569" s="0" t="s">
        <v>228</v>
      </c>
      <c r="AZ569" s="0" t="s">
        <v>228</v>
      </c>
      <c r="BA569" s="0" t="s">
        <v>228</v>
      </c>
      <c r="BB569" s="0" t="s">
        <v>228</v>
      </c>
      <c r="BC569" s="0" t="s">
        <v>228</v>
      </c>
      <c r="BD569" s="0" t="s">
        <v>228</v>
      </c>
      <c r="BE569" s="0" t="s">
        <v>3722</v>
      </c>
      <c r="BF569" s="0" t="s">
        <v>3722</v>
      </c>
      <c r="BG569" s="0" t="s">
        <v>111</v>
      </c>
      <c r="BH569" s="0" t="s">
        <v>3665</v>
      </c>
      <c r="BI569" s="0" t="s">
        <v>122</v>
      </c>
      <c r="BJ569" s="0" t="s">
        <v>228</v>
      </c>
      <c r="BK569" s="0" t="s">
        <v>3684</v>
      </c>
      <c r="BL569" s="0" t="s">
        <v>2311</v>
      </c>
      <c r="BM569" s="0" t="s">
        <v>2311</v>
      </c>
      <c r="BN569" s="0" t="s">
        <v>3723</v>
      </c>
      <c r="BO569" s="0" t="s">
        <v>4410</v>
      </c>
      <c r="BP569" s="0" t="s">
        <v>4414</v>
      </c>
      <c r="BQ569" s="0" t="s">
        <v>4415</v>
      </c>
      <c r="BR569" s="0" t="s">
        <v>4416</v>
      </c>
      <c r="BS569" s="0" t="s">
        <v>228</v>
      </c>
      <c r="BT569" s="0" t="s">
        <v>3727</v>
      </c>
      <c r="BU569" s="0" t="s">
        <v>4417</v>
      </c>
      <c r="BV569" s="0" t="s">
        <v>4417</v>
      </c>
      <c r="BW569" s="0" t="s">
        <v>3674</v>
      </c>
      <c r="BX569" s="0" t="s">
        <v>3674</v>
      </c>
      <c r="BY569" s="0" t="s">
        <v>3674</v>
      </c>
      <c r="BZ569" s="0" t="s">
        <v>3674</v>
      </c>
      <c r="CA569" s="0" t="s">
        <v>3674</v>
      </c>
      <c r="CB569" s="0" t="s">
        <v>228</v>
      </c>
      <c r="CC569" s="0" t="s">
        <v>228</v>
      </c>
      <c r="CD569" s="0" t="s">
        <v>228</v>
      </c>
      <c r="CE569" s="0" t="s">
        <v>228</v>
      </c>
      <c r="CF569" s="0" t="s">
        <v>228</v>
      </c>
      <c r="CG569" s="0" t="s">
        <v>3674</v>
      </c>
      <c r="CH569" s="0" t="s">
        <v>228</v>
      </c>
      <c r="CI569" s="0" t="s">
        <v>228</v>
      </c>
      <c r="CJ569" s="0" t="s">
        <v>228</v>
      </c>
      <c r="CK569" s="0" t="s">
        <v>228</v>
      </c>
      <c r="CL569" s="0" t="s">
        <v>228</v>
      </c>
      <c r="CM569" s="0" t="s">
        <v>4417</v>
      </c>
      <c r="CN569" s="0" t="s">
        <v>4417</v>
      </c>
      <c r="CO569" s="0" t="s">
        <v>228</v>
      </c>
      <c r="CP569" s="0" t="s">
        <v>228</v>
      </c>
      <c r="CQ569" s="0" t="s">
        <v>228</v>
      </c>
      <c r="CR569" s="0" t="s">
        <v>228</v>
      </c>
      <c r="CS569" s="0" t="s">
        <v>3582</v>
      </c>
      <c r="CT569" s="0" t="s">
        <v>3568</v>
      </c>
      <c r="CU569" s="0" t="s">
        <v>3569</v>
      </c>
      <c r="CV569" s="0" t="s">
        <v>418</v>
      </c>
      <c r="CW569" s="0" t="s">
        <v>3584</v>
      </c>
      <c r="CX569" s="0" t="s">
        <v>419</v>
      </c>
      <c r="CY569" s="0" t="s">
        <v>418</v>
      </c>
      <c r="CZ569" s="0" t="s">
        <v>3585</v>
      </c>
      <c r="DA569" s="0" t="s">
        <v>3586</v>
      </c>
      <c r="DB569" s="0" t="s">
        <v>3584</v>
      </c>
      <c r="DC569" s="0" t="s">
        <v>362</v>
      </c>
      <c r="DD569" s="0" t="s">
        <v>3572</v>
      </c>
      <c r="DE569" s="0" t="s">
        <v>4418</v>
      </c>
    </row>
    <row customHeight="1" ht="11.25">
      <c r="A570" s="1353" t="s">
        <v>228</v>
      </c>
      <c r="B570" s="0" t="s">
        <v>228</v>
      </c>
      <c r="C570" s="0" t="s">
        <v>228</v>
      </c>
      <c r="D570" s="0" t="s">
        <v>228</v>
      </c>
      <c r="E570" s="0" t="s">
        <v>228</v>
      </c>
      <c r="F570" s="0" t="s">
        <v>228</v>
      </c>
      <c r="G570" s="0" t="s">
        <v>228</v>
      </c>
      <c r="H570" s="0" t="s">
        <v>228</v>
      </c>
      <c r="I570" s="0" t="s">
        <v>3555</v>
      </c>
      <c r="J570" s="0" t="s">
        <v>228</v>
      </c>
      <c r="K570" s="0" t="s">
        <v>228</v>
      </c>
      <c r="L570" s="0" t="s">
        <v>228</v>
      </c>
      <c r="M570" s="0" t="s">
        <v>228</v>
      </c>
      <c r="N570" s="0" t="s">
        <v>228</v>
      </c>
      <c r="O570" s="0" t="s">
        <v>228</v>
      </c>
      <c r="P570" s="0" t="s">
        <v>228</v>
      </c>
      <c r="Q570" s="0" t="s">
        <v>228</v>
      </c>
      <c r="R570" s="0" t="s">
        <v>3557</v>
      </c>
      <c r="S570" s="0" t="s">
        <v>228</v>
      </c>
      <c r="T570" s="0" t="s">
        <v>228</v>
      </c>
      <c r="U570" s="0" t="s">
        <v>101</v>
      </c>
      <c r="V570" s="0" t="s">
        <v>228</v>
      </c>
      <c r="W570" s="0" t="s">
        <v>228</v>
      </c>
      <c r="X570" s="0" t="s">
        <v>3557</v>
      </c>
      <c r="Y570" s="0" t="s">
        <v>228</v>
      </c>
      <c r="Z570" s="0" t="s">
        <v>160</v>
      </c>
      <c r="AA570" s="0" t="s">
        <v>151</v>
      </c>
      <c r="AB570" s="0" t="s">
        <v>151</v>
      </c>
      <c r="AC570" s="0" t="s">
        <v>2317</v>
      </c>
      <c r="AD570" s="0" t="s">
        <v>2317</v>
      </c>
      <c r="AE570" s="0" t="s">
        <v>2318</v>
      </c>
      <c r="AF570" s="0" t="s">
        <v>3826</v>
      </c>
      <c r="AG570" s="0" t="s">
        <v>3827</v>
      </c>
      <c r="AH570" s="0" t="s">
        <v>3761</v>
      </c>
      <c r="AI570" s="0" t="s">
        <v>4393</v>
      </c>
      <c r="AJ570" s="0" t="s">
        <v>3654</v>
      </c>
      <c r="AK570" s="0" t="s">
        <v>3620</v>
      </c>
      <c r="AL570" s="0" t="s">
        <v>4196</v>
      </c>
      <c r="AM570" s="0" t="s">
        <v>3565</v>
      </c>
      <c r="AN570" s="0" t="s">
        <v>3628</v>
      </c>
      <c r="AO570" s="0" t="s">
        <v>3829</v>
      </c>
      <c r="AP570" s="0" t="s">
        <v>228</v>
      </c>
      <c r="AQ570" s="0" t="s">
        <v>228</v>
      </c>
      <c r="AR570" s="0" t="s">
        <v>228</v>
      </c>
      <c r="AS570" s="0" t="s">
        <v>228</v>
      </c>
      <c r="AT570" s="0" t="s">
        <v>228</v>
      </c>
      <c r="AU570" s="0" t="s">
        <v>228</v>
      </c>
      <c r="AV570" s="0" t="s">
        <v>228</v>
      </c>
      <c r="AW570" s="0" t="s">
        <v>228</v>
      </c>
      <c r="AX570" s="0" t="s">
        <v>228</v>
      </c>
      <c r="AY570" s="0" t="s">
        <v>228</v>
      </c>
      <c r="AZ570" s="0" t="s">
        <v>228</v>
      </c>
      <c r="BA570" s="0" t="s">
        <v>228</v>
      </c>
      <c r="BB570" s="0" t="s">
        <v>228</v>
      </c>
      <c r="BC570" s="0" t="s">
        <v>228</v>
      </c>
      <c r="BD570" s="0" t="s">
        <v>228</v>
      </c>
      <c r="BE570" s="0" t="s">
        <v>228</v>
      </c>
      <c r="BF570" s="0" t="s">
        <v>228</v>
      </c>
      <c r="BG570" s="0" t="s">
        <v>228</v>
      </c>
      <c r="BH570" s="0" t="s">
        <v>228</v>
      </c>
      <c r="BI570" s="0" t="s">
        <v>228</v>
      </c>
      <c r="BJ570" s="0" t="s">
        <v>228</v>
      </c>
      <c r="BK570" s="0" t="s">
        <v>228</v>
      </c>
      <c r="BL570" s="0" t="s">
        <v>228</v>
      </c>
      <c r="BM570" s="0" t="s">
        <v>228</v>
      </c>
      <c r="BN570" s="0" t="s">
        <v>228</v>
      </c>
      <c r="BO570" s="0" t="s">
        <v>228</v>
      </c>
      <c r="BP570" s="0" t="s">
        <v>228</v>
      </c>
      <c r="BQ570" s="0" t="s">
        <v>228</v>
      </c>
      <c r="BR570" s="0" t="s">
        <v>228</v>
      </c>
      <c r="BS570" s="0" t="s">
        <v>228</v>
      </c>
      <c r="BT570" s="0" t="s">
        <v>228</v>
      </c>
      <c r="BU570" s="0" t="s">
        <v>228</v>
      </c>
      <c r="BV570" s="0" t="s">
        <v>228</v>
      </c>
      <c r="BW570" s="0" t="s">
        <v>228</v>
      </c>
      <c r="BX570" s="0" t="s">
        <v>228</v>
      </c>
      <c r="BY570" s="0" t="s">
        <v>228</v>
      </c>
      <c r="BZ570" s="0" t="s">
        <v>228</v>
      </c>
      <c r="CA570" s="0" t="s">
        <v>228</v>
      </c>
      <c r="CB570" s="0" t="s">
        <v>228</v>
      </c>
      <c r="CC570" s="0" t="s">
        <v>228</v>
      </c>
      <c r="CD570" s="0" t="s">
        <v>228</v>
      </c>
      <c r="CE570" s="0" t="s">
        <v>228</v>
      </c>
      <c r="CF570" s="0" t="s">
        <v>228</v>
      </c>
      <c r="CG570" s="0" t="s">
        <v>228</v>
      </c>
      <c r="CH570" s="0" t="s">
        <v>228</v>
      </c>
      <c r="CI570" s="0" t="s">
        <v>228</v>
      </c>
      <c r="CJ570" s="0" t="s">
        <v>228</v>
      </c>
      <c r="CK570" s="0" t="s">
        <v>228</v>
      </c>
      <c r="CL570" s="0" t="s">
        <v>228</v>
      </c>
      <c r="CM570" s="0" t="s">
        <v>228</v>
      </c>
      <c r="CN570" s="0" t="s">
        <v>228</v>
      </c>
      <c r="CO570" s="0" t="s">
        <v>228</v>
      </c>
      <c r="CP570" s="0" t="s">
        <v>228</v>
      </c>
      <c r="CQ570" s="0" t="s">
        <v>228</v>
      </c>
      <c r="CR570" s="0" t="s">
        <v>228</v>
      </c>
      <c r="CS570" s="0" t="s">
        <v>228</v>
      </c>
      <c r="CT570" s="0" t="s">
        <v>3568</v>
      </c>
      <c r="CU570" s="0" t="s">
        <v>3569</v>
      </c>
      <c r="CV570" s="0" t="s">
        <v>418</v>
      </c>
      <c r="CW570" s="0" t="s">
        <v>3622</v>
      </c>
      <c r="CX570" s="0" t="s">
        <v>419</v>
      </c>
      <c r="CY570" s="0" t="s">
        <v>418</v>
      </c>
      <c r="CZ570" s="0" t="s">
        <v>3623</v>
      </c>
      <c r="DA570" s="0" t="s">
        <v>3624</v>
      </c>
      <c r="DB570" s="0" t="s">
        <v>3622</v>
      </c>
      <c r="DC570" s="0" t="s">
        <v>362</v>
      </c>
      <c r="DD570" s="0" t="s">
        <v>3572</v>
      </c>
      <c r="DE570" s="0" t="s">
        <v>4394</v>
      </c>
    </row>
    <row customHeight="1" ht="11.25">
      <c r="A571" s="1353" t="s">
        <v>228</v>
      </c>
      <c r="B571" s="0" t="s">
        <v>228</v>
      </c>
      <c r="C571" s="0" t="s">
        <v>228</v>
      </c>
      <c r="D571" s="0" t="s">
        <v>228</v>
      </c>
      <c r="E571" s="0" t="s">
        <v>228</v>
      </c>
      <c r="F571" s="0" t="s">
        <v>228</v>
      </c>
      <c r="G571" s="0" t="s">
        <v>228</v>
      </c>
      <c r="H571" s="0" t="s">
        <v>228</v>
      </c>
      <c r="I571" s="0" t="s">
        <v>3555</v>
      </c>
      <c r="J571" s="0" t="s">
        <v>228</v>
      </c>
      <c r="K571" s="0" t="s">
        <v>228</v>
      </c>
      <c r="L571" s="0" t="s">
        <v>228</v>
      </c>
      <c r="M571" s="0" t="s">
        <v>228</v>
      </c>
      <c r="N571" s="0" t="s">
        <v>228</v>
      </c>
      <c r="O571" s="0" t="s">
        <v>228</v>
      </c>
      <c r="P571" s="0" t="s">
        <v>228</v>
      </c>
      <c r="Q571" s="0" t="s">
        <v>228</v>
      </c>
      <c r="R571" s="0" t="s">
        <v>4583</v>
      </c>
      <c r="S571" s="0" t="s">
        <v>228</v>
      </c>
      <c r="T571" s="0" t="s">
        <v>228</v>
      </c>
      <c r="U571" s="0" t="s">
        <v>101</v>
      </c>
      <c r="V571" s="0" t="s">
        <v>228</v>
      </c>
      <c r="W571" s="0" t="s">
        <v>228</v>
      </c>
      <c r="X571" s="0" t="s">
        <v>3557</v>
      </c>
      <c r="Y571" s="0" t="s">
        <v>228</v>
      </c>
      <c r="Z571" s="0" t="s">
        <v>160</v>
      </c>
      <c r="AA571" s="0" t="s">
        <v>151</v>
      </c>
      <c r="AB571" s="0" t="s">
        <v>151</v>
      </c>
      <c r="AC571" s="0" t="s">
        <v>2317</v>
      </c>
      <c r="AD571" s="0" t="s">
        <v>2317</v>
      </c>
      <c r="AE571" s="0" t="s">
        <v>2318</v>
      </c>
      <c r="AF571" s="0" t="s">
        <v>3826</v>
      </c>
      <c r="AG571" s="0" t="s">
        <v>3827</v>
      </c>
      <c r="AH571" s="0" t="s">
        <v>4584</v>
      </c>
      <c r="AI571" s="0" t="s">
        <v>3651</v>
      </c>
      <c r="AJ571" s="0" t="s">
        <v>3654</v>
      </c>
      <c r="AK571" s="0" t="s">
        <v>3900</v>
      </c>
      <c r="AL571" s="0" t="s">
        <v>4196</v>
      </c>
      <c r="AM571" s="0" t="s">
        <v>3565</v>
      </c>
      <c r="AN571" s="0" t="s">
        <v>3628</v>
      </c>
      <c r="AO571" s="0" t="s">
        <v>4585</v>
      </c>
      <c r="AP571" s="0" t="s">
        <v>228</v>
      </c>
      <c r="AQ571" s="0" t="s">
        <v>228</v>
      </c>
      <c r="AR571" s="0" t="s">
        <v>228</v>
      </c>
      <c r="AS571" s="0" t="s">
        <v>228</v>
      </c>
      <c r="AT571" s="0" t="s">
        <v>228</v>
      </c>
      <c r="AU571" s="0" t="s">
        <v>228</v>
      </c>
      <c r="AV571" s="0" t="s">
        <v>228</v>
      </c>
      <c r="AW571" s="0" t="s">
        <v>228</v>
      </c>
      <c r="AX571" s="0" t="s">
        <v>228</v>
      </c>
      <c r="AY571" s="0" t="s">
        <v>228</v>
      </c>
      <c r="AZ571" s="0" t="s">
        <v>228</v>
      </c>
      <c r="BA571" s="0" t="s">
        <v>228</v>
      </c>
      <c r="BB571" s="0" t="s">
        <v>228</v>
      </c>
      <c r="BC571" s="0" t="s">
        <v>228</v>
      </c>
      <c r="BD571" s="0" t="s">
        <v>228</v>
      </c>
      <c r="BE571" s="0" t="s">
        <v>228</v>
      </c>
      <c r="BF571" s="0" t="s">
        <v>228</v>
      </c>
      <c r="BG571" s="0" t="s">
        <v>228</v>
      </c>
      <c r="BH571" s="0" t="s">
        <v>228</v>
      </c>
      <c r="BI571" s="0" t="s">
        <v>228</v>
      </c>
      <c r="BJ571" s="0" t="s">
        <v>228</v>
      </c>
      <c r="BK571" s="0" t="s">
        <v>228</v>
      </c>
      <c r="BL571" s="0" t="s">
        <v>228</v>
      </c>
      <c r="BM571" s="0" t="s">
        <v>228</v>
      </c>
      <c r="BN571" s="0" t="s">
        <v>228</v>
      </c>
      <c r="BO571" s="0" t="s">
        <v>228</v>
      </c>
      <c r="BP571" s="0" t="s">
        <v>228</v>
      </c>
      <c r="BQ571" s="0" t="s">
        <v>228</v>
      </c>
      <c r="BR571" s="0" t="s">
        <v>228</v>
      </c>
      <c r="BS571" s="0" t="s">
        <v>228</v>
      </c>
      <c r="BT571" s="0" t="s">
        <v>228</v>
      </c>
      <c r="BU571" s="0" t="s">
        <v>228</v>
      </c>
      <c r="BV571" s="0" t="s">
        <v>228</v>
      </c>
      <c r="BW571" s="0" t="s">
        <v>228</v>
      </c>
      <c r="BX571" s="0" t="s">
        <v>228</v>
      </c>
      <c r="BY571" s="0" t="s">
        <v>228</v>
      </c>
      <c r="BZ571" s="0" t="s">
        <v>228</v>
      </c>
      <c r="CA571" s="0" t="s">
        <v>228</v>
      </c>
      <c r="CB571" s="0" t="s">
        <v>228</v>
      </c>
      <c r="CC571" s="0" t="s">
        <v>228</v>
      </c>
      <c r="CD571" s="0" t="s">
        <v>228</v>
      </c>
      <c r="CE571" s="0" t="s">
        <v>228</v>
      </c>
      <c r="CF571" s="0" t="s">
        <v>228</v>
      </c>
      <c r="CG571" s="0" t="s">
        <v>228</v>
      </c>
      <c r="CH571" s="0" t="s">
        <v>228</v>
      </c>
      <c r="CI571" s="0" t="s">
        <v>228</v>
      </c>
      <c r="CJ571" s="0" t="s">
        <v>228</v>
      </c>
      <c r="CK571" s="0" t="s">
        <v>228</v>
      </c>
      <c r="CL571" s="0" t="s">
        <v>228</v>
      </c>
      <c r="CM571" s="0" t="s">
        <v>228</v>
      </c>
      <c r="CN571" s="0" t="s">
        <v>228</v>
      </c>
      <c r="CO571" s="0" t="s">
        <v>228</v>
      </c>
      <c r="CP571" s="0" t="s">
        <v>228</v>
      </c>
      <c r="CQ571" s="0" t="s">
        <v>228</v>
      </c>
      <c r="CR571" s="0" t="s">
        <v>228</v>
      </c>
      <c r="CS571" s="0" t="s">
        <v>228</v>
      </c>
      <c r="CT571" s="0" t="s">
        <v>3568</v>
      </c>
      <c r="CU571" s="0" t="s">
        <v>3569</v>
      </c>
      <c r="CV571" s="0" t="s">
        <v>418</v>
      </c>
      <c r="CW571" s="0" t="s">
        <v>3622</v>
      </c>
      <c r="CX571" s="0" t="s">
        <v>419</v>
      </c>
      <c r="CY571" s="0" t="s">
        <v>418</v>
      </c>
      <c r="CZ571" s="0" t="s">
        <v>3623</v>
      </c>
      <c r="DA571" s="0" t="s">
        <v>3624</v>
      </c>
      <c r="DB571" s="0" t="s">
        <v>3622</v>
      </c>
      <c r="DC571" s="0" t="s">
        <v>362</v>
      </c>
      <c r="DD571" s="0" t="s">
        <v>3572</v>
      </c>
      <c r="DE571" s="0" t="s">
        <v>4586</v>
      </c>
    </row>
    <row customHeight="1" ht="11.25">
      <c r="A572" s="1353" t="s">
        <v>228</v>
      </c>
      <c r="B572" s="0" t="s">
        <v>228</v>
      </c>
      <c r="C572" s="0" t="s">
        <v>228</v>
      </c>
      <c r="D572" s="0" t="s">
        <v>228</v>
      </c>
      <c r="E572" s="0" t="s">
        <v>228</v>
      </c>
      <c r="F572" s="0" t="s">
        <v>228</v>
      </c>
      <c r="G572" s="0" t="s">
        <v>228</v>
      </c>
      <c r="H572" s="0" t="s">
        <v>228</v>
      </c>
      <c r="I572" s="0" t="s">
        <v>3555</v>
      </c>
      <c r="J572" s="0" t="s">
        <v>228</v>
      </c>
      <c r="K572" s="0" t="s">
        <v>228</v>
      </c>
      <c r="L572" s="0" t="s">
        <v>228</v>
      </c>
      <c r="M572" s="0" t="s">
        <v>228</v>
      </c>
      <c r="N572" s="0" t="s">
        <v>228</v>
      </c>
      <c r="O572" s="0" t="s">
        <v>228</v>
      </c>
      <c r="P572" s="0" t="s">
        <v>228</v>
      </c>
      <c r="Q572" s="0" t="s">
        <v>228</v>
      </c>
      <c r="R572" s="0" t="s">
        <v>4655</v>
      </c>
      <c r="S572" s="0" t="s">
        <v>228</v>
      </c>
      <c r="T572" s="0" t="s">
        <v>228</v>
      </c>
      <c r="U572" s="0" t="s">
        <v>101</v>
      </c>
      <c r="V572" s="0" t="s">
        <v>228</v>
      </c>
      <c r="W572" s="0" t="s">
        <v>228</v>
      </c>
      <c r="X572" s="0" t="s">
        <v>3557</v>
      </c>
      <c r="Y572" s="0" t="s">
        <v>228</v>
      </c>
      <c r="Z572" s="0" t="s">
        <v>160</v>
      </c>
      <c r="AA572" s="0" t="s">
        <v>151</v>
      </c>
      <c r="AB572" s="0" t="s">
        <v>151</v>
      </c>
      <c r="AC572" s="0" t="s">
        <v>2317</v>
      </c>
      <c r="AD572" s="0" t="s">
        <v>2317</v>
      </c>
      <c r="AE572" s="0" t="s">
        <v>2318</v>
      </c>
      <c r="AF572" s="0" t="s">
        <v>3826</v>
      </c>
      <c r="AG572" s="0" t="s">
        <v>3827</v>
      </c>
      <c r="AH572" s="0" t="s">
        <v>4656</v>
      </c>
      <c r="AI572" s="0" t="s">
        <v>4657</v>
      </c>
      <c r="AJ572" s="0" t="s">
        <v>3654</v>
      </c>
      <c r="AK572" s="0" t="s">
        <v>3620</v>
      </c>
      <c r="AL572" s="0" t="s">
        <v>4196</v>
      </c>
      <c r="AM572" s="0" t="s">
        <v>3565</v>
      </c>
      <c r="AN572" s="0" t="s">
        <v>3628</v>
      </c>
      <c r="AO572" s="0" t="s">
        <v>3629</v>
      </c>
      <c r="AP572" s="0" t="s">
        <v>228</v>
      </c>
      <c r="AQ572" s="0" t="s">
        <v>228</v>
      </c>
      <c r="AR572" s="0" t="s">
        <v>228</v>
      </c>
      <c r="AS572" s="0" t="s">
        <v>228</v>
      </c>
      <c r="AT572" s="0" t="s">
        <v>228</v>
      </c>
      <c r="AU572" s="0" t="s">
        <v>228</v>
      </c>
      <c r="AV572" s="0" t="s">
        <v>228</v>
      </c>
      <c r="AW572" s="0" t="s">
        <v>228</v>
      </c>
      <c r="AX572" s="0" t="s">
        <v>228</v>
      </c>
      <c r="AY572" s="0" t="s">
        <v>228</v>
      </c>
      <c r="AZ572" s="0" t="s">
        <v>228</v>
      </c>
      <c r="BA572" s="0" t="s">
        <v>228</v>
      </c>
      <c r="BB572" s="0" t="s">
        <v>228</v>
      </c>
      <c r="BC572" s="0" t="s">
        <v>228</v>
      </c>
      <c r="BD572" s="0" t="s">
        <v>228</v>
      </c>
      <c r="BE572" s="0" t="s">
        <v>228</v>
      </c>
      <c r="BF572" s="0" t="s">
        <v>228</v>
      </c>
      <c r="BG572" s="0" t="s">
        <v>228</v>
      </c>
      <c r="BH572" s="0" t="s">
        <v>228</v>
      </c>
      <c r="BI572" s="0" t="s">
        <v>228</v>
      </c>
      <c r="BJ572" s="0" t="s">
        <v>228</v>
      </c>
      <c r="BK572" s="0" t="s">
        <v>228</v>
      </c>
      <c r="BL572" s="0" t="s">
        <v>228</v>
      </c>
      <c r="BM572" s="0" t="s">
        <v>228</v>
      </c>
      <c r="BN572" s="0" t="s">
        <v>228</v>
      </c>
      <c r="BO572" s="0" t="s">
        <v>228</v>
      </c>
      <c r="BP572" s="0" t="s">
        <v>228</v>
      </c>
      <c r="BQ572" s="0" t="s">
        <v>228</v>
      </c>
      <c r="BR572" s="0" t="s">
        <v>228</v>
      </c>
      <c r="BS572" s="0" t="s">
        <v>228</v>
      </c>
      <c r="BT572" s="0" t="s">
        <v>228</v>
      </c>
      <c r="BU572" s="0" t="s">
        <v>228</v>
      </c>
      <c r="BV572" s="0" t="s">
        <v>228</v>
      </c>
      <c r="BW572" s="0" t="s">
        <v>228</v>
      </c>
      <c r="BX572" s="0" t="s">
        <v>228</v>
      </c>
      <c r="BY572" s="0" t="s">
        <v>228</v>
      </c>
      <c r="BZ572" s="0" t="s">
        <v>228</v>
      </c>
      <c r="CA572" s="0" t="s">
        <v>228</v>
      </c>
      <c r="CB572" s="0" t="s">
        <v>228</v>
      </c>
      <c r="CC572" s="0" t="s">
        <v>228</v>
      </c>
      <c r="CD572" s="0" t="s">
        <v>228</v>
      </c>
      <c r="CE572" s="0" t="s">
        <v>228</v>
      </c>
      <c r="CF572" s="0" t="s">
        <v>228</v>
      </c>
      <c r="CG572" s="0" t="s">
        <v>228</v>
      </c>
      <c r="CH572" s="0" t="s">
        <v>228</v>
      </c>
      <c r="CI572" s="0" t="s">
        <v>228</v>
      </c>
      <c r="CJ572" s="0" t="s">
        <v>228</v>
      </c>
      <c r="CK572" s="0" t="s">
        <v>228</v>
      </c>
      <c r="CL572" s="0" t="s">
        <v>228</v>
      </c>
      <c r="CM572" s="0" t="s">
        <v>228</v>
      </c>
      <c r="CN572" s="0" t="s">
        <v>228</v>
      </c>
      <c r="CO572" s="0" t="s">
        <v>228</v>
      </c>
      <c r="CP572" s="0" t="s">
        <v>228</v>
      </c>
      <c r="CQ572" s="0" t="s">
        <v>228</v>
      </c>
      <c r="CR572" s="0" t="s">
        <v>228</v>
      </c>
      <c r="CS572" s="0" t="s">
        <v>228</v>
      </c>
      <c r="CT572" s="0" t="s">
        <v>3568</v>
      </c>
      <c r="CU572" s="0" t="s">
        <v>3569</v>
      </c>
      <c r="CV572" s="0" t="s">
        <v>418</v>
      </c>
      <c r="CW572" s="0" t="s">
        <v>3622</v>
      </c>
      <c r="CX572" s="0" t="s">
        <v>419</v>
      </c>
      <c r="CY572" s="0" t="s">
        <v>418</v>
      </c>
      <c r="CZ572" s="0" t="s">
        <v>3623</v>
      </c>
      <c r="DA572" s="0" t="s">
        <v>3624</v>
      </c>
      <c r="DB572" s="0" t="s">
        <v>3622</v>
      </c>
      <c r="DC572" s="0" t="s">
        <v>362</v>
      </c>
      <c r="DD572" s="0" t="s">
        <v>3572</v>
      </c>
      <c r="DE572" s="0" t="s">
        <v>4658</v>
      </c>
    </row>
    <row customHeight="1" ht="11.25">
      <c r="A573" s="1353" t="s">
        <v>228</v>
      </c>
      <c r="B573" s="0" t="s">
        <v>228</v>
      </c>
      <c r="C573" s="0" t="s">
        <v>228</v>
      </c>
      <c r="D573" s="0" t="s">
        <v>228</v>
      </c>
      <c r="E573" s="0" t="s">
        <v>228</v>
      </c>
      <c r="F573" s="0" t="s">
        <v>228</v>
      </c>
      <c r="G573" s="0" t="s">
        <v>228</v>
      </c>
      <c r="H573" s="0" t="s">
        <v>228</v>
      </c>
      <c r="I573" s="0" t="s">
        <v>3555</v>
      </c>
      <c r="J573" s="0" t="s">
        <v>228</v>
      </c>
      <c r="K573" s="0" t="s">
        <v>228</v>
      </c>
      <c r="L573" s="0" t="s">
        <v>228</v>
      </c>
      <c r="M573" s="0" t="s">
        <v>228</v>
      </c>
      <c r="N573" s="0" t="s">
        <v>228</v>
      </c>
      <c r="O573" s="0" t="s">
        <v>228</v>
      </c>
      <c r="P573" s="0" t="s">
        <v>228</v>
      </c>
      <c r="Q573" s="0" t="s">
        <v>228</v>
      </c>
      <c r="R573" s="0" t="s">
        <v>4659</v>
      </c>
      <c r="S573" s="0" t="s">
        <v>228</v>
      </c>
      <c r="T573" s="0" t="s">
        <v>228</v>
      </c>
      <c r="U573" s="0" t="s">
        <v>101</v>
      </c>
      <c r="V573" s="0" t="s">
        <v>228</v>
      </c>
      <c r="W573" s="0" t="s">
        <v>228</v>
      </c>
      <c r="X573" s="0" t="s">
        <v>3661</v>
      </c>
      <c r="Y573" s="0" t="s">
        <v>228</v>
      </c>
      <c r="Z573" s="0" t="s">
        <v>151</v>
      </c>
      <c r="AA573" s="0" t="s">
        <v>151</v>
      </c>
      <c r="AB573" s="0" t="s">
        <v>160</v>
      </c>
      <c r="AC573" s="0" t="s">
        <v>2317</v>
      </c>
      <c r="AD573" s="0" t="s">
        <v>2317</v>
      </c>
      <c r="AE573" s="0" t="s">
        <v>2318</v>
      </c>
      <c r="AF573" s="0" t="s">
        <v>4401</v>
      </c>
      <c r="AG573" s="0" t="s">
        <v>4402</v>
      </c>
      <c r="AH573" s="0" t="s">
        <v>3651</v>
      </c>
      <c r="AI573" s="0" t="s">
        <v>3651</v>
      </c>
      <c r="AJ573" s="0" t="s">
        <v>228</v>
      </c>
      <c r="AK573" s="0" t="s">
        <v>228</v>
      </c>
      <c r="AL573" s="0" t="s">
        <v>228</v>
      </c>
      <c r="AM573" s="0" t="s">
        <v>228</v>
      </c>
      <c r="AN573" s="0" t="s">
        <v>228</v>
      </c>
      <c r="AO573" s="0" t="s">
        <v>228</v>
      </c>
      <c r="AP573" s="0" t="s">
        <v>228</v>
      </c>
      <c r="AQ573" s="0" t="s">
        <v>228</v>
      </c>
      <c r="AR573" s="0" t="s">
        <v>228</v>
      </c>
      <c r="AS573" s="0" t="s">
        <v>228</v>
      </c>
      <c r="AT573" s="0" t="s">
        <v>228</v>
      </c>
      <c r="AU573" s="0" t="s">
        <v>228</v>
      </c>
      <c r="AV573" s="0" t="s">
        <v>228</v>
      </c>
      <c r="AW573" s="0" t="s">
        <v>228</v>
      </c>
      <c r="AX573" s="0" t="s">
        <v>228</v>
      </c>
      <c r="AY573" s="0" t="s">
        <v>228</v>
      </c>
      <c r="AZ573" s="0" t="s">
        <v>228</v>
      </c>
      <c r="BA573" s="0" t="s">
        <v>228</v>
      </c>
      <c r="BB573" s="0" t="s">
        <v>228</v>
      </c>
      <c r="BC573" s="0" t="s">
        <v>228</v>
      </c>
      <c r="BD573" s="0" t="s">
        <v>228</v>
      </c>
      <c r="BE573" s="0" t="s">
        <v>3579</v>
      </c>
      <c r="BF573" s="0" t="s">
        <v>3619</v>
      </c>
      <c r="BG573" s="0" t="s">
        <v>111</v>
      </c>
      <c r="BH573" s="0" t="s">
        <v>3665</v>
      </c>
      <c r="BI573" s="0" t="s">
        <v>122</v>
      </c>
      <c r="BJ573" s="0" t="s">
        <v>228</v>
      </c>
      <c r="BK573" s="0" t="s">
        <v>3684</v>
      </c>
      <c r="BL573" s="0" t="s">
        <v>2317</v>
      </c>
      <c r="BM573" s="0" t="s">
        <v>2317</v>
      </c>
      <c r="BN573" s="0" t="s">
        <v>3740</v>
      </c>
      <c r="BO573" s="0" t="s">
        <v>4401</v>
      </c>
      <c r="BP573" s="0" t="s">
        <v>4660</v>
      </c>
      <c r="BQ573" s="0" t="s">
        <v>3651</v>
      </c>
      <c r="BR573" s="0" t="s">
        <v>3651</v>
      </c>
      <c r="BS573" s="0" t="s">
        <v>228</v>
      </c>
      <c r="BT573" s="0" t="s">
        <v>3727</v>
      </c>
      <c r="BU573" s="0" t="s">
        <v>4661</v>
      </c>
      <c r="BV573" s="0" t="s">
        <v>4661</v>
      </c>
      <c r="BW573" s="0" t="s">
        <v>3674</v>
      </c>
      <c r="BX573" s="0" t="s">
        <v>3674</v>
      </c>
      <c r="BY573" s="0" t="s">
        <v>3674</v>
      </c>
      <c r="BZ573" s="0" t="s">
        <v>3674</v>
      </c>
      <c r="CA573" s="0" t="s">
        <v>3674</v>
      </c>
      <c r="CB573" s="0" t="s">
        <v>228</v>
      </c>
      <c r="CC573" s="0" t="s">
        <v>228</v>
      </c>
      <c r="CD573" s="0" t="s">
        <v>228</v>
      </c>
      <c r="CE573" s="0" t="s">
        <v>228</v>
      </c>
      <c r="CF573" s="0" t="s">
        <v>228</v>
      </c>
      <c r="CG573" s="0" t="s">
        <v>3674</v>
      </c>
      <c r="CH573" s="0" t="s">
        <v>228</v>
      </c>
      <c r="CI573" s="0" t="s">
        <v>228</v>
      </c>
      <c r="CJ573" s="0" t="s">
        <v>228</v>
      </c>
      <c r="CK573" s="0" t="s">
        <v>228</v>
      </c>
      <c r="CL573" s="0" t="s">
        <v>228</v>
      </c>
      <c r="CM573" s="0" t="s">
        <v>4661</v>
      </c>
      <c r="CN573" s="0" t="s">
        <v>4661</v>
      </c>
      <c r="CO573" s="0" t="s">
        <v>228</v>
      </c>
      <c r="CP573" s="0" t="s">
        <v>228</v>
      </c>
      <c r="CQ573" s="0" t="s">
        <v>228</v>
      </c>
      <c r="CR573" s="0" t="s">
        <v>228</v>
      </c>
      <c r="CS573" s="0" t="s">
        <v>3743</v>
      </c>
      <c r="CT573" s="0" t="s">
        <v>3568</v>
      </c>
      <c r="CU573" s="0" t="s">
        <v>3569</v>
      </c>
      <c r="CV573" s="0" t="s">
        <v>418</v>
      </c>
      <c r="CW573" s="0" t="s">
        <v>3622</v>
      </c>
      <c r="CX573" s="0" t="s">
        <v>419</v>
      </c>
      <c r="CY573" s="0" t="s">
        <v>418</v>
      </c>
      <c r="CZ573" s="0" t="s">
        <v>3623</v>
      </c>
      <c r="DA573" s="0" t="s">
        <v>3624</v>
      </c>
      <c r="DB573" s="0" t="s">
        <v>3622</v>
      </c>
      <c r="DC573" s="0" t="s">
        <v>362</v>
      </c>
      <c r="DD573" s="0" t="s">
        <v>3572</v>
      </c>
      <c r="DE573" s="0" t="s">
        <v>4662</v>
      </c>
    </row>
    <row customHeight="1" ht="11.25">
      <c r="A574" s="1353" t="s">
        <v>228</v>
      </c>
      <c r="B574" s="0" t="s">
        <v>228</v>
      </c>
      <c r="C574" s="0" t="s">
        <v>228</v>
      </c>
      <c r="D574" s="0" t="s">
        <v>228</v>
      </c>
      <c r="E574" s="0" t="s">
        <v>228</v>
      </c>
      <c r="F574" s="0" t="s">
        <v>228</v>
      </c>
      <c r="G574" s="0" t="s">
        <v>228</v>
      </c>
      <c r="H574" s="0" t="s">
        <v>228</v>
      </c>
      <c r="I574" s="0" t="s">
        <v>3555</v>
      </c>
      <c r="J574" s="0" t="s">
        <v>228</v>
      </c>
      <c r="K574" s="0" t="s">
        <v>228</v>
      </c>
      <c r="L574" s="0" t="s">
        <v>228</v>
      </c>
      <c r="M574" s="0" t="s">
        <v>228</v>
      </c>
      <c r="N574" s="0" t="s">
        <v>228</v>
      </c>
      <c r="O574" s="0" t="s">
        <v>228</v>
      </c>
      <c r="P574" s="0" t="s">
        <v>228</v>
      </c>
      <c r="Q574" s="0" t="s">
        <v>228</v>
      </c>
      <c r="R574" s="0" t="s">
        <v>3648</v>
      </c>
      <c r="S574" s="0" t="s">
        <v>228</v>
      </c>
      <c r="T574" s="0" t="s">
        <v>228</v>
      </c>
      <c r="U574" s="0" t="s">
        <v>101</v>
      </c>
      <c r="V574" s="0" t="s">
        <v>228</v>
      </c>
      <c r="W574" s="0" t="s">
        <v>228</v>
      </c>
      <c r="X574" s="0" t="s">
        <v>3557</v>
      </c>
      <c r="Y574" s="0" t="s">
        <v>228</v>
      </c>
      <c r="Z574" s="0" t="s">
        <v>160</v>
      </c>
      <c r="AA574" s="0" t="s">
        <v>151</v>
      </c>
      <c r="AB574" s="0" t="s">
        <v>151</v>
      </c>
      <c r="AC574" s="0" t="s">
        <v>2317</v>
      </c>
      <c r="AD574" s="0" t="s">
        <v>2317</v>
      </c>
      <c r="AE574" s="0" t="s">
        <v>2318</v>
      </c>
      <c r="AF574" s="0" t="s">
        <v>4663</v>
      </c>
      <c r="AG574" s="0" t="s">
        <v>4664</v>
      </c>
      <c r="AH574" s="0" t="s">
        <v>3832</v>
      </c>
      <c r="AI574" s="0" t="s">
        <v>4665</v>
      </c>
      <c r="AJ574" s="0" t="s">
        <v>3652</v>
      </c>
      <c r="AK574" s="0" t="s">
        <v>3619</v>
      </c>
      <c r="AL574" s="0" t="s">
        <v>3581</v>
      </c>
      <c r="AM574" s="0" t="s">
        <v>3565</v>
      </c>
      <c r="AN574" s="0" t="s">
        <v>3628</v>
      </c>
      <c r="AO574" s="0" t="s">
        <v>3829</v>
      </c>
      <c r="AP574" s="0" t="s">
        <v>228</v>
      </c>
      <c r="AQ574" s="0" t="s">
        <v>228</v>
      </c>
      <c r="AR574" s="0" t="s">
        <v>228</v>
      </c>
      <c r="AS574" s="0" t="s">
        <v>228</v>
      </c>
      <c r="AT574" s="0" t="s">
        <v>228</v>
      </c>
      <c r="AU574" s="0" t="s">
        <v>228</v>
      </c>
      <c r="AV574" s="0" t="s">
        <v>228</v>
      </c>
      <c r="AW574" s="0" t="s">
        <v>228</v>
      </c>
      <c r="AX574" s="0" t="s">
        <v>228</v>
      </c>
      <c r="AY574" s="0" t="s">
        <v>228</v>
      </c>
      <c r="AZ574" s="0" t="s">
        <v>228</v>
      </c>
      <c r="BA574" s="0" t="s">
        <v>228</v>
      </c>
      <c r="BB574" s="0" t="s">
        <v>228</v>
      </c>
      <c r="BC574" s="0" t="s">
        <v>228</v>
      </c>
      <c r="BD574" s="0" t="s">
        <v>228</v>
      </c>
      <c r="BE574" s="0" t="s">
        <v>228</v>
      </c>
      <c r="BF574" s="0" t="s">
        <v>228</v>
      </c>
      <c r="BG574" s="0" t="s">
        <v>228</v>
      </c>
      <c r="BH574" s="0" t="s">
        <v>228</v>
      </c>
      <c r="BI574" s="0" t="s">
        <v>228</v>
      </c>
      <c r="BJ574" s="0" t="s">
        <v>228</v>
      </c>
      <c r="BK574" s="0" t="s">
        <v>228</v>
      </c>
      <c r="BL574" s="0" t="s">
        <v>228</v>
      </c>
      <c r="BM574" s="0" t="s">
        <v>228</v>
      </c>
      <c r="BN574" s="0" t="s">
        <v>228</v>
      </c>
      <c r="BO574" s="0" t="s">
        <v>228</v>
      </c>
      <c r="BP574" s="0" t="s">
        <v>228</v>
      </c>
      <c r="BQ574" s="0" t="s">
        <v>228</v>
      </c>
      <c r="BR574" s="0" t="s">
        <v>228</v>
      </c>
      <c r="BS574" s="0" t="s">
        <v>228</v>
      </c>
      <c r="BT574" s="0" t="s">
        <v>228</v>
      </c>
      <c r="BU574" s="0" t="s">
        <v>228</v>
      </c>
      <c r="BV574" s="0" t="s">
        <v>228</v>
      </c>
      <c r="BW574" s="0" t="s">
        <v>228</v>
      </c>
      <c r="BX574" s="0" t="s">
        <v>228</v>
      </c>
      <c r="BY574" s="0" t="s">
        <v>228</v>
      </c>
      <c r="BZ574" s="0" t="s">
        <v>228</v>
      </c>
      <c r="CA574" s="0" t="s">
        <v>228</v>
      </c>
      <c r="CB574" s="0" t="s">
        <v>228</v>
      </c>
      <c r="CC574" s="0" t="s">
        <v>228</v>
      </c>
      <c r="CD574" s="0" t="s">
        <v>228</v>
      </c>
      <c r="CE574" s="0" t="s">
        <v>228</v>
      </c>
      <c r="CF574" s="0" t="s">
        <v>228</v>
      </c>
      <c r="CG574" s="0" t="s">
        <v>228</v>
      </c>
      <c r="CH574" s="0" t="s">
        <v>228</v>
      </c>
      <c r="CI574" s="0" t="s">
        <v>228</v>
      </c>
      <c r="CJ574" s="0" t="s">
        <v>228</v>
      </c>
      <c r="CK574" s="0" t="s">
        <v>228</v>
      </c>
      <c r="CL574" s="0" t="s">
        <v>228</v>
      </c>
      <c r="CM574" s="0" t="s">
        <v>228</v>
      </c>
      <c r="CN574" s="0" t="s">
        <v>228</v>
      </c>
      <c r="CO574" s="0" t="s">
        <v>228</v>
      </c>
      <c r="CP574" s="0" t="s">
        <v>228</v>
      </c>
      <c r="CQ574" s="0" t="s">
        <v>228</v>
      </c>
      <c r="CR574" s="0" t="s">
        <v>228</v>
      </c>
      <c r="CS574" s="0" t="s">
        <v>228</v>
      </c>
      <c r="CT574" s="0" t="s">
        <v>3568</v>
      </c>
      <c r="CU574" s="0" t="s">
        <v>3569</v>
      </c>
      <c r="CV574" s="0" t="s">
        <v>418</v>
      </c>
      <c r="CW574" s="0" t="s">
        <v>3622</v>
      </c>
      <c r="CX574" s="0" t="s">
        <v>419</v>
      </c>
      <c r="CY574" s="0" t="s">
        <v>418</v>
      </c>
      <c r="CZ574" s="0" t="s">
        <v>3623</v>
      </c>
      <c r="DA574" s="0" t="s">
        <v>3624</v>
      </c>
      <c r="DB574" s="0" t="s">
        <v>3622</v>
      </c>
      <c r="DC574" s="0" t="s">
        <v>362</v>
      </c>
      <c r="DD574" s="0" t="s">
        <v>3572</v>
      </c>
      <c r="DE574" s="0" t="s">
        <v>4666</v>
      </c>
    </row>
    <row customHeight="1" ht="11.25">
      <c r="A575" s="1353" t="s">
        <v>228</v>
      </c>
      <c r="B575" s="0" t="s">
        <v>228</v>
      </c>
      <c r="C575" s="0" t="s">
        <v>228</v>
      </c>
      <c r="D575" s="0" t="s">
        <v>228</v>
      </c>
      <c r="E575" s="0" t="s">
        <v>228</v>
      </c>
      <c r="F575" s="0" t="s">
        <v>228</v>
      </c>
      <c r="G575" s="0" t="s">
        <v>228</v>
      </c>
      <c r="H575" s="0" t="s">
        <v>228</v>
      </c>
      <c r="I575" s="0" t="s">
        <v>3555</v>
      </c>
      <c r="J575" s="0" t="s">
        <v>228</v>
      </c>
      <c r="K575" s="0" t="s">
        <v>228</v>
      </c>
      <c r="L575" s="0" t="s">
        <v>228</v>
      </c>
      <c r="M575" s="0" t="s">
        <v>228</v>
      </c>
      <c r="N575" s="0" t="s">
        <v>228</v>
      </c>
      <c r="O575" s="0" t="s">
        <v>228</v>
      </c>
      <c r="P575" s="0" t="s">
        <v>228</v>
      </c>
      <c r="Q575" s="0" t="s">
        <v>228</v>
      </c>
      <c r="R575" s="0" t="s">
        <v>4667</v>
      </c>
      <c r="S575" s="0" t="s">
        <v>228</v>
      </c>
      <c r="T575" s="0" t="s">
        <v>228</v>
      </c>
      <c r="U575" s="0" t="s">
        <v>101</v>
      </c>
      <c r="V575" s="0" t="s">
        <v>228</v>
      </c>
      <c r="W575" s="0" t="s">
        <v>228</v>
      </c>
      <c r="X575" s="0" t="s">
        <v>3661</v>
      </c>
      <c r="Y575" s="0" t="s">
        <v>228</v>
      </c>
      <c r="Z575" s="0" t="s">
        <v>151</v>
      </c>
      <c r="AA575" s="0" t="s">
        <v>151</v>
      </c>
      <c r="AB575" s="0" t="s">
        <v>160</v>
      </c>
      <c r="AC575" s="0" t="s">
        <v>2317</v>
      </c>
      <c r="AD575" s="0" t="s">
        <v>2317</v>
      </c>
      <c r="AE575" s="0" t="s">
        <v>2318</v>
      </c>
      <c r="AF575" s="0" t="s">
        <v>4663</v>
      </c>
      <c r="AG575" s="0" t="s">
        <v>4664</v>
      </c>
      <c r="AH575" s="0" t="s">
        <v>3651</v>
      </c>
      <c r="AI575" s="0" t="s">
        <v>3651</v>
      </c>
      <c r="AJ575" s="0" t="s">
        <v>228</v>
      </c>
      <c r="AK575" s="0" t="s">
        <v>228</v>
      </c>
      <c r="AL575" s="0" t="s">
        <v>228</v>
      </c>
      <c r="AM575" s="0" t="s">
        <v>228</v>
      </c>
      <c r="AN575" s="0" t="s">
        <v>228</v>
      </c>
      <c r="AO575" s="0" t="s">
        <v>228</v>
      </c>
      <c r="AP575" s="0" t="s">
        <v>228</v>
      </c>
      <c r="AQ575" s="0" t="s">
        <v>228</v>
      </c>
      <c r="AR575" s="0" t="s">
        <v>228</v>
      </c>
      <c r="AS575" s="0" t="s">
        <v>228</v>
      </c>
      <c r="AT575" s="0" t="s">
        <v>228</v>
      </c>
      <c r="AU575" s="0" t="s">
        <v>228</v>
      </c>
      <c r="AV575" s="0" t="s">
        <v>228</v>
      </c>
      <c r="AW575" s="0" t="s">
        <v>228</v>
      </c>
      <c r="AX575" s="0" t="s">
        <v>228</v>
      </c>
      <c r="AY575" s="0" t="s">
        <v>228</v>
      </c>
      <c r="AZ575" s="0" t="s">
        <v>228</v>
      </c>
      <c r="BA575" s="0" t="s">
        <v>228</v>
      </c>
      <c r="BB575" s="0" t="s">
        <v>228</v>
      </c>
      <c r="BC575" s="0" t="s">
        <v>228</v>
      </c>
      <c r="BD575" s="0" t="s">
        <v>228</v>
      </c>
      <c r="BE575" s="0" t="s">
        <v>3652</v>
      </c>
      <c r="BF575" s="0" t="s">
        <v>3619</v>
      </c>
      <c r="BG575" s="0" t="s">
        <v>111</v>
      </c>
      <c r="BH575" s="0" t="s">
        <v>3665</v>
      </c>
      <c r="BI575" s="0" t="s">
        <v>122</v>
      </c>
      <c r="BJ575" s="0" t="s">
        <v>228</v>
      </c>
      <c r="BK575" s="0" t="s">
        <v>3684</v>
      </c>
      <c r="BL575" s="0" t="s">
        <v>2317</v>
      </c>
      <c r="BM575" s="0" t="s">
        <v>2317</v>
      </c>
      <c r="BN575" s="0" t="s">
        <v>3740</v>
      </c>
      <c r="BO575" s="0" t="s">
        <v>4663</v>
      </c>
      <c r="BP575" s="0" t="s">
        <v>4668</v>
      </c>
      <c r="BQ575" s="0" t="s">
        <v>3651</v>
      </c>
      <c r="BR575" s="0" t="s">
        <v>3651</v>
      </c>
      <c r="BS575" s="0" t="s">
        <v>228</v>
      </c>
      <c r="BT575" s="0" t="s">
        <v>3727</v>
      </c>
      <c r="BU575" s="0" t="s">
        <v>4669</v>
      </c>
      <c r="BV575" s="0" t="s">
        <v>4669</v>
      </c>
      <c r="BW575" s="0" t="s">
        <v>3674</v>
      </c>
      <c r="BX575" s="0" t="s">
        <v>3674</v>
      </c>
      <c r="BY575" s="0" t="s">
        <v>3674</v>
      </c>
      <c r="BZ575" s="0" t="s">
        <v>3674</v>
      </c>
      <c r="CA575" s="0" t="s">
        <v>3674</v>
      </c>
      <c r="CB575" s="0" t="s">
        <v>228</v>
      </c>
      <c r="CC575" s="0" t="s">
        <v>228</v>
      </c>
      <c r="CD575" s="0" t="s">
        <v>228</v>
      </c>
      <c r="CE575" s="0" t="s">
        <v>228</v>
      </c>
      <c r="CF575" s="0" t="s">
        <v>228</v>
      </c>
      <c r="CG575" s="0" t="s">
        <v>3674</v>
      </c>
      <c r="CH575" s="0" t="s">
        <v>228</v>
      </c>
      <c r="CI575" s="0" t="s">
        <v>228</v>
      </c>
      <c r="CJ575" s="0" t="s">
        <v>228</v>
      </c>
      <c r="CK575" s="0" t="s">
        <v>228</v>
      </c>
      <c r="CL575" s="0" t="s">
        <v>228</v>
      </c>
      <c r="CM575" s="0" t="s">
        <v>4669</v>
      </c>
      <c r="CN575" s="0" t="s">
        <v>4669</v>
      </c>
      <c r="CO575" s="0" t="s">
        <v>228</v>
      </c>
      <c r="CP575" s="0" t="s">
        <v>228</v>
      </c>
      <c r="CQ575" s="0" t="s">
        <v>228</v>
      </c>
      <c r="CR575" s="0" t="s">
        <v>228</v>
      </c>
      <c r="CS575" s="0" t="s">
        <v>3743</v>
      </c>
      <c r="CT575" s="0" t="s">
        <v>3568</v>
      </c>
      <c r="CU575" s="0" t="s">
        <v>3569</v>
      </c>
      <c r="CV575" s="0" t="s">
        <v>418</v>
      </c>
      <c r="CW575" s="0" t="s">
        <v>3622</v>
      </c>
      <c r="CX575" s="0" t="s">
        <v>419</v>
      </c>
      <c r="CY575" s="0" t="s">
        <v>418</v>
      </c>
      <c r="CZ575" s="0" t="s">
        <v>3623</v>
      </c>
      <c r="DA575" s="0" t="s">
        <v>3624</v>
      </c>
      <c r="DB575" s="0" t="s">
        <v>3622</v>
      </c>
      <c r="DC575" s="0" t="s">
        <v>362</v>
      </c>
      <c r="DD575" s="0" t="s">
        <v>3572</v>
      </c>
      <c r="DE575" s="0" t="s">
        <v>4670</v>
      </c>
    </row>
    <row customHeight="1" ht="11.25">
      <c r="A576" s="1353" t="s">
        <v>228</v>
      </c>
      <c r="B576" s="0" t="s">
        <v>228</v>
      </c>
      <c r="C576" s="0" t="s">
        <v>228</v>
      </c>
      <c r="D576" s="0" t="s">
        <v>228</v>
      </c>
      <c r="E576" s="0" t="s">
        <v>228</v>
      </c>
      <c r="F576" s="0" t="s">
        <v>228</v>
      </c>
      <c r="G576" s="0" t="s">
        <v>228</v>
      </c>
      <c r="H576" s="0" t="s">
        <v>228</v>
      </c>
      <c r="I576" s="0" t="s">
        <v>3555</v>
      </c>
      <c r="J576" s="0" t="s">
        <v>228</v>
      </c>
      <c r="K576" s="0" t="s">
        <v>228</v>
      </c>
      <c r="L576" s="0" t="s">
        <v>228</v>
      </c>
      <c r="M576" s="0" t="s">
        <v>228</v>
      </c>
      <c r="N576" s="0" t="s">
        <v>228</v>
      </c>
      <c r="O576" s="0" t="s">
        <v>228</v>
      </c>
      <c r="P576" s="0" t="s">
        <v>228</v>
      </c>
      <c r="Q576" s="0" t="s">
        <v>228</v>
      </c>
      <c r="R576" s="0" t="s">
        <v>5111</v>
      </c>
      <c r="S576" s="0" t="s">
        <v>228</v>
      </c>
      <c r="T576" s="0" t="s">
        <v>228</v>
      </c>
      <c r="U576" s="0" t="s">
        <v>101</v>
      </c>
      <c r="V576" s="0" t="s">
        <v>228</v>
      </c>
      <c r="W576" s="0" t="s">
        <v>228</v>
      </c>
      <c r="X576" s="0" t="s">
        <v>3557</v>
      </c>
      <c r="Y576" s="0" t="s">
        <v>228</v>
      </c>
      <c r="Z576" s="0" t="s">
        <v>160</v>
      </c>
      <c r="AA576" s="0" t="s">
        <v>151</v>
      </c>
      <c r="AB576" s="0" t="s">
        <v>151</v>
      </c>
      <c r="AC576" s="0" t="s">
        <v>2715</v>
      </c>
      <c r="AD576" s="0" t="s">
        <v>2715</v>
      </c>
      <c r="AE576" s="0" t="s">
        <v>2716</v>
      </c>
      <c r="AF576" s="0" t="s">
        <v>3594</v>
      </c>
      <c r="AG576" s="0" t="s">
        <v>3595</v>
      </c>
      <c r="AH576" s="0" t="s">
        <v>3857</v>
      </c>
      <c r="AI576" s="0" t="s">
        <v>3608</v>
      </c>
      <c r="AJ576" s="0" t="s">
        <v>3858</v>
      </c>
      <c r="AK576" s="0" t="s">
        <v>3859</v>
      </c>
      <c r="AL576" s="0" t="s">
        <v>3599</v>
      </c>
      <c r="AM576" s="0" t="s">
        <v>3565</v>
      </c>
      <c r="AN576" s="0" t="s">
        <v>3600</v>
      </c>
      <c r="AO576" s="0" t="s">
        <v>3601</v>
      </c>
      <c r="AP576" s="0" t="s">
        <v>228</v>
      </c>
      <c r="AQ576" s="0" t="s">
        <v>228</v>
      </c>
      <c r="AR576" s="0" t="s">
        <v>228</v>
      </c>
      <c r="AS576" s="0" t="s">
        <v>228</v>
      </c>
      <c r="AT576" s="0" t="s">
        <v>228</v>
      </c>
      <c r="AU576" s="0" t="s">
        <v>228</v>
      </c>
      <c r="AV576" s="0" t="s">
        <v>228</v>
      </c>
      <c r="AW576" s="0" t="s">
        <v>228</v>
      </c>
      <c r="AX576" s="0" t="s">
        <v>228</v>
      </c>
      <c r="AY576" s="0" t="s">
        <v>228</v>
      </c>
      <c r="AZ576" s="0" t="s">
        <v>228</v>
      </c>
      <c r="BA576" s="0" t="s">
        <v>228</v>
      </c>
      <c r="BB576" s="0" t="s">
        <v>228</v>
      </c>
      <c r="BC576" s="0" t="s">
        <v>228</v>
      </c>
      <c r="BD576" s="0" t="s">
        <v>228</v>
      </c>
      <c r="BE576" s="0" t="s">
        <v>228</v>
      </c>
      <c r="BF576" s="0" t="s">
        <v>228</v>
      </c>
      <c r="BG576" s="0" t="s">
        <v>228</v>
      </c>
      <c r="BH576" s="0" t="s">
        <v>228</v>
      </c>
      <c r="BI576" s="0" t="s">
        <v>228</v>
      </c>
      <c r="BJ576" s="0" t="s">
        <v>228</v>
      </c>
      <c r="BK576" s="0" t="s">
        <v>228</v>
      </c>
      <c r="BL576" s="0" t="s">
        <v>228</v>
      </c>
      <c r="BM576" s="0" t="s">
        <v>228</v>
      </c>
      <c r="BN576" s="0" t="s">
        <v>228</v>
      </c>
      <c r="BO576" s="0" t="s">
        <v>228</v>
      </c>
      <c r="BP576" s="0" t="s">
        <v>228</v>
      </c>
      <c r="BQ576" s="0" t="s">
        <v>228</v>
      </c>
      <c r="BR576" s="0" t="s">
        <v>228</v>
      </c>
      <c r="BS576" s="0" t="s">
        <v>228</v>
      </c>
      <c r="BT576" s="0" t="s">
        <v>228</v>
      </c>
      <c r="BU576" s="0" t="s">
        <v>228</v>
      </c>
      <c r="BV576" s="0" t="s">
        <v>228</v>
      </c>
      <c r="BW576" s="0" t="s">
        <v>228</v>
      </c>
      <c r="BX576" s="0" t="s">
        <v>228</v>
      </c>
      <c r="BY576" s="0" t="s">
        <v>228</v>
      </c>
      <c r="BZ576" s="0" t="s">
        <v>228</v>
      </c>
      <c r="CA576" s="0" t="s">
        <v>228</v>
      </c>
      <c r="CB576" s="0" t="s">
        <v>228</v>
      </c>
      <c r="CC576" s="0" t="s">
        <v>228</v>
      </c>
      <c r="CD576" s="0" t="s">
        <v>228</v>
      </c>
      <c r="CE576" s="0" t="s">
        <v>228</v>
      </c>
      <c r="CF576" s="0" t="s">
        <v>228</v>
      </c>
      <c r="CG576" s="0" t="s">
        <v>228</v>
      </c>
      <c r="CH576" s="0" t="s">
        <v>228</v>
      </c>
      <c r="CI576" s="0" t="s">
        <v>228</v>
      </c>
      <c r="CJ576" s="0" t="s">
        <v>228</v>
      </c>
      <c r="CK576" s="0" t="s">
        <v>228</v>
      </c>
      <c r="CL576" s="0" t="s">
        <v>228</v>
      </c>
      <c r="CM576" s="0" t="s">
        <v>228</v>
      </c>
      <c r="CN576" s="0" t="s">
        <v>228</v>
      </c>
      <c r="CO576" s="0" t="s">
        <v>228</v>
      </c>
      <c r="CP576" s="0" t="s">
        <v>228</v>
      </c>
      <c r="CQ576" s="0" t="s">
        <v>228</v>
      </c>
      <c r="CR576" s="0" t="s">
        <v>228</v>
      </c>
      <c r="CS576" s="0" t="s">
        <v>228</v>
      </c>
      <c r="CT576" s="0" t="s">
        <v>3568</v>
      </c>
      <c r="CU576" s="0" t="s">
        <v>3569</v>
      </c>
      <c r="CV576" s="0" t="s">
        <v>418</v>
      </c>
      <c r="CW576" s="0" t="s">
        <v>3602</v>
      </c>
      <c r="CX576" s="0" t="s">
        <v>3603</v>
      </c>
      <c r="CY576" s="0" t="s">
        <v>418</v>
      </c>
      <c r="CZ576" s="0" t="s">
        <v>504</v>
      </c>
      <c r="DA576" s="0" t="s">
        <v>3604</v>
      </c>
      <c r="DB576" s="0" t="s">
        <v>3602</v>
      </c>
      <c r="DC576" s="0" t="s">
        <v>362</v>
      </c>
      <c r="DD576" s="0" t="s">
        <v>3572</v>
      </c>
      <c r="DE576" s="0" t="s">
        <v>3860</v>
      </c>
    </row>
    <row customHeight="1" ht="11.25">
      <c r="A577" s="1353" t="s">
        <v>228</v>
      </c>
      <c r="B577" s="0" t="s">
        <v>228</v>
      </c>
      <c r="C577" s="0" t="s">
        <v>228</v>
      </c>
      <c r="D577" s="0" t="s">
        <v>228</v>
      </c>
      <c r="E577" s="0" t="s">
        <v>228</v>
      </c>
      <c r="F577" s="0" t="s">
        <v>228</v>
      </c>
      <c r="G577" s="0" t="s">
        <v>228</v>
      </c>
      <c r="H577" s="0" t="s">
        <v>228</v>
      </c>
      <c r="I577" s="0" t="s">
        <v>3555</v>
      </c>
      <c r="J577" s="0" t="s">
        <v>228</v>
      </c>
      <c r="K577" s="0" t="s">
        <v>228</v>
      </c>
      <c r="L577" s="0" t="s">
        <v>228</v>
      </c>
      <c r="M577" s="0" t="s">
        <v>228</v>
      </c>
      <c r="N577" s="0" t="s">
        <v>228</v>
      </c>
      <c r="O577" s="0" t="s">
        <v>228</v>
      </c>
      <c r="P577" s="0" t="s">
        <v>228</v>
      </c>
      <c r="Q577" s="0" t="s">
        <v>228</v>
      </c>
      <c r="R577" s="0" t="s">
        <v>4930</v>
      </c>
      <c r="S577" s="0" t="s">
        <v>228</v>
      </c>
      <c r="T577" s="0" t="s">
        <v>228</v>
      </c>
      <c r="U577" s="0" t="s">
        <v>101</v>
      </c>
      <c r="V577" s="0" t="s">
        <v>228</v>
      </c>
      <c r="W577" s="0" t="s">
        <v>228</v>
      </c>
      <c r="X577" s="0" t="s">
        <v>3661</v>
      </c>
      <c r="Y577" s="0" t="s">
        <v>228</v>
      </c>
      <c r="Z577" s="0" t="s">
        <v>151</v>
      </c>
      <c r="AA577" s="0" t="s">
        <v>151</v>
      </c>
      <c r="AB577" s="0" t="s">
        <v>160</v>
      </c>
      <c r="AC577" s="0" t="s">
        <v>2317</v>
      </c>
      <c r="AD577" s="0" t="s">
        <v>2317</v>
      </c>
      <c r="AE577" s="0" t="s">
        <v>2318</v>
      </c>
      <c r="AF577" s="0" t="s">
        <v>3963</v>
      </c>
      <c r="AG577" s="0" t="s">
        <v>3964</v>
      </c>
      <c r="AH577" s="0" t="s">
        <v>3651</v>
      </c>
      <c r="AI577" s="0" t="s">
        <v>3651</v>
      </c>
      <c r="AJ577" s="0" t="s">
        <v>228</v>
      </c>
      <c r="AK577" s="0" t="s">
        <v>228</v>
      </c>
      <c r="AL577" s="0" t="s">
        <v>228</v>
      </c>
      <c r="AM577" s="0" t="s">
        <v>228</v>
      </c>
      <c r="AN577" s="0" t="s">
        <v>228</v>
      </c>
      <c r="AO577" s="0" t="s">
        <v>228</v>
      </c>
      <c r="AP577" s="0" t="s">
        <v>228</v>
      </c>
      <c r="AQ577" s="0" t="s">
        <v>228</v>
      </c>
      <c r="AR577" s="0" t="s">
        <v>228</v>
      </c>
      <c r="AS577" s="0" t="s">
        <v>228</v>
      </c>
      <c r="AT577" s="0" t="s">
        <v>228</v>
      </c>
      <c r="AU577" s="0" t="s">
        <v>228</v>
      </c>
      <c r="AV577" s="0" t="s">
        <v>228</v>
      </c>
      <c r="AW577" s="0" t="s">
        <v>228</v>
      </c>
      <c r="AX577" s="0" t="s">
        <v>228</v>
      </c>
      <c r="AY577" s="0" t="s">
        <v>228</v>
      </c>
      <c r="AZ577" s="0" t="s">
        <v>228</v>
      </c>
      <c r="BA577" s="0" t="s">
        <v>228</v>
      </c>
      <c r="BB577" s="0" t="s">
        <v>228</v>
      </c>
      <c r="BC577" s="0" t="s">
        <v>228</v>
      </c>
      <c r="BD577" s="0" t="s">
        <v>228</v>
      </c>
      <c r="BE577" s="0" t="s">
        <v>3627</v>
      </c>
      <c r="BF577" s="0" t="s">
        <v>3853</v>
      </c>
      <c r="BG577" s="0" t="s">
        <v>111</v>
      </c>
      <c r="BH577" s="0" t="s">
        <v>3665</v>
      </c>
      <c r="BI577" s="0" t="s">
        <v>122</v>
      </c>
      <c r="BJ577" s="0" t="s">
        <v>228</v>
      </c>
      <c r="BK577" s="0" t="s">
        <v>3684</v>
      </c>
      <c r="BL577" s="0" t="s">
        <v>2317</v>
      </c>
      <c r="BM577" s="0" t="s">
        <v>2317</v>
      </c>
      <c r="BN577" s="0" t="s">
        <v>3740</v>
      </c>
      <c r="BO577" s="0" t="s">
        <v>3963</v>
      </c>
      <c r="BP577" s="0" t="s">
        <v>4927</v>
      </c>
      <c r="BQ577" s="0" t="s">
        <v>3651</v>
      </c>
      <c r="BR577" s="0" t="s">
        <v>3651</v>
      </c>
      <c r="BS577" s="0" t="s">
        <v>228</v>
      </c>
      <c r="BT577" s="0" t="s">
        <v>4238</v>
      </c>
      <c r="BU577" s="0" t="s">
        <v>4931</v>
      </c>
      <c r="BV577" s="0" t="s">
        <v>4931</v>
      </c>
      <c r="BW577" s="0" t="s">
        <v>3674</v>
      </c>
      <c r="BX577" s="0" t="s">
        <v>3674</v>
      </c>
      <c r="BY577" s="0" t="s">
        <v>3674</v>
      </c>
      <c r="BZ577" s="0" t="s">
        <v>3674</v>
      </c>
      <c r="CA577" s="0" t="s">
        <v>3674</v>
      </c>
      <c r="CB577" s="0" t="s">
        <v>228</v>
      </c>
      <c r="CC577" s="0" t="s">
        <v>228</v>
      </c>
      <c r="CD577" s="0" t="s">
        <v>228</v>
      </c>
      <c r="CE577" s="0" t="s">
        <v>228</v>
      </c>
      <c r="CF577" s="0" t="s">
        <v>228</v>
      </c>
      <c r="CG577" s="0" t="s">
        <v>3674</v>
      </c>
      <c r="CH577" s="0" t="s">
        <v>228</v>
      </c>
      <c r="CI577" s="0" t="s">
        <v>228</v>
      </c>
      <c r="CJ577" s="0" t="s">
        <v>228</v>
      </c>
      <c r="CK577" s="0" t="s">
        <v>228</v>
      </c>
      <c r="CL577" s="0" t="s">
        <v>228</v>
      </c>
      <c r="CM577" s="0" t="s">
        <v>4931</v>
      </c>
      <c r="CN577" s="0" t="s">
        <v>4931</v>
      </c>
      <c r="CO577" s="0" t="s">
        <v>228</v>
      </c>
      <c r="CP577" s="0" t="s">
        <v>228</v>
      </c>
      <c r="CQ577" s="0" t="s">
        <v>228</v>
      </c>
      <c r="CR577" s="0" t="s">
        <v>228</v>
      </c>
      <c r="CS577" s="0" t="s">
        <v>3743</v>
      </c>
      <c r="CT577" s="0" t="s">
        <v>3568</v>
      </c>
      <c r="CU577" s="0" t="s">
        <v>3569</v>
      </c>
      <c r="CV577" s="0" t="s">
        <v>418</v>
      </c>
      <c r="CW577" s="0" t="s">
        <v>3622</v>
      </c>
      <c r="CX577" s="0" t="s">
        <v>419</v>
      </c>
      <c r="CY577" s="0" t="s">
        <v>418</v>
      </c>
      <c r="CZ577" s="0" t="s">
        <v>3623</v>
      </c>
      <c r="DA577" s="0" t="s">
        <v>3624</v>
      </c>
      <c r="DB577" s="0" t="s">
        <v>3622</v>
      </c>
      <c r="DC577" s="0" t="s">
        <v>362</v>
      </c>
      <c r="DD577" s="0" t="s">
        <v>3572</v>
      </c>
      <c r="DE577" s="0" t="s">
        <v>4929</v>
      </c>
    </row>
    <row customHeight="1" ht="11.25">
      <c r="A578" s="1353" t="s">
        <v>228</v>
      </c>
      <c r="B578" s="0" t="s">
        <v>228</v>
      </c>
      <c r="C578" s="0" t="s">
        <v>228</v>
      </c>
      <c r="D578" s="0" t="s">
        <v>228</v>
      </c>
      <c r="E578" s="0" t="s">
        <v>228</v>
      </c>
      <c r="F578" s="0" t="s">
        <v>228</v>
      </c>
      <c r="G578" s="0" t="s">
        <v>228</v>
      </c>
      <c r="H578" s="0" t="s">
        <v>228</v>
      </c>
      <c r="I578" s="0" t="s">
        <v>3555</v>
      </c>
      <c r="J578" s="0" t="s">
        <v>228</v>
      </c>
      <c r="K578" s="0" t="s">
        <v>228</v>
      </c>
      <c r="L578" s="0" t="s">
        <v>228</v>
      </c>
      <c r="M578" s="0" t="s">
        <v>228</v>
      </c>
      <c r="N578" s="0" t="s">
        <v>228</v>
      </c>
      <c r="O578" s="0" t="s">
        <v>228</v>
      </c>
      <c r="P578" s="0" t="s">
        <v>228</v>
      </c>
      <c r="Q578" s="0" t="s">
        <v>228</v>
      </c>
      <c r="R578" s="0" t="s">
        <v>3648</v>
      </c>
      <c r="S578" s="0" t="s">
        <v>228</v>
      </c>
      <c r="T578" s="0" t="s">
        <v>228</v>
      </c>
      <c r="U578" s="0" t="s">
        <v>101</v>
      </c>
      <c r="V578" s="0" t="s">
        <v>228</v>
      </c>
      <c r="W578" s="0" t="s">
        <v>228</v>
      </c>
      <c r="X578" s="0" t="s">
        <v>3557</v>
      </c>
      <c r="Y578" s="0" t="s">
        <v>228</v>
      </c>
      <c r="Z578" s="0" t="s">
        <v>160</v>
      </c>
      <c r="AA578" s="0" t="s">
        <v>151</v>
      </c>
      <c r="AB578" s="0" t="s">
        <v>151</v>
      </c>
      <c r="AC578" s="0" t="s">
        <v>2317</v>
      </c>
      <c r="AD578" s="0" t="s">
        <v>2317</v>
      </c>
      <c r="AE578" s="0" t="s">
        <v>2318</v>
      </c>
      <c r="AF578" s="0" t="s">
        <v>3738</v>
      </c>
      <c r="AG578" s="0" t="s">
        <v>3739</v>
      </c>
      <c r="AH578" s="0" t="s">
        <v>3617</v>
      </c>
      <c r="AI578" s="0" t="s">
        <v>4205</v>
      </c>
      <c r="AJ578" s="0" t="s">
        <v>3579</v>
      </c>
      <c r="AK578" s="0" t="s">
        <v>3749</v>
      </c>
      <c r="AL578" s="0" t="s">
        <v>3581</v>
      </c>
      <c r="AM578" s="0" t="s">
        <v>3565</v>
      </c>
      <c r="AN578" s="0" t="s">
        <v>3620</v>
      </c>
      <c r="AO578" s="0" t="s">
        <v>3591</v>
      </c>
      <c r="AP578" s="0" t="s">
        <v>228</v>
      </c>
      <c r="AQ578" s="0" t="s">
        <v>228</v>
      </c>
      <c r="AR578" s="0" t="s">
        <v>228</v>
      </c>
      <c r="AS578" s="0" t="s">
        <v>228</v>
      </c>
      <c r="AT578" s="0" t="s">
        <v>228</v>
      </c>
      <c r="AU578" s="0" t="s">
        <v>228</v>
      </c>
      <c r="AV578" s="0" t="s">
        <v>228</v>
      </c>
      <c r="AW578" s="0" t="s">
        <v>228</v>
      </c>
      <c r="AX578" s="0" t="s">
        <v>228</v>
      </c>
      <c r="AY578" s="0" t="s">
        <v>228</v>
      </c>
      <c r="AZ578" s="0" t="s">
        <v>228</v>
      </c>
      <c r="BA578" s="0" t="s">
        <v>228</v>
      </c>
      <c r="BB578" s="0" t="s">
        <v>228</v>
      </c>
      <c r="BC578" s="0" t="s">
        <v>228</v>
      </c>
      <c r="BD578" s="0" t="s">
        <v>228</v>
      </c>
      <c r="BE578" s="0" t="s">
        <v>228</v>
      </c>
      <c r="BF578" s="0" t="s">
        <v>228</v>
      </c>
      <c r="BG578" s="0" t="s">
        <v>228</v>
      </c>
      <c r="BH578" s="0" t="s">
        <v>228</v>
      </c>
      <c r="BI578" s="0" t="s">
        <v>228</v>
      </c>
      <c r="BJ578" s="0" t="s">
        <v>228</v>
      </c>
      <c r="BK578" s="0" t="s">
        <v>228</v>
      </c>
      <c r="BL578" s="0" t="s">
        <v>228</v>
      </c>
      <c r="BM578" s="0" t="s">
        <v>228</v>
      </c>
      <c r="BN578" s="0" t="s">
        <v>228</v>
      </c>
      <c r="BO578" s="0" t="s">
        <v>228</v>
      </c>
      <c r="BP578" s="0" t="s">
        <v>228</v>
      </c>
      <c r="BQ578" s="0" t="s">
        <v>228</v>
      </c>
      <c r="BR578" s="0" t="s">
        <v>228</v>
      </c>
      <c r="BS578" s="0" t="s">
        <v>228</v>
      </c>
      <c r="BT578" s="0" t="s">
        <v>228</v>
      </c>
      <c r="BU578" s="0" t="s">
        <v>228</v>
      </c>
      <c r="BV578" s="0" t="s">
        <v>228</v>
      </c>
      <c r="BW578" s="0" t="s">
        <v>228</v>
      </c>
      <c r="BX578" s="0" t="s">
        <v>228</v>
      </c>
      <c r="BY578" s="0" t="s">
        <v>228</v>
      </c>
      <c r="BZ578" s="0" t="s">
        <v>228</v>
      </c>
      <c r="CA578" s="0" t="s">
        <v>228</v>
      </c>
      <c r="CB578" s="0" t="s">
        <v>228</v>
      </c>
      <c r="CC578" s="0" t="s">
        <v>228</v>
      </c>
      <c r="CD578" s="0" t="s">
        <v>228</v>
      </c>
      <c r="CE578" s="0" t="s">
        <v>228</v>
      </c>
      <c r="CF578" s="0" t="s">
        <v>228</v>
      </c>
      <c r="CG578" s="0" t="s">
        <v>228</v>
      </c>
      <c r="CH578" s="0" t="s">
        <v>228</v>
      </c>
      <c r="CI578" s="0" t="s">
        <v>228</v>
      </c>
      <c r="CJ578" s="0" t="s">
        <v>228</v>
      </c>
      <c r="CK578" s="0" t="s">
        <v>228</v>
      </c>
      <c r="CL578" s="0" t="s">
        <v>228</v>
      </c>
      <c r="CM578" s="0" t="s">
        <v>228</v>
      </c>
      <c r="CN578" s="0" t="s">
        <v>228</v>
      </c>
      <c r="CO578" s="0" t="s">
        <v>228</v>
      </c>
      <c r="CP578" s="0" t="s">
        <v>228</v>
      </c>
      <c r="CQ578" s="0" t="s">
        <v>228</v>
      </c>
      <c r="CR578" s="0" t="s">
        <v>228</v>
      </c>
      <c r="CS578" s="0" t="s">
        <v>228</v>
      </c>
      <c r="CT578" s="0" t="s">
        <v>3568</v>
      </c>
      <c r="CU578" s="0" t="s">
        <v>3569</v>
      </c>
      <c r="CV578" s="0" t="s">
        <v>418</v>
      </c>
      <c r="CW578" s="0" t="s">
        <v>3622</v>
      </c>
      <c r="CX578" s="0" t="s">
        <v>419</v>
      </c>
      <c r="CY578" s="0" t="s">
        <v>418</v>
      </c>
      <c r="CZ578" s="0" t="s">
        <v>3623</v>
      </c>
      <c r="DA578" s="0" t="s">
        <v>3624</v>
      </c>
      <c r="DB578" s="0" t="s">
        <v>3622</v>
      </c>
      <c r="DC578" s="0" t="s">
        <v>362</v>
      </c>
      <c r="DD578" s="0" t="s">
        <v>3572</v>
      </c>
      <c r="DE578" s="0" t="s">
        <v>4206</v>
      </c>
    </row>
    <row customHeight="1" ht="11.25">
      <c r="A579" s="1353" t="s">
        <v>228</v>
      </c>
      <c r="B579" s="0" t="s">
        <v>228</v>
      </c>
      <c r="C579" s="0" t="s">
        <v>228</v>
      </c>
      <c r="D579" s="0" t="s">
        <v>228</v>
      </c>
      <c r="E579" s="0" t="s">
        <v>228</v>
      </c>
      <c r="F579" s="0" t="s">
        <v>228</v>
      </c>
      <c r="G579" s="0" t="s">
        <v>228</v>
      </c>
      <c r="H579" s="0" t="s">
        <v>228</v>
      </c>
      <c r="I579" s="0" t="s">
        <v>3555</v>
      </c>
      <c r="J579" s="0" t="s">
        <v>228</v>
      </c>
      <c r="K579" s="0" t="s">
        <v>228</v>
      </c>
      <c r="L579" s="0" t="s">
        <v>228</v>
      </c>
      <c r="M579" s="0" t="s">
        <v>228</v>
      </c>
      <c r="N579" s="0" t="s">
        <v>228</v>
      </c>
      <c r="O579" s="0" t="s">
        <v>228</v>
      </c>
      <c r="P579" s="0" t="s">
        <v>228</v>
      </c>
      <c r="Q579" s="0" t="s">
        <v>228</v>
      </c>
      <c r="R579" s="0" t="s">
        <v>3648</v>
      </c>
      <c r="S579" s="0" t="s">
        <v>228</v>
      </c>
      <c r="T579" s="0" t="s">
        <v>228</v>
      </c>
      <c r="U579" s="0" t="s">
        <v>101</v>
      </c>
      <c r="V579" s="0" t="s">
        <v>228</v>
      </c>
      <c r="W579" s="0" t="s">
        <v>228</v>
      </c>
      <c r="X579" s="0" t="s">
        <v>3557</v>
      </c>
      <c r="Y579" s="0" t="s">
        <v>228</v>
      </c>
      <c r="Z579" s="0" t="s">
        <v>160</v>
      </c>
      <c r="AA579" s="0" t="s">
        <v>151</v>
      </c>
      <c r="AB579" s="0" t="s">
        <v>151</v>
      </c>
      <c r="AC579" s="0" t="s">
        <v>2317</v>
      </c>
      <c r="AD579" s="0" t="s">
        <v>2317</v>
      </c>
      <c r="AE579" s="0" t="s">
        <v>2318</v>
      </c>
      <c r="AF579" s="0" t="s">
        <v>3907</v>
      </c>
      <c r="AG579" s="0" t="s">
        <v>3908</v>
      </c>
      <c r="AH579" s="0" t="s">
        <v>4207</v>
      </c>
      <c r="AI579" s="0" t="s">
        <v>3807</v>
      </c>
      <c r="AJ579" s="0" t="s">
        <v>3579</v>
      </c>
      <c r="AK579" s="0" t="s">
        <v>3822</v>
      </c>
      <c r="AL579" s="0" t="s">
        <v>3581</v>
      </c>
      <c r="AM579" s="0" t="s">
        <v>3565</v>
      </c>
      <c r="AN579" s="0" t="s">
        <v>3628</v>
      </c>
      <c r="AO579" s="0" t="s">
        <v>3956</v>
      </c>
      <c r="AP579" s="0" t="s">
        <v>228</v>
      </c>
      <c r="AQ579" s="0" t="s">
        <v>228</v>
      </c>
      <c r="AR579" s="0" t="s">
        <v>228</v>
      </c>
      <c r="AS579" s="0" t="s">
        <v>228</v>
      </c>
      <c r="AT579" s="0" t="s">
        <v>228</v>
      </c>
      <c r="AU579" s="0" t="s">
        <v>228</v>
      </c>
      <c r="AV579" s="0" t="s">
        <v>228</v>
      </c>
      <c r="AW579" s="0" t="s">
        <v>228</v>
      </c>
      <c r="AX579" s="0" t="s">
        <v>228</v>
      </c>
      <c r="AY579" s="0" t="s">
        <v>228</v>
      </c>
      <c r="AZ579" s="0" t="s">
        <v>228</v>
      </c>
      <c r="BA579" s="0" t="s">
        <v>228</v>
      </c>
      <c r="BB579" s="0" t="s">
        <v>228</v>
      </c>
      <c r="BC579" s="0" t="s">
        <v>228</v>
      </c>
      <c r="BD579" s="0" t="s">
        <v>228</v>
      </c>
      <c r="BE579" s="0" t="s">
        <v>228</v>
      </c>
      <c r="BF579" s="0" t="s">
        <v>228</v>
      </c>
      <c r="BG579" s="0" t="s">
        <v>228</v>
      </c>
      <c r="BH579" s="0" t="s">
        <v>228</v>
      </c>
      <c r="BI579" s="0" t="s">
        <v>228</v>
      </c>
      <c r="BJ579" s="0" t="s">
        <v>228</v>
      </c>
      <c r="BK579" s="0" t="s">
        <v>228</v>
      </c>
      <c r="BL579" s="0" t="s">
        <v>228</v>
      </c>
      <c r="BM579" s="0" t="s">
        <v>228</v>
      </c>
      <c r="BN579" s="0" t="s">
        <v>228</v>
      </c>
      <c r="BO579" s="0" t="s">
        <v>228</v>
      </c>
      <c r="BP579" s="0" t="s">
        <v>228</v>
      </c>
      <c r="BQ579" s="0" t="s">
        <v>228</v>
      </c>
      <c r="BR579" s="0" t="s">
        <v>228</v>
      </c>
      <c r="BS579" s="0" t="s">
        <v>228</v>
      </c>
      <c r="BT579" s="0" t="s">
        <v>228</v>
      </c>
      <c r="BU579" s="0" t="s">
        <v>228</v>
      </c>
      <c r="BV579" s="0" t="s">
        <v>228</v>
      </c>
      <c r="BW579" s="0" t="s">
        <v>228</v>
      </c>
      <c r="BX579" s="0" t="s">
        <v>228</v>
      </c>
      <c r="BY579" s="0" t="s">
        <v>228</v>
      </c>
      <c r="BZ579" s="0" t="s">
        <v>228</v>
      </c>
      <c r="CA579" s="0" t="s">
        <v>228</v>
      </c>
      <c r="CB579" s="0" t="s">
        <v>228</v>
      </c>
      <c r="CC579" s="0" t="s">
        <v>228</v>
      </c>
      <c r="CD579" s="0" t="s">
        <v>228</v>
      </c>
      <c r="CE579" s="0" t="s">
        <v>228</v>
      </c>
      <c r="CF579" s="0" t="s">
        <v>228</v>
      </c>
      <c r="CG579" s="0" t="s">
        <v>228</v>
      </c>
      <c r="CH579" s="0" t="s">
        <v>228</v>
      </c>
      <c r="CI579" s="0" t="s">
        <v>228</v>
      </c>
      <c r="CJ579" s="0" t="s">
        <v>228</v>
      </c>
      <c r="CK579" s="0" t="s">
        <v>228</v>
      </c>
      <c r="CL579" s="0" t="s">
        <v>228</v>
      </c>
      <c r="CM579" s="0" t="s">
        <v>228</v>
      </c>
      <c r="CN579" s="0" t="s">
        <v>228</v>
      </c>
      <c r="CO579" s="0" t="s">
        <v>228</v>
      </c>
      <c r="CP579" s="0" t="s">
        <v>228</v>
      </c>
      <c r="CQ579" s="0" t="s">
        <v>228</v>
      </c>
      <c r="CR579" s="0" t="s">
        <v>228</v>
      </c>
      <c r="CS579" s="0" t="s">
        <v>228</v>
      </c>
      <c r="CT579" s="0" t="s">
        <v>3568</v>
      </c>
      <c r="CU579" s="0" t="s">
        <v>3569</v>
      </c>
      <c r="CV579" s="0" t="s">
        <v>418</v>
      </c>
      <c r="CW579" s="0" t="s">
        <v>3622</v>
      </c>
      <c r="CX579" s="0" t="s">
        <v>419</v>
      </c>
      <c r="CY579" s="0" t="s">
        <v>418</v>
      </c>
      <c r="CZ579" s="0" t="s">
        <v>3623</v>
      </c>
      <c r="DA579" s="0" t="s">
        <v>3624</v>
      </c>
      <c r="DB579" s="0" t="s">
        <v>3622</v>
      </c>
      <c r="DC579" s="0" t="s">
        <v>362</v>
      </c>
      <c r="DD579" s="0" t="s">
        <v>3572</v>
      </c>
      <c r="DE579" s="0" t="s">
        <v>4208</v>
      </c>
    </row>
    <row customHeight="1" ht="11.25">
      <c r="A580" s="1353" t="s">
        <v>228</v>
      </c>
      <c r="B580" s="0" t="s">
        <v>228</v>
      </c>
      <c r="C580" s="0" t="s">
        <v>228</v>
      </c>
      <c r="D580" s="0" t="s">
        <v>228</v>
      </c>
      <c r="E580" s="0" t="s">
        <v>228</v>
      </c>
      <c r="F580" s="0" t="s">
        <v>228</v>
      </c>
      <c r="G580" s="0" t="s">
        <v>228</v>
      </c>
      <c r="H580" s="0" t="s">
        <v>228</v>
      </c>
      <c r="I580" s="0" t="s">
        <v>3555</v>
      </c>
      <c r="J580" s="0" t="s">
        <v>228</v>
      </c>
      <c r="K580" s="0" t="s">
        <v>228</v>
      </c>
      <c r="L580" s="0" t="s">
        <v>228</v>
      </c>
      <c r="M580" s="0" t="s">
        <v>228</v>
      </c>
      <c r="N580" s="0" t="s">
        <v>228</v>
      </c>
      <c r="O580" s="0" t="s">
        <v>228</v>
      </c>
      <c r="P580" s="0" t="s">
        <v>228</v>
      </c>
      <c r="Q580" s="0" t="s">
        <v>228</v>
      </c>
      <c r="R580" s="0" t="s">
        <v>4482</v>
      </c>
      <c r="S580" s="0" t="s">
        <v>228</v>
      </c>
      <c r="T580" s="0" t="s">
        <v>228</v>
      </c>
      <c r="U580" s="0" t="s">
        <v>101</v>
      </c>
      <c r="V580" s="0" t="s">
        <v>228</v>
      </c>
      <c r="W580" s="0" t="s">
        <v>228</v>
      </c>
      <c r="X580" s="0" t="s">
        <v>3557</v>
      </c>
      <c r="Y580" s="0" t="s">
        <v>228</v>
      </c>
      <c r="Z580" s="0" t="s">
        <v>160</v>
      </c>
      <c r="AA580" s="0" t="s">
        <v>151</v>
      </c>
      <c r="AB580" s="0" t="s">
        <v>151</v>
      </c>
      <c r="AC580" s="0" t="s">
        <v>2317</v>
      </c>
      <c r="AD580" s="0" t="s">
        <v>2317</v>
      </c>
      <c r="AE580" s="0" t="s">
        <v>2318</v>
      </c>
      <c r="AF580" s="0" t="s">
        <v>3907</v>
      </c>
      <c r="AG580" s="0" t="s">
        <v>3908</v>
      </c>
      <c r="AH580" s="0" t="s">
        <v>3965</v>
      </c>
      <c r="AI580" s="0" t="s">
        <v>3771</v>
      </c>
      <c r="AJ580" s="0" t="s">
        <v>3652</v>
      </c>
      <c r="AK580" s="0" t="s">
        <v>3909</v>
      </c>
      <c r="AL580" s="0" t="s">
        <v>3581</v>
      </c>
      <c r="AM580" s="0" t="s">
        <v>3565</v>
      </c>
      <c r="AN580" s="0" t="s">
        <v>3628</v>
      </c>
      <c r="AO580" s="0" t="s">
        <v>3956</v>
      </c>
      <c r="AP580" s="0" t="s">
        <v>228</v>
      </c>
      <c r="AQ580" s="0" t="s">
        <v>228</v>
      </c>
      <c r="AR580" s="0" t="s">
        <v>228</v>
      </c>
      <c r="AS580" s="0" t="s">
        <v>228</v>
      </c>
      <c r="AT580" s="0" t="s">
        <v>228</v>
      </c>
      <c r="AU580" s="0" t="s">
        <v>228</v>
      </c>
      <c r="AV580" s="0" t="s">
        <v>228</v>
      </c>
      <c r="AW580" s="0" t="s">
        <v>228</v>
      </c>
      <c r="AX580" s="0" t="s">
        <v>228</v>
      </c>
      <c r="AY580" s="0" t="s">
        <v>228</v>
      </c>
      <c r="AZ580" s="0" t="s">
        <v>228</v>
      </c>
      <c r="BA580" s="0" t="s">
        <v>228</v>
      </c>
      <c r="BB580" s="0" t="s">
        <v>228</v>
      </c>
      <c r="BC580" s="0" t="s">
        <v>228</v>
      </c>
      <c r="BD580" s="0" t="s">
        <v>228</v>
      </c>
      <c r="BE580" s="0" t="s">
        <v>228</v>
      </c>
      <c r="BF580" s="0" t="s">
        <v>228</v>
      </c>
      <c r="BG580" s="0" t="s">
        <v>228</v>
      </c>
      <c r="BH580" s="0" t="s">
        <v>228</v>
      </c>
      <c r="BI580" s="0" t="s">
        <v>228</v>
      </c>
      <c r="BJ580" s="0" t="s">
        <v>228</v>
      </c>
      <c r="BK580" s="0" t="s">
        <v>228</v>
      </c>
      <c r="BL580" s="0" t="s">
        <v>228</v>
      </c>
      <c r="BM580" s="0" t="s">
        <v>228</v>
      </c>
      <c r="BN580" s="0" t="s">
        <v>228</v>
      </c>
      <c r="BO580" s="0" t="s">
        <v>228</v>
      </c>
      <c r="BP580" s="0" t="s">
        <v>228</v>
      </c>
      <c r="BQ580" s="0" t="s">
        <v>228</v>
      </c>
      <c r="BR580" s="0" t="s">
        <v>228</v>
      </c>
      <c r="BS580" s="0" t="s">
        <v>228</v>
      </c>
      <c r="BT580" s="0" t="s">
        <v>228</v>
      </c>
      <c r="BU580" s="0" t="s">
        <v>228</v>
      </c>
      <c r="BV580" s="0" t="s">
        <v>228</v>
      </c>
      <c r="BW580" s="0" t="s">
        <v>228</v>
      </c>
      <c r="BX580" s="0" t="s">
        <v>228</v>
      </c>
      <c r="BY580" s="0" t="s">
        <v>228</v>
      </c>
      <c r="BZ580" s="0" t="s">
        <v>228</v>
      </c>
      <c r="CA580" s="0" t="s">
        <v>228</v>
      </c>
      <c r="CB580" s="0" t="s">
        <v>228</v>
      </c>
      <c r="CC580" s="0" t="s">
        <v>228</v>
      </c>
      <c r="CD580" s="0" t="s">
        <v>228</v>
      </c>
      <c r="CE580" s="0" t="s">
        <v>228</v>
      </c>
      <c r="CF580" s="0" t="s">
        <v>228</v>
      </c>
      <c r="CG580" s="0" t="s">
        <v>228</v>
      </c>
      <c r="CH580" s="0" t="s">
        <v>228</v>
      </c>
      <c r="CI580" s="0" t="s">
        <v>228</v>
      </c>
      <c r="CJ580" s="0" t="s">
        <v>228</v>
      </c>
      <c r="CK580" s="0" t="s">
        <v>228</v>
      </c>
      <c r="CL580" s="0" t="s">
        <v>228</v>
      </c>
      <c r="CM580" s="0" t="s">
        <v>228</v>
      </c>
      <c r="CN580" s="0" t="s">
        <v>228</v>
      </c>
      <c r="CO580" s="0" t="s">
        <v>228</v>
      </c>
      <c r="CP580" s="0" t="s">
        <v>228</v>
      </c>
      <c r="CQ580" s="0" t="s">
        <v>228</v>
      </c>
      <c r="CR580" s="0" t="s">
        <v>228</v>
      </c>
      <c r="CS580" s="0" t="s">
        <v>228</v>
      </c>
      <c r="CT580" s="0" t="s">
        <v>3568</v>
      </c>
      <c r="CU580" s="0" t="s">
        <v>3569</v>
      </c>
      <c r="CV580" s="0" t="s">
        <v>418</v>
      </c>
      <c r="CW580" s="0" t="s">
        <v>3622</v>
      </c>
      <c r="CX580" s="0" t="s">
        <v>419</v>
      </c>
      <c r="CY580" s="0" t="s">
        <v>418</v>
      </c>
      <c r="CZ580" s="0" t="s">
        <v>3623</v>
      </c>
      <c r="DA580" s="0" t="s">
        <v>3624</v>
      </c>
      <c r="DB580" s="0" t="s">
        <v>3622</v>
      </c>
      <c r="DC580" s="0" t="s">
        <v>362</v>
      </c>
      <c r="DD580" s="0" t="s">
        <v>3572</v>
      </c>
      <c r="DE580" s="0" t="s">
        <v>4483</v>
      </c>
    </row>
    <row customHeight="1" ht="11.25">
      <c r="A581" s="1353" t="s">
        <v>228</v>
      </c>
      <c r="B581" s="0" t="s">
        <v>228</v>
      </c>
      <c r="C581" s="0" t="s">
        <v>228</v>
      </c>
      <c r="D581" s="0" t="s">
        <v>228</v>
      </c>
      <c r="E581" s="0" t="s">
        <v>228</v>
      </c>
      <c r="F581" s="0" t="s">
        <v>228</v>
      </c>
      <c r="G581" s="0" t="s">
        <v>228</v>
      </c>
      <c r="H581" s="0" t="s">
        <v>228</v>
      </c>
      <c r="I581" s="0" t="s">
        <v>3555</v>
      </c>
      <c r="J581" s="0" t="s">
        <v>228</v>
      </c>
      <c r="K581" s="0" t="s">
        <v>228</v>
      </c>
      <c r="L581" s="0" t="s">
        <v>228</v>
      </c>
      <c r="M581" s="0" t="s">
        <v>228</v>
      </c>
      <c r="N581" s="0" t="s">
        <v>228</v>
      </c>
      <c r="O581" s="0" t="s">
        <v>228</v>
      </c>
      <c r="P581" s="0" t="s">
        <v>228</v>
      </c>
      <c r="Q581" s="0" t="s">
        <v>228</v>
      </c>
      <c r="R581" s="0" t="s">
        <v>4484</v>
      </c>
      <c r="S581" s="0" t="s">
        <v>228</v>
      </c>
      <c r="T581" s="0" t="s">
        <v>228</v>
      </c>
      <c r="U581" s="0" t="s">
        <v>101</v>
      </c>
      <c r="V581" s="0" t="s">
        <v>228</v>
      </c>
      <c r="W581" s="0" t="s">
        <v>228</v>
      </c>
      <c r="X581" s="0" t="s">
        <v>3557</v>
      </c>
      <c r="Y581" s="0" t="s">
        <v>228</v>
      </c>
      <c r="Z581" s="0" t="s">
        <v>160</v>
      </c>
      <c r="AA581" s="0" t="s">
        <v>151</v>
      </c>
      <c r="AB581" s="0" t="s">
        <v>151</v>
      </c>
      <c r="AC581" s="0" t="s">
        <v>2317</v>
      </c>
      <c r="AD581" s="0" t="s">
        <v>2317</v>
      </c>
      <c r="AE581" s="0" t="s">
        <v>2318</v>
      </c>
      <c r="AF581" s="0" t="s">
        <v>3907</v>
      </c>
      <c r="AG581" s="0" t="s">
        <v>3908</v>
      </c>
      <c r="AH581" s="0" t="s">
        <v>3965</v>
      </c>
      <c r="AI581" s="0" t="s">
        <v>4485</v>
      </c>
      <c r="AJ581" s="0" t="s">
        <v>3652</v>
      </c>
      <c r="AK581" s="0" t="s">
        <v>3853</v>
      </c>
      <c r="AL581" s="0" t="s">
        <v>3581</v>
      </c>
      <c r="AM581" s="0" t="s">
        <v>3565</v>
      </c>
      <c r="AN581" s="0" t="s">
        <v>3620</v>
      </c>
      <c r="AO581" s="0" t="s">
        <v>3583</v>
      </c>
      <c r="AP581" s="0" t="s">
        <v>228</v>
      </c>
      <c r="AQ581" s="0" t="s">
        <v>228</v>
      </c>
      <c r="AR581" s="0" t="s">
        <v>228</v>
      </c>
      <c r="AS581" s="0" t="s">
        <v>228</v>
      </c>
      <c r="AT581" s="0" t="s">
        <v>228</v>
      </c>
      <c r="AU581" s="0" t="s">
        <v>228</v>
      </c>
      <c r="AV581" s="0" t="s">
        <v>228</v>
      </c>
      <c r="AW581" s="0" t="s">
        <v>228</v>
      </c>
      <c r="AX581" s="0" t="s">
        <v>228</v>
      </c>
      <c r="AY581" s="0" t="s">
        <v>228</v>
      </c>
      <c r="AZ581" s="0" t="s">
        <v>228</v>
      </c>
      <c r="BA581" s="0" t="s">
        <v>228</v>
      </c>
      <c r="BB581" s="0" t="s">
        <v>228</v>
      </c>
      <c r="BC581" s="0" t="s">
        <v>228</v>
      </c>
      <c r="BD581" s="0" t="s">
        <v>228</v>
      </c>
      <c r="BE581" s="0" t="s">
        <v>228</v>
      </c>
      <c r="BF581" s="0" t="s">
        <v>228</v>
      </c>
      <c r="BG581" s="0" t="s">
        <v>228</v>
      </c>
      <c r="BH581" s="0" t="s">
        <v>228</v>
      </c>
      <c r="BI581" s="0" t="s">
        <v>228</v>
      </c>
      <c r="BJ581" s="0" t="s">
        <v>228</v>
      </c>
      <c r="BK581" s="0" t="s">
        <v>228</v>
      </c>
      <c r="BL581" s="0" t="s">
        <v>228</v>
      </c>
      <c r="BM581" s="0" t="s">
        <v>228</v>
      </c>
      <c r="BN581" s="0" t="s">
        <v>228</v>
      </c>
      <c r="BO581" s="0" t="s">
        <v>228</v>
      </c>
      <c r="BP581" s="0" t="s">
        <v>228</v>
      </c>
      <c r="BQ581" s="0" t="s">
        <v>228</v>
      </c>
      <c r="BR581" s="0" t="s">
        <v>228</v>
      </c>
      <c r="BS581" s="0" t="s">
        <v>228</v>
      </c>
      <c r="BT581" s="0" t="s">
        <v>228</v>
      </c>
      <c r="BU581" s="0" t="s">
        <v>228</v>
      </c>
      <c r="BV581" s="0" t="s">
        <v>228</v>
      </c>
      <c r="BW581" s="0" t="s">
        <v>228</v>
      </c>
      <c r="BX581" s="0" t="s">
        <v>228</v>
      </c>
      <c r="BY581" s="0" t="s">
        <v>228</v>
      </c>
      <c r="BZ581" s="0" t="s">
        <v>228</v>
      </c>
      <c r="CA581" s="0" t="s">
        <v>228</v>
      </c>
      <c r="CB581" s="0" t="s">
        <v>228</v>
      </c>
      <c r="CC581" s="0" t="s">
        <v>228</v>
      </c>
      <c r="CD581" s="0" t="s">
        <v>228</v>
      </c>
      <c r="CE581" s="0" t="s">
        <v>228</v>
      </c>
      <c r="CF581" s="0" t="s">
        <v>228</v>
      </c>
      <c r="CG581" s="0" t="s">
        <v>228</v>
      </c>
      <c r="CH581" s="0" t="s">
        <v>228</v>
      </c>
      <c r="CI581" s="0" t="s">
        <v>228</v>
      </c>
      <c r="CJ581" s="0" t="s">
        <v>228</v>
      </c>
      <c r="CK581" s="0" t="s">
        <v>228</v>
      </c>
      <c r="CL581" s="0" t="s">
        <v>228</v>
      </c>
      <c r="CM581" s="0" t="s">
        <v>228</v>
      </c>
      <c r="CN581" s="0" t="s">
        <v>228</v>
      </c>
      <c r="CO581" s="0" t="s">
        <v>228</v>
      </c>
      <c r="CP581" s="0" t="s">
        <v>228</v>
      </c>
      <c r="CQ581" s="0" t="s">
        <v>228</v>
      </c>
      <c r="CR581" s="0" t="s">
        <v>228</v>
      </c>
      <c r="CS581" s="0" t="s">
        <v>228</v>
      </c>
      <c r="CT581" s="0" t="s">
        <v>3568</v>
      </c>
      <c r="CU581" s="0" t="s">
        <v>3569</v>
      </c>
      <c r="CV581" s="0" t="s">
        <v>418</v>
      </c>
      <c r="CW581" s="0" t="s">
        <v>3622</v>
      </c>
      <c r="CX581" s="0" t="s">
        <v>419</v>
      </c>
      <c r="CY581" s="0" t="s">
        <v>418</v>
      </c>
      <c r="CZ581" s="0" t="s">
        <v>3623</v>
      </c>
      <c r="DA581" s="0" t="s">
        <v>3624</v>
      </c>
      <c r="DB581" s="0" t="s">
        <v>3622</v>
      </c>
      <c r="DC581" s="0" t="s">
        <v>362</v>
      </c>
      <c r="DD581" s="0" t="s">
        <v>3572</v>
      </c>
      <c r="DE581" s="0" t="s">
        <v>4486</v>
      </c>
    </row>
    <row customHeight="1" ht="11.25">
      <c r="A582" s="1353" t="s">
        <v>228</v>
      </c>
      <c r="B582" s="0" t="s">
        <v>228</v>
      </c>
      <c r="C582" s="0" t="s">
        <v>228</v>
      </c>
      <c r="D582" s="0" t="s">
        <v>228</v>
      </c>
      <c r="E582" s="0" t="s">
        <v>228</v>
      </c>
      <c r="F582" s="0" t="s">
        <v>228</v>
      </c>
      <c r="G582" s="0" t="s">
        <v>228</v>
      </c>
      <c r="H582" s="0" t="s">
        <v>228</v>
      </c>
      <c r="I582" s="0" t="s">
        <v>3555</v>
      </c>
      <c r="J582" s="0" t="s">
        <v>228</v>
      </c>
      <c r="K582" s="0" t="s">
        <v>228</v>
      </c>
      <c r="L582" s="0" t="s">
        <v>228</v>
      </c>
      <c r="M582" s="0" t="s">
        <v>228</v>
      </c>
      <c r="N582" s="0" t="s">
        <v>228</v>
      </c>
      <c r="O582" s="0" t="s">
        <v>228</v>
      </c>
      <c r="P582" s="0" t="s">
        <v>228</v>
      </c>
      <c r="Q582" s="0" t="s">
        <v>228</v>
      </c>
      <c r="R582" s="0" t="s">
        <v>3648</v>
      </c>
      <c r="S582" s="0" t="s">
        <v>228</v>
      </c>
      <c r="T582" s="0" t="s">
        <v>228</v>
      </c>
      <c r="U582" s="0" t="s">
        <v>101</v>
      </c>
      <c r="V582" s="0" t="s">
        <v>228</v>
      </c>
      <c r="W582" s="0" t="s">
        <v>228</v>
      </c>
      <c r="X582" s="0" t="s">
        <v>3557</v>
      </c>
      <c r="Y582" s="0" t="s">
        <v>228</v>
      </c>
      <c r="Z582" s="0" t="s">
        <v>160</v>
      </c>
      <c r="AA582" s="0" t="s">
        <v>151</v>
      </c>
      <c r="AB582" s="0" t="s">
        <v>151</v>
      </c>
      <c r="AC582" s="0" t="s">
        <v>2315</v>
      </c>
      <c r="AD582" s="0" t="s">
        <v>2315</v>
      </c>
      <c r="AE582" s="0" t="s">
        <v>2316</v>
      </c>
      <c r="AF582" s="0" t="s">
        <v>4222</v>
      </c>
      <c r="AG582" s="0" t="s">
        <v>4223</v>
      </c>
      <c r="AH582" s="0" t="s">
        <v>4224</v>
      </c>
      <c r="AI582" s="0" t="s">
        <v>485</v>
      </c>
      <c r="AJ582" s="0" t="s">
        <v>3652</v>
      </c>
      <c r="AK582" s="0" t="s">
        <v>4218</v>
      </c>
      <c r="AL582" s="0" t="s">
        <v>3581</v>
      </c>
      <c r="AM582" s="0" t="s">
        <v>3565</v>
      </c>
      <c r="AN582" s="0" t="s">
        <v>3654</v>
      </c>
      <c r="AO582" s="0" t="s">
        <v>3934</v>
      </c>
      <c r="AP582" s="0" t="s">
        <v>228</v>
      </c>
      <c r="AQ582" s="0" t="s">
        <v>228</v>
      </c>
      <c r="AR582" s="0" t="s">
        <v>228</v>
      </c>
      <c r="AS582" s="0" t="s">
        <v>228</v>
      </c>
      <c r="AT582" s="0" t="s">
        <v>228</v>
      </c>
      <c r="AU582" s="0" t="s">
        <v>228</v>
      </c>
      <c r="AV582" s="0" t="s">
        <v>228</v>
      </c>
      <c r="AW582" s="0" t="s">
        <v>228</v>
      </c>
      <c r="AX582" s="0" t="s">
        <v>228</v>
      </c>
      <c r="AY582" s="0" t="s">
        <v>228</v>
      </c>
      <c r="AZ582" s="0" t="s">
        <v>228</v>
      </c>
      <c r="BA582" s="0" t="s">
        <v>228</v>
      </c>
      <c r="BB582" s="0" t="s">
        <v>228</v>
      </c>
      <c r="BC582" s="0" t="s">
        <v>228</v>
      </c>
      <c r="BD582" s="0" t="s">
        <v>228</v>
      </c>
      <c r="BE582" s="0" t="s">
        <v>228</v>
      </c>
      <c r="BF582" s="0" t="s">
        <v>228</v>
      </c>
      <c r="BG582" s="0" t="s">
        <v>228</v>
      </c>
      <c r="BH582" s="0" t="s">
        <v>228</v>
      </c>
      <c r="BI582" s="0" t="s">
        <v>228</v>
      </c>
      <c r="BJ582" s="0" t="s">
        <v>228</v>
      </c>
      <c r="BK582" s="0" t="s">
        <v>228</v>
      </c>
      <c r="BL582" s="0" t="s">
        <v>228</v>
      </c>
      <c r="BM582" s="0" t="s">
        <v>228</v>
      </c>
      <c r="BN582" s="0" t="s">
        <v>228</v>
      </c>
      <c r="BO582" s="0" t="s">
        <v>228</v>
      </c>
      <c r="BP582" s="0" t="s">
        <v>228</v>
      </c>
      <c r="BQ582" s="0" t="s">
        <v>228</v>
      </c>
      <c r="BR582" s="0" t="s">
        <v>228</v>
      </c>
      <c r="BS582" s="0" t="s">
        <v>228</v>
      </c>
      <c r="BT582" s="0" t="s">
        <v>228</v>
      </c>
      <c r="BU582" s="0" t="s">
        <v>228</v>
      </c>
      <c r="BV582" s="0" t="s">
        <v>228</v>
      </c>
      <c r="BW582" s="0" t="s">
        <v>228</v>
      </c>
      <c r="BX582" s="0" t="s">
        <v>228</v>
      </c>
      <c r="BY582" s="0" t="s">
        <v>228</v>
      </c>
      <c r="BZ582" s="0" t="s">
        <v>228</v>
      </c>
      <c r="CA582" s="0" t="s">
        <v>228</v>
      </c>
      <c r="CB582" s="0" t="s">
        <v>228</v>
      </c>
      <c r="CC582" s="0" t="s">
        <v>228</v>
      </c>
      <c r="CD582" s="0" t="s">
        <v>228</v>
      </c>
      <c r="CE582" s="0" t="s">
        <v>228</v>
      </c>
      <c r="CF582" s="0" t="s">
        <v>228</v>
      </c>
      <c r="CG582" s="0" t="s">
        <v>228</v>
      </c>
      <c r="CH582" s="0" t="s">
        <v>228</v>
      </c>
      <c r="CI582" s="0" t="s">
        <v>228</v>
      </c>
      <c r="CJ582" s="0" t="s">
        <v>228</v>
      </c>
      <c r="CK582" s="0" t="s">
        <v>228</v>
      </c>
      <c r="CL582" s="0" t="s">
        <v>228</v>
      </c>
      <c r="CM582" s="0" t="s">
        <v>228</v>
      </c>
      <c r="CN582" s="0" t="s">
        <v>228</v>
      </c>
      <c r="CO582" s="0" t="s">
        <v>228</v>
      </c>
      <c r="CP582" s="0" t="s">
        <v>228</v>
      </c>
      <c r="CQ582" s="0" t="s">
        <v>228</v>
      </c>
      <c r="CR582" s="0" t="s">
        <v>228</v>
      </c>
      <c r="CS582" s="0" t="s">
        <v>228</v>
      </c>
      <c r="CT582" s="0" t="s">
        <v>3568</v>
      </c>
      <c r="CU582" s="0" t="s">
        <v>3569</v>
      </c>
      <c r="CV582" s="0" t="s">
        <v>418</v>
      </c>
      <c r="CW582" s="0" t="s">
        <v>3656</v>
      </c>
      <c r="CX582" s="0" t="s">
        <v>419</v>
      </c>
      <c r="CY582" s="0" t="s">
        <v>418</v>
      </c>
      <c r="CZ582" s="0" t="s">
        <v>3657</v>
      </c>
      <c r="DA582" s="0" t="s">
        <v>3658</v>
      </c>
      <c r="DB582" s="0" t="s">
        <v>3656</v>
      </c>
      <c r="DC582" s="0" t="s">
        <v>362</v>
      </c>
      <c r="DD582" s="0" t="s">
        <v>3572</v>
      </c>
      <c r="DE582" s="0" t="s">
        <v>4225</v>
      </c>
    </row>
    <row customHeight="1" ht="11.25">
      <c r="A583" s="1353" t="s">
        <v>228</v>
      </c>
      <c r="B583" s="0" t="s">
        <v>228</v>
      </c>
      <c r="C583" s="0" t="s">
        <v>228</v>
      </c>
      <c r="D583" s="0" t="s">
        <v>228</v>
      </c>
      <c r="E583" s="0" t="s">
        <v>228</v>
      </c>
      <c r="F583" s="0" t="s">
        <v>228</v>
      </c>
      <c r="G583" s="0" t="s">
        <v>228</v>
      </c>
      <c r="H583" s="0" t="s">
        <v>228</v>
      </c>
      <c r="I583" s="0" t="s">
        <v>3555</v>
      </c>
      <c r="J583" s="0" t="s">
        <v>228</v>
      </c>
      <c r="K583" s="0" t="s">
        <v>228</v>
      </c>
      <c r="L583" s="0" t="s">
        <v>228</v>
      </c>
      <c r="M583" s="0" t="s">
        <v>228</v>
      </c>
      <c r="N583" s="0" t="s">
        <v>228</v>
      </c>
      <c r="O583" s="0" t="s">
        <v>228</v>
      </c>
      <c r="P583" s="0" t="s">
        <v>228</v>
      </c>
      <c r="Q583" s="0" t="s">
        <v>228</v>
      </c>
      <c r="R583" s="0" t="s">
        <v>3648</v>
      </c>
      <c r="S583" s="0" t="s">
        <v>228</v>
      </c>
      <c r="T583" s="0" t="s">
        <v>228</v>
      </c>
      <c r="U583" s="0" t="s">
        <v>101</v>
      </c>
      <c r="V583" s="0" t="s">
        <v>228</v>
      </c>
      <c r="W583" s="0" t="s">
        <v>228</v>
      </c>
      <c r="X583" s="0" t="s">
        <v>3557</v>
      </c>
      <c r="Y583" s="0" t="s">
        <v>228</v>
      </c>
      <c r="Z583" s="0" t="s">
        <v>160</v>
      </c>
      <c r="AA583" s="0" t="s">
        <v>151</v>
      </c>
      <c r="AB583" s="0" t="s">
        <v>151</v>
      </c>
      <c r="AC583" s="0" t="s">
        <v>2315</v>
      </c>
      <c r="AD583" s="0" t="s">
        <v>2315</v>
      </c>
      <c r="AE583" s="0" t="s">
        <v>2316</v>
      </c>
      <c r="AF583" s="0" t="s">
        <v>4222</v>
      </c>
      <c r="AG583" s="0" t="s">
        <v>4223</v>
      </c>
      <c r="AH583" s="0" t="s">
        <v>4491</v>
      </c>
      <c r="AI583" s="0" t="s">
        <v>504</v>
      </c>
      <c r="AJ583" s="0" t="s">
        <v>3652</v>
      </c>
      <c r="AK583" s="0" t="s">
        <v>3891</v>
      </c>
      <c r="AL583" s="0" t="s">
        <v>3581</v>
      </c>
      <c r="AM583" s="0" t="s">
        <v>3565</v>
      </c>
      <c r="AN583" s="0" t="s">
        <v>3654</v>
      </c>
      <c r="AO583" s="0" t="s">
        <v>3934</v>
      </c>
      <c r="AP583" s="0" t="s">
        <v>228</v>
      </c>
      <c r="AQ583" s="0" t="s">
        <v>228</v>
      </c>
      <c r="AR583" s="0" t="s">
        <v>228</v>
      </c>
      <c r="AS583" s="0" t="s">
        <v>228</v>
      </c>
      <c r="AT583" s="0" t="s">
        <v>228</v>
      </c>
      <c r="AU583" s="0" t="s">
        <v>228</v>
      </c>
      <c r="AV583" s="0" t="s">
        <v>228</v>
      </c>
      <c r="AW583" s="0" t="s">
        <v>228</v>
      </c>
      <c r="AX583" s="0" t="s">
        <v>228</v>
      </c>
      <c r="AY583" s="0" t="s">
        <v>228</v>
      </c>
      <c r="AZ583" s="0" t="s">
        <v>228</v>
      </c>
      <c r="BA583" s="0" t="s">
        <v>228</v>
      </c>
      <c r="BB583" s="0" t="s">
        <v>228</v>
      </c>
      <c r="BC583" s="0" t="s">
        <v>228</v>
      </c>
      <c r="BD583" s="0" t="s">
        <v>228</v>
      </c>
      <c r="BE583" s="0" t="s">
        <v>228</v>
      </c>
      <c r="BF583" s="0" t="s">
        <v>228</v>
      </c>
      <c r="BG583" s="0" t="s">
        <v>228</v>
      </c>
      <c r="BH583" s="0" t="s">
        <v>228</v>
      </c>
      <c r="BI583" s="0" t="s">
        <v>228</v>
      </c>
      <c r="BJ583" s="0" t="s">
        <v>228</v>
      </c>
      <c r="BK583" s="0" t="s">
        <v>228</v>
      </c>
      <c r="BL583" s="0" t="s">
        <v>228</v>
      </c>
      <c r="BM583" s="0" t="s">
        <v>228</v>
      </c>
      <c r="BN583" s="0" t="s">
        <v>228</v>
      </c>
      <c r="BO583" s="0" t="s">
        <v>228</v>
      </c>
      <c r="BP583" s="0" t="s">
        <v>228</v>
      </c>
      <c r="BQ583" s="0" t="s">
        <v>228</v>
      </c>
      <c r="BR583" s="0" t="s">
        <v>228</v>
      </c>
      <c r="BS583" s="0" t="s">
        <v>228</v>
      </c>
      <c r="BT583" s="0" t="s">
        <v>228</v>
      </c>
      <c r="BU583" s="0" t="s">
        <v>228</v>
      </c>
      <c r="BV583" s="0" t="s">
        <v>228</v>
      </c>
      <c r="BW583" s="0" t="s">
        <v>228</v>
      </c>
      <c r="BX583" s="0" t="s">
        <v>228</v>
      </c>
      <c r="BY583" s="0" t="s">
        <v>228</v>
      </c>
      <c r="BZ583" s="0" t="s">
        <v>228</v>
      </c>
      <c r="CA583" s="0" t="s">
        <v>228</v>
      </c>
      <c r="CB583" s="0" t="s">
        <v>228</v>
      </c>
      <c r="CC583" s="0" t="s">
        <v>228</v>
      </c>
      <c r="CD583" s="0" t="s">
        <v>228</v>
      </c>
      <c r="CE583" s="0" t="s">
        <v>228</v>
      </c>
      <c r="CF583" s="0" t="s">
        <v>228</v>
      </c>
      <c r="CG583" s="0" t="s">
        <v>228</v>
      </c>
      <c r="CH583" s="0" t="s">
        <v>228</v>
      </c>
      <c r="CI583" s="0" t="s">
        <v>228</v>
      </c>
      <c r="CJ583" s="0" t="s">
        <v>228</v>
      </c>
      <c r="CK583" s="0" t="s">
        <v>228</v>
      </c>
      <c r="CL583" s="0" t="s">
        <v>228</v>
      </c>
      <c r="CM583" s="0" t="s">
        <v>228</v>
      </c>
      <c r="CN583" s="0" t="s">
        <v>228</v>
      </c>
      <c r="CO583" s="0" t="s">
        <v>228</v>
      </c>
      <c r="CP583" s="0" t="s">
        <v>228</v>
      </c>
      <c r="CQ583" s="0" t="s">
        <v>228</v>
      </c>
      <c r="CR583" s="0" t="s">
        <v>228</v>
      </c>
      <c r="CS583" s="0" t="s">
        <v>228</v>
      </c>
      <c r="CT583" s="0" t="s">
        <v>3568</v>
      </c>
      <c r="CU583" s="0" t="s">
        <v>3569</v>
      </c>
      <c r="CV583" s="0" t="s">
        <v>418</v>
      </c>
      <c r="CW583" s="0" t="s">
        <v>3656</v>
      </c>
      <c r="CX583" s="0" t="s">
        <v>419</v>
      </c>
      <c r="CY583" s="0" t="s">
        <v>418</v>
      </c>
      <c r="CZ583" s="0" t="s">
        <v>3657</v>
      </c>
      <c r="DA583" s="0" t="s">
        <v>3658</v>
      </c>
      <c r="DB583" s="0" t="s">
        <v>3656</v>
      </c>
      <c r="DC583" s="0" t="s">
        <v>362</v>
      </c>
      <c r="DD583" s="0" t="s">
        <v>3572</v>
      </c>
      <c r="DE583" s="0" t="s">
        <v>4492</v>
      </c>
    </row>
    <row customHeight="1" ht="11.25">
      <c r="A584" s="1353" t="s">
        <v>228</v>
      </c>
      <c r="B584" s="0" t="s">
        <v>228</v>
      </c>
      <c r="C584" s="0" t="s">
        <v>228</v>
      </c>
      <c r="D584" s="0" t="s">
        <v>228</v>
      </c>
      <c r="E584" s="0" t="s">
        <v>228</v>
      </c>
      <c r="F584" s="0" t="s">
        <v>228</v>
      </c>
      <c r="G584" s="0" t="s">
        <v>228</v>
      </c>
      <c r="H584" s="0" t="s">
        <v>228</v>
      </c>
      <c r="I584" s="0" t="s">
        <v>3555</v>
      </c>
      <c r="J584" s="0" t="s">
        <v>228</v>
      </c>
      <c r="K584" s="0" t="s">
        <v>228</v>
      </c>
      <c r="L584" s="0" t="s">
        <v>228</v>
      </c>
      <c r="M584" s="0" t="s">
        <v>228</v>
      </c>
      <c r="N584" s="0" t="s">
        <v>228</v>
      </c>
      <c r="O584" s="0" t="s">
        <v>228</v>
      </c>
      <c r="P584" s="0" t="s">
        <v>228</v>
      </c>
      <c r="Q584" s="0" t="s">
        <v>228</v>
      </c>
      <c r="R584" s="0" t="s">
        <v>4145</v>
      </c>
      <c r="S584" s="0" t="s">
        <v>228</v>
      </c>
      <c r="T584" s="0" t="s">
        <v>228</v>
      </c>
      <c r="U584" s="0" t="s">
        <v>101</v>
      </c>
      <c r="V584" s="0" t="s">
        <v>228</v>
      </c>
      <c r="W584" s="0" t="s">
        <v>228</v>
      </c>
      <c r="X584" s="0" t="s">
        <v>3661</v>
      </c>
      <c r="Y584" s="0" t="s">
        <v>228</v>
      </c>
      <c r="Z584" s="0" t="s">
        <v>151</v>
      </c>
      <c r="AA584" s="0" t="s">
        <v>151</v>
      </c>
      <c r="AB584" s="0" t="s">
        <v>160</v>
      </c>
      <c r="AC584" s="0" t="s">
        <v>2721</v>
      </c>
      <c r="AD584" s="0" t="s">
        <v>2721</v>
      </c>
      <c r="AE584" s="0" t="s">
        <v>2722</v>
      </c>
      <c r="AF584" s="0" t="s">
        <v>4024</v>
      </c>
      <c r="AG584" s="0" t="s">
        <v>4025</v>
      </c>
      <c r="AH584" s="0" t="s">
        <v>4146</v>
      </c>
      <c r="AI584" s="0" t="s">
        <v>151</v>
      </c>
      <c r="AJ584" s="0" t="s">
        <v>228</v>
      </c>
      <c r="AK584" s="0" t="s">
        <v>228</v>
      </c>
      <c r="AL584" s="0" t="s">
        <v>228</v>
      </c>
      <c r="AM584" s="0" t="s">
        <v>228</v>
      </c>
      <c r="AN584" s="0" t="s">
        <v>228</v>
      </c>
      <c r="AO584" s="0" t="s">
        <v>228</v>
      </c>
      <c r="AP584" s="0" t="s">
        <v>228</v>
      </c>
      <c r="AQ584" s="0" t="s">
        <v>228</v>
      </c>
      <c r="AR584" s="0" t="s">
        <v>228</v>
      </c>
      <c r="AS584" s="0" t="s">
        <v>228</v>
      </c>
      <c r="AT584" s="0" t="s">
        <v>228</v>
      </c>
      <c r="AU584" s="0" t="s">
        <v>228</v>
      </c>
      <c r="AV584" s="0" t="s">
        <v>228</v>
      </c>
      <c r="AW584" s="0" t="s">
        <v>228</v>
      </c>
      <c r="AX584" s="0" t="s">
        <v>228</v>
      </c>
      <c r="AY584" s="0" t="s">
        <v>228</v>
      </c>
      <c r="AZ584" s="0" t="s">
        <v>228</v>
      </c>
      <c r="BA584" s="0" t="s">
        <v>228</v>
      </c>
      <c r="BB584" s="0" t="s">
        <v>228</v>
      </c>
      <c r="BC584" s="0" t="s">
        <v>228</v>
      </c>
      <c r="BD584" s="0" t="s">
        <v>228</v>
      </c>
      <c r="BE584" s="0" t="s">
        <v>4027</v>
      </c>
      <c r="BF584" s="0" t="s">
        <v>4147</v>
      </c>
      <c r="BG584" s="0" t="s">
        <v>111</v>
      </c>
      <c r="BH584" s="0" t="s">
        <v>3665</v>
      </c>
      <c r="BI584" s="0" t="s">
        <v>122</v>
      </c>
      <c r="BJ584" s="0" t="s">
        <v>228</v>
      </c>
      <c r="BK584" s="0" t="s">
        <v>4148</v>
      </c>
      <c r="BL584" s="0" t="s">
        <v>2721</v>
      </c>
      <c r="BM584" s="0" t="s">
        <v>2721</v>
      </c>
      <c r="BN584" s="0" t="s">
        <v>4149</v>
      </c>
      <c r="BO584" s="0" t="s">
        <v>4024</v>
      </c>
      <c r="BP584" s="0" t="s">
        <v>4150</v>
      </c>
      <c r="BQ584" s="0" t="s">
        <v>4151</v>
      </c>
      <c r="BR584" s="0" t="s">
        <v>151</v>
      </c>
      <c r="BS584" s="0" t="s">
        <v>228</v>
      </c>
      <c r="BT584" s="0" t="s">
        <v>3670</v>
      </c>
      <c r="BU584" s="0" t="s">
        <v>4152</v>
      </c>
      <c r="BV584" s="0" t="s">
        <v>4153</v>
      </c>
      <c r="BW584" s="0" t="s">
        <v>4154</v>
      </c>
      <c r="BX584" s="0" t="s">
        <v>3674</v>
      </c>
      <c r="BY584" s="0" t="s">
        <v>3674</v>
      </c>
      <c r="BZ584" s="0" t="s">
        <v>3674</v>
      </c>
      <c r="CA584" s="0" t="s">
        <v>3674</v>
      </c>
      <c r="CB584" s="0" t="s">
        <v>3674</v>
      </c>
      <c r="CC584" s="0" t="s">
        <v>3674</v>
      </c>
      <c r="CD584" s="0" t="s">
        <v>3674</v>
      </c>
      <c r="CE584" s="0" t="s">
        <v>3674</v>
      </c>
      <c r="CF584" s="0" t="s">
        <v>3674</v>
      </c>
      <c r="CG584" s="0" t="s">
        <v>3674</v>
      </c>
      <c r="CH584" s="0" t="s">
        <v>3674</v>
      </c>
      <c r="CI584" s="0" t="s">
        <v>3674</v>
      </c>
      <c r="CJ584" s="0" t="s">
        <v>3674</v>
      </c>
      <c r="CK584" s="0" t="s">
        <v>3674</v>
      </c>
      <c r="CL584" s="0" t="s">
        <v>3674</v>
      </c>
      <c r="CM584" s="0" t="s">
        <v>4152</v>
      </c>
      <c r="CN584" s="0" t="s">
        <v>4153</v>
      </c>
      <c r="CO584" s="0" t="s">
        <v>4154</v>
      </c>
      <c r="CP584" s="0" t="s">
        <v>3674</v>
      </c>
      <c r="CQ584" s="0" t="s">
        <v>3674</v>
      </c>
      <c r="CR584" s="0" t="s">
        <v>3674</v>
      </c>
      <c r="CS584" s="0" t="s">
        <v>4155</v>
      </c>
      <c r="CT584" s="0" t="s">
        <v>3568</v>
      </c>
      <c r="CU584" s="0" t="s">
        <v>3569</v>
      </c>
      <c r="CV584" s="0" t="s">
        <v>4030</v>
      </c>
      <c r="CW584" s="0" t="s">
        <v>4031</v>
      </c>
      <c r="CX584" s="0" t="s">
        <v>3603</v>
      </c>
      <c r="CY584" s="0" t="s">
        <v>4030</v>
      </c>
      <c r="CZ584" s="0" t="s">
        <v>3608</v>
      </c>
      <c r="DA584" s="0" t="s">
        <v>4032</v>
      </c>
      <c r="DB584" s="0" t="s">
        <v>3676</v>
      </c>
      <c r="DC584" s="0" t="s">
        <v>362</v>
      </c>
      <c r="DD584" s="0" t="s">
        <v>3572</v>
      </c>
      <c r="DE584" s="0" t="s">
        <v>4156</v>
      </c>
    </row>
    <row customHeight="1" ht="11.25">
      <c r="A585" s="1353" t="s">
        <v>228</v>
      </c>
      <c r="B585" s="0" t="s">
        <v>228</v>
      </c>
      <c r="C585" s="0" t="s">
        <v>228</v>
      </c>
      <c r="D585" s="0" t="s">
        <v>228</v>
      </c>
      <c r="E585" s="0" t="s">
        <v>228</v>
      </c>
      <c r="F585" s="0" t="s">
        <v>228</v>
      </c>
      <c r="G585" s="0" t="s">
        <v>228</v>
      </c>
      <c r="H585" s="0" t="s">
        <v>228</v>
      </c>
      <c r="I585" s="0" t="s">
        <v>3555</v>
      </c>
      <c r="J585" s="0" t="s">
        <v>228</v>
      </c>
      <c r="K585" s="0" t="s">
        <v>228</v>
      </c>
      <c r="L585" s="0" t="s">
        <v>228</v>
      </c>
      <c r="M585" s="0" t="s">
        <v>228</v>
      </c>
      <c r="N585" s="0" t="s">
        <v>228</v>
      </c>
      <c r="O585" s="0" t="s">
        <v>228</v>
      </c>
      <c r="P585" s="0" t="s">
        <v>228</v>
      </c>
      <c r="Q585" s="0" t="s">
        <v>228</v>
      </c>
      <c r="R585" s="0" t="s">
        <v>5112</v>
      </c>
      <c r="S585" s="0" t="s">
        <v>228</v>
      </c>
      <c r="T585" s="0" t="s">
        <v>228</v>
      </c>
      <c r="U585" s="0" t="s">
        <v>101</v>
      </c>
      <c r="V585" s="0" t="s">
        <v>228</v>
      </c>
      <c r="W585" s="0" t="s">
        <v>228</v>
      </c>
      <c r="X585" s="0" t="s">
        <v>3557</v>
      </c>
      <c r="Y585" s="0" t="s">
        <v>228</v>
      </c>
      <c r="Z585" s="0" t="s">
        <v>160</v>
      </c>
      <c r="AA585" s="0" t="s">
        <v>151</v>
      </c>
      <c r="AB585" s="0" t="s">
        <v>151</v>
      </c>
      <c r="AC585" s="0" t="s">
        <v>2715</v>
      </c>
      <c r="AD585" s="0" t="s">
        <v>2715</v>
      </c>
      <c r="AE585" s="0" t="s">
        <v>2716</v>
      </c>
      <c r="AF585" s="0" t="s">
        <v>3594</v>
      </c>
      <c r="AG585" s="0" t="s">
        <v>3595</v>
      </c>
      <c r="AH585" s="0" t="s">
        <v>4080</v>
      </c>
      <c r="AI585" s="0" t="s">
        <v>3608</v>
      </c>
      <c r="AJ585" s="0" t="s">
        <v>3579</v>
      </c>
      <c r="AK585" s="0" t="s">
        <v>5113</v>
      </c>
      <c r="AL585" s="0" t="s">
        <v>3646</v>
      </c>
      <c r="AM585" s="0" t="s">
        <v>3565</v>
      </c>
      <c r="AN585" s="0" t="s">
        <v>3674</v>
      </c>
      <c r="AO585" s="0" t="s">
        <v>5114</v>
      </c>
      <c r="AP585" s="0" t="s">
        <v>228</v>
      </c>
      <c r="AQ585" s="0" t="s">
        <v>228</v>
      </c>
      <c r="AR585" s="0" t="s">
        <v>228</v>
      </c>
      <c r="AS585" s="0" t="s">
        <v>228</v>
      </c>
      <c r="AT585" s="0" t="s">
        <v>228</v>
      </c>
      <c r="AU585" s="0" t="s">
        <v>228</v>
      </c>
      <c r="AV585" s="0" t="s">
        <v>228</v>
      </c>
      <c r="AW585" s="0" t="s">
        <v>228</v>
      </c>
      <c r="AX585" s="0" t="s">
        <v>228</v>
      </c>
      <c r="AY585" s="0" t="s">
        <v>228</v>
      </c>
      <c r="AZ585" s="0" t="s">
        <v>228</v>
      </c>
      <c r="BA585" s="0" t="s">
        <v>228</v>
      </c>
      <c r="BB585" s="0" t="s">
        <v>228</v>
      </c>
      <c r="BC585" s="0" t="s">
        <v>228</v>
      </c>
      <c r="BD585" s="0" t="s">
        <v>228</v>
      </c>
      <c r="BE585" s="0" t="s">
        <v>228</v>
      </c>
      <c r="BF585" s="0" t="s">
        <v>228</v>
      </c>
      <c r="BG585" s="0" t="s">
        <v>228</v>
      </c>
      <c r="BH585" s="0" t="s">
        <v>228</v>
      </c>
      <c r="BI585" s="0" t="s">
        <v>228</v>
      </c>
      <c r="BJ585" s="0" t="s">
        <v>228</v>
      </c>
      <c r="BK585" s="0" t="s">
        <v>228</v>
      </c>
      <c r="BL585" s="0" t="s">
        <v>228</v>
      </c>
      <c r="BM585" s="0" t="s">
        <v>228</v>
      </c>
      <c r="BN585" s="0" t="s">
        <v>228</v>
      </c>
      <c r="BO585" s="0" t="s">
        <v>228</v>
      </c>
      <c r="BP585" s="0" t="s">
        <v>228</v>
      </c>
      <c r="BQ585" s="0" t="s">
        <v>228</v>
      </c>
      <c r="BR585" s="0" t="s">
        <v>228</v>
      </c>
      <c r="BS585" s="0" t="s">
        <v>228</v>
      </c>
      <c r="BT585" s="0" t="s">
        <v>228</v>
      </c>
      <c r="BU585" s="0" t="s">
        <v>228</v>
      </c>
      <c r="BV585" s="0" t="s">
        <v>228</v>
      </c>
      <c r="BW585" s="0" t="s">
        <v>228</v>
      </c>
      <c r="BX585" s="0" t="s">
        <v>228</v>
      </c>
      <c r="BY585" s="0" t="s">
        <v>228</v>
      </c>
      <c r="BZ585" s="0" t="s">
        <v>228</v>
      </c>
      <c r="CA585" s="0" t="s">
        <v>228</v>
      </c>
      <c r="CB585" s="0" t="s">
        <v>228</v>
      </c>
      <c r="CC585" s="0" t="s">
        <v>228</v>
      </c>
      <c r="CD585" s="0" t="s">
        <v>228</v>
      </c>
      <c r="CE585" s="0" t="s">
        <v>228</v>
      </c>
      <c r="CF585" s="0" t="s">
        <v>228</v>
      </c>
      <c r="CG585" s="0" t="s">
        <v>228</v>
      </c>
      <c r="CH585" s="0" t="s">
        <v>228</v>
      </c>
      <c r="CI585" s="0" t="s">
        <v>228</v>
      </c>
      <c r="CJ585" s="0" t="s">
        <v>228</v>
      </c>
      <c r="CK585" s="0" t="s">
        <v>228</v>
      </c>
      <c r="CL585" s="0" t="s">
        <v>228</v>
      </c>
      <c r="CM585" s="0" t="s">
        <v>228</v>
      </c>
      <c r="CN585" s="0" t="s">
        <v>228</v>
      </c>
      <c r="CO585" s="0" t="s">
        <v>228</v>
      </c>
      <c r="CP585" s="0" t="s">
        <v>228</v>
      </c>
      <c r="CQ585" s="0" t="s">
        <v>228</v>
      </c>
      <c r="CR585" s="0" t="s">
        <v>228</v>
      </c>
      <c r="CS585" s="0" t="s">
        <v>228</v>
      </c>
      <c r="CT585" s="0" t="s">
        <v>3568</v>
      </c>
      <c r="CU585" s="0" t="s">
        <v>3569</v>
      </c>
      <c r="CV585" s="0" t="s">
        <v>418</v>
      </c>
      <c r="CW585" s="0" t="s">
        <v>3602</v>
      </c>
      <c r="CX585" s="0" t="s">
        <v>3603</v>
      </c>
      <c r="CY585" s="0" t="s">
        <v>418</v>
      </c>
      <c r="CZ585" s="0" t="s">
        <v>504</v>
      </c>
      <c r="DA585" s="0" t="s">
        <v>3604</v>
      </c>
      <c r="DB585" s="0" t="s">
        <v>3602</v>
      </c>
      <c r="DC585" s="0" t="s">
        <v>362</v>
      </c>
      <c r="DD585" s="0" t="s">
        <v>3572</v>
      </c>
      <c r="DE585" s="0" t="s">
        <v>4083</v>
      </c>
    </row>
    <row customHeight="1" ht="11.25">
      <c r="A586" s="1353" t="s">
        <v>228</v>
      </c>
      <c r="B586" s="0" t="s">
        <v>228</v>
      </c>
      <c r="C586" s="0" t="s">
        <v>228</v>
      </c>
      <c r="D586" s="0" t="s">
        <v>228</v>
      </c>
      <c r="E586" s="0" t="s">
        <v>228</v>
      </c>
      <c r="F586" s="0" t="s">
        <v>228</v>
      </c>
      <c r="G586" s="0" t="s">
        <v>228</v>
      </c>
      <c r="H586" s="0" t="s">
        <v>228</v>
      </c>
      <c r="I586" s="0" t="s">
        <v>3555</v>
      </c>
      <c r="J586" s="0" t="s">
        <v>228</v>
      </c>
      <c r="K586" s="0" t="s">
        <v>228</v>
      </c>
      <c r="L586" s="0" t="s">
        <v>228</v>
      </c>
      <c r="M586" s="0" t="s">
        <v>228</v>
      </c>
      <c r="N586" s="0" t="s">
        <v>228</v>
      </c>
      <c r="O586" s="0" t="s">
        <v>228</v>
      </c>
      <c r="P586" s="0" t="s">
        <v>228</v>
      </c>
      <c r="Q586" s="0" t="s">
        <v>228</v>
      </c>
      <c r="R586" s="0" t="s">
        <v>4336</v>
      </c>
      <c r="S586" s="0" t="s">
        <v>228</v>
      </c>
      <c r="T586" s="0" t="s">
        <v>228</v>
      </c>
      <c r="U586" s="0" t="s">
        <v>101</v>
      </c>
      <c r="V586" s="0" t="s">
        <v>228</v>
      </c>
      <c r="W586" s="0" t="s">
        <v>228</v>
      </c>
      <c r="X586" s="0" t="s">
        <v>3661</v>
      </c>
      <c r="Y586" s="0" t="s">
        <v>228</v>
      </c>
      <c r="Z586" s="0" t="s">
        <v>151</v>
      </c>
      <c r="AA586" s="0" t="s">
        <v>151</v>
      </c>
      <c r="AB586" s="0" t="s">
        <v>160</v>
      </c>
      <c r="AC586" s="0" t="s">
        <v>2721</v>
      </c>
      <c r="AD586" s="0" t="s">
        <v>2721</v>
      </c>
      <c r="AE586" s="0" t="s">
        <v>2722</v>
      </c>
      <c r="AF586" s="0" t="s">
        <v>4024</v>
      </c>
      <c r="AG586" s="0" t="s">
        <v>4025</v>
      </c>
      <c r="AH586" s="0" t="s">
        <v>4146</v>
      </c>
      <c r="AI586" s="0" t="s">
        <v>151</v>
      </c>
      <c r="AJ586" s="0" t="s">
        <v>228</v>
      </c>
      <c r="AK586" s="0" t="s">
        <v>228</v>
      </c>
      <c r="AL586" s="0" t="s">
        <v>228</v>
      </c>
      <c r="AM586" s="0" t="s">
        <v>228</v>
      </c>
      <c r="AN586" s="0" t="s">
        <v>228</v>
      </c>
      <c r="AO586" s="0" t="s">
        <v>228</v>
      </c>
      <c r="AP586" s="0" t="s">
        <v>228</v>
      </c>
      <c r="AQ586" s="0" t="s">
        <v>228</v>
      </c>
      <c r="AR586" s="0" t="s">
        <v>228</v>
      </c>
      <c r="AS586" s="0" t="s">
        <v>228</v>
      </c>
      <c r="AT586" s="0" t="s">
        <v>228</v>
      </c>
      <c r="AU586" s="0" t="s">
        <v>228</v>
      </c>
      <c r="AV586" s="0" t="s">
        <v>228</v>
      </c>
      <c r="AW586" s="0" t="s">
        <v>228</v>
      </c>
      <c r="AX586" s="0" t="s">
        <v>228</v>
      </c>
      <c r="AY586" s="0" t="s">
        <v>228</v>
      </c>
      <c r="AZ586" s="0" t="s">
        <v>228</v>
      </c>
      <c r="BA586" s="0" t="s">
        <v>228</v>
      </c>
      <c r="BB586" s="0" t="s">
        <v>228</v>
      </c>
      <c r="BC586" s="0" t="s">
        <v>228</v>
      </c>
      <c r="BD586" s="0" t="s">
        <v>228</v>
      </c>
      <c r="BE586" s="0" t="s">
        <v>4337</v>
      </c>
      <c r="BF586" s="0" t="s">
        <v>4338</v>
      </c>
      <c r="BG586" s="0" t="s">
        <v>111</v>
      </c>
      <c r="BH586" s="0" t="s">
        <v>3665</v>
      </c>
      <c r="BI586" s="0" t="s">
        <v>122</v>
      </c>
      <c r="BJ586" s="0" t="s">
        <v>228</v>
      </c>
      <c r="BK586" s="0" t="s">
        <v>4339</v>
      </c>
      <c r="BL586" s="0" t="s">
        <v>2721</v>
      </c>
      <c r="BM586" s="0" t="s">
        <v>2721</v>
      </c>
      <c r="BN586" s="0" t="s">
        <v>4149</v>
      </c>
      <c r="BO586" s="0" t="s">
        <v>4024</v>
      </c>
      <c r="BP586" s="0" t="s">
        <v>4150</v>
      </c>
      <c r="BQ586" s="0" t="s">
        <v>4340</v>
      </c>
      <c r="BR586" s="0" t="s">
        <v>151</v>
      </c>
      <c r="BS586" s="0" t="s">
        <v>228</v>
      </c>
      <c r="BT586" s="0" t="s">
        <v>3670</v>
      </c>
      <c r="BU586" s="0" t="s">
        <v>4341</v>
      </c>
      <c r="BV586" s="0" t="s">
        <v>4341</v>
      </c>
      <c r="BW586" s="0" t="s">
        <v>3674</v>
      </c>
      <c r="BX586" s="0" t="s">
        <v>3674</v>
      </c>
      <c r="BY586" s="0" t="s">
        <v>3674</v>
      </c>
      <c r="BZ586" s="0" t="s">
        <v>3674</v>
      </c>
      <c r="CA586" s="0" t="s">
        <v>3674</v>
      </c>
      <c r="CB586" s="0" t="s">
        <v>3674</v>
      </c>
      <c r="CC586" s="0" t="s">
        <v>3674</v>
      </c>
      <c r="CD586" s="0" t="s">
        <v>3674</v>
      </c>
      <c r="CE586" s="0" t="s">
        <v>3674</v>
      </c>
      <c r="CF586" s="0" t="s">
        <v>3674</v>
      </c>
      <c r="CG586" s="0" t="s">
        <v>3674</v>
      </c>
      <c r="CH586" s="0" t="s">
        <v>3674</v>
      </c>
      <c r="CI586" s="0" t="s">
        <v>3674</v>
      </c>
      <c r="CJ586" s="0" t="s">
        <v>3674</v>
      </c>
      <c r="CK586" s="0" t="s">
        <v>3674</v>
      </c>
      <c r="CL586" s="0" t="s">
        <v>3674</v>
      </c>
      <c r="CM586" s="0" t="s">
        <v>4341</v>
      </c>
      <c r="CN586" s="0" t="s">
        <v>4341</v>
      </c>
      <c r="CO586" s="0" t="s">
        <v>3674</v>
      </c>
      <c r="CP586" s="0" t="s">
        <v>3674</v>
      </c>
      <c r="CQ586" s="0" t="s">
        <v>3674</v>
      </c>
      <c r="CR586" s="0" t="s">
        <v>3674</v>
      </c>
      <c r="CS586" s="0" t="s">
        <v>4342</v>
      </c>
      <c r="CT586" s="0" t="s">
        <v>3568</v>
      </c>
      <c r="CU586" s="0" t="s">
        <v>3569</v>
      </c>
      <c r="CV586" s="0" t="s">
        <v>4030</v>
      </c>
      <c r="CW586" s="0" t="s">
        <v>4031</v>
      </c>
      <c r="CX586" s="0" t="s">
        <v>3603</v>
      </c>
      <c r="CY586" s="0" t="s">
        <v>4030</v>
      </c>
      <c r="CZ586" s="0" t="s">
        <v>3608</v>
      </c>
      <c r="DA586" s="0" t="s">
        <v>4032</v>
      </c>
      <c r="DB586" s="0" t="s">
        <v>3676</v>
      </c>
      <c r="DC586" s="0" t="s">
        <v>362</v>
      </c>
      <c r="DD586" s="0" t="s">
        <v>3572</v>
      </c>
      <c r="DE586" s="0" t="s">
        <v>4156</v>
      </c>
    </row>
    <row customHeight="1" ht="11.25">
      <c r="A587" s="1353" t="s">
        <v>228</v>
      </c>
      <c r="B587" s="0" t="s">
        <v>228</v>
      </c>
      <c r="C587" s="0" t="s">
        <v>228</v>
      </c>
      <c r="D587" s="0" t="s">
        <v>228</v>
      </c>
      <c r="E587" s="0" t="s">
        <v>228</v>
      </c>
      <c r="F587" s="0" t="s">
        <v>228</v>
      </c>
      <c r="G587" s="0" t="s">
        <v>228</v>
      </c>
      <c r="H587" s="0" t="s">
        <v>228</v>
      </c>
      <c r="I587" s="0" t="s">
        <v>3555</v>
      </c>
      <c r="J587" s="0" t="s">
        <v>228</v>
      </c>
      <c r="K587" s="0" t="s">
        <v>228</v>
      </c>
      <c r="L587" s="0" t="s">
        <v>228</v>
      </c>
      <c r="M587" s="0" t="s">
        <v>228</v>
      </c>
      <c r="N587" s="0" t="s">
        <v>228</v>
      </c>
      <c r="O587" s="0" t="s">
        <v>228</v>
      </c>
      <c r="P587" s="0" t="s">
        <v>228</v>
      </c>
      <c r="Q587" s="0" t="s">
        <v>228</v>
      </c>
      <c r="R587" s="0" t="s">
        <v>4349</v>
      </c>
      <c r="S587" s="0" t="s">
        <v>228</v>
      </c>
      <c r="T587" s="0" t="s">
        <v>228</v>
      </c>
      <c r="U587" s="0" t="s">
        <v>101</v>
      </c>
      <c r="V587" s="0" t="s">
        <v>228</v>
      </c>
      <c r="W587" s="0" t="s">
        <v>228</v>
      </c>
      <c r="X587" s="0" t="s">
        <v>3988</v>
      </c>
      <c r="Y587" s="0" t="s">
        <v>228</v>
      </c>
      <c r="Z587" s="0" t="s">
        <v>151</v>
      </c>
      <c r="AA587" s="0" t="s">
        <v>160</v>
      </c>
      <c r="AB587" s="0" t="s">
        <v>151</v>
      </c>
      <c r="AC587" s="0" t="s">
        <v>2721</v>
      </c>
      <c r="AD587" s="0" t="s">
        <v>2721</v>
      </c>
      <c r="AE587" s="0" t="s">
        <v>2722</v>
      </c>
      <c r="AF587" s="0" t="s">
        <v>4024</v>
      </c>
      <c r="AG587" s="0" t="s">
        <v>4025</v>
      </c>
      <c r="AH587" s="0" t="s">
        <v>4146</v>
      </c>
      <c r="AI587" s="0" t="s">
        <v>151</v>
      </c>
      <c r="AJ587" s="0" t="s">
        <v>228</v>
      </c>
      <c r="AK587" s="0" t="s">
        <v>228</v>
      </c>
      <c r="AL587" s="0" t="s">
        <v>228</v>
      </c>
      <c r="AM587" s="0" t="s">
        <v>228</v>
      </c>
      <c r="AN587" s="0" t="s">
        <v>228</v>
      </c>
      <c r="AO587" s="0" t="s">
        <v>228</v>
      </c>
      <c r="AP587" s="0" t="s">
        <v>4350</v>
      </c>
      <c r="AQ587" s="0" t="s">
        <v>4351</v>
      </c>
      <c r="AR587" s="0" t="s">
        <v>111</v>
      </c>
      <c r="AS587" s="0" t="s">
        <v>3665</v>
      </c>
      <c r="AT587" s="0" t="s">
        <v>5054</v>
      </c>
      <c r="AU587" s="0" t="s">
        <v>228</v>
      </c>
      <c r="AV587" s="0" t="s">
        <v>4352</v>
      </c>
      <c r="AW587" s="0" t="s">
        <v>2721</v>
      </c>
      <c r="AX587" s="0" t="s">
        <v>2721</v>
      </c>
      <c r="AY587" s="0" t="s">
        <v>4149</v>
      </c>
      <c r="AZ587" s="0" t="s">
        <v>4024</v>
      </c>
      <c r="BA587" s="0" t="s">
        <v>4150</v>
      </c>
      <c r="BB587" s="0" t="s">
        <v>4146</v>
      </c>
      <c r="BC587" s="0" t="s">
        <v>151</v>
      </c>
      <c r="BD587" s="0" t="s">
        <v>4337</v>
      </c>
      <c r="BE587" s="0" t="s">
        <v>228</v>
      </c>
      <c r="BF587" s="0" t="s">
        <v>228</v>
      </c>
      <c r="BG587" s="0" t="s">
        <v>228</v>
      </c>
      <c r="BH587" s="0" t="s">
        <v>228</v>
      </c>
      <c r="BI587" s="0" t="s">
        <v>228</v>
      </c>
      <c r="BJ587" s="0" t="s">
        <v>228</v>
      </c>
      <c r="BK587" s="0" t="s">
        <v>228</v>
      </c>
      <c r="BL587" s="0" t="s">
        <v>228</v>
      </c>
      <c r="BM587" s="0" t="s">
        <v>228</v>
      </c>
      <c r="BN587" s="0" t="s">
        <v>228</v>
      </c>
      <c r="BO587" s="0" t="s">
        <v>228</v>
      </c>
      <c r="BP587" s="0" t="s">
        <v>228</v>
      </c>
      <c r="BQ587" s="0" t="s">
        <v>228</v>
      </c>
      <c r="BR587" s="0" t="s">
        <v>228</v>
      </c>
      <c r="BS587" s="0" t="s">
        <v>228</v>
      </c>
      <c r="BT587" s="0" t="s">
        <v>228</v>
      </c>
      <c r="BU587" s="0" t="s">
        <v>228</v>
      </c>
      <c r="BV587" s="0" t="s">
        <v>228</v>
      </c>
      <c r="BW587" s="0" t="s">
        <v>228</v>
      </c>
      <c r="BX587" s="0" t="s">
        <v>228</v>
      </c>
      <c r="BY587" s="0" t="s">
        <v>228</v>
      </c>
      <c r="BZ587" s="0" t="s">
        <v>228</v>
      </c>
      <c r="CA587" s="0" t="s">
        <v>228</v>
      </c>
      <c r="CB587" s="0" t="s">
        <v>228</v>
      </c>
      <c r="CC587" s="0" t="s">
        <v>228</v>
      </c>
      <c r="CD587" s="0" t="s">
        <v>228</v>
      </c>
      <c r="CE587" s="0" t="s">
        <v>228</v>
      </c>
      <c r="CF587" s="0" t="s">
        <v>228</v>
      </c>
      <c r="CG587" s="0" t="s">
        <v>228</v>
      </c>
      <c r="CH587" s="0" t="s">
        <v>228</v>
      </c>
      <c r="CI587" s="0" t="s">
        <v>228</v>
      </c>
      <c r="CJ587" s="0" t="s">
        <v>228</v>
      </c>
      <c r="CK587" s="0" t="s">
        <v>228</v>
      </c>
      <c r="CL587" s="0" t="s">
        <v>228</v>
      </c>
      <c r="CM587" s="0" t="s">
        <v>228</v>
      </c>
      <c r="CN587" s="0" t="s">
        <v>228</v>
      </c>
      <c r="CO587" s="0" t="s">
        <v>228</v>
      </c>
      <c r="CP587" s="0" t="s">
        <v>228</v>
      </c>
      <c r="CQ587" s="0" t="s">
        <v>228</v>
      </c>
      <c r="CR587" s="0" t="s">
        <v>228</v>
      </c>
      <c r="CS587" s="0" t="s">
        <v>228</v>
      </c>
      <c r="CT587" s="0" t="s">
        <v>3568</v>
      </c>
      <c r="CU587" s="0" t="s">
        <v>3569</v>
      </c>
      <c r="CV587" s="0" t="s">
        <v>4030</v>
      </c>
      <c r="CW587" s="0" t="s">
        <v>4031</v>
      </c>
      <c r="CX587" s="0" t="s">
        <v>3603</v>
      </c>
      <c r="CY587" s="0" t="s">
        <v>4030</v>
      </c>
      <c r="CZ587" s="0" t="s">
        <v>3608</v>
      </c>
      <c r="DA587" s="0" t="s">
        <v>4032</v>
      </c>
      <c r="DB587" s="0" t="s">
        <v>3676</v>
      </c>
      <c r="DC587" s="0" t="s">
        <v>362</v>
      </c>
      <c r="DD587" s="0" t="s">
        <v>3572</v>
      </c>
      <c r="DE587" s="0" t="s">
        <v>4156</v>
      </c>
    </row>
    <row customHeight="1" ht="11.25">
      <c r="A588" s="1353" t="s">
        <v>228</v>
      </c>
      <c r="B588" s="0" t="s">
        <v>228</v>
      </c>
      <c r="C588" s="0" t="s">
        <v>228</v>
      </c>
      <c r="D588" s="0" t="s">
        <v>228</v>
      </c>
      <c r="E588" s="0" t="s">
        <v>228</v>
      </c>
      <c r="F588" s="0" t="s">
        <v>228</v>
      </c>
      <c r="G588" s="0" t="s">
        <v>228</v>
      </c>
      <c r="H588" s="0" t="s">
        <v>228</v>
      </c>
      <c r="I588" s="0" t="s">
        <v>3555</v>
      </c>
      <c r="J588" s="0" t="s">
        <v>228</v>
      </c>
      <c r="K588" s="0" t="s">
        <v>228</v>
      </c>
      <c r="L588" s="0" t="s">
        <v>228</v>
      </c>
      <c r="M588" s="0" t="s">
        <v>228</v>
      </c>
      <c r="N588" s="0" t="s">
        <v>228</v>
      </c>
      <c r="O588" s="0" t="s">
        <v>228</v>
      </c>
      <c r="P588" s="0" t="s">
        <v>228</v>
      </c>
      <c r="Q588" s="0" t="s">
        <v>228</v>
      </c>
      <c r="R588" s="0" t="s">
        <v>4600</v>
      </c>
      <c r="S588" s="0" t="s">
        <v>228</v>
      </c>
      <c r="T588" s="0" t="s">
        <v>228</v>
      </c>
      <c r="U588" s="0" t="s">
        <v>101</v>
      </c>
      <c r="V588" s="0" t="s">
        <v>228</v>
      </c>
      <c r="W588" s="0" t="s">
        <v>228</v>
      </c>
      <c r="X588" s="0" t="s">
        <v>3661</v>
      </c>
      <c r="Y588" s="0" t="s">
        <v>228</v>
      </c>
      <c r="Z588" s="0" t="s">
        <v>151</v>
      </c>
      <c r="AA588" s="0" t="s">
        <v>151</v>
      </c>
      <c r="AB588" s="0" t="s">
        <v>160</v>
      </c>
      <c r="AC588" s="0" t="s">
        <v>2721</v>
      </c>
      <c r="AD588" s="0" t="s">
        <v>2721</v>
      </c>
      <c r="AE588" s="0" t="s">
        <v>2722</v>
      </c>
      <c r="AF588" s="0" t="s">
        <v>4024</v>
      </c>
      <c r="AG588" s="0" t="s">
        <v>4025</v>
      </c>
      <c r="AH588" s="0" t="s">
        <v>4146</v>
      </c>
      <c r="AI588" s="0" t="s">
        <v>151</v>
      </c>
      <c r="AJ588" s="0" t="s">
        <v>228</v>
      </c>
      <c r="AK588" s="0" t="s">
        <v>228</v>
      </c>
      <c r="AL588" s="0" t="s">
        <v>228</v>
      </c>
      <c r="AM588" s="0" t="s">
        <v>228</v>
      </c>
      <c r="AN588" s="0" t="s">
        <v>228</v>
      </c>
      <c r="AO588" s="0" t="s">
        <v>228</v>
      </c>
      <c r="AP588" s="0" t="s">
        <v>228</v>
      </c>
      <c r="AQ588" s="0" t="s">
        <v>228</v>
      </c>
      <c r="AR588" s="0" t="s">
        <v>228</v>
      </c>
      <c r="AS588" s="0" t="s">
        <v>228</v>
      </c>
      <c r="AT588" s="0" t="s">
        <v>228</v>
      </c>
      <c r="AU588" s="0" t="s">
        <v>228</v>
      </c>
      <c r="AV588" s="0" t="s">
        <v>228</v>
      </c>
      <c r="AW588" s="0" t="s">
        <v>228</v>
      </c>
      <c r="AX588" s="0" t="s">
        <v>228</v>
      </c>
      <c r="AY588" s="0" t="s">
        <v>228</v>
      </c>
      <c r="AZ588" s="0" t="s">
        <v>228</v>
      </c>
      <c r="BA588" s="0" t="s">
        <v>228</v>
      </c>
      <c r="BB588" s="0" t="s">
        <v>228</v>
      </c>
      <c r="BC588" s="0" t="s">
        <v>228</v>
      </c>
      <c r="BD588" s="0" t="s">
        <v>228</v>
      </c>
      <c r="BE588" s="0" t="s">
        <v>4601</v>
      </c>
      <c r="BF588" s="0" t="s">
        <v>4601</v>
      </c>
      <c r="BG588" s="0" t="s">
        <v>111</v>
      </c>
      <c r="BH588" s="0" t="s">
        <v>3665</v>
      </c>
      <c r="BI588" s="0" t="s">
        <v>122</v>
      </c>
      <c r="BJ588" s="0" t="s">
        <v>228</v>
      </c>
      <c r="BK588" s="0" t="s">
        <v>4602</v>
      </c>
      <c r="BL588" s="0" t="s">
        <v>2721</v>
      </c>
      <c r="BM588" s="0" t="s">
        <v>2721</v>
      </c>
      <c r="BN588" s="0" t="s">
        <v>4149</v>
      </c>
      <c r="BO588" s="0" t="s">
        <v>4024</v>
      </c>
      <c r="BP588" s="0" t="s">
        <v>4150</v>
      </c>
      <c r="BQ588" s="0" t="s">
        <v>4603</v>
      </c>
      <c r="BR588" s="0" t="s">
        <v>151</v>
      </c>
      <c r="BS588" s="0" t="s">
        <v>228</v>
      </c>
      <c r="BT588" s="0" t="s">
        <v>4604</v>
      </c>
      <c r="BU588" s="0" t="s">
        <v>4605</v>
      </c>
      <c r="BV588" s="0" t="s">
        <v>4605</v>
      </c>
      <c r="BW588" s="0" t="s">
        <v>3674</v>
      </c>
      <c r="BX588" s="0" t="s">
        <v>3674</v>
      </c>
      <c r="BY588" s="0" t="s">
        <v>3674</v>
      </c>
      <c r="BZ588" s="0" t="s">
        <v>3674</v>
      </c>
      <c r="CA588" s="0" t="s">
        <v>3674</v>
      </c>
      <c r="CB588" s="0" t="s">
        <v>3674</v>
      </c>
      <c r="CC588" s="0" t="s">
        <v>3674</v>
      </c>
      <c r="CD588" s="0" t="s">
        <v>3674</v>
      </c>
      <c r="CE588" s="0" t="s">
        <v>3674</v>
      </c>
      <c r="CF588" s="0" t="s">
        <v>3674</v>
      </c>
      <c r="CG588" s="0" t="s">
        <v>3674</v>
      </c>
      <c r="CH588" s="0" t="s">
        <v>3674</v>
      </c>
      <c r="CI588" s="0" t="s">
        <v>3674</v>
      </c>
      <c r="CJ588" s="0" t="s">
        <v>3674</v>
      </c>
      <c r="CK588" s="0" t="s">
        <v>3674</v>
      </c>
      <c r="CL588" s="0" t="s">
        <v>3674</v>
      </c>
      <c r="CM588" s="0" t="s">
        <v>4605</v>
      </c>
      <c r="CN588" s="0" t="s">
        <v>4605</v>
      </c>
      <c r="CO588" s="0" t="s">
        <v>3674</v>
      </c>
      <c r="CP588" s="0" t="s">
        <v>3674</v>
      </c>
      <c r="CQ588" s="0" t="s">
        <v>3674</v>
      </c>
      <c r="CR588" s="0" t="s">
        <v>3674</v>
      </c>
      <c r="CS588" s="0" t="s">
        <v>4606</v>
      </c>
      <c r="CT588" s="0" t="s">
        <v>3568</v>
      </c>
      <c r="CU588" s="0" t="s">
        <v>3569</v>
      </c>
      <c r="CV588" s="0" t="s">
        <v>4030</v>
      </c>
      <c r="CW588" s="0" t="s">
        <v>4031</v>
      </c>
      <c r="CX588" s="0" t="s">
        <v>3603</v>
      </c>
      <c r="CY588" s="0" t="s">
        <v>4030</v>
      </c>
      <c r="CZ588" s="0" t="s">
        <v>3608</v>
      </c>
      <c r="DA588" s="0" t="s">
        <v>4032</v>
      </c>
      <c r="DB588" s="0" t="s">
        <v>3676</v>
      </c>
      <c r="DC588" s="0" t="s">
        <v>362</v>
      </c>
      <c r="DD588" s="0" t="s">
        <v>3572</v>
      </c>
      <c r="DE588" s="0" t="s">
        <v>4156</v>
      </c>
    </row>
    <row customHeight="1" ht="11.25">
      <c r="A589" s="1353" t="s">
        <v>228</v>
      </c>
      <c r="B589" s="0" t="s">
        <v>228</v>
      </c>
      <c r="C589" s="0" t="s">
        <v>228</v>
      </c>
      <c r="D589" s="0" t="s">
        <v>228</v>
      </c>
      <c r="E589" s="0" t="s">
        <v>228</v>
      </c>
      <c r="F589" s="0" t="s">
        <v>228</v>
      </c>
      <c r="G589" s="0" t="s">
        <v>228</v>
      </c>
      <c r="H589" s="0" t="s">
        <v>228</v>
      </c>
      <c r="I589" s="0" t="s">
        <v>3555</v>
      </c>
      <c r="J589" s="0" t="s">
        <v>228</v>
      </c>
      <c r="K589" s="0" t="s">
        <v>228</v>
      </c>
      <c r="L589" s="0" t="s">
        <v>228</v>
      </c>
      <c r="M589" s="0" t="s">
        <v>228</v>
      </c>
      <c r="N589" s="0" t="s">
        <v>228</v>
      </c>
      <c r="O589" s="0" t="s">
        <v>228</v>
      </c>
      <c r="P589" s="0" t="s">
        <v>228</v>
      </c>
      <c r="Q589" s="0" t="s">
        <v>228</v>
      </c>
      <c r="R589" s="0" t="s">
        <v>4607</v>
      </c>
      <c r="S589" s="0" t="s">
        <v>228</v>
      </c>
      <c r="T589" s="0" t="s">
        <v>228</v>
      </c>
      <c r="U589" s="0" t="s">
        <v>101</v>
      </c>
      <c r="V589" s="0" t="s">
        <v>228</v>
      </c>
      <c r="W589" s="0" t="s">
        <v>228</v>
      </c>
      <c r="X589" s="0" t="s">
        <v>3557</v>
      </c>
      <c r="Y589" s="0" t="s">
        <v>228</v>
      </c>
      <c r="Z589" s="0" t="s">
        <v>160</v>
      </c>
      <c r="AA589" s="0" t="s">
        <v>151</v>
      </c>
      <c r="AB589" s="0" t="s">
        <v>151</v>
      </c>
      <c r="AC589" s="0" t="s">
        <v>2288</v>
      </c>
      <c r="AD589" s="0" t="s">
        <v>2288</v>
      </c>
      <c r="AE589" s="0" t="s">
        <v>2289</v>
      </c>
      <c r="AF589" s="0" t="s">
        <v>4608</v>
      </c>
      <c r="AG589" s="0" t="s">
        <v>4609</v>
      </c>
      <c r="AH589" s="0" t="s">
        <v>4610</v>
      </c>
      <c r="AI589" s="0" t="s">
        <v>4611</v>
      </c>
      <c r="AJ589" s="0" t="s">
        <v>4612</v>
      </c>
      <c r="AK589" s="0" t="s">
        <v>4613</v>
      </c>
      <c r="AL589" s="0" t="s">
        <v>3681</v>
      </c>
      <c r="AM589" s="0" t="s">
        <v>4614</v>
      </c>
      <c r="AN589" s="0" t="s">
        <v>4615</v>
      </c>
      <c r="AO589" s="0" t="s">
        <v>3854</v>
      </c>
      <c r="AP589" s="0" t="s">
        <v>228</v>
      </c>
      <c r="AQ589" s="0" t="s">
        <v>228</v>
      </c>
      <c r="AR589" s="0" t="s">
        <v>228</v>
      </c>
      <c r="AS589" s="0" t="s">
        <v>228</v>
      </c>
      <c r="AT589" s="0" t="s">
        <v>228</v>
      </c>
      <c r="AU589" s="0" t="s">
        <v>228</v>
      </c>
      <c r="AV589" s="0" t="s">
        <v>228</v>
      </c>
      <c r="AW589" s="0" t="s">
        <v>228</v>
      </c>
      <c r="AX589" s="0" t="s">
        <v>228</v>
      </c>
      <c r="AY589" s="0" t="s">
        <v>228</v>
      </c>
      <c r="AZ589" s="0" t="s">
        <v>228</v>
      </c>
      <c r="BA589" s="0" t="s">
        <v>228</v>
      </c>
      <c r="BB589" s="0" t="s">
        <v>228</v>
      </c>
      <c r="BC589" s="0" t="s">
        <v>228</v>
      </c>
      <c r="BD589" s="0" t="s">
        <v>228</v>
      </c>
      <c r="BE589" s="0" t="s">
        <v>228</v>
      </c>
      <c r="BF589" s="0" t="s">
        <v>228</v>
      </c>
      <c r="BG589" s="0" t="s">
        <v>228</v>
      </c>
      <c r="BH589" s="0" t="s">
        <v>228</v>
      </c>
      <c r="BI589" s="0" t="s">
        <v>228</v>
      </c>
      <c r="BJ589" s="0" t="s">
        <v>228</v>
      </c>
      <c r="BK589" s="0" t="s">
        <v>228</v>
      </c>
      <c r="BL589" s="0" t="s">
        <v>228</v>
      </c>
      <c r="BM589" s="0" t="s">
        <v>228</v>
      </c>
      <c r="BN589" s="0" t="s">
        <v>228</v>
      </c>
      <c r="BO589" s="0" t="s">
        <v>228</v>
      </c>
      <c r="BP589" s="0" t="s">
        <v>228</v>
      </c>
      <c r="BQ589" s="0" t="s">
        <v>228</v>
      </c>
      <c r="BR589" s="0" t="s">
        <v>228</v>
      </c>
      <c r="BS589" s="0" t="s">
        <v>228</v>
      </c>
      <c r="BT589" s="0" t="s">
        <v>228</v>
      </c>
      <c r="BU589" s="0" t="s">
        <v>228</v>
      </c>
      <c r="BV589" s="0" t="s">
        <v>228</v>
      </c>
      <c r="BW589" s="0" t="s">
        <v>228</v>
      </c>
      <c r="BX589" s="0" t="s">
        <v>228</v>
      </c>
      <c r="BY589" s="0" t="s">
        <v>228</v>
      </c>
      <c r="BZ589" s="0" t="s">
        <v>228</v>
      </c>
      <c r="CA589" s="0" t="s">
        <v>228</v>
      </c>
      <c r="CB589" s="0" t="s">
        <v>228</v>
      </c>
      <c r="CC589" s="0" t="s">
        <v>228</v>
      </c>
      <c r="CD589" s="0" t="s">
        <v>228</v>
      </c>
      <c r="CE589" s="0" t="s">
        <v>228</v>
      </c>
      <c r="CF589" s="0" t="s">
        <v>228</v>
      </c>
      <c r="CG589" s="0" t="s">
        <v>228</v>
      </c>
      <c r="CH589" s="0" t="s">
        <v>228</v>
      </c>
      <c r="CI589" s="0" t="s">
        <v>228</v>
      </c>
      <c r="CJ589" s="0" t="s">
        <v>228</v>
      </c>
      <c r="CK589" s="0" t="s">
        <v>228</v>
      </c>
      <c r="CL589" s="0" t="s">
        <v>228</v>
      </c>
      <c r="CM589" s="0" t="s">
        <v>228</v>
      </c>
      <c r="CN589" s="0" t="s">
        <v>228</v>
      </c>
      <c r="CO589" s="0" t="s">
        <v>228</v>
      </c>
      <c r="CP589" s="0" t="s">
        <v>228</v>
      </c>
      <c r="CQ589" s="0" t="s">
        <v>228</v>
      </c>
      <c r="CR589" s="0" t="s">
        <v>228</v>
      </c>
      <c r="CS589" s="0" t="s">
        <v>228</v>
      </c>
      <c r="CT589" s="0" t="s">
        <v>3568</v>
      </c>
      <c r="CU589" s="0" t="s">
        <v>3569</v>
      </c>
      <c r="CV589" s="0" t="s">
        <v>418</v>
      </c>
      <c r="CW589" s="0" t="s">
        <v>3570</v>
      </c>
      <c r="CX589" s="0" t="s">
        <v>419</v>
      </c>
      <c r="CY589" s="0" t="s">
        <v>418</v>
      </c>
      <c r="CZ589" s="0" t="s">
        <v>3571</v>
      </c>
      <c r="DA589" s="0" t="s">
        <v>420</v>
      </c>
      <c r="DB589" s="0" t="s">
        <v>3570</v>
      </c>
      <c r="DC589" s="0" t="s">
        <v>362</v>
      </c>
      <c r="DD589" s="0" t="s">
        <v>3572</v>
      </c>
      <c r="DE589" s="0" t="s">
        <v>4616</v>
      </c>
    </row>
    <row customHeight="1" ht="11.25">
      <c r="A590" s="1353" t="s">
        <v>228</v>
      </c>
      <c r="B590" s="0" t="s">
        <v>228</v>
      </c>
      <c r="C590" s="0" t="s">
        <v>228</v>
      </c>
      <c r="D590" s="0" t="s">
        <v>228</v>
      </c>
      <c r="E590" s="0" t="s">
        <v>228</v>
      </c>
      <c r="F590" s="0" t="s">
        <v>228</v>
      </c>
      <c r="G590" s="0" t="s">
        <v>228</v>
      </c>
      <c r="H590" s="0" t="s">
        <v>228</v>
      </c>
      <c r="I590" s="0" t="s">
        <v>3555</v>
      </c>
      <c r="J590" s="0" t="s">
        <v>228</v>
      </c>
      <c r="K590" s="0" t="s">
        <v>228</v>
      </c>
      <c r="L590" s="0" t="s">
        <v>228</v>
      </c>
      <c r="M590" s="0" t="s">
        <v>228</v>
      </c>
      <c r="N590" s="0" t="s">
        <v>228</v>
      </c>
      <c r="O590" s="0" t="s">
        <v>228</v>
      </c>
      <c r="P590" s="0" t="s">
        <v>228</v>
      </c>
      <c r="Q590" s="0" t="s">
        <v>228</v>
      </c>
      <c r="R590" s="0" t="s">
        <v>4795</v>
      </c>
      <c r="S590" s="0" t="s">
        <v>228</v>
      </c>
      <c r="T590" s="0" t="s">
        <v>228</v>
      </c>
      <c r="U590" s="0" t="s">
        <v>101</v>
      </c>
      <c r="V590" s="0" t="s">
        <v>228</v>
      </c>
      <c r="W590" s="0" t="s">
        <v>228</v>
      </c>
      <c r="X590" s="0" t="s">
        <v>3557</v>
      </c>
      <c r="Y590" s="0" t="s">
        <v>228</v>
      </c>
      <c r="Z590" s="0" t="s">
        <v>160</v>
      </c>
      <c r="AA590" s="0" t="s">
        <v>151</v>
      </c>
      <c r="AB590" s="0" t="s">
        <v>151</v>
      </c>
      <c r="AC590" s="0" t="s">
        <v>2288</v>
      </c>
      <c r="AD590" s="0" t="s">
        <v>2288</v>
      </c>
      <c r="AE590" s="0" t="s">
        <v>2289</v>
      </c>
      <c r="AF590" s="0" t="s">
        <v>4608</v>
      </c>
      <c r="AG590" s="0" t="s">
        <v>4609</v>
      </c>
      <c r="AH590" s="0" t="s">
        <v>4796</v>
      </c>
      <c r="AI590" s="0" t="s">
        <v>3608</v>
      </c>
      <c r="AJ590" s="0" t="s">
        <v>4797</v>
      </c>
      <c r="AK590" s="0" t="s">
        <v>4613</v>
      </c>
      <c r="AL590" s="0" t="s">
        <v>3681</v>
      </c>
      <c r="AM590" s="0" t="s">
        <v>4614</v>
      </c>
      <c r="AN590" s="0" t="s">
        <v>3566</v>
      </c>
      <c r="AO590" s="0" t="s">
        <v>3854</v>
      </c>
      <c r="AP590" s="0" t="s">
        <v>228</v>
      </c>
      <c r="AQ590" s="0" t="s">
        <v>228</v>
      </c>
      <c r="AR590" s="0" t="s">
        <v>228</v>
      </c>
      <c r="AS590" s="0" t="s">
        <v>228</v>
      </c>
      <c r="AT590" s="0" t="s">
        <v>228</v>
      </c>
      <c r="AU590" s="0" t="s">
        <v>228</v>
      </c>
      <c r="AV590" s="0" t="s">
        <v>228</v>
      </c>
      <c r="AW590" s="0" t="s">
        <v>228</v>
      </c>
      <c r="AX590" s="0" t="s">
        <v>228</v>
      </c>
      <c r="AY590" s="0" t="s">
        <v>228</v>
      </c>
      <c r="AZ590" s="0" t="s">
        <v>228</v>
      </c>
      <c r="BA590" s="0" t="s">
        <v>228</v>
      </c>
      <c r="BB590" s="0" t="s">
        <v>228</v>
      </c>
      <c r="BC590" s="0" t="s">
        <v>228</v>
      </c>
      <c r="BD590" s="0" t="s">
        <v>228</v>
      </c>
      <c r="BE590" s="0" t="s">
        <v>228</v>
      </c>
      <c r="BF590" s="0" t="s">
        <v>228</v>
      </c>
      <c r="BG590" s="0" t="s">
        <v>228</v>
      </c>
      <c r="BH590" s="0" t="s">
        <v>228</v>
      </c>
      <c r="BI590" s="0" t="s">
        <v>228</v>
      </c>
      <c r="BJ590" s="0" t="s">
        <v>228</v>
      </c>
      <c r="BK590" s="0" t="s">
        <v>228</v>
      </c>
      <c r="BL590" s="0" t="s">
        <v>228</v>
      </c>
      <c r="BM590" s="0" t="s">
        <v>228</v>
      </c>
      <c r="BN590" s="0" t="s">
        <v>228</v>
      </c>
      <c r="BO590" s="0" t="s">
        <v>228</v>
      </c>
      <c r="BP590" s="0" t="s">
        <v>228</v>
      </c>
      <c r="BQ590" s="0" t="s">
        <v>228</v>
      </c>
      <c r="BR590" s="0" t="s">
        <v>228</v>
      </c>
      <c r="BS590" s="0" t="s">
        <v>228</v>
      </c>
      <c r="BT590" s="0" t="s">
        <v>228</v>
      </c>
      <c r="BU590" s="0" t="s">
        <v>228</v>
      </c>
      <c r="BV590" s="0" t="s">
        <v>228</v>
      </c>
      <c r="BW590" s="0" t="s">
        <v>228</v>
      </c>
      <c r="BX590" s="0" t="s">
        <v>228</v>
      </c>
      <c r="BY590" s="0" t="s">
        <v>228</v>
      </c>
      <c r="BZ590" s="0" t="s">
        <v>228</v>
      </c>
      <c r="CA590" s="0" t="s">
        <v>228</v>
      </c>
      <c r="CB590" s="0" t="s">
        <v>228</v>
      </c>
      <c r="CC590" s="0" t="s">
        <v>228</v>
      </c>
      <c r="CD590" s="0" t="s">
        <v>228</v>
      </c>
      <c r="CE590" s="0" t="s">
        <v>228</v>
      </c>
      <c r="CF590" s="0" t="s">
        <v>228</v>
      </c>
      <c r="CG590" s="0" t="s">
        <v>228</v>
      </c>
      <c r="CH590" s="0" t="s">
        <v>228</v>
      </c>
      <c r="CI590" s="0" t="s">
        <v>228</v>
      </c>
      <c r="CJ590" s="0" t="s">
        <v>228</v>
      </c>
      <c r="CK590" s="0" t="s">
        <v>228</v>
      </c>
      <c r="CL590" s="0" t="s">
        <v>228</v>
      </c>
      <c r="CM590" s="0" t="s">
        <v>228</v>
      </c>
      <c r="CN590" s="0" t="s">
        <v>228</v>
      </c>
      <c r="CO590" s="0" t="s">
        <v>228</v>
      </c>
      <c r="CP590" s="0" t="s">
        <v>228</v>
      </c>
      <c r="CQ590" s="0" t="s">
        <v>228</v>
      </c>
      <c r="CR590" s="0" t="s">
        <v>228</v>
      </c>
      <c r="CS590" s="0" t="s">
        <v>228</v>
      </c>
      <c r="CT590" s="0" t="s">
        <v>3568</v>
      </c>
      <c r="CU590" s="0" t="s">
        <v>3569</v>
      </c>
      <c r="CV590" s="0" t="s">
        <v>418</v>
      </c>
      <c r="CW590" s="0" t="s">
        <v>3570</v>
      </c>
      <c r="CX590" s="0" t="s">
        <v>419</v>
      </c>
      <c r="CY590" s="0" t="s">
        <v>418</v>
      </c>
      <c r="CZ590" s="0" t="s">
        <v>3571</v>
      </c>
      <c r="DA590" s="0" t="s">
        <v>420</v>
      </c>
      <c r="DB590" s="0" t="s">
        <v>3570</v>
      </c>
      <c r="DC590" s="0" t="s">
        <v>362</v>
      </c>
      <c r="DD590" s="0" t="s">
        <v>3572</v>
      </c>
      <c r="DE590" s="0" t="s">
        <v>4798</v>
      </c>
    </row>
    <row customHeight="1" ht="11.25">
      <c r="A591" s="1353" t="s">
        <v>228</v>
      </c>
      <c r="B591" s="0" t="s">
        <v>228</v>
      </c>
      <c r="C591" s="0" t="s">
        <v>228</v>
      </c>
      <c r="D591" s="0" t="s">
        <v>228</v>
      </c>
      <c r="E591" s="0" t="s">
        <v>228</v>
      </c>
      <c r="F591" s="0" t="s">
        <v>228</v>
      </c>
      <c r="G591" s="0" t="s">
        <v>228</v>
      </c>
      <c r="H591" s="0" t="s">
        <v>228</v>
      </c>
      <c r="I591" s="0" t="s">
        <v>3555</v>
      </c>
      <c r="J591" s="0" t="s">
        <v>228</v>
      </c>
      <c r="K591" s="0" t="s">
        <v>228</v>
      </c>
      <c r="L591" s="0" t="s">
        <v>228</v>
      </c>
      <c r="M591" s="0" t="s">
        <v>228</v>
      </c>
      <c r="N591" s="0" t="s">
        <v>228</v>
      </c>
      <c r="O591" s="0" t="s">
        <v>228</v>
      </c>
      <c r="P591" s="0" t="s">
        <v>228</v>
      </c>
      <c r="Q591" s="0" t="s">
        <v>228</v>
      </c>
      <c r="R591" s="0" t="s">
        <v>4799</v>
      </c>
      <c r="S591" s="0" t="s">
        <v>228</v>
      </c>
      <c r="T591" s="0" t="s">
        <v>228</v>
      </c>
      <c r="U591" s="0" t="s">
        <v>101</v>
      </c>
      <c r="V591" s="0" t="s">
        <v>228</v>
      </c>
      <c r="W591" s="0" t="s">
        <v>228</v>
      </c>
      <c r="X591" s="0" t="s">
        <v>3557</v>
      </c>
      <c r="Y591" s="0" t="s">
        <v>228</v>
      </c>
      <c r="Z591" s="0" t="s">
        <v>160</v>
      </c>
      <c r="AA591" s="0" t="s">
        <v>151</v>
      </c>
      <c r="AB591" s="0" t="s">
        <v>151</v>
      </c>
      <c r="AC591" s="0" t="s">
        <v>2288</v>
      </c>
      <c r="AD591" s="0" t="s">
        <v>2288</v>
      </c>
      <c r="AE591" s="0" t="s">
        <v>2289</v>
      </c>
      <c r="AF591" s="0" t="s">
        <v>4608</v>
      </c>
      <c r="AG591" s="0" t="s">
        <v>4609</v>
      </c>
      <c r="AH591" s="0" t="s">
        <v>4800</v>
      </c>
      <c r="AI591" s="0" t="s">
        <v>3608</v>
      </c>
      <c r="AJ591" s="0" t="s">
        <v>4801</v>
      </c>
      <c r="AK591" s="0" t="s">
        <v>4613</v>
      </c>
      <c r="AL591" s="0" t="s">
        <v>3681</v>
      </c>
      <c r="AM591" s="0" t="s">
        <v>4614</v>
      </c>
      <c r="AN591" s="0" t="s">
        <v>3566</v>
      </c>
      <c r="AO591" s="0" t="s">
        <v>3854</v>
      </c>
      <c r="AP591" s="0" t="s">
        <v>228</v>
      </c>
      <c r="AQ591" s="0" t="s">
        <v>228</v>
      </c>
      <c r="AR591" s="0" t="s">
        <v>228</v>
      </c>
      <c r="AS591" s="0" t="s">
        <v>228</v>
      </c>
      <c r="AT591" s="0" t="s">
        <v>228</v>
      </c>
      <c r="AU591" s="0" t="s">
        <v>228</v>
      </c>
      <c r="AV591" s="0" t="s">
        <v>228</v>
      </c>
      <c r="AW591" s="0" t="s">
        <v>228</v>
      </c>
      <c r="AX591" s="0" t="s">
        <v>228</v>
      </c>
      <c r="AY591" s="0" t="s">
        <v>228</v>
      </c>
      <c r="AZ591" s="0" t="s">
        <v>228</v>
      </c>
      <c r="BA591" s="0" t="s">
        <v>228</v>
      </c>
      <c r="BB591" s="0" t="s">
        <v>228</v>
      </c>
      <c r="BC591" s="0" t="s">
        <v>228</v>
      </c>
      <c r="BD591" s="0" t="s">
        <v>228</v>
      </c>
      <c r="BE591" s="0" t="s">
        <v>228</v>
      </c>
      <c r="BF591" s="0" t="s">
        <v>228</v>
      </c>
      <c r="BG591" s="0" t="s">
        <v>228</v>
      </c>
      <c r="BH591" s="0" t="s">
        <v>228</v>
      </c>
      <c r="BI591" s="0" t="s">
        <v>228</v>
      </c>
      <c r="BJ591" s="0" t="s">
        <v>228</v>
      </c>
      <c r="BK591" s="0" t="s">
        <v>228</v>
      </c>
      <c r="BL591" s="0" t="s">
        <v>228</v>
      </c>
      <c r="BM591" s="0" t="s">
        <v>228</v>
      </c>
      <c r="BN591" s="0" t="s">
        <v>228</v>
      </c>
      <c r="BO591" s="0" t="s">
        <v>228</v>
      </c>
      <c r="BP591" s="0" t="s">
        <v>228</v>
      </c>
      <c r="BQ591" s="0" t="s">
        <v>228</v>
      </c>
      <c r="BR591" s="0" t="s">
        <v>228</v>
      </c>
      <c r="BS591" s="0" t="s">
        <v>228</v>
      </c>
      <c r="BT591" s="0" t="s">
        <v>228</v>
      </c>
      <c r="BU591" s="0" t="s">
        <v>228</v>
      </c>
      <c r="BV591" s="0" t="s">
        <v>228</v>
      </c>
      <c r="BW591" s="0" t="s">
        <v>228</v>
      </c>
      <c r="BX591" s="0" t="s">
        <v>228</v>
      </c>
      <c r="BY591" s="0" t="s">
        <v>228</v>
      </c>
      <c r="BZ591" s="0" t="s">
        <v>228</v>
      </c>
      <c r="CA591" s="0" t="s">
        <v>228</v>
      </c>
      <c r="CB591" s="0" t="s">
        <v>228</v>
      </c>
      <c r="CC591" s="0" t="s">
        <v>228</v>
      </c>
      <c r="CD591" s="0" t="s">
        <v>228</v>
      </c>
      <c r="CE591" s="0" t="s">
        <v>228</v>
      </c>
      <c r="CF591" s="0" t="s">
        <v>228</v>
      </c>
      <c r="CG591" s="0" t="s">
        <v>228</v>
      </c>
      <c r="CH591" s="0" t="s">
        <v>228</v>
      </c>
      <c r="CI591" s="0" t="s">
        <v>228</v>
      </c>
      <c r="CJ591" s="0" t="s">
        <v>228</v>
      </c>
      <c r="CK591" s="0" t="s">
        <v>228</v>
      </c>
      <c r="CL591" s="0" t="s">
        <v>228</v>
      </c>
      <c r="CM591" s="0" t="s">
        <v>228</v>
      </c>
      <c r="CN591" s="0" t="s">
        <v>228</v>
      </c>
      <c r="CO591" s="0" t="s">
        <v>228</v>
      </c>
      <c r="CP591" s="0" t="s">
        <v>228</v>
      </c>
      <c r="CQ591" s="0" t="s">
        <v>228</v>
      </c>
      <c r="CR591" s="0" t="s">
        <v>228</v>
      </c>
      <c r="CS591" s="0" t="s">
        <v>228</v>
      </c>
      <c r="CT591" s="0" t="s">
        <v>3568</v>
      </c>
      <c r="CU591" s="0" t="s">
        <v>3569</v>
      </c>
      <c r="CV591" s="0" t="s">
        <v>418</v>
      </c>
      <c r="CW591" s="0" t="s">
        <v>3570</v>
      </c>
      <c r="CX591" s="0" t="s">
        <v>419</v>
      </c>
      <c r="CY591" s="0" t="s">
        <v>418</v>
      </c>
      <c r="CZ591" s="0" t="s">
        <v>3571</v>
      </c>
      <c r="DA591" s="0" t="s">
        <v>420</v>
      </c>
      <c r="DB591" s="0" t="s">
        <v>3570</v>
      </c>
      <c r="DC591" s="0" t="s">
        <v>362</v>
      </c>
      <c r="DD591" s="0" t="s">
        <v>3572</v>
      </c>
      <c r="DE591" s="0" t="s">
        <v>4802</v>
      </c>
    </row>
    <row customHeight="1" ht="11.25">
      <c r="A592" s="1353" t="s">
        <v>228</v>
      </c>
      <c r="B592" s="0" t="s">
        <v>228</v>
      </c>
      <c r="C592" s="0" t="s">
        <v>228</v>
      </c>
      <c r="D592" s="0" t="s">
        <v>228</v>
      </c>
      <c r="E592" s="0" t="s">
        <v>228</v>
      </c>
      <c r="F592" s="0" t="s">
        <v>228</v>
      </c>
      <c r="G592" s="0" t="s">
        <v>228</v>
      </c>
      <c r="H592" s="0" t="s">
        <v>228</v>
      </c>
      <c r="I592" s="0" t="s">
        <v>3555</v>
      </c>
      <c r="J592" s="0" t="s">
        <v>228</v>
      </c>
      <c r="K592" s="0" t="s">
        <v>228</v>
      </c>
      <c r="L592" s="0" t="s">
        <v>228</v>
      </c>
      <c r="M592" s="0" t="s">
        <v>228</v>
      </c>
      <c r="N592" s="0" t="s">
        <v>228</v>
      </c>
      <c r="O592" s="0" t="s">
        <v>228</v>
      </c>
      <c r="P592" s="0" t="s">
        <v>228</v>
      </c>
      <c r="Q592" s="0" t="s">
        <v>228</v>
      </c>
      <c r="R592" s="0" t="s">
        <v>4846</v>
      </c>
      <c r="S592" s="0" t="s">
        <v>228</v>
      </c>
      <c r="T592" s="0" t="s">
        <v>228</v>
      </c>
      <c r="U592" s="0" t="s">
        <v>101</v>
      </c>
      <c r="V592" s="0" t="s">
        <v>228</v>
      </c>
      <c r="W592" s="0" t="s">
        <v>228</v>
      </c>
      <c r="X592" s="0" t="s">
        <v>3557</v>
      </c>
      <c r="Y592" s="0" t="s">
        <v>228</v>
      </c>
      <c r="Z592" s="0" t="s">
        <v>160</v>
      </c>
      <c r="AA592" s="0" t="s">
        <v>151</v>
      </c>
      <c r="AB592" s="0" t="s">
        <v>151</v>
      </c>
      <c r="AC592" s="0" t="s">
        <v>2290</v>
      </c>
      <c r="AD592" s="0" t="s">
        <v>2290</v>
      </c>
      <c r="AE592" s="0" t="s">
        <v>2292</v>
      </c>
      <c r="AF592" s="0" t="s">
        <v>4847</v>
      </c>
      <c r="AG592" s="0" t="s">
        <v>4848</v>
      </c>
      <c r="AH592" s="0" t="s">
        <v>4849</v>
      </c>
      <c r="AI592" s="0" t="s">
        <v>4850</v>
      </c>
      <c r="AJ592" s="0" t="s">
        <v>3644</v>
      </c>
      <c r="AK592" s="0" t="s">
        <v>4613</v>
      </c>
      <c r="AL592" s="0" t="s">
        <v>3646</v>
      </c>
      <c r="AM592" s="0" t="s">
        <v>3565</v>
      </c>
      <c r="AN592" s="0" t="s">
        <v>4188</v>
      </c>
      <c r="AO592" s="0" t="s">
        <v>3854</v>
      </c>
      <c r="AP592" s="0" t="s">
        <v>228</v>
      </c>
      <c r="AQ592" s="0" t="s">
        <v>228</v>
      </c>
      <c r="AR592" s="0" t="s">
        <v>228</v>
      </c>
      <c r="AS592" s="0" t="s">
        <v>228</v>
      </c>
      <c r="AT592" s="0" t="s">
        <v>228</v>
      </c>
      <c r="AU592" s="0" t="s">
        <v>228</v>
      </c>
      <c r="AV592" s="0" t="s">
        <v>228</v>
      </c>
      <c r="AW592" s="0" t="s">
        <v>228</v>
      </c>
      <c r="AX592" s="0" t="s">
        <v>228</v>
      </c>
      <c r="AY592" s="0" t="s">
        <v>228</v>
      </c>
      <c r="AZ592" s="0" t="s">
        <v>228</v>
      </c>
      <c r="BA592" s="0" t="s">
        <v>228</v>
      </c>
      <c r="BB592" s="0" t="s">
        <v>228</v>
      </c>
      <c r="BC592" s="0" t="s">
        <v>228</v>
      </c>
      <c r="BD592" s="0" t="s">
        <v>228</v>
      </c>
      <c r="BE592" s="0" t="s">
        <v>228</v>
      </c>
      <c r="BF592" s="0" t="s">
        <v>228</v>
      </c>
      <c r="BG592" s="0" t="s">
        <v>228</v>
      </c>
      <c r="BH592" s="0" t="s">
        <v>228</v>
      </c>
      <c r="BI592" s="0" t="s">
        <v>228</v>
      </c>
      <c r="BJ592" s="0" t="s">
        <v>228</v>
      </c>
      <c r="BK592" s="0" t="s">
        <v>228</v>
      </c>
      <c r="BL592" s="0" t="s">
        <v>228</v>
      </c>
      <c r="BM592" s="0" t="s">
        <v>228</v>
      </c>
      <c r="BN592" s="0" t="s">
        <v>228</v>
      </c>
      <c r="BO592" s="0" t="s">
        <v>228</v>
      </c>
      <c r="BP592" s="0" t="s">
        <v>228</v>
      </c>
      <c r="BQ592" s="0" t="s">
        <v>228</v>
      </c>
      <c r="BR592" s="0" t="s">
        <v>228</v>
      </c>
      <c r="BS592" s="0" t="s">
        <v>228</v>
      </c>
      <c r="BT592" s="0" t="s">
        <v>228</v>
      </c>
      <c r="BU592" s="0" t="s">
        <v>228</v>
      </c>
      <c r="BV592" s="0" t="s">
        <v>228</v>
      </c>
      <c r="BW592" s="0" t="s">
        <v>228</v>
      </c>
      <c r="BX592" s="0" t="s">
        <v>228</v>
      </c>
      <c r="BY592" s="0" t="s">
        <v>228</v>
      </c>
      <c r="BZ592" s="0" t="s">
        <v>228</v>
      </c>
      <c r="CA592" s="0" t="s">
        <v>228</v>
      </c>
      <c r="CB592" s="0" t="s">
        <v>228</v>
      </c>
      <c r="CC592" s="0" t="s">
        <v>228</v>
      </c>
      <c r="CD592" s="0" t="s">
        <v>228</v>
      </c>
      <c r="CE592" s="0" t="s">
        <v>228</v>
      </c>
      <c r="CF592" s="0" t="s">
        <v>228</v>
      </c>
      <c r="CG592" s="0" t="s">
        <v>228</v>
      </c>
      <c r="CH592" s="0" t="s">
        <v>228</v>
      </c>
      <c r="CI592" s="0" t="s">
        <v>228</v>
      </c>
      <c r="CJ592" s="0" t="s">
        <v>228</v>
      </c>
      <c r="CK592" s="0" t="s">
        <v>228</v>
      </c>
      <c r="CL592" s="0" t="s">
        <v>228</v>
      </c>
      <c r="CM592" s="0" t="s">
        <v>228</v>
      </c>
      <c r="CN592" s="0" t="s">
        <v>228</v>
      </c>
      <c r="CO592" s="0" t="s">
        <v>228</v>
      </c>
      <c r="CP592" s="0" t="s">
        <v>228</v>
      </c>
      <c r="CQ592" s="0" t="s">
        <v>228</v>
      </c>
      <c r="CR592" s="0" t="s">
        <v>228</v>
      </c>
      <c r="CS592" s="0" t="s">
        <v>228</v>
      </c>
      <c r="CT592" s="0" t="s">
        <v>3568</v>
      </c>
      <c r="CU592" s="0" t="s">
        <v>3569</v>
      </c>
      <c r="CV592" s="0" t="s">
        <v>418</v>
      </c>
      <c r="CW592" s="0" t="s">
        <v>3570</v>
      </c>
      <c r="CX592" s="0" t="s">
        <v>419</v>
      </c>
      <c r="CY592" s="0" t="s">
        <v>418</v>
      </c>
      <c r="CZ592" s="0" t="s">
        <v>3571</v>
      </c>
      <c r="DA592" s="0" t="s">
        <v>420</v>
      </c>
      <c r="DB592" s="0" t="s">
        <v>3570</v>
      </c>
      <c r="DC592" s="0" t="s">
        <v>362</v>
      </c>
      <c r="DD592" s="0" t="s">
        <v>3572</v>
      </c>
      <c r="DE592" s="0" t="s">
        <v>4851</v>
      </c>
    </row>
    <row customHeight="1" ht="11.25">
      <c r="A593" s="1353" t="s">
        <v>228</v>
      </c>
      <c r="B593" s="0" t="s">
        <v>228</v>
      </c>
      <c r="C593" s="0" t="s">
        <v>228</v>
      </c>
      <c r="D593" s="0" t="s">
        <v>228</v>
      </c>
      <c r="E593" s="0" t="s">
        <v>228</v>
      </c>
      <c r="F593" s="0" t="s">
        <v>228</v>
      </c>
      <c r="G593" s="0" t="s">
        <v>228</v>
      </c>
      <c r="H593" s="0" t="s">
        <v>228</v>
      </c>
      <c r="I593" s="0" t="s">
        <v>3555</v>
      </c>
      <c r="J593" s="0" t="s">
        <v>228</v>
      </c>
      <c r="K593" s="0" t="s">
        <v>228</v>
      </c>
      <c r="L593" s="0" t="s">
        <v>228</v>
      </c>
      <c r="M593" s="0" t="s">
        <v>228</v>
      </c>
      <c r="N593" s="0" t="s">
        <v>228</v>
      </c>
      <c r="O593" s="0" t="s">
        <v>228</v>
      </c>
      <c r="P593" s="0" t="s">
        <v>228</v>
      </c>
      <c r="Q593" s="0" t="s">
        <v>228</v>
      </c>
      <c r="R593" s="0" t="s">
        <v>5115</v>
      </c>
      <c r="S593" s="0" t="s">
        <v>228</v>
      </c>
      <c r="T593" s="0" t="s">
        <v>228</v>
      </c>
      <c r="U593" s="0" t="s">
        <v>101</v>
      </c>
      <c r="V593" s="0" t="s">
        <v>228</v>
      </c>
      <c r="W593" s="0" t="s">
        <v>228</v>
      </c>
      <c r="X593" s="0" t="s">
        <v>3557</v>
      </c>
      <c r="Y593" s="0" t="s">
        <v>228</v>
      </c>
      <c r="Z593" s="0" t="s">
        <v>160</v>
      </c>
      <c r="AA593" s="0" t="s">
        <v>151</v>
      </c>
      <c r="AB593" s="0" t="s">
        <v>151</v>
      </c>
      <c r="AC593" s="0" t="s">
        <v>2715</v>
      </c>
      <c r="AD593" s="0" t="s">
        <v>2715</v>
      </c>
      <c r="AE593" s="0" t="s">
        <v>2716</v>
      </c>
      <c r="AF593" s="0" t="s">
        <v>3594</v>
      </c>
      <c r="AG593" s="0" t="s">
        <v>3595</v>
      </c>
      <c r="AH593" s="0" t="s">
        <v>3837</v>
      </c>
      <c r="AI593" s="0" t="s">
        <v>3608</v>
      </c>
      <c r="AJ593" s="0" t="s">
        <v>3838</v>
      </c>
      <c r="AK593" s="0" t="s">
        <v>3839</v>
      </c>
      <c r="AL593" s="0" t="s">
        <v>3599</v>
      </c>
      <c r="AM593" s="0" t="s">
        <v>3565</v>
      </c>
      <c r="AN593" s="0" t="s">
        <v>3840</v>
      </c>
      <c r="AO593" s="0" t="s">
        <v>3841</v>
      </c>
      <c r="AP593" s="0" t="s">
        <v>228</v>
      </c>
      <c r="AQ593" s="0" t="s">
        <v>228</v>
      </c>
      <c r="AR593" s="0" t="s">
        <v>228</v>
      </c>
      <c r="AS593" s="0" t="s">
        <v>228</v>
      </c>
      <c r="AT593" s="0" t="s">
        <v>228</v>
      </c>
      <c r="AU593" s="0" t="s">
        <v>228</v>
      </c>
      <c r="AV593" s="0" t="s">
        <v>228</v>
      </c>
      <c r="AW593" s="0" t="s">
        <v>228</v>
      </c>
      <c r="AX593" s="0" t="s">
        <v>228</v>
      </c>
      <c r="AY593" s="0" t="s">
        <v>228</v>
      </c>
      <c r="AZ593" s="0" t="s">
        <v>228</v>
      </c>
      <c r="BA593" s="0" t="s">
        <v>228</v>
      </c>
      <c r="BB593" s="0" t="s">
        <v>228</v>
      </c>
      <c r="BC593" s="0" t="s">
        <v>228</v>
      </c>
      <c r="BD593" s="0" t="s">
        <v>228</v>
      </c>
      <c r="BE593" s="0" t="s">
        <v>228</v>
      </c>
      <c r="BF593" s="0" t="s">
        <v>228</v>
      </c>
      <c r="BG593" s="0" t="s">
        <v>228</v>
      </c>
      <c r="BH593" s="0" t="s">
        <v>228</v>
      </c>
      <c r="BI593" s="0" t="s">
        <v>228</v>
      </c>
      <c r="BJ593" s="0" t="s">
        <v>228</v>
      </c>
      <c r="BK593" s="0" t="s">
        <v>228</v>
      </c>
      <c r="BL593" s="0" t="s">
        <v>228</v>
      </c>
      <c r="BM593" s="0" t="s">
        <v>228</v>
      </c>
      <c r="BN593" s="0" t="s">
        <v>228</v>
      </c>
      <c r="BO593" s="0" t="s">
        <v>228</v>
      </c>
      <c r="BP593" s="0" t="s">
        <v>228</v>
      </c>
      <c r="BQ593" s="0" t="s">
        <v>228</v>
      </c>
      <c r="BR593" s="0" t="s">
        <v>228</v>
      </c>
      <c r="BS593" s="0" t="s">
        <v>228</v>
      </c>
      <c r="BT593" s="0" t="s">
        <v>228</v>
      </c>
      <c r="BU593" s="0" t="s">
        <v>228</v>
      </c>
      <c r="BV593" s="0" t="s">
        <v>228</v>
      </c>
      <c r="BW593" s="0" t="s">
        <v>228</v>
      </c>
      <c r="BX593" s="0" t="s">
        <v>228</v>
      </c>
      <c r="BY593" s="0" t="s">
        <v>228</v>
      </c>
      <c r="BZ593" s="0" t="s">
        <v>228</v>
      </c>
      <c r="CA593" s="0" t="s">
        <v>228</v>
      </c>
      <c r="CB593" s="0" t="s">
        <v>228</v>
      </c>
      <c r="CC593" s="0" t="s">
        <v>228</v>
      </c>
      <c r="CD593" s="0" t="s">
        <v>228</v>
      </c>
      <c r="CE593" s="0" t="s">
        <v>228</v>
      </c>
      <c r="CF593" s="0" t="s">
        <v>228</v>
      </c>
      <c r="CG593" s="0" t="s">
        <v>228</v>
      </c>
      <c r="CH593" s="0" t="s">
        <v>228</v>
      </c>
      <c r="CI593" s="0" t="s">
        <v>228</v>
      </c>
      <c r="CJ593" s="0" t="s">
        <v>228</v>
      </c>
      <c r="CK593" s="0" t="s">
        <v>228</v>
      </c>
      <c r="CL593" s="0" t="s">
        <v>228</v>
      </c>
      <c r="CM593" s="0" t="s">
        <v>228</v>
      </c>
      <c r="CN593" s="0" t="s">
        <v>228</v>
      </c>
      <c r="CO593" s="0" t="s">
        <v>228</v>
      </c>
      <c r="CP593" s="0" t="s">
        <v>228</v>
      </c>
      <c r="CQ593" s="0" t="s">
        <v>228</v>
      </c>
      <c r="CR593" s="0" t="s">
        <v>228</v>
      </c>
      <c r="CS593" s="0" t="s">
        <v>228</v>
      </c>
      <c r="CT593" s="0" t="s">
        <v>3568</v>
      </c>
      <c r="CU593" s="0" t="s">
        <v>3569</v>
      </c>
      <c r="CV593" s="0" t="s">
        <v>418</v>
      </c>
      <c r="CW593" s="0" t="s">
        <v>3602</v>
      </c>
      <c r="CX593" s="0" t="s">
        <v>3603</v>
      </c>
      <c r="CY593" s="0" t="s">
        <v>418</v>
      </c>
      <c r="CZ593" s="0" t="s">
        <v>504</v>
      </c>
      <c r="DA593" s="0" t="s">
        <v>3604</v>
      </c>
      <c r="DB593" s="0" t="s">
        <v>3602</v>
      </c>
      <c r="DC593" s="0" t="s">
        <v>362</v>
      </c>
      <c r="DD593" s="0" t="s">
        <v>3572</v>
      </c>
      <c r="DE593" s="0" t="s">
        <v>3842</v>
      </c>
    </row>
    <row customHeight="1" ht="11.25">
      <c r="A594" s="1353" t="s">
        <v>228</v>
      </c>
      <c r="B594" s="0" t="s">
        <v>228</v>
      </c>
      <c r="C594" s="0" t="s">
        <v>228</v>
      </c>
      <c r="D594" s="0" t="s">
        <v>228</v>
      </c>
      <c r="E594" s="0" t="s">
        <v>228</v>
      </c>
      <c r="F594" s="0" t="s">
        <v>228</v>
      </c>
      <c r="G594" s="0" t="s">
        <v>228</v>
      </c>
      <c r="H594" s="0" t="s">
        <v>228</v>
      </c>
      <c r="I594" s="0" t="s">
        <v>3555</v>
      </c>
      <c r="J594" s="0" t="s">
        <v>228</v>
      </c>
      <c r="K594" s="0" t="s">
        <v>228</v>
      </c>
      <c r="L594" s="0" t="s">
        <v>228</v>
      </c>
      <c r="M594" s="0" t="s">
        <v>228</v>
      </c>
      <c r="N594" s="0" t="s">
        <v>228</v>
      </c>
      <c r="O594" s="0" t="s">
        <v>228</v>
      </c>
      <c r="P594" s="0" t="s">
        <v>228</v>
      </c>
      <c r="Q594" s="0" t="s">
        <v>228</v>
      </c>
      <c r="R594" s="0" t="s">
        <v>4852</v>
      </c>
      <c r="S594" s="0" t="s">
        <v>228</v>
      </c>
      <c r="T594" s="0" t="s">
        <v>228</v>
      </c>
      <c r="U594" s="0" t="s">
        <v>101</v>
      </c>
      <c r="V594" s="0" t="s">
        <v>228</v>
      </c>
      <c r="W594" s="0" t="s">
        <v>228</v>
      </c>
      <c r="X594" s="0" t="s">
        <v>3557</v>
      </c>
      <c r="Y594" s="0" t="s">
        <v>228</v>
      </c>
      <c r="Z594" s="0" t="s">
        <v>160</v>
      </c>
      <c r="AA594" s="0" t="s">
        <v>151</v>
      </c>
      <c r="AB594" s="0" t="s">
        <v>151</v>
      </c>
      <c r="AC594" s="0" t="s">
        <v>2290</v>
      </c>
      <c r="AD594" s="0" t="s">
        <v>2290</v>
      </c>
      <c r="AE594" s="0" t="s">
        <v>2292</v>
      </c>
      <c r="AF594" s="0" t="s">
        <v>4847</v>
      </c>
      <c r="AG594" s="0" t="s">
        <v>4848</v>
      </c>
      <c r="AH594" s="0" t="s">
        <v>4853</v>
      </c>
      <c r="AI594" s="0" t="s">
        <v>4854</v>
      </c>
      <c r="AJ594" s="0" t="s">
        <v>4855</v>
      </c>
      <c r="AK594" s="0" t="s">
        <v>3674</v>
      </c>
      <c r="AL594" s="0" t="s">
        <v>3599</v>
      </c>
      <c r="AM594" s="0" t="s">
        <v>3565</v>
      </c>
      <c r="AN594" s="0" t="s">
        <v>4189</v>
      </c>
      <c r="AO594" s="0" t="s">
        <v>4856</v>
      </c>
      <c r="AP594" s="0" t="s">
        <v>228</v>
      </c>
      <c r="AQ594" s="0" t="s">
        <v>228</v>
      </c>
      <c r="AR594" s="0" t="s">
        <v>228</v>
      </c>
      <c r="AS594" s="0" t="s">
        <v>228</v>
      </c>
      <c r="AT594" s="0" t="s">
        <v>228</v>
      </c>
      <c r="AU594" s="0" t="s">
        <v>228</v>
      </c>
      <c r="AV594" s="0" t="s">
        <v>228</v>
      </c>
      <c r="AW594" s="0" t="s">
        <v>228</v>
      </c>
      <c r="AX594" s="0" t="s">
        <v>228</v>
      </c>
      <c r="AY594" s="0" t="s">
        <v>228</v>
      </c>
      <c r="AZ594" s="0" t="s">
        <v>228</v>
      </c>
      <c r="BA594" s="0" t="s">
        <v>228</v>
      </c>
      <c r="BB594" s="0" t="s">
        <v>228</v>
      </c>
      <c r="BC594" s="0" t="s">
        <v>228</v>
      </c>
      <c r="BD594" s="0" t="s">
        <v>228</v>
      </c>
      <c r="BE594" s="0" t="s">
        <v>228</v>
      </c>
      <c r="BF594" s="0" t="s">
        <v>228</v>
      </c>
      <c r="BG594" s="0" t="s">
        <v>228</v>
      </c>
      <c r="BH594" s="0" t="s">
        <v>228</v>
      </c>
      <c r="BI594" s="0" t="s">
        <v>228</v>
      </c>
      <c r="BJ594" s="0" t="s">
        <v>228</v>
      </c>
      <c r="BK594" s="0" t="s">
        <v>228</v>
      </c>
      <c r="BL594" s="0" t="s">
        <v>228</v>
      </c>
      <c r="BM594" s="0" t="s">
        <v>228</v>
      </c>
      <c r="BN594" s="0" t="s">
        <v>228</v>
      </c>
      <c r="BO594" s="0" t="s">
        <v>228</v>
      </c>
      <c r="BP594" s="0" t="s">
        <v>228</v>
      </c>
      <c r="BQ594" s="0" t="s">
        <v>228</v>
      </c>
      <c r="BR594" s="0" t="s">
        <v>228</v>
      </c>
      <c r="BS594" s="0" t="s">
        <v>228</v>
      </c>
      <c r="BT594" s="0" t="s">
        <v>228</v>
      </c>
      <c r="BU594" s="0" t="s">
        <v>228</v>
      </c>
      <c r="BV594" s="0" t="s">
        <v>228</v>
      </c>
      <c r="BW594" s="0" t="s">
        <v>228</v>
      </c>
      <c r="BX594" s="0" t="s">
        <v>228</v>
      </c>
      <c r="BY594" s="0" t="s">
        <v>228</v>
      </c>
      <c r="BZ594" s="0" t="s">
        <v>228</v>
      </c>
      <c r="CA594" s="0" t="s">
        <v>228</v>
      </c>
      <c r="CB594" s="0" t="s">
        <v>228</v>
      </c>
      <c r="CC594" s="0" t="s">
        <v>228</v>
      </c>
      <c r="CD594" s="0" t="s">
        <v>228</v>
      </c>
      <c r="CE594" s="0" t="s">
        <v>228</v>
      </c>
      <c r="CF594" s="0" t="s">
        <v>228</v>
      </c>
      <c r="CG594" s="0" t="s">
        <v>228</v>
      </c>
      <c r="CH594" s="0" t="s">
        <v>228</v>
      </c>
      <c r="CI594" s="0" t="s">
        <v>228</v>
      </c>
      <c r="CJ594" s="0" t="s">
        <v>228</v>
      </c>
      <c r="CK594" s="0" t="s">
        <v>228</v>
      </c>
      <c r="CL594" s="0" t="s">
        <v>228</v>
      </c>
      <c r="CM594" s="0" t="s">
        <v>228</v>
      </c>
      <c r="CN594" s="0" t="s">
        <v>228</v>
      </c>
      <c r="CO594" s="0" t="s">
        <v>228</v>
      </c>
      <c r="CP594" s="0" t="s">
        <v>228</v>
      </c>
      <c r="CQ594" s="0" t="s">
        <v>228</v>
      </c>
      <c r="CR594" s="0" t="s">
        <v>228</v>
      </c>
      <c r="CS594" s="0" t="s">
        <v>228</v>
      </c>
      <c r="CT594" s="0" t="s">
        <v>3568</v>
      </c>
      <c r="CU594" s="0" t="s">
        <v>3569</v>
      </c>
      <c r="CV594" s="0" t="s">
        <v>418</v>
      </c>
      <c r="CW594" s="0" t="s">
        <v>3570</v>
      </c>
      <c r="CX594" s="0" t="s">
        <v>419</v>
      </c>
      <c r="CY594" s="0" t="s">
        <v>418</v>
      </c>
      <c r="CZ594" s="0" t="s">
        <v>3571</v>
      </c>
      <c r="DA594" s="0" t="s">
        <v>420</v>
      </c>
      <c r="DB594" s="0" t="s">
        <v>3570</v>
      </c>
      <c r="DC594" s="0" t="s">
        <v>362</v>
      </c>
      <c r="DD594" s="0" t="s">
        <v>3572</v>
      </c>
      <c r="DE594" s="0" t="s">
        <v>4857</v>
      </c>
    </row>
    <row customHeight="1" ht="11.25">
      <c r="A595" s="1353" t="s">
        <v>228</v>
      </c>
      <c r="B595" s="0" t="s">
        <v>228</v>
      </c>
      <c r="C595" s="0" t="s">
        <v>228</v>
      </c>
      <c r="D595" s="0" t="s">
        <v>228</v>
      </c>
      <c r="E595" s="0" t="s">
        <v>228</v>
      </c>
      <c r="F595" s="0" t="s">
        <v>228</v>
      </c>
      <c r="G595" s="0" t="s">
        <v>228</v>
      </c>
      <c r="H595" s="0" t="s">
        <v>228</v>
      </c>
      <c r="I595" s="0" t="s">
        <v>3555</v>
      </c>
      <c r="J595" s="0" t="s">
        <v>228</v>
      </c>
      <c r="K595" s="0" t="s">
        <v>228</v>
      </c>
      <c r="L595" s="0" t="s">
        <v>228</v>
      </c>
      <c r="M595" s="0" t="s">
        <v>228</v>
      </c>
      <c r="N595" s="0" t="s">
        <v>228</v>
      </c>
      <c r="O595" s="0" t="s">
        <v>228</v>
      </c>
      <c r="P595" s="0" t="s">
        <v>228</v>
      </c>
      <c r="Q595" s="0" t="s">
        <v>228</v>
      </c>
      <c r="R595" s="0" t="s">
        <v>5116</v>
      </c>
      <c r="S595" s="0" t="s">
        <v>228</v>
      </c>
      <c r="T595" s="0" t="s">
        <v>228</v>
      </c>
      <c r="U595" s="0" t="s">
        <v>101</v>
      </c>
      <c r="V595" s="0" t="s">
        <v>228</v>
      </c>
      <c r="W595" s="0" t="s">
        <v>228</v>
      </c>
      <c r="X595" s="0" t="s">
        <v>3557</v>
      </c>
      <c r="Y595" s="0" t="s">
        <v>228</v>
      </c>
      <c r="Z595" s="0" t="s">
        <v>160</v>
      </c>
      <c r="AA595" s="0" t="s">
        <v>151</v>
      </c>
      <c r="AB595" s="0" t="s">
        <v>151</v>
      </c>
      <c r="AC595" s="0" t="s">
        <v>2715</v>
      </c>
      <c r="AD595" s="0" t="s">
        <v>2715</v>
      </c>
      <c r="AE595" s="0" t="s">
        <v>2716</v>
      </c>
      <c r="AF595" s="0" t="s">
        <v>3594</v>
      </c>
      <c r="AG595" s="0" t="s">
        <v>3595</v>
      </c>
      <c r="AH595" s="0" t="s">
        <v>3704</v>
      </c>
      <c r="AI595" s="0" t="s">
        <v>3608</v>
      </c>
      <c r="AJ595" s="0" t="s">
        <v>3663</v>
      </c>
      <c r="AK595" s="0" t="s">
        <v>4420</v>
      </c>
      <c r="AL595" s="0" t="s">
        <v>3599</v>
      </c>
      <c r="AM595" s="0" t="s">
        <v>3565</v>
      </c>
      <c r="AN595" s="0" t="s">
        <v>4421</v>
      </c>
      <c r="AO595" s="0" t="s">
        <v>4422</v>
      </c>
      <c r="AP595" s="0" t="s">
        <v>228</v>
      </c>
      <c r="AQ595" s="0" t="s">
        <v>228</v>
      </c>
      <c r="AR595" s="0" t="s">
        <v>228</v>
      </c>
      <c r="AS595" s="0" t="s">
        <v>228</v>
      </c>
      <c r="AT595" s="0" t="s">
        <v>228</v>
      </c>
      <c r="AU595" s="0" t="s">
        <v>228</v>
      </c>
      <c r="AV595" s="0" t="s">
        <v>228</v>
      </c>
      <c r="AW595" s="0" t="s">
        <v>228</v>
      </c>
      <c r="AX595" s="0" t="s">
        <v>228</v>
      </c>
      <c r="AY595" s="0" t="s">
        <v>228</v>
      </c>
      <c r="AZ595" s="0" t="s">
        <v>228</v>
      </c>
      <c r="BA595" s="0" t="s">
        <v>228</v>
      </c>
      <c r="BB595" s="0" t="s">
        <v>228</v>
      </c>
      <c r="BC595" s="0" t="s">
        <v>228</v>
      </c>
      <c r="BD595" s="0" t="s">
        <v>228</v>
      </c>
      <c r="BE595" s="0" t="s">
        <v>228</v>
      </c>
      <c r="BF595" s="0" t="s">
        <v>228</v>
      </c>
      <c r="BG595" s="0" t="s">
        <v>228</v>
      </c>
      <c r="BH595" s="0" t="s">
        <v>228</v>
      </c>
      <c r="BI595" s="0" t="s">
        <v>228</v>
      </c>
      <c r="BJ595" s="0" t="s">
        <v>228</v>
      </c>
      <c r="BK595" s="0" t="s">
        <v>228</v>
      </c>
      <c r="BL595" s="0" t="s">
        <v>228</v>
      </c>
      <c r="BM595" s="0" t="s">
        <v>228</v>
      </c>
      <c r="BN595" s="0" t="s">
        <v>228</v>
      </c>
      <c r="BO595" s="0" t="s">
        <v>228</v>
      </c>
      <c r="BP595" s="0" t="s">
        <v>228</v>
      </c>
      <c r="BQ595" s="0" t="s">
        <v>228</v>
      </c>
      <c r="BR595" s="0" t="s">
        <v>228</v>
      </c>
      <c r="BS595" s="0" t="s">
        <v>228</v>
      </c>
      <c r="BT595" s="0" t="s">
        <v>228</v>
      </c>
      <c r="BU595" s="0" t="s">
        <v>228</v>
      </c>
      <c r="BV595" s="0" t="s">
        <v>228</v>
      </c>
      <c r="BW595" s="0" t="s">
        <v>228</v>
      </c>
      <c r="BX595" s="0" t="s">
        <v>228</v>
      </c>
      <c r="BY595" s="0" t="s">
        <v>228</v>
      </c>
      <c r="BZ595" s="0" t="s">
        <v>228</v>
      </c>
      <c r="CA595" s="0" t="s">
        <v>228</v>
      </c>
      <c r="CB595" s="0" t="s">
        <v>228</v>
      </c>
      <c r="CC595" s="0" t="s">
        <v>228</v>
      </c>
      <c r="CD595" s="0" t="s">
        <v>228</v>
      </c>
      <c r="CE595" s="0" t="s">
        <v>228</v>
      </c>
      <c r="CF595" s="0" t="s">
        <v>228</v>
      </c>
      <c r="CG595" s="0" t="s">
        <v>228</v>
      </c>
      <c r="CH595" s="0" t="s">
        <v>228</v>
      </c>
      <c r="CI595" s="0" t="s">
        <v>228</v>
      </c>
      <c r="CJ595" s="0" t="s">
        <v>228</v>
      </c>
      <c r="CK595" s="0" t="s">
        <v>228</v>
      </c>
      <c r="CL595" s="0" t="s">
        <v>228</v>
      </c>
      <c r="CM595" s="0" t="s">
        <v>228</v>
      </c>
      <c r="CN595" s="0" t="s">
        <v>228</v>
      </c>
      <c r="CO595" s="0" t="s">
        <v>228</v>
      </c>
      <c r="CP595" s="0" t="s">
        <v>228</v>
      </c>
      <c r="CQ595" s="0" t="s">
        <v>228</v>
      </c>
      <c r="CR595" s="0" t="s">
        <v>228</v>
      </c>
      <c r="CS595" s="0" t="s">
        <v>228</v>
      </c>
      <c r="CT595" s="0" t="s">
        <v>3568</v>
      </c>
      <c r="CU595" s="0" t="s">
        <v>3569</v>
      </c>
      <c r="CV595" s="0" t="s">
        <v>418</v>
      </c>
      <c r="CW595" s="0" t="s">
        <v>3602</v>
      </c>
      <c r="CX595" s="0" t="s">
        <v>3603</v>
      </c>
      <c r="CY595" s="0" t="s">
        <v>418</v>
      </c>
      <c r="CZ595" s="0" t="s">
        <v>504</v>
      </c>
      <c r="DA595" s="0" t="s">
        <v>3604</v>
      </c>
      <c r="DB595" s="0" t="s">
        <v>3602</v>
      </c>
      <c r="DC595" s="0" t="s">
        <v>362</v>
      </c>
      <c r="DD595" s="0" t="s">
        <v>3572</v>
      </c>
      <c r="DE595" s="0" t="s">
        <v>3707</v>
      </c>
    </row>
    <row customHeight="1" ht="11.25">
      <c r="A596" s="1353" t="s">
        <v>228</v>
      </c>
      <c r="B596" s="0" t="s">
        <v>228</v>
      </c>
      <c r="C596" s="0" t="s">
        <v>228</v>
      </c>
      <c r="D596" s="0" t="s">
        <v>228</v>
      </c>
      <c r="E596" s="0" t="s">
        <v>228</v>
      </c>
      <c r="F596" s="0" t="s">
        <v>228</v>
      </c>
      <c r="G596" s="0" t="s">
        <v>228</v>
      </c>
      <c r="H596" s="0" t="s">
        <v>228</v>
      </c>
      <c r="I596" s="0" t="s">
        <v>3555</v>
      </c>
      <c r="J596" s="0" t="s">
        <v>228</v>
      </c>
      <c r="K596" s="0" t="s">
        <v>228</v>
      </c>
      <c r="L596" s="0" t="s">
        <v>228</v>
      </c>
      <c r="M596" s="0" t="s">
        <v>228</v>
      </c>
      <c r="N596" s="0" t="s">
        <v>228</v>
      </c>
      <c r="O596" s="0" t="s">
        <v>228</v>
      </c>
      <c r="P596" s="0" t="s">
        <v>228</v>
      </c>
      <c r="Q596" s="0" t="s">
        <v>228</v>
      </c>
      <c r="R596" s="0" t="s">
        <v>4409</v>
      </c>
      <c r="S596" s="0" t="s">
        <v>228</v>
      </c>
      <c r="T596" s="0" t="s">
        <v>228</v>
      </c>
      <c r="U596" s="0" t="s">
        <v>101</v>
      </c>
      <c r="V596" s="0" t="s">
        <v>228</v>
      </c>
      <c r="W596" s="0" t="s">
        <v>228</v>
      </c>
      <c r="X596" s="0" t="s">
        <v>3661</v>
      </c>
      <c r="Y596" s="0" t="s">
        <v>228</v>
      </c>
      <c r="Z596" s="0" t="s">
        <v>151</v>
      </c>
      <c r="AA596" s="0" t="s">
        <v>151</v>
      </c>
      <c r="AB596" s="0" t="s">
        <v>160</v>
      </c>
      <c r="AC596" s="0" t="s">
        <v>2311</v>
      </c>
      <c r="AD596" s="0" t="s">
        <v>2311</v>
      </c>
      <c r="AE596" s="0" t="s">
        <v>2312</v>
      </c>
      <c r="AF596" s="0" t="s">
        <v>4423</v>
      </c>
      <c r="AG596" s="0" t="s">
        <v>4424</v>
      </c>
      <c r="AH596" s="0" t="s">
        <v>4425</v>
      </c>
      <c r="AI596" s="0" t="s">
        <v>4426</v>
      </c>
      <c r="AJ596" s="0" t="s">
        <v>228</v>
      </c>
      <c r="AK596" s="0" t="s">
        <v>228</v>
      </c>
      <c r="AL596" s="0" t="s">
        <v>228</v>
      </c>
      <c r="AM596" s="0" t="s">
        <v>228</v>
      </c>
      <c r="AN596" s="0" t="s">
        <v>228</v>
      </c>
      <c r="AO596" s="0" t="s">
        <v>228</v>
      </c>
      <c r="AP596" s="0" t="s">
        <v>228</v>
      </c>
      <c r="AQ596" s="0" t="s">
        <v>228</v>
      </c>
      <c r="AR596" s="0" t="s">
        <v>228</v>
      </c>
      <c r="AS596" s="0" t="s">
        <v>228</v>
      </c>
      <c r="AT596" s="0" t="s">
        <v>228</v>
      </c>
      <c r="AU596" s="0" t="s">
        <v>228</v>
      </c>
      <c r="AV596" s="0" t="s">
        <v>228</v>
      </c>
      <c r="AW596" s="0" t="s">
        <v>228</v>
      </c>
      <c r="AX596" s="0" t="s">
        <v>228</v>
      </c>
      <c r="AY596" s="0" t="s">
        <v>228</v>
      </c>
      <c r="AZ596" s="0" t="s">
        <v>228</v>
      </c>
      <c r="BA596" s="0" t="s">
        <v>228</v>
      </c>
      <c r="BB596" s="0" t="s">
        <v>228</v>
      </c>
      <c r="BC596" s="0" t="s">
        <v>228</v>
      </c>
      <c r="BD596" s="0" t="s">
        <v>228</v>
      </c>
      <c r="BE596" s="0" t="s">
        <v>3722</v>
      </c>
      <c r="BF596" s="0" t="s">
        <v>3722</v>
      </c>
      <c r="BG596" s="0" t="s">
        <v>111</v>
      </c>
      <c r="BH596" s="0" t="s">
        <v>3665</v>
      </c>
      <c r="BI596" s="0" t="s">
        <v>122</v>
      </c>
      <c r="BJ596" s="0" t="s">
        <v>228</v>
      </c>
      <c r="BK596" s="0" t="s">
        <v>3684</v>
      </c>
      <c r="BL596" s="0" t="s">
        <v>2311</v>
      </c>
      <c r="BM596" s="0" t="s">
        <v>2311</v>
      </c>
      <c r="BN596" s="0" t="s">
        <v>3723</v>
      </c>
      <c r="BO596" s="0" t="s">
        <v>4423</v>
      </c>
      <c r="BP596" s="0" t="s">
        <v>4427</v>
      </c>
      <c r="BQ596" s="0" t="s">
        <v>4415</v>
      </c>
      <c r="BR596" s="0" t="s">
        <v>4416</v>
      </c>
      <c r="BS596" s="0" t="s">
        <v>228</v>
      </c>
      <c r="BT596" s="0" t="s">
        <v>3727</v>
      </c>
      <c r="BU596" s="0" t="s">
        <v>4428</v>
      </c>
      <c r="BV596" s="0" t="s">
        <v>4428</v>
      </c>
      <c r="BW596" s="0" t="s">
        <v>3674</v>
      </c>
      <c r="BX596" s="0" t="s">
        <v>3674</v>
      </c>
      <c r="BY596" s="0" t="s">
        <v>3674</v>
      </c>
      <c r="BZ596" s="0" t="s">
        <v>3674</v>
      </c>
      <c r="CA596" s="0" t="s">
        <v>3674</v>
      </c>
      <c r="CB596" s="0" t="s">
        <v>228</v>
      </c>
      <c r="CC596" s="0" t="s">
        <v>228</v>
      </c>
      <c r="CD596" s="0" t="s">
        <v>228</v>
      </c>
      <c r="CE596" s="0" t="s">
        <v>228</v>
      </c>
      <c r="CF596" s="0" t="s">
        <v>228</v>
      </c>
      <c r="CG596" s="0" t="s">
        <v>3674</v>
      </c>
      <c r="CH596" s="0" t="s">
        <v>228</v>
      </c>
      <c r="CI596" s="0" t="s">
        <v>228</v>
      </c>
      <c r="CJ596" s="0" t="s">
        <v>228</v>
      </c>
      <c r="CK596" s="0" t="s">
        <v>228</v>
      </c>
      <c r="CL596" s="0" t="s">
        <v>228</v>
      </c>
      <c r="CM596" s="0" t="s">
        <v>4428</v>
      </c>
      <c r="CN596" s="0" t="s">
        <v>4428</v>
      </c>
      <c r="CO596" s="0" t="s">
        <v>228</v>
      </c>
      <c r="CP596" s="0" t="s">
        <v>228</v>
      </c>
      <c r="CQ596" s="0" t="s">
        <v>228</v>
      </c>
      <c r="CR596" s="0" t="s">
        <v>228</v>
      </c>
      <c r="CS596" s="0" t="s">
        <v>3582</v>
      </c>
      <c r="CT596" s="0" t="s">
        <v>3568</v>
      </c>
      <c r="CU596" s="0" t="s">
        <v>3569</v>
      </c>
      <c r="CV596" s="0" t="s">
        <v>418</v>
      </c>
      <c r="CW596" s="0" t="s">
        <v>3584</v>
      </c>
      <c r="CX596" s="0" t="s">
        <v>419</v>
      </c>
      <c r="CY596" s="0" t="s">
        <v>418</v>
      </c>
      <c r="CZ596" s="0" t="s">
        <v>3585</v>
      </c>
      <c r="DA596" s="0" t="s">
        <v>3586</v>
      </c>
      <c r="DB596" s="0" t="s">
        <v>3584</v>
      </c>
      <c r="DC596" s="0" t="s">
        <v>362</v>
      </c>
      <c r="DD596" s="0" t="s">
        <v>3572</v>
      </c>
      <c r="DE596" s="0" t="s">
        <v>4429</v>
      </c>
    </row>
    <row customHeight="1" ht="11.25">
      <c r="A597" s="1353" t="s">
        <v>228</v>
      </c>
      <c r="B597" s="0" t="s">
        <v>228</v>
      </c>
      <c r="C597" s="0" t="s">
        <v>228</v>
      </c>
      <c r="D597" s="0" t="s">
        <v>228</v>
      </c>
      <c r="E597" s="0" t="s">
        <v>228</v>
      </c>
      <c r="F597" s="0" t="s">
        <v>228</v>
      </c>
      <c r="G597" s="0" t="s">
        <v>228</v>
      </c>
      <c r="H597" s="0" t="s">
        <v>228</v>
      </c>
      <c r="I597" s="0" t="s">
        <v>3555</v>
      </c>
      <c r="J597" s="0" t="s">
        <v>228</v>
      </c>
      <c r="K597" s="0" t="s">
        <v>228</v>
      </c>
      <c r="L597" s="0" t="s">
        <v>228</v>
      </c>
      <c r="M597" s="0" t="s">
        <v>228</v>
      </c>
      <c r="N597" s="0" t="s">
        <v>228</v>
      </c>
      <c r="O597" s="0" t="s">
        <v>228</v>
      </c>
      <c r="P597" s="0" t="s">
        <v>228</v>
      </c>
      <c r="Q597" s="0" t="s">
        <v>228</v>
      </c>
      <c r="R597" s="0" t="s">
        <v>4409</v>
      </c>
      <c r="S597" s="0" t="s">
        <v>228</v>
      </c>
      <c r="T597" s="0" t="s">
        <v>228</v>
      </c>
      <c r="U597" s="0" t="s">
        <v>101</v>
      </c>
      <c r="V597" s="0" t="s">
        <v>228</v>
      </c>
      <c r="W597" s="0" t="s">
        <v>228</v>
      </c>
      <c r="X597" s="0" t="s">
        <v>3661</v>
      </c>
      <c r="Y597" s="0" t="s">
        <v>228</v>
      </c>
      <c r="Z597" s="0" t="s">
        <v>151</v>
      </c>
      <c r="AA597" s="0" t="s">
        <v>151</v>
      </c>
      <c r="AB597" s="0" t="s">
        <v>160</v>
      </c>
      <c r="AC597" s="0" t="s">
        <v>2311</v>
      </c>
      <c r="AD597" s="0" t="s">
        <v>2311</v>
      </c>
      <c r="AE597" s="0" t="s">
        <v>2312</v>
      </c>
      <c r="AF597" s="0" t="s">
        <v>4617</v>
      </c>
      <c r="AG597" s="0" t="s">
        <v>4618</v>
      </c>
      <c r="AH597" s="0" t="s">
        <v>4619</v>
      </c>
      <c r="AI597" s="0" t="s">
        <v>4620</v>
      </c>
      <c r="AJ597" s="0" t="s">
        <v>228</v>
      </c>
      <c r="AK597" s="0" t="s">
        <v>228</v>
      </c>
      <c r="AL597" s="0" t="s">
        <v>228</v>
      </c>
      <c r="AM597" s="0" t="s">
        <v>228</v>
      </c>
      <c r="AN597" s="0" t="s">
        <v>228</v>
      </c>
      <c r="AO597" s="0" t="s">
        <v>228</v>
      </c>
      <c r="AP597" s="0" t="s">
        <v>228</v>
      </c>
      <c r="AQ597" s="0" t="s">
        <v>228</v>
      </c>
      <c r="AR597" s="0" t="s">
        <v>228</v>
      </c>
      <c r="AS597" s="0" t="s">
        <v>228</v>
      </c>
      <c r="AT597" s="0" t="s">
        <v>228</v>
      </c>
      <c r="AU597" s="0" t="s">
        <v>228</v>
      </c>
      <c r="AV597" s="0" t="s">
        <v>228</v>
      </c>
      <c r="AW597" s="0" t="s">
        <v>228</v>
      </c>
      <c r="AX597" s="0" t="s">
        <v>228</v>
      </c>
      <c r="AY597" s="0" t="s">
        <v>228</v>
      </c>
      <c r="AZ597" s="0" t="s">
        <v>228</v>
      </c>
      <c r="BA597" s="0" t="s">
        <v>228</v>
      </c>
      <c r="BB597" s="0" t="s">
        <v>228</v>
      </c>
      <c r="BC597" s="0" t="s">
        <v>228</v>
      </c>
      <c r="BD597" s="0" t="s">
        <v>228</v>
      </c>
      <c r="BE597" s="0" t="s">
        <v>3722</v>
      </c>
      <c r="BF597" s="0" t="s">
        <v>3722</v>
      </c>
      <c r="BG597" s="0" t="s">
        <v>111</v>
      </c>
      <c r="BH597" s="0" t="s">
        <v>3665</v>
      </c>
      <c r="BI597" s="0" t="s">
        <v>122</v>
      </c>
      <c r="BJ597" s="0" t="s">
        <v>228</v>
      </c>
      <c r="BK597" s="0" t="s">
        <v>3684</v>
      </c>
      <c r="BL597" s="0" t="s">
        <v>2311</v>
      </c>
      <c r="BM597" s="0" t="s">
        <v>2311</v>
      </c>
      <c r="BN597" s="0" t="s">
        <v>3723</v>
      </c>
      <c r="BO597" s="0" t="s">
        <v>4617</v>
      </c>
      <c r="BP597" s="0" t="s">
        <v>4621</v>
      </c>
      <c r="BQ597" s="0" t="s">
        <v>4415</v>
      </c>
      <c r="BR597" s="0" t="s">
        <v>4416</v>
      </c>
      <c r="BS597" s="0" t="s">
        <v>228</v>
      </c>
      <c r="BT597" s="0" t="s">
        <v>3727</v>
      </c>
      <c r="BU597" s="0" t="s">
        <v>4622</v>
      </c>
      <c r="BV597" s="0" t="s">
        <v>4622</v>
      </c>
      <c r="BW597" s="0" t="s">
        <v>3674</v>
      </c>
      <c r="BX597" s="0" t="s">
        <v>3674</v>
      </c>
      <c r="BY597" s="0" t="s">
        <v>3674</v>
      </c>
      <c r="BZ597" s="0" t="s">
        <v>3674</v>
      </c>
      <c r="CA597" s="0" t="s">
        <v>3674</v>
      </c>
      <c r="CB597" s="0" t="s">
        <v>228</v>
      </c>
      <c r="CC597" s="0" t="s">
        <v>228</v>
      </c>
      <c r="CD597" s="0" t="s">
        <v>228</v>
      </c>
      <c r="CE597" s="0" t="s">
        <v>228</v>
      </c>
      <c r="CF597" s="0" t="s">
        <v>228</v>
      </c>
      <c r="CG597" s="0" t="s">
        <v>3674</v>
      </c>
      <c r="CH597" s="0" t="s">
        <v>228</v>
      </c>
      <c r="CI597" s="0" t="s">
        <v>228</v>
      </c>
      <c r="CJ597" s="0" t="s">
        <v>228</v>
      </c>
      <c r="CK597" s="0" t="s">
        <v>228</v>
      </c>
      <c r="CL597" s="0" t="s">
        <v>228</v>
      </c>
      <c r="CM597" s="0" t="s">
        <v>4622</v>
      </c>
      <c r="CN597" s="0" t="s">
        <v>4622</v>
      </c>
      <c r="CO597" s="0" t="s">
        <v>228</v>
      </c>
      <c r="CP597" s="0" t="s">
        <v>228</v>
      </c>
      <c r="CQ597" s="0" t="s">
        <v>228</v>
      </c>
      <c r="CR597" s="0" t="s">
        <v>228</v>
      </c>
      <c r="CS597" s="0" t="s">
        <v>3582</v>
      </c>
      <c r="CT597" s="0" t="s">
        <v>3568</v>
      </c>
      <c r="CU597" s="0" t="s">
        <v>3569</v>
      </c>
      <c r="CV597" s="0" t="s">
        <v>418</v>
      </c>
      <c r="CW597" s="0" t="s">
        <v>3584</v>
      </c>
      <c r="CX597" s="0" t="s">
        <v>419</v>
      </c>
      <c r="CY597" s="0" t="s">
        <v>418</v>
      </c>
      <c r="CZ597" s="0" t="s">
        <v>3585</v>
      </c>
      <c r="DA597" s="0" t="s">
        <v>3586</v>
      </c>
      <c r="DB597" s="0" t="s">
        <v>3584</v>
      </c>
      <c r="DC597" s="0" t="s">
        <v>362</v>
      </c>
      <c r="DD597" s="0" t="s">
        <v>3572</v>
      </c>
      <c r="DE597" s="0" t="s">
        <v>4623</v>
      </c>
    </row>
    <row customHeight="1" ht="11.25">
      <c r="A598" s="1353" t="s">
        <v>228</v>
      </c>
      <c r="B598" s="0" t="s">
        <v>228</v>
      </c>
      <c r="C598" s="0" t="s">
        <v>228</v>
      </c>
      <c r="D598" s="0" t="s">
        <v>228</v>
      </c>
      <c r="E598" s="0" t="s">
        <v>228</v>
      </c>
      <c r="F598" s="0" t="s">
        <v>228</v>
      </c>
      <c r="G598" s="0" t="s">
        <v>228</v>
      </c>
      <c r="H598" s="0" t="s">
        <v>228</v>
      </c>
      <c r="I598" s="0" t="s">
        <v>3555</v>
      </c>
      <c r="J598" s="0" t="s">
        <v>228</v>
      </c>
      <c r="K598" s="0" t="s">
        <v>228</v>
      </c>
      <c r="L598" s="0" t="s">
        <v>228</v>
      </c>
      <c r="M598" s="0" t="s">
        <v>228</v>
      </c>
      <c r="N598" s="0" t="s">
        <v>228</v>
      </c>
      <c r="O598" s="0" t="s">
        <v>228</v>
      </c>
      <c r="P598" s="0" t="s">
        <v>228</v>
      </c>
      <c r="Q598" s="0" t="s">
        <v>228</v>
      </c>
      <c r="R598" s="0" t="s">
        <v>4835</v>
      </c>
      <c r="S598" s="0" t="s">
        <v>228</v>
      </c>
      <c r="T598" s="0" t="s">
        <v>228</v>
      </c>
      <c r="U598" s="0" t="s">
        <v>101</v>
      </c>
      <c r="V598" s="0" t="s">
        <v>228</v>
      </c>
      <c r="W598" s="0" t="s">
        <v>228</v>
      </c>
      <c r="X598" s="0" t="s">
        <v>3557</v>
      </c>
      <c r="Y598" s="0" t="s">
        <v>228</v>
      </c>
      <c r="Z598" s="0" t="s">
        <v>160</v>
      </c>
      <c r="AA598" s="0" t="s">
        <v>151</v>
      </c>
      <c r="AB598" s="0" t="s">
        <v>151</v>
      </c>
      <c r="AC598" s="0" t="s">
        <v>2317</v>
      </c>
      <c r="AD598" s="0" t="s">
        <v>2317</v>
      </c>
      <c r="AE598" s="0" t="s">
        <v>2318</v>
      </c>
      <c r="AF598" s="0" t="s">
        <v>3826</v>
      </c>
      <c r="AG598" s="0" t="s">
        <v>3827</v>
      </c>
      <c r="AH598" s="0" t="s">
        <v>4836</v>
      </c>
      <c r="AI598" s="0" t="s">
        <v>4393</v>
      </c>
      <c r="AJ598" s="0" t="s">
        <v>3579</v>
      </c>
      <c r="AK598" s="0" t="s">
        <v>3808</v>
      </c>
      <c r="AL598" s="0" t="s">
        <v>3581</v>
      </c>
      <c r="AM598" s="0" t="s">
        <v>3565</v>
      </c>
      <c r="AN598" s="0" t="s">
        <v>3628</v>
      </c>
      <c r="AO598" s="0" t="s">
        <v>3757</v>
      </c>
      <c r="AP598" s="0" t="s">
        <v>228</v>
      </c>
      <c r="AQ598" s="0" t="s">
        <v>228</v>
      </c>
      <c r="AR598" s="0" t="s">
        <v>228</v>
      </c>
      <c r="AS598" s="0" t="s">
        <v>228</v>
      </c>
      <c r="AT598" s="0" t="s">
        <v>228</v>
      </c>
      <c r="AU598" s="0" t="s">
        <v>228</v>
      </c>
      <c r="AV598" s="0" t="s">
        <v>228</v>
      </c>
      <c r="AW598" s="0" t="s">
        <v>228</v>
      </c>
      <c r="AX598" s="0" t="s">
        <v>228</v>
      </c>
      <c r="AY598" s="0" t="s">
        <v>228</v>
      </c>
      <c r="AZ598" s="0" t="s">
        <v>228</v>
      </c>
      <c r="BA598" s="0" t="s">
        <v>228</v>
      </c>
      <c r="BB598" s="0" t="s">
        <v>228</v>
      </c>
      <c r="BC598" s="0" t="s">
        <v>228</v>
      </c>
      <c r="BD598" s="0" t="s">
        <v>228</v>
      </c>
      <c r="BE598" s="0" t="s">
        <v>228</v>
      </c>
      <c r="BF598" s="0" t="s">
        <v>228</v>
      </c>
      <c r="BG598" s="0" t="s">
        <v>228</v>
      </c>
      <c r="BH598" s="0" t="s">
        <v>228</v>
      </c>
      <c r="BI598" s="0" t="s">
        <v>228</v>
      </c>
      <c r="BJ598" s="0" t="s">
        <v>228</v>
      </c>
      <c r="BK598" s="0" t="s">
        <v>228</v>
      </c>
      <c r="BL598" s="0" t="s">
        <v>228</v>
      </c>
      <c r="BM598" s="0" t="s">
        <v>228</v>
      </c>
      <c r="BN598" s="0" t="s">
        <v>228</v>
      </c>
      <c r="BO598" s="0" t="s">
        <v>228</v>
      </c>
      <c r="BP598" s="0" t="s">
        <v>228</v>
      </c>
      <c r="BQ598" s="0" t="s">
        <v>228</v>
      </c>
      <c r="BR598" s="0" t="s">
        <v>228</v>
      </c>
      <c r="BS598" s="0" t="s">
        <v>228</v>
      </c>
      <c r="BT598" s="0" t="s">
        <v>228</v>
      </c>
      <c r="BU598" s="0" t="s">
        <v>228</v>
      </c>
      <c r="BV598" s="0" t="s">
        <v>228</v>
      </c>
      <c r="BW598" s="0" t="s">
        <v>228</v>
      </c>
      <c r="BX598" s="0" t="s">
        <v>228</v>
      </c>
      <c r="BY598" s="0" t="s">
        <v>228</v>
      </c>
      <c r="BZ598" s="0" t="s">
        <v>228</v>
      </c>
      <c r="CA598" s="0" t="s">
        <v>228</v>
      </c>
      <c r="CB598" s="0" t="s">
        <v>228</v>
      </c>
      <c r="CC598" s="0" t="s">
        <v>228</v>
      </c>
      <c r="CD598" s="0" t="s">
        <v>228</v>
      </c>
      <c r="CE598" s="0" t="s">
        <v>228</v>
      </c>
      <c r="CF598" s="0" t="s">
        <v>228</v>
      </c>
      <c r="CG598" s="0" t="s">
        <v>228</v>
      </c>
      <c r="CH598" s="0" t="s">
        <v>228</v>
      </c>
      <c r="CI598" s="0" t="s">
        <v>228</v>
      </c>
      <c r="CJ598" s="0" t="s">
        <v>228</v>
      </c>
      <c r="CK598" s="0" t="s">
        <v>228</v>
      </c>
      <c r="CL598" s="0" t="s">
        <v>228</v>
      </c>
      <c r="CM598" s="0" t="s">
        <v>228</v>
      </c>
      <c r="CN598" s="0" t="s">
        <v>228</v>
      </c>
      <c r="CO598" s="0" t="s">
        <v>228</v>
      </c>
      <c r="CP598" s="0" t="s">
        <v>228</v>
      </c>
      <c r="CQ598" s="0" t="s">
        <v>228</v>
      </c>
      <c r="CR598" s="0" t="s">
        <v>228</v>
      </c>
      <c r="CS598" s="0" t="s">
        <v>228</v>
      </c>
      <c r="CT598" s="0" t="s">
        <v>3568</v>
      </c>
      <c r="CU598" s="0" t="s">
        <v>3569</v>
      </c>
      <c r="CV598" s="0" t="s">
        <v>418</v>
      </c>
      <c r="CW598" s="0" t="s">
        <v>3622</v>
      </c>
      <c r="CX598" s="0" t="s">
        <v>419</v>
      </c>
      <c r="CY598" s="0" t="s">
        <v>418</v>
      </c>
      <c r="CZ598" s="0" t="s">
        <v>3623</v>
      </c>
      <c r="DA598" s="0" t="s">
        <v>3624</v>
      </c>
      <c r="DB598" s="0" t="s">
        <v>3622</v>
      </c>
      <c r="DC598" s="0" t="s">
        <v>362</v>
      </c>
      <c r="DD598" s="0" t="s">
        <v>3572</v>
      </c>
      <c r="DE598" s="0" t="s">
        <v>4837</v>
      </c>
    </row>
    <row customHeight="1" ht="11.25">
      <c r="A599" s="1353" t="s">
        <v>228</v>
      </c>
      <c r="B599" s="0" t="s">
        <v>228</v>
      </c>
      <c r="C599" s="0" t="s">
        <v>228</v>
      </c>
      <c r="D599" s="0" t="s">
        <v>228</v>
      </c>
      <c r="E599" s="0" t="s">
        <v>228</v>
      </c>
      <c r="F599" s="0" t="s">
        <v>228</v>
      </c>
      <c r="G599" s="0" t="s">
        <v>228</v>
      </c>
      <c r="H599" s="0" t="s">
        <v>228</v>
      </c>
      <c r="I599" s="0" t="s">
        <v>3555</v>
      </c>
      <c r="J599" s="0" t="s">
        <v>228</v>
      </c>
      <c r="K599" s="0" t="s">
        <v>228</v>
      </c>
      <c r="L599" s="0" t="s">
        <v>228</v>
      </c>
      <c r="M599" s="0" t="s">
        <v>228</v>
      </c>
      <c r="N599" s="0" t="s">
        <v>228</v>
      </c>
      <c r="O599" s="0" t="s">
        <v>228</v>
      </c>
      <c r="P599" s="0" t="s">
        <v>228</v>
      </c>
      <c r="Q599" s="0" t="s">
        <v>228</v>
      </c>
      <c r="R599" s="0" t="s">
        <v>4838</v>
      </c>
      <c r="S599" s="0" t="s">
        <v>228</v>
      </c>
      <c r="T599" s="0" t="s">
        <v>228</v>
      </c>
      <c r="U599" s="0" t="s">
        <v>101</v>
      </c>
      <c r="V599" s="0" t="s">
        <v>228</v>
      </c>
      <c r="W599" s="0" t="s">
        <v>228</v>
      </c>
      <c r="X599" s="0" t="s">
        <v>3557</v>
      </c>
      <c r="Y599" s="0" t="s">
        <v>228</v>
      </c>
      <c r="Z599" s="0" t="s">
        <v>160</v>
      </c>
      <c r="AA599" s="0" t="s">
        <v>151</v>
      </c>
      <c r="AB599" s="0" t="s">
        <v>151</v>
      </c>
      <c r="AC599" s="0" t="s">
        <v>2317</v>
      </c>
      <c r="AD599" s="0" t="s">
        <v>2317</v>
      </c>
      <c r="AE599" s="0" t="s">
        <v>2318</v>
      </c>
      <c r="AF599" s="0" t="s">
        <v>3826</v>
      </c>
      <c r="AG599" s="0" t="s">
        <v>3827</v>
      </c>
      <c r="AH599" s="0" t="s">
        <v>4839</v>
      </c>
      <c r="AI599" s="0" t="s">
        <v>4626</v>
      </c>
      <c r="AJ599" s="0" t="s">
        <v>3579</v>
      </c>
      <c r="AK599" s="0" t="s">
        <v>3619</v>
      </c>
      <c r="AL599" s="0" t="s">
        <v>3581</v>
      </c>
      <c r="AM599" s="0" t="s">
        <v>3565</v>
      </c>
      <c r="AN599" s="0" t="s">
        <v>3628</v>
      </c>
      <c r="AO599" s="0" t="s">
        <v>3695</v>
      </c>
      <c r="AP599" s="0" t="s">
        <v>228</v>
      </c>
      <c r="AQ599" s="0" t="s">
        <v>228</v>
      </c>
      <c r="AR599" s="0" t="s">
        <v>228</v>
      </c>
      <c r="AS599" s="0" t="s">
        <v>228</v>
      </c>
      <c r="AT599" s="0" t="s">
        <v>228</v>
      </c>
      <c r="AU599" s="0" t="s">
        <v>228</v>
      </c>
      <c r="AV599" s="0" t="s">
        <v>228</v>
      </c>
      <c r="AW599" s="0" t="s">
        <v>228</v>
      </c>
      <c r="AX599" s="0" t="s">
        <v>228</v>
      </c>
      <c r="AY599" s="0" t="s">
        <v>228</v>
      </c>
      <c r="AZ599" s="0" t="s">
        <v>228</v>
      </c>
      <c r="BA599" s="0" t="s">
        <v>228</v>
      </c>
      <c r="BB599" s="0" t="s">
        <v>228</v>
      </c>
      <c r="BC599" s="0" t="s">
        <v>228</v>
      </c>
      <c r="BD599" s="0" t="s">
        <v>228</v>
      </c>
      <c r="BE599" s="0" t="s">
        <v>228</v>
      </c>
      <c r="BF599" s="0" t="s">
        <v>228</v>
      </c>
      <c r="BG599" s="0" t="s">
        <v>228</v>
      </c>
      <c r="BH599" s="0" t="s">
        <v>228</v>
      </c>
      <c r="BI599" s="0" t="s">
        <v>228</v>
      </c>
      <c r="BJ599" s="0" t="s">
        <v>228</v>
      </c>
      <c r="BK599" s="0" t="s">
        <v>228</v>
      </c>
      <c r="BL599" s="0" t="s">
        <v>228</v>
      </c>
      <c r="BM599" s="0" t="s">
        <v>228</v>
      </c>
      <c r="BN599" s="0" t="s">
        <v>228</v>
      </c>
      <c r="BO599" s="0" t="s">
        <v>228</v>
      </c>
      <c r="BP599" s="0" t="s">
        <v>228</v>
      </c>
      <c r="BQ599" s="0" t="s">
        <v>228</v>
      </c>
      <c r="BR599" s="0" t="s">
        <v>228</v>
      </c>
      <c r="BS599" s="0" t="s">
        <v>228</v>
      </c>
      <c r="BT599" s="0" t="s">
        <v>228</v>
      </c>
      <c r="BU599" s="0" t="s">
        <v>228</v>
      </c>
      <c r="BV599" s="0" t="s">
        <v>228</v>
      </c>
      <c r="BW599" s="0" t="s">
        <v>228</v>
      </c>
      <c r="BX599" s="0" t="s">
        <v>228</v>
      </c>
      <c r="BY599" s="0" t="s">
        <v>228</v>
      </c>
      <c r="BZ599" s="0" t="s">
        <v>228</v>
      </c>
      <c r="CA599" s="0" t="s">
        <v>228</v>
      </c>
      <c r="CB599" s="0" t="s">
        <v>228</v>
      </c>
      <c r="CC599" s="0" t="s">
        <v>228</v>
      </c>
      <c r="CD599" s="0" t="s">
        <v>228</v>
      </c>
      <c r="CE599" s="0" t="s">
        <v>228</v>
      </c>
      <c r="CF599" s="0" t="s">
        <v>228</v>
      </c>
      <c r="CG599" s="0" t="s">
        <v>228</v>
      </c>
      <c r="CH599" s="0" t="s">
        <v>228</v>
      </c>
      <c r="CI599" s="0" t="s">
        <v>228</v>
      </c>
      <c r="CJ599" s="0" t="s">
        <v>228</v>
      </c>
      <c r="CK599" s="0" t="s">
        <v>228</v>
      </c>
      <c r="CL599" s="0" t="s">
        <v>228</v>
      </c>
      <c r="CM599" s="0" t="s">
        <v>228</v>
      </c>
      <c r="CN599" s="0" t="s">
        <v>228</v>
      </c>
      <c r="CO599" s="0" t="s">
        <v>228</v>
      </c>
      <c r="CP599" s="0" t="s">
        <v>228</v>
      </c>
      <c r="CQ599" s="0" t="s">
        <v>228</v>
      </c>
      <c r="CR599" s="0" t="s">
        <v>228</v>
      </c>
      <c r="CS599" s="0" t="s">
        <v>228</v>
      </c>
      <c r="CT599" s="0" t="s">
        <v>3568</v>
      </c>
      <c r="CU599" s="0" t="s">
        <v>3569</v>
      </c>
      <c r="CV599" s="0" t="s">
        <v>418</v>
      </c>
      <c r="CW599" s="0" t="s">
        <v>3622</v>
      </c>
      <c r="CX599" s="0" t="s">
        <v>419</v>
      </c>
      <c r="CY599" s="0" t="s">
        <v>418</v>
      </c>
      <c r="CZ599" s="0" t="s">
        <v>3623</v>
      </c>
      <c r="DA599" s="0" t="s">
        <v>3624</v>
      </c>
      <c r="DB599" s="0" t="s">
        <v>3622</v>
      </c>
      <c r="DC599" s="0" t="s">
        <v>362</v>
      </c>
      <c r="DD599" s="0" t="s">
        <v>3572</v>
      </c>
      <c r="DE599" s="0" t="s">
        <v>4840</v>
      </c>
    </row>
    <row customHeight="1" ht="11.25">
      <c r="A600" s="1353" t="s">
        <v>228</v>
      </c>
      <c r="B600" s="0" t="s">
        <v>228</v>
      </c>
      <c r="C600" s="0" t="s">
        <v>228</v>
      </c>
      <c r="D600" s="0" t="s">
        <v>228</v>
      </c>
      <c r="E600" s="0" t="s">
        <v>228</v>
      </c>
      <c r="F600" s="0" t="s">
        <v>228</v>
      </c>
      <c r="G600" s="0" t="s">
        <v>228</v>
      </c>
      <c r="H600" s="0" t="s">
        <v>228</v>
      </c>
      <c r="I600" s="0" t="s">
        <v>3555</v>
      </c>
      <c r="J600" s="0" t="s">
        <v>228</v>
      </c>
      <c r="K600" s="0" t="s">
        <v>228</v>
      </c>
      <c r="L600" s="0" t="s">
        <v>228</v>
      </c>
      <c r="M600" s="0" t="s">
        <v>228</v>
      </c>
      <c r="N600" s="0" t="s">
        <v>228</v>
      </c>
      <c r="O600" s="0" t="s">
        <v>228</v>
      </c>
      <c r="P600" s="0" t="s">
        <v>228</v>
      </c>
      <c r="Q600" s="0" t="s">
        <v>228</v>
      </c>
      <c r="R600" s="0" t="s">
        <v>3825</v>
      </c>
      <c r="S600" s="0" t="s">
        <v>228</v>
      </c>
      <c r="T600" s="0" t="s">
        <v>228</v>
      </c>
      <c r="U600" s="0" t="s">
        <v>101</v>
      </c>
      <c r="V600" s="0" t="s">
        <v>228</v>
      </c>
      <c r="W600" s="0" t="s">
        <v>228</v>
      </c>
      <c r="X600" s="0" t="s">
        <v>3557</v>
      </c>
      <c r="Y600" s="0" t="s">
        <v>228</v>
      </c>
      <c r="Z600" s="0" t="s">
        <v>160</v>
      </c>
      <c r="AA600" s="0" t="s">
        <v>151</v>
      </c>
      <c r="AB600" s="0" t="s">
        <v>151</v>
      </c>
      <c r="AC600" s="0" t="s">
        <v>2317</v>
      </c>
      <c r="AD600" s="0" t="s">
        <v>2317</v>
      </c>
      <c r="AE600" s="0" t="s">
        <v>2318</v>
      </c>
      <c r="AF600" s="0" t="s">
        <v>3826</v>
      </c>
      <c r="AG600" s="0" t="s">
        <v>3827</v>
      </c>
      <c r="AH600" s="0" t="s">
        <v>3828</v>
      </c>
      <c r="AI600" s="0" t="s">
        <v>3807</v>
      </c>
      <c r="AJ600" s="0" t="s">
        <v>3579</v>
      </c>
      <c r="AK600" s="0" t="s">
        <v>3627</v>
      </c>
      <c r="AL600" s="0" t="s">
        <v>3581</v>
      </c>
      <c r="AM600" s="0" t="s">
        <v>3565</v>
      </c>
      <c r="AN600" s="0" t="s">
        <v>3628</v>
      </c>
      <c r="AO600" s="0" t="s">
        <v>3829</v>
      </c>
      <c r="AP600" s="0" t="s">
        <v>228</v>
      </c>
      <c r="AQ600" s="0" t="s">
        <v>228</v>
      </c>
      <c r="AR600" s="0" t="s">
        <v>228</v>
      </c>
      <c r="AS600" s="0" t="s">
        <v>228</v>
      </c>
      <c r="AT600" s="0" t="s">
        <v>228</v>
      </c>
      <c r="AU600" s="0" t="s">
        <v>228</v>
      </c>
      <c r="AV600" s="0" t="s">
        <v>228</v>
      </c>
      <c r="AW600" s="0" t="s">
        <v>228</v>
      </c>
      <c r="AX600" s="0" t="s">
        <v>228</v>
      </c>
      <c r="AY600" s="0" t="s">
        <v>228</v>
      </c>
      <c r="AZ600" s="0" t="s">
        <v>228</v>
      </c>
      <c r="BA600" s="0" t="s">
        <v>228</v>
      </c>
      <c r="BB600" s="0" t="s">
        <v>228</v>
      </c>
      <c r="BC600" s="0" t="s">
        <v>228</v>
      </c>
      <c r="BD600" s="0" t="s">
        <v>228</v>
      </c>
      <c r="BE600" s="0" t="s">
        <v>228</v>
      </c>
      <c r="BF600" s="0" t="s">
        <v>228</v>
      </c>
      <c r="BG600" s="0" t="s">
        <v>228</v>
      </c>
      <c r="BH600" s="0" t="s">
        <v>228</v>
      </c>
      <c r="BI600" s="0" t="s">
        <v>228</v>
      </c>
      <c r="BJ600" s="0" t="s">
        <v>228</v>
      </c>
      <c r="BK600" s="0" t="s">
        <v>228</v>
      </c>
      <c r="BL600" s="0" t="s">
        <v>228</v>
      </c>
      <c r="BM600" s="0" t="s">
        <v>228</v>
      </c>
      <c r="BN600" s="0" t="s">
        <v>228</v>
      </c>
      <c r="BO600" s="0" t="s">
        <v>228</v>
      </c>
      <c r="BP600" s="0" t="s">
        <v>228</v>
      </c>
      <c r="BQ600" s="0" t="s">
        <v>228</v>
      </c>
      <c r="BR600" s="0" t="s">
        <v>228</v>
      </c>
      <c r="BS600" s="0" t="s">
        <v>228</v>
      </c>
      <c r="BT600" s="0" t="s">
        <v>228</v>
      </c>
      <c r="BU600" s="0" t="s">
        <v>228</v>
      </c>
      <c r="BV600" s="0" t="s">
        <v>228</v>
      </c>
      <c r="BW600" s="0" t="s">
        <v>228</v>
      </c>
      <c r="BX600" s="0" t="s">
        <v>228</v>
      </c>
      <c r="BY600" s="0" t="s">
        <v>228</v>
      </c>
      <c r="BZ600" s="0" t="s">
        <v>228</v>
      </c>
      <c r="CA600" s="0" t="s">
        <v>228</v>
      </c>
      <c r="CB600" s="0" t="s">
        <v>228</v>
      </c>
      <c r="CC600" s="0" t="s">
        <v>228</v>
      </c>
      <c r="CD600" s="0" t="s">
        <v>228</v>
      </c>
      <c r="CE600" s="0" t="s">
        <v>228</v>
      </c>
      <c r="CF600" s="0" t="s">
        <v>228</v>
      </c>
      <c r="CG600" s="0" t="s">
        <v>228</v>
      </c>
      <c r="CH600" s="0" t="s">
        <v>228</v>
      </c>
      <c r="CI600" s="0" t="s">
        <v>228</v>
      </c>
      <c r="CJ600" s="0" t="s">
        <v>228</v>
      </c>
      <c r="CK600" s="0" t="s">
        <v>228</v>
      </c>
      <c r="CL600" s="0" t="s">
        <v>228</v>
      </c>
      <c r="CM600" s="0" t="s">
        <v>228</v>
      </c>
      <c r="CN600" s="0" t="s">
        <v>228</v>
      </c>
      <c r="CO600" s="0" t="s">
        <v>228</v>
      </c>
      <c r="CP600" s="0" t="s">
        <v>228</v>
      </c>
      <c r="CQ600" s="0" t="s">
        <v>228</v>
      </c>
      <c r="CR600" s="0" t="s">
        <v>228</v>
      </c>
      <c r="CS600" s="0" t="s">
        <v>228</v>
      </c>
      <c r="CT600" s="0" t="s">
        <v>3568</v>
      </c>
      <c r="CU600" s="0" t="s">
        <v>3569</v>
      </c>
      <c r="CV600" s="0" t="s">
        <v>418</v>
      </c>
      <c r="CW600" s="0" t="s">
        <v>3622</v>
      </c>
      <c r="CX600" s="0" t="s">
        <v>419</v>
      </c>
      <c r="CY600" s="0" t="s">
        <v>418</v>
      </c>
      <c r="CZ600" s="0" t="s">
        <v>3623</v>
      </c>
      <c r="DA600" s="0" t="s">
        <v>3624</v>
      </c>
      <c r="DB600" s="0" t="s">
        <v>3622</v>
      </c>
      <c r="DC600" s="0" t="s">
        <v>362</v>
      </c>
      <c r="DD600" s="0" t="s">
        <v>3572</v>
      </c>
      <c r="DE600" s="0" t="s">
        <v>3830</v>
      </c>
    </row>
    <row customHeight="1" ht="11.25">
      <c r="A601" s="1353" t="s">
        <v>228</v>
      </c>
      <c r="B601" s="0" t="s">
        <v>228</v>
      </c>
      <c r="C601" s="0" t="s">
        <v>228</v>
      </c>
      <c r="D601" s="0" t="s">
        <v>228</v>
      </c>
      <c r="E601" s="0" t="s">
        <v>228</v>
      </c>
      <c r="F601" s="0" t="s">
        <v>228</v>
      </c>
      <c r="G601" s="0" t="s">
        <v>228</v>
      </c>
      <c r="H601" s="0" t="s">
        <v>228</v>
      </c>
      <c r="I601" s="0" t="s">
        <v>3555</v>
      </c>
      <c r="J601" s="0" t="s">
        <v>228</v>
      </c>
      <c r="K601" s="0" t="s">
        <v>228</v>
      </c>
      <c r="L601" s="0" t="s">
        <v>228</v>
      </c>
      <c r="M601" s="0" t="s">
        <v>228</v>
      </c>
      <c r="N601" s="0" t="s">
        <v>228</v>
      </c>
      <c r="O601" s="0" t="s">
        <v>228</v>
      </c>
      <c r="P601" s="0" t="s">
        <v>228</v>
      </c>
      <c r="Q601" s="0" t="s">
        <v>228</v>
      </c>
      <c r="R601" s="0" t="s">
        <v>3975</v>
      </c>
      <c r="S601" s="0" t="s">
        <v>228</v>
      </c>
      <c r="T601" s="0" t="s">
        <v>228</v>
      </c>
      <c r="U601" s="0" t="s">
        <v>101</v>
      </c>
      <c r="V601" s="0" t="s">
        <v>228</v>
      </c>
      <c r="W601" s="0" t="s">
        <v>228</v>
      </c>
      <c r="X601" s="0" t="s">
        <v>3557</v>
      </c>
      <c r="Y601" s="0" t="s">
        <v>228</v>
      </c>
      <c r="Z601" s="0" t="s">
        <v>160</v>
      </c>
      <c r="AA601" s="0" t="s">
        <v>151</v>
      </c>
      <c r="AB601" s="0" t="s">
        <v>151</v>
      </c>
      <c r="AC601" s="0" t="s">
        <v>2317</v>
      </c>
      <c r="AD601" s="0" t="s">
        <v>2317</v>
      </c>
      <c r="AE601" s="0" t="s">
        <v>2318</v>
      </c>
      <c r="AF601" s="0" t="s">
        <v>3849</v>
      </c>
      <c r="AG601" s="0" t="s">
        <v>3850</v>
      </c>
      <c r="AH601" s="0" t="s">
        <v>3828</v>
      </c>
      <c r="AI601" s="0" t="s">
        <v>4657</v>
      </c>
      <c r="AJ601" s="0" t="s">
        <v>3579</v>
      </c>
      <c r="AK601" s="0" t="s">
        <v>3808</v>
      </c>
      <c r="AL601" s="0" t="s">
        <v>3581</v>
      </c>
      <c r="AM601" s="0" t="s">
        <v>3565</v>
      </c>
      <c r="AN601" s="0" t="s">
        <v>3628</v>
      </c>
      <c r="AO601" s="0" t="s">
        <v>3689</v>
      </c>
      <c r="AP601" s="0" t="s">
        <v>228</v>
      </c>
      <c r="AQ601" s="0" t="s">
        <v>228</v>
      </c>
      <c r="AR601" s="0" t="s">
        <v>228</v>
      </c>
      <c r="AS601" s="0" t="s">
        <v>228</v>
      </c>
      <c r="AT601" s="0" t="s">
        <v>228</v>
      </c>
      <c r="AU601" s="0" t="s">
        <v>228</v>
      </c>
      <c r="AV601" s="0" t="s">
        <v>228</v>
      </c>
      <c r="AW601" s="0" t="s">
        <v>228</v>
      </c>
      <c r="AX601" s="0" t="s">
        <v>228</v>
      </c>
      <c r="AY601" s="0" t="s">
        <v>228</v>
      </c>
      <c r="AZ601" s="0" t="s">
        <v>228</v>
      </c>
      <c r="BA601" s="0" t="s">
        <v>228</v>
      </c>
      <c r="BB601" s="0" t="s">
        <v>228</v>
      </c>
      <c r="BC601" s="0" t="s">
        <v>228</v>
      </c>
      <c r="BD601" s="0" t="s">
        <v>228</v>
      </c>
      <c r="BE601" s="0" t="s">
        <v>228</v>
      </c>
      <c r="BF601" s="0" t="s">
        <v>228</v>
      </c>
      <c r="BG601" s="0" t="s">
        <v>228</v>
      </c>
      <c r="BH601" s="0" t="s">
        <v>228</v>
      </c>
      <c r="BI601" s="0" t="s">
        <v>228</v>
      </c>
      <c r="BJ601" s="0" t="s">
        <v>228</v>
      </c>
      <c r="BK601" s="0" t="s">
        <v>228</v>
      </c>
      <c r="BL601" s="0" t="s">
        <v>228</v>
      </c>
      <c r="BM601" s="0" t="s">
        <v>228</v>
      </c>
      <c r="BN601" s="0" t="s">
        <v>228</v>
      </c>
      <c r="BO601" s="0" t="s">
        <v>228</v>
      </c>
      <c r="BP601" s="0" t="s">
        <v>228</v>
      </c>
      <c r="BQ601" s="0" t="s">
        <v>228</v>
      </c>
      <c r="BR601" s="0" t="s">
        <v>228</v>
      </c>
      <c r="BS601" s="0" t="s">
        <v>228</v>
      </c>
      <c r="BT601" s="0" t="s">
        <v>228</v>
      </c>
      <c r="BU601" s="0" t="s">
        <v>228</v>
      </c>
      <c r="BV601" s="0" t="s">
        <v>228</v>
      </c>
      <c r="BW601" s="0" t="s">
        <v>228</v>
      </c>
      <c r="BX601" s="0" t="s">
        <v>228</v>
      </c>
      <c r="BY601" s="0" t="s">
        <v>228</v>
      </c>
      <c r="BZ601" s="0" t="s">
        <v>228</v>
      </c>
      <c r="CA601" s="0" t="s">
        <v>228</v>
      </c>
      <c r="CB601" s="0" t="s">
        <v>228</v>
      </c>
      <c r="CC601" s="0" t="s">
        <v>228</v>
      </c>
      <c r="CD601" s="0" t="s">
        <v>228</v>
      </c>
      <c r="CE601" s="0" t="s">
        <v>228</v>
      </c>
      <c r="CF601" s="0" t="s">
        <v>228</v>
      </c>
      <c r="CG601" s="0" t="s">
        <v>228</v>
      </c>
      <c r="CH601" s="0" t="s">
        <v>228</v>
      </c>
      <c r="CI601" s="0" t="s">
        <v>228</v>
      </c>
      <c r="CJ601" s="0" t="s">
        <v>228</v>
      </c>
      <c r="CK601" s="0" t="s">
        <v>228</v>
      </c>
      <c r="CL601" s="0" t="s">
        <v>228</v>
      </c>
      <c r="CM601" s="0" t="s">
        <v>228</v>
      </c>
      <c r="CN601" s="0" t="s">
        <v>228</v>
      </c>
      <c r="CO601" s="0" t="s">
        <v>228</v>
      </c>
      <c r="CP601" s="0" t="s">
        <v>228</v>
      </c>
      <c r="CQ601" s="0" t="s">
        <v>228</v>
      </c>
      <c r="CR601" s="0" t="s">
        <v>228</v>
      </c>
      <c r="CS601" s="0" t="s">
        <v>228</v>
      </c>
      <c r="CT601" s="0" t="s">
        <v>3568</v>
      </c>
      <c r="CU601" s="0" t="s">
        <v>3569</v>
      </c>
      <c r="CV601" s="0" t="s">
        <v>418</v>
      </c>
      <c r="CW601" s="0" t="s">
        <v>3622</v>
      </c>
      <c r="CX601" s="0" t="s">
        <v>419</v>
      </c>
      <c r="CY601" s="0" t="s">
        <v>418</v>
      </c>
      <c r="CZ601" s="0" t="s">
        <v>3623</v>
      </c>
      <c r="DA601" s="0" t="s">
        <v>3624</v>
      </c>
      <c r="DB601" s="0" t="s">
        <v>3622</v>
      </c>
      <c r="DC601" s="0" t="s">
        <v>362</v>
      </c>
      <c r="DD601" s="0" t="s">
        <v>3572</v>
      </c>
      <c r="DE601" s="0" t="s">
        <v>4841</v>
      </c>
    </row>
    <row customHeight="1" ht="11.25">
      <c r="A602" s="1353" t="s">
        <v>228</v>
      </c>
      <c r="B602" s="0" t="s">
        <v>228</v>
      </c>
      <c r="C602" s="0" t="s">
        <v>228</v>
      </c>
      <c r="D602" s="0" t="s">
        <v>228</v>
      </c>
      <c r="E602" s="0" t="s">
        <v>228</v>
      </c>
      <c r="F602" s="0" t="s">
        <v>228</v>
      </c>
      <c r="G602" s="0" t="s">
        <v>228</v>
      </c>
      <c r="H602" s="0" t="s">
        <v>228</v>
      </c>
      <c r="I602" s="0" t="s">
        <v>3555</v>
      </c>
      <c r="J602" s="0" t="s">
        <v>228</v>
      </c>
      <c r="K602" s="0" t="s">
        <v>228</v>
      </c>
      <c r="L602" s="0" t="s">
        <v>228</v>
      </c>
      <c r="M602" s="0" t="s">
        <v>228</v>
      </c>
      <c r="N602" s="0" t="s">
        <v>228</v>
      </c>
      <c r="O602" s="0" t="s">
        <v>228</v>
      </c>
      <c r="P602" s="0" t="s">
        <v>228</v>
      </c>
      <c r="Q602" s="0" t="s">
        <v>228</v>
      </c>
      <c r="R602" s="0" t="s">
        <v>4842</v>
      </c>
      <c r="S602" s="0" t="s">
        <v>228</v>
      </c>
      <c r="T602" s="0" t="s">
        <v>228</v>
      </c>
      <c r="U602" s="0" t="s">
        <v>101</v>
      </c>
      <c r="V602" s="0" t="s">
        <v>228</v>
      </c>
      <c r="W602" s="0" t="s">
        <v>228</v>
      </c>
      <c r="X602" s="0" t="s">
        <v>3557</v>
      </c>
      <c r="Y602" s="0" t="s">
        <v>228</v>
      </c>
      <c r="Z602" s="0" t="s">
        <v>160</v>
      </c>
      <c r="AA602" s="0" t="s">
        <v>151</v>
      </c>
      <c r="AB602" s="0" t="s">
        <v>151</v>
      </c>
      <c r="AC602" s="0" t="s">
        <v>2317</v>
      </c>
      <c r="AD602" s="0" t="s">
        <v>2317</v>
      </c>
      <c r="AE602" s="0" t="s">
        <v>2318</v>
      </c>
      <c r="AF602" s="0" t="s">
        <v>3849</v>
      </c>
      <c r="AG602" s="0" t="s">
        <v>3850</v>
      </c>
      <c r="AH602" s="0" t="s">
        <v>3851</v>
      </c>
      <c r="AI602" s="0" t="s">
        <v>4843</v>
      </c>
      <c r="AJ602" s="0" t="s">
        <v>3579</v>
      </c>
      <c r="AK602" s="0" t="s">
        <v>3808</v>
      </c>
      <c r="AL602" s="0" t="s">
        <v>3581</v>
      </c>
      <c r="AM602" s="0" t="s">
        <v>3565</v>
      </c>
      <c r="AN602" s="0" t="s">
        <v>3620</v>
      </c>
      <c r="AO602" s="0" t="s">
        <v>4844</v>
      </c>
      <c r="AP602" s="0" t="s">
        <v>228</v>
      </c>
      <c r="AQ602" s="0" t="s">
        <v>228</v>
      </c>
      <c r="AR602" s="0" t="s">
        <v>228</v>
      </c>
      <c r="AS602" s="0" t="s">
        <v>228</v>
      </c>
      <c r="AT602" s="0" t="s">
        <v>228</v>
      </c>
      <c r="AU602" s="0" t="s">
        <v>228</v>
      </c>
      <c r="AV602" s="0" t="s">
        <v>228</v>
      </c>
      <c r="AW602" s="0" t="s">
        <v>228</v>
      </c>
      <c r="AX602" s="0" t="s">
        <v>228</v>
      </c>
      <c r="AY602" s="0" t="s">
        <v>228</v>
      </c>
      <c r="AZ602" s="0" t="s">
        <v>228</v>
      </c>
      <c r="BA602" s="0" t="s">
        <v>228</v>
      </c>
      <c r="BB602" s="0" t="s">
        <v>228</v>
      </c>
      <c r="BC602" s="0" t="s">
        <v>228</v>
      </c>
      <c r="BD602" s="0" t="s">
        <v>228</v>
      </c>
      <c r="BE602" s="0" t="s">
        <v>228</v>
      </c>
      <c r="BF602" s="0" t="s">
        <v>228</v>
      </c>
      <c r="BG602" s="0" t="s">
        <v>228</v>
      </c>
      <c r="BH602" s="0" t="s">
        <v>228</v>
      </c>
      <c r="BI602" s="0" t="s">
        <v>228</v>
      </c>
      <c r="BJ602" s="0" t="s">
        <v>228</v>
      </c>
      <c r="BK602" s="0" t="s">
        <v>228</v>
      </c>
      <c r="BL602" s="0" t="s">
        <v>228</v>
      </c>
      <c r="BM602" s="0" t="s">
        <v>228</v>
      </c>
      <c r="BN602" s="0" t="s">
        <v>228</v>
      </c>
      <c r="BO602" s="0" t="s">
        <v>228</v>
      </c>
      <c r="BP602" s="0" t="s">
        <v>228</v>
      </c>
      <c r="BQ602" s="0" t="s">
        <v>228</v>
      </c>
      <c r="BR602" s="0" t="s">
        <v>228</v>
      </c>
      <c r="BS602" s="0" t="s">
        <v>228</v>
      </c>
      <c r="BT602" s="0" t="s">
        <v>228</v>
      </c>
      <c r="BU602" s="0" t="s">
        <v>228</v>
      </c>
      <c r="BV602" s="0" t="s">
        <v>228</v>
      </c>
      <c r="BW602" s="0" t="s">
        <v>228</v>
      </c>
      <c r="BX602" s="0" t="s">
        <v>228</v>
      </c>
      <c r="BY602" s="0" t="s">
        <v>228</v>
      </c>
      <c r="BZ602" s="0" t="s">
        <v>228</v>
      </c>
      <c r="CA602" s="0" t="s">
        <v>228</v>
      </c>
      <c r="CB602" s="0" t="s">
        <v>228</v>
      </c>
      <c r="CC602" s="0" t="s">
        <v>228</v>
      </c>
      <c r="CD602" s="0" t="s">
        <v>228</v>
      </c>
      <c r="CE602" s="0" t="s">
        <v>228</v>
      </c>
      <c r="CF602" s="0" t="s">
        <v>228</v>
      </c>
      <c r="CG602" s="0" t="s">
        <v>228</v>
      </c>
      <c r="CH602" s="0" t="s">
        <v>228</v>
      </c>
      <c r="CI602" s="0" t="s">
        <v>228</v>
      </c>
      <c r="CJ602" s="0" t="s">
        <v>228</v>
      </c>
      <c r="CK602" s="0" t="s">
        <v>228</v>
      </c>
      <c r="CL602" s="0" t="s">
        <v>228</v>
      </c>
      <c r="CM602" s="0" t="s">
        <v>228</v>
      </c>
      <c r="CN602" s="0" t="s">
        <v>228</v>
      </c>
      <c r="CO602" s="0" t="s">
        <v>228</v>
      </c>
      <c r="CP602" s="0" t="s">
        <v>228</v>
      </c>
      <c r="CQ602" s="0" t="s">
        <v>228</v>
      </c>
      <c r="CR602" s="0" t="s">
        <v>228</v>
      </c>
      <c r="CS602" s="0" t="s">
        <v>228</v>
      </c>
      <c r="CT602" s="0" t="s">
        <v>3568</v>
      </c>
      <c r="CU602" s="0" t="s">
        <v>3569</v>
      </c>
      <c r="CV602" s="0" t="s">
        <v>418</v>
      </c>
      <c r="CW602" s="0" t="s">
        <v>3622</v>
      </c>
      <c r="CX602" s="0" t="s">
        <v>419</v>
      </c>
      <c r="CY602" s="0" t="s">
        <v>418</v>
      </c>
      <c r="CZ602" s="0" t="s">
        <v>3623</v>
      </c>
      <c r="DA602" s="0" t="s">
        <v>3624</v>
      </c>
      <c r="DB602" s="0" t="s">
        <v>3622</v>
      </c>
      <c r="DC602" s="0" t="s">
        <v>362</v>
      </c>
      <c r="DD602" s="0" t="s">
        <v>3572</v>
      </c>
      <c r="DE602" s="0" t="s">
        <v>4845</v>
      </c>
    </row>
    <row customHeight="1" ht="11.25">
      <c r="A603" s="1353" t="s">
        <v>228</v>
      </c>
      <c r="B603" s="0" t="s">
        <v>228</v>
      </c>
      <c r="C603" s="0" t="s">
        <v>228</v>
      </c>
      <c r="D603" s="0" t="s">
        <v>228</v>
      </c>
      <c r="E603" s="0" t="s">
        <v>228</v>
      </c>
      <c r="F603" s="0" t="s">
        <v>228</v>
      </c>
      <c r="G603" s="0" t="s">
        <v>228</v>
      </c>
      <c r="H603" s="0" t="s">
        <v>228</v>
      </c>
      <c r="I603" s="0" t="s">
        <v>3555</v>
      </c>
      <c r="J603" s="0" t="s">
        <v>228</v>
      </c>
      <c r="K603" s="0" t="s">
        <v>228</v>
      </c>
      <c r="L603" s="0" t="s">
        <v>228</v>
      </c>
      <c r="M603" s="0" t="s">
        <v>228</v>
      </c>
      <c r="N603" s="0" t="s">
        <v>228</v>
      </c>
      <c r="O603" s="0" t="s">
        <v>228</v>
      </c>
      <c r="P603" s="0" t="s">
        <v>228</v>
      </c>
      <c r="Q603" s="0" t="s">
        <v>228</v>
      </c>
      <c r="R603" s="0" t="s">
        <v>3648</v>
      </c>
      <c r="S603" s="0" t="s">
        <v>228</v>
      </c>
      <c r="T603" s="0" t="s">
        <v>228</v>
      </c>
      <c r="U603" s="0" t="s">
        <v>101</v>
      </c>
      <c r="V603" s="0" t="s">
        <v>228</v>
      </c>
      <c r="W603" s="0" t="s">
        <v>228</v>
      </c>
      <c r="X603" s="0" t="s">
        <v>3557</v>
      </c>
      <c r="Y603" s="0" t="s">
        <v>228</v>
      </c>
      <c r="Z603" s="0" t="s">
        <v>160</v>
      </c>
      <c r="AA603" s="0" t="s">
        <v>151</v>
      </c>
      <c r="AB603" s="0" t="s">
        <v>151</v>
      </c>
      <c r="AC603" s="0" t="s">
        <v>2317</v>
      </c>
      <c r="AD603" s="0" t="s">
        <v>2317</v>
      </c>
      <c r="AE603" s="0" t="s">
        <v>2318</v>
      </c>
      <c r="AF603" s="0" t="s">
        <v>3943</v>
      </c>
      <c r="AG603" s="0" t="s">
        <v>3944</v>
      </c>
      <c r="AH603" s="0" t="s">
        <v>3945</v>
      </c>
      <c r="AI603" s="0" t="s">
        <v>1688</v>
      </c>
      <c r="AJ603" s="0" t="s">
        <v>3652</v>
      </c>
      <c r="AK603" s="0" t="s">
        <v>3619</v>
      </c>
      <c r="AL603" s="0" t="s">
        <v>3581</v>
      </c>
      <c r="AM603" s="0" t="s">
        <v>3565</v>
      </c>
      <c r="AN603" s="0" t="s">
        <v>3628</v>
      </c>
      <c r="AO603" s="0" t="s">
        <v>3946</v>
      </c>
      <c r="AP603" s="0" t="s">
        <v>228</v>
      </c>
      <c r="AQ603" s="0" t="s">
        <v>228</v>
      </c>
      <c r="AR603" s="0" t="s">
        <v>228</v>
      </c>
      <c r="AS603" s="0" t="s">
        <v>228</v>
      </c>
      <c r="AT603" s="0" t="s">
        <v>228</v>
      </c>
      <c r="AU603" s="0" t="s">
        <v>228</v>
      </c>
      <c r="AV603" s="0" t="s">
        <v>228</v>
      </c>
      <c r="AW603" s="0" t="s">
        <v>228</v>
      </c>
      <c r="AX603" s="0" t="s">
        <v>228</v>
      </c>
      <c r="AY603" s="0" t="s">
        <v>228</v>
      </c>
      <c r="AZ603" s="0" t="s">
        <v>228</v>
      </c>
      <c r="BA603" s="0" t="s">
        <v>228</v>
      </c>
      <c r="BB603" s="0" t="s">
        <v>228</v>
      </c>
      <c r="BC603" s="0" t="s">
        <v>228</v>
      </c>
      <c r="BD603" s="0" t="s">
        <v>228</v>
      </c>
      <c r="BE603" s="0" t="s">
        <v>228</v>
      </c>
      <c r="BF603" s="0" t="s">
        <v>228</v>
      </c>
      <c r="BG603" s="0" t="s">
        <v>228</v>
      </c>
      <c r="BH603" s="0" t="s">
        <v>228</v>
      </c>
      <c r="BI603" s="0" t="s">
        <v>228</v>
      </c>
      <c r="BJ603" s="0" t="s">
        <v>228</v>
      </c>
      <c r="BK603" s="0" t="s">
        <v>228</v>
      </c>
      <c r="BL603" s="0" t="s">
        <v>228</v>
      </c>
      <c r="BM603" s="0" t="s">
        <v>228</v>
      </c>
      <c r="BN603" s="0" t="s">
        <v>228</v>
      </c>
      <c r="BO603" s="0" t="s">
        <v>228</v>
      </c>
      <c r="BP603" s="0" t="s">
        <v>228</v>
      </c>
      <c r="BQ603" s="0" t="s">
        <v>228</v>
      </c>
      <c r="BR603" s="0" t="s">
        <v>228</v>
      </c>
      <c r="BS603" s="0" t="s">
        <v>228</v>
      </c>
      <c r="BT603" s="0" t="s">
        <v>228</v>
      </c>
      <c r="BU603" s="0" t="s">
        <v>228</v>
      </c>
      <c r="BV603" s="0" t="s">
        <v>228</v>
      </c>
      <c r="BW603" s="0" t="s">
        <v>228</v>
      </c>
      <c r="BX603" s="0" t="s">
        <v>228</v>
      </c>
      <c r="BY603" s="0" t="s">
        <v>228</v>
      </c>
      <c r="BZ603" s="0" t="s">
        <v>228</v>
      </c>
      <c r="CA603" s="0" t="s">
        <v>228</v>
      </c>
      <c r="CB603" s="0" t="s">
        <v>228</v>
      </c>
      <c r="CC603" s="0" t="s">
        <v>228</v>
      </c>
      <c r="CD603" s="0" t="s">
        <v>228</v>
      </c>
      <c r="CE603" s="0" t="s">
        <v>228</v>
      </c>
      <c r="CF603" s="0" t="s">
        <v>228</v>
      </c>
      <c r="CG603" s="0" t="s">
        <v>228</v>
      </c>
      <c r="CH603" s="0" t="s">
        <v>228</v>
      </c>
      <c r="CI603" s="0" t="s">
        <v>228</v>
      </c>
      <c r="CJ603" s="0" t="s">
        <v>228</v>
      </c>
      <c r="CK603" s="0" t="s">
        <v>228</v>
      </c>
      <c r="CL603" s="0" t="s">
        <v>228</v>
      </c>
      <c r="CM603" s="0" t="s">
        <v>228</v>
      </c>
      <c r="CN603" s="0" t="s">
        <v>228</v>
      </c>
      <c r="CO603" s="0" t="s">
        <v>228</v>
      </c>
      <c r="CP603" s="0" t="s">
        <v>228</v>
      </c>
      <c r="CQ603" s="0" t="s">
        <v>228</v>
      </c>
      <c r="CR603" s="0" t="s">
        <v>228</v>
      </c>
      <c r="CS603" s="0" t="s">
        <v>228</v>
      </c>
      <c r="CT603" s="0" t="s">
        <v>3568</v>
      </c>
      <c r="CU603" s="0" t="s">
        <v>3569</v>
      </c>
      <c r="CV603" s="0" t="s">
        <v>418</v>
      </c>
      <c r="CW603" s="0" t="s">
        <v>3622</v>
      </c>
      <c r="CX603" s="0" t="s">
        <v>419</v>
      </c>
      <c r="CY603" s="0" t="s">
        <v>418</v>
      </c>
      <c r="CZ603" s="0" t="s">
        <v>3623</v>
      </c>
      <c r="DA603" s="0" t="s">
        <v>3624</v>
      </c>
      <c r="DB603" s="0" t="s">
        <v>3622</v>
      </c>
      <c r="DC603" s="0" t="s">
        <v>362</v>
      </c>
      <c r="DD603" s="0" t="s">
        <v>3572</v>
      </c>
      <c r="DE603" s="0" t="s">
        <v>3947</v>
      </c>
    </row>
    <row customHeight="1" ht="11.25">
      <c r="A604" s="1353" t="s">
        <v>228</v>
      </c>
      <c r="B604" s="0" t="s">
        <v>228</v>
      </c>
      <c r="C604" s="0" t="s">
        <v>228</v>
      </c>
      <c r="D604" s="0" t="s">
        <v>228</v>
      </c>
      <c r="E604" s="0" t="s">
        <v>228</v>
      </c>
      <c r="F604" s="0" t="s">
        <v>228</v>
      </c>
      <c r="G604" s="0" t="s">
        <v>228</v>
      </c>
      <c r="H604" s="0" t="s">
        <v>228</v>
      </c>
      <c r="I604" s="0" t="s">
        <v>3555</v>
      </c>
      <c r="J604" s="0" t="s">
        <v>228</v>
      </c>
      <c r="K604" s="0" t="s">
        <v>228</v>
      </c>
      <c r="L604" s="0" t="s">
        <v>228</v>
      </c>
      <c r="M604" s="0" t="s">
        <v>228</v>
      </c>
      <c r="N604" s="0" t="s">
        <v>228</v>
      </c>
      <c r="O604" s="0" t="s">
        <v>228</v>
      </c>
      <c r="P604" s="0" t="s">
        <v>228</v>
      </c>
      <c r="Q604" s="0" t="s">
        <v>228</v>
      </c>
      <c r="R604" s="0" t="s">
        <v>3648</v>
      </c>
      <c r="S604" s="0" t="s">
        <v>228</v>
      </c>
      <c r="T604" s="0" t="s">
        <v>228</v>
      </c>
      <c r="U604" s="0" t="s">
        <v>101</v>
      </c>
      <c r="V604" s="0" t="s">
        <v>228</v>
      </c>
      <c r="W604" s="0" t="s">
        <v>228</v>
      </c>
      <c r="X604" s="0" t="s">
        <v>3557</v>
      </c>
      <c r="Y604" s="0" t="s">
        <v>228</v>
      </c>
      <c r="Z604" s="0" t="s">
        <v>160</v>
      </c>
      <c r="AA604" s="0" t="s">
        <v>151</v>
      </c>
      <c r="AB604" s="0" t="s">
        <v>151</v>
      </c>
      <c r="AC604" s="0" t="s">
        <v>2317</v>
      </c>
      <c r="AD604" s="0" t="s">
        <v>2317</v>
      </c>
      <c r="AE604" s="0" t="s">
        <v>2318</v>
      </c>
      <c r="AF604" s="0" t="s">
        <v>3943</v>
      </c>
      <c r="AG604" s="0" t="s">
        <v>3944</v>
      </c>
      <c r="AH604" s="0" t="s">
        <v>3651</v>
      </c>
      <c r="AI604" s="0" t="s">
        <v>3651</v>
      </c>
      <c r="AJ604" s="0" t="s">
        <v>3652</v>
      </c>
      <c r="AK604" s="0" t="s">
        <v>3619</v>
      </c>
      <c r="AL604" s="0" t="s">
        <v>3581</v>
      </c>
      <c r="AM604" s="0" t="s">
        <v>3565</v>
      </c>
      <c r="AN604" s="0" t="s">
        <v>3628</v>
      </c>
      <c r="AO604" s="0" t="s">
        <v>3956</v>
      </c>
      <c r="AP604" s="0" t="s">
        <v>228</v>
      </c>
      <c r="AQ604" s="0" t="s">
        <v>228</v>
      </c>
      <c r="AR604" s="0" t="s">
        <v>228</v>
      </c>
      <c r="AS604" s="0" t="s">
        <v>228</v>
      </c>
      <c r="AT604" s="0" t="s">
        <v>228</v>
      </c>
      <c r="AU604" s="0" t="s">
        <v>228</v>
      </c>
      <c r="AV604" s="0" t="s">
        <v>228</v>
      </c>
      <c r="AW604" s="0" t="s">
        <v>228</v>
      </c>
      <c r="AX604" s="0" t="s">
        <v>228</v>
      </c>
      <c r="AY604" s="0" t="s">
        <v>228</v>
      </c>
      <c r="AZ604" s="0" t="s">
        <v>228</v>
      </c>
      <c r="BA604" s="0" t="s">
        <v>228</v>
      </c>
      <c r="BB604" s="0" t="s">
        <v>228</v>
      </c>
      <c r="BC604" s="0" t="s">
        <v>228</v>
      </c>
      <c r="BD604" s="0" t="s">
        <v>228</v>
      </c>
      <c r="BE604" s="0" t="s">
        <v>228</v>
      </c>
      <c r="BF604" s="0" t="s">
        <v>228</v>
      </c>
      <c r="BG604" s="0" t="s">
        <v>228</v>
      </c>
      <c r="BH604" s="0" t="s">
        <v>228</v>
      </c>
      <c r="BI604" s="0" t="s">
        <v>228</v>
      </c>
      <c r="BJ604" s="0" t="s">
        <v>228</v>
      </c>
      <c r="BK604" s="0" t="s">
        <v>228</v>
      </c>
      <c r="BL604" s="0" t="s">
        <v>228</v>
      </c>
      <c r="BM604" s="0" t="s">
        <v>228</v>
      </c>
      <c r="BN604" s="0" t="s">
        <v>228</v>
      </c>
      <c r="BO604" s="0" t="s">
        <v>228</v>
      </c>
      <c r="BP604" s="0" t="s">
        <v>228</v>
      </c>
      <c r="BQ604" s="0" t="s">
        <v>228</v>
      </c>
      <c r="BR604" s="0" t="s">
        <v>228</v>
      </c>
      <c r="BS604" s="0" t="s">
        <v>228</v>
      </c>
      <c r="BT604" s="0" t="s">
        <v>228</v>
      </c>
      <c r="BU604" s="0" t="s">
        <v>228</v>
      </c>
      <c r="BV604" s="0" t="s">
        <v>228</v>
      </c>
      <c r="BW604" s="0" t="s">
        <v>228</v>
      </c>
      <c r="BX604" s="0" t="s">
        <v>228</v>
      </c>
      <c r="BY604" s="0" t="s">
        <v>228</v>
      </c>
      <c r="BZ604" s="0" t="s">
        <v>228</v>
      </c>
      <c r="CA604" s="0" t="s">
        <v>228</v>
      </c>
      <c r="CB604" s="0" t="s">
        <v>228</v>
      </c>
      <c r="CC604" s="0" t="s">
        <v>228</v>
      </c>
      <c r="CD604" s="0" t="s">
        <v>228</v>
      </c>
      <c r="CE604" s="0" t="s">
        <v>228</v>
      </c>
      <c r="CF604" s="0" t="s">
        <v>228</v>
      </c>
      <c r="CG604" s="0" t="s">
        <v>228</v>
      </c>
      <c r="CH604" s="0" t="s">
        <v>228</v>
      </c>
      <c r="CI604" s="0" t="s">
        <v>228</v>
      </c>
      <c r="CJ604" s="0" t="s">
        <v>228</v>
      </c>
      <c r="CK604" s="0" t="s">
        <v>228</v>
      </c>
      <c r="CL604" s="0" t="s">
        <v>228</v>
      </c>
      <c r="CM604" s="0" t="s">
        <v>228</v>
      </c>
      <c r="CN604" s="0" t="s">
        <v>228</v>
      </c>
      <c r="CO604" s="0" t="s">
        <v>228</v>
      </c>
      <c r="CP604" s="0" t="s">
        <v>228</v>
      </c>
      <c r="CQ604" s="0" t="s">
        <v>228</v>
      </c>
      <c r="CR604" s="0" t="s">
        <v>228</v>
      </c>
      <c r="CS604" s="0" t="s">
        <v>228</v>
      </c>
      <c r="CT604" s="0" t="s">
        <v>3568</v>
      </c>
      <c r="CU604" s="0" t="s">
        <v>3569</v>
      </c>
      <c r="CV604" s="0" t="s">
        <v>418</v>
      </c>
      <c r="CW604" s="0" t="s">
        <v>3622</v>
      </c>
      <c r="CX604" s="0" t="s">
        <v>419</v>
      </c>
      <c r="CY604" s="0" t="s">
        <v>418</v>
      </c>
      <c r="CZ604" s="0" t="s">
        <v>3623</v>
      </c>
      <c r="DA604" s="0" t="s">
        <v>3624</v>
      </c>
      <c r="DB604" s="0" t="s">
        <v>3622</v>
      </c>
      <c r="DC604" s="0" t="s">
        <v>362</v>
      </c>
      <c r="DD604" s="0" t="s">
        <v>3572</v>
      </c>
      <c r="DE604" s="0" t="s">
        <v>3957</v>
      </c>
    </row>
    <row customHeight="1" ht="11.25">
      <c r="A605" s="1353" t="s">
        <v>228</v>
      </c>
      <c r="B605" s="0" t="s">
        <v>228</v>
      </c>
      <c r="C605" s="0" t="s">
        <v>228</v>
      </c>
      <c r="D605" s="0" t="s">
        <v>228</v>
      </c>
      <c r="E605" s="0" t="s">
        <v>228</v>
      </c>
      <c r="F605" s="0" t="s">
        <v>228</v>
      </c>
      <c r="G605" s="0" t="s">
        <v>228</v>
      </c>
      <c r="H605" s="0" t="s">
        <v>228</v>
      </c>
      <c r="I605" s="0" t="s">
        <v>3555</v>
      </c>
      <c r="J605" s="0" t="s">
        <v>228</v>
      </c>
      <c r="K605" s="0" t="s">
        <v>228</v>
      </c>
      <c r="L605" s="0" t="s">
        <v>228</v>
      </c>
      <c r="M605" s="0" t="s">
        <v>228</v>
      </c>
      <c r="N605" s="0" t="s">
        <v>228</v>
      </c>
      <c r="O605" s="0" t="s">
        <v>228</v>
      </c>
      <c r="P605" s="0" t="s">
        <v>228</v>
      </c>
      <c r="Q605" s="0" t="s">
        <v>228</v>
      </c>
      <c r="R605" s="0" t="s">
        <v>3648</v>
      </c>
      <c r="S605" s="0" t="s">
        <v>228</v>
      </c>
      <c r="T605" s="0" t="s">
        <v>228</v>
      </c>
      <c r="U605" s="0" t="s">
        <v>101</v>
      </c>
      <c r="V605" s="0" t="s">
        <v>228</v>
      </c>
      <c r="W605" s="0" t="s">
        <v>228</v>
      </c>
      <c r="X605" s="0" t="s">
        <v>3557</v>
      </c>
      <c r="Y605" s="0" t="s">
        <v>228</v>
      </c>
      <c r="Z605" s="0" t="s">
        <v>160</v>
      </c>
      <c r="AA605" s="0" t="s">
        <v>151</v>
      </c>
      <c r="AB605" s="0" t="s">
        <v>151</v>
      </c>
      <c r="AC605" s="0" t="s">
        <v>2317</v>
      </c>
      <c r="AD605" s="0" t="s">
        <v>2317</v>
      </c>
      <c r="AE605" s="0" t="s">
        <v>2318</v>
      </c>
      <c r="AF605" s="0" t="s">
        <v>3943</v>
      </c>
      <c r="AG605" s="0" t="s">
        <v>3944</v>
      </c>
      <c r="AH605" s="0" t="s">
        <v>3958</v>
      </c>
      <c r="AI605" s="0" t="s">
        <v>3651</v>
      </c>
      <c r="AJ605" s="0" t="s">
        <v>3579</v>
      </c>
      <c r="AK605" s="0" t="s">
        <v>3853</v>
      </c>
      <c r="AL605" s="0" t="s">
        <v>3581</v>
      </c>
      <c r="AM605" s="0" t="s">
        <v>3565</v>
      </c>
      <c r="AN605" s="0" t="s">
        <v>3628</v>
      </c>
      <c r="AO605" s="0" t="s">
        <v>3689</v>
      </c>
      <c r="AP605" s="0" t="s">
        <v>228</v>
      </c>
      <c r="AQ605" s="0" t="s">
        <v>228</v>
      </c>
      <c r="AR605" s="0" t="s">
        <v>228</v>
      </c>
      <c r="AS605" s="0" t="s">
        <v>228</v>
      </c>
      <c r="AT605" s="0" t="s">
        <v>228</v>
      </c>
      <c r="AU605" s="0" t="s">
        <v>228</v>
      </c>
      <c r="AV605" s="0" t="s">
        <v>228</v>
      </c>
      <c r="AW605" s="0" t="s">
        <v>228</v>
      </c>
      <c r="AX605" s="0" t="s">
        <v>228</v>
      </c>
      <c r="AY605" s="0" t="s">
        <v>228</v>
      </c>
      <c r="AZ605" s="0" t="s">
        <v>228</v>
      </c>
      <c r="BA605" s="0" t="s">
        <v>228</v>
      </c>
      <c r="BB605" s="0" t="s">
        <v>228</v>
      </c>
      <c r="BC605" s="0" t="s">
        <v>228</v>
      </c>
      <c r="BD605" s="0" t="s">
        <v>228</v>
      </c>
      <c r="BE605" s="0" t="s">
        <v>228</v>
      </c>
      <c r="BF605" s="0" t="s">
        <v>228</v>
      </c>
      <c r="BG605" s="0" t="s">
        <v>228</v>
      </c>
      <c r="BH605" s="0" t="s">
        <v>228</v>
      </c>
      <c r="BI605" s="0" t="s">
        <v>228</v>
      </c>
      <c r="BJ605" s="0" t="s">
        <v>228</v>
      </c>
      <c r="BK605" s="0" t="s">
        <v>228</v>
      </c>
      <c r="BL605" s="0" t="s">
        <v>228</v>
      </c>
      <c r="BM605" s="0" t="s">
        <v>228</v>
      </c>
      <c r="BN605" s="0" t="s">
        <v>228</v>
      </c>
      <c r="BO605" s="0" t="s">
        <v>228</v>
      </c>
      <c r="BP605" s="0" t="s">
        <v>228</v>
      </c>
      <c r="BQ605" s="0" t="s">
        <v>228</v>
      </c>
      <c r="BR605" s="0" t="s">
        <v>228</v>
      </c>
      <c r="BS605" s="0" t="s">
        <v>228</v>
      </c>
      <c r="BT605" s="0" t="s">
        <v>228</v>
      </c>
      <c r="BU605" s="0" t="s">
        <v>228</v>
      </c>
      <c r="BV605" s="0" t="s">
        <v>228</v>
      </c>
      <c r="BW605" s="0" t="s">
        <v>228</v>
      </c>
      <c r="BX605" s="0" t="s">
        <v>228</v>
      </c>
      <c r="BY605" s="0" t="s">
        <v>228</v>
      </c>
      <c r="BZ605" s="0" t="s">
        <v>228</v>
      </c>
      <c r="CA605" s="0" t="s">
        <v>228</v>
      </c>
      <c r="CB605" s="0" t="s">
        <v>228</v>
      </c>
      <c r="CC605" s="0" t="s">
        <v>228</v>
      </c>
      <c r="CD605" s="0" t="s">
        <v>228</v>
      </c>
      <c r="CE605" s="0" t="s">
        <v>228</v>
      </c>
      <c r="CF605" s="0" t="s">
        <v>228</v>
      </c>
      <c r="CG605" s="0" t="s">
        <v>228</v>
      </c>
      <c r="CH605" s="0" t="s">
        <v>228</v>
      </c>
      <c r="CI605" s="0" t="s">
        <v>228</v>
      </c>
      <c r="CJ605" s="0" t="s">
        <v>228</v>
      </c>
      <c r="CK605" s="0" t="s">
        <v>228</v>
      </c>
      <c r="CL605" s="0" t="s">
        <v>228</v>
      </c>
      <c r="CM605" s="0" t="s">
        <v>228</v>
      </c>
      <c r="CN605" s="0" t="s">
        <v>228</v>
      </c>
      <c r="CO605" s="0" t="s">
        <v>228</v>
      </c>
      <c r="CP605" s="0" t="s">
        <v>228</v>
      </c>
      <c r="CQ605" s="0" t="s">
        <v>228</v>
      </c>
      <c r="CR605" s="0" t="s">
        <v>228</v>
      </c>
      <c r="CS605" s="0" t="s">
        <v>228</v>
      </c>
      <c r="CT605" s="0" t="s">
        <v>3568</v>
      </c>
      <c r="CU605" s="0" t="s">
        <v>3569</v>
      </c>
      <c r="CV605" s="0" t="s">
        <v>418</v>
      </c>
      <c r="CW605" s="0" t="s">
        <v>3622</v>
      </c>
      <c r="CX605" s="0" t="s">
        <v>419</v>
      </c>
      <c r="CY605" s="0" t="s">
        <v>418</v>
      </c>
      <c r="CZ605" s="0" t="s">
        <v>3623</v>
      </c>
      <c r="DA605" s="0" t="s">
        <v>3624</v>
      </c>
      <c r="DB605" s="0" t="s">
        <v>3622</v>
      </c>
      <c r="DC605" s="0" t="s">
        <v>362</v>
      </c>
      <c r="DD605" s="0" t="s">
        <v>3572</v>
      </c>
      <c r="DE605" s="0" t="s">
        <v>3959</v>
      </c>
    </row>
    <row customHeight="1" ht="11.25">
      <c r="A606" s="1353" t="s">
        <v>228</v>
      </c>
      <c r="B606" s="0" t="s">
        <v>228</v>
      </c>
      <c r="C606" s="0" t="s">
        <v>228</v>
      </c>
      <c r="D606" s="0" t="s">
        <v>228</v>
      </c>
      <c r="E606" s="0" t="s">
        <v>228</v>
      </c>
      <c r="F606" s="0" t="s">
        <v>228</v>
      </c>
      <c r="G606" s="0" t="s">
        <v>228</v>
      </c>
      <c r="H606" s="0" t="s">
        <v>228</v>
      </c>
      <c r="I606" s="0" t="s">
        <v>3555</v>
      </c>
      <c r="J606" s="0" t="s">
        <v>228</v>
      </c>
      <c r="K606" s="0" t="s">
        <v>228</v>
      </c>
      <c r="L606" s="0" t="s">
        <v>228</v>
      </c>
      <c r="M606" s="0" t="s">
        <v>228</v>
      </c>
      <c r="N606" s="0" t="s">
        <v>228</v>
      </c>
      <c r="O606" s="0" t="s">
        <v>228</v>
      </c>
      <c r="P606" s="0" t="s">
        <v>228</v>
      </c>
      <c r="Q606" s="0" t="s">
        <v>228</v>
      </c>
      <c r="R606" s="0" t="s">
        <v>3960</v>
      </c>
      <c r="S606" s="0" t="s">
        <v>228</v>
      </c>
      <c r="T606" s="0" t="s">
        <v>228</v>
      </c>
      <c r="U606" s="0" t="s">
        <v>101</v>
      </c>
      <c r="V606" s="0" t="s">
        <v>228</v>
      </c>
      <c r="W606" s="0" t="s">
        <v>228</v>
      </c>
      <c r="X606" s="0" t="s">
        <v>3661</v>
      </c>
      <c r="Y606" s="0" t="s">
        <v>228</v>
      </c>
      <c r="Z606" s="0" t="s">
        <v>151</v>
      </c>
      <c r="AA606" s="0" t="s">
        <v>151</v>
      </c>
      <c r="AB606" s="0" t="s">
        <v>160</v>
      </c>
      <c r="AC606" s="0" t="s">
        <v>2317</v>
      </c>
      <c r="AD606" s="0" t="s">
        <v>2317</v>
      </c>
      <c r="AE606" s="0" t="s">
        <v>2318</v>
      </c>
      <c r="AF606" s="0" t="s">
        <v>3943</v>
      </c>
      <c r="AG606" s="0" t="s">
        <v>3944</v>
      </c>
      <c r="AH606" s="0" t="s">
        <v>3651</v>
      </c>
      <c r="AI606" s="0" t="s">
        <v>3651</v>
      </c>
      <c r="AJ606" s="0" t="s">
        <v>228</v>
      </c>
      <c r="AK606" s="0" t="s">
        <v>228</v>
      </c>
      <c r="AL606" s="0" t="s">
        <v>228</v>
      </c>
      <c r="AM606" s="0" t="s">
        <v>228</v>
      </c>
      <c r="AN606" s="0" t="s">
        <v>228</v>
      </c>
      <c r="AO606" s="0" t="s">
        <v>228</v>
      </c>
      <c r="AP606" s="0" t="s">
        <v>228</v>
      </c>
      <c r="AQ606" s="0" t="s">
        <v>228</v>
      </c>
      <c r="AR606" s="0" t="s">
        <v>228</v>
      </c>
      <c r="AS606" s="0" t="s">
        <v>228</v>
      </c>
      <c r="AT606" s="0" t="s">
        <v>228</v>
      </c>
      <c r="AU606" s="0" t="s">
        <v>228</v>
      </c>
      <c r="AV606" s="0" t="s">
        <v>228</v>
      </c>
      <c r="AW606" s="0" t="s">
        <v>228</v>
      </c>
      <c r="AX606" s="0" t="s">
        <v>228</v>
      </c>
      <c r="AY606" s="0" t="s">
        <v>228</v>
      </c>
      <c r="AZ606" s="0" t="s">
        <v>228</v>
      </c>
      <c r="BA606" s="0" t="s">
        <v>228</v>
      </c>
      <c r="BB606" s="0" t="s">
        <v>228</v>
      </c>
      <c r="BC606" s="0" t="s">
        <v>228</v>
      </c>
      <c r="BD606" s="0" t="s">
        <v>228</v>
      </c>
      <c r="BE606" s="0" t="s">
        <v>3627</v>
      </c>
      <c r="BF606" s="0" t="s">
        <v>3619</v>
      </c>
      <c r="BG606" s="0" t="s">
        <v>111</v>
      </c>
      <c r="BH606" s="0" t="s">
        <v>3665</v>
      </c>
      <c r="BI606" s="0" t="s">
        <v>122</v>
      </c>
      <c r="BJ606" s="0" t="s">
        <v>228</v>
      </c>
      <c r="BK606" s="0" t="s">
        <v>3684</v>
      </c>
      <c r="BL606" s="0" t="s">
        <v>2317</v>
      </c>
      <c r="BM606" s="0" t="s">
        <v>2317</v>
      </c>
      <c r="BN606" s="0" t="s">
        <v>3740</v>
      </c>
      <c r="BO606" s="0" t="s">
        <v>3943</v>
      </c>
      <c r="BP606" s="0" t="s">
        <v>3961</v>
      </c>
      <c r="BQ606" s="0" t="s">
        <v>3651</v>
      </c>
      <c r="BR606" s="0" t="s">
        <v>3651</v>
      </c>
      <c r="BS606" s="0" t="s">
        <v>228</v>
      </c>
      <c r="BT606" s="0" t="s">
        <v>3727</v>
      </c>
      <c r="BU606" s="0" t="s">
        <v>3962</v>
      </c>
      <c r="BV606" s="0" t="s">
        <v>3962</v>
      </c>
      <c r="BW606" s="0" t="s">
        <v>3674</v>
      </c>
      <c r="BX606" s="0" t="s">
        <v>3674</v>
      </c>
      <c r="BY606" s="0" t="s">
        <v>3674</v>
      </c>
      <c r="BZ606" s="0" t="s">
        <v>3674</v>
      </c>
      <c r="CA606" s="0" t="s">
        <v>3674</v>
      </c>
      <c r="CB606" s="0" t="s">
        <v>228</v>
      </c>
      <c r="CC606" s="0" t="s">
        <v>228</v>
      </c>
      <c r="CD606" s="0" t="s">
        <v>228</v>
      </c>
      <c r="CE606" s="0" t="s">
        <v>228</v>
      </c>
      <c r="CF606" s="0" t="s">
        <v>228</v>
      </c>
      <c r="CG606" s="0" t="s">
        <v>3674</v>
      </c>
      <c r="CH606" s="0" t="s">
        <v>228</v>
      </c>
      <c r="CI606" s="0" t="s">
        <v>228</v>
      </c>
      <c r="CJ606" s="0" t="s">
        <v>228</v>
      </c>
      <c r="CK606" s="0" t="s">
        <v>228</v>
      </c>
      <c r="CL606" s="0" t="s">
        <v>228</v>
      </c>
      <c r="CM606" s="0" t="s">
        <v>3962</v>
      </c>
      <c r="CN606" s="0" t="s">
        <v>3962</v>
      </c>
      <c r="CO606" s="0" t="s">
        <v>228</v>
      </c>
      <c r="CP606" s="0" t="s">
        <v>228</v>
      </c>
      <c r="CQ606" s="0" t="s">
        <v>228</v>
      </c>
      <c r="CR606" s="0" t="s">
        <v>228</v>
      </c>
      <c r="CS606" s="0" t="s">
        <v>3743</v>
      </c>
      <c r="CT606" s="0" t="s">
        <v>3568</v>
      </c>
      <c r="CU606" s="0" t="s">
        <v>3569</v>
      </c>
      <c r="CV606" s="0" t="s">
        <v>418</v>
      </c>
      <c r="CW606" s="0" t="s">
        <v>3622</v>
      </c>
      <c r="CX606" s="0" t="s">
        <v>419</v>
      </c>
      <c r="CY606" s="0" t="s">
        <v>418</v>
      </c>
      <c r="CZ606" s="0" t="s">
        <v>3623</v>
      </c>
      <c r="DA606" s="0" t="s">
        <v>3624</v>
      </c>
      <c r="DB606" s="0" t="s">
        <v>3622</v>
      </c>
      <c r="DC606" s="0" t="s">
        <v>362</v>
      </c>
      <c r="DD606" s="0" t="s">
        <v>3572</v>
      </c>
      <c r="DE606" s="0" t="s">
        <v>3957</v>
      </c>
    </row>
    <row customHeight="1" ht="11.25">
      <c r="A607" s="1353" t="s">
        <v>228</v>
      </c>
      <c r="B607" s="0" t="s">
        <v>228</v>
      </c>
      <c r="C607" s="0" t="s">
        <v>228</v>
      </c>
      <c r="D607" s="0" t="s">
        <v>228</v>
      </c>
      <c r="E607" s="0" t="s">
        <v>228</v>
      </c>
      <c r="F607" s="0" t="s">
        <v>228</v>
      </c>
      <c r="G607" s="0" t="s">
        <v>228</v>
      </c>
      <c r="H607" s="0" t="s">
        <v>228</v>
      </c>
      <c r="I607" s="0" t="s">
        <v>3555</v>
      </c>
      <c r="J607" s="0" t="s">
        <v>228</v>
      </c>
      <c r="K607" s="0" t="s">
        <v>228</v>
      </c>
      <c r="L607" s="0" t="s">
        <v>228</v>
      </c>
      <c r="M607" s="0" t="s">
        <v>228</v>
      </c>
      <c r="N607" s="0" t="s">
        <v>228</v>
      </c>
      <c r="O607" s="0" t="s">
        <v>228</v>
      </c>
      <c r="P607" s="0" t="s">
        <v>228</v>
      </c>
      <c r="Q607" s="0" t="s">
        <v>228</v>
      </c>
      <c r="R607" s="0" t="s">
        <v>3648</v>
      </c>
      <c r="S607" s="0" t="s">
        <v>228</v>
      </c>
      <c r="T607" s="0" t="s">
        <v>228</v>
      </c>
      <c r="U607" s="0" t="s">
        <v>101</v>
      </c>
      <c r="V607" s="0" t="s">
        <v>228</v>
      </c>
      <c r="W607" s="0" t="s">
        <v>228</v>
      </c>
      <c r="X607" s="0" t="s">
        <v>3557</v>
      </c>
      <c r="Y607" s="0" t="s">
        <v>228</v>
      </c>
      <c r="Z607" s="0" t="s">
        <v>160</v>
      </c>
      <c r="AA607" s="0" t="s">
        <v>151</v>
      </c>
      <c r="AB607" s="0" t="s">
        <v>151</v>
      </c>
      <c r="AC607" s="0" t="s">
        <v>2317</v>
      </c>
      <c r="AD607" s="0" t="s">
        <v>2317</v>
      </c>
      <c r="AE607" s="0" t="s">
        <v>2318</v>
      </c>
      <c r="AF607" s="0" t="s">
        <v>4487</v>
      </c>
      <c r="AG607" s="0" t="s">
        <v>4488</v>
      </c>
      <c r="AH607" s="0" t="s">
        <v>4489</v>
      </c>
      <c r="AI607" s="0" t="s">
        <v>4276</v>
      </c>
      <c r="AJ607" s="0" t="s">
        <v>3579</v>
      </c>
      <c r="AK607" s="0" t="s">
        <v>3619</v>
      </c>
      <c r="AL607" s="0" t="s">
        <v>3581</v>
      </c>
      <c r="AM607" s="0" t="s">
        <v>3565</v>
      </c>
      <c r="AN607" s="0" t="s">
        <v>3620</v>
      </c>
      <c r="AO607" s="0" t="s">
        <v>4433</v>
      </c>
      <c r="AP607" s="0" t="s">
        <v>228</v>
      </c>
      <c r="AQ607" s="0" t="s">
        <v>228</v>
      </c>
      <c r="AR607" s="0" t="s">
        <v>228</v>
      </c>
      <c r="AS607" s="0" t="s">
        <v>228</v>
      </c>
      <c r="AT607" s="0" t="s">
        <v>228</v>
      </c>
      <c r="AU607" s="0" t="s">
        <v>228</v>
      </c>
      <c r="AV607" s="0" t="s">
        <v>228</v>
      </c>
      <c r="AW607" s="0" t="s">
        <v>228</v>
      </c>
      <c r="AX607" s="0" t="s">
        <v>228</v>
      </c>
      <c r="AY607" s="0" t="s">
        <v>228</v>
      </c>
      <c r="AZ607" s="0" t="s">
        <v>228</v>
      </c>
      <c r="BA607" s="0" t="s">
        <v>228</v>
      </c>
      <c r="BB607" s="0" t="s">
        <v>228</v>
      </c>
      <c r="BC607" s="0" t="s">
        <v>228</v>
      </c>
      <c r="BD607" s="0" t="s">
        <v>228</v>
      </c>
      <c r="BE607" s="0" t="s">
        <v>228</v>
      </c>
      <c r="BF607" s="0" t="s">
        <v>228</v>
      </c>
      <c r="BG607" s="0" t="s">
        <v>228</v>
      </c>
      <c r="BH607" s="0" t="s">
        <v>228</v>
      </c>
      <c r="BI607" s="0" t="s">
        <v>228</v>
      </c>
      <c r="BJ607" s="0" t="s">
        <v>228</v>
      </c>
      <c r="BK607" s="0" t="s">
        <v>228</v>
      </c>
      <c r="BL607" s="0" t="s">
        <v>228</v>
      </c>
      <c r="BM607" s="0" t="s">
        <v>228</v>
      </c>
      <c r="BN607" s="0" t="s">
        <v>228</v>
      </c>
      <c r="BO607" s="0" t="s">
        <v>228</v>
      </c>
      <c r="BP607" s="0" t="s">
        <v>228</v>
      </c>
      <c r="BQ607" s="0" t="s">
        <v>228</v>
      </c>
      <c r="BR607" s="0" t="s">
        <v>228</v>
      </c>
      <c r="BS607" s="0" t="s">
        <v>228</v>
      </c>
      <c r="BT607" s="0" t="s">
        <v>228</v>
      </c>
      <c r="BU607" s="0" t="s">
        <v>228</v>
      </c>
      <c r="BV607" s="0" t="s">
        <v>228</v>
      </c>
      <c r="BW607" s="0" t="s">
        <v>228</v>
      </c>
      <c r="BX607" s="0" t="s">
        <v>228</v>
      </c>
      <c r="BY607" s="0" t="s">
        <v>228</v>
      </c>
      <c r="BZ607" s="0" t="s">
        <v>228</v>
      </c>
      <c r="CA607" s="0" t="s">
        <v>228</v>
      </c>
      <c r="CB607" s="0" t="s">
        <v>228</v>
      </c>
      <c r="CC607" s="0" t="s">
        <v>228</v>
      </c>
      <c r="CD607" s="0" t="s">
        <v>228</v>
      </c>
      <c r="CE607" s="0" t="s">
        <v>228</v>
      </c>
      <c r="CF607" s="0" t="s">
        <v>228</v>
      </c>
      <c r="CG607" s="0" t="s">
        <v>228</v>
      </c>
      <c r="CH607" s="0" t="s">
        <v>228</v>
      </c>
      <c r="CI607" s="0" t="s">
        <v>228</v>
      </c>
      <c r="CJ607" s="0" t="s">
        <v>228</v>
      </c>
      <c r="CK607" s="0" t="s">
        <v>228</v>
      </c>
      <c r="CL607" s="0" t="s">
        <v>228</v>
      </c>
      <c r="CM607" s="0" t="s">
        <v>228</v>
      </c>
      <c r="CN607" s="0" t="s">
        <v>228</v>
      </c>
      <c r="CO607" s="0" t="s">
        <v>228</v>
      </c>
      <c r="CP607" s="0" t="s">
        <v>228</v>
      </c>
      <c r="CQ607" s="0" t="s">
        <v>228</v>
      </c>
      <c r="CR607" s="0" t="s">
        <v>228</v>
      </c>
      <c r="CS607" s="0" t="s">
        <v>228</v>
      </c>
      <c r="CT607" s="0" t="s">
        <v>3568</v>
      </c>
      <c r="CU607" s="0" t="s">
        <v>3569</v>
      </c>
      <c r="CV607" s="0" t="s">
        <v>418</v>
      </c>
      <c r="CW607" s="0" t="s">
        <v>3622</v>
      </c>
      <c r="CX607" s="0" t="s">
        <v>419</v>
      </c>
      <c r="CY607" s="0" t="s">
        <v>418</v>
      </c>
      <c r="CZ607" s="0" t="s">
        <v>3623</v>
      </c>
      <c r="DA607" s="0" t="s">
        <v>3624</v>
      </c>
      <c r="DB607" s="0" t="s">
        <v>3622</v>
      </c>
      <c r="DC607" s="0" t="s">
        <v>362</v>
      </c>
      <c r="DD607" s="0" t="s">
        <v>3572</v>
      </c>
      <c r="DE607" s="0" t="s">
        <v>4490</v>
      </c>
    </row>
    <row customHeight="1" ht="11.25">
      <c r="A608" s="1353" t="s">
        <v>228</v>
      </c>
      <c r="B608" s="0" t="s">
        <v>228</v>
      </c>
      <c r="C608" s="0" t="s">
        <v>228</v>
      </c>
      <c r="D608" s="0" t="s">
        <v>228</v>
      </c>
      <c r="E608" s="0" t="s">
        <v>228</v>
      </c>
      <c r="F608" s="0" t="s">
        <v>228</v>
      </c>
      <c r="G608" s="0" t="s">
        <v>228</v>
      </c>
      <c r="H608" s="0" t="s">
        <v>228</v>
      </c>
      <c r="I608" s="0" t="s">
        <v>3555</v>
      </c>
      <c r="J608" s="0" t="s">
        <v>228</v>
      </c>
      <c r="K608" s="0" t="s">
        <v>228</v>
      </c>
      <c r="L608" s="0" t="s">
        <v>228</v>
      </c>
      <c r="M608" s="0" t="s">
        <v>228</v>
      </c>
      <c r="N608" s="0" t="s">
        <v>228</v>
      </c>
      <c r="O608" s="0" t="s">
        <v>228</v>
      </c>
      <c r="P608" s="0" t="s">
        <v>228</v>
      </c>
      <c r="Q608" s="0" t="s">
        <v>228</v>
      </c>
      <c r="R608" s="0" t="s">
        <v>3648</v>
      </c>
      <c r="S608" s="0" t="s">
        <v>228</v>
      </c>
      <c r="T608" s="0" t="s">
        <v>228</v>
      </c>
      <c r="U608" s="0" t="s">
        <v>101</v>
      </c>
      <c r="V608" s="0" t="s">
        <v>228</v>
      </c>
      <c r="W608" s="0" t="s">
        <v>228</v>
      </c>
      <c r="X608" s="0" t="s">
        <v>3557</v>
      </c>
      <c r="Y608" s="0" t="s">
        <v>228</v>
      </c>
      <c r="Z608" s="0" t="s">
        <v>160</v>
      </c>
      <c r="AA608" s="0" t="s">
        <v>151</v>
      </c>
      <c r="AB608" s="0" t="s">
        <v>151</v>
      </c>
      <c r="AC608" s="0" t="s">
        <v>2317</v>
      </c>
      <c r="AD608" s="0" t="s">
        <v>2317</v>
      </c>
      <c r="AE608" s="0" t="s">
        <v>2318</v>
      </c>
      <c r="AF608" s="0" t="s">
        <v>4487</v>
      </c>
      <c r="AG608" s="0" t="s">
        <v>4488</v>
      </c>
      <c r="AH608" s="0" t="s">
        <v>4750</v>
      </c>
      <c r="AI608" s="0" t="s">
        <v>4276</v>
      </c>
      <c r="AJ608" s="0" t="s">
        <v>3579</v>
      </c>
      <c r="AK608" s="0" t="s">
        <v>4751</v>
      </c>
      <c r="AL608" s="0" t="s">
        <v>3581</v>
      </c>
      <c r="AM608" s="0" t="s">
        <v>3565</v>
      </c>
      <c r="AN608" s="0" t="s">
        <v>3628</v>
      </c>
      <c r="AO608" s="0" t="s">
        <v>3712</v>
      </c>
      <c r="AP608" s="0" t="s">
        <v>228</v>
      </c>
      <c r="AQ608" s="0" t="s">
        <v>228</v>
      </c>
      <c r="AR608" s="0" t="s">
        <v>228</v>
      </c>
      <c r="AS608" s="0" t="s">
        <v>228</v>
      </c>
      <c r="AT608" s="0" t="s">
        <v>228</v>
      </c>
      <c r="AU608" s="0" t="s">
        <v>228</v>
      </c>
      <c r="AV608" s="0" t="s">
        <v>228</v>
      </c>
      <c r="AW608" s="0" t="s">
        <v>228</v>
      </c>
      <c r="AX608" s="0" t="s">
        <v>228</v>
      </c>
      <c r="AY608" s="0" t="s">
        <v>228</v>
      </c>
      <c r="AZ608" s="0" t="s">
        <v>228</v>
      </c>
      <c r="BA608" s="0" t="s">
        <v>228</v>
      </c>
      <c r="BB608" s="0" t="s">
        <v>228</v>
      </c>
      <c r="BC608" s="0" t="s">
        <v>228</v>
      </c>
      <c r="BD608" s="0" t="s">
        <v>228</v>
      </c>
      <c r="BE608" s="0" t="s">
        <v>228</v>
      </c>
      <c r="BF608" s="0" t="s">
        <v>228</v>
      </c>
      <c r="BG608" s="0" t="s">
        <v>228</v>
      </c>
      <c r="BH608" s="0" t="s">
        <v>228</v>
      </c>
      <c r="BI608" s="0" t="s">
        <v>228</v>
      </c>
      <c r="BJ608" s="0" t="s">
        <v>228</v>
      </c>
      <c r="BK608" s="0" t="s">
        <v>228</v>
      </c>
      <c r="BL608" s="0" t="s">
        <v>228</v>
      </c>
      <c r="BM608" s="0" t="s">
        <v>228</v>
      </c>
      <c r="BN608" s="0" t="s">
        <v>228</v>
      </c>
      <c r="BO608" s="0" t="s">
        <v>228</v>
      </c>
      <c r="BP608" s="0" t="s">
        <v>228</v>
      </c>
      <c r="BQ608" s="0" t="s">
        <v>228</v>
      </c>
      <c r="BR608" s="0" t="s">
        <v>228</v>
      </c>
      <c r="BS608" s="0" t="s">
        <v>228</v>
      </c>
      <c r="BT608" s="0" t="s">
        <v>228</v>
      </c>
      <c r="BU608" s="0" t="s">
        <v>228</v>
      </c>
      <c r="BV608" s="0" t="s">
        <v>228</v>
      </c>
      <c r="BW608" s="0" t="s">
        <v>228</v>
      </c>
      <c r="BX608" s="0" t="s">
        <v>228</v>
      </c>
      <c r="BY608" s="0" t="s">
        <v>228</v>
      </c>
      <c r="BZ608" s="0" t="s">
        <v>228</v>
      </c>
      <c r="CA608" s="0" t="s">
        <v>228</v>
      </c>
      <c r="CB608" s="0" t="s">
        <v>228</v>
      </c>
      <c r="CC608" s="0" t="s">
        <v>228</v>
      </c>
      <c r="CD608" s="0" t="s">
        <v>228</v>
      </c>
      <c r="CE608" s="0" t="s">
        <v>228</v>
      </c>
      <c r="CF608" s="0" t="s">
        <v>228</v>
      </c>
      <c r="CG608" s="0" t="s">
        <v>228</v>
      </c>
      <c r="CH608" s="0" t="s">
        <v>228</v>
      </c>
      <c r="CI608" s="0" t="s">
        <v>228</v>
      </c>
      <c r="CJ608" s="0" t="s">
        <v>228</v>
      </c>
      <c r="CK608" s="0" t="s">
        <v>228</v>
      </c>
      <c r="CL608" s="0" t="s">
        <v>228</v>
      </c>
      <c r="CM608" s="0" t="s">
        <v>228</v>
      </c>
      <c r="CN608" s="0" t="s">
        <v>228</v>
      </c>
      <c r="CO608" s="0" t="s">
        <v>228</v>
      </c>
      <c r="CP608" s="0" t="s">
        <v>228</v>
      </c>
      <c r="CQ608" s="0" t="s">
        <v>228</v>
      </c>
      <c r="CR608" s="0" t="s">
        <v>228</v>
      </c>
      <c r="CS608" s="0" t="s">
        <v>228</v>
      </c>
      <c r="CT608" s="0" t="s">
        <v>3568</v>
      </c>
      <c r="CU608" s="0" t="s">
        <v>3569</v>
      </c>
      <c r="CV608" s="0" t="s">
        <v>418</v>
      </c>
      <c r="CW608" s="0" t="s">
        <v>3622</v>
      </c>
      <c r="CX608" s="0" t="s">
        <v>419</v>
      </c>
      <c r="CY608" s="0" t="s">
        <v>418</v>
      </c>
      <c r="CZ608" s="0" t="s">
        <v>3623</v>
      </c>
      <c r="DA608" s="0" t="s">
        <v>3624</v>
      </c>
      <c r="DB608" s="0" t="s">
        <v>3622</v>
      </c>
      <c r="DC608" s="0" t="s">
        <v>362</v>
      </c>
      <c r="DD608" s="0" t="s">
        <v>3572</v>
      </c>
      <c r="DE608" s="0" t="s">
        <v>4752</v>
      </c>
    </row>
    <row customHeight="1" ht="11.25">
      <c r="A609" s="1353" t="s">
        <v>228</v>
      </c>
      <c r="B609" s="0" t="s">
        <v>228</v>
      </c>
      <c r="C609" s="0" t="s">
        <v>228</v>
      </c>
      <c r="D609" s="0" t="s">
        <v>228</v>
      </c>
      <c r="E609" s="0" t="s">
        <v>228</v>
      </c>
      <c r="F609" s="0" t="s">
        <v>228</v>
      </c>
      <c r="G609" s="0" t="s">
        <v>228</v>
      </c>
      <c r="H609" s="0" t="s">
        <v>228</v>
      </c>
      <c r="I609" s="0" t="s">
        <v>3555</v>
      </c>
      <c r="J609" s="0" t="s">
        <v>228</v>
      </c>
      <c r="K609" s="0" t="s">
        <v>228</v>
      </c>
      <c r="L609" s="0" t="s">
        <v>228</v>
      </c>
      <c r="M609" s="0" t="s">
        <v>228</v>
      </c>
      <c r="N609" s="0" t="s">
        <v>228</v>
      </c>
      <c r="O609" s="0" t="s">
        <v>228</v>
      </c>
      <c r="P609" s="0" t="s">
        <v>228</v>
      </c>
      <c r="Q609" s="0" t="s">
        <v>228</v>
      </c>
      <c r="R609" s="0" t="s">
        <v>4753</v>
      </c>
      <c r="S609" s="0" t="s">
        <v>228</v>
      </c>
      <c r="T609" s="0" t="s">
        <v>228</v>
      </c>
      <c r="U609" s="0" t="s">
        <v>101</v>
      </c>
      <c r="V609" s="0" t="s">
        <v>228</v>
      </c>
      <c r="W609" s="0" t="s">
        <v>228</v>
      </c>
      <c r="X609" s="0" t="s">
        <v>3661</v>
      </c>
      <c r="Y609" s="0" t="s">
        <v>228</v>
      </c>
      <c r="Z609" s="0" t="s">
        <v>151</v>
      </c>
      <c r="AA609" s="0" t="s">
        <v>151</v>
      </c>
      <c r="AB609" s="0" t="s">
        <v>160</v>
      </c>
      <c r="AC609" s="0" t="s">
        <v>2317</v>
      </c>
      <c r="AD609" s="0" t="s">
        <v>2317</v>
      </c>
      <c r="AE609" s="0" t="s">
        <v>2318</v>
      </c>
      <c r="AF609" s="0" t="s">
        <v>4271</v>
      </c>
      <c r="AG609" s="0" t="s">
        <v>4272</v>
      </c>
      <c r="AH609" s="0" t="s">
        <v>3651</v>
      </c>
      <c r="AI609" s="0" t="s">
        <v>3651</v>
      </c>
      <c r="AJ609" s="0" t="s">
        <v>228</v>
      </c>
      <c r="AK609" s="0" t="s">
        <v>228</v>
      </c>
      <c r="AL609" s="0" t="s">
        <v>228</v>
      </c>
      <c r="AM609" s="0" t="s">
        <v>228</v>
      </c>
      <c r="AN609" s="0" t="s">
        <v>228</v>
      </c>
      <c r="AO609" s="0" t="s">
        <v>228</v>
      </c>
      <c r="AP609" s="0" t="s">
        <v>228</v>
      </c>
      <c r="AQ609" s="0" t="s">
        <v>228</v>
      </c>
      <c r="AR609" s="0" t="s">
        <v>228</v>
      </c>
      <c r="AS609" s="0" t="s">
        <v>228</v>
      </c>
      <c r="AT609" s="0" t="s">
        <v>228</v>
      </c>
      <c r="AU609" s="0" t="s">
        <v>228</v>
      </c>
      <c r="AV609" s="0" t="s">
        <v>228</v>
      </c>
      <c r="AW609" s="0" t="s">
        <v>228</v>
      </c>
      <c r="AX609" s="0" t="s">
        <v>228</v>
      </c>
      <c r="AY609" s="0" t="s">
        <v>228</v>
      </c>
      <c r="AZ609" s="0" t="s">
        <v>228</v>
      </c>
      <c r="BA609" s="0" t="s">
        <v>228</v>
      </c>
      <c r="BB609" s="0" t="s">
        <v>228</v>
      </c>
      <c r="BC609" s="0" t="s">
        <v>228</v>
      </c>
      <c r="BD609" s="0" t="s">
        <v>228</v>
      </c>
      <c r="BE609" s="0" t="s">
        <v>3627</v>
      </c>
      <c r="BF609" s="0" t="s">
        <v>3749</v>
      </c>
      <c r="BG609" s="0" t="s">
        <v>111</v>
      </c>
      <c r="BH609" s="0" t="s">
        <v>3665</v>
      </c>
      <c r="BI609" s="0" t="s">
        <v>122</v>
      </c>
      <c r="BJ609" s="0" t="s">
        <v>228</v>
      </c>
      <c r="BK609" s="0" t="s">
        <v>3684</v>
      </c>
      <c r="BL609" s="0" t="s">
        <v>2317</v>
      </c>
      <c r="BM609" s="0" t="s">
        <v>2317</v>
      </c>
      <c r="BN609" s="0" t="s">
        <v>3740</v>
      </c>
      <c r="BO609" s="0" t="s">
        <v>4271</v>
      </c>
      <c r="BP609" s="0" t="s">
        <v>4754</v>
      </c>
      <c r="BQ609" s="0" t="s">
        <v>3651</v>
      </c>
      <c r="BR609" s="0" t="s">
        <v>3651</v>
      </c>
      <c r="BS609" s="0" t="s">
        <v>228</v>
      </c>
      <c r="BT609" s="0" t="s">
        <v>3727</v>
      </c>
      <c r="BU609" s="0" t="s">
        <v>4755</v>
      </c>
      <c r="BV609" s="0" t="s">
        <v>4755</v>
      </c>
      <c r="BW609" s="0" t="s">
        <v>3674</v>
      </c>
      <c r="BX609" s="0" t="s">
        <v>3674</v>
      </c>
      <c r="BY609" s="0" t="s">
        <v>3674</v>
      </c>
      <c r="BZ609" s="0" t="s">
        <v>3674</v>
      </c>
      <c r="CA609" s="0" t="s">
        <v>3674</v>
      </c>
      <c r="CB609" s="0" t="s">
        <v>228</v>
      </c>
      <c r="CC609" s="0" t="s">
        <v>228</v>
      </c>
      <c r="CD609" s="0" t="s">
        <v>228</v>
      </c>
      <c r="CE609" s="0" t="s">
        <v>228</v>
      </c>
      <c r="CF609" s="0" t="s">
        <v>228</v>
      </c>
      <c r="CG609" s="0" t="s">
        <v>3674</v>
      </c>
      <c r="CH609" s="0" t="s">
        <v>228</v>
      </c>
      <c r="CI609" s="0" t="s">
        <v>228</v>
      </c>
      <c r="CJ609" s="0" t="s">
        <v>228</v>
      </c>
      <c r="CK609" s="0" t="s">
        <v>228</v>
      </c>
      <c r="CL609" s="0" t="s">
        <v>228</v>
      </c>
      <c r="CM609" s="0" t="s">
        <v>4755</v>
      </c>
      <c r="CN609" s="0" t="s">
        <v>4755</v>
      </c>
      <c r="CO609" s="0" t="s">
        <v>228</v>
      </c>
      <c r="CP609" s="0" t="s">
        <v>228</v>
      </c>
      <c r="CQ609" s="0" t="s">
        <v>228</v>
      </c>
      <c r="CR609" s="0" t="s">
        <v>228</v>
      </c>
      <c r="CS609" s="0" t="s">
        <v>3743</v>
      </c>
      <c r="CT609" s="0" t="s">
        <v>3568</v>
      </c>
      <c r="CU609" s="0" t="s">
        <v>3569</v>
      </c>
      <c r="CV609" s="0" t="s">
        <v>418</v>
      </c>
      <c r="CW609" s="0" t="s">
        <v>3622</v>
      </c>
      <c r="CX609" s="0" t="s">
        <v>419</v>
      </c>
      <c r="CY609" s="0" t="s">
        <v>418</v>
      </c>
      <c r="CZ609" s="0" t="s">
        <v>3623</v>
      </c>
      <c r="DA609" s="0" t="s">
        <v>3624</v>
      </c>
      <c r="DB609" s="0" t="s">
        <v>3622</v>
      </c>
      <c r="DC609" s="0" t="s">
        <v>362</v>
      </c>
      <c r="DD609" s="0" t="s">
        <v>3572</v>
      </c>
      <c r="DE609" s="0" t="s">
        <v>4756</v>
      </c>
    </row>
    <row customHeight="1" ht="11.25">
      <c r="A610" s="1353" t="s">
        <v>228</v>
      </c>
      <c r="B610" s="0" t="s">
        <v>228</v>
      </c>
      <c r="C610" s="0" t="s">
        <v>228</v>
      </c>
      <c r="D610" s="0" t="s">
        <v>228</v>
      </c>
      <c r="E610" s="0" t="s">
        <v>228</v>
      </c>
      <c r="F610" s="0" t="s">
        <v>228</v>
      </c>
      <c r="G610" s="0" t="s">
        <v>228</v>
      </c>
      <c r="H610" s="0" t="s">
        <v>228</v>
      </c>
      <c r="I610" s="0" t="s">
        <v>3555</v>
      </c>
      <c r="J610" s="0" t="s">
        <v>228</v>
      </c>
      <c r="K610" s="0" t="s">
        <v>228</v>
      </c>
      <c r="L610" s="0" t="s">
        <v>228</v>
      </c>
      <c r="M610" s="0" t="s">
        <v>228</v>
      </c>
      <c r="N610" s="0" t="s">
        <v>228</v>
      </c>
      <c r="O610" s="0" t="s">
        <v>228</v>
      </c>
      <c r="P610" s="0" t="s">
        <v>228</v>
      </c>
      <c r="Q610" s="0" t="s">
        <v>228</v>
      </c>
      <c r="R610" s="0" t="s">
        <v>3847</v>
      </c>
      <c r="S610" s="0" t="s">
        <v>228</v>
      </c>
      <c r="T610" s="0" t="s">
        <v>228</v>
      </c>
      <c r="U610" s="0" t="s">
        <v>101</v>
      </c>
      <c r="V610" s="0" t="s">
        <v>228</v>
      </c>
      <c r="W610" s="0" t="s">
        <v>228</v>
      </c>
      <c r="X610" s="0" t="s">
        <v>3557</v>
      </c>
      <c r="Y610" s="0" t="s">
        <v>228</v>
      </c>
      <c r="Z610" s="0" t="s">
        <v>160</v>
      </c>
      <c r="AA610" s="0" t="s">
        <v>151</v>
      </c>
      <c r="AB610" s="0" t="s">
        <v>151</v>
      </c>
      <c r="AC610" s="0" t="s">
        <v>2317</v>
      </c>
      <c r="AD610" s="0" t="s">
        <v>2317</v>
      </c>
      <c r="AE610" s="0" t="s">
        <v>2318</v>
      </c>
      <c r="AF610" s="0" t="s">
        <v>3826</v>
      </c>
      <c r="AG610" s="0" t="s">
        <v>3827</v>
      </c>
      <c r="AH610" s="0" t="s">
        <v>3844</v>
      </c>
      <c r="AI610" s="0" t="s">
        <v>3651</v>
      </c>
      <c r="AJ610" s="0" t="s">
        <v>3654</v>
      </c>
      <c r="AK610" s="0" t="s">
        <v>3620</v>
      </c>
      <c r="AL610" s="0" t="s">
        <v>3581</v>
      </c>
      <c r="AM610" s="0" t="s">
        <v>3565</v>
      </c>
      <c r="AN610" s="0" t="s">
        <v>3620</v>
      </c>
      <c r="AO610" s="0" t="s">
        <v>3845</v>
      </c>
      <c r="AP610" s="0" t="s">
        <v>228</v>
      </c>
      <c r="AQ610" s="0" t="s">
        <v>228</v>
      </c>
      <c r="AR610" s="0" t="s">
        <v>228</v>
      </c>
      <c r="AS610" s="0" t="s">
        <v>228</v>
      </c>
      <c r="AT610" s="0" t="s">
        <v>228</v>
      </c>
      <c r="AU610" s="0" t="s">
        <v>228</v>
      </c>
      <c r="AV610" s="0" t="s">
        <v>228</v>
      </c>
      <c r="AW610" s="0" t="s">
        <v>228</v>
      </c>
      <c r="AX610" s="0" t="s">
        <v>228</v>
      </c>
      <c r="AY610" s="0" t="s">
        <v>228</v>
      </c>
      <c r="AZ610" s="0" t="s">
        <v>228</v>
      </c>
      <c r="BA610" s="0" t="s">
        <v>228</v>
      </c>
      <c r="BB610" s="0" t="s">
        <v>228</v>
      </c>
      <c r="BC610" s="0" t="s">
        <v>228</v>
      </c>
      <c r="BD610" s="0" t="s">
        <v>228</v>
      </c>
      <c r="BE610" s="0" t="s">
        <v>228</v>
      </c>
      <c r="BF610" s="0" t="s">
        <v>228</v>
      </c>
      <c r="BG610" s="0" t="s">
        <v>228</v>
      </c>
      <c r="BH610" s="0" t="s">
        <v>228</v>
      </c>
      <c r="BI610" s="0" t="s">
        <v>228</v>
      </c>
      <c r="BJ610" s="0" t="s">
        <v>228</v>
      </c>
      <c r="BK610" s="0" t="s">
        <v>228</v>
      </c>
      <c r="BL610" s="0" t="s">
        <v>228</v>
      </c>
      <c r="BM610" s="0" t="s">
        <v>228</v>
      </c>
      <c r="BN610" s="0" t="s">
        <v>228</v>
      </c>
      <c r="BO610" s="0" t="s">
        <v>228</v>
      </c>
      <c r="BP610" s="0" t="s">
        <v>228</v>
      </c>
      <c r="BQ610" s="0" t="s">
        <v>228</v>
      </c>
      <c r="BR610" s="0" t="s">
        <v>228</v>
      </c>
      <c r="BS610" s="0" t="s">
        <v>228</v>
      </c>
      <c r="BT610" s="0" t="s">
        <v>228</v>
      </c>
      <c r="BU610" s="0" t="s">
        <v>228</v>
      </c>
      <c r="BV610" s="0" t="s">
        <v>228</v>
      </c>
      <c r="BW610" s="0" t="s">
        <v>228</v>
      </c>
      <c r="BX610" s="0" t="s">
        <v>228</v>
      </c>
      <c r="BY610" s="0" t="s">
        <v>228</v>
      </c>
      <c r="BZ610" s="0" t="s">
        <v>228</v>
      </c>
      <c r="CA610" s="0" t="s">
        <v>228</v>
      </c>
      <c r="CB610" s="0" t="s">
        <v>228</v>
      </c>
      <c r="CC610" s="0" t="s">
        <v>228</v>
      </c>
      <c r="CD610" s="0" t="s">
        <v>228</v>
      </c>
      <c r="CE610" s="0" t="s">
        <v>228</v>
      </c>
      <c r="CF610" s="0" t="s">
        <v>228</v>
      </c>
      <c r="CG610" s="0" t="s">
        <v>228</v>
      </c>
      <c r="CH610" s="0" t="s">
        <v>228</v>
      </c>
      <c r="CI610" s="0" t="s">
        <v>228</v>
      </c>
      <c r="CJ610" s="0" t="s">
        <v>228</v>
      </c>
      <c r="CK610" s="0" t="s">
        <v>228</v>
      </c>
      <c r="CL610" s="0" t="s">
        <v>228</v>
      </c>
      <c r="CM610" s="0" t="s">
        <v>228</v>
      </c>
      <c r="CN610" s="0" t="s">
        <v>228</v>
      </c>
      <c r="CO610" s="0" t="s">
        <v>228</v>
      </c>
      <c r="CP610" s="0" t="s">
        <v>228</v>
      </c>
      <c r="CQ610" s="0" t="s">
        <v>228</v>
      </c>
      <c r="CR610" s="0" t="s">
        <v>228</v>
      </c>
      <c r="CS610" s="0" t="s">
        <v>228</v>
      </c>
      <c r="CT610" s="0" t="s">
        <v>3568</v>
      </c>
      <c r="CU610" s="0" t="s">
        <v>3569</v>
      </c>
      <c r="CV610" s="0" t="s">
        <v>418</v>
      </c>
      <c r="CW610" s="0" t="s">
        <v>3622</v>
      </c>
      <c r="CX610" s="0" t="s">
        <v>419</v>
      </c>
      <c r="CY610" s="0" t="s">
        <v>418</v>
      </c>
      <c r="CZ610" s="0" t="s">
        <v>3623</v>
      </c>
      <c r="DA610" s="0" t="s">
        <v>3624</v>
      </c>
      <c r="DB610" s="0" t="s">
        <v>3622</v>
      </c>
      <c r="DC610" s="0" t="s">
        <v>362</v>
      </c>
      <c r="DD610" s="0" t="s">
        <v>3572</v>
      </c>
      <c r="DE610" s="0" t="s">
        <v>3846</v>
      </c>
    </row>
    <row customHeight="1" ht="11.25">
      <c r="A611" s="1353" t="s">
        <v>228</v>
      </c>
      <c r="B611" s="0" t="s">
        <v>228</v>
      </c>
      <c r="C611" s="0" t="s">
        <v>228</v>
      </c>
      <c r="D611" s="0" t="s">
        <v>228</v>
      </c>
      <c r="E611" s="0" t="s">
        <v>228</v>
      </c>
      <c r="F611" s="0" t="s">
        <v>228</v>
      </c>
      <c r="G611" s="0" t="s">
        <v>228</v>
      </c>
      <c r="H611" s="0" t="s">
        <v>228</v>
      </c>
      <c r="I611" s="0" t="s">
        <v>3555</v>
      </c>
      <c r="J611" s="0" t="s">
        <v>228</v>
      </c>
      <c r="K611" s="0" t="s">
        <v>228</v>
      </c>
      <c r="L611" s="0" t="s">
        <v>228</v>
      </c>
      <c r="M611" s="0" t="s">
        <v>228</v>
      </c>
      <c r="N611" s="0" t="s">
        <v>228</v>
      </c>
      <c r="O611" s="0" t="s">
        <v>228</v>
      </c>
      <c r="P611" s="0" t="s">
        <v>228</v>
      </c>
      <c r="Q611" s="0" t="s">
        <v>228</v>
      </c>
      <c r="R611" s="0" t="s">
        <v>4493</v>
      </c>
      <c r="S611" s="0" t="s">
        <v>228</v>
      </c>
      <c r="T611" s="0" t="s">
        <v>228</v>
      </c>
      <c r="U611" s="0" t="s">
        <v>101</v>
      </c>
      <c r="V611" s="0" t="s">
        <v>228</v>
      </c>
      <c r="W611" s="0" t="s">
        <v>228</v>
      </c>
      <c r="X611" s="0" t="s">
        <v>3661</v>
      </c>
      <c r="Y611" s="0" t="s">
        <v>228</v>
      </c>
      <c r="Z611" s="0" t="s">
        <v>151</v>
      </c>
      <c r="AA611" s="0" t="s">
        <v>151</v>
      </c>
      <c r="AB611" s="0" t="s">
        <v>160</v>
      </c>
      <c r="AC611" s="0" t="s">
        <v>2315</v>
      </c>
      <c r="AD611" s="0" t="s">
        <v>2315</v>
      </c>
      <c r="AE611" s="0" t="s">
        <v>2316</v>
      </c>
      <c r="AF611" s="0" t="s">
        <v>4222</v>
      </c>
      <c r="AG611" s="0" t="s">
        <v>4223</v>
      </c>
      <c r="AH611" s="0" t="s">
        <v>3651</v>
      </c>
      <c r="AI611" s="0" t="s">
        <v>3651</v>
      </c>
      <c r="AJ611" s="0" t="s">
        <v>228</v>
      </c>
      <c r="AK611" s="0" t="s">
        <v>228</v>
      </c>
      <c r="AL611" s="0" t="s">
        <v>228</v>
      </c>
      <c r="AM611" s="0" t="s">
        <v>228</v>
      </c>
      <c r="AN611" s="0" t="s">
        <v>228</v>
      </c>
      <c r="AO611" s="0" t="s">
        <v>228</v>
      </c>
      <c r="AP611" s="0" t="s">
        <v>228</v>
      </c>
      <c r="AQ611" s="0" t="s">
        <v>228</v>
      </c>
      <c r="AR611" s="0" t="s">
        <v>228</v>
      </c>
      <c r="AS611" s="0" t="s">
        <v>228</v>
      </c>
      <c r="AT611" s="0" t="s">
        <v>228</v>
      </c>
      <c r="AU611" s="0" t="s">
        <v>228</v>
      </c>
      <c r="AV611" s="0" t="s">
        <v>228</v>
      </c>
      <c r="AW611" s="0" t="s">
        <v>228</v>
      </c>
      <c r="AX611" s="0" t="s">
        <v>228</v>
      </c>
      <c r="AY611" s="0" t="s">
        <v>228</v>
      </c>
      <c r="AZ611" s="0" t="s">
        <v>228</v>
      </c>
      <c r="BA611" s="0" t="s">
        <v>228</v>
      </c>
      <c r="BB611" s="0" t="s">
        <v>228</v>
      </c>
      <c r="BC611" s="0" t="s">
        <v>228</v>
      </c>
      <c r="BD611" s="0" t="s">
        <v>228</v>
      </c>
      <c r="BE611" s="0" t="s">
        <v>4075</v>
      </c>
      <c r="BF611" s="0" t="s">
        <v>4494</v>
      </c>
      <c r="BG611" s="0" t="s">
        <v>111</v>
      </c>
      <c r="BH611" s="0" t="s">
        <v>3665</v>
      </c>
      <c r="BI611" s="0" t="s">
        <v>122</v>
      </c>
      <c r="BJ611" s="0" t="s">
        <v>228</v>
      </c>
      <c r="BK611" s="0" t="s">
        <v>3684</v>
      </c>
      <c r="BL611" s="0" t="s">
        <v>2315</v>
      </c>
      <c r="BM611" s="0" t="s">
        <v>2315</v>
      </c>
      <c r="BN611" s="0" t="s">
        <v>3875</v>
      </c>
      <c r="BO611" s="0" t="s">
        <v>4222</v>
      </c>
      <c r="BP611" s="0" t="s">
        <v>4495</v>
      </c>
      <c r="BQ611" s="0" t="s">
        <v>3651</v>
      </c>
      <c r="BR611" s="0" t="s">
        <v>3651</v>
      </c>
      <c r="BS611" s="0" t="s">
        <v>228</v>
      </c>
      <c r="BT611" s="0" t="s">
        <v>3727</v>
      </c>
      <c r="BU611" s="0" t="s">
        <v>4496</v>
      </c>
      <c r="BV611" s="0" t="s">
        <v>4496</v>
      </c>
      <c r="BW611" s="0" t="s">
        <v>3674</v>
      </c>
      <c r="BX611" s="0" t="s">
        <v>3674</v>
      </c>
      <c r="BY611" s="0" t="s">
        <v>3674</v>
      </c>
      <c r="BZ611" s="0" t="s">
        <v>3674</v>
      </c>
      <c r="CA611" s="0" t="s">
        <v>3674</v>
      </c>
      <c r="CB611" s="0" t="s">
        <v>228</v>
      </c>
      <c r="CC611" s="0" t="s">
        <v>228</v>
      </c>
      <c r="CD611" s="0" t="s">
        <v>228</v>
      </c>
      <c r="CE611" s="0" t="s">
        <v>228</v>
      </c>
      <c r="CF611" s="0" t="s">
        <v>228</v>
      </c>
      <c r="CG611" s="0" t="s">
        <v>3674</v>
      </c>
      <c r="CH611" s="0" t="s">
        <v>228</v>
      </c>
      <c r="CI611" s="0" t="s">
        <v>228</v>
      </c>
      <c r="CJ611" s="0" t="s">
        <v>228</v>
      </c>
      <c r="CK611" s="0" t="s">
        <v>228</v>
      </c>
      <c r="CL611" s="0" t="s">
        <v>228</v>
      </c>
      <c r="CM611" s="0" t="s">
        <v>4496</v>
      </c>
      <c r="CN611" s="0" t="s">
        <v>4496</v>
      </c>
      <c r="CO611" s="0" t="s">
        <v>228</v>
      </c>
      <c r="CP611" s="0" t="s">
        <v>228</v>
      </c>
      <c r="CQ611" s="0" t="s">
        <v>228</v>
      </c>
      <c r="CR611" s="0" t="s">
        <v>228</v>
      </c>
      <c r="CS611" s="0" t="s">
        <v>3563</v>
      </c>
      <c r="CT611" s="0" t="s">
        <v>3568</v>
      </c>
      <c r="CU611" s="0" t="s">
        <v>3569</v>
      </c>
      <c r="CV611" s="0" t="s">
        <v>418</v>
      </c>
      <c r="CW611" s="0" t="s">
        <v>3656</v>
      </c>
      <c r="CX611" s="0" t="s">
        <v>419</v>
      </c>
      <c r="CY611" s="0" t="s">
        <v>418</v>
      </c>
      <c r="CZ611" s="0" t="s">
        <v>3657</v>
      </c>
      <c r="DA611" s="0" t="s">
        <v>3658</v>
      </c>
      <c r="DB611" s="0" t="s">
        <v>3656</v>
      </c>
      <c r="DC611" s="0" t="s">
        <v>362</v>
      </c>
      <c r="DD611" s="0" t="s">
        <v>3572</v>
      </c>
      <c r="DE611" s="0" t="s">
        <v>4497</v>
      </c>
    </row>
    <row customHeight="1" ht="11.25">
      <c r="A612" s="1353" t="s">
        <v>228</v>
      </c>
      <c r="B612" s="0" t="s">
        <v>228</v>
      </c>
      <c r="C612" s="0" t="s">
        <v>228</v>
      </c>
      <c r="D612" s="0" t="s">
        <v>228</v>
      </c>
      <c r="E612" s="0" t="s">
        <v>228</v>
      </c>
      <c r="F612" s="0" t="s">
        <v>228</v>
      </c>
      <c r="G612" s="0" t="s">
        <v>228</v>
      </c>
      <c r="H612" s="0" t="s">
        <v>228</v>
      </c>
      <c r="I612" s="0" t="s">
        <v>3555</v>
      </c>
      <c r="J612" s="0" t="s">
        <v>228</v>
      </c>
      <c r="K612" s="0" t="s">
        <v>228</v>
      </c>
      <c r="L612" s="0" t="s">
        <v>228</v>
      </c>
      <c r="M612" s="0" t="s">
        <v>228</v>
      </c>
      <c r="N612" s="0" t="s">
        <v>228</v>
      </c>
      <c r="O612" s="0" t="s">
        <v>228</v>
      </c>
      <c r="P612" s="0" t="s">
        <v>228</v>
      </c>
      <c r="Q612" s="0" t="s">
        <v>228</v>
      </c>
      <c r="R612" s="0" t="s">
        <v>3648</v>
      </c>
      <c r="S612" s="0" t="s">
        <v>228</v>
      </c>
      <c r="T612" s="0" t="s">
        <v>228</v>
      </c>
      <c r="U612" s="0" t="s">
        <v>101</v>
      </c>
      <c r="V612" s="0" t="s">
        <v>228</v>
      </c>
      <c r="W612" s="0" t="s">
        <v>228</v>
      </c>
      <c r="X612" s="0" t="s">
        <v>3557</v>
      </c>
      <c r="Y612" s="0" t="s">
        <v>228</v>
      </c>
      <c r="Z612" s="0" t="s">
        <v>160</v>
      </c>
      <c r="AA612" s="0" t="s">
        <v>151</v>
      </c>
      <c r="AB612" s="0" t="s">
        <v>151</v>
      </c>
      <c r="AC612" s="0" t="s">
        <v>2315</v>
      </c>
      <c r="AD612" s="0" t="s">
        <v>2315</v>
      </c>
      <c r="AE612" s="0" t="s">
        <v>2316</v>
      </c>
      <c r="AF612" s="0" t="s">
        <v>4735</v>
      </c>
      <c r="AG612" s="0" t="s">
        <v>4736</v>
      </c>
      <c r="AH612" s="0" t="s">
        <v>4737</v>
      </c>
      <c r="AI612" s="0" t="s">
        <v>4738</v>
      </c>
      <c r="AJ612" s="0" t="s">
        <v>3652</v>
      </c>
      <c r="AK612" s="0" t="s">
        <v>4739</v>
      </c>
      <c r="AL612" s="0" t="s">
        <v>3581</v>
      </c>
      <c r="AM612" s="0" t="s">
        <v>3565</v>
      </c>
      <c r="AN612" s="0" t="s">
        <v>3654</v>
      </c>
      <c r="AO612" s="0" t="s">
        <v>3567</v>
      </c>
      <c r="AP612" s="0" t="s">
        <v>228</v>
      </c>
      <c r="AQ612" s="0" t="s">
        <v>228</v>
      </c>
      <c r="AR612" s="0" t="s">
        <v>228</v>
      </c>
      <c r="AS612" s="0" t="s">
        <v>228</v>
      </c>
      <c r="AT612" s="0" t="s">
        <v>228</v>
      </c>
      <c r="AU612" s="0" t="s">
        <v>228</v>
      </c>
      <c r="AV612" s="0" t="s">
        <v>228</v>
      </c>
      <c r="AW612" s="0" t="s">
        <v>228</v>
      </c>
      <c r="AX612" s="0" t="s">
        <v>228</v>
      </c>
      <c r="AY612" s="0" t="s">
        <v>228</v>
      </c>
      <c r="AZ612" s="0" t="s">
        <v>228</v>
      </c>
      <c r="BA612" s="0" t="s">
        <v>228</v>
      </c>
      <c r="BB612" s="0" t="s">
        <v>228</v>
      </c>
      <c r="BC612" s="0" t="s">
        <v>228</v>
      </c>
      <c r="BD612" s="0" t="s">
        <v>228</v>
      </c>
      <c r="BE612" s="0" t="s">
        <v>228</v>
      </c>
      <c r="BF612" s="0" t="s">
        <v>228</v>
      </c>
      <c r="BG612" s="0" t="s">
        <v>228</v>
      </c>
      <c r="BH612" s="0" t="s">
        <v>228</v>
      </c>
      <c r="BI612" s="0" t="s">
        <v>228</v>
      </c>
      <c r="BJ612" s="0" t="s">
        <v>228</v>
      </c>
      <c r="BK612" s="0" t="s">
        <v>228</v>
      </c>
      <c r="BL612" s="0" t="s">
        <v>228</v>
      </c>
      <c r="BM612" s="0" t="s">
        <v>228</v>
      </c>
      <c r="BN612" s="0" t="s">
        <v>228</v>
      </c>
      <c r="BO612" s="0" t="s">
        <v>228</v>
      </c>
      <c r="BP612" s="0" t="s">
        <v>228</v>
      </c>
      <c r="BQ612" s="0" t="s">
        <v>228</v>
      </c>
      <c r="BR612" s="0" t="s">
        <v>228</v>
      </c>
      <c r="BS612" s="0" t="s">
        <v>228</v>
      </c>
      <c r="BT612" s="0" t="s">
        <v>228</v>
      </c>
      <c r="BU612" s="0" t="s">
        <v>228</v>
      </c>
      <c r="BV612" s="0" t="s">
        <v>228</v>
      </c>
      <c r="BW612" s="0" t="s">
        <v>228</v>
      </c>
      <c r="BX612" s="0" t="s">
        <v>228</v>
      </c>
      <c r="BY612" s="0" t="s">
        <v>228</v>
      </c>
      <c r="BZ612" s="0" t="s">
        <v>228</v>
      </c>
      <c r="CA612" s="0" t="s">
        <v>228</v>
      </c>
      <c r="CB612" s="0" t="s">
        <v>228</v>
      </c>
      <c r="CC612" s="0" t="s">
        <v>228</v>
      </c>
      <c r="CD612" s="0" t="s">
        <v>228</v>
      </c>
      <c r="CE612" s="0" t="s">
        <v>228</v>
      </c>
      <c r="CF612" s="0" t="s">
        <v>228</v>
      </c>
      <c r="CG612" s="0" t="s">
        <v>228</v>
      </c>
      <c r="CH612" s="0" t="s">
        <v>228</v>
      </c>
      <c r="CI612" s="0" t="s">
        <v>228</v>
      </c>
      <c r="CJ612" s="0" t="s">
        <v>228</v>
      </c>
      <c r="CK612" s="0" t="s">
        <v>228</v>
      </c>
      <c r="CL612" s="0" t="s">
        <v>228</v>
      </c>
      <c r="CM612" s="0" t="s">
        <v>228</v>
      </c>
      <c r="CN612" s="0" t="s">
        <v>228</v>
      </c>
      <c r="CO612" s="0" t="s">
        <v>228</v>
      </c>
      <c r="CP612" s="0" t="s">
        <v>228</v>
      </c>
      <c r="CQ612" s="0" t="s">
        <v>228</v>
      </c>
      <c r="CR612" s="0" t="s">
        <v>228</v>
      </c>
      <c r="CS612" s="0" t="s">
        <v>228</v>
      </c>
      <c r="CT612" s="0" t="s">
        <v>3568</v>
      </c>
      <c r="CU612" s="0" t="s">
        <v>3569</v>
      </c>
      <c r="CV612" s="0" t="s">
        <v>418</v>
      </c>
      <c r="CW612" s="0" t="s">
        <v>3656</v>
      </c>
      <c r="CX612" s="0" t="s">
        <v>419</v>
      </c>
      <c r="CY612" s="0" t="s">
        <v>418</v>
      </c>
      <c r="CZ612" s="0" t="s">
        <v>3657</v>
      </c>
      <c r="DA612" s="0" t="s">
        <v>3658</v>
      </c>
      <c r="DB612" s="0" t="s">
        <v>3656</v>
      </c>
      <c r="DC612" s="0" t="s">
        <v>362</v>
      </c>
      <c r="DD612" s="0" t="s">
        <v>3572</v>
      </c>
      <c r="DE612" s="0" t="s">
        <v>4740</v>
      </c>
    </row>
    <row customHeight="1" ht="11.25">
      <c r="A613" s="1353" t="s">
        <v>228</v>
      </c>
      <c r="B613" s="0" t="s">
        <v>228</v>
      </c>
      <c r="C613" s="0" t="s">
        <v>228</v>
      </c>
      <c r="D613" s="0" t="s">
        <v>228</v>
      </c>
      <c r="E613" s="0" t="s">
        <v>228</v>
      </c>
      <c r="F613" s="0" t="s">
        <v>228</v>
      </c>
      <c r="G613" s="0" t="s">
        <v>228</v>
      </c>
      <c r="H613" s="0" t="s">
        <v>228</v>
      </c>
      <c r="I613" s="0" t="s">
        <v>3555</v>
      </c>
      <c r="J613" s="0" t="s">
        <v>228</v>
      </c>
      <c r="K613" s="0" t="s">
        <v>228</v>
      </c>
      <c r="L613" s="0" t="s">
        <v>228</v>
      </c>
      <c r="M613" s="0" t="s">
        <v>228</v>
      </c>
      <c r="N613" s="0" t="s">
        <v>228</v>
      </c>
      <c r="O613" s="0" t="s">
        <v>228</v>
      </c>
      <c r="P613" s="0" t="s">
        <v>228</v>
      </c>
      <c r="Q613" s="0" t="s">
        <v>228</v>
      </c>
      <c r="R613" s="0" t="s">
        <v>4761</v>
      </c>
      <c r="S613" s="0" t="s">
        <v>228</v>
      </c>
      <c r="T613" s="0" t="s">
        <v>228</v>
      </c>
      <c r="U613" s="0" t="s">
        <v>101</v>
      </c>
      <c r="V613" s="0" t="s">
        <v>228</v>
      </c>
      <c r="W613" s="0" t="s">
        <v>228</v>
      </c>
      <c r="X613" s="0" t="s">
        <v>3661</v>
      </c>
      <c r="Y613" s="0" t="s">
        <v>228</v>
      </c>
      <c r="Z613" s="0" t="s">
        <v>151</v>
      </c>
      <c r="AA613" s="0" t="s">
        <v>151</v>
      </c>
      <c r="AB613" s="0" t="s">
        <v>160</v>
      </c>
      <c r="AC613" s="0" t="s">
        <v>2315</v>
      </c>
      <c r="AD613" s="0" t="s">
        <v>2315</v>
      </c>
      <c r="AE613" s="0" t="s">
        <v>2316</v>
      </c>
      <c r="AF613" s="0" t="s">
        <v>4735</v>
      </c>
      <c r="AG613" s="0" t="s">
        <v>4736</v>
      </c>
      <c r="AH613" s="0" t="s">
        <v>3651</v>
      </c>
      <c r="AI613" s="0" t="s">
        <v>3651</v>
      </c>
      <c r="AJ613" s="0" t="s">
        <v>228</v>
      </c>
      <c r="AK613" s="0" t="s">
        <v>228</v>
      </c>
      <c r="AL613" s="0" t="s">
        <v>228</v>
      </c>
      <c r="AM613" s="0" t="s">
        <v>228</v>
      </c>
      <c r="AN613" s="0" t="s">
        <v>228</v>
      </c>
      <c r="AO613" s="0" t="s">
        <v>228</v>
      </c>
      <c r="AP613" s="0" t="s">
        <v>228</v>
      </c>
      <c r="AQ613" s="0" t="s">
        <v>228</v>
      </c>
      <c r="AR613" s="0" t="s">
        <v>228</v>
      </c>
      <c r="AS613" s="0" t="s">
        <v>228</v>
      </c>
      <c r="AT613" s="0" t="s">
        <v>228</v>
      </c>
      <c r="AU613" s="0" t="s">
        <v>228</v>
      </c>
      <c r="AV613" s="0" t="s">
        <v>228</v>
      </c>
      <c r="AW613" s="0" t="s">
        <v>228</v>
      </c>
      <c r="AX613" s="0" t="s">
        <v>228</v>
      </c>
      <c r="AY613" s="0" t="s">
        <v>228</v>
      </c>
      <c r="AZ613" s="0" t="s">
        <v>228</v>
      </c>
      <c r="BA613" s="0" t="s">
        <v>228</v>
      </c>
      <c r="BB613" s="0" t="s">
        <v>228</v>
      </c>
      <c r="BC613" s="0" t="s">
        <v>228</v>
      </c>
      <c r="BD613" s="0" t="s">
        <v>228</v>
      </c>
      <c r="BE613" s="0" t="s">
        <v>3652</v>
      </c>
      <c r="BF613" s="0" t="s">
        <v>4739</v>
      </c>
      <c r="BG613" s="0" t="s">
        <v>111</v>
      </c>
      <c r="BH613" s="0" t="s">
        <v>3665</v>
      </c>
      <c r="BI613" s="0" t="s">
        <v>122</v>
      </c>
      <c r="BJ613" s="0" t="s">
        <v>228</v>
      </c>
      <c r="BK613" s="0" t="s">
        <v>3684</v>
      </c>
      <c r="BL613" s="0" t="s">
        <v>2315</v>
      </c>
      <c r="BM613" s="0" t="s">
        <v>2315</v>
      </c>
      <c r="BN613" s="0" t="s">
        <v>3875</v>
      </c>
      <c r="BO613" s="0" t="s">
        <v>4735</v>
      </c>
      <c r="BP613" s="0" t="s">
        <v>4762</v>
      </c>
      <c r="BQ613" s="0" t="s">
        <v>3651</v>
      </c>
      <c r="BR613" s="0" t="s">
        <v>3651</v>
      </c>
      <c r="BS613" s="0" t="s">
        <v>228</v>
      </c>
      <c r="BT613" s="0" t="s">
        <v>3727</v>
      </c>
      <c r="BU613" s="0" t="s">
        <v>4763</v>
      </c>
      <c r="BV613" s="0" t="s">
        <v>4763</v>
      </c>
      <c r="BW613" s="0" t="s">
        <v>3674</v>
      </c>
      <c r="BX613" s="0" t="s">
        <v>3674</v>
      </c>
      <c r="BY613" s="0" t="s">
        <v>3674</v>
      </c>
      <c r="BZ613" s="0" t="s">
        <v>3674</v>
      </c>
      <c r="CA613" s="0" t="s">
        <v>3674</v>
      </c>
      <c r="CB613" s="0" t="s">
        <v>228</v>
      </c>
      <c r="CC613" s="0" t="s">
        <v>228</v>
      </c>
      <c r="CD613" s="0" t="s">
        <v>228</v>
      </c>
      <c r="CE613" s="0" t="s">
        <v>228</v>
      </c>
      <c r="CF613" s="0" t="s">
        <v>228</v>
      </c>
      <c r="CG613" s="0" t="s">
        <v>3674</v>
      </c>
      <c r="CH613" s="0" t="s">
        <v>228</v>
      </c>
      <c r="CI613" s="0" t="s">
        <v>228</v>
      </c>
      <c r="CJ613" s="0" t="s">
        <v>228</v>
      </c>
      <c r="CK613" s="0" t="s">
        <v>228</v>
      </c>
      <c r="CL613" s="0" t="s">
        <v>228</v>
      </c>
      <c r="CM613" s="0" t="s">
        <v>4763</v>
      </c>
      <c r="CN613" s="0" t="s">
        <v>4763</v>
      </c>
      <c r="CO613" s="0" t="s">
        <v>228</v>
      </c>
      <c r="CP613" s="0" t="s">
        <v>228</v>
      </c>
      <c r="CQ613" s="0" t="s">
        <v>228</v>
      </c>
      <c r="CR613" s="0" t="s">
        <v>228</v>
      </c>
      <c r="CS613" s="0" t="s">
        <v>3628</v>
      </c>
      <c r="CT613" s="0" t="s">
        <v>3568</v>
      </c>
      <c r="CU613" s="0" t="s">
        <v>3569</v>
      </c>
      <c r="CV613" s="0" t="s">
        <v>418</v>
      </c>
      <c r="CW613" s="0" t="s">
        <v>3656</v>
      </c>
      <c r="CX613" s="0" t="s">
        <v>419</v>
      </c>
      <c r="CY613" s="0" t="s">
        <v>418</v>
      </c>
      <c r="CZ613" s="0" t="s">
        <v>3657</v>
      </c>
      <c r="DA613" s="0" t="s">
        <v>3658</v>
      </c>
      <c r="DB613" s="0" t="s">
        <v>3656</v>
      </c>
      <c r="DC613" s="0" t="s">
        <v>362</v>
      </c>
      <c r="DD613" s="0" t="s">
        <v>3572</v>
      </c>
      <c r="DE613" s="0" t="s">
        <v>4764</v>
      </c>
    </row>
    <row customHeight="1" ht="11.25">
      <c r="A614" s="1353" t="s">
        <v>228</v>
      </c>
      <c r="B614" s="0" t="s">
        <v>228</v>
      </c>
      <c r="C614" s="0" t="s">
        <v>228</v>
      </c>
      <c r="D614" s="0" t="s">
        <v>228</v>
      </c>
      <c r="E614" s="0" t="s">
        <v>228</v>
      </c>
      <c r="F614" s="0" t="s">
        <v>228</v>
      </c>
      <c r="G614" s="0" t="s">
        <v>228</v>
      </c>
      <c r="H614" s="0" t="s">
        <v>228</v>
      </c>
      <c r="I614" s="0" t="s">
        <v>3555</v>
      </c>
      <c r="J614" s="0" t="s">
        <v>228</v>
      </c>
      <c r="K614" s="0" t="s">
        <v>228</v>
      </c>
      <c r="L614" s="0" t="s">
        <v>228</v>
      </c>
      <c r="M614" s="0" t="s">
        <v>228</v>
      </c>
      <c r="N614" s="0" t="s">
        <v>228</v>
      </c>
      <c r="O614" s="0" t="s">
        <v>228</v>
      </c>
      <c r="P614" s="0" t="s">
        <v>228</v>
      </c>
      <c r="Q614" s="0" t="s">
        <v>228</v>
      </c>
      <c r="R614" s="0" t="s">
        <v>5022</v>
      </c>
      <c r="S614" s="0" t="s">
        <v>228</v>
      </c>
      <c r="T614" s="0" t="s">
        <v>228</v>
      </c>
      <c r="U614" s="0" t="s">
        <v>101</v>
      </c>
      <c r="V614" s="0" t="s">
        <v>228</v>
      </c>
      <c r="W614" s="0" t="s">
        <v>228</v>
      </c>
      <c r="X614" s="0" t="s">
        <v>3557</v>
      </c>
      <c r="Y614" s="0" t="s">
        <v>228</v>
      </c>
      <c r="Z614" s="0" t="s">
        <v>160</v>
      </c>
      <c r="AA614" s="0" t="s">
        <v>151</v>
      </c>
      <c r="AB614" s="0" t="s">
        <v>151</v>
      </c>
      <c r="AC614" s="0" t="s">
        <v>2290</v>
      </c>
      <c r="AD614" s="0" t="s">
        <v>2290</v>
      </c>
      <c r="AE614" s="0" t="s">
        <v>2292</v>
      </c>
      <c r="AF614" s="0" t="s">
        <v>3558</v>
      </c>
      <c r="AG614" s="0" t="s">
        <v>3559</v>
      </c>
      <c r="AH614" s="0" t="s">
        <v>5023</v>
      </c>
      <c r="AI614" s="0" t="s">
        <v>1690</v>
      </c>
      <c r="AJ614" s="0" t="s">
        <v>5024</v>
      </c>
      <c r="AK614" s="0" t="s">
        <v>4613</v>
      </c>
      <c r="AL614" s="0" t="s">
        <v>3564</v>
      </c>
      <c r="AM614" s="0" t="s">
        <v>3565</v>
      </c>
      <c r="AN614" s="0" t="s">
        <v>3900</v>
      </c>
      <c r="AO614" s="0" t="s">
        <v>3854</v>
      </c>
      <c r="AP614" s="0" t="s">
        <v>228</v>
      </c>
      <c r="AQ614" s="0" t="s">
        <v>228</v>
      </c>
      <c r="AR614" s="0" t="s">
        <v>228</v>
      </c>
      <c r="AS614" s="0" t="s">
        <v>228</v>
      </c>
      <c r="AT614" s="0" t="s">
        <v>228</v>
      </c>
      <c r="AU614" s="0" t="s">
        <v>228</v>
      </c>
      <c r="AV614" s="0" t="s">
        <v>228</v>
      </c>
      <c r="AW614" s="0" t="s">
        <v>228</v>
      </c>
      <c r="AX614" s="0" t="s">
        <v>228</v>
      </c>
      <c r="AY614" s="0" t="s">
        <v>228</v>
      </c>
      <c r="AZ614" s="0" t="s">
        <v>228</v>
      </c>
      <c r="BA614" s="0" t="s">
        <v>228</v>
      </c>
      <c r="BB614" s="0" t="s">
        <v>228</v>
      </c>
      <c r="BC614" s="0" t="s">
        <v>228</v>
      </c>
      <c r="BD614" s="0" t="s">
        <v>228</v>
      </c>
      <c r="BE614" s="0" t="s">
        <v>228</v>
      </c>
      <c r="BF614" s="0" t="s">
        <v>228</v>
      </c>
      <c r="BG614" s="0" t="s">
        <v>228</v>
      </c>
      <c r="BH614" s="0" t="s">
        <v>228</v>
      </c>
      <c r="BI614" s="0" t="s">
        <v>228</v>
      </c>
      <c r="BJ614" s="0" t="s">
        <v>228</v>
      </c>
      <c r="BK614" s="0" t="s">
        <v>228</v>
      </c>
      <c r="BL614" s="0" t="s">
        <v>228</v>
      </c>
      <c r="BM614" s="0" t="s">
        <v>228</v>
      </c>
      <c r="BN614" s="0" t="s">
        <v>228</v>
      </c>
      <c r="BO614" s="0" t="s">
        <v>228</v>
      </c>
      <c r="BP614" s="0" t="s">
        <v>228</v>
      </c>
      <c r="BQ614" s="0" t="s">
        <v>228</v>
      </c>
      <c r="BR614" s="0" t="s">
        <v>228</v>
      </c>
      <c r="BS614" s="0" t="s">
        <v>228</v>
      </c>
      <c r="BT614" s="0" t="s">
        <v>228</v>
      </c>
      <c r="BU614" s="0" t="s">
        <v>228</v>
      </c>
      <c r="BV614" s="0" t="s">
        <v>228</v>
      </c>
      <c r="BW614" s="0" t="s">
        <v>228</v>
      </c>
      <c r="BX614" s="0" t="s">
        <v>228</v>
      </c>
      <c r="BY614" s="0" t="s">
        <v>228</v>
      </c>
      <c r="BZ614" s="0" t="s">
        <v>228</v>
      </c>
      <c r="CA614" s="0" t="s">
        <v>228</v>
      </c>
      <c r="CB614" s="0" t="s">
        <v>228</v>
      </c>
      <c r="CC614" s="0" t="s">
        <v>228</v>
      </c>
      <c r="CD614" s="0" t="s">
        <v>228</v>
      </c>
      <c r="CE614" s="0" t="s">
        <v>228</v>
      </c>
      <c r="CF614" s="0" t="s">
        <v>228</v>
      </c>
      <c r="CG614" s="0" t="s">
        <v>228</v>
      </c>
      <c r="CH614" s="0" t="s">
        <v>228</v>
      </c>
      <c r="CI614" s="0" t="s">
        <v>228</v>
      </c>
      <c r="CJ614" s="0" t="s">
        <v>228</v>
      </c>
      <c r="CK614" s="0" t="s">
        <v>228</v>
      </c>
      <c r="CL614" s="0" t="s">
        <v>228</v>
      </c>
      <c r="CM614" s="0" t="s">
        <v>228</v>
      </c>
      <c r="CN614" s="0" t="s">
        <v>228</v>
      </c>
      <c r="CO614" s="0" t="s">
        <v>228</v>
      </c>
      <c r="CP614" s="0" t="s">
        <v>228</v>
      </c>
      <c r="CQ614" s="0" t="s">
        <v>228</v>
      </c>
      <c r="CR614" s="0" t="s">
        <v>228</v>
      </c>
      <c r="CS614" s="0" t="s">
        <v>228</v>
      </c>
      <c r="CT614" s="0" t="s">
        <v>3568</v>
      </c>
      <c r="CU614" s="0" t="s">
        <v>3569</v>
      </c>
      <c r="CV614" s="0" t="s">
        <v>418</v>
      </c>
      <c r="CW614" s="0" t="s">
        <v>3570</v>
      </c>
      <c r="CX614" s="0" t="s">
        <v>419</v>
      </c>
      <c r="CY614" s="0" t="s">
        <v>418</v>
      </c>
      <c r="CZ614" s="0" t="s">
        <v>3571</v>
      </c>
      <c r="DA614" s="0" t="s">
        <v>420</v>
      </c>
      <c r="DB614" s="0" t="s">
        <v>3570</v>
      </c>
      <c r="DC614" s="0" t="s">
        <v>362</v>
      </c>
      <c r="DD614" s="0" t="s">
        <v>3572</v>
      </c>
      <c r="DE614" s="0" t="s">
        <v>5025</v>
      </c>
    </row>
    <row customHeight="1" ht="11.25">
      <c r="A615" s="1353" t="s">
        <v>228</v>
      </c>
      <c r="B615" s="0" t="s">
        <v>228</v>
      </c>
      <c r="C615" s="0" t="s">
        <v>228</v>
      </c>
      <c r="D615" s="0" t="s">
        <v>228</v>
      </c>
      <c r="E615" s="0" t="s">
        <v>228</v>
      </c>
      <c r="F615" s="0" t="s">
        <v>228</v>
      </c>
      <c r="G615" s="0" t="s">
        <v>228</v>
      </c>
      <c r="H615" s="0" t="s">
        <v>228</v>
      </c>
      <c r="I615" s="0" t="s">
        <v>3555</v>
      </c>
      <c r="J615" s="0" t="s">
        <v>228</v>
      </c>
      <c r="K615" s="0" t="s">
        <v>228</v>
      </c>
      <c r="L615" s="0" t="s">
        <v>228</v>
      </c>
      <c r="M615" s="0" t="s">
        <v>228</v>
      </c>
      <c r="N615" s="0" t="s">
        <v>228</v>
      </c>
      <c r="O615" s="0" t="s">
        <v>228</v>
      </c>
      <c r="P615" s="0" t="s">
        <v>228</v>
      </c>
      <c r="Q615" s="0" t="s">
        <v>228</v>
      </c>
      <c r="R615" s="0" t="s">
        <v>5026</v>
      </c>
      <c r="S615" s="0" t="s">
        <v>228</v>
      </c>
      <c r="T615" s="0" t="s">
        <v>228</v>
      </c>
      <c r="U615" s="0" t="s">
        <v>101</v>
      </c>
      <c r="V615" s="0" t="s">
        <v>228</v>
      </c>
      <c r="W615" s="0" t="s">
        <v>228</v>
      </c>
      <c r="X615" s="0" t="s">
        <v>3557</v>
      </c>
      <c r="Y615" s="0" t="s">
        <v>228</v>
      </c>
      <c r="Z615" s="0" t="s">
        <v>160</v>
      </c>
      <c r="AA615" s="0" t="s">
        <v>151</v>
      </c>
      <c r="AB615" s="0" t="s">
        <v>151</v>
      </c>
      <c r="AC615" s="0" t="s">
        <v>2290</v>
      </c>
      <c r="AD615" s="0" t="s">
        <v>2290</v>
      </c>
      <c r="AE615" s="0" t="s">
        <v>2292</v>
      </c>
      <c r="AF615" s="0" t="s">
        <v>3558</v>
      </c>
      <c r="AG615" s="0" t="s">
        <v>3559</v>
      </c>
      <c r="AH615" s="0" t="s">
        <v>5027</v>
      </c>
      <c r="AI615" s="0" t="s">
        <v>5028</v>
      </c>
      <c r="AJ615" s="0" t="s">
        <v>5029</v>
      </c>
      <c r="AK615" s="0" t="s">
        <v>3562</v>
      </c>
      <c r="AL615" s="0" t="s">
        <v>3564</v>
      </c>
      <c r="AM615" s="0" t="s">
        <v>3565</v>
      </c>
      <c r="AN615" s="0" t="s">
        <v>3900</v>
      </c>
      <c r="AO615" s="0" t="s">
        <v>3956</v>
      </c>
      <c r="AP615" s="0" t="s">
        <v>228</v>
      </c>
      <c r="AQ615" s="0" t="s">
        <v>228</v>
      </c>
      <c r="AR615" s="0" t="s">
        <v>228</v>
      </c>
      <c r="AS615" s="0" t="s">
        <v>228</v>
      </c>
      <c r="AT615" s="0" t="s">
        <v>228</v>
      </c>
      <c r="AU615" s="0" t="s">
        <v>228</v>
      </c>
      <c r="AV615" s="0" t="s">
        <v>228</v>
      </c>
      <c r="AW615" s="0" t="s">
        <v>228</v>
      </c>
      <c r="AX615" s="0" t="s">
        <v>228</v>
      </c>
      <c r="AY615" s="0" t="s">
        <v>228</v>
      </c>
      <c r="AZ615" s="0" t="s">
        <v>228</v>
      </c>
      <c r="BA615" s="0" t="s">
        <v>228</v>
      </c>
      <c r="BB615" s="0" t="s">
        <v>228</v>
      </c>
      <c r="BC615" s="0" t="s">
        <v>228</v>
      </c>
      <c r="BD615" s="0" t="s">
        <v>228</v>
      </c>
      <c r="BE615" s="0" t="s">
        <v>228</v>
      </c>
      <c r="BF615" s="0" t="s">
        <v>228</v>
      </c>
      <c r="BG615" s="0" t="s">
        <v>228</v>
      </c>
      <c r="BH615" s="0" t="s">
        <v>228</v>
      </c>
      <c r="BI615" s="0" t="s">
        <v>228</v>
      </c>
      <c r="BJ615" s="0" t="s">
        <v>228</v>
      </c>
      <c r="BK615" s="0" t="s">
        <v>228</v>
      </c>
      <c r="BL615" s="0" t="s">
        <v>228</v>
      </c>
      <c r="BM615" s="0" t="s">
        <v>228</v>
      </c>
      <c r="BN615" s="0" t="s">
        <v>228</v>
      </c>
      <c r="BO615" s="0" t="s">
        <v>228</v>
      </c>
      <c r="BP615" s="0" t="s">
        <v>228</v>
      </c>
      <c r="BQ615" s="0" t="s">
        <v>228</v>
      </c>
      <c r="BR615" s="0" t="s">
        <v>228</v>
      </c>
      <c r="BS615" s="0" t="s">
        <v>228</v>
      </c>
      <c r="BT615" s="0" t="s">
        <v>228</v>
      </c>
      <c r="BU615" s="0" t="s">
        <v>228</v>
      </c>
      <c r="BV615" s="0" t="s">
        <v>228</v>
      </c>
      <c r="BW615" s="0" t="s">
        <v>228</v>
      </c>
      <c r="BX615" s="0" t="s">
        <v>228</v>
      </c>
      <c r="BY615" s="0" t="s">
        <v>228</v>
      </c>
      <c r="BZ615" s="0" t="s">
        <v>228</v>
      </c>
      <c r="CA615" s="0" t="s">
        <v>228</v>
      </c>
      <c r="CB615" s="0" t="s">
        <v>228</v>
      </c>
      <c r="CC615" s="0" t="s">
        <v>228</v>
      </c>
      <c r="CD615" s="0" t="s">
        <v>228</v>
      </c>
      <c r="CE615" s="0" t="s">
        <v>228</v>
      </c>
      <c r="CF615" s="0" t="s">
        <v>228</v>
      </c>
      <c r="CG615" s="0" t="s">
        <v>228</v>
      </c>
      <c r="CH615" s="0" t="s">
        <v>228</v>
      </c>
      <c r="CI615" s="0" t="s">
        <v>228</v>
      </c>
      <c r="CJ615" s="0" t="s">
        <v>228</v>
      </c>
      <c r="CK615" s="0" t="s">
        <v>228</v>
      </c>
      <c r="CL615" s="0" t="s">
        <v>228</v>
      </c>
      <c r="CM615" s="0" t="s">
        <v>228</v>
      </c>
      <c r="CN615" s="0" t="s">
        <v>228</v>
      </c>
      <c r="CO615" s="0" t="s">
        <v>228</v>
      </c>
      <c r="CP615" s="0" t="s">
        <v>228</v>
      </c>
      <c r="CQ615" s="0" t="s">
        <v>228</v>
      </c>
      <c r="CR615" s="0" t="s">
        <v>228</v>
      </c>
      <c r="CS615" s="0" t="s">
        <v>228</v>
      </c>
      <c r="CT615" s="0" t="s">
        <v>3568</v>
      </c>
      <c r="CU615" s="0" t="s">
        <v>3569</v>
      </c>
      <c r="CV615" s="0" t="s">
        <v>418</v>
      </c>
      <c r="CW615" s="0" t="s">
        <v>3570</v>
      </c>
      <c r="CX615" s="0" t="s">
        <v>419</v>
      </c>
      <c r="CY615" s="0" t="s">
        <v>418</v>
      </c>
      <c r="CZ615" s="0" t="s">
        <v>3571</v>
      </c>
      <c r="DA615" s="0" t="s">
        <v>420</v>
      </c>
      <c r="DB615" s="0" t="s">
        <v>3570</v>
      </c>
      <c r="DC615" s="0" t="s">
        <v>362</v>
      </c>
      <c r="DD615" s="0" t="s">
        <v>3572</v>
      </c>
      <c r="DE615" s="0" t="s">
        <v>5030</v>
      </c>
    </row>
    <row customHeight="1" ht="11.25">
      <c r="A616" s="1353" t="s">
        <v>228</v>
      </c>
      <c r="B616" s="0" t="s">
        <v>228</v>
      </c>
      <c r="C616" s="0" t="s">
        <v>228</v>
      </c>
      <c r="D616" s="0" t="s">
        <v>228</v>
      </c>
      <c r="E616" s="0" t="s">
        <v>228</v>
      </c>
      <c r="F616" s="0" t="s">
        <v>228</v>
      </c>
      <c r="G616" s="0" t="s">
        <v>228</v>
      </c>
      <c r="H616" s="0" t="s">
        <v>228</v>
      </c>
      <c r="I616" s="0" t="s">
        <v>3555</v>
      </c>
      <c r="J616" s="0" t="s">
        <v>228</v>
      </c>
      <c r="K616" s="0" t="s">
        <v>228</v>
      </c>
      <c r="L616" s="0" t="s">
        <v>228</v>
      </c>
      <c r="M616" s="0" t="s">
        <v>228</v>
      </c>
      <c r="N616" s="0" t="s">
        <v>228</v>
      </c>
      <c r="O616" s="0" t="s">
        <v>228</v>
      </c>
      <c r="P616" s="0" t="s">
        <v>228</v>
      </c>
      <c r="Q616" s="0" t="s">
        <v>228</v>
      </c>
      <c r="R616" s="0" t="s">
        <v>3648</v>
      </c>
      <c r="S616" s="0" t="s">
        <v>228</v>
      </c>
      <c r="T616" s="0" t="s">
        <v>228</v>
      </c>
      <c r="U616" s="0" t="s">
        <v>101</v>
      </c>
      <c r="V616" s="0" t="s">
        <v>228</v>
      </c>
      <c r="W616" s="0" t="s">
        <v>228</v>
      </c>
      <c r="X616" s="0" t="s">
        <v>3557</v>
      </c>
      <c r="Y616" s="0" t="s">
        <v>228</v>
      </c>
      <c r="Z616" s="0" t="s">
        <v>160</v>
      </c>
      <c r="AA616" s="0" t="s">
        <v>151</v>
      </c>
      <c r="AB616" s="0" t="s">
        <v>151</v>
      </c>
      <c r="AC616" s="0" t="s">
        <v>2317</v>
      </c>
      <c r="AD616" s="0" t="s">
        <v>2317</v>
      </c>
      <c r="AE616" s="0" t="s">
        <v>2318</v>
      </c>
      <c r="AF616" s="0" t="s">
        <v>3826</v>
      </c>
      <c r="AG616" s="0" t="s">
        <v>3827</v>
      </c>
      <c r="AH616" s="0" t="s">
        <v>4163</v>
      </c>
      <c r="AI616" s="0" t="s">
        <v>3726</v>
      </c>
      <c r="AJ616" s="0" t="s">
        <v>3652</v>
      </c>
      <c r="AK616" s="0" t="s">
        <v>3619</v>
      </c>
      <c r="AL616" s="0" t="s">
        <v>3581</v>
      </c>
      <c r="AM616" s="0" t="s">
        <v>3565</v>
      </c>
      <c r="AN616" s="0" t="s">
        <v>3620</v>
      </c>
      <c r="AO616" s="0" t="s">
        <v>3695</v>
      </c>
      <c r="AP616" s="0" t="s">
        <v>228</v>
      </c>
      <c r="AQ616" s="0" t="s">
        <v>228</v>
      </c>
      <c r="AR616" s="0" t="s">
        <v>228</v>
      </c>
      <c r="AS616" s="0" t="s">
        <v>228</v>
      </c>
      <c r="AT616" s="0" t="s">
        <v>228</v>
      </c>
      <c r="AU616" s="0" t="s">
        <v>228</v>
      </c>
      <c r="AV616" s="0" t="s">
        <v>228</v>
      </c>
      <c r="AW616" s="0" t="s">
        <v>228</v>
      </c>
      <c r="AX616" s="0" t="s">
        <v>228</v>
      </c>
      <c r="AY616" s="0" t="s">
        <v>228</v>
      </c>
      <c r="AZ616" s="0" t="s">
        <v>228</v>
      </c>
      <c r="BA616" s="0" t="s">
        <v>228</v>
      </c>
      <c r="BB616" s="0" t="s">
        <v>228</v>
      </c>
      <c r="BC616" s="0" t="s">
        <v>228</v>
      </c>
      <c r="BD616" s="0" t="s">
        <v>228</v>
      </c>
      <c r="BE616" s="0" t="s">
        <v>228</v>
      </c>
      <c r="BF616" s="0" t="s">
        <v>228</v>
      </c>
      <c r="BG616" s="0" t="s">
        <v>228</v>
      </c>
      <c r="BH616" s="0" t="s">
        <v>228</v>
      </c>
      <c r="BI616" s="0" t="s">
        <v>228</v>
      </c>
      <c r="BJ616" s="0" t="s">
        <v>228</v>
      </c>
      <c r="BK616" s="0" t="s">
        <v>228</v>
      </c>
      <c r="BL616" s="0" t="s">
        <v>228</v>
      </c>
      <c r="BM616" s="0" t="s">
        <v>228</v>
      </c>
      <c r="BN616" s="0" t="s">
        <v>228</v>
      </c>
      <c r="BO616" s="0" t="s">
        <v>228</v>
      </c>
      <c r="BP616" s="0" t="s">
        <v>228</v>
      </c>
      <c r="BQ616" s="0" t="s">
        <v>228</v>
      </c>
      <c r="BR616" s="0" t="s">
        <v>228</v>
      </c>
      <c r="BS616" s="0" t="s">
        <v>228</v>
      </c>
      <c r="BT616" s="0" t="s">
        <v>228</v>
      </c>
      <c r="BU616" s="0" t="s">
        <v>228</v>
      </c>
      <c r="BV616" s="0" t="s">
        <v>228</v>
      </c>
      <c r="BW616" s="0" t="s">
        <v>228</v>
      </c>
      <c r="BX616" s="0" t="s">
        <v>228</v>
      </c>
      <c r="BY616" s="0" t="s">
        <v>228</v>
      </c>
      <c r="BZ616" s="0" t="s">
        <v>228</v>
      </c>
      <c r="CA616" s="0" t="s">
        <v>228</v>
      </c>
      <c r="CB616" s="0" t="s">
        <v>228</v>
      </c>
      <c r="CC616" s="0" t="s">
        <v>228</v>
      </c>
      <c r="CD616" s="0" t="s">
        <v>228</v>
      </c>
      <c r="CE616" s="0" t="s">
        <v>228</v>
      </c>
      <c r="CF616" s="0" t="s">
        <v>228</v>
      </c>
      <c r="CG616" s="0" t="s">
        <v>228</v>
      </c>
      <c r="CH616" s="0" t="s">
        <v>228</v>
      </c>
      <c r="CI616" s="0" t="s">
        <v>228</v>
      </c>
      <c r="CJ616" s="0" t="s">
        <v>228</v>
      </c>
      <c r="CK616" s="0" t="s">
        <v>228</v>
      </c>
      <c r="CL616" s="0" t="s">
        <v>228</v>
      </c>
      <c r="CM616" s="0" t="s">
        <v>228</v>
      </c>
      <c r="CN616" s="0" t="s">
        <v>228</v>
      </c>
      <c r="CO616" s="0" t="s">
        <v>228</v>
      </c>
      <c r="CP616" s="0" t="s">
        <v>228</v>
      </c>
      <c r="CQ616" s="0" t="s">
        <v>228</v>
      </c>
      <c r="CR616" s="0" t="s">
        <v>228</v>
      </c>
      <c r="CS616" s="0" t="s">
        <v>228</v>
      </c>
      <c r="CT616" s="0" t="s">
        <v>3568</v>
      </c>
      <c r="CU616" s="0" t="s">
        <v>3569</v>
      </c>
      <c r="CV616" s="0" t="s">
        <v>418</v>
      </c>
      <c r="CW616" s="0" t="s">
        <v>3622</v>
      </c>
      <c r="CX616" s="0" t="s">
        <v>419</v>
      </c>
      <c r="CY616" s="0" t="s">
        <v>418</v>
      </c>
      <c r="CZ616" s="0" t="s">
        <v>3623</v>
      </c>
      <c r="DA616" s="0" t="s">
        <v>3624</v>
      </c>
      <c r="DB616" s="0" t="s">
        <v>3622</v>
      </c>
      <c r="DC616" s="0" t="s">
        <v>362</v>
      </c>
      <c r="DD616" s="0" t="s">
        <v>3572</v>
      </c>
      <c r="DE616" s="0" t="s">
        <v>4165</v>
      </c>
    </row>
    <row customHeight="1" ht="11.25">
      <c r="A617" s="1353" t="s">
        <v>228</v>
      </c>
      <c r="B617" s="0" t="s">
        <v>228</v>
      </c>
      <c r="C617" s="0" t="s">
        <v>228</v>
      </c>
      <c r="D617" s="0" t="s">
        <v>228</v>
      </c>
      <c r="E617" s="0" t="s">
        <v>228</v>
      </c>
      <c r="F617" s="0" t="s">
        <v>228</v>
      </c>
      <c r="G617" s="0" t="s">
        <v>228</v>
      </c>
      <c r="H617" s="0" t="s">
        <v>228</v>
      </c>
      <c r="I617" s="0" t="s">
        <v>3555</v>
      </c>
      <c r="J617" s="0" t="s">
        <v>228</v>
      </c>
      <c r="K617" s="0" t="s">
        <v>228</v>
      </c>
      <c r="L617" s="0" t="s">
        <v>228</v>
      </c>
      <c r="M617" s="0" t="s">
        <v>228</v>
      </c>
      <c r="N617" s="0" t="s">
        <v>228</v>
      </c>
      <c r="O617" s="0" t="s">
        <v>228</v>
      </c>
      <c r="P617" s="0" t="s">
        <v>228</v>
      </c>
      <c r="Q617" s="0" t="s">
        <v>228</v>
      </c>
      <c r="R617" s="0" t="s">
        <v>3556</v>
      </c>
      <c r="S617" s="0" t="s">
        <v>228</v>
      </c>
      <c r="T617" s="0" t="s">
        <v>228</v>
      </c>
      <c r="U617" s="0" t="s">
        <v>101</v>
      </c>
      <c r="V617" s="0" t="s">
        <v>228</v>
      </c>
      <c r="W617" s="0" t="s">
        <v>228</v>
      </c>
      <c r="X617" s="0" t="s">
        <v>3557</v>
      </c>
      <c r="Y617" s="0" t="s">
        <v>228</v>
      </c>
      <c r="Z617" s="0" t="s">
        <v>160</v>
      </c>
      <c r="AA617" s="0" t="s">
        <v>151</v>
      </c>
      <c r="AB617" s="0" t="s">
        <v>151</v>
      </c>
      <c r="AC617" s="0" t="s">
        <v>2290</v>
      </c>
      <c r="AD617" s="0" t="s">
        <v>2290</v>
      </c>
      <c r="AE617" s="0" t="s">
        <v>2292</v>
      </c>
      <c r="AF617" s="0" t="s">
        <v>3558</v>
      </c>
      <c r="AG617" s="0" t="s">
        <v>3559</v>
      </c>
      <c r="AH617" s="0" t="s">
        <v>3560</v>
      </c>
      <c r="AI617" s="0" t="s">
        <v>3561</v>
      </c>
      <c r="AJ617" s="0" t="s">
        <v>3562</v>
      </c>
      <c r="AK617" s="0" t="s">
        <v>3563</v>
      </c>
      <c r="AL617" s="0" t="s">
        <v>3564</v>
      </c>
      <c r="AM617" s="0" t="s">
        <v>3565</v>
      </c>
      <c r="AN617" s="0" t="s">
        <v>3566</v>
      </c>
      <c r="AO617" s="0" t="s">
        <v>3567</v>
      </c>
      <c r="AP617" s="0" t="s">
        <v>228</v>
      </c>
      <c r="AQ617" s="0" t="s">
        <v>228</v>
      </c>
      <c r="AR617" s="0" t="s">
        <v>228</v>
      </c>
      <c r="AS617" s="0" t="s">
        <v>228</v>
      </c>
      <c r="AT617" s="0" t="s">
        <v>228</v>
      </c>
      <c r="AU617" s="0" t="s">
        <v>228</v>
      </c>
      <c r="AV617" s="0" t="s">
        <v>228</v>
      </c>
      <c r="AW617" s="0" t="s">
        <v>228</v>
      </c>
      <c r="AX617" s="0" t="s">
        <v>228</v>
      </c>
      <c r="AY617" s="0" t="s">
        <v>228</v>
      </c>
      <c r="AZ617" s="0" t="s">
        <v>228</v>
      </c>
      <c r="BA617" s="0" t="s">
        <v>228</v>
      </c>
      <c r="BB617" s="0" t="s">
        <v>228</v>
      </c>
      <c r="BC617" s="0" t="s">
        <v>228</v>
      </c>
      <c r="BD617" s="0" t="s">
        <v>228</v>
      </c>
      <c r="BE617" s="0" t="s">
        <v>228</v>
      </c>
      <c r="BF617" s="0" t="s">
        <v>228</v>
      </c>
      <c r="BG617" s="0" t="s">
        <v>228</v>
      </c>
      <c r="BH617" s="0" t="s">
        <v>228</v>
      </c>
      <c r="BI617" s="0" t="s">
        <v>228</v>
      </c>
      <c r="BJ617" s="0" t="s">
        <v>228</v>
      </c>
      <c r="BK617" s="0" t="s">
        <v>228</v>
      </c>
      <c r="BL617" s="0" t="s">
        <v>228</v>
      </c>
      <c r="BM617" s="0" t="s">
        <v>228</v>
      </c>
      <c r="BN617" s="0" t="s">
        <v>228</v>
      </c>
      <c r="BO617" s="0" t="s">
        <v>228</v>
      </c>
      <c r="BP617" s="0" t="s">
        <v>228</v>
      </c>
      <c r="BQ617" s="0" t="s">
        <v>228</v>
      </c>
      <c r="BR617" s="0" t="s">
        <v>228</v>
      </c>
      <c r="BS617" s="0" t="s">
        <v>228</v>
      </c>
      <c r="BT617" s="0" t="s">
        <v>228</v>
      </c>
      <c r="BU617" s="0" t="s">
        <v>228</v>
      </c>
      <c r="BV617" s="0" t="s">
        <v>228</v>
      </c>
      <c r="BW617" s="0" t="s">
        <v>228</v>
      </c>
      <c r="BX617" s="0" t="s">
        <v>228</v>
      </c>
      <c r="BY617" s="0" t="s">
        <v>228</v>
      </c>
      <c r="BZ617" s="0" t="s">
        <v>228</v>
      </c>
      <c r="CA617" s="0" t="s">
        <v>228</v>
      </c>
      <c r="CB617" s="0" t="s">
        <v>228</v>
      </c>
      <c r="CC617" s="0" t="s">
        <v>228</v>
      </c>
      <c r="CD617" s="0" t="s">
        <v>228</v>
      </c>
      <c r="CE617" s="0" t="s">
        <v>228</v>
      </c>
      <c r="CF617" s="0" t="s">
        <v>228</v>
      </c>
      <c r="CG617" s="0" t="s">
        <v>228</v>
      </c>
      <c r="CH617" s="0" t="s">
        <v>228</v>
      </c>
      <c r="CI617" s="0" t="s">
        <v>228</v>
      </c>
      <c r="CJ617" s="0" t="s">
        <v>228</v>
      </c>
      <c r="CK617" s="0" t="s">
        <v>228</v>
      </c>
      <c r="CL617" s="0" t="s">
        <v>228</v>
      </c>
      <c r="CM617" s="0" t="s">
        <v>228</v>
      </c>
      <c r="CN617" s="0" t="s">
        <v>228</v>
      </c>
      <c r="CO617" s="0" t="s">
        <v>228</v>
      </c>
      <c r="CP617" s="0" t="s">
        <v>228</v>
      </c>
      <c r="CQ617" s="0" t="s">
        <v>228</v>
      </c>
      <c r="CR617" s="0" t="s">
        <v>228</v>
      </c>
      <c r="CS617" s="0" t="s">
        <v>228</v>
      </c>
      <c r="CT617" s="0" t="s">
        <v>3568</v>
      </c>
      <c r="CU617" s="0" t="s">
        <v>3569</v>
      </c>
      <c r="CV617" s="0" t="s">
        <v>418</v>
      </c>
      <c r="CW617" s="0" t="s">
        <v>3570</v>
      </c>
      <c r="CX617" s="0" t="s">
        <v>419</v>
      </c>
      <c r="CY617" s="0" t="s">
        <v>418</v>
      </c>
      <c r="CZ617" s="0" t="s">
        <v>3571</v>
      </c>
      <c r="DA617" s="0" t="s">
        <v>420</v>
      </c>
      <c r="DB617" s="0" t="s">
        <v>3570</v>
      </c>
      <c r="DC617" s="0" t="s">
        <v>362</v>
      </c>
      <c r="DD617" s="0" t="s">
        <v>3572</v>
      </c>
      <c r="DE617" s="0" t="s">
        <v>3573</v>
      </c>
    </row>
    <row customHeight="1" ht="11.25">
      <c r="A618" s="1353" t="s">
        <v>228</v>
      </c>
      <c r="B618" s="0" t="s">
        <v>228</v>
      </c>
      <c r="C618" s="0" t="s">
        <v>228</v>
      </c>
      <c r="D618" s="0" t="s">
        <v>228</v>
      </c>
      <c r="E618" s="0" t="s">
        <v>228</v>
      </c>
      <c r="F618" s="0" t="s">
        <v>228</v>
      </c>
      <c r="G618" s="0" t="s">
        <v>228</v>
      </c>
      <c r="H618" s="0" t="s">
        <v>228</v>
      </c>
      <c r="I618" s="0" t="s">
        <v>3555</v>
      </c>
      <c r="J618" s="0" t="s">
        <v>228</v>
      </c>
      <c r="K618" s="0" t="s">
        <v>228</v>
      </c>
      <c r="L618" s="0" t="s">
        <v>228</v>
      </c>
      <c r="M618" s="0" t="s">
        <v>228</v>
      </c>
      <c r="N618" s="0" t="s">
        <v>228</v>
      </c>
      <c r="O618" s="0" t="s">
        <v>228</v>
      </c>
      <c r="P618" s="0" t="s">
        <v>228</v>
      </c>
      <c r="Q618" s="0" t="s">
        <v>228</v>
      </c>
      <c r="R618" s="0" t="s">
        <v>3896</v>
      </c>
      <c r="S618" s="0" t="s">
        <v>228</v>
      </c>
      <c r="T618" s="0" t="s">
        <v>228</v>
      </c>
      <c r="U618" s="0" t="s">
        <v>101</v>
      </c>
      <c r="V618" s="0" t="s">
        <v>228</v>
      </c>
      <c r="W618" s="0" t="s">
        <v>228</v>
      </c>
      <c r="X618" s="0" t="s">
        <v>3557</v>
      </c>
      <c r="Y618" s="0" t="s">
        <v>228</v>
      </c>
      <c r="Z618" s="0" t="s">
        <v>160</v>
      </c>
      <c r="AA618" s="0" t="s">
        <v>151</v>
      </c>
      <c r="AB618" s="0" t="s">
        <v>151</v>
      </c>
      <c r="AC618" s="0" t="s">
        <v>2290</v>
      </c>
      <c r="AD618" s="0" t="s">
        <v>2290</v>
      </c>
      <c r="AE618" s="0" t="s">
        <v>2292</v>
      </c>
      <c r="AF618" s="0" t="s">
        <v>3558</v>
      </c>
      <c r="AG618" s="0" t="s">
        <v>3559</v>
      </c>
      <c r="AH618" s="0" t="s">
        <v>3897</v>
      </c>
      <c r="AI618" s="0" t="s">
        <v>3898</v>
      </c>
      <c r="AJ618" s="0" t="s">
        <v>3620</v>
      </c>
      <c r="AK618" s="0" t="s">
        <v>3899</v>
      </c>
      <c r="AL618" s="0" t="s">
        <v>3681</v>
      </c>
      <c r="AM618" s="0" t="s">
        <v>3565</v>
      </c>
      <c r="AN618" s="0" t="s">
        <v>3900</v>
      </c>
      <c r="AO618" s="0" t="s">
        <v>3901</v>
      </c>
      <c r="AP618" s="0" t="s">
        <v>228</v>
      </c>
      <c r="AQ618" s="0" t="s">
        <v>228</v>
      </c>
      <c r="AR618" s="0" t="s">
        <v>228</v>
      </c>
      <c r="AS618" s="0" t="s">
        <v>228</v>
      </c>
      <c r="AT618" s="0" t="s">
        <v>228</v>
      </c>
      <c r="AU618" s="0" t="s">
        <v>228</v>
      </c>
      <c r="AV618" s="0" t="s">
        <v>228</v>
      </c>
      <c r="AW618" s="0" t="s">
        <v>228</v>
      </c>
      <c r="AX618" s="0" t="s">
        <v>228</v>
      </c>
      <c r="AY618" s="0" t="s">
        <v>228</v>
      </c>
      <c r="AZ618" s="0" t="s">
        <v>228</v>
      </c>
      <c r="BA618" s="0" t="s">
        <v>228</v>
      </c>
      <c r="BB618" s="0" t="s">
        <v>228</v>
      </c>
      <c r="BC618" s="0" t="s">
        <v>228</v>
      </c>
      <c r="BD618" s="0" t="s">
        <v>228</v>
      </c>
      <c r="BE618" s="0" t="s">
        <v>228</v>
      </c>
      <c r="BF618" s="0" t="s">
        <v>228</v>
      </c>
      <c r="BG618" s="0" t="s">
        <v>228</v>
      </c>
      <c r="BH618" s="0" t="s">
        <v>228</v>
      </c>
      <c r="BI618" s="0" t="s">
        <v>228</v>
      </c>
      <c r="BJ618" s="0" t="s">
        <v>228</v>
      </c>
      <c r="BK618" s="0" t="s">
        <v>228</v>
      </c>
      <c r="BL618" s="0" t="s">
        <v>228</v>
      </c>
      <c r="BM618" s="0" t="s">
        <v>228</v>
      </c>
      <c r="BN618" s="0" t="s">
        <v>228</v>
      </c>
      <c r="BO618" s="0" t="s">
        <v>228</v>
      </c>
      <c r="BP618" s="0" t="s">
        <v>228</v>
      </c>
      <c r="BQ618" s="0" t="s">
        <v>228</v>
      </c>
      <c r="BR618" s="0" t="s">
        <v>228</v>
      </c>
      <c r="BS618" s="0" t="s">
        <v>228</v>
      </c>
      <c r="BT618" s="0" t="s">
        <v>228</v>
      </c>
      <c r="BU618" s="0" t="s">
        <v>228</v>
      </c>
      <c r="BV618" s="0" t="s">
        <v>228</v>
      </c>
      <c r="BW618" s="0" t="s">
        <v>228</v>
      </c>
      <c r="BX618" s="0" t="s">
        <v>228</v>
      </c>
      <c r="BY618" s="0" t="s">
        <v>228</v>
      </c>
      <c r="BZ618" s="0" t="s">
        <v>228</v>
      </c>
      <c r="CA618" s="0" t="s">
        <v>228</v>
      </c>
      <c r="CB618" s="0" t="s">
        <v>228</v>
      </c>
      <c r="CC618" s="0" t="s">
        <v>228</v>
      </c>
      <c r="CD618" s="0" t="s">
        <v>228</v>
      </c>
      <c r="CE618" s="0" t="s">
        <v>228</v>
      </c>
      <c r="CF618" s="0" t="s">
        <v>228</v>
      </c>
      <c r="CG618" s="0" t="s">
        <v>228</v>
      </c>
      <c r="CH618" s="0" t="s">
        <v>228</v>
      </c>
      <c r="CI618" s="0" t="s">
        <v>228</v>
      </c>
      <c r="CJ618" s="0" t="s">
        <v>228</v>
      </c>
      <c r="CK618" s="0" t="s">
        <v>228</v>
      </c>
      <c r="CL618" s="0" t="s">
        <v>228</v>
      </c>
      <c r="CM618" s="0" t="s">
        <v>228</v>
      </c>
      <c r="CN618" s="0" t="s">
        <v>228</v>
      </c>
      <c r="CO618" s="0" t="s">
        <v>228</v>
      </c>
      <c r="CP618" s="0" t="s">
        <v>228</v>
      </c>
      <c r="CQ618" s="0" t="s">
        <v>228</v>
      </c>
      <c r="CR618" s="0" t="s">
        <v>228</v>
      </c>
      <c r="CS618" s="0" t="s">
        <v>228</v>
      </c>
      <c r="CT618" s="0" t="s">
        <v>3568</v>
      </c>
      <c r="CU618" s="0" t="s">
        <v>3569</v>
      </c>
      <c r="CV618" s="0" t="s">
        <v>418</v>
      </c>
      <c r="CW618" s="0" t="s">
        <v>3570</v>
      </c>
      <c r="CX618" s="0" t="s">
        <v>419</v>
      </c>
      <c r="CY618" s="0" t="s">
        <v>418</v>
      </c>
      <c r="CZ618" s="0" t="s">
        <v>3571</v>
      </c>
      <c r="DA618" s="0" t="s">
        <v>420</v>
      </c>
      <c r="DB618" s="0" t="s">
        <v>3570</v>
      </c>
      <c r="DC618" s="0" t="s">
        <v>362</v>
      </c>
      <c r="DD618" s="0" t="s">
        <v>3572</v>
      </c>
      <c r="DE618" s="0" t="s">
        <v>3902</v>
      </c>
    </row>
    <row customHeight="1" ht="11.25">
      <c r="A619" s="1353" t="s">
        <v>228</v>
      </c>
      <c r="B619" s="0" t="s">
        <v>228</v>
      </c>
      <c r="C619" s="0" t="s">
        <v>228</v>
      </c>
      <c r="D619" s="0" t="s">
        <v>228</v>
      </c>
      <c r="E619" s="0" t="s">
        <v>228</v>
      </c>
      <c r="F619" s="0" t="s">
        <v>228</v>
      </c>
      <c r="G619" s="0" t="s">
        <v>228</v>
      </c>
      <c r="H619" s="0" t="s">
        <v>228</v>
      </c>
      <c r="I619" s="0" t="s">
        <v>3555</v>
      </c>
      <c r="J619" s="0" t="s">
        <v>228</v>
      </c>
      <c r="K619" s="0" t="s">
        <v>228</v>
      </c>
      <c r="L619" s="0" t="s">
        <v>228</v>
      </c>
      <c r="M619" s="0" t="s">
        <v>228</v>
      </c>
      <c r="N619" s="0" t="s">
        <v>228</v>
      </c>
      <c r="O619" s="0" t="s">
        <v>228</v>
      </c>
      <c r="P619" s="0" t="s">
        <v>228</v>
      </c>
      <c r="Q619" s="0" t="s">
        <v>228</v>
      </c>
      <c r="R619" s="0" t="s">
        <v>3978</v>
      </c>
      <c r="S619" s="0" t="s">
        <v>228</v>
      </c>
      <c r="T619" s="0" t="s">
        <v>228</v>
      </c>
      <c r="U619" s="0" t="s">
        <v>101</v>
      </c>
      <c r="V619" s="0" t="s">
        <v>228</v>
      </c>
      <c r="W619" s="0" t="s">
        <v>228</v>
      </c>
      <c r="X619" s="0" t="s">
        <v>3557</v>
      </c>
      <c r="Y619" s="0" t="s">
        <v>228</v>
      </c>
      <c r="Z619" s="0" t="s">
        <v>160</v>
      </c>
      <c r="AA619" s="0" t="s">
        <v>151</v>
      </c>
      <c r="AB619" s="0" t="s">
        <v>151</v>
      </c>
      <c r="AC619" s="0" t="s">
        <v>2290</v>
      </c>
      <c r="AD619" s="0" t="s">
        <v>2290</v>
      </c>
      <c r="AE619" s="0" t="s">
        <v>2292</v>
      </c>
      <c r="AF619" s="0" t="s">
        <v>3558</v>
      </c>
      <c r="AG619" s="0" t="s">
        <v>3559</v>
      </c>
      <c r="AH619" s="0" t="s">
        <v>3897</v>
      </c>
      <c r="AI619" s="0" t="s">
        <v>3979</v>
      </c>
      <c r="AJ619" s="0" t="s">
        <v>3620</v>
      </c>
      <c r="AK619" s="0" t="s">
        <v>3674</v>
      </c>
      <c r="AL619" s="0" t="s">
        <v>3681</v>
      </c>
      <c r="AM619" s="0" t="s">
        <v>3565</v>
      </c>
      <c r="AN619" s="0" t="s">
        <v>3582</v>
      </c>
      <c r="AO619" s="0" t="s">
        <v>3901</v>
      </c>
      <c r="AP619" s="0" t="s">
        <v>228</v>
      </c>
      <c r="AQ619" s="0" t="s">
        <v>228</v>
      </c>
      <c r="AR619" s="0" t="s">
        <v>228</v>
      </c>
      <c r="AS619" s="0" t="s">
        <v>228</v>
      </c>
      <c r="AT619" s="0" t="s">
        <v>228</v>
      </c>
      <c r="AU619" s="0" t="s">
        <v>228</v>
      </c>
      <c r="AV619" s="0" t="s">
        <v>228</v>
      </c>
      <c r="AW619" s="0" t="s">
        <v>228</v>
      </c>
      <c r="AX619" s="0" t="s">
        <v>228</v>
      </c>
      <c r="AY619" s="0" t="s">
        <v>228</v>
      </c>
      <c r="AZ619" s="0" t="s">
        <v>228</v>
      </c>
      <c r="BA619" s="0" t="s">
        <v>228</v>
      </c>
      <c r="BB619" s="0" t="s">
        <v>228</v>
      </c>
      <c r="BC619" s="0" t="s">
        <v>228</v>
      </c>
      <c r="BD619" s="0" t="s">
        <v>228</v>
      </c>
      <c r="BE619" s="0" t="s">
        <v>228</v>
      </c>
      <c r="BF619" s="0" t="s">
        <v>228</v>
      </c>
      <c r="BG619" s="0" t="s">
        <v>228</v>
      </c>
      <c r="BH619" s="0" t="s">
        <v>228</v>
      </c>
      <c r="BI619" s="0" t="s">
        <v>228</v>
      </c>
      <c r="BJ619" s="0" t="s">
        <v>228</v>
      </c>
      <c r="BK619" s="0" t="s">
        <v>228</v>
      </c>
      <c r="BL619" s="0" t="s">
        <v>228</v>
      </c>
      <c r="BM619" s="0" t="s">
        <v>228</v>
      </c>
      <c r="BN619" s="0" t="s">
        <v>228</v>
      </c>
      <c r="BO619" s="0" t="s">
        <v>228</v>
      </c>
      <c r="BP619" s="0" t="s">
        <v>228</v>
      </c>
      <c r="BQ619" s="0" t="s">
        <v>228</v>
      </c>
      <c r="BR619" s="0" t="s">
        <v>228</v>
      </c>
      <c r="BS619" s="0" t="s">
        <v>228</v>
      </c>
      <c r="BT619" s="0" t="s">
        <v>228</v>
      </c>
      <c r="BU619" s="0" t="s">
        <v>228</v>
      </c>
      <c r="BV619" s="0" t="s">
        <v>228</v>
      </c>
      <c r="BW619" s="0" t="s">
        <v>228</v>
      </c>
      <c r="BX619" s="0" t="s">
        <v>228</v>
      </c>
      <c r="BY619" s="0" t="s">
        <v>228</v>
      </c>
      <c r="BZ619" s="0" t="s">
        <v>228</v>
      </c>
      <c r="CA619" s="0" t="s">
        <v>228</v>
      </c>
      <c r="CB619" s="0" t="s">
        <v>228</v>
      </c>
      <c r="CC619" s="0" t="s">
        <v>228</v>
      </c>
      <c r="CD619" s="0" t="s">
        <v>228</v>
      </c>
      <c r="CE619" s="0" t="s">
        <v>228</v>
      </c>
      <c r="CF619" s="0" t="s">
        <v>228</v>
      </c>
      <c r="CG619" s="0" t="s">
        <v>228</v>
      </c>
      <c r="CH619" s="0" t="s">
        <v>228</v>
      </c>
      <c r="CI619" s="0" t="s">
        <v>228</v>
      </c>
      <c r="CJ619" s="0" t="s">
        <v>228</v>
      </c>
      <c r="CK619" s="0" t="s">
        <v>228</v>
      </c>
      <c r="CL619" s="0" t="s">
        <v>228</v>
      </c>
      <c r="CM619" s="0" t="s">
        <v>228</v>
      </c>
      <c r="CN619" s="0" t="s">
        <v>228</v>
      </c>
      <c r="CO619" s="0" t="s">
        <v>228</v>
      </c>
      <c r="CP619" s="0" t="s">
        <v>228</v>
      </c>
      <c r="CQ619" s="0" t="s">
        <v>228</v>
      </c>
      <c r="CR619" s="0" t="s">
        <v>228</v>
      </c>
      <c r="CS619" s="0" t="s">
        <v>228</v>
      </c>
      <c r="CT619" s="0" t="s">
        <v>3568</v>
      </c>
      <c r="CU619" s="0" t="s">
        <v>3569</v>
      </c>
      <c r="CV619" s="0" t="s">
        <v>418</v>
      </c>
      <c r="CW619" s="0" t="s">
        <v>3570</v>
      </c>
      <c r="CX619" s="0" t="s">
        <v>419</v>
      </c>
      <c r="CY619" s="0" t="s">
        <v>418</v>
      </c>
      <c r="CZ619" s="0" t="s">
        <v>3571</v>
      </c>
      <c r="DA619" s="0" t="s">
        <v>420</v>
      </c>
      <c r="DB619" s="0" t="s">
        <v>3570</v>
      </c>
      <c r="DC619" s="0" t="s">
        <v>362</v>
      </c>
      <c r="DD619" s="0" t="s">
        <v>3572</v>
      </c>
      <c r="DE619" s="0" t="s">
        <v>3980</v>
      </c>
    </row>
    <row customHeight="1" ht="11.25">
      <c r="A620" s="1353" t="s">
        <v>228</v>
      </c>
      <c r="B620" s="0" t="s">
        <v>228</v>
      </c>
      <c r="C620" s="0" t="s">
        <v>228</v>
      </c>
      <c r="D620" s="0" t="s">
        <v>228</v>
      </c>
      <c r="E620" s="0" t="s">
        <v>228</v>
      </c>
      <c r="F620" s="0" t="s">
        <v>228</v>
      </c>
      <c r="G620" s="0" t="s">
        <v>228</v>
      </c>
      <c r="H620" s="0" t="s">
        <v>228</v>
      </c>
      <c r="I620" s="0" t="s">
        <v>3555</v>
      </c>
      <c r="J620" s="0" t="s">
        <v>228</v>
      </c>
      <c r="K620" s="0" t="s">
        <v>228</v>
      </c>
      <c r="L620" s="0" t="s">
        <v>228</v>
      </c>
      <c r="M620" s="0" t="s">
        <v>228</v>
      </c>
      <c r="N620" s="0" t="s">
        <v>228</v>
      </c>
      <c r="O620" s="0" t="s">
        <v>228</v>
      </c>
      <c r="P620" s="0" t="s">
        <v>228</v>
      </c>
      <c r="Q620" s="0" t="s">
        <v>228</v>
      </c>
      <c r="R620" s="0" t="s">
        <v>3718</v>
      </c>
      <c r="S620" s="0" t="s">
        <v>228</v>
      </c>
      <c r="T620" s="0" t="s">
        <v>228</v>
      </c>
      <c r="U620" s="0" t="s">
        <v>101</v>
      </c>
      <c r="V620" s="0" t="s">
        <v>228</v>
      </c>
      <c r="W620" s="0" t="s">
        <v>228</v>
      </c>
      <c r="X620" s="0" t="s">
        <v>3661</v>
      </c>
      <c r="Y620" s="0" t="s">
        <v>228</v>
      </c>
      <c r="Z620" s="0" t="s">
        <v>151</v>
      </c>
      <c r="AA620" s="0" t="s">
        <v>151</v>
      </c>
      <c r="AB620" s="0" t="s">
        <v>160</v>
      </c>
      <c r="AC620" s="0" t="s">
        <v>2311</v>
      </c>
      <c r="AD620" s="0" t="s">
        <v>2311</v>
      </c>
      <c r="AE620" s="0" t="s">
        <v>2312</v>
      </c>
      <c r="AF620" s="0" t="s">
        <v>4709</v>
      </c>
      <c r="AG620" s="0" t="s">
        <v>4710</v>
      </c>
      <c r="AH620" s="0" t="s">
        <v>4412</v>
      </c>
      <c r="AI620" s="0" t="s">
        <v>4858</v>
      </c>
      <c r="AJ620" s="0" t="s">
        <v>228</v>
      </c>
      <c r="AK620" s="0" t="s">
        <v>228</v>
      </c>
      <c r="AL620" s="0" t="s">
        <v>228</v>
      </c>
      <c r="AM620" s="0" t="s">
        <v>228</v>
      </c>
      <c r="AN620" s="0" t="s">
        <v>228</v>
      </c>
      <c r="AO620" s="0" t="s">
        <v>228</v>
      </c>
      <c r="AP620" s="0" t="s">
        <v>228</v>
      </c>
      <c r="AQ620" s="0" t="s">
        <v>228</v>
      </c>
      <c r="AR620" s="0" t="s">
        <v>228</v>
      </c>
      <c r="AS620" s="0" t="s">
        <v>228</v>
      </c>
      <c r="AT620" s="0" t="s">
        <v>228</v>
      </c>
      <c r="AU620" s="0" t="s">
        <v>228</v>
      </c>
      <c r="AV620" s="0" t="s">
        <v>228</v>
      </c>
      <c r="AW620" s="0" t="s">
        <v>228</v>
      </c>
      <c r="AX620" s="0" t="s">
        <v>228</v>
      </c>
      <c r="AY620" s="0" t="s">
        <v>228</v>
      </c>
      <c r="AZ620" s="0" t="s">
        <v>228</v>
      </c>
      <c r="BA620" s="0" t="s">
        <v>228</v>
      </c>
      <c r="BB620" s="0" t="s">
        <v>228</v>
      </c>
      <c r="BC620" s="0" t="s">
        <v>228</v>
      </c>
      <c r="BD620" s="0" t="s">
        <v>228</v>
      </c>
      <c r="BE620" s="0" t="s">
        <v>3722</v>
      </c>
      <c r="BF620" s="0" t="s">
        <v>3722</v>
      </c>
      <c r="BG620" s="0" t="s">
        <v>111</v>
      </c>
      <c r="BH620" s="0" t="s">
        <v>3665</v>
      </c>
      <c r="BI620" s="0" t="s">
        <v>122</v>
      </c>
      <c r="BJ620" s="0" t="s">
        <v>228</v>
      </c>
      <c r="BK620" s="0" t="s">
        <v>3684</v>
      </c>
      <c r="BL620" s="0" t="s">
        <v>2311</v>
      </c>
      <c r="BM620" s="0" t="s">
        <v>2311</v>
      </c>
      <c r="BN620" s="0" t="s">
        <v>3723</v>
      </c>
      <c r="BO620" s="0" t="s">
        <v>4709</v>
      </c>
      <c r="BP620" s="0" t="s">
        <v>4859</v>
      </c>
      <c r="BQ620" s="0" t="s">
        <v>4415</v>
      </c>
      <c r="BR620" s="0" t="s">
        <v>4416</v>
      </c>
      <c r="BS620" s="0" t="s">
        <v>228</v>
      </c>
      <c r="BT620" s="0" t="s">
        <v>3727</v>
      </c>
      <c r="BU620" s="0" t="s">
        <v>4860</v>
      </c>
      <c r="BV620" s="0" t="s">
        <v>4860</v>
      </c>
      <c r="BW620" s="0" t="s">
        <v>3674</v>
      </c>
      <c r="BX620" s="0" t="s">
        <v>3674</v>
      </c>
      <c r="BY620" s="0" t="s">
        <v>3674</v>
      </c>
      <c r="BZ620" s="0" t="s">
        <v>3674</v>
      </c>
      <c r="CA620" s="0" t="s">
        <v>3674</v>
      </c>
      <c r="CB620" s="0" t="s">
        <v>228</v>
      </c>
      <c r="CC620" s="0" t="s">
        <v>228</v>
      </c>
      <c r="CD620" s="0" t="s">
        <v>228</v>
      </c>
      <c r="CE620" s="0" t="s">
        <v>228</v>
      </c>
      <c r="CF620" s="0" t="s">
        <v>228</v>
      </c>
      <c r="CG620" s="0" t="s">
        <v>3674</v>
      </c>
      <c r="CH620" s="0" t="s">
        <v>228</v>
      </c>
      <c r="CI620" s="0" t="s">
        <v>228</v>
      </c>
      <c r="CJ620" s="0" t="s">
        <v>228</v>
      </c>
      <c r="CK620" s="0" t="s">
        <v>228</v>
      </c>
      <c r="CL620" s="0" t="s">
        <v>228</v>
      </c>
      <c r="CM620" s="0" t="s">
        <v>4860</v>
      </c>
      <c r="CN620" s="0" t="s">
        <v>4860</v>
      </c>
      <c r="CO620" s="0" t="s">
        <v>228</v>
      </c>
      <c r="CP620" s="0" t="s">
        <v>228</v>
      </c>
      <c r="CQ620" s="0" t="s">
        <v>228</v>
      </c>
      <c r="CR620" s="0" t="s">
        <v>228</v>
      </c>
      <c r="CS620" s="0" t="s">
        <v>3582</v>
      </c>
      <c r="CT620" s="0" t="s">
        <v>3568</v>
      </c>
      <c r="CU620" s="0" t="s">
        <v>3569</v>
      </c>
      <c r="CV620" s="0" t="s">
        <v>418</v>
      </c>
      <c r="CW620" s="0" t="s">
        <v>3584</v>
      </c>
      <c r="CX620" s="0" t="s">
        <v>419</v>
      </c>
      <c r="CY620" s="0" t="s">
        <v>418</v>
      </c>
      <c r="CZ620" s="0" t="s">
        <v>3585</v>
      </c>
      <c r="DA620" s="0" t="s">
        <v>3586</v>
      </c>
      <c r="DB620" s="0" t="s">
        <v>3584</v>
      </c>
      <c r="DC620" s="0" t="s">
        <v>362</v>
      </c>
      <c r="DD620" s="0" t="s">
        <v>3572</v>
      </c>
      <c r="DE620" s="0" t="s">
        <v>4861</v>
      </c>
    </row>
    <row customHeight="1" ht="11.25">
      <c r="A621" s="1353" t="s">
        <v>228</v>
      </c>
      <c r="B621" s="0" t="s">
        <v>228</v>
      </c>
      <c r="C621" s="0" t="s">
        <v>228</v>
      </c>
      <c r="D621" s="0" t="s">
        <v>228</v>
      </c>
      <c r="E621" s="0" t="s">
        <v>228</v>
      </c>
      <c r="F621" s="0" t="s">
        <v>228</v>
      </c>
      <c r="G621" s="0" t="s">
        <v>228</v>
      </c>
      <c r="H621" s="0" t="s">
        <v>228</v>
      </c>
      <c r="I621" s="0" t="s">
        <v>3555</v>
      </c>
      <c r="J621" s="0" t="s">
        <v>228</v>
      </c>
      <c r="K621" s="0" t="s">
        <v>228</v>
      </c>
      <c r="L621" s="0" t="s">
        <v>228</v>
      </c>
      <c r="M621" s="0" t="s">
        <v>228</v>
      </c>
      <c r="N621" s="0" t="s">
        <v>228</v>
      </c>
      <c r="O621" s="0" t="s">
        <v>228</v>
      </c>
      <c r="P621" s="0" t="s">
        <v>228</v>
      </c>
      <c r="Q621" s="0" t="s">
        <v>228</v>
      </c>
      <c r="R621" s="0" t="s">
        <v>3831</v>
      </c>
      <c r="S621" s="0" t="s">
        <v>228</v>
      </c>
      <c r="T621" s="0" t="s">
        <v>228</v>
      </c>
      <c r="U621" s="0" t="s">
        <v>101</v>
      </c>
      <c r="V621" s="0" t="s">
        <v>228</v>
      </c>
      <c r="W621" s="0" t="s">
        <v>228</v>
      </c>
      <c r="X621" s="0" t="s">
        <v>3557</v>
      </c>
      <c r="Y621" s="0" t="s">
        <v>228</v>
      </c>
      <c r="Z621" s="0" t="s">
        <v>160</v>
      </c>
      <c r="AA621" s="0" t="s">
        <v>151</v>
      </c>
      <c r="AB621" s="0" t="s">
        <v>151</v>
      </c>
      <c r="AC621" s="0" t="s">
        <v>2317</v>
      </c>
      <c r="AD621" s="0" t="s">
        <v>2317</v>
      </c>
      <c r="AE621" s="0" t="s">
        <v>2318</v>
      </c>
      <c r="AF621" s="0" t="s">
        <v>3826</v>
      </c>
      <c r="AG621" s="0" t="s">
        <v>3827</v>
      </c>
      <c r="AH621" s="0" t="s">
        <v>3832</v>
      </c>
      <c r="AI621" s="0" t="s">
        <v>3626</v>
      </c>
      <c r="AJ621" s="0" t="s">
        <v>3579</v>
      </c>
      <c r="AK621" s="0" t="s">
        <v>3833</v>
      </c>
      <c r="AL621" s="0" t="s">
        <v>3581</v>
      </c>
      <c r="AM621" s="0" t="s">
        <v>3565</v>
      </c>
      <c r="AN621" s="0" t="s">
        <v>3628</v>
      </c>
      <c r="AO621" s="0" t="s">
        <v>3834</v>
      </c>
      <c r="AP621" s="0" t="s">
        <v>228</v>
      </c>
      <c r="AQ621" s="0" t="s">
        <v>228</v>
      </c>
      <c r="AR621" s="0" t="s">
        <v>228</v>
      </c>
      <c r="AS621" s="0" t="s">
        <v>228</v>
      </c>
      <c r="AT621" s="0" t="s">
        <v>228</v>
      </c>
      <c r="AU621" s="0" t="s">
        <v>228</v>
      </c>
      <c r="AV621" s="0" t="s">
        <v>228</v>
      </c>
      <c r="AW621" s="0" t="s">
        <v>228</v>
      </c>
      <c r="AX621" s="0" t="s">
        <v>228</v>
      </c>
      <c r="AY621" s="0" t="s">
        <v>228</v>
      </c>
      <c r="AZ621" s="0" t="s">
        <v>228</v>
      </c>
      <c r="BA621" s="0" t="s">
        <v>228</v>
      </c>
      <c r="BB621" s="0" t="s">
        <v>228</v>
      </c>
      <c r="BC621" s="0" t="s">
        <v>228</v>
      </c>
      <c r="BD621" s="0" t="s">
        <v>228</v>
      </c>
      <c r="BE621" s="0" t="s">
        <v>228</v>
      </c>
      <c r="BF621" s="0" t="s">
        <v>228</v>
      </c>
      <c r="BG621" s="0" t="s">
        <v>228</v>
      </c>
      <c r="BH621" s="0" t="s">
        <v>228</v>
      </c>
      <c r="BI621" s="0" t="s">
        <v>228</v>
      </c>
      <c r="BJ621" s="0" t="s">
        <v>228</v>
      </c>
      <c r="BK621" s="0" t="s">
        <v>228</v>
      </c>
      <c r="BL621" s="0" t="s">
        <v>228</v>
      </c>
      <c r="BM621" s="0" t="s">
        <v>228</v>
      </c>
      <c r="BN621" s="0" t="s">
        <v>228</v>
      </c>
      <c r="BO621" s="0" t="s">
        <v>228</v>
      </c>
      <c r="BP621" s="0" t="s">
        <v>228</v>
      </c>
      <c r="BQ621" s="0" t="s">
        <v>228</v>
      </c>
      <c r="BR621" s="0" t="s">
        <v>228</v>
      </c>
      <c r="BS621" s="0" t="s">
        <v>228</v>
      </c>
      <c r="BT621" s="0" t="s">
        <v>228</v>
      </c>
      <c r="BU621" s="0" t="s">
        <v>228</v>
      </c>
      <c r="BV621" s="0" t="s">
        <v>228</v>
      </c>
      <c r="BW621" s="0" t="s">
        <v>228</v>
      </c>
      <c r="BX621" s="0" t="s">
        <v>228</v>
      </c>
      <c r="BY621" s="0" t="s">
        <v>228</v>
      </c>
      <c r="BZ621" s="0" t="s">
        <v>228</v>
      </c>
      <c r="CA621" s="0" t="s">
        <v>228</v>
      </c>
      <c r="CB621" s="0" t="s">
        <v>228</v>
      </c>
      <c r="CC621" s="0" t="s">
        <v>228</v>
      </c>
      <c r="CD621" s="0" t="s">
        <v>228</v>
      </c>
      <c r="CE621" s="0" t="s">
        <v>228</v>
      </c>
      <c r="CF621" s="0" t="s">
        <v>228</v>
      </c>
      <c r="CG621" s="0" t="s">
        <v>228</v>
      </c>
      <c r="CH621" s="0" t="s">
        <v>228</v>
      </c>
      <c r="CI621" s="0" t="s">
        <v>228</v>
      </c>
      <c r="CJ621" s="0" t="s">
        <v>228</v>
      </c>
      <c r="CK621" s="0" t="s">
        <v>228</v>
      </c>
      <c r="CL621" s="0" t="s">
        <v>228</v>
      </c>
      <c r="CM621" s="0" t="s">
        <v>228</v>
      </c>
      <c r="CN621" s="0" t="s">
        <v>228</v>
      </c>
      <c r="CO621" s="0" t="s">
        <v>228</v>
      </c>
      <c r="CP621" s="0" t="s">
        <v>228</v>
      </c>
      <c r="CQ621" s="0" t="s">
        <v>228</v>
      </c>
      <c r="CR621" s="0" t="s">
        <v>228</v>
      </c>
      <c r="CS621" s="0" t="s">
        <v>228</v>
      </c>
      <c r="CT621" s="0" t="s">
        <v>3568</v>
      </c>
      <c r="CU621" s="0" t="s">
        <v>3569</v>
      </c>
      <c r="CV621" s="0" t="s">
        <v>418</v>
      </c>
      <c r="CW621" s="0" t="s">
        <v>3622</v>
      </c>
      <c r="CX621" s="0" t="s">
        <v>419</v>
      </c>
      <c r="CY621" s="0" t="s">
        <v>418</v>
      </c>
      <c r="CZ621" s="0" t="s">
        <v>3623</v>
      </c>
      <c r="DA621" s="0" t="s">
        <v>3624</v>
      </c>
      <c r="DB621" s="0" t="s">
        <v>3622</v>
      </c>
      <c r="DC621" s="0" t="s">
        <v>362</v>
      </c>
      <c r="DD621" s="0" t="s">
        <v>3572</v>
      </c>
      <c r="DE621" s="0" t="s">
        <v>3835</v>
      </c>
    </row>
    <row customHeight="1" ht="11.25">
      <c r="A622" s="1353" t="s">
        <v>228</v>
      </c>
      <c r="B622" s="0" t="s">
        <v>228</v>
      </c>
      <c r="C622" s="0" t="s">
        <v>228</v>
      </c>
      <c r="D622" s="0" t="s">
        <v>228</v>
      </c>
      <c r="E622" s="0" t="s">
        <v>228</v>
      </c>
      <c r="F622" s="0" t="s">
        <v>228</v>
      </c>
      <c r="G622" s="0" t="s">
        <v>228</v>
      </c>
      <c r="H622" s="0" t="s">
        <v>228</v>
      </c>
      <c r="I622" s="0" t="s">
        <v>3555</v>
      </c>
      <c r="J622" s="0" t="s">
        <v>228</v>
      </c>
      <c r="K622" s="0" t="s">
        <v>228</v>
      </c>
      <c r="L622" s="0" t="s">
        <v>228</v>
      </c>
      <c r="M622" s="0" t="s">
        <v>228</v>
      </c>
      <c r="N622" s="0" t="s">
        <v>228</v>
      </c>
      <c r="O622" s="0" t="s">
        <v>228</v>
      </c>
      <c r="P622" s="0" t="s">
        <v>228</v>
      </c>
      <c r="Q622" s="0" t="s">
        <v>228</v>
      </c>
      <c r="R622" s="0" t="s">
        <v>3843</v>
      </c>
      <c r="S622" s="0" t="s">
        <v>228</v>
      </c>
      <c r="T622" s="0" t="s">
        <v>228</v>
      </c>
      <c r="U622" s="0" t="s">
        <v>101</v>
      </c>
      <c r="V622" s="0" t="s">
        <v>228</v>
      </c>
      <c r="W622" s="0" t="s">
        <v>228</v>
      </c>
      <c r="X622" s="0" t="s">
        <v>3557</v>
      </c>
      <c r="Y622" s="0" t="s">
        <v>228</v>
      </c>
      <c r="Z622" s="0" t="s">
        <v>160</v>
      </c>
      <c r="AA622" s="0" t="s">
        <v>151</v>
      </c>
      <c r="AB622" s="0" t="s">
        <v>151</v>
      </c>
      <c r="AC622" s="0" t="s">
        <v>2317</v>
      </c>
      <c r="AD622" s="0" t="s">
        <v>2317</v>
      </c>
      <c r="AE622" s="0" t="s">
        <v>2318</v>
      </c>
      <c r="AF622" s="0" t="s">
        <v>3826</v>
      </c>
      <c r="AG622" s="0" t="s">
        <v>3827</v>
      </c>
      <c r="AH622" s="0" t="s">
        <v>3844</v>
      </c>
      <c r="AI622" s="0" t="s">
        <v>3651</v>
      </c>
      <c r="AJ622" s="0" t="s">
        <v>3654</v>
      </c>
      <c r="AK622" s="0" t="s">
        <v>3620</v>
      </c>
      <c r="AL622" s="0" t="s">
        <v>3581</v>
      </c>
      <c r="AM622" s="0" t="s">
        <v>3565</v>
      </c>
      <c r="AN622" s="0" t="s">
        <v>3628</v>
      </c>
      <c r="AO622" s="0" t="s">
        <v>3845</v>
      </c>
      <c r="AP622" s="0" t="s">
        <v>228</v>
      </c>
      <c r="AQ622" s="0" t="s">
        <v>228</v>
      </c>
      <c r="AR622" s="0" t="s">
        <v>228</v>
      </c>
      <c r="AS622" s="0" t="s">
        <v>228</v>
      </c>
      <c r="AT622" s="0" t="s">
        <v>228</v>
      </c>
      <c r="AU622" s="0" t="s">
        <v>228</v>
      </c>
      <c r="AV622" s="0" t="s">
        <v>228</v>
      </c>
      <c r="AW622" s="0" t="s">
        <v>228</v>
      </c>
      <c r="AX622" s="0" t="s">
        <v>228</v>
      </c>
      <c r="AY622" s="0" t="s">
        <v>228</v>
      </c>
      <c r="AZ622" s="0" t="s">
        <v>228</v>
      </c>
      <c r="BA622" s="0" t="s">
        <v>228</v>
      </c>
      <c r="BB622" s="0" t="s">
        <v>228</v>
      </c>
      <c r="BC622" s="0" t="s">
        <v>228</v>
      </c>
      <c r="BD622" s="0" t="s">
        <v>228</v>
      </c>
      <c r="BE622" s="0" t="s">
        <v>228</v>
      </c>
      <c r="BF622" s="0" t="s">
        <v>228</v>
      </c>
      <c r="BG622" s="0" t="s">
        <v>228</v>
      </c>
      <c r="BH622" s="0" t="s">
        <v>228</v>
      </c>
      <c r="BI622" s="0" t="s">
        <v>228</v>
      </c>
      <c r="BJ622" s="0" t="s">
        <v>228</v>
      </c>
      <c r="BK622" s="0" t="s">
        <v>228</v>
      </c>
      <c r="BL622" s="0" t="s">
        <v>228</v>
      </c>
      <c r="BM622" s="0" t="s">
        <v>228</v>
      </c>
      <c r="BN622" s="0" t="s">
        <v>228</v>
      </c>
      <c r="BO622" s="0" t="s">
        <v>228</v>
      </c>
      <c r="BP622" s="0" t="s">
        <v>228</v>
      </c>
      <c r="BQ622" s="0" t="s">
        <v>228</v>
      </c>
      <c r="BR622" s="0" t="s">
        <v>228</v>
      </c>
      <c r="BS622" s="0" t="s">
        <v>228</v>
      </c>
      <c r="BT622" s="0" t="s">
        <v>228</v>
      </c>
      <c r="BU622" s="0" t="s">
        <v>228</v>
      </c>
      <c r="BV622" s="0" t="s">
        <v>228</v>
      </c>
      <c r="BW622" s="0" t="s">
        <v>228</v>
      </c>
      <c r="BX622" s="0" t="s">
        <v>228</v>
      </c>
      <c r="BY622" s="0" t="s">
        <v>228</v>
      </c>
      <c r="BZ622" s="0" t="s">
        <v>228</v>
      </c>
      <c r="CA622" s="0" t="s">
        <v>228</v>
      </c>
      <c r="CB622" s="0" t="s">
        <v>228</v>
      </c>
      <c r="CC622" s="0" t="s">
        <v>228</v>
      </c>
      <c r="CD622" s="0" t="s">
        <v>228</v>
      </c>
      <c r="CE622" s="0" t="s">
        <v>228</v>
      </c>
      <c r="CF622" s="0" t="s">
        <v>228</v>
      </c>
      <c r="CG622" s="0" t="s">
        <v>228</v>
      </c>
      <c r="CH622" s="0" t="s">
        <v>228</v>
      </c>
      <c r="CI622" s="0" t="s">
        <v>228</v>
      </c>
      <c r="CJ622" s="0" t="s">
        <v>228</v>
      </c>
      <c r="CK622" s="0" t="s">
        <v>228</v>
      </c>
      <c r="CL622" s="0" t="s">
        <v>228</v>
      </c>
      <c r="CM622" s="0" t="s">
        <v>228</v>
      </c>
      <c r="CN622" s="0" t="s">
        <v>228</v>
      </c>
      <c r="CO622" s="0" t="s">
        <v>228</v>
      </c>
      <c r="CP622" s="0" t="s">
        <v>228</v>
      </c>
      <c r="CQ622" s="0" t="s">
        <v>228</v>
      </c>
      <c r="CR622" s="0" t="s">
        <v>228</v>
      </c>
      <c r="CS622" s="0" t="s">
        <v>228</v>
      </c>
      <c r="CT622" s="0" t="s">
        <v>3568</v>
      </c>
      <c r="CU622" s="0" t="s">
        <v>3569</v>
      </c>
      <c r="CV622" s="0" t="s">
        <v>418</v>
      </c>
      <c r="CW622" s="0" t="s">
        <v>3622</v>
      </c>
      <c r="CX622" s="0" t="s">
        <v>419</v>
      </c>
      <c r="CY622" s="0" t="s">
        <v>418</v>
      </c>
      <c r="CZ622" s="0" t="s">
        <v>3623</v>
      </c>
      <c r="DA622" s="0" t="s">
        <v>3624</v>
      </c>
      <c r="DB622" s="0" t="s">
        <v>3622</v>
      </c>
      <c r="DC622" s="0" t="s">
        <v>362</v>
      </c>
      <c r="DD622" s="0" t="s">
        <v>3572</v>
      </c>
      <c r="DE622" s="0" t="s">
        <v>3846</v>
      </c>
    </row>
    <row customHeight="1" ht="11.25">
      <c r="A623" s="1353" t="s">
        <v>228</v>
      </c>
      <c r="B623" s="0" t="s">
        <v>228</v>
      </c>
      <c r="C623" s="0" t="s">
        <v>228</v>
      </c>
      <c r="D623" s="0" t="s">
        <v>228</v>
      </c>
      <c r="E623" s="0" t="s">
        <v>228</v>
      </c>
      <c r="F623" s="0" t="s">
        <v>228</v>
      </c>
      <c r="G623" s="0" t="s">
        <v>228</v>
      </c>
      <c r="H623" s="0" t="s">
        <v>228</v>
      </c>
      <c r="I623" s="0" t="s">
        <v>3555</v>
      </c>
      <c r="J623" s="0" t="s">
        <v>228</v>
      </c>
      <c r="K623" s="0" t="s">
        <v>228</v>
      </c>
      <c r="L623" s="0" t="s">
        <v>228</v>
      </c>
      <c r="M623" s="0" t="s">
        <v>228</v>
      </c>
      <c r="N623" s="0" t="s">
        <v>228</v>
      </c>
      <c r="O623" s="0" t="s">
        <v>228</v>
      </c>
      <c r="P623" s="0" t="s">
        <v>228</v>
      </c>
      <c r="Q623" s="0" t="s">
        <v>228</v>
      </c>
      <c r="R623" s="0" t="s">
        <v>3848</v>
      </c>
      <c r="S623" s="0" t="s">
        <v>228</v>
      </c>
      <c r="T623" s="0" t="s">
        <v>228</v>
      </c>
      <c r="U623" s="0" t="s">
        <v>101</v>
      </c>
      <c r="V623" s="0" t="s">
        <v>228</v>
      </c>
      <c r="W623" s="0" t="s">
        <v>228</v>
      </c>
      <c r="X623" s="0" t="s">
        <v>3557</v>
      </c>
      <c r="Y623" s="0" t="s">
        <v>228</v>
      </c>
      <c r="Z623" s="0" t="s">
        <v>160</v>
      </c>
      <c r="AA623" s="0" t="s">
        <v>151</v>
      </c>
      <c r="AB623" s="0" t="s">
        <v>151</v>
      </c>
      <c r="AC623" s="0" t="s">
        <v>2317</v>
      </c>
      <c r="AD623" s="0" t="s">
        <v>2317</v>
      </c>
      <c r="AE623" s="0" t="s">
        <v>2318</v>
      </c>
      <c r="AF623" s="0" t="s">
        <v>3849</v>
      </c>
      <c r="AG623" s="0" t="s">
        <v>3850</v>
      </c>
      <c r="AH623" s="0" t="s">
        <v>3851</v>
      </c>
      <c r="AI623" s="0" t="s">
        <v>3852</v>
      </c>
      <c r="AJ623" s="0" t="s">
        <v>3579</v>
      </c>
      <c r="AK623" s="0" t="s">
        <v>3853</v>
      </c>
      <c r="AL623" s="0" t="s">
        <v>3581</v>
      </c>
      <c r="AM623" s="0" t="s">
        <v>3565</v>
      </c>
      <c r="AN623" s="0" t="s">
        <v>3620</v>
      </c>
      <c r="AO623" s="0" t="s">
        <v>3854</v>
      </c>
      <c r="AP623" s="0" t="s">
        <v>228</v>
      </c>
      <c r="AQ623" s="0" t="s">
        <v>228</v>
      </c>
      <c r="AR623" s="0" t="s">
        <v>228</v>
      </c>
      <c r="AS623" s="0" t="s">
        <v>228</v>
      </c>
      <c r="AT623" s="0" t="s">
        <v>228</v>
      </c>
      <c r="AU623" s="0" t="s">
        <v>228</v>
      </c>
      <c r="AV623" s="0" t="s">
        <v>228</v>
      </c>
      <c r="AW623" s="0" t="s">
        <v>228</v>
      </c>
      <c r="AX623" s="0" t="s">
        <v>228</v>
      </c>
      <c r="AY623" s="0" t="s">
        <v>228</v>
      </c>
      <c r="AZ623" s="0" t="s">
        <v>228</v>
      </c>
      <c r="BA623" s="0" t="s">
        <v>228</v>
      </c>
      <c r="BB623" s="0" t="s">
        <v>228</v>
      </c>
      <c r="BC623" s="0" t="s">
        <v>228</v>
      </c>
      <c r="BD623" s="0" t="s">
        <v>228</v>
      </c>
      <c r="BE623" s="0" t="s">
        <v>228</v>
      </c>
      <c r="BF623" s="0" t="s">
        <v>228</v>
      </c>
      <c r="BG623" s="0" t="s">
        <v>228</v>
      </c>
      <c r="BH623" s="0" t="s">
        <v>228</v>
      </c>
      <c r="BI623" s="0" t="s">
        <v>228</v>
      </c>
      <c r="BJ623" s="0" t="s">
        <v>228</v>
      </c>
      <c r="BK623" s="0" t="s">
        <v>228</v>
      </c>
      <c r="BL623" s="0" t="s">
        <v>228</v>
      </c>
      <c r="BM623" s="0" t="s">
        <v>228</v>
      </c>
      <c r="BN623" s="0" t="s">
        <v>228</v>
      </c>
      <c r="BO623" s="0" t="s">
        <v>228</v>
      </c>
      <c r="BP623" s="0" t="s">
        <v>228</v>
      </c>
      <c r="BQ623" s="0" t="s">
        <v>228</v>
      </c>
      <c r="BR623" s="0" t="s">
        <v>228</v>
      </c>
      <c r="BS623" s="0" t="s">
        <v>228</v>
      </c>
      <c r="BT623" s="0" t="s">
        <v>228</v>
      </c>
      <c r="BU623" s="0" t="s">
        <v>228</v>
      </c>
      <c r="BV623" s="0" t="s">
        <v>228</v>
      </c>
      <c r="BW623" s="0" t="s">
        <v>228</v>
      </c>
      <c r="BX623" s="0" t="s">
        <v>228</v>
      </c>
      <c r="BY623" s="0" t="s">
        <v>228</v>
      </c>
      <c r="BZ623" s="0" t="s">
        <v>228</v>
      </c>
      <c r="CA623" s="0" t="s">
        <v>228</v>
      </c>
      <c r="CB623" s="0" t="s">
        <v>228</v>
      </c>
      <c r="CC623" s="0" t="s">
        <v>228</v>
      </c>
      <c r="CD623" s="0" t="s">
        <v>228</v>
      </c>
      <c r="CE623" s="0" t="s">
        <v>228</v>
      </c>
      <c r="CF623" s="0" t="s">
        <v>228</v>
      </c>
      <c r="CG623" s="0" t="s">
        <v>228</v>
      </c>
      <c r="CH623" s="0" t="s">
        <v>228</v>
      </c>
      <c r="CI623" s="0" t="s">
        <v>228</v>
      </c>
      <c r="CJ623" s="0" t="s">
        <v>228</v>
      </c>
      <c r="CK623" s="0" t="s">
        <v>228</v>
      </c>
      <c r="CL623" s="0" t="s">
        <v>228</v>
      </c>
      <c r="CM623" s="0" t="s">
        <v>228</v>
      </c>
      <c r="CN623" s="0" t="s">
        <v>228</v>
      </c>
      <c r="CO623" s="0" t="s">
        <v>228</v>
      </c>
      <c r="CP623" s="0" t="s">
        <v>228</v>
      </c>
      <c r="CQ623" s="0" t="s">
        <v>228</v>
      </c>
      <c r="CR623" s="0" t="s">
        <v>228</v>
      </c>
      <c r="CS623" s="0" t="s">
        <v>228</v>
      </c>
      <c r="CT623" s="0" t="s">
        <v>3568</v>
      </c>
      <c r="CU623" s="0" t="s">
        <v>3569</v>
      </c>
      <c r="CV623" s="0" t="s">
        <v>418</v>
      </c>
      <c r="CW623" s="0" t="s">
        <v>3622</v>
      </c>
      <c r="CX623" s="0" t="s">
        <v>419</v>
      </c>
      <c r="CY623" s="0" t="s">
        <v>418</v>
      </c>
      <c r="CZ623" s="0" t="s">
        <v>3623</v>
      </c>
      <c r="DA623" s="0" t="s">
        <v>3624</v>
      </c>
      <c r="DB623" s="0" t="s">
        <v>3622</v>
      </c>
      <c r="DC623" s="0" t="s">
        <v>362</v>
      </c>
      <c r="DD623" s="0" t="s">
        <v>3572</v>
      </c>
      <c r="DE623" s="0" t="s">
        <v>3855</v>
      </c>
    </row>
    <row customHeight="1" ht="11.25">
      <c r="A624" s="1353" t="s">
        <v>228</v>
      </c>
      <c r="B624" s="0" t="s">
        <v>228</v>
      </c>
      <c r="C624" s="0" t="s">
        <v>228</v>
      </c>
      <c r="D624" s="0" t="s">
        <v>228</v>
      </c>
      <c r="E624" s="0" t="s">
        <v>228</v>
      </c>
      <c r="F624" s="0" t="s">
        <v>228</v>
      </c>
      <c r="G624" s="0" t="s">
        <v>228</v>
      </c>
      <c r="H624" s="0" t="s">
        <v>228</v>
      </c>
      <c r="I624" s="0" t="s">
        <v>3555</v>
      </c>
      <c r="J624" s="0" t="s">
        <v>228</v>
      </c>
      <c r="K624" s="0" t="s">
        <v>228</v>
      </c>
      <c r="L624" s="0" t="s">
        <v>228</v>
      </c>
      <c r="M624" s="0" t="s">
        <v>228</v>
      </c>
      <c r="N624" s="0" t="s">
        <v>228</v>
      </c>
      <c r="O624" s="0" t="s">
        <v>228</v>
      </c>
      <c r="P624" s="0" t="s">
        <v>228</v>
      </c>
      <c r="Q624" s="0" t="s">
        <v>228</v>
      </c>
      <c r="R624" s="0" t="s">
        <v>3861</v>
      </c>
      <c r="S624" s="0" t="s">
        <v>228</v>
      </c>
      <c r="T624" s="0" t="s">
        <v>228</v>
      </c>
      <c r="U624" s="0" t="s">
        <v>101</v>
      </c>
      <c r="V624" s="0" t="s">
        <v>228</v>
      </c>
      <c r="W624" s="0" t="s">
        <v>228</v>
      </c>
      <c r="X624" s="0" t="s">
        <v>3557</v>
      </c>
      <c r="Y624" s="0" t="s">
        <v>228</v>
      </c>
      <c r="Z624" s="0" t="s">
        <v>160</v>
      </c>
      <c r="AA624" s="0" t="s">
        <v>151</v>
      </c>
      <c r="AB624" s="0" t="s">
        <v>151</v>
      </c>
      <c r="AC624" s="0" t="s">
        <v>2317</v>
      </c>
      <c r="AD624" s="0" t="s">
        <v>2317</v>
      </c>
      <c r="AE624" s="0" t="s">
        <v>2318</v>
      </c>
      <c r="AF624" s="0" t="s">
        <v>3849</v>
      </c>
      <c r="AG624" s="0" t="s">
        <v>3850</v>
      </c>
      <c r="AH624" s="0" t="s">
        <v>3851</v>
      </c>
      <c r="AI624" s="0" t="s">
        <v>3862</v>
      </c>
      <c r="AJ624" s="0" t="s">
        <v>3579</v>
      </c>
      <c r="AK624" s="0" t="s">
        <v>3853</v>
      </c>
      <c r="AL624" s="0" t="s">
        <v>3581</v>
      </c>
      <c r="AM624" s="0" t="s">
        <v>3565</v>
      </c>
      <c r="AN624" s="0" t="s">
        <v>3628</v>
      </c>
      <c r="AO624" s="0" t="s">
        <v>3863</v>
      </c>
      <c r="AP624" s="0" t="s">
        <v>228</v>
      </c>
      <c r="AQ624" s="0" t="s">
        <v>228</v>
      </c>
      <c r="AR624" s="0" t="s">
        <v>228</v>
      </c>
      <c r="AS624" s="0" t="s">
        <v>228</v>
      </c>
      <c r="AT624" s="0" t="s">
        <v>228</v>
      </c>
      <c r="AU624" s="0" t="s">
        <v>228</v>
      </c>
      <c r="AV624" s="0" t="s">
        <v>228</v>
      </c>
      <c r="AW624" s="0" t="s">
        <v>228</v>
      </c>
      <c r="AX624" s="0" t="s">
        <v>228</v>
      </c>
      <c r="AY624" s="0" t="s">
        <v>228</v>
      </c>
      <c r="AZ624" s="0" t="s">
        <v>228</v>
      </c>
      <c r="BA624" s="0" t="s">
        <v>228</v>
      </c>
      <c r="BB624" s="0" t="s">
        <v>228</v>
      </c>
      <c r="BC624" s="0" t="s">
        <v>228</v>
      </c>
      <c r="BD624" s="0" t="s">
        <v>228</v>
      </c>
      <c r="BE624" s="0" t="s">
        <v>228</v>
      </c>
      <c r="BF624" s="0" t="s">
        <v>228</v>
      </c>
      <c r="BG624" s="0" t="s">
        <v>228</v>
      </c>
      <c r="BH624" s="0" t="s">
        <v>228</v>
      </c>
      <c r="BI624" s="0" t="s">
        <v>228</v>
      </c>
      <c r="BJ624" s="0" t="s">
        <v>228</v>
      </c>
      <c r="BK624" s="0" t="s">
        <v>228</v>
      </c>
      <c r="BL624" s="0" t="s">
        <v>228</v>
      </c>
      <c r="BM624" s="0" t="s">
        <v>228</v>
      </c>
      <c r="BN624" s="0" t="s">
        <v>228</v>
      </c>
      <c r="BO624" s="0" t="s">
        <v>228</v>
      </c>
      <c r="BP624" s="0" t="s">
        <v>228</v>
      </c>
      <c r="BQ624" s="0" t="s">
        <v>228</v>
      </c>
      <c r="BR624" s="0" t="s">
        <v>228</v>
      </c>
      <c r="BS624" s="0" t="s">
        <v>228</v>
      </c>
      <c r="BT624" s="0" t="s">
        <v>228</v>
      </c>
      <c r="BU624" s="0" t="s">
        <v>228</v>
      </c>
      <c r="BV624" s="0" t="s">
        <v>228</v>
      </c>
      <c r="BW624" s="0" t="s">
        <v>228</v>
      </c>
      <c r="BX624" s="0" t="s">
        <v>228</v>
      </c>
      <c r="BY624" s="0" t="s">
        <v>228</v>
      </c>
      <c r="BZ624" s="0" t="s">
        <v>228</v>
      </c>
      <c r="CA624" s="0" t="s">
        <v>228</v>
      </c>
      <c r="CB624" s="0" t="s">
        <v>228</v>
      </c>
      <c r="CC624" s="0" t="s">
        <v>228</v>
      </c>
      <c r="CD624" s="0" t="s">
        <v>228</v>
      </c>
      <c r="CE624" s="0" t="s">
        <v>228</v>
      </c>
      <c r="CF624" s="0" t="s">
        <v>228</v>
      </c>
      <c r="CG624" s="0" t="s">
        <v>228</v>
      </c>
      <c r="CH624" s="0" t="s">
        <v>228</v>
      </c>
      <c r="CI624" s="0" t="s">
        <v>228</v>
      </c>
      <c r="CJ624" s="0" t="s">
        <v>228</v>
      </c>
      <c r="CK624" s="0" t="s">
        <v>228</v>
      </c>
      <c r="CL624" s="0" t="s">
        <v>228</v>
      </c>
      <c r="CM624" s="0" t="s">
        <v>228</v>
      </c>
      <c r="CN624" s="0" t="s">
        <v>228</v>
      </c>
      <c r="CO624" s="0" t="s">
        <v>228</v>
      </c>
      <c r="CP624" s="0" t="s">
        <v>228</v>
      </c>
      <c r="CQ624" s="0" t="s">
        <v>228</v>
      </c>
      <c r="CR624" s="0" t="s">
        <v>228</v>
      </c>
      <c r="CS624" s="0" t="s">
        <v>228</v>
      </c>
      <c r="CT624" s="0" t="s">
        <v>3568</v>
      </c>
      <c r="CU624" s="0" t="s">
        <v>3864</v>
      </c>
      <c r="CV624" s="0" t="s">
        <v>418</v>
      </c>
      <c r="CW624" s="0" t="s">
        <v>3622</v>
      </c>
      <c r="CX624" s="0" t="s">
        <v>419</v>
      </c>
      <c r="CY624" s="0" t="s">
        <v>418</v>
      </c>
      <c r="CZ624" s="0" t="s">
        <v>3623</v>
      </c>
      <c r="DA624" s="0" t="s">
        <v>3624</v>
      </c>
      <c r="DB624" s="0" t="s">
        <v>3622</v>
      </c>
      <c r="DC624" s="0" t="s">
        <v>362</v>
      </c>
      <c r="DD624" s="0" t="s">
        <v>3572</v>
      </c>
      <c r="DE624" s="0" t="s">
        <v>3865</v>
      </c>
    </row>
    <row customHeight="1" ht="11.25">
      <c r="A625" s="1353" t="s">
        <v>228</v>
      </c>
      <c r="B625" s="0" t="s">
        <v>228</v>
      </c>
      <c r="C625" s="0" t="s">
        <v>228</v>
      </c>
      <c r="D625" s="0" t="s">
        <v>228</v>
      </c>
      <c r="E625" s="0" t="s">
        <v>228</v>
      </c>
      <c r="F625" s="0" t="s">
        <v>228</v>
      </c>
      <c r="G625" s="0" t="s">
        <v>228</v>
      </c>
      <c r="H625" s="0" t="s">
        <v>228</v>
      </c>
      <c r="I625" s="0" t="s">
        <v>3555</v>
      </c>
      <c r="J625" s="0" t="s">
        <v>228</v>
      </c>
      <c r="K625" s="0" t="s">
        <v>228</v>
      </c>
      <c r="L625" s="0" t="s">
        <v>228</v>
      </c>
      <c r="M625" s="0" t="s">
        <v>228</v>
      </c>
      <c r="N625" s="0" t="s">
        <v>228</v>
      </c>
      <c r="O625" s="0" t="s">
        <v>228</v>
      </c>
      <c r="P625" s="0" t="s">
        <v>228</v>
      </c>
      <c r="Q625" s="0" t="s">
        <v>228</v>
      </c>
      <c r="R625" s="0" t="s">
        <v>4233</v>
      </c>
      <c r="S625" s="0" t="s">
        <v>228</v>
      </c>
      <c r="T625" s="0" t="s">
        <v>228</v>
      </c>
      <c r="U625" s="0" t="s">
        <v>101</v>
      </c>
      <c r="V625" s="0" t="s">
        <v>228</v>
      </c>
      <c r="W625" s="0" t="s">
        <v>228</v>
      </c>
      <c r="X625" s="0" t="s">
        <v>3661</v>
      </c>
      <c r="Y625" s="0" t="s">
        <v>228</v>
      </c>
      <c r="Z625" s="0" t="s">
        <v>151</v>
      </c>
      <c r="AA625" s="0" t="s">
        <v>151</v>
      </c>
      <c r="AB625" s="0" t="s">
        <v>160</v>
      </c>
      <c r="AC625" s="0" t="s">
        <v>2317</v>
      </c>
      <c r="AD625" s="0" t="s">
        <v>2317</v>
      </c>
      <c r="AE625" s="0" t="s">
        <v>2318</v>
      </c>
      <c r="AF625" s="0" t="s">
        <v>3849</v>
      </c>
      <c r="AG625" s="0" t="s">
        <v>3850</v>
      </c>
      <c r="AH625" s="0" t="s">
        <v>3651</v>
      </c>
      <c r="AI625" s="0" t="s">
        <v>3651</v>
      </c>
      <c r="AJ625" s="0" t="s">
        <v>228</v>
      </c>
      <c r="AK625" s="0" t="s">
        <v>228</v>
      </c>
      <c r="AL625" s="0" t="s">
        <v>228</v>
      </c>
      <c r="AM625" s="0" t="s">
        <v>228</v>
      </c>
      <c r="AN625" s="0" t="s">
        <v>228</v>
      </c>
      <c r="AO625" s="0" t="s">
        <v>228</v>
      </c>
      <c r="AP625" s="0" t="s">
        <v>228</v>
      </c>
      <c r="AQ625" s="0" t="s">
        <v>228</v>
      </c>
      <c r="AR625" s="0" t="s">
        <v>228</v>
      </c>
      <c r="AS625" s="0" t="s">
        <v>228</v>
      </c>
      <c r="AT625" s="0" t="s">
        <v>228</v>
      </c>
      <c r="AU625" s="0" t="s">
        <v>228</v>
      </c>
      <c r="AV625" s="0" t="s">
        <v>228</v>
      </c>
      <c r="AW625" s="0" t="s">
        <v>228</v>
      </c>
      <c r="AX625" s="0" t="s">
        <v>228</v>
      </c>
      <c r="AY625" s="0" t="s">
        <v>228</v>
      </c>
      <c r="AZ625" s="0" t="s">
        <v>228</v>
      </c>
      <c r="BA625" s="0" t="s">
        <v>228</v>
      </c>
      <c r="BB625" s="0" t="s">
        <v>228</v>
      </c>
      <c r="BC625" s="0" t="s">
        <v>228</v>
      </c>
      <c r="BD625" s="0" t="s">
        <v>228</v>
      </c>
      <c r="BE625" s="0" t="s">
        <v>3627</v>
      </c>
      <c r="BF625" s="0" t="s">
        <v>3619</v>
      </c>
      <c r="BG625" s="0" t="s">
        <v>111</v>
      </c>
      <c r="BH625" s="0" t="s">
        <v>3665</v>
      </c>
      <c r="BI625" s="0" t="s">
        <v>122</v>
      </c>
      <c r="BJ625" s="0" t="s">
        <v>228</v>
      </c>
      <c r="BK625" s="0" t="s">
        <v>3684</v>
      </c>
      <c r="BL625" s="0" t="s">
        <v>2317</v>
      </c>
      <c r="BM625" s="0" t="s">
        <v>2317</v>
      </c>
      <c r="BN625" s="0" t="s">
        <v>3740</v>
      </c>
      <c r="BO625" s="0" t="s">
        <v>3849</v>
      </c>
      <c r="BP625" s="0" t="s">
        <v>4234</v>
      </c>
      <c r="BQ625" s="0" t="s">
        <v>3651</v>
      </c>
      <c r="BR625" s="0" t="s">
        <v>3651</v>
      </c>
      <c r="BS625" s="0" t="s">
        <v>228</v>
      </c>
      <c r="BT625" s="0" t="s">
        <v>3727</v>
      </c>
      <c r="BU625" s="0" t="s">
        <v>4235</v>
      </c>
      <c r="BV625" s="0" t="s">
        <v>4235</v>
      </c>
      <c r="BW625" s="0" t="s">
        <v>3674</v>
      </c>
      <c r="BX625" s="0" t="s">
        <v>3674</v>
      </c>
      <c r="BY625" s="0" t="s">
        <v>3674</v>
      </c>
      <c r="BZ625" s="0" t="s">
        <v>3674</v>
      </c>
      <c r="CA625" s="0" t="s">
        <v>3674</v>
      </c>
      <c r="CB625" s="0" t="s">
        <v>228</v>
      </c>
      <c r="CC625" s="0" t="s">
        <v>228</v>
      </c>
      <c r="CD625" s="0" t="s">
        <v>228</v>
      </c>
      <c r="CE625" s="0" t="s">
        <v>228</v>
      </c>
      <c r="CF625" s="0" t="s">
        <v>228</v>
      </c>
      <c r="CG625" s="0" t="s">
        <v>3674</v>
      </c>
      <c r="CH625" s="0" t="s">
        <v>228</v>
      </c>
      <c r="CI625" s="0" t="s">
        <v>228</v>
      </c>
      <c r="CJ625" s="0" t="s">
        <v>228</v>
      </c>
      <c r="CK625" s="0" t="s">
        <v>228</v>
      </c>
      <c r="CL625" s="0" t="s">
        <v>228</v>
      </c>
      <c r="CM625" s="0" t="s">
        <v>4235</v>
      </c>
      <c r="CN625" s="0" t="s">
        <v>4235</v>
      </c>
      <c r="CO625" s="0" t="s">
        <v>228</v>
      </c>
      <c r="CP625" s="0" t="s">
        <v>228</v>
      </c>
      <c r="CQ625" s="0" t="s">
        <v>228</v>
      </c>
      <c r="CR625" s="0" t="s">
        <v>228</v>
      </c>
      <c r="CS625" s="0" t="s">
        <v>3743</v>
      </c>
      <c r="CT625" s="0" t="s">
        <v>3568</v>
      </c>
      <c r="CU625" s="0" t="s">
        <v>3569</v>
      </c>
      <c r="CV625" s="0" t="s">
        <v>418</v>
      </c>
      <c r="CW625" s="0" t="s">
        <v>3622</v>
      </c>
      <c r="CX625" s="0" t="s">
        <v>419</v>
      </c>
      <c r="CY625" s="0" t="s">
        <v>418</v>
      </c>
      <c r="CZ625" s="0" t="s">
        <v>3623</v>
      </c>
      <c r="DA625" s="0" t="s">
        <v>3624</v>
      </c>
      <c r="DB625" s="0" t="s">
        <v>3622</v>
      </c>
      <c r="DC625" s="0" t="s">
        <v>362</v>
      </c>
      <c r="DD625" s="0" t="s">
        <v>3572</v>
      </c>
      <c r="DE625" s="0" t="s">
        <v>4236</v>
      </c>
    </row>
    <row customHeight="1" ht="11.25">
      <c r="A626" s="1353" t="s">
        <v>228</v>
      </c>
      <c r="B626" s="0" t="s">
        <v>228</v>
      </c>
      <c r="C626" s="0" t="s">
        <v>228</v>
      </c>
      <c r="D626" s="0" t="s">
        <v>228</v>
      </c>
      <c r="E626" s="0" t="s">
        <v>228</v>
      </c>
      <c r="F626" s="0" t="s">
        <v>228</v>
      </c>
      <c r="G626" s="0" t="s">
        <v>228</v>
      </c>
      <c r="H626" s="0" t="s">
        <v>228</v>
      </c>
      <c r="I626" s="0" t="s">
        <v>3555</v>
      </c>
      <c r="J626" s="0" t="s">
        <v>228</v>
      </c>
      <c r="K626" s="0" t="s">
        <v>228</v>
      </c>
      <c r="L626" s="0" t="s">
        <v>228</v>
      </c>
      <c r="M626" s="0" t="s">
        <v>228</v>
      </c>
      <c r="N626" s="0" t="s">
        <v>228</v>
      </c>
      <c r="O626" s="0" t="s">
        <v>228</v>
      </c>
      <c r="P626" s="0" t="s">
        <v>228</v>
      </c>
      <c r="Q626" s="0" t="s">
        <v>228</v>
      </c>
      <c r="R626" s="0" t="s">
        <v>3648</v>
      </c>
      <c r="S626" s="0" t="s">
        <v>228</v>
      </c>
      <c r="T626" s="0" t="s">
        <v>228</v>
      </c>
      <c r="U626" s="0" t="s">
        <v>101</v>
      </c>
      <c r="V626" s="0" t="s">
        <v>228</v>
      </c>
      <c r="W626" s="0" t="s">
        <v>228</v>
      </c>
      <c r="X626" s="0" t="s">
        <v>3557</v>
      </c>
      <c r="Y626" s="0" t="s">
        <v>228</v>
      </c>
      <c r="Z626" s="0" t="s">
        <v>160</v>
      </c>
      <c r="AA626" s="0" t="s">
        <v>151</v>
      </c>
      <c r="AB626" s="0" t="s">
        <v>151</v>
      </c>
      <c r="AC626" s="0" t="s">
        <v>2317</v>
      </c>
      <c r="AD626" s="0" t="s">
        <v>2317</v>
      </c>
      <c r="AE626" s="0" t="s">
        <v>2318</v>
      </c>
      <c r="AF626" s="0" t="s">
        <v>4245</v>
      </c>
      <c r="AG626" s="0" t="s">
        <v>4246</v>
      </c>
      <c r="AH626" s="0" t="s">
        <v>3761</v>
      </c>
      <c r="AI626" s="0" t="s">
        <v>3626</v>
      </c>
      <c r="AJ626" s="0" t="s">
        <v>3579</v>
      </c>
      <c r="AK626" s="0" t="s">
        <v>3619</v>
      </c>
      <c r="AL626" s="0" t="s">
        <v>3581</v>
      </c>
      <c r="AM626" s="0" t="s">
        <v>3565</v>
      </c>
      <c r="AN626" s="0" t="s">
        <v>3628</v>
      </c>
      <c r="AO626" s="0" t="s">
        <v>3863</v>
      </c>
      <c r="AP626" s="0" t="s">
        <v>228</v>
      </c>
      <c r="AQ626" s="0" t="s">
        <v>228</v>
      </c>
      <c r="AR626" s="0" t="s">
        <v>228</v>
      </c>
      <c r="AS626" s="0" t="s">
        <v>228</v>
      </c>
      <c r="AT626" s="0" t="s">
        <v>228</v>
      </c>
      <c r="AU626" s="0" t="s">
        <v>228</v>
      </c>
      <c r="AV626" s="0" t="s">
        <v>228</v>
      </c>
      <c r="AW626" s="0" t="s">
        <v>228</v>
      </c>
      <c r="AX626" s="0" t="s">
        <v>228</v>
      </c>
      <c r="AY626" s="0" t="s">
        <v>228</v>
      </c>
      <c r="AZ626" s="0" t="s">
        <v>228</v>
      </c>
      <c r="BA626" s="0" t="s">
        <v>228</v>
      </c>
      <c r="BB626" s="0" t="s">
        <v>228</v>
      </c>
      <c r="BC626" s="0" t="s">
        <v>228</v>
      </c>
      <c r="BD626" s="0" t="s">
        <v>228</v>
      </c>
      <c r="BE626" s="0" t="s">
        <v>228</v>
      </c>
      <c r="BF626" s="0" t="s">
        <v>228</v>
      </c>
      <c r="BG626" s="0" t="s">
        <v>228</v>
      </c>
      <c r="BH626" s="0" t="s">
        <v>228</v>
      </c>
      <c r="BI626" s="0" t="s">
        <v>228</v>
      </c>
      <c r="BJ626" s="0" t="s">
        <v>228</v>
      </c>
      <c r="BK626" s="0" t="s">
        <v>228</v>
      </c>
      <c r="BL626" s="0" t="s">
        <v>228</v>
      </c>
      <c r="BM626" s="0" t="s">
        <v>228</v>
      </c>
      <c r="BN626" s="0" t="s">
        <v>228</v>
      </c>
      <c r="BO626" s="0" t="s">
        <v>228</v>
      </c>
      <c r="BP626" s="0" t="s">
        <v>228</v>
      </c>
      <c r="BQ626" s="0" t="s">
        <v>228</v>
      </c>
      <c r="BR626" s="0" t="s">
        <v>228</v>
      </c>
      <c r="BS626" s="0" t="s">
        <v>228</v>
      </c>
      <c r="BT626" s="0" t="s">
        <v>228</v>
      </c>
      <c r="BU626" s="0" t="s">
        <v>228</v>
      </c>
      <c r="BV626" s="0" t="s">
        <v>228</v>
      </c>
      <c r="BW626" s="0" t="s">
        <v>228</v>
      </c>
      <c r="BX626" s="0" t="s">
        <v>228</v>
      </c>
      <c r="BY626" s="0" t="s">
        <v>228</v>
      </c>
      <c r="BZ626" s="0" t="s">
        <v>228</v>
      </c>
      <c r="CA626" s="0" t="s">
        <v>228</v>
      </c>
      <c r="CB626" s="0" t="s">
        <v>228</v>
      </c>
      <c r="CC626" s="0" t="s">
        <v>228</v>
      </c>
      <c r="CD626" s="0" t="s">
        <v>228</v>
      </c>
      <c r="CE626" s="0" t="s">
        <v>228</v>
      </c>
      <c r="CF626" s="0" t="s">
        <v>228</v>
      </c>
      <c r="CG626" s="0" t="s">
        <v>228</v>
      </c>
      <c r="CH626" s="0" t="s">
        <v>228</v>
      </c>
      <c r="CI626" s="0" t="s">
        <v>228</v>
      </c>
      <c r="CJ626" s="0" t="s">
        <v>228</v>
      </c>
      <c r="CK626" s="0" t="s">
        <v>228</v>
      </c>
      <c r="CL626" s="0" t="s">
        <v>228</v>
      </c>
      <c r="CM626" s="0" t="s">
        <v>228</v>
      </c>
      <c r="CN626" s="0" t="s">
        <v>228</v>
      </c>
      <c r="CO626" s="0" t="s">
        <v>228</v>
      </c>
      <c r="CP626" s="0" t="s">
        <v>228</v>
      </c>
      <c r="CQ626" s="0" t="s">
        <v>228</v>
      </c>
      <c r="CR626" s="0" t="s">
        <v>228</v>
      </c>
      <c r="CS626" s="0" t="s">
        <v>228</v>
      </c>
      <c r="CT626" s="0" t="s">
        <v>3568</v>
      </c>
      <c r="CU626" s="0" t="s">
        <v>3569</v>
      </c>
      <c r="CV626" s="0" t="s">
        <v>418</v>
      </c>
      <c r="CW626" s="0" t="s">
        <v>3622</v>
      </c>
      <c r="CX626" s="0" t="s">
        <v>419</v>
      </c>
      <c r="CY626" s="0" t="s">
        <v>418</v>
      </c>
      <c r="CZ626" s="0" t="s">
        <v>3623</v>
      </c>
      <c r="DA626" s="0" t="s">
        <v>3624</v>
      </c>
      <c r="DB626" s="0" t="s">
        <v>3622</v>
      </c>
      <c r="DC626" s="0" t="s">
        <v>362</v>
      </c>
      <c r="DD626" s="0" t="s">
        <v>3572</v>
      </c>
      <c r="DE626" s="0" t="s">
        <v>4247</v>
      </c>
    </row>
    <row customHeight="1" ht="11.25">
      <c r="A627" s="1353" t="s">
        <v>228</v>
      </c>
      <c r="B627" s="0" t="s">
        <v>228</v>
      </c>
      <c r="C627" s="0" t="s">
        <v>228</v>
      </c>
      <c r="D627" s="0" t="s">
        <v>228</v>
      </c>
      <c r="E627" s="0" t="s">
        <v>228</v>
      </c>
      <c r="F627" s="0" t="s">
        <v>228</v>
      </c>
      <c r="G627" s="0" t="s">
        <v>228</v>
      </c>
      <c r="H627" s="0" t="s">
        <v>228</v>
      </c>
      <c r="I627" s="0" t="s">
        <v>3555</v>
      </c>
      <c r="J627" s="0" t="s">
        <v>228</v>
      </c>
      <c r="K627" s="0" t="s">
        <v>228</v>
      </c>
      <c r="L627" s="0" t="s">
        <v>228</v>
      </c>
      <c r="M627" s="0" t="s">
        <v>228</v>
      </c>
      <c r="N627" s="0" t="s">
        <v>228</v>
      </c>
      <c r="O627" s="0" t="s">
        <v>228</v>
      </c>
      <c r="P627" s="0" t="s">
        <v>228</v>
      </c>
      <c r="Q627" s="0" t="s">
        <v>228</v>
      </c>
      <c r="R627" s="0" t="s">
        <v>4506</v>
      </c>
      <c r="S627" s="0" t="s">
        <v>228</v>
      </c>
      <c r="T627" s="0" t="s">
        <v>228</v>
      </c>
      <c r="U627" s="0" t="s">
        <v>101</v>
      </c>
      <c r="V627" s="0" t="s">
        <v>228</v>
      </c>
      <c r="W627" s="0" t="s">
        <v>228</v>
      </c>
      <c r="X627" s="0" t="s">
        <v>3661</v>
      </c>
      <c r="Y627" s="0" t="s">
        <v>228</v>
      </c>
      <c r="Z627" s="0" t="s">
        <v>151</v>
      </c>
      <c r="AA627" s="0" t="s">
        <v>151</v>
      </c>
      <c r="AB627" s="0" t="s">
        <v>160</v>
      </c>
      <c r="AC627" s="0" t="s">
        <v>2317</v>
      </c>
      <c r="AD627" s="0" t="s">
        <v>2317</v>
      </c>
      <c r="AE627" s="0" t="s">
        <v>2318</v>
      </c>
      <c r="AF627" s="0" t="s">
        <v>4245</v>
      </c>
      <c r="AG627" s="0" t="s">
        <v>4246</v>
      </c>
      <c r="AH627" s="0" t="s">
        <v>3651</v>
      </c>
      <c r="AI627" s="0" t="s">
        <v>3651</v>
      </c>
      <c r="AJ627" s="0" t="s">
        <v>228</v>
      </c>
      <c r="AK627" s="0" t="s">
        <v>228</v>
      </c>
      <c r="AL627" s="0" t="s">
        <v>228</v>
      </c>
      <c r="AM627" s="0" t="s">
        <v>228</v>
      </c>
      <c r="AN627" s="0" t="s">
        <v>228</v>
      </c>
      <c r="AO627" s="0" t="s">
        <v>228</v>
      </c>
      <c r="AP627" s="0" t="s">
        <v>228</v>
      </c>
      <c r="AQ627" s="0" t="s">
        <v>228</v>
      </c>
      <c r="AR627" s="0" t="s">
        <v>228</v>
      </c>
      <c r="AS627" s="0" t="s">
        <v>228</v>
      </c>
      <c r="AT627" s="0" t="s">
        <v>228</v>
      </c>
      <c r="AU627" s="0" t="s">
        <v>228</v>
      </c>
      <c r="AV627" s="0" t="s">
        <v>228</v>
      </c>
      <c r="AW627" s="0" t="s">
        <v>228</v>
      </c>
      <c r="AX627" s="0" t="s">
        <v>228</v>
      </c>
      <c r="AY627" s="0" t="s">
        <v>228</v>
      </c>
      <c r="AZ627" s="0" t="s">
        <v>228</v>
      </c>
      <c r="BA627" s="0" t="s">
        <v>228</v>
      </c>
      <c r="BB627" s="0" t="s">
        <v>228</v>
      </c>
      <c r="BC627" s="0" t="s">
        <v>228</v>
      </c>
      <c r="BD627" s="0" t="s">
        <v>228</v>
      </c>
      <c r="BE627" s="0" t="s">
        <v>3652</v>
      </c>
      <c r="BF627" s="0" t="s">
        <v>3619</v>
      </c>
      <c r="BG627" s="0" t="s">
        <v>111</v>
      </c>
      <c r="BH627" s="0" t="s">
        <v>3665</v>
      </c>
      <c r="BI627" s="0" t="s">
        <v>122</v>
      </c>
      <c r="BJ627" s="0" t="s">
        <v>228</v>
      </c>
      <c r="BK627" s="0" t="s">
        <v>3684</v>
      </c>
      <c r="BL627" s="0" t="s">
        <v>2317</v>
      </c>
      <c r="BM627" s="0" t="s">
        <v>2317</v>
      </c>
      <c r="BN627" s="0" t="s">
        <v>3740</v>
      </c>
      <c r="BO627" s="0" t="s">
        <v>4245</v>
      </c>
      <c r="BP627" s="0" t="s">
        <v>4507</v>
      </c>
      <c r="BQ627" s="0" t="s">
        <v>3651</v>
      </c>
      <c r="BR627" s="0" t="s">
        <v>3651</v>
      </c>
      <c r="BS627" s="0" t="s">
        <v>228</v>
      </c>
      <c r="BT627" s="0" t="s">
        <v>3727</v>
      </c>
      <c r="BU627" s="0" t="s">
        <v>4508</v>
      </c>
      <c r="BV627" s="0" t="s">
        <v>4508</v>
      </c>
      <c r="BW627" s="0" t="s">
        <v>3674</v>
      </c>
      <c r="BX627" s="0" t="s">
        <v>3674</v>
      </c>
      <c r="BY627" s="0" t="s">
        <v>3674</v>
      </c>
      <c r="BZ627" s="0" t="s">
        <v>3674</v>
      </c>
      <c r="CA627" s="0" t="s">
        <v>3674</v>
      </c>
      <c r="CB627" s="0" t="s">
        <v>228</v>
      </c>
      <c r="CC627" s="0" t="s">
        <v>228</v>
      </c>
      <c r="CD627" s="0" t="s">
        <v>228</v>
      </c>
      <c r="CE627" s="0" t="s">
        <v>228</v>
      </c>
      <c r="CF627" s="0" t="s">
        <v>228</v>
      </c>
      <c r="CG627" s="0" t="s">
        <v>3674</v>
      </c>
      <c r="CH627" s="0" t="s">
        <v>228</v>
      </c>
      <c r="CI627" s="0" t="s">
        <v>228</v>
      </c>
      <c r="CJ627" s="0" t="s">
        <v>228</v>
      </c>
      <c r="CK627" s="0" t="s">
        <v>228</v>
      </c>
      <c r="CL627" s="0" t="s">
        <v>228</v>
      </c>
      <c r="CM627" s="0" t="s">
        <v>4508</v>
      </c>
      <c r="CN627" s="0" t="s">
        <v>4508</v>
      </c>
      <c r="CO627" s="0" t="s">
        <v>228</v>
      </c>
      <c r="CP627" s="0" t="s">
        <v>228</v>
      </c>
      <c r="CQ627" s="0" t="s">
        <v>228</v>
      </c>
      <c r="CR627" s="0" t="s">
        <v>228</v>
      </c>
      <c r="CS627" s="0" t="s">
        <v>3743</v>
      </c>
      <c r="CT627" s="0" t="s">
        <v>3568</v>
      </c>
      <c r="CU627" s="0" t="s">
        <v>3569</v>
      </c>
      <c r="CV627" s="0" t="s">
        <v>418</v>
      </c>
      <c r="CW627" s="0" t="s">
        <v>3622</v>
      </c>
      <c r="CX627" s="0" t="s">
        <v>419</v>
      </c>
      <c r="CY627" s="0" t="s">
        <v>418</v>
      </c>
      <c r="CZ627" s="0" t="s">
        <v>3623</v>
      </c>
      <c r="DA627" s="0" t="s">
        <v>3624</v>
      </c>
      <c r="DB627" s="0" t="s">
        <v>3622</v>
      </c>
      <c r="DC627" s="0" t="s">
        <v>362</v>
      </c>
      <c r="DD627" s="0" t="s">
        <v>3572</v>
      </c>
      <c r="DE627" s="0" t="s">
        <v>4509</v>
      </c>
    </row>
    <row customHeight="1" ht="11.25">
      <c r="A628" s="1353" t="s">
        <v>228</v>
      </c>
      <c r="B628" s="0" t="s">
        <v>228</v>
      </c>
      <c r="C628" s="0" t="s">
        <v>228</v>
      </c>
      <c r="D628" s="0" t="s">
        <v>228</v>
      </c>
      <c r="E628" s="0" t="s">
        <v>228</v>
      </c>
      <c r="F628" s="0" t="s">
        <v>228</v>
      </c>
      <c r="G628" s="0" t="s">
        <v>228</v>
      </c>
      <c r="H628" s="0" t="s">
        <v>228</v>
      </c>
      <c r="I628" s="0" t="s">
        <v>3555</v>
      </c>
      <c r="J628" s="0" t="s">
        <v>228</v>
      </c>
      <c r="K628" s="0" t="s">
        <v>228</v>
      </c>
      <c r="L628" s="0" t="s">
        <v>228</v>
      </c>
      <c r="M628" s="0" t="s">
        <v>228</v>
      </c>
      <c r="N628" s="0" t="s">
        <v>228</v>
      </c>
      <c r="O628" s="0" t="s">
        <v>228</v>
      </c>
      <c r="P628" s="0" t="s">
        <v>228</v>
      </c>
      <c r="Q628" s="0" t="s">
        <v>228</v>
      </c>
      <c r="R628" s="0" t="s">
        <v>3574</v>
      </c>
      <c r="S628" s="0" t="s">
        <v>228</v>
      </c>
      <c r="T628" s="0" t="s">
        <v>228</v>
      </c>
      <c r="U628" s="0" t="s">
        <v>101</v>
      </c>
      <c r="V628" s="0" t="s">
        <v>228</v>
      </c>
      <c r="W628" s="0" t="s">
        <v>228</v>
      </c>
      <c r="X628" s="0" t="s">
        <v>3557</v>
      </c>
      <c r="Y628" s="0" t="s">
        <v>228</v>
      </c>
      <c r="Z628" s="0" t="s">
        <v>160</v>
      </c>
      <c r="AA628" s="0" t="s">
        <v>151</v>
      </c>
      <c r="AB628" s="0" t="s">
        <v>151</v>
      </c>
      <c r="AC628" s="0" t="s">
        <v>2311</v>
      </c>
      <c r="AD628" s="0" t="s">
        <v>2311</v>
      </c>
      <c r="AE628" s="0" t="s">
        <v>2312</v>
      </c>
      <c r="AF628" s="0" t="s">
        <v>3575</v>
      </c>
      <c r="AG628" s="0" t="s">
        <v>3576</v>
      </c>
      <c r="AH628" s="0" t="s">
        <v>3577</v>
      </c>
      <c r="AI628" s="0" t="s">
        <v>3578</v>
      </c>
      <c r="AJ628" s="0" t="s">
        <v>3579</v>
      </c>
      <c r="AK628" s="0" t="s">
        <v>3580</v>
      </c>
      <c r="AL628" s="0" t="s">
        <v>3581</v>
      </c>
      <c r="AM628" s="0" t="s">
        <v>3565</v>
      </c>
      <c r="AN628" s="0" t="s">
        <v>3582</v>
      </c>
      <c r="AO628" s="0" t="s">
        <v>3583</v>
      </c>
      <c r="AP628" s="0" t="s">
        <v>228</v>
      </c>
      <c r="AQ628" s="0" t="s">
        <v>228</v>
      </c>
      <c r="AR628" s="0" t="s">
        <v>228</v>
      </c>
      <c r="AS628" s="0" t="s">
        <v>228</v>
      </c>
      <c r="AT628" s="0" t="s">
        <v>228</v>
      </c>
      <c r="AU628" s="0" t="s">
        <v>228</v>
      </c>
      <c r="AV628" s="0" t="s">
        <v>228</v>
      </c>
      <c r="AW628" s="0" t="s">
        <v>228</v>
      </c>
      <c r="AX628" s="0" t="s">
        <v>228</v>
      </c>
      <c r="AY628" s="0" t="s">
        <v>228</v>
      </c>
      <c r="AZ628" s="0" t="s">
        <v>228</v>
      </c>
      <c r="BA628" s="0" t="s">
        <v>228</v>
      </c>
      <c r="BB628" s="0" t="s">
        <v>228</v>
      </c>
      <c r="BC628" s="0" t="s">
        <v>228</v>
      </c>
      <c r="BD628" s="0" t="s">
        <v>228</v>
      </c>
      <c r="BE628" s="0" t="s">
        <v>228</v>
      </c>
      <c r="BF628" s="0" t="s">
        <v>228</v>
      </c>
      <c r="BG628" s="0" t="s">
        <v>228</v>
      </c>
      <c r="BH628" s="0" t="s">
        <v>228</v>
      </c>
      <c r="BI628" s="0" t="s">
        <v>228</v>
      </c>
      <c r="BJ628" s="0" t="s">
        <v>228</v>
      </c>
      <c r="BK628" s="0" t="s">
        <v>228</v>
      </c>
      <c r="BL628" s="0" t="s">
        <v>228</v>
      </c>
      <c r="BM628" s="0" t="s">
        <v>228</v>
      </c>
      <c r="BN628" s="0" t="s">
        <v>228</v>
      </c>
      <c r="BO628" s="0" t="s">
        <v>228</v>
      </c>
      <c r="BP628" s="0" t="s">
        <v>228</v>
      </c>
      <c r="BQ628" s="0" t="s">
        <v>228</v>
      </c>
      <c r="BR628" s="0" t="s">
        <v>228</v>
      </c>
      <c r="BS628" s="0" t="s">
        <v>228</v>
      </c>
      <c r="BT628" s="0" t="s">
        <v>228</v>
      </c>
      <c r="BU628" s="0" t="s">
        <v>228</v>
      </c>
      <c r="BV628" s="0" t="s">
        <v>228</v>
      </c>
      <c r="BW628" s="0" t="s">
        <v>228</v>
      </c>
      <c r="BX628" s="0" t="s">
        <v>228</v>
      </c>
      <c r="BY628" s="0" t="s">
        <v>228</v>
      </c>
      <c r="BZ628" s="0" t="s">
        <v>228</v>
      </c>
      <c r="CA628" s="0" t="s">
        <v>228</v>
      </c>
      <c r="CB628" s="0" t="s">
        <v>228</v>
      </c>
      <c r="CC628" s="0" t="s">
        <v>228</v>
      </c>
      <c r="CD628" s="0" t="s">
        <v>228</v>
      </c>
      <c r="CE628" s="0" t="s">
        <v>228</v>
      </c>
      <c r="CF628" s="0" t="s">
        <v>228</v>
      </c>
      <c r="CG628" s="0" t="s">
        <v>228</v>
      </c>
      <c r="CH628" s="0" t="s">
        <v>228</v>
      </c>
      <c r="CI628" s="0" t="s">
        <v>228</v>
      </c>
      <c r="CJ628" s="0" t="s">
        <v>228</v>
      </c>
      <c r="CK628" s="0" t="s">
        <v>228</v>
      </c>
      <c r="CL628" s="0" t="s">
        <v>228</v>
      </c>
      <c r="CM628" s="0" t="s">
        <v>228</v>
      </c>
      <c r="CN628" s="0" t="s">
        <v>228</v>
      </c>
      <c r="CO628" s="0" t="s">
        <v>228</v>
      </c>
      <c r="CP628" s="0" t="s">
        <v>228</v>
      </c>
      <c r="CQ628" s="0" t="s">
        <v>228</v>
      </c>
      <c r="CR628" s="0" t="s">
        <v>228</v>
      </c>
      <c r="CS628" s="0" t="s">
        <v>228</v>
      </c>
      <c r="CT628" s="0" t="s">
        <v>3568</v>
      </c>
      <c r="CU628" s="0" t="s">
        <v>3569</v>
      </c>
      <c r="CV628" s="0" t="s">
        <v>418</v>
      </c>
      <c r="CW628" s="0" t="s">
        <v>3584</v>
      </c>
      <c r="CX628" s="0" t="s">
        <v>419</v>
      </c>
      <c r="CY628" s="0" t="s">
        <v>418</v>
      </c>
      <c r="CZ628" s="0" t="s">
        <v>3585</v>
      </c>
      <c r="DA628" s="0" t="s">
        <v>3586</v>
      </c>
      <c r="DB628" s="0" t="s">
        <v>3584</v>
      </c>
      <c r="DC628" s="0" t="s">
        <v>362</v>
      </c>
      <c r="DD628" s="0" t="s">
        <v>3572</v>
      </c>
      <c r="DE628" s="0" t="s">
        <v>3587</v>
      </c>
    </row>
    <row customHeight="1" ht="11.25">
      <c r="A629" s="1353" t="s">
        <v>228</v>
      </c>
      <c r="B629" s="0" t="s">
        <v>228</v>
      </c>
      <c r="C629" s="0" t="s">
        <v>228</v>
      </c>
      <c r="D629" s="0" t="s">
        <v>228</v>
      </c>
      <c r="E629" s="0" t="s">
        <v>228</v>
      </c>
      <c r="F629" s="0" t="s">
        <v>228</v>
      </c>
      <c r="G629" s="0" t="s">
        <v>228</v>
      </c>
      <c r="H629" s="0" t="s">
        <v>228</v>
      </c>
      <c r="I629" s="0" t="s">
        <v>3555</v>
      </c>
      <c r="J629" s="0" t="s">
        <v>228</v>
      </c>
      <c r="K629" s="0" t="s">
        <v>228</v>
      </c>
      <c r="L629" s="0" t="s">
        <v>228</v>
      </c>
      <c r="M629" s="0" t="s">
        <v>228</v>
      </c>
      <c r="N629" s="0" t="s">
        <v>228</v>
      </c>
      <c r="O629" s="0" t="s">
        <v>228</v>
      </c>
      <c r="P629" s="0" t="s">
        <v>228</v>
      </c>
      <c r="Q629" s="0" t="s">
        <v>228</v>
      </c>
      <c r="R629" s="0" t="s">
        <v>4757</v>
      </c>
      <c r="S629" s="0" t="s">
        <v>228</v>
      </c>
      <c r="T629" s="0" t="s">
        <v>228</v>
      </c>
      <c r="U629" s="0" t="s">
        <v>101</v>
      </c>
      <c r="V629" s="0" t="s">
        <v>228</v>
      </c>
      <c r="W629" s="0" t="s">
        <v>228</v>
      </c>
      <c r="X629" s="0" t="s">
        <v>3661</v>
      </c>
      <c r="Y629" s="0" t="s">
        <v>228</v>
      </c>
      <c r="Z629" s="0" t="s">
        <v>151</v>
      </c>
      <c r="AA629" s="0" t="s">
        <v>151</v>
      </c>
      <c r="AB629" s="0" t="s">
        <v>160</v>
      </c>
      <c r="AC629" s="0" t="s">
        <v>2317</v>
      </c>
      <c r="AD629" s="0" t="s">
        <v>2317</v>
      </c>
      <c r="AE629" s="0" t="s">
        <v>2318</v>
      </c>
      <c r="AF629" s="0" t="s">
        <v>3913</v>
      </c>
      <c r="AG629" s="0" t="s">
        <v>3914</v>
      </c>
      <c r="AH629" s="0" t="s">
        <v>3651</v>
      </c>
      <c r="AI629" s="0" t="s">
        <v>3651</v>
      </c>
      <c r="AJ629" s="0" t="s">
        <v>228</v>
      </c>
      <c r="AK629" s="0" t="s">
        <v>228</v>
      </c>
      <c r="AL629" s="0" t="s">
        <v>228</v>
      </c>
      <c r="AM629" s="0" t="s">
        <v>228</v>
      </c>
      <c r="AN629" s="0" t="s">
        <v>228</v>
      </c>
      <c r="AO629" s="0" t="s">
        <v>228</v>
      </c>
      <c r="AP629" s="0" t="s">
        <v>228</v>
      </c>
      <c r="AQ629" s="0" t="s">
        <v>228</v>
      </c>
      <c r="AR629" s="0" t="s">
        <v>228</v>
      </c>
      <c r="AS629" s="0" t="s">
        <v>228</v>
      </c>
      <c r="AT629" s="0" t="s">
        <v>228</v>
      </c>
      <c r="AU629" s="0" t="s">
        <v>228</v>
      </c>
      <c r="AV629" s="0" t="s">
        <v>228</v>
      </c>
      <c r="AW629" s="0" t="s">
        <v>228</v>
      </c>
      <c r="AX629" s="0" t="s">
        <v>228</v>
      </c>
      <c r="AY629" s="0" t="s">
        <v>228</v>
      </c>
      <c r="AZ629" s="0" t="s">
        <v>228</v>
      </c>
      <c r="BA629" s="0" t="s">
        <v>228</v>
      </c>
      <c r="BB629" s="0" t="s">
        <v>228</v>
      </c>
      <c r="BC629" s="0" t="s">
        <v>228</v>
      </c>
      <c r="BD629" s="0" t="s">
        <v>228</v>
      </c>
      <c r="BE629" s="0" t="s">
        <v>3579</v>
      </c>
      <c r="BF629" s="0" t="s">
        <v>3749</v>
      </c>
      <c r="BG629" s="0" t="s">
        <v>111</v>
      </c>
      <c r="BH629" s="0" t="s">
        <v>3665</v>
      </c>
      <c r="BI629" s="0" t="s">
        <v>122</v>
      </c>
      <c r="BJ629" s="0" t="s">
        <v>228</v>
      </c>
      <c r="BK629" s="0" t="s">
        <v>3684</v>
      </c>
      <c r="BL629" s="0" t="s">
        <v>2317</v>
      </c>
      <c r="BM629" s="0" t="s">
        <v>2317</v>
      </c>
      <c r="BN629" s="0" t="s">
        <v>3740</v>
      </c>
      <c r="BO629" s="0" t="s">
        <v>3913</v>
      </c>
      <c r="BP629" s="0" t="s">
        <v>4758</v>
      </c>
      <c r="BQ629" s="0" t="s">
        <v>3651</v>
      </c>
      <c r="BR629" s="0" t="s">
        <v>3651</v>
      </c>
      <c r="BS629" s="0" t="s">
        <v>228</v>
      </c>
      <c r="BT629" s="0" t="s">
        <v>3727</v>
      </c>
      <c r="BU629" s="0" t="s">
        <v>4759</v>
      </c>
      <c r="BV629" s="0" t="s">
        <v>4759</v>
      </c>
      <c r="BW629" s="0" t="s">
        <v>3674</v>
      </c>
      <c r="BX629" s="0" t="s">
        <v>3674</v>
      </c>
      <c r="BY629" s="0" t="s">
        <v>3674</v>
      </c>
      <c r="BZ629" s="0" t="s">
        <v>3674</v>
      </c>
      <c r="CA629" s="0" t="s">
        <v>3674</v>
      </c>
      <c r="CB629" s="0" t="s">
        <v>228</v>
      </c>
      <c r="CC629" s="0" t="s">
        <v>228</v>
      </c>
      <c r="CD629" s="0" t="s">
        <v>228</v>
      </c>
      <c r="CE629" s="0" t="s">
        <v>228</v>
      </c>
      <c r="CF629" s="0" t="s">
        <v>228</v>
      </c>
      <c r="CG629" s="0" t="s">
        <v>3674</v>
      </c>
      <c r="CH629" s="0" t="s">
        <v>228</v>
      </c>
      <c r="CI629" s="0" t="s">
        <v>228</v>
      </c>
      <c r="CJ629" s="0" t="s">
        <v>228</v>
      </c>
      <c r="CK629" s="0" t="s">
        <v>228</v>
      </c>
      <c r="CL629" s="0" t="s">
        <v>228</v>
      </c>
      <c r="CM629" s="0" t="s">
        <v>4759</v>
      </c>
      <c r="CN629" s="0" t="s">
        <v>4759</v>
      </c>
      <c r="CO629" s="0" t="s">
        <v>228</v>
      </c>
      <c r="CP629" s="0" t="s">
        <v>228</v>
      </c>
      <c r="CQ629" s="0" t="s">
        <v>228</v>
      </c>
      <c r="CR629" s="0" t="s">
        <v>228</v>
      </c>
      <c r="CS629" s="0" t="s">
        <v>3743</v>
      </c>
      <c r="CT629" s="0" t="s">
        <v>3568</v>
      </c>
      <c r="CU629" s="0" t="s">
        <v>3569</v>
      </c>
      <c r="CV629" s="0" t="s">
        <v>418</v>
      </c>
      <c r="CW629" s="0" t="s">
        <v>3622</v>
      </c>
      <c r="CX629" s="0" t="s">
        <v>419</v>
      </c>
      <c r="CY629" s="0" t="s">
        <v>418</v>
      </c>
      <c r="CZ629" s="0" t="s">
        <v>3623</v>
      </c>
      <c r="DA629" s="0" t="s">
        <v>3624</v>
      </c>
      <c r="DB629" s="0" t="s">
        <v>3622</v>
      </c>
      <c r="DC629" s="0" t="s">
        <v>362</v>
      </c>
      <c r="DD629" s="0" t="s">
        <v>3572</v>
      </c>
      <c r="DE629" s="0" t="s">
        <v>4760</v>
      </c>
    </row>
    <row customHeight="1" ht="11.25">
      <c r="A630" s="1353" t="s">
        <v>228</v>
      </c>
      <c r="B630" s="0" t="s">
        <v>228</v>
      </c>
      <c r="C630" s="0" t="s">
        <v>228</v>
      </c>
      <c r="D630" s="0" t="s">
        <v>228</v>
      </c>
      <c r="E630" s="0" t="s">
        <v>228</v>
      </c>
      <c r="F630" s="0" t="s">
        <v>228</v>
      </c>
      <c r="G630" s="0" t="s">
        <v>228</v>
      </c>
      <c r="H630" s="0" t="s">
        <v>228</v>
      </c>
      <c r="I630" s="0" t="s">
        <v>3555</v>
      </c>
      <c r="J630" s="0" t="s">
        <v>228</v>
      </c>
      <c r="K630" s="0" t="s">
        <v>228</v>
      </c>
      <c r="L630" s="0" t="s">
        <v>228</v>
      </c>
      <c r="M630" s="0" t="s">
        <v>228</v>
      </c>
      <c r="N630" s="0" t="s">
        <v>228</v>
      </c>
      <c r="O630" s="0" t="s">
        <v>228</v>
      </c>
      <c r="P630" s="0" t="s">
        <v>228</v>
      </c>
      <c r="Q630" s="0" t="s">
        <v>228</v>
      </c>
      <c r="R630" s="0" t="s">
        <v>3648</v>
      </c>
      <c r="S630" s="0" t="s">
        <v>228</v>
      </c>
      <c r="T630" s="0" t="s">
        <v>228</v>
      </c>
      <c r="U630" s="0" t="s">
        <v>101</v>
      </c>
      <c r="V630" s="0" t="s">
        <v>228</v>
      </c>
      <c r="W630" s="0" t="s">
        <v>228</v>
      </c>
      <c r="X630" s="0" t="s">
        <v>3557</v>
      </c>
      <c r="Y630" s="0" t="s">
        <v>228</v>
      </c>
      <c r="Z630" s="0" t="s">
        <v>160</v>
      </c>
      <c r="AA630" s="0" t="s">
        <v>151</v>
      </c>
      <c r="AB630" s="0" t="s">
        <v>151</v>
      </c>
      <c r="AC630" s="0" t="s">
        <v>2315</v>
      </c>
      <c r="AD630" s="0" t="s">
        <v>2315</v>
      </c>
      <c r="AE630" s="0" t="s">
        <v>2316</v>
      </c>
      <c r="AF630" s="0" t="s">
        <v>4765</v>
      </c>
      <c r="AG630" s="0" t="s">
        <v>4766</v>
      </c>
      <c r="AH630" s="0" t="s">
        <v>4767</v>
      </c>
      <c r="AI630" s="0" t="s">
        <v>3651</v>
      </c>
      <c r="AJ630" s="0" t="s">
        <v>3652</v>
      </c>
      <c r="AK630" s="0" t="s">
        <v>4768</v>
      </c>
      <c r="AL630" s="0" t="s">
        <v>3581</v>
      </c>
      <c r="AM630" s="0" t="s">
        <v>3565</v>
      </c>
      <c r="AN630" s="0" t="s">
        <v>3654</v>
      </c>
      <c r="AO630" s="0" t="s">
        <v>3934</v>
      </c>
      <c r="AP630" s="0" t="s">
        <v>228</v>
      </c>
      <c r="AQ630" s="0" t="s">
        <v>228</v>
      </c>
      <c r="AR630" s="0" t="s">
        <v>228</v>
      </c>
      <c r="AS630" s="0" t="s">
        <v>228</v>
      </c>
      <c r="AT630" s="0" t="s">
        <v>228</v>
      </c>
      <c r="AU630" s="0" t="s">
        <v>228</v>
      </c>
      <c r="AV630" s="0" t="s">
        <v>228</v>
      </c>
      <c r="AW630" s="0" t="s">
        <v>228</v>
      </c>
      <c r="AX630" s="0" t="s">
        <v>228</v>
      </c>
      <c r="AY630" s="0" t="s">
        <v>228</v>
      </c>
      <c r="AZ630" s="0" t="s">
        <v>228</v>
      </c>
      <c r="BA630" s="0" t="s">
        <v>228</v>
      </c>
      <c r="BB630" s="0" t="s">
        <v>228</v>
      </c>
      <c r="BC630" s="0" t="s">
        <v>228</v>
      </c>
      <c r="BD630" s="0" t="s">
        <v>228</v>
      </c>
      <c r="BE630" s="0" t="s">
        <v>228</v>
      </c>
      <c r="BF630" s="0" t="s">
        <v>228</v>
      </c>
      <c r="BG630" s="0" t="s">
        <v>228</v>
      </c>
      <c r="BH630" s="0" t="s">
        <v>228</v>
      </c>
      <c r="BI630" s="0" t="s">
        <v>228</v>
      </c>
      <c r="BJ630" s="0" t="s">
        <v>228</v>
      </c>
      <c r="BK630" s="0" t="s">
        <v>228</v>
      </c>
      <c r="BL630" s="0" t="s">
        <v>228</v>
      </c>
      <c r="BM630" s="0" t="s">
        <v>228</v>
      </c>
      <c r="BN630" s="0" t="s">
        <v>228</v>
      </c>
      <c r="BO630" s="0" t="s">
        <v>228</v>
      </c>
      <c r="BP630" s="0" t="s">
        <v>228</v>
      </c>
      <c r="BQ630" s="0" t="s">
        <v>228</v>
      </c>
      <c r="BR630" s="0" t="s">
        <v>228</v>
      </c>
      <c r="BS630" s="0" t="s">
        <v>228</v>
      </c>
      <c r="BT630" s="0" t="s">
        <v>228</v>
      </c>
      <c r="BU630" s="0" t="s">
        <v>228</v>
      </c>
      <c r="BV630" s="0" t="s">
        <v>228</v>
      </c>
      <c r="BW630" s="0" t="s">
        <v>228</v>
      </c>
      <c r="BX630" s="0" t="s">
        <v>228</v>
      </c>
      <c r="BY630" s="0" t="s">
        <v>228</v>
      </c>
      <c r="BZ630" s="0" t="s">
        <v>228</v>
      </c>
      <c r="CA630" s="0" t="s">
        <v>228</v>
      </c>
      <c r="CB630" s="0" t="s">
        <v>228</v>
      </c>
      <c r="CC630" s="0" t="s">
        <v>228</v>
      </c>
      <c r="CD630" s="0" t="s">
        <v>228</v>
      </c>
      <c r="CE630" s="0" t="s">
        <v>228</v>
      </c>
      <c r="CF630" s="0" t="s">
        <v>228</v>
      </c>
      <c r="CG630" s="0" t="s">
        <v>228</v>
      </c>
      <c r="CH630" s="0" t="s">
        <v>228</v>
      </c>
      <c r="CI630" s="0" t="s">
        <v>228</v>
      </c>
      <c r="CJ630" s="0" t="s">
        <v>228</v>
      </c>
      <c r="CK630" s="0" t="s">
        <v>228</v>
      </c>
      <c r="CL630" s="0" t="s">
        <v>228</v>
      </c>
      <c r="CM630" s="0" t="s">
        <v>228</v>
      </c>
      <c r="CN630" s="0" t="s">
        <v>228</v>
      </c>
      <c r="CO630" s="0" t="s">
        <v>228</v>
      </c>
      <c r="CP630" s="0" t="s">
        <v>228</v>
      </c>
      <c r="CQ630" s="0" t="s">
        <v>228</v>
      </c>
      <c r="CR630" s="0" t="s">
        <v>228</v>
      </c>
      <c r="CS630" s="0" t="s">
        <v>228</v>
      </c>
      <c r="CT630" s="0" t="s">
        <v>3568</v>
      </c>
      <c r="CU630" s="0" t="s">
        <v>3569</v>
      </c>
      <c r="CV630" s="0" t="s">
        <v>418</v>
      </c>
      <c r="CW630" s="0" t="s">
        <v>3656</v>
      </c>
      <c r="CX630" s="0" t="s">
        <v>419</v>
      </c>
      <c r="CY630" s="0" t="s">
        <v>418</v>
      </c>
      <c r="CZ630" s="0" t="s">
        <v>3657</v>
      </c>
      <c r="DA630" s="0" t="s">
        <v>3658</v>
      </c>
      <c r="DB630" s="0" t="s">
        <v>3656</v>
      </c>
      <c r="DC630" s="0" t="s">
        <v>362</v>
      </c>
      <c r="DD630" s="0" t="s">
        <v>3572</v>
      </c>
      <c r="DE630" s="0" t="s">
        <v>4769</v>
      </c>
    </row>
    <row customHeight="1" ht="11.25">
      <c r="A631" s="1353" t="s">
        <v>228</v>
      </c>
      <c r="B631" s="0" t="s">
        <v>228</v>
      </c>
      <c r="C631" s="0" t="s">
        <v>228</v>
      </c>
      <c r="D631" s="0" t="s">
        <v>228</v>
      </c>
      <c r="E631" s="0" t="s">
        <v>228</v>
      </c>
      <c r="F631" s="0" t="s">
        <v>228</v>
      </c>
      <c r="G631" s="0" t="s">
        <v>228</v>
      </c>
      <c r="H631" s="0" t="s">
        <v>228</v>
      </c>
      <c r="I631" s="0" t="s">
        <v>3555</v>
      </c>
      <c r="J631" s="0" t="s">
        <v>228</v>
      </c>
      <c r="K631" s="0" t="s">
        <v>228</v>
      </c>
      <c r="L631" s="0" t="s">
        <v>228</v>
      </c>
      <c r="M631" s="0" t="s">
        <v>228</v>
      </c>
      <c r="N631" s="0" t="s">
        <v>228</v>
      </c>
      <c r="O631" s="0" t="s">
        <v>228</v>
      </c>
      <c r="P631" s="0" t="s">
        <v>228</v>
      </c>
      <c r="Q631" s="0" t="s">
        <v>228</v>
      </c>
      <c r="R631" s="0" t="s">
        <v>4932</v>
      </c>
      <c r="S631" s="0" t="s">
        <v>228</v>
      </c>
      <c r="T631" s="0" t="s">
        <v>228</v>
      </c>
      <c r="U631" s="0" t="s">
        <v>101</v>
      </c>
      <c r="V631" s="0" t="s">
        <v>228</v>
      </c>
      <c r="W631" s="0" t="s">
        <v>228</v>
      </c>
      <c r="X631" s="0" t="s">
        <v>3661</v>
      </c>
      <c r="Y631" s="0" t="s">
        <v>228</v>
      </c>
      <c r="Z631" s="0" t="s">
        <v>151</v>
      </c>
      <c r="AA631" s="0" t="s">
        <v>151</v>
      </c>
      <c r="AB631" s="0" t="s">
        <v>160</v>
      </c>
      <c r="AC631" s="0" t="s">
        <v>2315</v>
      </c>
      <c r="AD631" s="0" t="s">
        <v>2315</v>
      </c>
      <c r="AE631" s="0" t="s">
        <v>2316</v>
      </c>
      <c r="AF631" s="0" t="s">
        <v>4765</v>
      </c>
      <c r="AG631" s="0" t="s">
        <v>4766</v>
      </c>
      <c r="AH631" s="0" t="s">
        <v>3651</v>
      </c>
      <c r="AI631" s="0" t="s">
        <v>3651</v>
      </c>
      <c r="AJ631" s="0" t="s">
        <v>228</v>
      </c>
      <c r="AK631" s="0" t="s">
        <v>228</v>
      </c>
      <c r="AL631" s="0" t="s">
        <v>228</v>
      </c>
      <c r="AM631" s="0" t="s">
        <v>228</v>
      </c>
      <c r="AN631" s="0" t="s">
        <v>228</v>
      </c>
      <c r="AO631" s="0" t="s">
        <v>228</v>
      </c>
      <c r="AP631" s="0" t="s">
        <v>228</v>
      </c>
      <c r="AQ631" s="0" t="s">
        <v>228</v>
      </c>
      <c r="AR631" s="0" t="s">
        <v>228</v>
      </c>
      <c r="AS631" s="0" t="s">
        <v>228</v>
      </c>
      <c r="AT631" s="0" t="s">
        <v>228</v>
      </c>
      <c r="AU631" s="0" t="s">
        <v>228</v>
      </c>
      <c r="AV631" s="0" t="s">
        <v>228</v>
      </c>
      <c r="AW631" s="0" t="s">
        <v>228</v>
      </c>
      <c r="AX631" s="0" t="s">
        <v>228</v>
      </c>
      <c r="AY631" s="0" t="s">
        <v>228</v>
      </c>
      <c r="AZ631" s="0" t="s">
        <v>228</v>
      </c>
      <c r="BA631" s="0" t="s">
        <v>228</v>
      </c>
      <c r="BB631" s="0" t="s">
        <v>228</v>
      </c>
      <c r="BC631" s="0" t="s">
        <v>228</v>
      </c>
      <c r="BD631" s="0" t="s">
        <v>228</v>
      </c>
      <c r="BE631" s="0" t="s">
        <v>3652</v>
      </c>
      <c r="BF631" s="0" t="s">
        <v>4768</v>
      </c>
      <c r="BG631" s="0" t="s">
        <v>111</v>
      </c>
      <c r="BH631" s="0" t="s">
        <v>3665</v>
      </c>
      <c r="BI631" s="0" t="s">
        <v>122</v>
      </c>
      <c r="BJ631" s="0" t="s">
        <v>228</v>
      </c>
      <c r="BK631" s="0" t="s">
        <v>3684</v>
      </c>
      <c r="BL631" s="0" t="s">
        <v>2315</v>
      </c>
      <c r="BM631" s="0" t="s">
        <v>2315</v>
      </c>
      <c r="BN631" s="0" t="s">
        <v>3875</v>
      </c>
      <c r="BO631" s="0" t="s">
        <v>4765</v>
      </c>
      <c r="BP631" s="0" t="s">
        <v>4933</v>
      </c>
      <c r="BQ631" s="0" t="s">
        <v>3651</v>
      </c>
      <c r="BR631" s="0" t="s">
        <v>3651</v>
      </c>
      <c r="BS631" s="0" t="s">
        <v>228</v>
      </c>
      <c r="BT631" s="0" t="s">
        <v>3727</v>
      </c>
      <c r="BU631" s="0" t="s">
        <v>5117</v>
      </c>
      <c r="BV631" s="0" t="s">
        <v>5117</v>
      </c>
      <c r="BW631" s="0" t="s">
        <v>3674</v>
      </c>
      <c r="BX631" s="0" t="s">
        <v>3674</v>
      </c>
      <c r="BY631" s="0" t="s">
        <v>3674</v>
      </c>
      <c r="BZ631" s="0" t="s">
        <v>3674</v>
      </c>
      <c r="CA631" s="0" t="s">
        <v>3674</v>
      </c>
      <c r="CB631" s="0" t="s">
        <v>228</v>
      </c>
      <c r="CC631" s="0" t="s">
        <v>228</v>
      </c>
      <c r="CD631" s="0" t="s">
        <v>228</v>
      </c>
      <c r="CE631" s="0" t="s">
        <v>228</v>
      </c>
      <c r="CF631" s="0" t="s">
        <v>228</v>
      </c>
      <c r="CG631" s="0" t="s">
        <v>3674</v>
      </c>
      <c r="CH631" s="0" t="s">
        <v>228</v>
      </c>
      <c r="CI631" s="0" t="s">
        <v>228</v>
      </c>
      <c r="CJ631" s="0" t="s">
        <v>228</v>
      </c>
      <c r="CK631" s="0" t="s">
        <v>228</v>
      </c>
      <c r="CL631" s="0" t="s">
        <v>228</v>
      </c>
      <c r="CM631" s="0" t="s">
        <v>5117</v>
      </c>
      <c r="CN631" s="0" t="s">
        <v>5117</v>
      </c>
      <c r="CO631" s="0" t="s">
        <v>228</v>
      </c>
      <c r="CP631" s="0" t="s">
        <v>228</v>
      </c>
      <c r="CQ631" s="0" t="s">
        <v>228</v>
      </c>
      <c r="CR631" s="0" t="s">
        <v>228</v>
      </c>
      <c r="CS631" s="0" t="s">
        <v>3563</v>
      </c>
      <c r="CT631" s="0" t="s">
        <v>3568</v>
      </c>
      <c r="CU631" s="0" t="s">
        <v>3569</v>
      </c>
      <c r="CV631" s="0" t="s">
        <v>418</v>
      </c>
      <c r="CW631" s="0" t="s">
        <v>3656</v>
      </c>
      <c r="CX631" s="0" t="s">
        <v>419</v>
      </c>
      <c r="CY631" s="0" t="s">
        <v>418</v>
      </c>
      <c r="CZ631" s="0" t="s">
        <v>3657</v>
      </c>
      <c r="DA631" s="0" t="s">
        <v>3658</v>
      </c>
      <c r="DB631" s="0" t="s">
        <v>3656</v>
      </c>
      <c r="DC631" s="0" t="s">
        <v>362</v>
      </c>
      <c r="DD631" s="0" t="s">
        <v>3572</v>
      </c>
      <c r="DE631" s="0" t="s">
        <v>4935</v>
      </c>
    </row>
    <row customHeight="1" ht="11.25">
      <c r="A632" s="1353" t="s">
        <v>228</v>
      </c>
      <c r="B632" s="0" t="s">
        <v>228</v>
      </c>
      <c r="C632" s="0" t="s">
        <v>228</v>
      </c>
      <c r="D632" s="0" t="s">
        <v>228</v>
      </c>
      <c r="E632" s="0" t="s">
        <v>228</v>
      </c>
      <c r="F632" s="0" t="s">
        <v>228</v>
      </c>
      <c r="G632" s="0" t="s">
        <v>228</v>
      </c>
      <c r="H632" s="0" t="s">
        <v>228</v>
      </c>
      <c r="I632" s="0" t="s">
        <v>3555</v>
      </c>
      <c r="J632" s="0" t="s">
        <v>228</v>
      </c>
      <c r="K632" s="0" t="s">
        <v>228</v>
      </c>
      <c r="L632" s="0" t="s">
        <v>228</v>
      </c>
      <c r="M632" s="0" t="s">
        <v>228</v>
      </c>
      <c r="N632" s="0" t="s">
        <v>228</v>
      </c>
      <c r="O632" s="0" t="s">
        <v>228</v>
      </c>
      <c r="P632" s="0" t="s">
        <v>228</v>
      </c>
      <c r="Q632" s="0" t="s">
        <v>228</v>
      </c>
      <c r="R632" s="0" t="s">
        <v>4447</v>
      </c>
      <c r="S632" s="0" t="s">
        <v>228</v>
      </c>
      <c r="T632" s="0" t="s">
        <v>228</v>
      </c>
      <c r="U632" s="0" t="s">
        <v>101</v>
      </c>
      <c r="V632" s="0" t="s">
        <v>228</v>
      </c>
      <c r="W632" s="0" t="s">
        <v>228</v>
      </c>
      <c r="X632" s="0" t="s">
        <v>3557</v>
      </c>
      <c r="Y632" s="0" t="s">
        <v>228</v>
      </c>
      <c r="Z632" s="0" t="s">
        <v>160</v>
      </c>
      <c r="AA632" s="0" t="s">
        <v>151</v>
      </c>
      <c r="AB632" s="0" t="s">
        <v>151</v>
      </c>
      <c r="AC632" s="0" t="s">
        <v>2290</v>
      </c>
      <c r="AD632" s="0" t="s">
        <v>2290</v>
      </c>
      <c r="AE632" s="0" t="s">
        <v>2292</v>
      </c>
      <c r="AF632" s="0" t="s">
        <v>3558</v>
      </c>
      <c r="AG632" s="0" t="s">
        <v>3559</v>
      </c>
      <c r="AH632" s="0" t="s">
        <v>4448</v>
      </c>
      <c r="AI632" s="0" t="s">
        <v>4449</v>
      </c>
      <c r="AJ632" s="0" t="s">
        <v>4188</v>
      </c>
      <c r="AK632" s="0" t="s">
        <v>3674</v>
      </c>
      <c r="AL632" s="0" t="s">
        <v>3681</v>
      </c>
      <c r="AM632" s="0" t="s">
        <v>3565</v>
      </c>
      <c r="AN632" s="0" t="s">
        <v>4189</v>
      </c>
      <c r="AO632" s="0" t="s">
        <v>4450</v>
      </c>
      <c r="AP632" s="0" t="s">
        <v>228</v>
      </c>
      <c r="AQ632" s="0" t="s">
        <v>228</v>
      </c>
      <c r="AR632" s="0" t="s">
        <v>228</v>
      </c>
      <c r="AS632" s="0" t="s">
        <v>228</v>
      </c>
      <c r="AT632" s="0" t="s">
        <v>228</v>
      </c>
      <c r="AU632" s="0" t="s">
        <v>228</v>
      </c>
      <c r="AV632" s="0" t="s">
        <v>228</v>
      </c>
      <c r="AW632" s="0" t="s">
        <v>228</v>
      </c>
      <c r="AX632" s="0" t="s">
        <v>228</v>
      </c>
      <c r="AY632" s="0" t="s">
        <v>228</v>
      </c>
      <c r="AZ632" s="0" t="s">
        <v>228</v>
      </c>
      <c r="BA632" s="0" t="s">
        <v>228</v>
      </c>
      <c r="BB632" s="0" t="s">
        <v>228</v>
      </c>
      <c r="BC632" s="0" t="s">
        <v>228</v>
      </c>
      <c r="BD632" s="0" t="s">
        <v>228</v>
      </c>
      <c r="BE632" s="0" t="s">
        <v>228</v>
      </c>
      <c r="BF632" s="0" t="s">
        <v>228</v>
      </c>
      <c r="BG632" s="0" t="s">
        <v>228</v>
      </c>
      <c r="BH632" s="0" t="s">
        <v>228</v>
      </c>
      <c r="BI632" s="0" t="s">
        <v>228</v>
      </c>
      <c r="BJ632" s="0" t="s">
        <v>228</v>
      </c>
      <c r="BK632" s="0" t="s">
        <v>228</v>
      </c>
      <c r="BL632" s="0" t="s">
        <v>228</v>
      </c>
      <c r="BM632" s="0" t="s">
        <v>228</v>
      </c>
      <c r="BN632" s="0" t="s">
        <v>228</v>
      </c>
      <c r="BO632" s="0" t="s">
        <v>228</v>
      </c>
      <c r="BP632" s="0" t="s">
        <v>228</v>
      </c>
      <c r="BQ632" s="0" t="s">
        <v>228</v>
      </c>
      <c r="BR632" s="0" t="s">
        <v>228</v>
      </c>
      <c r="BS632" s="0" t="s">
        <v>228</v>
      </c>
      <c r="BT632" s="0" t="s">
        <v>228</v>
      </c>
      <c r="BU632" s="0" t="s">
        <v>228</v>
      </c>
      <c r="BV632" s="0" t="s">
        <v>228</v>
      </c>
      <c r="BW632" s="0" t="s">
        <v>228</v>
      </c>
      <c r="BX632" s="0" t="s">
        <v>228</v>
      </c>
      <c r="BY632" s="0" t="s">
        <v>228</v>
      </c>
      <c r="BZ632" s="0" t="s">
        <v>228</v>
      </c>
      <c r="CA632" s="0" t="s">
        <v>228</v>
      </c>
      <c r="CB632" s="0" t="s">
        <v>228</v>
      </c>
      <c r="CC632" s="0" t="s">
        <v>228</v>
      </c>
      <c r="CD632" s="0" t="s">
        <v>228</v>
      </c>
      <c r="CE632" s="0" t="s">
        <v>228</v>
      </c>
      <c r="CF632" s="0" t="s">
        <v>228</v>
      </c>
      <c r="CG632" s="0" t="s">
        <v>228</v>
      </c>
      <c r="CH632" s="0" t="s">
        <v>228</v>
      </c>
      <c r="CI632" s="0" t="s">
        <v>228</v>
      </c>
      <c r="CJ632" s="0" t="s">
        <v>228</v>
      </c>
      <c r="CK632" s="0" t="s">
        <v>228</v>
      </c>
      <c r="CL632" s="0" t="s">
        <v>228</v>
      </c>
      <c r="CM632" s="0" t="s">
        <v>228</v>
      </c>
      <c r="CN632" s="0" t="s">
        <v>228</v>
      </c>
      <c r="CO632" s="0" t="s">
        <v>228</v>
      </c>
      <c r="CP632" s="0" t="s">
        <v>228</v>
      </c>
      <c r="CQ632" s="0" t="s">
        <v>228</v>
      </c>
      <c r="CR632" s="0" t="s">
        <v>228</v>
      </c>
      <c r="CS632" s="0" t="s">
        <v>228</v>
      </c>
      <c r="CT632" s="0" t="s">
        <v>3568</v>
      </c>
      <c r="CU632" s="0" t="s">
        <v>3569</v>
      </c>
      <c r="CV632" s="0" t="s">
        <v>418</v>
      </c>
      <c r="CW632" s="0" t="s">
        <v>3570</v>
      </c>
      <c r="CX632" s="0" t="s">
        <v>419</v>
      </c>
      <c r="CY632" s="0" t="s">
        <v>418</v>
      </c>
      <c r="CZ632" s="0" t="s">
        <v>3571</v>
      </c>
      <c r="DA632" s="0" t="s">
        <v>420</v>
      </c>
      <c r="DB632" s="0" t="s">
        <v>3570</v>
      </c>
      <c r="DC632" s="0" t="s">
        <v>362</v>
      </c>
      <c r="DD632" s="0" t="s">
        <v>3572</v>
      </c>
      <c r="DE632" s="0" t="s">
        <v>4451</v>
      </c>
    </row>
    <row customHeight="1" ht="11.25">
      <c r="A633" s="1353" t="s">
        <v>228</v>
      </c>
      <c r="B633" s="0" t="s">
        <v>228</v>
      </c>
      <c r="C633" s="0" t="s">
        <v>228</v>
      </c>
      <c r="D633" s="0" t="s">
        <v>228</v>
      </c>
      <c r="E633" s="0" t="s">
        <v>228</v>
      </c>
      <c r="F633" s="0" t="s">
        <v>228</v>
      </c>
      <c r="G633" s="0" t="s">
        <v>228</v>
      </c>
      <c r="H633" s="0" t="s">
        <v>228</v>
      </c>
      <c r="I633" s="0" t="s">
        <v>3555</v>
      </c>
      <c r="J633" s="0" t="s">
        <v>228</v>
      </c>
      <c r="K633" s="0" t="s">
        <v>228</v>
      </c>
      <c r="L633" s="0" t="s">
        <v>228</v>
      </c>
      <c r="M633" s="0" t="s">
        <v>228</v>
      </c>
      <c r="N633" s="0" t="s">
        <v>228</v>
      </c>
      <c r="O633" s="0" t="s">
        <v>228</v>
      </c>
      <c r="P633" s="0" t="s">
        <v>228</v>
      </c>
      <c r="Q633" s="0" t="s">
        <v>228</v>
      </c>
      <c r="R633" s="0" t="s">
        <v>4452</v>
      </c>
      <c r="S633" s="0" t="s">
        <v>228</v>
      </c>
      <c r="T633" s="0" t="s">
        <v>228</v>
      </c>
      <c r="U633" s="0" t="s">
        <v>101</v>
      </c>
      <c r="V633" s="0" t="s">
        <v>228</v>
      </c>
      <c r="W633" s="0" t="s">
        <v>228</v>
      </c>
      <c r="X633" s="0" t="s">
        <v>3557</v>
      </c>
      <c r="Y633" s="0" t="s">
        <v>228</v>
      </c>
      <c r="Z633" s="0" t="s">
        <v>160</v>
      </c>
      <c r="AA633" s="0" t="s">
        <v>151</v>
      </c>
      <c r="AB633" s="0" t="s">
        <v>151</v>
      </c>
      <c r="AC633" s="0" t="s">
        <v>2290</v>
      </c>
      <c r="AD633" s="0" t="s">
        <v>2290</v>
      </c>
      <c r="AE633" s="0" t="s">
        <v>2292</v>
      </c>
      <c r="AF633" s="0" t="s">
        <v>3558</v>
      </c>
      <c r="AG633" s="0" t="s">
        <v>3559</v>
      </c>
      <c r="AH633" s="0" t="s">
        <v>4455</v>
      </c>
      <c r="AI633" s="0" t="s">
        <v>4456</v>
      </c>
      <c r="AJ633" s="0" t="s">
        <v>3566</v>
      </c>
      <c r="AK633" s="0" t="s">
        <v>3674</v>
      </c>
      <c r="AL633" s="0" t="s">
        <v>3681</v>
      </c>
      <c r="AM633" s="0" t="s">
        <v>3565</v>
      </c>
      <c r="AN633" s="0" t="s">
        <v>3582</v>
      </c>
      <c r="AO633" s="0" t="s">
        <v>4457</v>
      </c>
      <c r="AP633" s="0" t="s">
        <v>228</v>
      </c>
      <c r="AQ633" s="0" t="s">
        <v>228</v>
      </c>
      <c r="AR633" s="0" t="s">
        <v>228</v>
      </c>
      <c r="AS633" s="0" t="s">
        <v>228</v>
      </c>
      <c r="AT633" s="0" t="s">
        <v>228</v>
      </c>
      <c r="AU633" s="0" t="s">
        <v>228</v>
      </c>
      <c r="AV633" s="0" t="s">
        <v>228</v>
      </c>
      <c r="AW633" s="0" t="s">
        <v>228</v>
      </c>
      <c r="AX633" s="0" t="s">
        <v>228</v>
      </c>
      <c r="AY633" s="0" t="s">
        <v>228</v>
      </c>
      <c r="AZ633" s="0" t="s">
        <v>228</v>
      </c>
      <c r="BA633" s="0" t="s">
        <v>228</v>
      </c>
      <c r="BB633" s="0" t="s">
        <v>228</v>
      </c>
      <c r="BC633" s="0" t="s">
        <v>228</v>
      </c>
      <c r="BD633" s="0" t="s">
        <v>228</v>
      </c>
      <c r="BE633" s="0" t="s">
        <v>228</v>
      </c>
      <c r="BF633" s="0" t="s">
        <v>228</v>
      </c>
      <c r="BG633" s="0" t="s">
        <v>228</v>
      </c>
      <c r="BH633" s="0" t="s">
        <v>228</v>
      </c>
      <c r="BI633" s="0" t="s">
        <v>228</v>
      </c>
      <c r="BJ633" s="0" t="s">
        <v>228</v>
      </c>
      <c r="BK633" s="0" t="s">
        <v>228</v>
      </c>
      <c r="BL633" s="0" t="s">
        <v>228</v>
      </c>
      <c r="BM633" s="0" t="s">
        <v>228</v>
      </c>
      <c r="BN633" s="0" t="s">
        <v>228</v>
      </c>
      <c r="BO633" s="0" t="s">
        <v>228</v>
      </c>
      <c r="BP633" s="0" t="s">
        <v>228</v>
      </c>
      <c r="BQ633" s="0" t="s">
        <v>228</v>
      </c>
      <c r="BR633" s="0" t="s">
        <v>228</v>
      </c>
      <c r="BS633" s="0" t="s">
        <v>228</v>
      </c>
      <c r="BT633" s="0" t="s">
        <v>228</v>
      </c>
      <c r="BU633" s="0" t="s">
        <v>228</v>
      </c>
      <c r="BV633" s="0" t="s">
        <v>228</v>
      </c>
      <c r="BW633" s="0" t="s">
        <v>228</v>
      </c>
      <c r="BX633" s="0" t="s">
        <v>228</v>
      </c>
      <c r="BY633" s="0" t="s">
        <v>228</v>
      </c>
      <c r="BZ633" s="0" t="s">
        <v>228</v>
      </c>
      <c r="CA633" s="0" t="s">
        <v>228</v>
      </c>
      <c r="CB633" s="0" t="s">
        <v>228</v>
      </c>
      <c r="CC633" s="0" t="s">
        <v>228</v>
      </c>
      <c r="CD633" s="0" t="s">
        <v>228</v>
      </c>
      <c r="CE633" s="0" t="s">
        <v>228</v>
      </c>
      <c r="CF633" s="0" t="s">
        <v>228</v>
      </c>
      <c r="CG633" s="0" t="s">
        <v>228</v>
      </c>
      <c r="CH633" s="0" t="s">
        <v>228</v>
      </c>
      <c r="CI633" s="0" t="s">
        <v>228</v>
      </c>
      <c r="CJ633" s="0" t="s">
        <v>228</v>
      </c>
      <c r="CK633" s="0" t="s">
        <v>228</v>
      </c>
      <c r="CL633" s="0" t="s">
        <v>228</v>
      </c>
      <c r="CM633" s="0" t="s">
        <v>228</v>
      </c>
      <c r="CN633" s="0" t="s">
        <v>228</v>
      </c>
      <c r="CO633" s="0" t="s">
        <v>228</v>
      </c>
      <c r="CP633" s="0" t="s">
        <v>228</v>
      </c>
      <c r="CQ633" s="0" t="s">
        <v>228</v>
      </c>
      <c r="CR633" s="0" t="s">
        <v>228</v>
      </c>
      <c r="CS633" s="0" t="s">
        <v>228</v>
      </c>
      <c r="CT633" s="0" t="s">
        <v>3568</v>
      </c>
      <c r="CU633" s="0" t="s">
        <v>3569</v>
      </c>
      <c r="CV633" s="0" t="s">
        <v>418</v>
      </c>
      <c r="CW633" s="0" t="s">
        <v>3570</v>
      </c>
      <c r="CX633" s="0" t="s">
        <v>419</v>
      </c>
      <c r="CY633" s="0" t="s">
        <v>418</v>
      </c>
      <c r="CZ633" s="0" t="s">
        <v>3571</v>
      </c>
      <c r="DA633" s="0" t="s">
        <v>420</v>
      </c>
      <c r="DB633" s="0" t="s">
        <v>3570</v>
      </c>
      <c r="DC633" s="0" t="s">
        <v>362</v>
      </c>
      <c r="DD633" s="0" t="s">
        <v>3572</v>
      </c>
      <c r="DE633" s="0" t="s">
        <v>5118</v>
      </c>
    </row>
    <row customHeight="1" ht="11.25">
      <c r="A634" s="1353" t="s">
        <v>228</v>
      </c>
      <c r="B634" s="0" t="s">
        <v>228</v>
      </c>
      <c r="C634" s="0" t="s">
        <v>228</v>
      </c>
      <c r="D634" s="0" t="s">
        <v>228</v>
      </c>
      <c r="E634" s="0" t="s">
        <v>228</v>
      </c>
      <c r="F634" s="0" t="s">
        <v>228</v>
      </c>
      <c r="G634" s="0" t="s">
        <v>228</v>
      </c>
      <c r="H634" s="0" t="s">
        <v>228</v>
      </c>
      <c r="I634" s="0" t="s">
        <v>3555</v>
      </c>
      <c r="J634" s="0" t="s">
        <v>228</v>
      </c>
      <c r="K634" s="0" t="s">
        <v>228</v>
      </c>
      <c r="L634" s="0" t="s">
        <v>228</v>
      </c>
      <c r="M634" s="0" t="s">
        <v>228</v>
      </c>
      <c r="N634" s="0" t="s">
        <v>228</v>
      </c>
      <c r="O634" s="0" t="s">
        <v>228</v>
      </c>
      <c r="P634" s="0" t="s">
        <v>228</v>
      </c>
      <c r="Q634" s="0" t="s">
        <v>228</v>
      </c>
      <c r="R634" s="0" t="s">
        <v>4982</v>
      </c>
      <c r="S634" s="0" t="s">
        <v>228</v>
      </c>
      <c r="T634" s="0" t="s">
        <v>228</v>
      </c>
      <c r="U634" s="0" t="s">
        <v>101</v>
      </c>
      <c r="V634" s="0" t="s">
        <v>228</v>
      </c>
      <c r="W634" s="0" t="s">
        <v>228</v>
      </c>
      <c r="X634" s="0" t="s">
        <v>3557</v>
      </c>
      <c r="Y634" s="0" t="s">
        <v>228</v>
      </c>
      <c r="Z634" s="0" t="s">
        <v>160</v>
      </c>
      <c r="AA634" s="0" t="s">
        <v>151</v>
      </c>
      <c r="AB634" s="0" t="s">
        <v>151</v>
      </c>
      <c r="AC634" s="0" t="s">
        <v>2290</v>
      </c>
      <c r="AD634" s="0" t="s">
        <v>2290</v>
      </c>
      <c r="AE634" s="0" t="s">
        <v>2292</v>
      </c>
      <c r="AF634" s="0" t="s">
        <v>4912</v>
      </c>
      <c r="AG634" s="0" t="s">
        <v>4913</v>
      </c>
      <c r="AH634" s="0" t="s">
        <v>4983</v>
      </c>
      <c r="AI634" s="0" t="s">
        <v>4984</v>
      </c>
      <c r="AJ634" s="0" t="s">
        <v>4985</v>
      </c>
      <c r="AK634" s="0" t="s">
        <v>4986</v>
      </c>
      <c r="AL634" s="0" t="s">
        <v>3646</v>
      </c>
      <c r="AM634" s="0" t="s">
        <v>3565</v>
      </c>
      <c r="AN634" s="0" t="s">
        <v>3582</v>
      </c>
      <c r="AO634" s="0" t="s">
        <v>3823</v>
      </c>
      <c r="AP634" s="0" t="s">
        <v>228</v>
      </c>
      <c r="AQ634" s="0" t="s">
        <v>228</v>
      </c>
      <c r="AR634" s="0" t="s">
        <v>228</v>
      </c>
      <c r="AS634" s="0" t="s">
        <v>228</v>
      </c>
      <c r="AT634" s="0" t="s">
        <v>228</v>
      </c>
      <c r="AU634" s="0" t="s">
        <v>228</v>
      </c>
      <c r="AV634" s="0" t="s">
        <v>228</v>
      </c>
      <c r="AW634" s="0" t="s">
        <v>228</v>
      </c>
      <c r="AX634" s="0" t="s">
        <v>228</v>
      </c>
      <c r="AY634" s="0" t="s">
        <v>228</v>
      </c>
      <c r="AZ634" s="0" t="s">
        <v>228</v>
      </c>
      <c r="BA634" s="0" t="s">
        <v>228</v>
      </c>
      <c r="BB634" s="0" t="s">
        <v>228</v>
      </c>
      <c r="BC634" s="0" t="s">
        <v>228</v>
      </c>
      <c r="BD634" s="0" t="s">
        <v>228</v>
      </c>
      <c r="BE634" s="0" t="s">
        <v>228</v>
      </c>
      <c r="BF634" s="0" t="s">
        <v>228</v>
      </c>
      <c r="BG634" s="0" t="s">
        <v>228</v>
      </c>
      <c r="BH634" s="0" t="s">
        <v>228</v>
      </c>
      <c r="BI634" s="0" t="s">
        <v>228</v>
      </c>
      <c r="BJ634" s="0" t="s">
        <v>228</v>
      </c>
      <c r="BK634" s="0" t="s">
        <v>228</v>
      </c>
      <c r="BL634" s="0" t="s">
        <v>228</v>
      </c>
      <c r="BM634" s="0" t="s">
        <v>228</v>
      </c>
      <c r="BN634" s="0" t="s">
        <v>228</v>
      </c>
      <c r="BO634" s="0" t="s">
        <v>228</v>
      </c>
      <c r="BP634" s="0" t="s">
        <v>228</v>
      </c>
      <c r="BQ634" s="0" t="s">
        <v>228</v>
      </c>
      <c r="BR634" s="0" t="s">
        <v>228</v>
      </c>
      <c r="BS634" s="0" t="s">
        <v>228</v>
      </c>
      <c r="BT634" s="0" t="s">
        <v>228</v>
      </c>
      <c r="BU634" s="0" t="s">
        <v>228</v>
      </c>
      <c r="BV634" s="0" t="s">
        <v>228</v>
      </c>
      <c r="BW634" s="0" t="s">
        <v>228</v>
      </c>
      <c r="BX634" s="0" t="s">
        <v>228</v>
      </c>
      <c r="BY634" s="0" t="s">
        <v>228</v>
      </c>
      <c r="BZ634" s="0" t="s">
        <v>228</v>
      </c>
      <c r="CA634" s="0" t="s">
        <v>228</v>
      </c>
      <c r="CB634" s="0" t="s">
        <v>228</v>
      </c>
      <c r="CC634" s="0" t="s">
        <v>228</v>
      </c>
      <c r="CD634" s="0" t="s">
        <v>228</v>
      </c>
      <c r="CE634" s="0" t="s">
        <v>228</v>
      </c>
      <c r="CF634" s="0" t="s">
        <v>228</v>
      </c>
      <c r="CG634" s="0" t="s">
        <v>228</v>
      </c>
      <c r="CH634" s="0" t="s">
        <v>228</v>
      </c>
      <c r="CI634" s="0" t="s">
        <v>228</v>
      </c>
      <c r="CJ634" s="0" t="s">
        <v>228</v>
      </c>
      <c r="CK634" s="0" t="s">
        <v>228</v>
      </c>
      <c r="CL634" s="0" t="s">
        <v>228</v>
      </c>
      <c r="CM634" s="0" t="s">
        <v>228</v>
      </c>
      <c r="CN634" s="0" t="s">
        <v>228</v>
      </c>
      <c r="CO634" s="0" t="s">
        <v>228</v>
      </c>
      <c r="CP634" s="0" t="s">
        <v>228</v>
      </c>
      <c r="CQ634" s="0" t="s">
        <v>228</v>
      </c>
      <c r="CR634" s="0" t="s">
        <v>228</v>
      </c>
      <c r="CS634" s="0" t="s">
        <v>228</v>
      </c>
      <c r="CT634" s="0" t="s">
        <v>3568</v>
      </c>
      <c r="CU634" s="0" t="s">
        <v>3569</v>
      </c>
      <c r="CV634" s="0" t="s">
        <v>418</v>
      </c>
      <c r="CW634" s="0" t="s">
        <v>4924</v>
      </c>
      <c r="CX634" s="0" t="s">
        <v>419</v>
      </c>
      <c r="CY634" s="0" t="s">
        <v>418</v>
      </c>
      <c r="CZ634" s="0" t="s">
        <v>319</v>
      </c>
      <c r="DA634" s="0" t="s">
        <v>420</v>
      </c>
      <c r="DB634" s="0" t="s">
        <v>4924</v>
      </c>
      <c r="DC634" s="0" t="s">
        <v>362</v>
      </c>
      <c r="DD634" s="0" t="s">
        <v>3572</v>
      </c>
      <c r="DE634" s="0" t="s">
        <v>4987</v>
      </c>
    </row>
    <row customHeight="1" ht="11.25">
      <c r="A635" s="1353" t="s">
        <v>228</v>
      </c>
      <c r="B635" s="0" t="s">
        <v>228</v>
      </c>
      <c r="C635" s="0" t="s">
        <v>228</v>
      </c>
      <c r="D635" s="0" t="s">
        <v>228</v>
      </c>
      <c r="E635" s="0" t="s">
        <v>228</v>
      </c>
      <c r="F635" s="0" t="s">
        <v>228</v>
      </c>
      <c r="G635" s="0" t="s">
        <v>228</v>
      </c>
      <c r="H635" s="0" t="s">
        <v>228</v>
      </c>
      <c r="I635" s="0" t="s">
        <v>3555</v>
      </c>
      <c r="J635" s="0" t="s">
        <v>228</v>
      </c>
      <c r="K635" s="0" t="s">
        <v>228</v>
      </c>
      <c r="L635" s="0" t="s">
        <v>228</v>
      </c>
      <c r="M635" s="0" t="s">
        <v>228</v>
      </c>
      <c r="N635" s="0" t="s">
        <v>228</v>
      </c>
      <c r="O635" s="0" t="s">
        <v>228</v>
      </c>
      <c r="P635" s="0" t="s">
        <v>228</v>
      </c>
      <c r="Q635" s="0" t="s">
        <v>228</v>
      </c>
      <c r="R635" s="0" t="s">
        <v>4988</v>
      </c>
      <c r="S635" s="0" t="s">
        <v>228</v>
      </c>
      <c r="T635" s="0" t="s">
        <v>228</v>
      </c>
      <c r="U635" s="0" t="s">
        <v>101</v>
      </c>
      <c r="V635" s="0" t="s">
        <v>228</v>
      </c>
      <c r="W635" s="0" t="s">
        <v>228</v>
      </c>
      <c r="X635" s="0" t="s">
        <v>3557</v>
      </c>
      <c r="Y635" s="0" t="s">
        <v>228</v>
      </c>
      <c r="Z635" s="0" t="s">
        <v>160</v>
      </c>
      <c r="AA635" s="0" t="s">
        <v>151</v>
      </c>
      <c r="AB635" s="0" t="s">
        <v>151</v>
      </c>
      <c r="AC635" s="0" t="s">
        <v>2290</v>
      </c>
      <c r="AD635" s="0" t="s">
        <v>2290</v>
      </c>
      <c r="AE635" s="0" t="s">
        <v>2292</v>
      </c>
      <c r="AF635" s="0" t="s">
        <v>4989</v>
      </c>
      <c r="AG635" s="0" t="s">
        <v>4990</v>
      </c>
      <c r="AH635" s="0" t="s">
        <v>4991</v>
      </c>
      <c r="AI635" s="0" t="s">
        <v>4992</v>
      </c>
      <c r="AJ635" s="0" t="s">
        <v>4993</v>
      </c>
      <c r="AK635" s="0" t="s">
        <v>4994</v>
      </c>
      <c r="AL635" s="0" t="s">
        <v>3646</v>
      </c>
      <c r="AM635" s="0" t="s">
        <v>3565</v>
      </c>
      <c r="AN635" s="0" t="s">
        <v>3582</v>
      </c>
      <c r="AO635" s="0" t="s">
        <v>3823</v>
      </c>
      <c r="AP635" s="0" t="s">
        <v>228</v>
      </c>
      <c r="AQ635" s="0" t="s">
        <v>228</v>
      </c>
      <c r="AR635" s="0" t="s">
        <v>228</v>
      </c>
      <c r="AS635" s="0" t="s">
        <v>228</v>
      </c>
      <c r="AT635" s="0" t="s">
        <v>228</v>
      </c>
      <c r="AU635" s="0" t="s">
        <v>228</v>
      </c>
      <c r="AV635" s="0" t="s">
        <v>228</v>
      </c>
      <c r="AW635" s="0" t="s">
        <v>228</v>
      </c>
      <c r="AX635" s="0" t="s">
        <v>228</v>
      </c>
      <c r="AY635" s="0" t="s">
        <v>228</v>
      </c>
      <c r="AZ635" s="0" t="s">
        <v>228</v>
      </c>
      <c r="BA635" s="0" t="s">
        <v>228</v>
      </c>
      <c r="BB635" s="0" t="s">
        <v>228</v>
      </c>
      <c r="BC635" s="0" t="s">
        <v>228</v>
      </c>
      <c r="BD635" s="0" t="s">
        <v>228</v>
      </c>
      <c r="BE635" s="0" t="s">
        <v>228</v>
      </c>
      <c r="BF635" s="0" t="s">
        <v>228</v>
      </c>
      <c r="BG635" s="0" t="s">
        <v>228</v>
      </c>
      <c r="BH635" s="0" t="s">
        <v>228</v>
      </c>
      <c r="BI635" s="0" t="s">
        <v>228</v>
      </c>
      <c r="BJ635" s="0" t="s">
        <v>228</v>
      </c>
      <c r="BK635" s="0" t="s">
        <v>228</v>
      </c>
      <c r="BL635" s="0" t="s">
        <v>228</v>
      </c>
      <c r="BM635" s="0" t="s">
        <v>228</v>
      </c>
      <c r="BN635" s="0" t="s">
        <v>228</v>
      </c>
      <c r="BO635" s="0" t="s">
        <v>228</v>
      </c>
      <c r="BP635" s="0" t="s">
        <v>228</v>
      </c>
      <c r="BQ635" s="0" t="s">
        <v>228</v>
      </c>
      <c r="BR635" s="0" t="s">
        <v>228</v>
      </c>
      <c r="BS635" s="0" t="s">
        <v>228</v>
      </c>
      <c r="BT635" s="0" t="s">
        <v>228</v>
      </c>
      <c r="BU635" s="0" t="s">
        <v>228</v>
      </c>
      <c r="BV635" s="0" t="s">
        <v>228</v>
      </c>
      <c r="BW635" s="0" t="s">
        <v>228</v>
      </c>
      <c r="BX635" s="0" t="s">
        <v>228</v>
      </c>
      <c r="BY635" s="0" t="s">
        <v>228</v>
      </c>
      <c r="BZ635" s="0" t="s">
        <v>228</v>
      </c>
      <c r="CA635" s="0" t="s">
        <v>228</v>
      </c>
      <c r="CB635" s="0" t="s">
        <v>228</v>
      </c>
      <c r="CC635" s="0" t="s">
        <v>228</v>
      </c>
      <c r="CD635" s="0" t="s">
        <v>228</v>
      </c>
      <c r="CE635" s="0" t="s">
        <v>228</v>
      </c>
      <c r="CF635" s="0" t="s">
        <v>228</v>
      </c>
      <c r="CG635" s="0" t="s">
        <v>228</v>
      </c>
      <c r="CH635" s="0" t="s">
        <v>228</v>
      </c>
      <c r="CI635" s="0" t="s">
        <v>228</v>
      </c>
      <c r="CJ635" s="0" t="s">
        <v>228</v>
      </c>
      <c r="CK635" s="0" t="s">
        <v>228</v>
      </c>
      <c r="CL635" s="0" t="s">
        <v>228</v>
      </c>
      <c r="CM635" s="0" t="s">
        <v>228</v>
      </c>
      <c r="CN635" s="0" t="s">
        <v>228</v>
      </c>
      <c r="CO635" s="0" t="s">
        <v>228</v>
      </c>
      <c r="CP635" s="0" t="s">
        <v>228</v>
      </c>
      <c r="CQ635" s="0" t="s">
        <v>228</v>
      </c>
      <c r="CR635" s="0" t="s">
        <v>228</v>
      </c>
      <c r="CS635" s="0" t="s">
        <v>228</v>
      </c>
      <c r="CT635" s="0" t="s">
        <v>3568</v>
      </c>
      <c r="CU635" s="0" t="s">
        <v>3569</v>
      </c>
      <c r="CV635" s="0" t="s">
        <v>418</v>
      </c>
      <c r="CW635" s="0" t="s">
        <v>4924</v>
      </c>
      <c r="CX635" s="0" t="s">
        <v>419</v>
      </c>
      <c r="CY635" s="0" t="s">
        <v>418</v>
      </c>
      <c r="CZ635" s="0" t="s">
        <v>319</v>
      </c>
      <c r="DA635" s="0" t="s">
        <v>420</v>
      </c>
      <c r="DB635" s="0" t="s">
        <v>4924</v>
      </c>
      <c r="DC635" s="0" t="s">
        <v>362</v>
      </c>
      <c r="DD635" s="0" t="s">
        <v>3572</v>
      </c>
      <c r="DE635" s="0" t="s">
        <v>4995</v>
      </c>
    </row>
    <row customHeight="1" ht="11.25">
      <c r="A636" s="1353" t="s">
        <v>228</v>
      </c>
      <c r="B636" s="0" t="s">
        <v>228</v>
      </c>
      <c r="C636" s="0" t="s">
        <v>228</v>
      </c>
      <c r="D636" s="0" t="s">
        <v>228</v>
      </c>
      <c r="E636" s="0" t="s">
        <v>228</v>
      </c>
      <c r="F636" s="0" t="s">
        <v>228</v>
      </c>
      <c r="G636" s="0" t="s">
        <v>228</v>
      </c>
      <c r="H636" s="0" t="s">
        <v>228</v>
      </c>
      <c r="I636" s="0" t="s">
        <v>3555</v>
      </c>
      <c r="J636" s="0" t="s">
        <v>228</v>
      </c>
      <c r="K636" s="0" t="s">
        <v>228</v>
      </c>
      <c r="L636" s="0" t="s">
        <v>228</v>
      </c>
      <c r="M636" s="0" t="s">
        <v>228</v>
      </c>
      <c r="N636" s="0" t="s">
        <v>228</v>
      </c>
      <c r="O636" s="0" t="s">
        <v>228</v>
      </c>
      <c r="P636" s="0" t="s">
        <v>228</v>
      </c>
      <c r="Q636" s="0" t="s">
        <v>228</v>
      </c>
      <c r="R636" s="0" t="s">
        <v>3718</v>
      </c>
      <c r="S636" s="0" t="s">
        <v>228</v>
      </c>
      <c r="T636" s="0" t="s">
        <v>228</v>
      </c>
      <c r="U636" s="0" t="s">
        <v>101</v>
      </c>
      <c r="V636" s="0" t="s">
        <v>228</v>
      </c>
      <c r="W636" s="0" t="s">
        <v>228</v>
      </c>
      <c r="X636" s="0" t="s">
        <v>3661</v>
      </c>
      <c r="Y636" s="0" t="s">
        <v>228</v>
      </c>
      <c r="Z636" s="0" t="s">
        <v>151</v>
      </c>
      <c r="AA636" s="0" t="s">
        <v>151</v>
      </c>
      <c r="AB636" s="0" t="s">
        <v>160</v>
      </c>
      <c r="AC636" s="0" t="s">
        <v>2311</v>
      </c>
      <c r="AD636" s="0" t="s">
        <v>2311</v>
      </c>
      <c r="AE636" s="0" t="s">
        <v>2312</v>
      </c>
      <c r="AF636" s="0" t="s">
        <v>4034</v>
      </c>
      <c r="AG636" s="0" t="s">
        <v>4035</v>
      </c>
      <c r="AH636" s="0" t="s">
        <v>4034</v>
      </c>
      <c r="AI636" s="0" t="s">
        <v>3721</v>
      </c>
      <c r="AJ636" s="0" t="s">
        <v>228</v>
      </c>
      <c r="AK636" s="0" t="s">
        <v>228</v>
      </c>
      <c r="AL636" s="0" t="s">
        <v>228</v>
      </c>
      <c r="AM636" s="0" t="s">
        <v>228</v>
      </c>
      <c r="AN636" s="0" t="s">
        <v>228</v>
      </c>
      <c r="AO636" s="0" t="s">
        <v>228</v>
      </c>
      <c r="AP636" s="0" t="s">
        <v>228</v>
      </c>
      <c r="AQ636" s="0" t="s">
        <v>228</v>
      </c>
      <c r="AR636" s="0" t="s">
        <v>228</v>
      </c>
      <c r="AS636" s="0" t="s">
        <v>228</v>
      </c>
      <c r="AT636" s="0" t="s">
        <v>228</v>
      </c>
      <c r="AU636" s="0" t="s">
        <v>228</v>
      </c>
      <c r="AV636" s="0" t="s">
        <v>228</v>
      </c>
      <c r="AW636" s="0" t="s">
        <v>228</v>
      </c>
      <c r="AX636" s="0" t="s">
        <v>228</v>
      </c>
      <c r="AY636" s="0" t="s">
        <v>228</v>
      </c>
      <c r="AZ636" s="0" t="s">
        <v>228</v>
      </c>
      <c r="BA636" s="0" t="s">
        <v>228</v>
      </c>
      <c r="BB636" s="0" t="s">
        <v>228</v>
      </c>
      <c r="BC636" s="0" t="s">
        <v>228</v>
      </c>
      <c r="BD636" s="0" t="s">
        <v>228</v>
      </c>
      <c r="BE636" s="0" t="s">
        <v>3722</v>
      </c>
      <c r="BF636" s="0" t="s">
        <v>3722</v>
      </c>
      <c r="BG636" s="0" t="s">
        <v>111</v>
      </c>
      <c r="BH636" s="0" t="s">
        <v>3665</v>
      </c>
      <c r="BI636" s="0" t="s">
        <v>122</v>
      </c>
      <c r="BJ636" s="0" t="s">
        <v>228</v>
      </c>
      <c r="BK636" s="0" t="s">
        <v>3684</v>
      </c>
      <c r="BL636" s="0" t="s">
        <v>2311</v>
      </c>
      <c r="BM636" s="0" t="s">
        <v>2311</v>
      </c>
      <c r="BN636" s="0" t="s">
        <v>3723</v>
      </c>
      <c r="BO636" s="0" t="s">
        <v>4034</v>
      </c>
      <c r="BP636" s="0" t="s">
        <v>4038</v>
      </c>
      <c r="BQ636" s="0" t="s">
        <v>3642</v>
      </c>
      <c r="BR636" s="0" t="s">
        <v>3688</v>
      </c>
      <c r="BS636" s="0" t="s">
        <v>228</v>
      </c>
      <c r="BT636" s="0" t="s">
        <v>3727</v>
      </c>
      <c r="BU636" s="0" t="s">
        <v>4042</v>
      </c>
      <c r="BV636" s="0" t="s">
        <v>4042</v>
      </c>
      <c r="BW636" s="0" t="s">
        <v>3674</v>
      </c>
      <c r="BX636" s="0" t="s">
        <v>3674</v>
      </c>
      <c r="BY636" s="0" t="s">
        <v>3674</v>
      </c>
      <c r="BZ636" s="0" t="s">
        <v>3674</v>
      </c>
      <c r="CA636" s="0" t="s">
        <v>3674</v>
      </c>
      <c r="CB636" s="0" t="s">
        <v>228</v>
      </c>
      <c r="CC636" s="0" t="s">
        <v>228</v>
      </c>
      <c r="CD636" s="0" t="s">
        <v>228</v>
      </c>
      <c r="CE636" s="0" t="s">
        <v>228</v>
      </c>
      <c r="CF636" s="0" t="s">
        <v>228</v>
      </c>
      <c r="CG636" s="0" t="s">
        <v>3674</v>
      </c>
      <c r="CH636" s="0" t="s">
        <v>228</v>
      </c>
      <c r="CI636" s="0" t="s">
        <v>228</v>
      </c>
      <c r="CJ636" s="0" t="s">
        <v>228</v>
      </c>
      <c r="CK636" s="0" t="s">
        <v>228</v>
      </c>
      <c r="CL636" s="0" t="s">
        <v>228</v>
      </c>
      <c r="CM636" s="0" t="s">
        <v>4042</v>
      </c>
      <c r="CN636" s="0" t="s">
        <v>4042</v>
      </c>
      <c r="CO636" s="0" t="s">
        <v>228</v>
      </c>
      <c r="CP636" s="0" t="s">
        <v>228</v>
      </c>
      <c r="CQ636" s="0" t="s">
        <v>228</v>
      </c>
      <c r="CR636" s="0" t="s">
        <v>228</v>
      </c>
      <c r="CS636" s="0" t="s">
        <v>3582</v>
      </c>
      <c r="CT636" s="0" t="s">
        <v>3568</v>
      </c>
      <c r="CU636" s="0" t="s">
        <v>3569</v>
      </c>
      <c r="CV636" s="0" t="s">
        <v>418</v>
      </c>
      <c r="CW636" s="0" t="s">
        <v>3584</v>
      </c>
      <c r="CX636" s="0" t="s">
        <v>419</v>
      </c>
      <c r="CY636" s="0" t="s">
        <v>418</v>
      </c>
      <c r="CZ636" s="0" t="s">
        <v>3585</v>
      </c>
      <c r="DA636" s="0" t="s">
        <v>3586</v>
      </c>
      <c r="DB636" s="0" t="s">
        <v>3584</v>
      </c>
      <c r="DC636" s="0" t="s">
        <v>362</v>
      </c>
      <c r="DD636" s="0" t="s">
        <v>3572</v>
      </c>
      <c r="DE636" s="0" t="s">
        <v>4043</v>
      </c>
    </row>
    <row customHeight="1" ht="11.25">
      <c r="A637" s="1353" t="s">
        <v>228</v>
      </c>
      <c r="B637" s="0" t="s">
        <v>228</v>
      </c>
      <c r="C637" s="0" t="s">
        <v>228</v>
      </c>
      <c r="D637" s="0" t="s">
        <v>228</v>
      </c>
      <c r="E637" s="0" t="s">
        <v>228</v>
      </c>
      <c r="F637" s="0" t="s">
        <v>228</v>
      </c>
      <c r="G637" s="0" t="s">
        <v>228</v>
      </c>
      <c r="H637" s="0" t="s">
        <v>228</v>
      </c>
      <c r="I637" s="0" t="s">
        <v>3555</v>
      </c>
      <c r="J637" s="0" t="s">
        <v>228</v>
      </c>
      <c r="K637" s="0" t="s">
        <v>228</v>
      </c>
      <c r="L637" s="0" t="s">
        <v>228</v>
      </c>
      <c r="M637" s="0" t="s">
        <v>228</v>
      </c>
      <c r="N637" s="0" t="s">
        <v>228</v>
      </c>
      <c r="O637" s="0" t="s">
        <v>228</v>
      </c>
      <c r="P637" s="0" t="s">
        <v>228</v>
      </c>
      <c r="Q637" s="0" t="s">
        <v>228</v>
      </c>
      <c r="R637" s="0" t="s">
        <v>4862</v>
      </c>
      <c r="S637" s="0" t="s">
        <v>228</v>
      </c>
      <c r="T637" s="0" t="s">
        <v>228</v>
      </c>
      <c r="U637" s="0" t="s">
        <v>101</v>
      </c>
      <c r="V637" s="0" t="s">
        <v>228</v>
      </c>
      <c r="W637" s="0" t="s">
        <v>228</v>
      </c>
      <c r="X637" s="0" t="s">
        <v>3557</v>
      </c>
      <c r="Y637" s="0" t="s">
        <v>228</v>
      </c>
      <c r="Z637" s="0" t="s">
        <v>160</v>
      </c>
      <c r="AA637" s="0" t="s">
        <v>151</v>
      </c>
      <c r="AB637" s="0" t="s">
        <v>151</v>
      </c>
      <c r="AC637" s="0" t="s">
        <v>2311</v>
      </c>
      <c r="AD637" s="0" t="s">
        <v>2311</v>
      </c>
      <c r="AE637" s="0" t="s">
        <v>2312</v>
      </c>
      <c r="AF637" s="0" t="s">
        <v>4709</v>
      </c>
      <c r="AG637" s="0" t="s">
        <v>4710</v>
      </c>
      <c r="AH637" s="0" t="s">
        <v>4415</v>
      </c>
      <c r="AI637" s="0" t="s">
        <v>4863</v>
      </c>
      <c r="AJ637" s="0" t="s">
        <v>3579</v>
      </c>
      <c r="AK637" s="0" t="s">
        <v>3580</v>
      </c>
      <c r="AL637" s="0" t="s">
        <v>3581</v>
      </c>
      <c r="AM637" s="0" t="s">
        <v>3565</v>
      </c>
      <c r="AN637" s="0" t="s">
        <v>3582</v>
      </c>
      <c r="AO637" s="0" t="s">
        <v>4864</v>
      </c>
      <c r="AP637" s="0" t="s">
        <v>228</v>
      </c>
      <c r="AQ637" s="0" t="s">
        <v>228</v>
      </c>
      <c r="AR637" s="0" t="s">
        <v>228</v>
      </c>
      <c r="AS637" s="0" t="s">
        <v>228</v>
      </c>
      <c r="AT637" s="0" t="s">
        <v>228</v>
      </c>
      <c r="AU637" s="0" t="s">
        <v>228</v>
      </c>
      <c r="AV637" s="0" t="s">
        <v>228</v>
      </c>
      <c r="AW637" s="0" t="s">
        <v>228</v>
      </c>
      <c r="AX637" s="0" t="s">
        <v>228</v>
      </c>
      <c r="AY637" s="0" t="s">
        <v>228</v>
      </c>
      <c r="AZ637" s="0" t="s">
        <v>228</v>
      </c>
      <c r="BA637" s="0" t="s">
        <v>228</v>
      </c>
      <c r="BB637" s="0" t="s">
        <v>228</v>
      </c>
      <c r="BC637" s="0" t="s">
        <v>228</v>
      </c>
      <c r="BD637" s="0" t="s">
        <v>228</v>
      </c>
      <c r="BE637" s="0" t="s">
        <v>228</v>
      </c>
      <c r="BF637" s="0" t="s">
        <v>228</v>
      </c>
      <c r="BG637" s="0" t="s">
        <v>228</v>
      </c>
      <c r="BH637" s="0" t="s">
        <v>228</v>
      </c>
      <c r="BI637" s="0" t="s">
        <v>228</v>
      </c>
      <c r="BJ637" s="0" t="s">
        <v>228</v>
      </c>
      <c r="BK637" s="0" t="s">
        <v>228</v>
      </c>
      <c r="BL637" s="0" t="s">
        <v>228</v>
      </c>
      <c r="BM637" s="0" t="s">
        <v>228</v>
      </c>
      <c r="BN637" s="0" t="s">
        <v>228</v>
      </c>
      <c r="BO637" s="0" t="s">
        <v>228</v>
      </c>
      <c r="BP637" s="0" t="s">
        <v>228</v>
      </c>
      <c r="BQ637" s="0" t="s">
        <v>228</v>
      </c>
      <c r="BR637" s="0" t="s">
        <v>228</v>
      </c>
      <c r="BS637" s="0" t="s">
        <v>228</v>
      </c>
      <c r="BT637" s="0" t="s">
        <v>228</v>
      </c>
      <c r="BU637" s="0" t="s">
        <v>228</v>
      </c>
      <c r="BV637" s="0" t="s">
        <v>228</v>
      </c>
      <c r="BW637" s="0" t="s">
        <v>228</v>
      </c>
      <c r="BX637" s="0" t="s">
        <v>228</v>
      </c>
      <c r="BY637" s="0" t="s">
        <v>228</v>
      </c>
      <c r="BZ637" s="0" t="s">
        <v>228</v>
      </c>
      <c r="CA637" s="0" t="s">
        <v>228</v>
      </c>
      <c r="CB637" s="0" t="s">
        <v>228</v>
      </c>
      <c r="CC637" s="0" t="s">
        <v>228</v>
      </c>
      <c r="CD637" s="0" t="s">
        <v>228</v>
      </c>
      <c r="CE637" s="0" t="s">
        <v>228</v>
      </c>
      <c r="CF637" s="0" t="s">
        <v>228</v>
      </c>
      <c r="CG637" s="0" t="s">
        <v>228</v>
      </c>
      <c r="CH637" s="0" t="s">
        <v>228</v>
      </c>
      <c r="CI637" s="0" t="s">
        <v>228</v>
      </c>
      <c r="CJ637" s="0" t="s">
        <v>228</v>
      </c>
      <c r="CK637" s="0" t="s">
        <v>228</v>
      </c>
      <c r="CL637" s="0" t="s">
        <v>228</v>
      </c>
      <c r="CM637" s="0" t="s">
        <v>228</v>
      </c>
      <c r="CN637" s="0" t="s">
        <v>228</v>
      </c>
      <c r="CO637" s="0" t="s">
        <v>228</v>
      </c>
      <c r="CP637" s="0" t="s">
        <v>228</v>
      </c>
      <c r="CQ637" s="0" t="s">
        <v>228</v>
      </c>
      <c r="CR637" s="0" t="s">
        <v>228</v>
      </c>
      <c r="CS637" s="0" t="s">
        <v>228</v>
      </c>
      <c r="CT637" s="0" t="s">
        <v>3568</v>
      </c>
      <c r="CU637" s="0" t="s">
        <v>3569</v>
      </c>
      <c r="CV637" s="0" t="s">
        <v>418</v>
      </c>
      <c r="CW637" s="0" t="s">
        <v>3584</v>
      </c>
      <c r="CX637" s="0" t="s">
        <v>419</v>
      </c>
      <c r="CY637" s="0" t="s">
        <v>418</v>
      </c>
      <c r="CZ637" s="0" t="s">
        <v>3585</v>
      </c>
      <c r="DA637" s="0" t="s">
        <v>3586</v>
      </c>
      <c r="DB637" s="0" t="s">
        <v>3584</v>
      </c>
      <c r="DC637" s="0" t="s">
        <v>362</v>
      </c>
      <c r="DD637" s="0" t="s">
        <v>3572</v>
      </c>
      <c r="DE637" s="0" t="s">
        <v>4865</v>
      </c>
    </row>
    <row customHeight="1" ht="11.25">
      <c r="A638" s="1353" t="s">
        <v>228</v>
      </c>
      <c r="B638" s="0" t="s">
        <v>228</v>
      </c>
      <c r="C638" s="0" t="s">
        <v>228</v>
      </c>
      <c r="D638" s="0" t="s">
        <v>228</v>
      </c>
      <c r="E638" s="0" t="s">
        <v>228</v>
      </c>
      <c r="F638" s="0" t="s">
        <v>228</v>
      </c>
      <c r="G638" s="0" t="s">
        <v>228</v>
      </c>
      <c r="H638" s="0" t="s">
        <v>228</v>
      </c>
      <c r="I638" s="0" t="s">
        <v>3555</v>
      </c>
      <c r="J638" s="0" t="s">
        <v>228</v>
      </c>
      <c r="K638" s="0" t="s">
        <v>228</v>
      </c>
      <c r="L638" s="0" t="s">
        <v>228</v>
      </c>
      <c r="M638" s="0" t="s">
        <v>228</v>
      </c>
      <c r="N638" s="0" t="s">
        <v>228</v>
      </c>
      <c r="O638" s="0" t="s">
        <v>228</v>
      </c>
      <c r="P638" s="0" t="s">
        <v>228</v>
      </c>
      <c r="Q638" s="0" t="s">
        <v>228</v>
      </c>
      <c r="R638" s="0" t="s">
        <v>3718</v>
      </c>
      <c r="S638" s="0" t="s">
        <v>228</v>
      </c>
      <c r="T638" s="0" t="s">
        <v>228</v>
      </c>
      <c r="U638" s="0" t="s">
        <v>101</v>
      </c>
      <c r="V638" s="0" t="s">
        <v>228</v>
      </c>
      <c r="W638" s="0" t="s">
        <v>228</v>
      </c>
      <c r="X638" s="0" t="s">
        <v>3661</v>
      </c>
      <c r="Y638" s="0" t="s">
        <v>228</v>
      </c>
      <c r="Z638" s="0" t="s">
        <v>151</v>
      </c>
      <c r="AA638" s="0" t="s">
        <v>151</v>
      </c>
      <c r="AB638" s="0" t="s">
        <v>160</v>
      </c>
      <c r="AC638" s="0" t="s">
        <v>2311</v>
      </c>
      <c r="AD638" s="0" t="s">
        <v>2311</v>
      </c>
      <c r="AE638" s="0" t="s">
        <v>2312</v>
      </c>
      <c r="AF638" s="0" t="s">
        <v>3575</v>
      </c>
      <c r="AG638" s="0" t="s">
        <v>3576</v>
      </c>
      <c r="AH638" s="0" t="s">
        <v>3577</v>
      </c>
      <c r="AI638" s="0" t="s">
        <v>3578</v>
      </c>
      <c r="AJ638" s="0" t="s">
        <v>228</v>
      </c>
      <c r="AK638" s="0" t="s">
        <v>228</v>
      </c>
      <c r="AL638" s="0" t="s">
        <v>228</v>
      </c>
      <c r="AM638" s="0" t="s">
        <v>228</v>
      </c>
      <c r="AN638" s="0" t="s">
        <v>228</v>
      </c>
      <c r="AO638" s="0" t="s">
        <v>228</v>
      </c>
      <c r="AP638" s="0" t="s">
        <v>228</v>
      </c>
      <c r="AQ638" s="0" t="s">
        <v>228</v>
      </c>
      <c r="AR638" s="0" t="s">
        <v>228</v>
      </c>
      <c r="AS638" s="0" t="s">
        <v>228</v>
      </c>
      <c r="AT638" s="0" t="s">
        <v>228</v>
      </c>
      <c r="AU638" s="0" t="s">
        <v>228</v>
      </c>
      <c r="AV638" s="0" t="s">
        <v>228</v>
      </c>
      <c r="AW638" s="0" t="s">
        <v>228</v>
      </c>
      <c r="AX638" s="0" t="s">
        <v>228</v>
      </c>
      <c r="AY638" s="0" t="s">
        <v>228</v>
      </c>
      <c r="AZ638" s="0" t="s">
        <v>228</v>
      </c>
      <c r="BA638" s="0" t="s">
        <v>228</v>
      </c>
      <c r="BB638" s="0" t="s">
        <v>228</v>
      </c>
      <c r="BC638" s="0" t="s">
        <v>228</v>
      </c>
      <c r="BD638" s="0" t="s">
        <v>228</v>
      </c>
      <c r="BE638" s="0" t="s">
        <v>3722</v>
      </c>
      <c r="BF638" s="0" t="s">
        <v>3722</v>
      </c>
      <c r="BG638" s="0" t="s">
        <v>111</v>
      </c>
      <c r="BH638" s="0" t="s">
        <v>3665</v>
      </c>
      <c r="BI638" s="0" t="s">
        <v>122</v>
      </c>
      <c r="BJ638" s="0" t="s">
        <v>228</v>
      </c>
      <c r="BK638" s="0" t="s">
        <v>3684</v>
      </c>
      <c r="BL638" s="0" t="s">
        <v>2311</v>
      </c>
      <c r="BM638" s="0" t="s">
        <v>2311</v>
      </c>
      <c r="BN638" s="0" t="s">
        <v>3723</v>
      </c>
      <c r="BO638" s="0" t="s">
        <v>3575</v>
      </c>
      <c r="BP638" s="0" t="s">
        <v>4866</v>
      </c>
      <c r="BQ638" s="0" t="s">
        <v>3577</v>
      </c>
      <c r="BR638" s="0" t="s">
        <v>4485</v>
      </c>
      <c r="BS638" s="0" t="s">
        <v>228</v>
      </c>
      <c r="BT638" s="0" t="s">
        <v>3727</v>
      </c>
      <c r="BU638" s="0" t="s">
        <v>4867</v>
      </c>
      <c r="BV638" s="0" t="s">
        <v>4867</v>
      </c>
      <c r="BW638" s="0" t="s">
        <v>3674</v>
      </c>
      <c r="BX638" s="0" t="s">
        <v>3674</v>
      </c>
      <c r="BY638" s="0" t="s">
        <v>3674</v>
      </c>
      <c r="BZ638" s="0" t="s">
        <v>3674</v>
      </c>
      <c r="CA638" s="0" t="s">
        <v>3674</v>
      </c>
      <c r="CB638" s="0" t="s">
        <v>228</v>
      </c>
      <c r="CC638" s="0" t="s">
        <v>228</v>
      </c>
      <c r="CD638" s="0" t="s">
        <v>228</v>
      </c>
      <c r="CE638" s="0" t="s">
        <v>228</v>
      </c>
      <c r="CF638" s="0" t="s">
        <v>228</v>
      </c>
      <c r="CG638" s="0" t="s">
        <v>3674</v>
      </c>
      <c r="CH638" s="0" t="s">
        <v>228</v>
      </c>
      <c r="CI638" s="0" t="s">
        <v>228</v>
      </c>
      <c r="CJ638" s="0" t="s">
        <v>228</v>
      </c>
      <c r="CK638" s="0" t="s">
        <v>228</v>
      </c>
      <c r="CL638" s="0" t="s">
        <v>228</v>
      </c>
      <c r="CM638" s="0" t="s">
        <v>4867</v>
      </c>
      <c r="CN638" s="0" t="s">
        <v>4867</v>
      </c>
      <c r="CO638" s="0" t="s">
        <v>228</v>
      </c>
      <c r="CP638" s="0" t="s">
        <v>228</v>
      </c>
      <c r="CQ638" s="0" t="s">
        <v>228</v>
      </c>
      <c r="CR638" s="0" t="s">
        <v>228</v>
      </c>
      <c r="CS638" s="0" t="s">
        <v>3582</v>
      </c>
      <c r="CT638" s="0" t="s">
        <v>3568</v>
      </c>
      <c r="CU638" s="0" t="s">
        <v>3569</v>
      </c>
      <c r="CV638" s="0" t="s">
        <v>418</v>
      </c>
      <c r="CW638" s="0" t="s">
        <v>3584</v>
      </c>
      <c r="CX638" s="0" t="s">
        <v>419</v>
      </c>
      <c r="CY638" s="0" t="s">
        <v>418</v>
      </c>
      <c r="CZ638" s="0" t="s">
        <v>3585</v>
      </c>
      <c r="DA638" s="0" t="s">
        <v>3586</v>
      </c>
      <c r="DB638" s="0" t="s">
        <v>3584</v>
      </c>
      <c r="DC638" s="0" t="s">
        <v>362</v>
      </c>
      <c r="DD638" s="0" t="s">
        <v>3572</v>
      </c>
      <c r="DE638" s="0" t="s">
        <v>3587</v>
      </c>
    </row>
    <row customHeight="1" ht="11.25">
      <c r="A639" s="1353" t="s">
        <v>228</v>
      </c>
      <c r="B639" s="0" t="s">
        <v>228</v>
      </c>
      <c r="C639" s="0" t="s">
        <v>228</v>
      </c>
      <c r="D639" s="0" t="s">
        <v>228</v>
      </c>
      <c r="E639" s="0" t="s">
        <v>228</v>
      </c>
      <c r="F639" s="0" t="s">
        <v>228</v>
      </c>
      <c r="G639" s="0" t="s">
        <v>228</v>
      </c>
      <c r="H639" s="0" t="s">
        <v>228</v>
      </c>
      <c r="I639" s="0" t="s">
        <v>3555</v>
      </c>
      <c r="J639" s="0" t="s">
        <v>228</v>
      </c>
      <c r="K639" s="0" t="s">
        <v>228</v>
      </c>
      <c r="L639" s="0" t="s">
        <v>228</v>
      </c>
      <c r="M639" s="0" t="s">
        <v>228</v>
      </c>
      <c r="N639" s="0" t="s">
        <v>228</v>
      </c>
      <c r="O639" s="0" t="s">
        <v>228</v>
      </c>
      <c r="P639" s="0" t="s">
        <v>228</v>
      </c>
      <c r="Q639" s="0" t="s">
        <v>228</v>
      </c>
      <c r="R639" s="0" t="s">
        <v>3588</v>
      </c>
      <c r="S639" s="0" t="s">
        <v>228</v>
      </c>
      <c r="T639" s="0" t="s">
        <v>228</v>
      </c>
      <c r="U639" s="0" t="s">
        <v>101</v>
      </c>
      <c r="V639" s="0" t="s">
        <v>228</v>
      </c>
      <c r="W639" s="0" t="s">
        <v>228</v>
      </c>
      <c r="X639" s="0" t="s">
        <v>3557</v>
      </c>
      <c r="Y639" s="0" t="s">
        <v>228</v>
      </c>
      <c r="Z639" s="0" t="s">
        <v>160</v>
      </c>
      <c r="AA639" s="0" t="s">
        <v>151</v>
      </c>
      <c r="AB639" s="0" t="s">
        <v>151</v>
      </c>
      <c r="AC639" s="0" t="s">
        <v>2317</v>
      </c>
      <c r="AD639" s="0" t="s">
        <v>2317</v>
      </c>
      <c r="AE639" s="0" t="s">
        <v>2318</v>
      </c>
      <c r="AF639" s="0" t="s">
        <v>3826</v>
      </c>
      <c r="AG639" s="0" t="s">
        <v>3827</v>
      </c>
      <c r="AH639" s="0" t="s">
        <v>4166</v>
      </c>
      <c r="AI639" s="0" t="s">
        <v>4167</v>
      </c>
      <c r="AJ639" s="0" t="s">
        <v>3652</v>
      </c>
      <c r="AK639" s="0" t="s">
        <v>3619</v>
      </c>
      <c r="AL639" s="0" t="s">
        <v>3581</v>
      </c>
      <c r="AM639" s="0" t="s">
        <v>3565</v>
      </c>
      <c r="AN639" s="0" t="s">
        <v>3563</v>
      </c>
      <c r="AO639" s="0" t="s">
        <v>4168</v>
      </c>
      <c r="AP639" s="0" t="s">
        <v>228</v>
      </c>
      <c r="AQ639" s="0" t="s">
        <v>228</v>
      </c>
      <c r="AR639" s="0" t="s">
        <v>228</v>
      </c>
      <c r="AS639" s="0" t="s">
        <v>228</v>
      </c>
      <c r="AT639" s="0" t="s">
        <v>228</v>
      </c>
      <c r="AU639" s="0" t="s">
        <v>228</v>
      </c>
      <c r="AV639" s="0" t="s">
        <v>228</v>
      </c>
      <c r="AW639" s="0" t="s">
        <v>228</v>
      </c>
      <c r="AX639" s="0" t="s">
        <v>228</v>
      </c>
      <c r="AY639" s="0" t="s">
        <v>228</v>
      </c>
      <c r="AZ639" s="0" t="s">
        <v>228</v>
      </c>
      <c r="BA639" s="0" t="s">
        <v>228</v>
      </c>
      <c r="BB639" s="0" t="s">
        <v>228</v>
      </c>
      <c r="BC639" s="0" t="s">
        <v>228</v>
      </c>
      <c r="BD639" s="0" t="s">
        <v>228</v>
      </c>
      <c r="BE639" s="0" t="s">
        <v>228</v>
      </c>
      <c r="BF639" s="0" t="s">
        <v>228</v>
      </c>
      <c r="BG639" s="0" t="s">
        <v>228</v>
      </c>
      <c r="BH639" s="0" t="s">
        <v>228</v>
      </c>
      <c r="BI639" s="0" t="s">
        <v>228</v>
      </c>
      <c r="BJ639" s="0" t="s">
        <v>228</v>
      </c>
      <c r="BK639" s="0" t="s">
        <v>228</v>
      </c>
      <c r="BL639" s="0" t="s">
        <v>228</v>
      </c>
      <c r="BM639" s="0" t="s">
        <v>228</v>
      </c>
      <c r="BN639" s="0" t="s">
        <v>228</v>
      </c>
      <c r="BO639" s="0" t="s">
        <v>228</v>
      </c>
      <c r="BP639" s="0" t="s">
        <v>228</v>
      </c>
      <c r="BQ639" s="0" t="s">
        <v>228</v>
      </c>
      <c r="BR639" s="0" t="s">
        <v>228</v>
      </c>
      <c r="BS639" s="0" t="s">
        <v>228</v>
      </c>
      <c r="BT639" s="0" t="s">
        <v>228</v>
      </c>
      <c r="BU639" s="0" t="s">
        <v>228</v>
      </c>
      <c r="BV639" s="0" t="s">
        <v>228</v>
      </c>
      <c r="BW639" s="0" t="s">
        <v>228</v>
      </c>
      <c r="BX639" s="0" t="s">
        <v>228</v>
      </c>
      <c r="BY639" s="0" t="s">
        <v>228</v>
      </c>
      <c r="BZ639" s="0" t="s">
        <v>228</v>
      </c>
      <c r="CA639" s="0" t="s">
        <v>228</v>
      </c>
      <c r="CB639" s="0" t="s">
        <v>228</v>
      </c>
      <c r="CC639" s="0" t="s">
        <v>228</v>
      </c>
      <c r="CD639" s="0" t="s">
        <v>228</v>
      </c>
      <c r="CE639" s="0" t="s">
        <v>228</v>
      </c>
      <c r="CF639" s="0" t="s">
        <v>228</v>
      </c>
      <c r="CG639" s="0" t="s">
        <v>228</v>
      </c>
      <c r="CH639" s="0" t="s">
        <v>228</v>
      </c>
      <c r="CI639" s="0" t="s">
        <v>228</v>
      </c>
      <c r="CJ639" s="0" t="s">
        <v>228</v>
      </c>
      <c r="CK639" s="0" t="s">
        <v>228</v>
      </c>
      <c r="CL639" s="0" t="s">
        <v>228</v>
      </c>
      <c r="CM639" s="0" t="s">
        <v>228</v>
      </c>
      <c r="CN639" s="0" t="s">
        <v>228</v>
      </c>
      <c r="CO639" s="0" t="s">
        <v>228</v>
      </c>
      <c r="CP639" s="0" t="s">
        <v>228</v>
      </c>
      <c r="CQ639" s="0" t="s">
        <v>228</v>
      </c>
      <c r="CR639" s="0" t="s">
        <v>228</v>
      </c>
      <c r="CS639" s="0" t="s">
        <v>228</v>
      </c>
      <c r="CT639" s="0" t="s">
        <v>3568</v>
      </c>
      <c r="CU639" s="0" t="s">
        <v>3569</v>
      </c>
      <c r="CV639" s="0" t="s">
        <v>418</v>
      </c>
      <c r="CW639" s="0" t="s">
        <v>3622</v>
      </c>
      <c r="CX639" s="0" t="s">
        <v>419</v>
      </c>
      <c r="CY639" s="0" t="s">
        <v>418</v>
      </c>
      <c r="CZ639" s="0" t="s">
        <v>3623</v>
      </c>
      <c r="DA639" s="0" t="s">
        <v>3624</v>
      </c>
      <c r="DB639" s="0" t="s">
        <v>3622</v>
      </c>
      <c r="DC639" s="0" t="s">
        <v>362</v>
      </c>
      <c r="DD639" s="0" t="s">
        <v>3572</v>
      </c>
      <c r="DE639" s="0" t="s">
        <v>4169</v>
      </c>
    </row>
    <row customHeight="1" ht="11.25">
      <c r="A640" s="1353" t="s">
        <v>228</v>
      </c>
      <c r="B640" s="0" t="s">
        <v>228</v>
      </c>
      <c r="C640" s="0" t="s">
        <v>228</v>
      </c>
      <c r="D640" s="0" t="s">
        <v>228</v>
      </c>
      <c r="E640" s="0" t="s">
        <v>228</v>
      </c>
      <c r="F640" s="0" t="s">
        <v>228</v>
      </c>
      <c r="G640" s="0" t="s">
        <v>228</v>
      </c>
      <c r="H640" s="0" t="s">
        <v>228</v>
      </c>
      <c r="I640" s="0" t="s">
        <v>3555</v>
      </c>
      <c r="J640" s="0" t="s">
        <v>228</v>
      </c>
      <c r="K640" s="0" t="s">
        <v>228</v>
      </c>
      <c r="L640" s="0" t="s">
        <v>228</v>
      </c>
      <c r="M640" s="0" t="s">
        <v>228</v>
      </c>
      <c r="N640" s="0" t="s">
        <v>228</v>
      </c>
      <c r="O640" s="0" t="s">
        <v>228</v>
      </c>
      <c r="P640" s="0" t="s">
        <v>228</v>
      </c>
      <c r="Q640" s="0" t="s">
        <v>228</v>
      </c>
      <c r="R640" s="0" t="s">
        <v>3648</v>
      </c>
      <c r="S640" s="0" t="s">
        <v>228</v>
      </c>
      <c r="T640" s="0" t="s">
        <v>228</v>
      </c>
      <c r="U640" s="0" t="s">
        <v>101</v>
      </c>
      <c r="V640" s="0" t="s">
        <v>228</v>
      </c>
      <c r="W640" s="0" t="s">
        <v>228</v>
      </c>
      <c r="X640" s="0" t="s">
        <v>3557</v>
      </c>
      <c r="Y640" s="0" t="s">
        <v>228</v>
      </c>
      <c r="Z640" s="0" t="s">
        <v>160</v>
      </c>
      <c r="AA640" s="0" t="s">
        <v>151</v>
      </c>
      <c r="AB640" s="0" t="s">
        <v>151</v>
      </c>
      <c r="AC640" s="0" t="s">
        <v>2317</v>
      </c>
      <c r="AD640" s="0" t="s">
        <v>2317</v>
      </c>
      <c r="AE640" s="0" t="s">
        <v>2318</v>
      </c>
      <c r="AF640" s="0" t="s">
        <v>3826</v>
      </c>
      <c r="AG640" s="0" t="s">
        <v>3827</v>
      </c>
      <c r="AH640" s="0" t="s">
        <v>4170</v>
      </c>
      <c r="AI640" s="0" t="s">
        <v>4171</v>
      </c>
      <c r="AJ640" s="0" t="s">
        <v>3652</v>
      </c>
      <c r="AK640" s="0" t="s">
        <v>3619</v>
      </c>
      <c r="AL640" s="0" t="s">
        <v>3581</v>
      </c>
      <c r="AM640" s="0" t="s">
        <v>3565</v>
      </c>
      <c r="AN640" s="0" t="s">
        <v>3628</v>
      </c>
      <c r="AO640" s="0" t="s">
        <v>3829</v>
      </c>
      <c r="AP640" s="0" t="s">
        <v>228</v>
      </c>
      <c r="AQ640" s="0" t="s">
        <v>228</v>
      </c>
      <c r="AR640" s="0" t="s">
        <v>228</v>
      </c>
      <c r="AS640" s="0" t="s">
        <v>228</v>
      </c>
      <c r="AT640" s="0" t="s">
        <v>228</v>
      </c>
      <c r="AU640" s="0" t="s">
        <v>228</v>
      </c>
      <c r="AV640" s="0" t="s">
        <v>228</v>
      </c>
      <c r="AW640" s="0" t="s">
        <v>228</v>
      </c>
      <c r="AX640" s="0" t="s">
        <v>228</v>
      </c>
      <c r="AY640" s="0" t="s">
        <v>228</v>
      </c>
      <c r="AZ640" s="0" t="s">
        <v>228</v>
      </c>
      <c r="BA640" s="0" t="s">
        <v>228</v>
      </c>
      <c r="BB640" s="0" t="s">
        <v>228</v>
      </c>
      <c r="BC640" s="0" t="s">
        <v>228</v>
      </c>
      <c r="BD640" s="0" t="s">
        <v>228</v>
      </c>
      <c r="BE640" s="0" t="s">
        <v>228</v>
      </c>
      <c r="BF640" s="0" t="s">
        <v>228</v>
      </c>
      <c r="BG640" s="0" t="s">
        <v>228</v>
      </c>
      <c r="BH640" s="0" t="s">
        <v>228</v>
      </c>
      <c r="BI640" s="0" t="s">
        <v>228</v>
      </c>
      <c r="BJ640" s="0" t="s">
        <v>228</v>
      </c>
      <c r="BK640" s="0" t="s">
        <v>228</v>
      </c>
      <c r="BL640" s="0" t="s">
        <v>228</v>
      </c>
      <c r="BM640" s="0" t="s">
        <v>228</v>
      </c>
      <c r="BN640" s="0" t="s">
        <v>228</v>
      </c>
      <c r="BO640" s="0" t="s">
        <v>228</v>
      </c>
      <c r="BP640" s="0" t="s">
        <v>228</v>
      </c>
      <c r="BQ640" s="0" t="s">
        <v>228</v>
      </c>
      <c r="BR640" s="0" t="s">
        <v>228</v>
      </c>
      <c r="BS640" s="0" t="s">
        <v>228</v>
      </c>
      <c r="BT640" s="0" t="s">
        <v>228</v>
      </c>
      <c r="BU640" s="0" t="s">
        <v>228</v>
      </c>
      <c r="BV640" s="0" t="s">
        <v>228</v>
      </c>
      <c r="BW640" s="0" t="s">
        <v>228</v>
      </c>
      <c r="BX640" s="0" t="s">
        <v>228</v>
      </c>
      <c r="BY640" s="0" t="s">
        <v>228</v>
      </c>
      <c r="BZ640" s="0" t="s">
        <v>228</v>
      </c>
      <c r="CA640" s="0" t="s">
        <v>228</v>
      </c>
      <c r="CB640" s="0" t="s">
        <v>228</v>
      </c>
      <c r="CC640" s="0" t="s">
        <v>228</v>
      </c>
      <c r="CD640" s="0" t="s">
        <v>228</v>
      </c>
      <c r="CE640" s="0" t="s">
        <v>228</v>
      </c>
      <c r="CF640" s="0" t="s">
        <v>228</v>
      </c>
      <c r="CG640" s="0" t="s">
        <v>228</v>
      </c>
      <c r="CH640" s="0" t="s">
        <v>228</v>
      </c>
      <c r="CI640" s="0" t="s">
        <v>228</v>
      </c>
      <c r="CJ640" s="0" t="s">
        <v>228</v>
      </c>
      <c r="CK640" s="0" t="s">
        <v>228</v>
      </c>
      <c r="CL640" s="0" t="s">
        <v>228</v>
      </c>
      <c r="CM640" s="0" t="s">
        <v>228</v>
      </c>
      <c r="CN640" s="0" t="s">
        <v>228</v>
      </c>
      <c r="CO640" s="0" t="s">
        <v>228</v>
      </c>
      <c r="CP640" s="0" t="s">
        <v>228</v>
      </c>
      <c r="CQ640" s="0" t="s">
        <v>228</v>
      </c>
      <c r="CR640" s="0" t="s">
        <v>228</v>
      </c>
      <c r="CS640" s="0" t="s">
        <v>228</v>
      </c>
      <c r="CT640" s="0" t="s">
        <v>3568</v>
      </c>
      <c r="CU640" s="0" t="s">
        <v>3569</v>
      </c>
      <c r="CV640" s="0" t="s">
        <v>418</v>
      </c>
      <c r="CW640" s="0" t="s">
        <v>3622</v>
      </c>
      <c r="CX640" s="0" t="s">
        <v>419</v>
      </c>
      <c r="CY640" s="0" t="s">
        <v>418</v>
      </c>
      <c r="CZ640" s="0" t="s">
        <v>3623</v>
      </c>
      <c r="DA640" s="0" t="s">
        <v>3624</v>
      </c>
      <c r="DB640" s="0" t="s">
        <v>3622</v>
      </c>
      <c r="DC640" s="0" t="s">
        <v>362</v>
      </c>
      <c r="DD640" s="0" t="s">
        <v>3572</v>
      </c>
      <c r="DE640" s="0" t="s">
        <v>4172</v>
      </c>
    </row>
    <row customHeight="1" ht="11.25">
      <c r="A641" s="1353" t="s">
        <v>228</v>
      </c>
      <c r="B641" s="0" t="s">
        <v>228</v>
      </c>
      <c r="C641" s="0" t="s">
        <v>228</v>
      </c>
      <c r="D641" s="0" t="s">
        <v>228</v>
      </c>
      <c r="E641" s="0" t="s">
        <v>228</v>
      </c>
      <c r="F641" s="0" t="s">
        <v>228</v>
      </c>
      <c r="G641" s="0" t="s">
        <v>228</v>
      </c>
      <c r="H641" s="0" t="s">
        <v>228</v>
      </c>
      <c r="I641" s="0" t="s">
        <v>3555</v>
      </c>
      <c r="J641" s="0" t="s">
        <v>228</v>
      </c>
      <c r="K641" s="0" t="s">
        <v>228</v>
      </c>
      <c r="L641" s="0" t="s">
        <v>228</v>
      </c>
      <c r="M641" s="0" t="s">
        <v>228</v>
      </c>
      <c r="N641" s="0" t="s">
        <v>228</v>
      </c>
      <c r="O641" s="0" t="s">
        <v>228</v>
      </c>
      <c r="P641" s="0" t="s">
        <v>228</v>
      </c>
      <c r="Q641" s="0" t="s">
        <v>228</v>
      </c>
      <c r="R641" s="0" t="s">
        <v>4237</v>
      </c>
      <c r="S641" s="0" t="s">
        <v>228</v>
      </c>
      <c r="T641" s="0" t="s">
        <v>228</v>
      </c>
      <c r="U641" s="0" t="s">
        <v>101</v>
      </c>
      <c r="V641" s="0" t="s">
        <v>228</v>
      </c>
      <c r="W641" s="0" t="s">
        <v>228</v>
      </c>
      <c r="X641" s="0" t="s">
        <v>3661</v>
      </c>
      <c r="Y641" s="0" t="s">
        <v>228</v>
      </c>
      <c r="Z641" s="0" t="s">
        <v>151</v>
      </c>
      <c r="AA641" s="0" t="s">
        <v>151</v>
      </c>
      <c r="AB641" s="0" t="s">
        <v>160</v>
      </c>
      <c r="AC641" s="0" t="s">
        <v>2317</v>
      </c>
      <c r="AD641" s="0" t="s">
        <v>2317</v>
      </c>
      <c r="AE641" s="0" t="s">
        <v>2318</v>
      </c>
      <c r="AF641" s="0" t="s">
        <v>3849</v>
      </c>
      <c r="AG641" s="0" t="s">
        <v>3850</v>
      </c>
      <c r="AH641" s="0" t="s">
        <v>3651</v>
      </c>
      <c r="AI641" s="0" t="s">
        <v>3651</v>
      </c>
      <c r="AJ641" s="0" t="s">
        <v>228</v>
      </c>
      <c r="AK641" s="0" t="s">
        <v>228</v>
      </c>
      <c r="AL641" s="0" t="s">
        <v>228</v>
      </c>
      <c r="AM641" s="0" t="s">
        <v>228</v>
      </c>
      <c r="AN641" s="0" t="s">
        <v>228</v>
      </c>
      <c r="AO641" s="0" t="s">
        <v>228</v>
      </c>
      <c r="AP641" s="0" t="s">
        <v>228</v>
      </c>
      <c r="AQ641" s="0" t="s">
        <v>228</v>
      </c>
      <c r="AR641" s="0" t="s">
        <v>228</v>
      </c>
      <c r="AS641" s="0" t="s">
        <v>228</v>
      </c>
      <c r="AT641" s="0" t="s">
        <v>228</v>
      </c>
      <c r="AU641" s="0" t="s">
        <v>228</v>
      </c>
      <c r="AV641" s="0" t="s">
        <v>228</v>
      </c>
      <c r="AW641" s="0" t="s">
        <v>228</v>
      </c>
      <c r="AX641" s="0" t="s">
        <v>228</v>
      </c>
      <c r="AY641" s="0" t="s">
        <v>228</v>
      </c>
      <c r="AZ641" s="0" t="s">
        <v>228</v>
      </c>
      <c r="BA641" s="0" t="s">
        <v>228</v>
      </c>
      <c r="BB641" s="0" t="s">
        <v>228</v>
      </c>
      <c r="BC641" s="0" t="s">
        <v>228</v>
      </c>
      <c r="BD641" s="0" t="s">
        <v>228</v>
      </c>
      <c r="BE641" s="0" t="s">
        <v>3627</v>
      </c>
      <c r="BF641" s="0" t="s">
        <v>3619</v>
      </c>
      <c r="BG641" s="0" t="s">
        <v>111</v>
      </c>
      <c r="BH641" s="0" t="s">
        <v>3665</v>
      </c>
      <c r="BI641" s="0" t="s">
        <v>122</v>
      </c>
      <c r="BJ641" s="0" t="s">
        <v>228</v>
      </c>
      <c r="BK641" s="0" t="s">
        <v>3684</v>
      </c>
      <c r="BL641" s="0" t="s">
        <v>2317</v>
      </c>
      <c r="BM641" s="0" t="s">
        <v>2317</v>
      </c>
      <c r="BN641" s="0" t="s">
        <v>3740</v>
      </c>
      <c r="BO641" s="0" t="s">
        <v>3849</v>
      </c>
      <c r="BP641" s="0" t="s">
        <v>4234</v>
      </c>
      <c r="BQ641" s="0" t="s">
        <v>3651</v>
      </c>
      <c r="BR641" s="0" t="s">
        <v>3651</v>
      </c>
      <c r="BS641" s="0" t="s">
        <v>228</v>
      </c>
      <c r="BT641" s="0" t="s">
        <v>4238</v>
      </c>
      <c r="BU641" s="0" t="s">
        <v>4239</v>
      </c>
      <c r="BV641" s="0" t="s">
        <v>4239</v>
      </c>
      <c r="BW641" s="0" t="s">
        <v>3674</v>
      </c>
      <c r="BX641" s="0" t="s">
        <v>3674</v>
      </c>
      <c r="BY641" s="0" t="s">
        <v>3674</v>
      </c>
      <c r="BZ641" s="0" t="s">
        <v>3674</v>
      </c>
      <c r="CA641" s="0" t="s">
        <v>3674</v>
      </c>
      <c r="CB641" s="0" t="s">
        <v>228</v>
      </c>
      <c r="CC641" s="0" t="s">
        <v>228</v>
      </c>
      <c r="CD641" s="0" t="s">
        <v>228</v>
      </c>
      <c r="CE641" s="0" t="s">
        <v>228</v>
      </c>
      <c r="CF641" s="0" t="s">
        <v>228</v>
      </c>
      <c r="CG641" s="0" t="s">
        <v>3674</v>
      </c>
      <c r="CH641" s="0" t="s">
        <v>228</v>
      </c>
      <c r="CI641" s="0" t="s">
        <v>228</v>
      </c>
      <c r="CJ641" s="0" t="s">
        <v>228</v>
      </c>
      <c r="CK641" s="0" t="s">
        <v>228</v>
      </c>
      <c r="CL641" s="0" t="s">
        <v>228</v>
      </c>
      <c r="CM641" s="0" t="s">
        <v>4239</v>
      </c>
      <c r="CN641" s="0" t="s">
        <v>4239</v>
      </c>
      <c r="CO641" s="0" t="s">
        <v>228</v>
      </c>
      <c r="CP641" s="0" t="s">
        <v>228</v>
      </c>
      <c r="CQ641" s="0" t="s">
        <v>228</v>
      </c>
      <c r="CR641" s="0" t="s">
        <v>228</v>
      </c>
      <c r="CS641" s="0" t="s">
        <v>3743</v>
      </c>
      <c r="CT641" s="0" t="s">
        <v>3568</v>
      </c>
      <c r="CU641" s="0" t="s">
        <v>3569</v>
      </c>
      <c r="CV641" s="0" t="s">
        <v>418</v>
      </c>
      <c r="CW641" s="0" t="s">
        <v>3622</v>
      </c>
      <c r="CX641" s="0" t="s">
        <v>419</v>
      </c>
      <c r="CY641" s="0" t="s">
        <v>418</v>
      </c>
      <c r="CZ641" s="0" t="s">
        <v>3623</v>
      </c>
      <c r="DA641" s="0" t="s">
        <v>3624</v>
      </c>
      <c r="DB641" s="0" t="s">
        <v>3622</v>
      </c>
      <c r="DC641" s="0" t="s">
        <v>362</v>
      </c>
      <c r="DD641" s="0" t="s">
        <v>3572</v>
      </c>
      <c r="DE641" s="0" t="s">
        <v>4236</v>
      </c>
    </row>
    <row customHeight="1" ht="11.25">
      <c r="A642" s="1353" t="s">
        <v>228</v>
      </c>
      <c r="B642" s="0" t="s">
        <v>228</v>
      </c>
      <c r="C642" s="0" t="s">
        <v>228</v>
      </c>
      <c r="D642" s="0" t="s">
        <v>228</v>
      </c>
      <c r="E642" s="0" t="s">
        <v>228</v>
      </c>
      <c r="F642" s="0" t="s">
        <v>228</v>
      </c>
      <c r="G642" s="0" t="s">
        <v>228</v>
      </c>
      <c r="H642" s="0" t="s">
        <v>228</v>
      </c>
      <c r="I642" s="0" t="s">
        <v>3555</v>
      </c>
      <c r="J642" s="0" t="s">
        <v>228</v>
      </c>
      <c r="K642" s="0" t="s">
        <v>228</v>
      </c>
      <c r="L642" s="0" t="s">
        <v>228</v>
      </c>
      <c r="M642" s="0" t="s">
        <v>228</v>
      </c>
      <c r="N642" s="0" t="s">
        <v>228</v>
      </c>
      <c r="O642" s="0" t="s">
        <v>228</v>
      </c>
      <c r="P642" s="0" t="s">
        <v>228</v>
      </c>
      <c r="Q642" s="0" t="s">
        <v>228</v>
      </c>
      <c r="R642" s="0" t="s">
        <v>4240</v>
      </c>
      <c r="S642" s="0" t="s">
        <v>228</v>
      </c>
      <c r="T642" s="0" t="s">
        <v>228</v>
      </c>
      <c r="U642" s="0" t="s">
        <v>101</v>
      </c>
      <c r="V642" s="0" t="s">
        <v>228</v>
      </c>
      <c r="W642" s="0" t="s">
        <v>228</v>
      </c>
      <c r="X642" s="0" t="s">
        <v>3661</v>
      </c>
      <c r="Y642" s="0" t="s">
        <v>228</v>
      </c>
      <c r="Z642" s="0" t="s">
        <v>151</v>
      </c>
      <c r="AA642" s="0" t="s">
        <v>151</v>
      </c>
      <c r="AB642" s="0" t="s">
        <v>160</v>
      </c>
      <c r="AC642" s="0" t="s">
        <v>2317</v>
      </c>
      <c r="AD642" s="0" t="s">
        <v>2317</v>
      </c>
      <c r="AE642" s="0" t="s">
        <v>2318</v>
      </c>
      <c r="AF642" s="0" t="s">
        <v>3849</v>
      </c>
      <c r="AG642" s="0" t="s">
        <v>3850</v>
      </c>
      <c r="AH642" s="0" t="s">
        <v>4241</v>
      </c>
      <c r="AI642" s="0" t="s">
        <v>4242</v>
      </c>
      <c r="AJ642" s="0" t="s">
        <v>228</v>
      </c>
      <c r="AK642" s="0" t="s">
        <v>228</v>
      </c>
      <c r="AL642" s="0" t="s">
        <v>228</v>
      </c>
      <c r="AM642" s="0" t="s">
        <v>228</v>
      </c>
      <c r="AN642" s="0" t="s">
        <v>228</v>
      </c>
      <c r="AO642" s="0" t="s">
        <v>228</v>
      </c>
      <c r="AP642" s="0" t="s">
        <v>228</v>
      </c>
      <c r="AQ642" s="0" t="s">
        <v>228</v>
      </c>
      <c r="AR642" s="0" t="s">
        <v>228</v>
      </c>
      <c r="AS642" s="0" t="s">
        <v>228</v>
      </c>
      <c r="AT642" s="0" t="s">
        <v>228</v>
      </c>
      <c r="AU642" s="0" t="s">
        <v>228</v>
      </c>
      <c r="AV642" s="0" t="s">
        <v>228</v>
      </c>
      <c r="AW642" s="0" t="s">
        <v>228</v>
      </c>
      <c r="AX642" s="0" t="s">
        <v>228</v>
      </c>
      <c r="AY642" s="0" t="s">
        <v>228</v>
      </c>
      <c r="AZ642" s="0" t="s">
        <v>228</v>
      </c>
      <c r="BA642" s="0" t="s">
        <v>228</v>
      </c>
      <c r="BB642" s="0" t="s">
        <v>228</v>
      </c>
      <c r="BC642" s="0" t="s">
        <v>228</v>
      </c>
      <c r="BD642" s="0" t="s">
        <v>228</v>
      </c>
      <c r="BE642" s="0" t="s">
        <v>3627</v>
      </c>
      <c r="BF642" s="0" t="s">
        <v>3619</v>
      </c>
      <c r="BG642" s="0" t="s">
        <v>111</v>
      </c>
      <c r="BH642" s="0" t="s">
        <v>3665</v>
      </c>
      <c r="BI642" s="0" t="s">
        <v>122</v>
      </c>
      <c r="BJ642" s="0" t="s">
        <v>228</v>
      </c>
      <c r="BK642" s="0" t="s">
        <v>3684</v>
      </c>
      <c r="BL642" s="0" t="s">
        <v>2317</v>
      </c>
      <c r="BM642" s="0" t="s">
        <v>2317</v>
      </c>
      <c r="BN642" s="0" t="s">
        <v>3740</v>
      </c>
      <c r="BO642" s="0" t="s">
        <v>3849</v>
      </c>
      <c r="BP642" s="0" t="s">
        <v>4234</v>
      </c>
      <c r="BQ642" s="0" t="s">
        <v>4241</v>
      </c>
      <c r="BR642" s="0" t="s">
        <v>4242</v>
      </c>
      <c r="BS642" s="0" t="s">
        <v>228</v>
      </c>
      <c r="BT642" s="0" t="s">
        <v>4238</v>
      </c>
      <c r="BU642" s="0" t="s">
        <v>4243</v>
      </c>
      <c r="BV642" s="0" t="s">
        <v>4243</v>
      </c>
      <c r="BW642" s="0" t="s">
        <v>3674</v>
      </c>
      <c r="BX642" s="0" t="s">
        <v>3674</v>
      </c>
      <c r="BY642" s="0" t="s">
        <v>3674</v>
      </c>
      <c r="BZ642" s="0" t="s">
        <v>3674</v>
      </c>
      <c r="CA642" s="0" t="s">
        <v>3674</v>
      </c>
      <c r="CB642" s="0" t="s">
        <v>228</v>
      </c>
      <c r="CC642" s="0" t="s">
        <v>228</v>
      </c>
      <c r="CD642" s="0" t="s">
        <v>228</v>
      </c>
      <c r="CE642" s="0" t="s">
        <v>228</v>
      </c>
      <c r="CF642" s="0" t="s">
        <v>228</v>
      </c>
      <c r="CG642" s="0" t="s">
        <v>3674</v>
      </c>
      <c r="CH642" s="0" t="s">
        <v>228</v>
      </c>
      <c r="CI642" s="0" t="s">
        <v>228</v>
      </c>
      <c r="CJ642" s="0" t="s">
        <v>228</v>
      </c>
      <c r="CK642" s="0" t="s">
        <v>228</v>
      </c>
      <c r="CL642" s="0" t="s">
        <v>228</v>
      </c>
      <c r="CM642" s="0" t="s">
        <v>4243</v>
      </c>
      <c r="CN642" s="0" t="s">
        <v>4243</v>
      </c>
      <c r="CO642" s="0" t="s">
        <v>228</v>
      </c>
      <c r="CP642" s="0" t="s">
        <v>228</v>
      </c>
      <c r="CQ642" s="0" t="s">
        <v>228</v>
      </c>
      <c r="CR642" s="0" t="s">
        <v>228</v>
      </c>
      <c r="CS642" s="0" t="s">
        <v>3743</v>
      </c>
      <c r="CT642" s="0" t="s">
        <v>3568</v>
      </c>
      <c r="CU642" s="0" t="s">
        <v>3569</v>
      </c>
      <c r="CV642" s="0" t="s">
        <v>418</v>
      </c>
      <c r="CW642" s="0" t="s">
        <v>3622</v>
      </c>
      <c r="CX642" s="0" t="s">
        <v>419</v>
      </c>
      <c r="CY642" s="0" t="s">
        <v>418</v>
      </c>
      <c r="CZ642" s="0" t="s">
        <v>3623</v>
      </c>
      <c r="DA642" s="0" t="s">
        <v>3624</v>
      </c>
      <c r="DB642" s="0" t="s">
        <v>3622</v>
      </c>
      <c r="DC642" s="0" t="s">
        <v>362</v>
      </c>
      <c r="DD642" s="0" t="s">
        <v>3572</v>
      </c>
      <c r="DE642" s="0" t="s">
        <v>4244</v>
      </c>
    </row>
    <row customHeight="1" ht="11.25">
      <c r="A643" s="1353" t="s">
        <v>228</v>
      </c>
      <c r="B643" s="0" t="s">
        <v>228</v>
      </c>
      <c r="C643" s="0" t="s">
        <v>228</v>
      </c>
      <c r="D643" s="0" t="s">
        <v>228</v>
      </c>
      <c r="E643" s="0" t="s">
        <v>228</v>
      </c>
      <c r="F643" s="0" t="s">
        <v>228</v>
      </c>
      <c r="G643" s="0" t="s">
        <v>228</v>
      </c>
      <c r="H643" s="0" t="s">
        <v>228</v>
      </c>
      <c r="I643" s="0" t="s">
        <v>3555</v>
      </c>
      <c r="J643" s="0" t="s">
        <v>228</v>
      </c>
      <c r="K643" s="0" t="s">
        <v>228</v>
      </c>
      <c r="L643" s="0" t="s">
        <v>228</v>
      </c>
      <c r="M643" s="0" t="s">
        <v>228</v>
      </c>
      <c r="N643" s="0" t="s">
        <v>228</v>
      </c>
      <c r="O643" s="0" t="s">
        <v>228</v>
      </c>
      <c r="P643" s="0" t="s">
        <v>228</v>
      </c>
      <c r="Q643" s="0" t="s">
        <v>228</v>
      </c>
      <c r="R643" s="0" t="s">
        <v>3648</v>
      </c>
      <c r="S643" s="0" t="s">
        <v>228</v>
      </c>
      <c r="T643" s="0" t="s">
        <v>228</v>
      </c>
      <c r="U643" s="0" t="s">
        <v>101</v>
      </c>
      <c r="V643" s="0" t="s">
        <v>228</v>
      </c>
      <c r="W643" s="0" t="s">
        <v>228</v>
      </c>
      <c r="X643" s="0" t="s">
        <v>3557</v>
      </c>
      <c r="Y643" s="0" t="s">
        <v>228</v>
      </c>
      <c r="Z643" s="0" t="s">
        <v>160</v>
      </c>
      <c r="AA643" s="0" t="s">
        <v>151</v>
      </c>
      <c r="AB643" s="0" t="s">
        <v>151</v>
      </c>
      <c r="AC643" s="0" t="s">
        <v>2317</v>
      </c>
      <c r="AD643" s="0" t="s">
        <v>2317</v>
      </c>
      <c r="AE643" s="0" t="s">
        <v>2318</v>
      </c>
      <c r="AF643" s="0" t="s">
        <v>4245</v>
      </c>
      <c r="AG643" s="0" t="s">
        <v>4246</v>
      </c>
      <c r="AH643" s="0" t="s">
        <v>4510</v>
      </c>
      <c r="AI643" s="0" t="s">
        <v>4416</v>
      </c>
      <c r="AJ643" s="0" t="s">
        <v>3627</v>
      </c>
      <c r="AK643" s="0" t="s">
        <v>3619</v>
      </c>
      <c r="AL643" s="0" t="s">
        <v>3581</v>
      </c>
      <c r="AM643" s="0" t="s">
        <v>3565</v>
      </c>
      <c r="AN643" s="0" t="s">
        <v>3628</v>
      </c>
      <c r="AO643" s="0" t="s">
        <v>3915</v>
      </c>
      <c r="AP643" s="0" t="s">
        <v>228</v>
      </c>
      <c r="AQ643" s="0" t="s">
        <v>228</v>
      </c>
      <c r="AR643" s="0" t="s">
        <v>228</v>
      </c>
      <c r="AS643" s="0" t="s">
        <v>228</v>
      </c>
      <c r="AT643" s="0" t="s">
        <v>228</v>
      </c>
      <c r="AU643" s="0" t="s">
        <v>228</v>
      </c>
      <c r="AV643" s="0" t="s">
        <v>228</v>
      </c>
      <c r="AW643" s="0" t="s">
        <v>228</v>
      </c>
      <c r="AX643" s="0" t="s">
        <v>228</v>
      </c>
      <c r="AY643" s="0" t="s">
        <v>228</v>
      </c>
      <c r="AZ643" s="0" t="s">
        <v>228</v>
      </c>
      <c r="BA643" s="0" t="s">
        <v>228</v>
      </c>
      <c r="BB643" s="0" t="s">
        <v>228</v>
      </c>
      <c r="BC643" s="0" t="s">
        <v>228</v>
      </c>
      <c r="BD643" s="0" t="s">
        <v>228</v>
      </c>
      <c r="BE643" s="0" t="s">
        <v>228</v>
      </c>
      <c r="BF643" s="0" t="s">
        <v>228</v>
      </c>
      <c r="BG643" s="0" t="s">
        <v>228</v>
      </c>
      <c r="BH643" s="0" t="s">
        <v>228</v>
      </c>
      <c r="BI643" s="0" t="s">
        <v>228</v>
      </c>
      <c r="BJ643" s="0" t="s">
        <v>228</v>
      </c>
      <c r="BK643" s="0" t="s">
        <v>228</v>
      </c>
      <c r="BL643" s="0" t="s">
        <v>228</v>
      </c>
      <c r="BM643" s="0" t="s">
        <v>228</v>
      </c>
      <c r="BN643" s="0" t="s">
        <v>228</v>
      </c>
      <c r="BO643" s="0" t="s">
        <v>228</v>
      </c>
      <c r="BP643" s="0" t="s">
        <v>228</v>
      </c>
      <c r="BQ643" s="0" t="s">
        <v>228</v>
      </c>
      <c r="BR643" s="0" t="s">
        <v>228</v>
      </c>
      <c r="BS643" s="0" t="s">
        <v>228</v>
      </c>
      <c r="BT643" s="0" t="s">
        <v>228</v>
      </c>
      <c r="BU643" s="0" t="s">
        <v>228</v>
      </c>
      <c r="BV643" s="0" t="s">
        <v>228</v>
      </c>
      <c r="BW643" s="0" t="s">
        <v>228</v>
      </c>
      <c r="BX643" s="0" t="s">
        <v>228</v>
      </c>
      <c r="BY643" s="0" t="s">
        <v>228</v>
      </c>
      <c r="BZ643" s="0" t="s">
        <v>228</v>
      </c>
      <c r="CA643" s="0" t="s">
        <v>228</v>
      </c>
      <c r="CB643" s="0" t="s">
        <v>228</v>
      </c>
      <c r="CC643" s="0" t="s">
        <v>228</v>
      </c>
      <c r="CD643" s="0" t="s">
        <v>228</v>
      </c>
      <c r="CE643" s="0" t="s">
        <v>228</v>
      </c>
      <c r="CF643" s="0" t="s">
        <v>228</v>
      </c>
      <c r="CG643" s="0" t="s">
        <v>228</v>
      </c>
      <c r="CH643" s="0" t="s">
        <v>228</v>
      </c>
      <c r="CI643" s="0" t="s">
        <v>228</v>
      </c>
      <c r="CJ643" s="0" t="s">
        <v>228</v>
      </c>
      <c r="CK643" s="0" t="s">
        <v>228</v>
      </c>
      <c r="CL643" s="0" t="s">
        <v>228</v>
      </c>
      <c r="CM643" s="0" t="s">
        <v>228</v>
      </c>
      <c r="CN643" s="0" t="s">
        <v>228</v>
      </c>
      <c r="CO643" s="0" t="s">
        <v>228</v>
      </c>
      <c r="CP643" s="0" t="s">
        <v>228</v>
      </c>
      <c r="CQ643" s="0" t="s">
        <v>228</v>
      </c>
      <c r="CR643" s="0" t="s">
        <v>228</v>
      </c>
      <c r="CS643" s="0" t="s">
        <v>228</v>
      </c>
      <c r="CT643" s="0" t="s">
        <v>3568</v>
      </c>
      <c r="CU643" s="0" t="s">
        <v>3569</v>
      </c>
      <c r="CV643" s="0" t="s">
        <v>418</v>
      </c>
      <c r="CW643" s="0" t="s">
        <v>3622</v>
      </c>
      <c r="CX643" s="0" t="s">
        <v>419</v>
      </c>
      <c r="CY643" s="0" t="s">
        <v>418</v>
      </c>
      <c r="CZ643" s="0" t="s">
        <v>3623</v>
      </c>
      <c r="DA643" s="0" t="s">
        <v>3624</v>
      </c>
      <c r="DB643" s="0" t="s">
        <v>3622</v>
      </c>
      <c r="DC643" s="0" t="s">
        <v>362</v>
      </c>
      <c r="DD643" s="0" t="s">
        <v>3572</v>
      </c>
      <c r="DE643" s="0" t="s">
        <v>4511</v>
      </c>
    </row>
    <row customHeight="1" ht="11.25">
      <c r="A644" s="1353" t="s">
        <v>228</v>
      </c>
      <c r="B644" s="0" t="s">
        <v>228</v>
      </c>
      <c r="C644" s="0" t="s">
        <v>228</v>
      </c>
      <c r="D644" s="0" t="s">
        <v>228</v>
      </c>
      <c r="E644" s="0" t="s">
        <v>228</v>
      </c>
      <c r="F644" s="0" t="s">
        <v>228</v>
      </c>
      <c r="G644" s="0" t="s">
        <v>228</v>
      </c>
      <c r="H644" s="0" t="s">
        <v>228</v>
      </c>
      <c r="I644" s="0" t="s">
        <v>3555</v>
      </c>
      <c r="J644" s="0" t="s">
        <v>228</v>
      </c>
      <c r="K644" s="0" t="s">
        <v>228</v>
      </c>
      <c r="L644" s="0" t="s">
        <v>228</v>
      </c>
      <c r="M644" s="0" t="s">
        <v>228</v>
      </c>
      <c r="N644" s="0" t="s">
        <v>228</v>
      </c>
      <c r="O644" s="0" t="s">
        <v>228</v>
      </c>
      <c r="P644" s="0" t="s">
        <v>228</v>
      </c>
      <c r="Q644" s="0" t="s">
        <v>228</v>
      </c>
      <c r="R644" s="0" t="s">
        <v>3588</v>
      </c>
      <c r="S644" s="0" t="s">
        <v>228</v>
      </c>
      <c r="T644" s="0" t="s">
        <v>228</v>
      </c>
      <c r="U644" s="0" t="s">
        <v>101</v>
      </c>
      <c r="V644" s="0" t="s">
        <v>228</v>
      </c>
      <c r="W644" s="0" t="s">
        <v>228</v>
      </c>
      <c r="X644" s="0" t="s">
        <v>3557</v>
      </c>
      <c r="Y644" s="0" t="s">
        <v>228</v>
      </c>
      <c r="Z644" s="0" t="s">
        <v>160</v>
      </c>
      <c r="AA644" s="0" t="s">
        <v>151</v>
      </c>
      <c r="AB644" s="0" t="s">
        <v>151</v>
      </c>
      <c r="AC644" s="0" t="s">
        <v>2317</v>
      </c>
      <c r="AD644" s="0" t="s">
        <v>2317</v>
      </c>
      <c r="AE644" s="0" t="s">
        <v>2318</v>
      </c>
      <c r="AF644" s="0" t="s">
        <v>3963</v>
      </c>
      <c r="AG644" s="0" t="s">
        <v>3964</v>
      </c>
      <c r="AH644" s="0" t="s">
        <v>4472</v>
      </c>
      <c r="AI644" s="0" t="s">
        <v>4646</v>
      </c>
      <c r="AJ644" s="0" t="s">
        <v>3627</v>
      </c>
      <c r="AK644" s="0" t="s">
        <v>3853</v>
      </c>
      <c r="AL644" s="0" t="s">
        <v>3581</v>
      </c>
      <c r="AM644" s="0" t="s">
        <v>3565</v>
      </c>
      <c r="AN644" s="0" t="s">
        <v>3628</v>
      </c>
      <c r="AO644" s="0" t="s">
        <v>3823</v>
      </c>
      <c r="AP644" s="0" t="s">
        <v>228</v>
      </c>
      <c r="AQ644" s="0" t="s">
        <v>228</v>
      </c>
      <c r="AR644" s="0" t="s">
        <v>228</v>
      </c>
      <c r="AS644" s="0" t="s">
        <v>228</v>
      </c>
      <c r="AT644" s="0" t="s">
        <v>228</v>
      </c>
      <c r="AU644" s="0" t="s">
        <v>228</v>
      </c>
      <c r="AV644" s="0" t="s">
        <v>228</v>
      </c>
      <c r="AW644" s="0" t="s">
        <v>228</v>
      </c>
      <c r="AX644" s="0" t="s">
        <v>228</v>
      </c>
      <c r="AY644" s="0" t="s">
        <v>228</v>
      </c>
      <c r="AZ644" s="0" t="s">
        <v>228</v>
      </c>
      <c r="BA644" s="0" t="s">
        <v>228</v>
      </c>
      <c r="BB644" s="0" t="s">
        <v>228</v>
      </c>
      <c r="BC644" s="0" t="s">
        <v>228</v>
      </c>
      <c r="BD644" s="0" t="s">
        <v>228</v>
      </c>
      <c r="BE644" s="0" t="s">
        <v>228</v>
      </c>
      <c r="BF644" s="0" t="s">
        <v>228</v>
      </c>
      <c r="BG644" s="0" t="s">
        <v>228</v>
      </c>
      <c r="BH644" s="0" t="s">
        <v>228</v>
      </c>
      <c r="BI644" s="0" t="s">
        <v>228</v>
      </c>
      <c r="BJ644" s="0" t="s">
        <v>228</v>
      </c>
      <c r="BK644" s="0" t="s">
        <v>228</v>
      </c>
      <c r="BL644" s="0" t="s">
        <v>228</v>
      </c>
      <c r="BM644" s="0" t="s">
        <v>228</v>
      </c>
      <c r="BN644" s="0" t="s">
        <v>228</v>
      </c>
      <c r="BO644" s="0" t="s">
        <v>228</v>
      </c>
      <c r="BP644" s="0" t="s">
        <v>228</v>
      </c>
      <c r="BQ644" s="0" t="s">
        <v>228</v>
      </c>
      <c r="BR644" s="0" t="s">
        <v>228</v>
      </c>
      <c r="BS644" s="0" t="s">
        <v>228</v>
      </c>
      <c r="BT644" s="0" t="s">
        <v>228</v>
      </c>
      <c r="BU644" s="0" t="s">
        <v>228</v>
      </c>
      <c r="BV644" s="0" t="s">
        <v>228</v>
      </c>
      <c r="BW644" s="0" t="s">
        <v>228</v>
      </c>
      <c r="BX644" s="0" t="s">
        <v>228</v>
      </c>
      <c r="BY644" s="0" t="s">
        <v>228</v>
      </c>
      <c r="BZ644" s="0" t="s">
        <v>228</v>
      </c>
      <c r="CA644" s="0" t="s">
        <v>228</v>
      </c>
      <c r="CB644" s="0" t="s">
        <v>228</v>
      </c>
      <c r="CC644" s="0" t="s">
        <v>228</v>
      </c>
      <c r="CD644" s="0" t="s">
        <v>228</v>
      </c>
      <c r="CE644" s="0" t="s">
        <v>228</v>
      </c>
      <c r="CF644" s="0" t="s">
        <v>228</v>
      </c>
      <c r="CG644" s="0" t="s">
        <v>228</v>
      </c>
      <c r="CH644" s="0" t="s">
        <v>228</v>
      </c>
      <c r="CI644" s="0" t="s">
        <v>228</v>
      </c>
      <c r="CJ644" s="0" t="s">
        <v>228</v>
      </c>
      <c r="CK644" s="0" t="s">
        <v>228</v>
      </c>
      <c r="CL644" s="0" t="s">
        <v>228</v>
      </c>
      <c r="CM644" s="0" t="s">
        <v>228</v>
      </c>
      <c r="CN644" s="0" t="s">
        <v>228</v>
      </c>
      <c r="CO644" s="0" t="s">
        <v>228</v>
      </c>
      <c r="CP644" s="0" t="s">
        <v>228</v>
      </c>
      <c r="CQ644" s="0" t="s">
        <v>228</v>
      </c>
      <c r="CR644" s="0" t="s">
        <v>228</v>
      </c>
      <c r="CS644" s="0" t="s">
        <v>228</v>
      </c>
      <c r="CT644" s="0" t="s">
        <v>3568</v>
      </c>
      <c r="CU644" s="0" t="s">
        <v>3569</v>
      </c>
      <c r="CV644" s="0" t="s">
        <v>418</v>
      </c>
      <c r="CW644" s="0" t="s">
        <v>3622</v>
      </c>
      <c r="CX644" s="0" t="s">
        <v>419</v>
      </c>
      <c r="CY644" s="0" t="s">
        <v>418</v>
      </c>
      <c r="CZ644" s="0" t="s">
        <v>3623</v>
      </c>
      <c r="DA644" s="0" t="s">
        <v>3624</v>
      </c>
      <c r="DB644" s="0" t="s">
        <v>3622</v>
      </c>
      <c r="DC644" s="0" t="s">
        <v>362</v>
      </c>
      <c r="DD644" s="0" t="s">
        <v>3572</v>
      </c>
      <c r="DE644" s="0" t="s">
        <v>4671</v>
      </c>
    </row>
    <row customHeight="1" ht="11.25">
      <c r="A645" s="1353" t="s">
        <v>228</v>
      </c>
      <c r="B645" s="0" t="s">
        <v>228</v>
      </c>
      <c r="C645" s="0" t="s">
        <v>228</v>
      </c>
      <c r="D645" s="0" t="s">
        <v>228</v>
      </c>
      <c r="E645" s="0" t="s">
        <v>228</v>
      </c>
      <c r="F645" s="0" t="s">
        <v>228</v>
      </c>
      <c r="G645" s="0" t="s">
        <v>228</v>
      </c>
      <c r="H645" s="0" t="s">
        <v>228</v>
      </c>
      <c r="I645" s="0" t="s">
        <v>3555</v>
      </c>
      <c r="J645" s="0" t="s">
        <v>228</v>
      </c>
      <c r="K645" s="0" t="s">
        <v>228</v>
      </c>
      <c r="L645" s="0" t="s">
        <v>228</v>
      </c>
      <c r="M645" s="0" t="s">
        <v>228</v>
      </c>
      <c r="N645" s="0" t="s">
        <v>228</v>
      </c>
      <c r="O645" s="0" t="s">
        <v>228</v>
      </c>
      <c r="P645" s="0" t="s">
        <v>228</v>
      </c>
      <c r="Q645" s="0" t="s">
        <v>228</v>
      </c>
      <c r="R645" s="0" t="s">
        <v>3648</v>
      </c>
      <c r="S645" s="0" t="s">
        <v>228</v>
      </c>
      <c r="T645" s="0" t="s">
        <v>228</v>
      </c>
      <c r="U645" s="0" t="s">
        <v>101</v>
      </c>
      <c r="V645" s="0" t="s">
        <v>228</v>
      </c>
      <c r="W645" s="0" t="s">
        <v>228</v>
      </c>
      <c r="X645" s="0" t="s">
        <v>3557</v>
      </c>
      <c r="Y645" s="0" t="s">
        <v>228</v>
      </c>
      <c r="Z645" s="0" t="s">
        <v>160</v>
      </c>
      <c r="AA645" s="0" t="s">
        <v>151</v>
      </c>
      <c r="AB645" s="0" t="s">
        <v>151</v>
      </c>
      <c r="AC645" s="0" t="s">
        <v>2317</v>
      </c>
      <c r="AD645" s="0" t="s">
        <v>2317</v>
      </c>
      <c r="AE645" s="0" t="s">
        <v>2318</v>
      </c>
      <c r="AF645" s="0" t="s">
        <v>3963</v>
      </c>
      <c r="AG645" s="0" t="s">
        <v>3964</v>
      </c>
      <c r="AH645" s="0" t="s">
        <v>3965</v>
      </c>
      <c r="AI645" s="0" t="s">
        <v>3787</v>
      </c>
      <c r="AJ645" s="0" t="s">
        <v>3627</v>
      </c>
      <c r="AK645" s="0" t="s">
        <v>3853</v>
      </c>
      <c r="AL645" s="0" t="s">
        <v>3581</v>
      </c>
      <c r="AM645" s="0" t="s">
        <v>3565</v>
      </c>
      <c r="AN645" s="0" t="s">
        <v>3628</v>
      </c>
      <c r="AO645" s="0" t="s">
        <v>3966</v>
      </c>
      <c r="AP645" s="0" t="s">
        <v>228</v>
      </c>
      <c r="AQ645" s="0" t="s">
        <v>228</v>
      </c>
      <c r="AR645" s="0" t="s">
        <v>228</v>
      </c>
      <c r="AS645" s="0" t="s">
        <v>228</v>
      </c>
      <c r="AT645" s="0" t="s">
        <v>228</v>
      </c>
      <c r="AU645" s="0" t="s">
        <v>228</v>
      </c>
      <c r="AV645" s="0" t="s">
        <v>228</v>
      </c>
      <c r="AW645" s="0" t="s">
        <v>228</v>
      </c>
      <c r="AX645" s="0" t="s">
        <v>228</v>
      </c>
      <c r="AY645" s="0" t="s">
        <v>228</v>
      </c>
      <c r="AZ645" s="0" t="s">
        <v>228</v>
      </c>
      <c r="BA645" s="0" t="s">
        <v>228</v>
      </c>
      <c r="BB645" s="0" t="s">
        <v>228</v>
      </c>
      <c r="BC645" s="0" t="s">
        <v>228</v>
      </c>
      <c r="BD645" s="0" t="s">
        <v>228</v>
      </c>
      <c r="BE645" s="0" t="s">
        <v>228</v>
      </c>
      <c r="BF645" s="0" t="s">
        <v>228</v>
      </c>
      <c r="BG645" s="0" t="s">
        <v>228</v>
      </c>
      <c r="BH645" s="0" t="s">
        <v>228</v>
      </c>
      <c r="BI645" s="0" t="s">
        <v>228</v>
      </c>
      <c r="BJ645" s="0" t="s">
        <v>228</v>
      </c>
      <c r="BK645" s="0" t="s">
        <v>228</v>
      </c>
      <c r="BL645" s="0" t="s">
        <v>228</v>
      </c>
      <c r="BM645" s="0" t="s">
        <v>228</v>
      </c>
      <c r="BN645" s="0" t="s">
        <v>228</v>
      </c>
      <c r="BO645" s="0" t="s">
        <v>228</v>
      </c>
      <c r="BP645" s="0" t="s">
        <v>228</v>
      </c>
      <c r="BQ645" s="0" t="s">
        <v>228</v>
      </c>
      <c r="BR645" s="0" t="s">
        <v>228</v>
      </c>
      <c r="BS645" s="0" t="s">
        <v>228</v>
      </c>
      <c r="BT645" s="0" t="s">
        <v>228</v>
      </c>
      <c r="BU645" s="0" t="s">
        <v>228</v>
      </c>
      <c r="BV645" s="0" t="s">
        <v>228</v>
      </c>
      <c r="BW645" s="0" t="s">
        <v>228</v>
      </c>
      <c r="BX645" s="0" t="s">
        <v>228</v>
      </c>
      <c r="BY645" s="0" t="s">
        <v>228</v>
      </c>
      <c r="BZ645" s="0" t="s">
        <v>228</v>
      </c>
      <c r="CA645" s="0" t="s">
        <v>228</v>
      </c>
      <c r="CB645" s="0" t="s">
        <v>228</v>
      </c>
      <c r="CC645" s="0" t="s">
        <v>228</v>
      </c>
      <c r="CD645" s="0" t="s">
        <v>228</v>
      </c>
      <c r="CE645" s="0" t="s">
        <v>228</v>
      </c>
      <c r="CF645" s="0" t="s">
        <v>228</v>
      </c>
      <c r="CG645" s="0" t="s">
        <v>228</v>
      </c>
      <c r="CH645" s="0" t="s">
        <v>228</v>
      </c>
      <c r="CI645" s="0" t="s">
        <v>228</v>
      </c>
      <c r="CJ645" s="0" t="s">
        <v>228</v>
      </c>
      <c r="CK645" s="0" t="s">
        <v>228</v>
      </c>
      <c r="CL645" s="0" t="s">
        <v>228</v>
      </c>
      <c r="CM645" s="0" t="s">
        <v>228</v>
      </c>
      <c r="CN645" s="0" t="s">
        <v>228</v>
      </c>
      <c r="CO645" s="0" t="s">
        <v>228</v>
      </c>
      <c r="CP645" s="0" t="s">
        <v>228</v>
      </c>
      <c r="CQ645" s="0" t="s">
        <v>228</v>
      </c>
      <c r="CR645" s="0" t="s">
        <v>228</v>
      </c>
      <c r="CS645" s="0" t="s">
        <v>228</v>
      </c>
      <c r="CT645" s="0" t="s">
        <v>3568</v>
      </c>
      <c r="CU645" s="0" t="s">
        <v>3569</v>
      </c>
      <c r="CV645" s="0" t="s">
        <v>418</v>
      </c>
      <c r="CW645" s="0" t="s">
        <v>3622</v>
      </c>
      <c r="CX645" s="0" t="s">
        <v>419</v>
      </c>
      <c r="CY645" s="0" t="s">
        <v>418</v>
      </c>
      <c r="CZ645" s="0" t="s">
        <v>3623</v>
      </c>
      <c r="DA645" s="0" t="s">
        <v>3624</v>
      </c>
      <c r="DB645" s="0" t="s">
        <v>3622</v>
      </c>
      <c r="DC645" s="0" t="s">
        <v>362</v>
      </c>
      <c r="DD645" s="0" t="s">
        <v>3572</v>
      </c>
      <c r="DE645" s="0" t="s">
        <v>3967</v>
      </c>
    </row>
    <row customHeight="1" ht="11.25">
      <c r="A646" s="1353" t="s">
        <v>228</v>
      </c>
      <c r="B646" s="0" t="s">
        <v>228</v>
      </c>
      <c r="C646" s="0" t="s">
        <v>228</v>
      </c>
      <c r="D646" s="0" t="s">
        <v>228</v>
      </c>
      <c r="E646" s="0" t="s">
        <v>228</v>
      </c>
      <c r="F646" s="0" t="s">
        <v>228</v>
      </c>
      <c r="G646" s="0" t="s">
        <v>228</v>
      </c>
      <c r="H646" s="0" t="s">
        <v>228</v>
      </c>
      <c r="I646" s="0" t="s">
        <v>3555</v>
      </c>
      <c r="J646" s="0" t="s">
        <v>228</v>
      </c>
      <c r="K646" s="0" t="s">
        <v>228</v>
      </c>
      <c r="L646" s="0" t="s">
        <v>228</v>
      </c>
      <c r="M646" s="0" t="s">
        <v>228</v>
      </c>
      <c r="N646" s="0" t="s">
        <v>228</v>
      </c>
      <c r="O646" s="0" t="s">
        <v>228</v>
      </c>
      <c r="P646" s="0" t="s">
        <v>228</v>
      </c>
      <c r="Q646" s="0" t="s">
        <v>228</v>
      </c>
      <c r="R646" s="0" t="s">
        <v>3975</v>
      </c>
      <c r="S646" s="0" t="s">
        <v>228</v>
      </c>
      <c r="T646" s="0" t="s">
        <v>228</v>
      </c>
      <c r="U646" s="0" t="s">
        <v>101</v>
      </c>
      <c r="V646" s="0" t="s">
        <v>228</v>
      </c>
      <c r="W646" s="0" t="s">
        <v>228</v>
      </c>
      <c r="X646" s="0" t="s">
        <v>3557</v>
      </c>
      <c r="Y646" s="0" t="s">
        <v>228</v>
      </c>
      <c r="Z646" s="0" t="s">
        <v>160</v>
      </c>
      <c r="AA646" s="0" t="s">
        <v>151</v>
      </c>
      <c r="AB646" s="0" t="s">
        <v>151</v>
      </c>
      <c r="AC646" s="0" t="s">
        <v>2317</v>
      </c>
      <c r="AD646" s="0" t="s">
        <v>2317</v>
      </c>
      <c r="AE646" s="0" t="s">
        <v>2318</v>
      </c>
      <c r="AF646" s="0" t="s">
        <v>3849</v>
      </c>
      <c r="AG646" s="0" t="s">
        <v>3850</v>
      </c>
      <c r="AH646" s="0" t="s">
        <v>3828</v>
      </c>
      <c r="AI646" s="0" t="s">
        <v>3976</v>
      </c>
      <c r="AJ646" s="0" t="s">
        <v>3579</v>
      </c>
      <c r="AK646" s="0" t="s">
        <v>3808</v>
      </c>
      <c r="AL646" s="0" t="s">
        <v>3581</v>
      </c>
      <c r="AM646" s="0" t="s">
        <v>3565</v>
      </c>
      <c r="AN646" s="0" t="s">
        <v>3628</v>
      </c>
      <c r="AO646" s="0" t="s">
        <v>3689</v>
      </c>
      <c r="AP646" s="0" t="s">
        <v>228</v>
      </c>
      <c r="AQ646" s="0" t="s">
        <v>228</v>
      </c>
      <c r="AR646" s="0" t="s">
        <v>228</v>
      </c>
      <c r="AS646" s="0" t="s">
        <v>228</v>
      </c>
      <c r="AT646" s="0" t="s">
        <v>228</v>
      </c>
      <c r="AU646" s="0" t="s">
        <v>228</v>
      </c>
      <c r="AV646" s="0" t="s">
        <v>228</v>
      </c>
      <c r="AW646" s="0" t="s">
        <v>228</v>
      </c>
      <c r="AX646" s="0" t="s">
        <v>228</v>
      </c>
      <c r="AY646" s="0" t="s">
        <v>228</v>
      </c>
      <c r="AZ646" s="0" t="s">
        <v>228</v>
      </c>
      <c r="BA646" s="0" t="s">
        <v>228</v>
      </c>
      <c r="BB646" s="0" t="s">
        <v>228</v>
      </c>
      <c r="BC646" s="0" t="s">
        <v>228</v>
      </c>
      <c r="BD646" s="0" t="s">
        <v>228</v>
      </c>
      <c r="BE646" s="0" t="s">
        <v>228</v>
      </c>
      <c r="BF646" s="0" t="s">
        <v>228</v>
      </c>
      <c r="BG646" s="0" t="s">
        <v>228</v>
      </c>
      <c r="BH646" s="0" t="s">
        <v>228</v>
      </c>
      <c r="BI646" s="0" t="s">
        <v>228</v>
      </c>
      <c r="BJ646" s="0" t="s">
        <v>228</v>
      </c>
      <c r="BK646" s="0" t="s">
        <v>228</v>
      </c>
      <c r="BL646" s="0" t="s">
        <v>228</v>
      </c>
      <c r="BM646" s="0" t="s">
        <v>228</v>
      </c>
      <c r="BN646" s="0" t="s">
        <v>228</v>
      </c>
      <c r="BO646" s="0" t="s">
        <v>228</v>
      </c>
      <c r="BP646" s="0" t="s">
        <v>228</v>
      </c>
      <c r="BQ646" s="0" t="s">
        <v>228</v>
      </c>
      <c r="BR646" s="0" t="s">
        <v>228</v>
      </c>
      <c r="BS646" s="0" t="s">
        <v>228</v>
      </c>
      <c r="BT646" s="0" t="s">
        <v>228</v>
      </c>
      <c r="BU646" s="0" t="s">
        <v>228</v>
      </c>
      <c r="BV646" s="0" t="s">
        <v>228</v>
      </c>
      <c r="BW646" s="0" t="s">
        <v>228</v>
      </c>
      <c r="BX646" s="0" t="s">
        <v>228</v>
      </c>
      <c r="BY646" s="0" t="s">
        <v>228</v>
      </c>
      <c r="BZ646" s="0" t="s">
        <v>228</v>
      </c>
      <c r="CA646" s="0" t="s">
        <v>228</v>
      </c>
      <c r="CB646" s="0" t="s">
        <v>228</v>
      </c>
      <c r="CC646" s="0" t="s">
        <v>228</v>
      </c>
      <c r="CD646" s="0" t="s">
        <v>228</v>
      </c>
      <c r="CE646" s="0" t="s">
        <v>228</v>
      </c>
      <c r="CF646" s="0" t="s">
        <v>228</v>
      </c>
      <c r="CG646" s="0" t="s">
        <v>228</v>
      </c>
      <c r="CH646" s="0" t="s">
        <v>228</v>
      </c>
      <c r="CI646" s="0" t="s">
        <v>228</v>
      </c>
      <c r="CJ646" s="0" t="s">
        <v>228</v>
      </c>
      <c r="CK646" s="0" t="s">
        <v>228</v>
      </c>
      <c r="CL646" s="0" t="s">
        <v>228</v>
      </c>
      <c r="CM646" s="0" t="s">
        <v>228</v>
      </c>
      <c r="CN646" s="0" t="s">
        <v>228</v>
      </c>
      <c r="CO646" s="0" t="s">
        <v>228</v>
      </c>
      <c r="CP646" s="0" t="s">
        <v>228</v>
      </c>
      <c r="CQ646" s="0" t="s">
        <v>228</v>
      </c>
      <c r="CR646" s="0" t="s">
        <v>228</v>
      </c>
      <c r="CS646" s="0" t="s">
        <v>228</v>
      </c>
      <c r="CT646" s="0" t="s">
        <v>3568</v>
      </c>
      <c r="CU646" s="0" t="s">
        <v>3569</v>
      </c>
      <c r="CV646" s="0" t="s">
        <v>418</v>
      </c>
      <c r="CW646" s="0" t="s">
        <v>3622</v>
      </c>
      <c r="CX646" s="0" t="s">
        <v>419</v>
      </c>
      <c r="CY646" s="0" t="s">
        <v>418</v>
      </c>
      <c r="CZ646" s="0" t="s">
        <v>3623</v>
      </c>
      <c r="DA646" s="0" t="s">
        <v>3624</v>
      </c>
      <c r="DB646" s="0" t="s">
        <v>3622</v>
      </c>
      <c r="DC646" s="0" t="s">
        <v>362</v>
      </c>
      <c r="DD646" s="0" t="s">
        <v>3572</v>
      </c>
      <c r="DE646" s="0" t="s">
        <v>3977</v>
      </c>
    </row>
    <row customHeight="1" ht="11.25">
      <c r="A647" s="1353" t="s">
        <v>228</v>
      </c>
      <c r="B647" s="0" t="s">
        <v>228</v>
      </c>
      <c r="C647" s="0" t="s">
        <v>228</v>
      </c>
      <c r="D647" s="0" t="s">
        <v>228</v>
      </c>
      <c r="E647" s="0" t="s">
        <v>228</v>
      </c>
      <c r="F647" s="0" t="s">
        <v>228</v>
      </c>
      <c r="G647" s="0" t="s">
        <v>228</v>
      </c>
      <c r="H647" s="0" t="s">
        <v>228</v>
      </c>
      <c r="I647" s="0" t="s">
        <v>3555</v>
      </c>
      <c r="J647" s="0" t="s">
        <v>228</v>
      </c>
      <c r="K647" s="0" t="s">
        <v>228</v>
      </c>
      <c r="L647" s="0" t="s">
        <v>228</v>
      </c>
      <c r="M647" s="0" t="s">
        <v>228</v>
      </c>
      <c r="N647" s="0" t="s">
        <v>228</v>
      </c>
      <c r="O647" s="0" t="s">
        <v>228</v>
      </c>
      <c r="P647" s="0" t="s">
        <v>228</v>
      </c>
      <c r="Q647" s="0" t="s">
        <v>228</v>
      </c>
      <c r="R647" s="0" t="s">
        <v>3648</v>
      </c>
      <c r="S647" s="0" t="s">
        <v>228</v>
      </c>
      <c r="T647" s="0" t="s">
        <v>228</v>
      </c>
      <c r="U647" s="0" t="s">
        <v>101</v>
      </c>
      <c r="V647" s="0" t="s">
        <v>228</v>
      </c>
      <c r="W647" s="0" t="s">
        <v>228</v>
      </c>
      <c r="X647" s="0" t="s">
        <v>3557</v>
      </c>
      <c r="Y647" s="0" t="s">
        <v>228</v>
      </c>
      <c r="Z647" s="0" t="s">
        <v>160</v>
      </c>
      <c r="AA647" s="0" t="s">
        <v>151</v>
      </c>
      <c r="AB647" s="0" t="s">
        <v>151</v>
      </c>
      <c r="AC647" s="0" t="s">
        <v>2315</v>
      </c>
      <c r="AD647" s="0" t="s">
        <v>2315</v>
      </c>
      <c r="AE647" s="0" t="s">
        <v>2316</v>
      </c>
      <c r="AF647" s="0" t="s">
        <v>4062</v>
      </c>
      <c r="AG647" s="0" t="s">
        <v>4063</v>
      </c>
      <c r="AH647" s="0" t="s">
        <v>4064</v>
      </c>
      <c r="AI647" s="0" t="s">
        <v>4065</v>
      </c>
      <c r="AJ647" s="0" t="s">
        <v>3652</v>
      </c>
      <c r="AK647" s="0" t="s">
        <v>3674</v>
      </c>
      <c r="AL647" s="0" t="s">
        <v>3581</v>
      </c>
      <c r="AM647" s="0" t="s">
        <v>3565</v>
      </c>
      <c r="AN647" s="0" t="s">
        <v>3654</v>
      </c>
      <c r="AO647" s="0" t="s">
        <v>3701</v>
      </c>
      <c r="AP647" s="0" t="s">
        <v>228</v>
      </c>
      <c r="AQ647" s="0" t="s">
        <v>228</v>
      </c>
      <c r="AR647" s="0" t="s">
        <v>228</v>
      </c>
      <c r="AS647" s="0" t="s">
        <v>228</v>
      </c>
      <c r="AT647" s="0" t="s">
        <v>228</v>
      </c>
      <c r="AU647" s="0" t="s">
        <v>228</v>
      </c>
      <c r="AV647" s="0" t="s">
        <v>228</v>
      </c>
      <c r="AW647" s="0" t="s">
        <v>228</v>
      </c>
      <c r="AX647" s="0" t="s">
        <v>228</v>
      </c>
      <c r="AY647" s="0" t="s">
        <v>228</v>
      </c>
      <c r="AZ647" s="0" t="s">
        <v>228</v>
      </c>
      <c r="BA647" s="0" t="s">
        <v>228</v>
      </c>
      <c r="BB647" s="0" t="s">
        <v>228</v>
      </c>
      <c r="BC647" s="0" t="s">
        <v>228</v>
      </c>
      <c r="BD647" s="0" t="s">
        <v>228</v>
      </c>
      <c r="BE647" s="0" t="s">
        <v>228</v>
      </c>
      <c r="BF647" s="0" t="s">
        <v>228</v>
      </c>
      <c r="BG647" s="0" t="s">
        <v>228</v>
      </c>
      <c r="BH647" s="0" t="s">
        <v>228</v>
      </c>
      <c r="BI647" s="0" t="s">
        <v>228</v>
      </c>
      <c r="BJ647" s="0" t="s">
        <v>228</v>
      </c>
      <c r="BK647" s="0" t="s">
        <v>228</v>
      </c>
      <c r="BL647" s="0" t="s">
        <v>228</v>
      </c>
      <c r="BM647" s="0" t="s">
        <v>228</v>
      </c>
      <c r="BN647" s="0" t="s">
        <v>228</v>
      </c>
      <c r="BO647" s="0" t="s">
        <v>228</v>
      </c>
      <c r="BP647" s="0" t="s">
        <v>228</v>
      </c>
      <c r="BQ647" s="0" t="s">
        <v>228</v>
      </c>
      <c r="BR647" s="0" t="s">
        <v>228</v>
      </c>
      <c r="BS647" s="0" t="s">
        <v>228</v>
      </c>
      <c r="BT647" s="0" t="s">
        <v>228</v>
      </c>
      <c r="BU647" s="0" t="s">
        <v>228</v>
      </c>
      <c r="BV647" s="0" t="s">
        <v>228</v>
      </c>
      <c r="BW647" s="0" t="s">
        <v>228</v>
      </c>
      <c r="BX647" s="0" t="s">
        <v>228</v>
      </c>
      <c r="BY647" s="0" t="s">
        <v>228</v>
      </c>
      <c r="BZ647" s="0" t="s">
        <v>228</v>
      </c>
      <c r="CA647" s="0" t="s">
        <v>228</v>
      </c>
      <c r="CB647" s="0" t="s">
        <v>228</v>
      </c>
      <c r="CC647" s="0" t="s">
        <v>228</v>
      </c>
      <c r="CD647" s="0" t="s">
        <v>228</v>
      </c>
      <c r="CE647" s="0" t="s">
        <v>228</v>
      </c>
      <c r="CF647" s="0" t="s">
        <v>228</v>
      </c>
      <c r="CG647" s="0" t="s">
        <v>228</v>
      </c>
      <c r="CH647" s="0" t="s">
        <v>228</v>
      </c>
      <c r="CI647" s="0" t="s">
        <v>228</v>
      </c>
      <c r="CJ647" s="0" t="s">
        <v>228</v>
      </c>
      <c r="CK647" s="0" t="s">
        <v>228</v>
      </c>
      <c r="CL647" s="0" t="s">
        <v>228</v>
      </c>
      <c r="CM647" s="0" t="s">
        <v>228</v>
      </c>
      <c r="CN647" s="0" t="s">
        <v>228</v>
      </c>
      <c r="CO647" s="0" t="s">
        <v>228</v>
      </c>
      <c r="CP647" s="0" t="s">
        <v>228</v>
      </c>
      <c r="CQ647" s="0" t="s">
        <v>228</v>
      </c>
      <c r="CR647" s="0" t="s">
        <v>228</v>
      </c>
      <c r="CS647" s="0" t="s">
        <v>228</v>
      </c>
      <c r="CT647" s="0" t="s">
        <v>3568</v>
      </c>
      <c r="CU647" s="0" t="s">
        <v>3569</v>
      </c>
      <c r="CV647" s="0" t="s">
        <v>418</v>
      </c>
      <c r="CW647" s="0" t="s">
        <v>3656</v>
      </c>
      <c r="CX647" s="0" t="s">
        <v>419</v>
      </c>
      <c r="CY647" s="0" t="s">
        <v>418</v>
      </c>
      <c r="CZ647" s="0" t="s">
        <v>3657</v>
      </c>
      <c r="DA647" s="0" t="s">
        <v>3658</v>
      </c>
      <c r="DB647" s="0" t="s">
        <v>3656</v>
      </c>
      <c r="DC647" s="0" t="s">
        <v>362</v>
      </c>
      <c r="DD647" s="0" t="s">
        <v>3572</v>
      </c>
      <c r="DE647" s="0" t="s">
        <v>4066</v>
      </c>
    </row>
    <row customHeight="1" ht="11.25">
      <c r="A648" s="1353" t="s">
        <v>228</v>
      </c>
      <c r="B648" s="0" t="s">
        <v>228</v>
      </c>
      <c r="C648" s="0" t="s">
        <v>228</v>
      </c>
      <c r="D648" s="0" t="s">
        <v>228</v>
      </c>
      <c r="E648" s="0" t="s">
        <v>228</v>
      </c>
      <c r="F648" s="0" t="s">
        <v>228</v>
      </c>
      <c r="G648" s="0" t="s">
        <v>228</v>
      </c>
      <c r="H648" s="0" t="s">
        <v>228</v>
      </c>
      <c r="I648" s="0" t="s">
        <v>3555</v>
      </c>
      <c r="J648" s="0" t="s">
        <v>228</v>
      </c>
      <c r="K648" s="0" t="s">
        <v>228</v>
      </c>
      <c r="L648" s="0" t="s">
        <v>228</v>
      </c>
      <c r="M648" s="0" t="s">
        <v>228</v>
      </c>
      <c r="N648" s="0" t="s">
        <v>228</v>
      </c>
      <c r="O648" s="0" t="s">
        <v>228</v>
      </c>
      <c r="P648" s="0" t="s">
        <v>228</v>
      </c>
      <c r="Q648" s="0" t="s">
        <v>228</v>
      </c>
      <c r="R648" s="0" t="s">
        <v>3648</v>
      </c>
      <c r="S648" s="0" t="s">
        <v>228</v>
      </c>
      <c r="T648" s="0" t="s">
        <v>228</v>
      </c>
      <c r="U648" s="0" t="s">
        <v>101</v>
      </c>
      <c r="V648" s="0" t="s">
        <v>228</v>
      </c>
      <c r="W648" s="0" t="s">
        <v>228</v>
      </c>
      <c r="X648" s="0" t="s">
        <v>3557</v>
      </c>
      <c r="Y648" s="0" t="s">
        <v>228</v>
      </c>
      <c r="Z648" s="0" t="s">
        <v>160</v>
      </c>
      <c r="AA648" s="0" t="s">
        <v>151</v>
      </c>
      <c r="AB648" s="0" t="s">
        <v>151</v>
      </c>
      <c r="AC648" s="0" t="s">
        <v>2315</v>
      </c>
      <c r="AD648" s="0" t="s">
        <v>2315</v>
      </c>
      <c r="AE648" s="0" t="s">
        <v>2316</v>
      </c>
      <c r="AF648" s="0" t="s">
        <v>4062</v>
      </c>
      <c r="AG648" s="0" t="s">
        <v>4063</v>
      </c>
      <c r="AH648" s="0" t="s">
        <v>4067</v>
      </c>
      <c r="AI648" s="0" t="s">
        <v>4068</v>
      </c>
      <c r="AJ648" s="0" t="s">
        <v>3652</v>
      </c>
      <c r="AK648" s="0" t="s">
        <v>4069</v>
      </c>
      <c r="AL648" s="0" t="s">
        <v>3581</v>
      </c>
      <c r="AM648" s="0" t="s">
        <v>3565</v>
      </c>
      <c r="AN648" s="0" t="s">
        <v>3654</v>
      </c>
      <c r="AO648" s="0" t="s">
        <v>3655</v>
      </c>
      <c r="AP648" s="0" t="s">
        <v>228</v>
      </c>
      <c r="AQ648" s="0" t="s">
        <v>228</v>
      </c>
      <c r="AR648" s="0" t="s">
        <v>228</v>
      </c>
      <c r="AS648" s="0" t="s">
        <v>228</v>
      </c>
      <c r="AT648" s="0" t="s">
        <v>228</v>
      </c>
      <c r="AU648" s="0" t="s">
        <v>228</v>
      </c>
      <c r="AV648" s="0" t="s">
        <v>228</v>
      </c>
      <c r="AW648" s="0" t="s">
        <v>228</v>
      </c>
      <c r="AX648" s="0" t="s">
        <v>228</v>
      </c>
      <c r="AY648" s="0" t="s">
        <v>228</v>
      </c>
      <c r="AZ648" s="0" t="s">
        <v>228</v>
      </c>
      <c r="BA648" s="0" t="s">
        <v>228</v>
      </c>
      <c r="BB648" s="0" t="s">
        <v>228</v>
      </c>
      <c r="BC648" s="0" t="s">
        <v>228</v>
      </c>
      <c r="BD648" s="0" t="s">
        <v>228</v>
      </c>
      <c r="BE648" s="0" t="s">
        <v>228</v>
      </c>
      <c r="BF648" s="0" t="s">
        <v>228</v>
      </c>
      <c r="BG648" s="0" t="s">
        <v>228</v>
      </c>
      <c r="BH648" s="0" t="s">
        <v>228</v>
      </c>
      <c r="BI648" s="0" t="s">
        <v>228</v>
      </c>
      <c r="BJ648" s="0" t="s">
        <v>228</v>
      </c>
      <c r="BK648" s="0" t="s">
        <v>228</v>
      </c>
      <c r="BL648" s="0" t="s">
        <v>228</v>
      </c>
      <c r="BM648" s="0" t="s">
        <v>228</v>
      </c>
      <c r="BN648" s="0" t="s">
        <v>228</v>
      </c>
      <c r="BO648" s="0" t="s">
        <v>228</v>
      </c>
      <c r="BP648" s="0" t="s">
        <v>228</v>
      </c>
      <c r="BQ648" s="0" t="s">
        <v>228</v>
      </c>
      <c r="BR648" s="0" t="s">
        <v>228</v>
      </c>
      <c r="BS648" s="0" t="s">
        <v>228</v>
      </c>
      <c r="BT648" s="0" t="s">
        <v>228</v>
      </c>
      <c r="BU648" s="0" t="s">
        <v>228</v>
      </c>
      <c r="BV648" s="0" t="s">
        <v>228</v>
      </c>
      <c r="BW648" s="0" t="s">
        <v>228</v>
      </c>
      <c r="BX648" s="0" t="s">
        <v>228</v>
      </c>
      <c r="BY648" s="0" t="s">
        <v>228</v>
      </c>
      <c r="BZ648" s="0" t="s">
        <v>228</v>
      </c>
      <c r="CA648" s="0" t="s">
        <v>228</v>
      </c>
      <c r="CB648" s="0" t="s">
        <v>228</v>
      </c>
      <c r="CC648" s="0" t="s">
        <v>228</v>
      </c>
      <c r="CD648" s="0" t="s">
        <v>228</v>
      </c>
      <c r="CE648" s="0" t="s">
        <v>228</v>
      </c>
      <c r="CF648" s="0" t="s">
        <v>228</v>
      </c>
      <c r="CG648" s="0" t="s">
        <v>228</v>
      </c>
      <c r="CH648" s="0" t="s">
        <v>228</v>
      </c>
      <c r="CI648" s="0" t="s">
        <v>228</v>
      </c>
      <c r="CJ648" s="0" t="s">
        <v>228</v>
      </c>
      <c r="CK648" s="0" t="s">
        <v>228</v>
      </c>
      <c r="CL648" s="0" t="s">
        <v>228</v>
      </c>
      <c r="CM648" s="0" t="s">
        <v>228</v>
      </c>
      <c r="CN648" s="0" t="s">
        <v>228</v>
      </c>
      <c r="CO648" s="0" t="s">
        <v>228</v>
      </c>
      <c r="CP648" s="0" t="s">
        <v>228</v>
      </c>
      <c r="CQ648" s="0" t="s">
        <v>228</v>
      </c>
      <c r="CR648" s="0" t="s">
        <v>228</v>
      </c>
      <c r="CS648" s="0" t="s">
        <v>228</v>
      </c>
      <c r="CT648" s="0" t="s">
        <v>3568</v>
      </c>
      <c r="CU648" s="0" t="s">
        <v>3569</v>
      </c>
      <c r="CV648" s="0" t="s">
        <v>418</v>
      </c>
      <c r="CW648" s="0" t="s">
        <v>3656</v>
      </c>
      <c r="CX648" s="0" t="s">
        <v>419</v>
      </c>
      <c r="CY648" s="0" t="s">
        <v>418</v>
      </c>
      <c r="CZ648" s="0" t="s">
        <v>3657</v>
      </c>
      <c r="DA648" s="0" t="s">
        <v>3658</v>
      </c>
      <c r="DB648" s="0" t="s">
        <v>3656</v>
      </c>
      <c r="DC648" s="0" t="s">
        <v>362</v>
      </c>
      <c r="DD648" s="0" t="s">
        <v>3572</v>
      </c>
      <c r="DE648" s="0" t="s">
        <v>4070</v>
      </c>
    </row>
    <row customHeight="1" ht="11.25">
      <c r="A649" s="1353" t="s">
        <v>228</v>
      </c>
      <c r="B649" s="0" t="s">
        <v>228</v>
      </c>
      <c r="C649" s="0" t="s">
        <v>228</v>
      </c>
      <c r="D649" s="0" t="s">
        <v>228</v>
      </c>
      <c r="E649" s="0" t="s">
        <v>228</v>
      </c>
      <c r="F649" s="0" t="s">
        <v>228</v>
      </c>
      <c r="G649" s="0" t="s">
        <v>228</v>
      </c>
      <c r="H649" s="0" t="s">
        <v>228</v>
      </c>
      <c r="I649" s="0" t="s">
        <v>3555</v>
      </c>
      <c r="J649" s="0" t="s">
        <v>228</v>
      </c>
      <c r="K649" s="0" t="s">
        <v>228</v>
      </c>
      <c r="L649" s="0" t="s">
        <v>228</v>
      </c>
      <c r="M649" s="0" t="s">
        <v>228</v>
      </c>
      <c r="N649" s="0" t="s">
        <v>228</v>
      </c>
      <c r="O649" s="0" t="s">
        <v>228</v>
      </c>
      <c r="P649" s="0" t="s">
        <v>228</v>
      </c>
      <c r="Q649" s="0" t="s">
        <v>228</v>
      </c>
      <c r="R649" s="0" t="s">
        <v>3588</v>
      </c>
      <c r="S649" s="0" t="s">
        <v>228</v>
      </c>
      <c r="T649" s="0" t="s">
        <v>228</v>
      </c>
      <c r="U649" s="0" t="s">
        <v>101</v>
      </c>
      <c r="V649" s="0" t="s">
        <v>228</v>
      </c>
      <c r="W649" s="0" t="s">
        <v>228</v>
      </c>
      <c r="X649" s="0" t="s">
        <v>3557</v>
      </c>
      <c r="Y649" s="0" t="s">
        <v>228</v>
      </c>
      <c r="Z649" s="0" t="s">
        <v>160</v>
      </c>
      <c r="AA649" s="0" t="s">
        <v>151</v>
      </c>
      <c r="AB649" s="0" t="s">
        <v>151</v>
      </c>
      <c r="AC649" s="0" t="s">
        <v>2311</v>
      </c>
      <c r="AD649" s="0" t="s">
        <v>2311</v>
      </c>
      <c r="AE649" s="0" t="s">
        <v>2312</v>
      </c>
      <c r="AF649" s="0" t="s">
        <v>3575</v>
      </c>
      <c r="AG649" s="0" t="s">
        <v>3576</v>
      </c>
      <c r="AH649" s="0" t="s">
        <v>3589</v>
      </c>
      <c r="AI649" s="0" t="s">
        <v>3590</v>
      </c>
      <c r="AJ649" s="0" t="s">
        <v>3579</v>
      </c>
      <c r="AK649" s="0" t="s">
        <v>3580</v>
      </c>
      <c r="AL649" s="0" t="s">
        <v>3581</v>
      </c>
      <c r="AM649" s="0" t="s">
        <v>3565</v>
      </c>
      <c r="AN649" s="0" t="s">
        <v>3582</v>
      </c>
      <c r="AO649" s="0" t="s">
        <v>3591</v>
      </c>
      <c r="AP649" s="0" t="s">
        <v>228</v>
      </c>
      <c r="AQ649" s="0" t="s">
        <v>228</v>
      </c>
      <c r="AR649" s="0" t="s">
        <v>228</v>
      </c>
      <c r="AS649" s="0" t="s">
        <v>228</v>
      </c>
      <c r="AT649" s="0" t="s">
        <v>228</v>
      </c>
      <c r="AU649" s="0" t="s">
        <v>228</v>
      </c>
      <c r="AV649" s="0" t="s">
        <v>228</v>
      </c>
      <c r="AW649" s="0" t="s">
        <v>228</v>
      </c>
      <c r="AX649" s="0" t="s">
        <v>228</v>
      </c>
      <c r="AY649" s="0" t="s">
        <v>228</v>
      </c>
      <c r="AZ649" s="0" t="s">
        <v>228</v>
      </c>
      <c r="BA649" s="0" t="s">
        <v>228</v>
      </c>
      <c r="BB649" s="0" t="s">
        <v>228</v>
      </c>
      <c r="BC649" s="0" t="s">
        <v>228</v>
      </c>
      <c r="BD649" s="0" t="s">
        <v>228</v>
      </c>
      <c r="BE649" s="0" t="s">
        <v>228</v>
      </c>
      <c r="BF649" s="0" t="s">
        <v>228</v>
      </c>
      <c r="BG649" s="0" t="s">
        <v>228</v>
      </c>
      <c r="BH649" s="0" t="s">
        <v>228</v>
      </c>
      <c r="BI649" s="0" t="s">
        <v>228</v>
      </c>
      <c r="BJ649" s="0" t="s">
        <v>228</v>
      </c>
      <c r="BK649" s="0" t="s">
        <v>228</v>
      </c>
      <c r="BL649" s="0" t="s">
        <v>228</v>
      </c>
      <c r="BM649" s="0" t="s">
        <v>228</v>
      </c>
      <c r="BN649" s="0" t="s">
        <v>228</v>
      </c>
      <c r="BO649" s="0" t="s">
        <v>228</v>
      </c>
      <c r="BP649" s="0" t="s">
        <v>228</v>
      </c>
      <c r="BQ649" s="0" t="s">
        <v>228</v>
      </c>
      <c r="BR649" s="0" t="s">
        <v>228</v>
      </c>
      <c r="BS649" s="0" t="s">
        <v>228</v>
      </c>
      <c r="BT649" s="0" t="s">
        <v>228</v>
      </c>
      <c r="BU649" s="0" t="s">
        <v>228</v>
      </c>
      <c r="BV649" s="0" t="s">
        <v>228</v>
      </c>
      <c r="BW649" s="0" t="s">
        <v>228</v>
      </c>
      <c r="BX649" s="0" t="s">
        <v>228</v>
      </c>
      <c r="BY649" s="0" t="s">
        <v>228</v>
      </c>
      <c r="BZ649" s="0" t="s">
        <v>228</v>
      </c>
      <c r="CA649" s="0" t="s">
        <v>228</v>
      </c>
      <c r="CB649" s="0" t="s">
        <v>228</v>
      </c>
      <c r="CC649" s="0" t="s">
        <v>228</v>
      </c>
      <c r="CD649" s="0" t="s">
        <v>228</v>
      </c>
      <c r="CE649" s="0" t="s">
        <v>228</v>
      </c>
      <c r="CF649" s="0" t="s">
        <v>228</v>
      </c>
      <c r="CG649" s="0" t="s">
        <v>228</v>
      </c>
      <c r="CH649" s="0" t="s">
        <v>228</v>
      </c>
      <c r="CI649" s="0" t="s">
        <v>228</v>
      </c>
      <c r="CJ649" s="0" t="s">
        <v>228</v>
      </c>
      <c r="CK649" s="0" t="s">
        <v>228</v>
      </c>
      <c r="CL649" s="0" t="s">
        <v>228</v>
      </c>
      <c r="CM649" s="0" t="s">
        <v>228</v>
      </c>
      <c r="CN649" s="0" t="s">
        <v>228</v>
      </c>
      <c r="CO649" s="0" t="s">
        <v>228</v>
      </c>
      <c r="CP649" s="0" t="s">
        <v>228</v>
      </c>
      <c r="CQ649" s="0" t="s">
        <v>228</v>
      </c>
      <c r="CR649" s="0" t="s">
        <v>228</v>
      </c>
      <c r="CS649" s="0" t="s">
        <v>228</v>
      </c>
      <c r="CT649" s="0" t="s">
        <v>3568</v>
      </c>
      <c r="CU649" s="0" t="s">
        <v>3569</v>
      </c>
      <c r="CV649" s="0" t="s">
        <v>418</v>
      </c>
      <c r="CW649" s="0" t="s">
        <v>3584</v>
      </c>
      <c r="CX649" s="0" t="s">
        <v>419</v>
      </c>
      <c r="CY649" s="0" t="s">
        <v>418</v>
      </c>
      <c r="CZ649" s="0" t="s">
        <v>3585</v>
      </c>
      <c r="DA649" s="0" t="s">
        <v>3586</v>
      </c>
      <c r="DB649" s="0" t="s">
        <v>3584</v>
      </c>
      <c r="DC649" s="0" t="s">
        <v>362</v>
      </c>
      <c r="DD649" s="0" t="s">
        <v>3572</v>
      </c>
      <c r="DE649" s="0" t="s">
        <v>3592</v>
      </c>
    </row>
    <row customHeight="1" ht="11.25">
      <c r="A650" s="1353" t="s">
        <v>228</v>
      </c>
      <c r="B650" s="0" t="s">
        <v>228</v>
      </c>
      <c r="C650" s="0" t="s">
        <v>228</v>
      </c>
      <c r="D650" s="0" t="s">
        <v>228</v>
      </c>
      <c r="E650" s="0" t="s">
        <v>228</v>
      </c>
      <c r="F650" s="0" t="s">
        <v>228</v>
      </c>
      <c r="G650" s="0" t="s">
        <v>228</v>
      </c>
      <c r="H650" s="0" t="s">
        <v>228</v>
      </c>
      <c r="I650" s="0" t="s">
        <v>3555</v>
      </c>
      <c r="J650" s="0" t="s">
        <v>228</v>
      </c>
      <c r="K650" s="0" t="s">
        <v>228</v>
      </c>
      <c r="L650" s="0" t="s">
        <v>228</v>
      </c>
      <c r="M650" s="0" t="s">
        <v>228</v>
      </c>
      <c r="N650" s="0" t="s">
        <v>228</v>
      </c>
      <c r="O650" s="0" t="s">
        <v>228</v>
      </c>
      <c r="P650" s="0" t="s">
        <v>228</v>
      </c>
      <c r="Q650" s="0" t="s">
        <v>228</v>
      </c>
      <c r="R650" s="0" t="s">
        <v>3648</v>
      </c>
      <c r="S650" s="0" t="s">
        <v>228</v>
      </c>
      <c r="T650" s="0" t="s">
        <v>228</v>
      </c>
      <c r="U650" s="0" t="s">
        <v>101</v>
      </c>
      <c r="V650" s="0" t="s">
        <v>228</v>
      </c>
      <c r="W650" s="0" t="s">
        <v>228</v>
      </c>
      <c r="X650" s="0" t="s">
        <v>3557</v>
      </c>
      <c r="Y650" s="0" t="s">
        <v>228</v>
      </c>
      <c r="Z650" s="0" t="s">
        <v>160</v>
      </c>
      <c r="AA650" s="0" t="s">
        <v>151</v>
      </c>
      <c r="AB650" s="0" t="s">
        <v>151</v>
      </c>
      <c r="AC650" s="0" t="s">
        <v>2317</v>
      </c>
      <c r="AD650" s="0" t="s">
        <v>2317</v>
      </c>
      <c r="AE650" s="0" t="s">
        <v>2318</v>
      </c>
      <c r="AF650" s="0" t="s">
        <v>3826</v>
      </c>
      <c r="AG650" s="0" t="s">
        <v>3827</v>
      </c>
      <c r="AH650" s="0" t="s">
        <v>4430</v>
      </c>
      <c r="AI650" s="0" t="s">
        <v>504</v>
      </c>
      <c r="AJ650" s="0" t="s">
        <v>3627</v>
      </c>
      <c r="AK650" s="0" t="s">
        <v>3619</v>
      </c>
      <c r="AL650" s="0" t="s">
        <v>3581</v>
      </c>
      <c r="AM650" s="0" t="s">
        <v>3565</v>
      </c>
      <c r="AN650" s="0" t="s">
        <v>3628</v>
      </c>
      <c r="AO650" s="0" t="s">
        <v>3829</v>
      </c>
      <c r="AP650" s="0" t="s">
        <v>228</v>
      </c>
      <c r="AQ650" s="0" t="s">
        <v>228</v>
      </c>
      <c r="AR650" s="0" t="s">
        <v>228</v>
      </c>
      <c r="AS650" s="0" t="s">
        <v>228</v>
      </c>
      <c r="AT650" s="0" t="s">
        <v>228</v>
      </c>
      <c r="AU650" s="0" t="s">
        <v>228</v>
      </c>
      <c r="AV650" s="0" t="s">
        <v>228</v>
      </c>
      <c r="AW650" s="0" t="s">
        <v>228</v>
      </c>
      <c r="AX650" s="0" t="s">
        <v>228</v>
      </c>
      <c r="AY650" s="0" t="s">
        <v>228</v>
      </c>
      <c r="AZ650" s="0" t="s">
        <v>228</v>
      </c>
      <c r="BA650" s="0" t="s">
        <v>228</v>
      </c>
      <c r="BB650" s="0" t="s">
        <v>228</v>
      </c>
      <c r="BC650" s="0" t="s">
        <v>228</v>
      </c>
      <c r="BD650" s="0" t="s">
        <v>228</v>
      </c>
      <c r="BE650" s="0" t="s">
        <v>228</v>
      </c>
      <c r="BF650" s="0" t="s">
        <v>228</v>
      </c>
      <c r="BG650" s="0" t="s">
        <v>228</v>
      </c>
      <c r="BH650" s="0" t="s">
        <v>228</v>
      </c>
      <c r="BI650" s="0" t="s">
        <v>228</v>
      </c>
      <c r="BJ650" s="0" t="s">
        <v>228</v>
      </c>
      <c r="BK650" s="0" t="s">
        <v>228</v>
      </c>
      <c r="BL650" s="0" t="s">
        <v>228</v>
      </c>
      <c r="BM650" s="0" t="s">
        <v>228</v>
      </c>
      <c r="BN650" s="0" t="s">
        <v>228</v>
      </c>
      <c r="BO650" s="0" t="s">
        <v>228</v>
      </c>
      <c r="BP650" s="0" t="s">
        <v>228</v>
      </c>
      <c r="BQ650" s="0" t="s">
        <v>228</v>
      </c>
      <c r="BR650" s="0" t="s">
        <v>228</v>
      </c>
      <c r="BS650" s="0" t="s">
        <v>228</v>
      </c>
      <c r="BT650" s="0" t="s">
        <v>228</v>
      </c>
      <c r="BU650" s="0" t="s">
        <v>228</v>
      </c>
      <c r="BV650" s="0" t="s">
        <v>228</v>
      </c>
      <c r="BW650" s="0" t="s">
        <v>228</v>
      </c>
      <c r="BX650" s="0" t="s">
        <v>228</v>
      </c>
      <c r="BY650" s="0" t="s">
        <v>228</v>
      </c>
      <c r="BZ650" s="0" t="s">
        <v>228</v>
      </c>
      <c r="CA650" s="0" t="s">
        <v>228</v>
      </c>
      <c r="CB650" s="0" t="s">
        <v>228</v>
      </c>
      <c r="CC650" s="0" t="s">
        <v>228</v>
      </c>
      <c r="CD650" s="0" t="s">
        <v>228</v>
      </c>
      <c r="CE650" s="0" t="s">
        <v>228</v>
      </c>
      <c r="CF650" s="0" t="s">
        <v>228</v>
      </c>
      <c r="CG650" s="0" t="s">
        <v>228</v>
      </c>
      <c r="CH650" s="0" t="s">
        <v>228</v>
      </c>
      <c r="CI650" s="0" t="s">
        <v>228</v>
      </c>
      <c r="CJ650" s="0" t="s">
        <v>228</v>
      </c>
      <c r="CK650" s="0" t="s">
        <v>228</v>
      </c>
      <c r="CL650" s="0" t="s">
        <v>228</v>
      </c>
      <c r="CM650" s="0" t="s">
        <v>228</v>
      </c>
      <c r="CN650" s="0" t="s">
        <v>228</v>
      </c>
      <c r="CO650" s="0" t="s">
        <v>228</v>
      </c>
      <c r="CP650" s="0" t="s">
        <v>228</v>
      </c>
      <c r="CQ650" s="0" t="s">
        <v>228</v>
      </c>
      <c r="CR650" s="0" t="s">
        <v>228</v>
      </c>
      <c r="CS650" s="0" t="s">
        <v>228</v>
      </c>
      <c r="CT650" s="0" t="s">
        <v>3568</v>
      </c>
      <c r="CU650" s="0" t="s">
        <v>3569</v>
      </c>
      <c r="CV650" s="0" t="s">
        <v>418</v>
      </c>
      <c r="CW650" s="0" t="s">
        <v>3622</v>
      </c>
      <c r="CX650" s="0" t="s">
        <v>419</v>
      </c>
      <c r="CY650" s="0" t="s">
        <v>418</v>
      </c>
      <c r="CZ650" s="0" t="s">
        <v>3623</v>
      </c>
      <c r="DA650" s="0" t="s">
        <v>3624</v>
      </c>
      <c r="DB650" s="0" t="s">
        <v>3622</v>
      </c>
      <c r="DC650" s="0" t="s">
        <v>362</v>
      </c>
      <c r="DD650" s="0" t="s">
        <v>3572</v>
      </c>
      <c r="DE650" s="0" t="s">
        <v>4431</v>
      </c>
    </row>
    <row customHeight="1" ht="11.25">
      <c r="A651" s="1353" t="s">
        <v>228</v>
      </c>
      <c r="B651" s="0" t="s">
        <v>228</v>
      </c>
      <c r="C651" s="0" t="s">
        <v>228</v>
      </c>
      <c r="D651" s="0" t="s">
        <v>228</v>
      </c>
      <c r="E651" s="0" t="s">
        <v>228</v>
      </c>
      <c r="F651" s="0" t="s">
        <v>228</v>
      </c>
      <c r="G651" s="0" t="s">
        <v>228</v>
      </c>
      <c r="H651" s="0" t="s">
        <v>228</v>
      </c>
      <c r="I651" s="0" t="s">
        <v>3555</v>
      </c>
      <c r="J651" s="0" t="s">
        <v>228</v>
      </c>
      <c r="K651" s="0" t="s">
        <v>228</v>
      </c>
      <c r="L651" s="0" t="s">
        <v>228</v>
      </c>
      <c r="M651" s="0" t="s">
        <v>228</v>
      </c>
      <c r="N651" s="0" t="s">
        <v>228</v>
      </c>
      <c r="O651" s="0" t="s">
        <v>228</v>
      </c>
      <c r="P651" s="0" t="s">
        <v>228</v>
      </c>
      <c r="Q651" s="0" t="s">
        <v>228</v>
      </c>
      <c r="R651" s="0" t="s">
        <v>3648</v>
      </c>
      <c r="S651" s="0" t="s">
        <v>228</v>
      </c>
      <c r="T651" s="0" t="s">
        <v>228</v>
      </c>
      <c r="U651" s="0" t="s">
        <v>101</v>
      </c>
      <c r="V651" s="0" t="s">
        <v>228</v>
      </c>
      <c r="W651" s="0" t="s">
        <v>228</v>
      </c>
      <c r="X651" s="0" t="s">
        <v>3557</v>
      </c>
      <c r="Y651" s="0" t="s">
        <v>228</v>
      </c>
      <c r="Z651" s="0" t="s">
        <v>160</v>
      </c>
      <c r="AA651" s="0" t="s">
        <v>151</v>
      </c>
      <c r="AB651" s="0" t="s">
        <v>151</v>
      </c>
      <c r="AC651" s="0" t="s">
        <v>2317</v>
      </c>
      <c r="AD651" s="0" t="s">
        <v>2317</v>
      </c>
      <c r="AE651" s="0" t="s">
        <v>2318</v>
      </c>
      <c r="AF651" s="0" t="s">
        <v>3826</v>
      </c>
      <c r="AG651" s="0" t="s">
        <v>3827</v>
      </c>
      <c r="AH651" s="0" t="s">
        <v>4432</v>
      </c>
      <c r="AI651" s="0" t="s">
        <v>4049</v>
      </c>
      <c r="AJ651" s="0" t="s">
        <v>3627</v>
      </c>
      <c r="AK651" s="0" t="s">
        <v>3619</v>
      </c>
      <c r="AL651" s="0" t="s">
        <v>3581</v>
      </c>
      <c r="AM651" s="0" t="s">
        <v>3565</v>
      </c>
      <c r="AN651" s="0" t="s">
        <v>3628</v>
      </c>
      <c r="AO651" s="0" t="s">
        <v>4433</v>
      </c>
      <c r="AP651" s="0" t="s">
        <v>228</v>
      </c>
      <c r="AQ651" s="0" t="s">
        <v>228</v>
      </c>
      <c r="AR651" s="0" t="s">
        <v>228</v>
      </c>
      <c r="AS651" s="0" t="s">
        <v>228</v>
      </c>
      <c r="AT651" s="0" t="s">
        <v>228</v>
      </c>
      <c r="AU651" s="0" t="s">
        <v>228</v>
      </c>
      <c r="AV651" s="0" t="s">
        <v>228</v>
      </c>
      <c r="AW651" s="0" t="s">
        <v>228</v>
      </c>
      <c r="AX651" s="0" t="s">
        <v>228</v>
      </c>
      <c r="AY651" s="0" t="s">
        <v>228</v>
      </c>
      <c r="AZ651" s="0" t="s">
        <v>228</v>
      </c>
      <c r="BA651" s="0" t="s">
        <v>228</v>
      </c>
      <c r="BB651" s="0" t="s">
        <v>228</v>
      </c>
      <c r="BC651" s="0" t="s">
        <v>228</v>
      </c>
      <c r="BD651" s="0" t="s">
        <v>228</v>
      </c>
      <c r="BE651" s="0" t="s">
        <v>228</v>
      </c>
      <c r="BF651" s="0" t="s">
        <v>228</v>
      </c>
      <c r="BG651" s="0" t="s">
        <v>228</v>
      </c>
      <c r="BH651" s="0" t="s">
        <v>228</v>
      </c>
      <c r="BI651" s="0" t="s">
        <v>228</v>
      </c>
      <c r="BJ651" s="0" t="s">
        <v>228</v>
      </c>
      <c r="BK651" s="0" t="s">
        <v>228</v>
      </c>
      <c r="BL651" s="0" t="s">
        <v>228</v>
      </c>
      <c r="BM651" s="0" t="s">
        <v>228</v>
      </c>
      <c r="BN651" s="0" t="s">
        <v>228</v>
      </c>
      <c r="BO651" s="0" t="s">
        <v>228</v>
      </c>
      <c r="BP651" s="0" t="s">
        <v>228</v>
      </c>
      <c r="BQ651" s="0" t="s">
        <v>228</v>
      </c>
      <c r="BR651" s="0" t="s">
        <v>228</v>
      </c>
      <c r="BS651" s="0" t="s">
        <v>228</v>
      </c>
      <c r="BT651" s="0" t="s">
        <v>228</v>
      </c>
      <c r="BU651" s="0" t="s">
        <v>228</v>
      </c>
      <c r="BV651" s="0" t="s">
        <v>228</v>
      </c>
      <c r="BW651" s="0" t="s">
        <v>228</v>
      </c>
      <c r="BX651" s="0" t="s">
        <v>228</v>
      </c>
      <c r="BY651" s="0" t="s">
        <v>228</v>
      </c>
      <c r="BZ651" s="0" t="s">
        <v>228</v>
      </c>
      <c r="CA651" s="0" t="s">
        <v>228</v>
      </c>
      <c r="CB651" s="0" t="s">
        <v>228</v>
      </c>
      <c r="CC651" s="0" t="s">
        <v>228</v>
      </c>
      <c r="CD651" s="0" t="s">
        <v>228</v>
      </c>
      <c r="CE651" s="0" t="s">
        <v>228</v>
      </c>
      <c r="CF651" s="0" t="s">
        <v>228</v>
      </c>
      <c r="CG651" s="0" t="s">
        <v>228</v>
      </c>
      <c r="CH651" s="0" t="s">
        <v>228</v>
      </c>
      <c r="CI651" s="0" t="s">
        <v>228</v>
      </c>
      <c r="CJ651" s="0" t="s">
        <v>228</v>
      </c>
      <c r="CK651" s="0" t="s">
        <v>228</v>
      </c>
      <c r="CL651" s="0" t="s">
        <v>228</v>
      </c>
      <c r="CM651" s="0" t="s">
        <v>228</v>
      </c>
      <c r="CN651" s="0" t="s">
        <v>228</v>
      </c>
      <c r="CO651" s="0" t="s">
        <v>228</v>
      </c>
      <c r="CP651" s="0" t="s">
        <v>228</v>
      </c>
      <c r="CQ651" s="0" t="s">
        <v>228</v>
      </c>
      <c r="CR651" s="0" t="s">
        <v>228</v>
      </c>
      <c r="CS651" s="0" t="s">
        <v>228</v>
      </c>
      <c r="CT651" s="0" t="s">
        <v>3568</v>
      </c>
      <c r="CU651" s="0" t="s">
        <v>3569</v>
      </c>
      <c r="CV651" s="0" t="s">
        <v>418</v>
      </c>
      <c r="CW651" s="0" t="s">
        <v>3622</v>
      </c>
      <c r="CX651" s="0" t="s">
        <v>419</v>
      </c>
      <c r="CY651" s="0" t="s">
        <v>418</v>
      </c>
      <c r="CZ651" s="0" t="s">
        <v>3623</v>
      </c>
      <c r="DA651" s="0" t="s">
        <v>3624</v>
      </c>
      <c r="DB651" s="0" t="s">
        <v>3622</v>
      </c>
      <c r="DC651" s="0" t="s">
        <v>362</v>
      </c>
      <c r="DD651" s="0" t="s">
        <v>3572</v>
      </c>
      <c r="DE651" s="0" t="s">
        <v>4434</v>
      </c>
    </row>
    <row customHeight="1" ht="11.25">
      <c r="A652" s="1353" t="s">
        <v>228</v>
      </c>
      <c r="B652" s="0" t="s">
        <v>228</v>
      </c>
      <c r="C652" s="0" t="s">
        <v>228</v>
      </c>
      <c r="D652" s="0" t="s">
        <v>228</v>
      </c>
      <c r="E652" s="0" t="s">
        <v>228</v>
      </c>
      <c r="F652" s="0" t="s">
        <v>228</v>
      </c>
      <c r="G652" s="0" t="s">
        <v>228</v>
      </c>
      <c r="H652" s="0" t="s">
        <v>228</v>
      </c>
      <c r="I652" s="0" t="s">
        <v>3555</v>
      </c>
      <c r="J652" s="0" t="s">
        <v>228</v>
      </c>
      <c r="K652" s="0" t="s">
        <v>228</v>
      </c>
      <c r="L652" s="0" t="s">
        <v>228</v>
      </c>
      <c r="M652" s="0" t="s">
        <v>228</v>
      </c>
      <c r="N652" s="0" t="s">
        <v>228</v>
      </c>
      <c r="O652" s="0" t="s">
        <v>228</v>
      </c>
      <c r="P652" s="0" t="s">
        <v>228</v>
      </c>
      <c r="Q652" s="0" t="s">
        <v>228</v>
      </c>
      <c r="R652" s="0" t="s">
        <v>3588</v>
      </c>
      <c r="S652" s="0" t="s">
        <v>228</v>
      </c>
      <c r="T652" s="0" t="s">
        <v>228</v>
      </c>
      <c r="U652" s="0" t="s">
        <v>101</v>
      </c>
      <c r="V652" s="0" t="s">
        <v>228</v>
      </c>
      <c r="W652" s="0" t="s">
        <v>228</v>
      </c>
      <c r="X652" s="0" t="s">
        <v>3557</v>
      </c>
      <c r="Y652" s="0" t="s">
        <v>228</v>
      </c>
      <c r="Z652" s="0" t="s">
        <v>160</v>
      </c>
      <c r="AA652" s="0" t="s">
        <v>151</v>
      </c>
      <c r="AB652" s="0" t="s">
        <v>151</v>
      </c>
      <c r="AC652" s="0" t="s">
        <v>2317</v>
      </c>
      <c r="AD652" s="0" t="s">
        <v>2317</v>
      </c>
      <c r="AE652" s="0" t="s">
        <v>2318</v>
      </c>
      <c r="AF652" s="0" t="s">
        <v>4053</v>
      </c>
      <c r="AG652" s="0" t="s">
        <v>4054</v>
      </c>
      <c r="AH652" s="0" t="s">
        <v>4437</v>
      </c>
      <c r="AI652" s="0" t="s">
        <v>3807</v>
      </c>
      <c r="AJ652" s="0" t="s">
        <v>3579</v>
      </c>
      <c r="AK652" s="0" t="s">
        <v>3619</v>
      </c>
      <c r="AL652" s="0" t="s">
        <v>3581</v>
      </c>
      <c r="AM652" s="0" t="s">
        <v>3565</v>
      </c>
      <c r="AN652" s="0" t="s">
        <v>3620</v>
      </c>
      <c r="AO652" s="0" t="s">
        <v>3583</v>
      </c>
      <c r="AP652" s="0" t="s">
        <v>228</v>
      </c>
      <c r="AQ652" s="0" t="s">
        <v>228</v>
      </c>
      <c r="AR652" s="0" t="s">
        <v>228</v>
      </c>
      <c r="AS652" s="0" t="s">
        <v>228</v>
      </c>
      <c r="AT652" s="0" t="s">
        <v>228</v>
      </c>
      <c r="AU652" s="0" t="s">
        <v>228</v>
      </c>
      <c r="AV652" s="0" t="s">
        <v>228</v>
      </c>
      <c r="AW652" s="0" t="s">
        <v>228</v>
      </c>
      <c r="AX652" s="0" t="s">
        <v>228</v>
      </c>
      <c r="AY652" s="0" t="s">
        <v>228</v>
      </c>
      <c r="AZ652" s="0" t="s">
        <v>228</v>
      </c>
      <c r="BA652" s="0" t="s">
        <v>228</v>
      </c>
      <c r="BB652" s="0" t="s">
        <v>228</v>
      </c>
      <c r="BC652" s="0" t="s">
        <v>228</v>
      </c>
      <c r="BD652" s="0" t="s">
        <v>228</v>
      </c>
      <c r="BE652" s="0" t="s">
        <v>228</v>
      </c>
      <c r="BF652" s="0" t="s">
        <v>228</v>
      </c>
      <c r="BG652" s="0" t="s">
        <v>228</v>
      </c>
      <c r="BH652" s="0" t="s">
        <v>228</v>
      </c>
      <c r="BI652" s="0" t="s">
        <v>228</v>
      </c>
      <c r="BJ652" s="0" t="s">
        <v>228</v>
      </c>
      <c r="BK652" s="0" t="s">
        <v>228</v>
      </c>
      <c r="BL652" s="0" t="s">
        <v>228</v>
      </c>
      <c r="BM652" s="0" t="s">
        <v>228</v>
      </c>
      <c r="BN652" s="0" t="s">
        <v>228</v>
      </c>
      <c r="BO652" s="0" t="s">
        <v>228</v>
      </c>
      <c r="BP652" s="0" t="s">
        <v>228</v>
      </c>
      <c r="BQ652" s="0" t="s">
        <v>228</v>
      </c>
      <c r="BR652" s="0" t="s">
        <v>228</v>
      </c>
      <c r="BS652" s="0" t="s">
        <v>228</v>
      </c>
      <c r="BT652" s="0" t="s">
        <v>228</v>
      </c>
      <c r="BU652" s="0" t="s">
        <v>228</v>
      </c>
      <c r="BV652" s="0" t="s">
        <v>228</v>
      </c>
      <c r="BW652" s="0" t="s">
        <v>228</v>
      </c>
      <c r="BX652" s="0" t="s">
        <v>228</v>
      </c>
      <c r="BY652" s="0" t="s">
        <v>228</v>
      </c>
      <c r="BZ652" s="0" t="s">
        <v>228</v>
      </c>
      <c r="CA652" s="0" t="s">
        <v>228</v>
      </c>
      <c r="CB652" s="0" t="s">
        <v>228</v>
      </c>
      <c r="CC652" s="0" t="s">
        <v>228</v>
      </c>
      <c r="CD652" s="0" t="s">
        <v>228</v>
      </c>
      <c r="CE652" s="0" t="s">
        <v>228</v>
      </c>
      <c r="CF652" s="0" t="s">
        <v>228</v>
      </c>
      <c r="CG652" s="0" t="s">
        <v>228</v>
      </c>
      <c r="CH652" s="0" t="s">
        <v>228</v>
      </c>
      <c r="CI652" s="0" t="s">
        <v>228</v>
      </c>
      <c r="CJ652" s="0" t="s">
        <v>228</v>
      </c>
      <c r="CK652" s="0" t="s">
        <v>228</v>
      </c>
      <c r="CL652" s="0" t="s">
        <v>228</v>
      </c>
      <c r="CM652" s="0" t="s">
        <v>228</v>
      </c>
      <c r="CN652" s="0" t="s">
        <v>228</v>
      </c>
      <c r="CO652" s="0" t="s">
        <v>228</v>
      </c>
      <c r="CP652" s="0" t="s">
        <v>228</v>
      </c>
      <c r="CQ652" s="0" t="s">
        <v>228</v>
      </c>
      <c r="CR652" s="0" t="s">
        <v>228</v>
      </c>
      <c r="CS652" s="0" t="s">
        <v>228</v>
      </c>
      <c r="CT652" s="0" t="s">
        <v>3568</v>
      </c>
      <c r="CU652" s="0" t="s">
        <v>3569</v>
      </c>
      <c r="CV652" s="0" t="s">
        <v>418</v>
      </c>
      <c r="CW652" s="0" t="s">
        <v>3622</v>
      </c>
      <c r="CX652" s="0" t="s">
        <v>419</v>
      </c>
      <c r="CY652" s="0" t="s">
        <v>418</v>
      </c>
      <c r="CZ652" s="0" t="s">
        <v>3623</v>
      </c>
      <c r="DA652" s="0" t="s">
        <v>3624</v>
      </c>
      <c r="DB652" s="0" t="s">
        <v>3622</v>
      </c>
      <c r="DC652" s="0" t="s">
        <v>362</v>
      </c>
      <c r="DD652" s="0" t="s">
        <v>3572</v>
      </c>
      <c r="DE652" s="0" t="s">
        <v>4438</v>
      </c>
    </row>
    <row customHeight="1" ht="11.25">
      <c r="A653" s="1353" t="s">
        <v>228</v>
      </c>
      <c r="B653" s="0" t="s">
        <v>228</v>
      </c>
      <c r="C653" s="0" t="s">
        <v>228</v>
      </c>
      <c r="D653" s="0" t="s">
        <v>228</v>
      </c>
      <c r="E653" s="0" t="s">
        <v>228</v>
      </c>
      <c r="F653" s="0" t="s">
        <v>228</v>
      </c>
      <c r="G653" s="0" t="s">
        <v>228</v>
      </c>
      <c r="H653" s="0" t="s">
        <v>228</v>
      </c>
      <c r="I653" s="0" t="s">
        <v>5119</v>
      </c>
      <c r="J653" s="0" t="s">
        <v>228</v>
      </c>
      <c r="K653" s="0" t="s">
        <v>228</v>
      </c>
      <c r="L653" s="0" t="s">
        <v>228</v>
      </c>
      <c r="M653" s="0" t="s">
        <v>228</v>
      </c>
      <c r="N653" s="0" t="s">
        <v>228</v>
      </c>
      <c r="O653" s="0" t="s">
        <v>228</v>
      </c>
      <c r="P653" s="0" t="s">
        <v>228</v>
      </c>
      <c r="Q653" s="0" t="s">
        <v>228</v>
      </c>
      <c r="R653" s="0" t="s">
        <v>5120</v>
      </c>
      <c r="S653" s="0" t="s">
        <v>228</v>
      </c>
      <c r="T653" s="0" t="s">
        <v>228</v>
      </c>
      <c r="U653" s="0" t="s">
        <v>101</v>
      </c>
      <c r="V653" s="0" t="s">
        <v>228</v>
      </c>
      <c r="W653" s="0" t="s">
        <v>228</v>
      </c>
      <c r="X653" s="0" t="s">
        <v>5121</v>
      </c>
      <c r="Y653" s="0" t="s">
        <v>228</v>
      </c>
      <c r="Z653" s="0" t="s">
        <v>160</v>
      </c>
      <c r="AA653" s="0" t="s">
        <v>151</v>
      </c>
      <c r="AB653" s="0" t="s">
        <v>151</v>
      </c>
      <c r="AC653" s="0" t="s">
        <v>2715</v>
      </c>
      <c r="AD653" s="0" t="s">
        <v>2715</v>
      </c>
      <c r="AE653" s="0" t="s">
        <v>2716</v>
      </c>
      <c r="AF653" s="0" t="s">
        <v>3594</v>
      </c>
      <c r="AG653" s="0" t="s">
        <v>3595</v>
      </c>
      <c r="AH653" s="0" t="s">
        <v>5122</v>
      </c>
      <c r="AI653" s="0" t="s">
        <v>3608</v>
      </c>
      <c r="AJ653" s="0" t="s">
        <v>5123</v>
      </c>
      <c r="AK653" s="0" t="s">
        <v>5124</v>
      </c>
      <c r="AL653" s="0" t="s">
        <v>5125</v>
      </c>
      <c r="AN653" s="0" t="s">
        <v>5126</v>
      </c>
      <c r="AO653" s="0" t="s">
        <v>5127</v>
      </c>
      <c r="AP653" s="0" t="s">
        <v>228</v>
      </c>
      <c r="AQ653" s="0" t="s">
        <v>228</v>
      </c>
      <c r="AR653" s="0" t="s">
        <v>228</v>
      </c>
      <c r="AS653" s="0" t="s">
        <v>228</v>
      </c>
      <c r="AT653" s="0" t="s">
        <v>228</v>
      </c>
      <c r="AU653" s="0" t="s">
        <v>228</v>
      </c>
      <c r="AV653" s="0" t="s">
        <v>228</v>
      </c>
      <c r="AW653" s="0" t="s">
        <v>228</v>
      </c>
      <c r="AX653" s="0" t="s">
        <v>228</v>
      </c>
      <c r="AY653" s="0" t="s">
        <v>228</v>
      </c>
      <c r="AZ653" s="0" t="s">
        <v>228</v>
      </c>
      <c r="BA653" s="0" t="s">
        <v>228</v>
      </c>
      <c r="BB653" s="0" t="s">
        <v>228</v>
      </c>
      <c r="BC653" s="0" t="s">
        <v>228</v>
      </c>
      <c r="BD653" s="0" t="s">
        <v>228</v>
      </c>
      <c r="BE653" s="0" t="s">
        <v>228</v>
      </c>
      <c r="BF653" s="0" t="s">
        <v>228</v>
      </c>
      <c r="BG653" s="0" t="s">
        <v>228</v>
      </c>
      <c r="BH653" s="0" t="s">
        <v>228</v>
      </c>
      <c r="BI653" s="0" t="s">
        <v>228</v>
      </c>
      <c r="BJ653" s="0" t="s">
        <v>228</v>
      </c>
      <c r="BK653" s="0" t="s">
        <v>228</v>
      </c>
      <c r="BL653" s="0" t="s">
        <v>228</v>
      </c>
      <c r="BM653" s="0" t="s">
        <v>228</v>
      </c>
      <c r="BN653" s="0" t="s">
        <v>228</v>
      </c>
      <c r="BO653" s="0" t="s">
        <v>228</v>
      </c>
      <c r="BP653" s="0" t="s">
        <v>228</v>
      </c>
      <c r="BQ653" s="0" t="s">
        <v>228</v>
      </c>
      <c r="BR653" s="0" t="s">
        <v>228</v>
      </c>
      <c r="BS653" s="0" t="s">
        <v>228</v>
      </c>
      <c r="BT653" s="0" t="s">
        <v>228</v>
      </c>
      <c r="CS653" s="0" t="s">
        <v>228</v>
      </c>
      <c r="CT653" s="0" t="s">
        <v>3568</v>
      </c>
      <c r="CU653" s="0" t="s">
        <v>5128</v>
      </c>
      <c r="CV653" s="0" t="s">
        <v>4030</v>
      </c>
      <c r="CW653" s="0" t="s">
        <v>5129</v>
      </c>
      <c r="CX653" s="0" t="s">
        <v>3603</v>
      </c>
      <c r="CY653" s="0" t="s">
        <v>4030</v>
      </c>
      <c r="CZ653" s="0" t="s">
        <v>5130</v>
      </c>
      <c r="DA653" s="0" t="s">
        <v>5131</v>
      </c>
      <c r="DB653" s="0" t="s">
        <v>5129</v>
      </c>
      <c r="DC653" s="0" t="s">
        <v>362</v>
      </c>
      <c r="DD653" s="0" t="s">
        <v>282</v>
      </c>
      <c r="DE653" s="0" t="s">
        <v>5132</v>
      </c>
    </row>
    <row customHeight="1" ht="11.25">
      <c r="A654" s="1353" t="s">
        <v>228</v>
      </c>
      <c r="B654" s="0" t="s">
        <v>228</v>
      </c>
      <c r="C654" s="0" t="s">
        <v>228</v>
      </c>
      <c r="D654" s="0" t="s">
        <v>228</v>
      </c>
      <c r="E654" s="0" t="s">
        <v>228</v>
      </c>
      <c r="F654" s="0" t="s">
        <v>228</v>
      </c>
      <c r="G654" s="0" t="s">
        <v>228</v>
      </c>
      <c r="H654" s="0" t="s">
        <v>228</v>
      </c>
      <c r="I654" s="0" t="s">
        <v>5119</v>
      </c>
      <c r="J654" s="0" t="s">
        <v>228</v>
      </c>
      <c r="K654" s="0" t="s">
        <v>228</v>
      </c>
      <c r="L654" s="0" t="s">
        <v>228</v>
      </c>
      <c r="M654" s="0" t="s">
        <v>228</v>
      </c>
      <c r="N654" s="0" t="s">
        <v>228</v>
      </c>
      <c r="O654" s="0" t="s">
        <v>228</v>
      </c>
      <c r="P654" s="0" t="s">
        <v>228</v>
      </c>
      <c r="Q654" s="0" t="s">
        <v>228</v>
      </c>
      <c r="R654" s="0" t="s">
        <v>5133</v>
      </c>
      <c r="S654" s="0" t="s">
        <v>228</v>
      </c>
      <c r="T654" s="0" t="s">
        <v>228</v>
      </c>
      <c r="U654" s="0" t="s">
        <v>101</v>
      </c>
      <c r="V654" s="0" t="s">
        <v>228</v>
      </c>
      <c r="W654" s="0" t="s">
        <v>228</v>
      </c>
      <c r="X654" s="0" t="s">
        <v>5121</v>
      </c>
      <c r="Y654" s="0" t="s">
        <v>228</v>
      </c>
      <c r="Z654" s="0" t="s">
        <v>160</v>
      </c>
      <c r="AA654" s="0" t="s">
        <v>151</v>
      </c>
      <c r="AB654" s="0" t="s">
        <v>151</v>
      </c>
      <c r="AC654" s="0" t="s">
        <v>2721</v>
      </c>
      <c r="AD654" s="0" t="s">
        <v>2721</v>
      </c>
      <c r="AE654" s="0" t="s">
        <v>2722</v>
      </c>
      <c r="AF654" s="0" t="s">
        <v>4024</v>
      </c>
      <c r="AG654" s="0" t="s">
        <v>4025</v>
      </c>
      <c r="AH654" s="0" t="s">
        <v>5134</v>
      </c>
      <c r="AI654" s="0" t="s">
        <v>5135</v>
      </c>
      <c r="AJ654" s="0" t="s">
        <v>4993</v>
      </c>
      <c r="AK654" s="0" t="s">
        <v>5136</v>
      </c>
      <c r="AL654" s="0" t="s">
        <v>5125</v>
      </c>
      <c r="AN654" s="0" t="s">
        <v>3628</v>
      </c>
      <c r="AO654" s="0" t="s">
        <v>5137</v>
      </c>
      <c r="AP654" s="0" t="s">
        <v>228</v>
      </c>
      <c r="AQ654" s="0" t="s">
        <v>228</v>
      </c>
      <c r="AR654" s="0" t="s">
        <v>228</v>
      </c>
      <c r="AS654" s="0" t="s">
        <v>228</v>
      </c>
      <c r="AT654" s="0" t="s">
        <v>228</v>
      </c>
      <c r="AU654" s="0" t="s">
        <v>228</v>
      </c>
      <c r="AV654" s="0" t="s">
        <v>228</v>
      </c>
      <c r="AW654" s="0" t="s">
        <v>228</v>
      </c>
      <c r="AX654" s="0" t="s">
        <v>228</v>
      </c>
      <c r="AY654" s="0" t="s">
        <v>228</v>
      </c>
      <c r="AZ654" s="0" t="s">
        <v>228</v>
      </c>
      <c r="BA654" s="0" t="s">
        <v>228</v>
      </c>
      <c r="BB654" s="0" t="s">
        <v>228</v>
      </c>
      <c r="BC654" s="0" t="s">
        <v>228</v>
      </c>
      <c r="BD654" s="0" t="s">
        <v>228</v>
      </c>
      <c r="BE654" s="0" t="s">
        <v>228</v>
      </c>
      <c r="BF654" s="0" t="s">
        <v>228</v>
      </c>
      <c r="BG654" s="0" t="s">
        <v>228</v>
      </c>
      <c r="BH654" s="0" t="s">
        <v>228</v>
      </c>
      <c r="BI654" s="0" t="s">
        <v>228</v>
      </c>
      <c r="BJ654" s="0" t="s">
        <v>228</v>
      </c>
      <c r="BK654" s="0" t="s">
        <v>228</v>
      </c>
      <c r="BL654" s="0" t="s">
        <v>228</v>
      </c>
      <c r="BM654" s="0" t="s">
        <v>228</v>
      </c>
      <c r="BN654" s="0" t="s">
        <v>228</v>
      </c>
      <c r="BO654" s="0" t="s">
        <v>228</v>
      </c>
      <c r="BP654" s="0" t="s">
        <v>228</v>
      </c>
      <c r="BQ654" s="0" t="s">
        <v>228</v>
      </c>
      <c r="BR654" s="0" t="s">
        <v>228</v>
      </c>
      <c r="BS654" s="0" t="s">
        <v>228</v>
      </c>
      <c r="BT654" s="0" t="s">
        <v>228</v>
      </c>
      <c r="CS654" s="0" t="s">
        <v>228</v>
      </c>
      <c r="CT654" s="0" t="s">
        <v>3568</v>
      </c>
      <c r="CU654" s="0" t="s">
        <v>3569</v>
      </c>
      <c r="CV654" s="0" t="s">
        <v>4030</v>
      </c>
      <c r="CW654" s="0" t="s">
        <v>4031</v>
      </c>
      <c r="CX654" s="0" t="s">
        <v>3603</v>
      </c>
      <c r="CY654" s="0" t="s">
        <v>4030</v>
      </c>
      <c r="CZ654" s="0" t="s">
        <v>5138</v>
      </c>
      <c r="DA654" s="0" t="s">
        <v>4032</v>
      </c>
      <c r="DB654" s="0" t="s">
        <v>4031</v>
      </c>
      <c r="DC654" s="0" t="s">
        <v>362</v>
      </c>
      <c r="DD654" s="0" t="s">
        <v>282</v>
      </c>
      <c r="DE654" s="0" t="s">
        <v>5139</v>
      </c>
    </row>
    <row customHeight="1" ht="11.25">
      <c r="A655" s="1353" t="s">
        <v>228</v>
      </c>
      <c r="B655" s="0" t="s">
        <v>228</v>
      </c>
      <c r="C655" s="0" t="s">
        <v>228</v>
      </c>
      <c r="D655" s="0" t="s">
        <v>228</v>
      </c>
      <c r="E655" s="0" t="s">
        <v>228</v>
      </c>
      <c r="F655" s="0" t="s">
        <v>228</v>
      </c>
      <c r="G655" s="0" t="s">
        <v>228</v>
      </c>
      <c r="H655" s="0" t="s">
        <v>228</v>
      </c>
      <c r="I655" s="0" t="s">
        <v>5119</v>
      </c>
      <c r="J655" s="0" t="s">
        <v>228</v>
      </c>
      <c r="K655" s="0" t="s">
        <v>228</v>
      </c>
      <c r="L655" s="0" t="s">
        <v>228</v>
      </c>
      <c r="M655" s="0" t="s">
        <v>228</v>
      </c>
      <c r="N655" s="0" t="s">
        <v>228</v>
      </c>
      <c r="O655" s="0" t="s">
        <v>228</v>
      </c>
      <c r="P655" s="0" t="s">
        <v>228</v>
      </c>
      <c r="Q655" s="0" t="s">
        <v>228</v>
      </c>
      <c r="R655" s="0" t="s">
        <v>5140</v>
      </c>
      <c r="S655" s="0" t="s">
        <v>228</v>
      </c>
      <c r="T655" s="0" t="s">
        <v>228</v>
      </c>
      <c r="U655" s="0" t="s">
        <v>101</v>
      </c>
      <c r="V655" s="0" t="s">
        <v>228</v>
      </c>
      <c r="W655" s="0" t="s">
        <v>228</v>
      </c>
      <c r="X655" s="0" t="s">
        <v>5121</v>
      </c>
      <c r="Y655" s="0" t="s">
        <v>228</v>
      </c>
      <c r="Z655" s="0" t="s">
        <v>160</v>
      </c>
      <c r="AA655" s="0" t="s">
        <v>151</v>
      </c>
      <c r="AB655" s="0" t="s">
        <v>151</v>
      </c>
      <c r="AC655" s="0" t="s">
        <v>2715</v>
      </c>
      <c r="AD655" s="0" t="s">
        <v>2715</v>
      </c>
      <c r="AE655" s="0" t="s">
        <v>2716</v>
      </c>
      <c r="AF655" s="0" t="s">
        <v>3594</v>
      </c>
      <c r="AG655" s="0" t="s">
        <v>3595</v>
      </c>
      <c r="AH655" s="0" t="s">
        <v>5141</v>
      </c>
      <c r="AI655" s="0" t="s">
        <v>5142</v>
      </c>
      <c r="AJ655" s="0" t="s">
        <v>3644</v>
      </c>
      <c r="AK655" s="0" t="s">
        <v>5143</v>
      </c>
      <c r="AL655" s="0" t="s">
        <v>5144</v>
      </c>
      <c r="AN655" s="0" t="s">
        <v>5145</v>
      </c>
      <c r="AO655" s="0" t="s">
        <v>5146</v>
      </c>
      <c r="AP655" s="0" t="s">
        <v>228</v>
      </c>
      <c r="AQ655" s="0" t="s">
        <v>228</v>
      </c>
      <c r="AR655" s="0" t="s">
        <v>228</v>
      </c>
      <c r="AS655" s="0" t="s">
        <v>228</v>
      </c>
      <c r="AT655" s="0" t="s">
        <v>228</v>
      </c>
      <c r="AU655" s="0" t="s">
        <v>228</v>
      </c>
      <c r="AV655" s="0" t="s">
        <v>228</v>
      </c>
      <c r="AW655" s="0" t="s">
        <v>228</v>
      </c>
      <c r="AX655" s="0" t="s">
        <v>228</v>
      </c>
      <c r="AY655" s="0" t="s">
        <v>228</v>
      </c>
      <c r="AZ655" s="0" t="s">
        <v>228</v>
      </c>
      <c r="BA655" s="0" t="s">
        <v>228</v>
      </c>
      <c r="BB655" s="0" t="s">
        <v>228</v>
      </c>
      <c r="BC655" s="0" t="s">
        <v>228</v>
      </c>
      <c r="BD655" s="0" t="s">
        <v>228</v>
      </c>
      <c r="BE655" s="0" t="s">
        <v>228</v>
      </c>
      <c r="BF655" s="0" t="s">
        <v>228</v>
      </c>
      <c r="BG655" s="0" t="s">
        <v>228</v>
      </c>
      <c r="BH655" s="0" t="s">
        <v>228</v>
      </c>
      <c r="BI655" s="0" t="s">
        <v>228</v>
      </c>
      <c r="BJ655" s="0" t="s">
        <v>228</v>
      </c>
      <c r="BK655" s="0" t="s">
        <v>228</v>
      </c>
      <c r="BL655" s="0" t="s">
        <v>228</v>
      </c>
      <c r="BM655" s="0" t="s">
        <v>228</v>
      </c>
      <c r="BN655" s="0" t="s">
        <v>228</v>
      </c>
      <c r="BO655" s="0" t="s">
        <v>228</v>
      </c>
      <c r="BP655" s="0" t="s">
        <v>228</v>
      </c>
      <c r="BQ655" s="0" t="s">
        <v>228</v>
      </c>
      <c r="BR655" s="0" t="s">
        <v>228</v>
      </c>
      <c r="BS655" s="0" t="s">
        <v>228</v>
      </c>
      <c r="BT655" s="0" t="s">
        <v>228</v>
      </c>
      <c r="CS655" s="0" t="s">
        <v>228</v>
      </c>
      <c r="CT655" s="0" t="s">
        <v>3568</v>
      </c>
      <c r="CU655" s="0" t="s">
        <v>5128</v>
      </c>
      <c r="CV655" s="0" t="s">
        <v>4030</v>
      </c>
      <c r="CW655" s="0" t="s">
        <v>5129</v>
      </c>
      <c r="CX655" s="0" t="s">
        <v>3603</v>
      </c>
      <c r="CY655" s="0" t="s">
        <v>4030</v>
      </c>
      <c r="CZ655" s="0" t="s">
        <v>5130</v>
      </c>
      <c r="DA655" s="0" t="s">
        <v>5131</v>
      </c>
      <c r="DB655" s="0" t="s">
        <v>5129</v>
      </c>
      <c r="DC655" s="0" t="s">
        <v>362</v>
      </c>
      <c r="DD655" s="0" t="s">
        <v>282</v>
      </c>
      <c r="DE655" s="0" t="s">
        <v>5147</v>
      </c>
    </row>
    <row customHeight="1" ht="11.25">
      <c r="A656" s="1353" t="s">
        <v>228</v>
      </c>
      <c r="B656" s="0" t="s">
        <v>228</v>
      </c>
      <c r="C656" s="0" t="s">
        <v>228</v>
      </c>
      <c r="D656" s="0" t="s">
        <v>228</v>
      </c>
      <c r="E656" s="0" t="s">
        <v>228</v>
      </c>
      <c r="F656" s="0" t="s">
        <v>228</v>
      </c>
      <c r="G656" s="0" t="s">
        <v>228</v>
      </c>
      <c r="H656" s="0" t="s">
        <v>228</v>
      </c>
      <c r="I656" s="0" t="s">
        <v>5119</v>
      </c>
      <c r="J656" s="0" t="s">
        <v>228</v>
      </c>
      <c r="K656" s="0" t="s">
        <v>228</v>
      </c>
      <c r="L656" s="0" t="s">
        <v>228</v>
      </c>
      <c r="M656" s="0" t="s">
        <v>228</v>
      </c>
      <c r="N656" s="0" t="s">
        <v>228</v>
      </c>
      <c r="O656" s="0" t="s">
        <v>228</v>
      </c>
      <c r="P656" s="0" t="s">
        <v>228</v>
      </c>
      <c r="Q656" s="0" t="s">
        <v>228</v>
      </c>
      <c r="R656" s="0" t="s">
        <v>5148</v>
      </c>
      <c r="S656" s="0" t="s">
        <v>228</v>
      </c>
      <c r="T656" s="0" t="s">
        <v>228</v>
      </c>
      <c r="U656" s="0" t="s">
        <v>101</v>
      </c>
      <c r="V656" s="0" t="s">
        <v>228</v>
      </c>
      <c r="W656" s="0" t="s">
        <v>228</v>
      </c>
      <c r="X656" s="0" t="s">
        <v>5121</v>
      </c>
      <c r="Y656" s="0" t="s">
        <v>228</v>
      </c>
      <c r="Z656" s="0" t="s">
        <v>160</v>
      </c>
      <c r="AA656" s="0" t="s">
        <v>151</v>
      </c>
      <c r="AB656" s="0" t="s">
        <v>151</v>
      </c>
      <c r="AC656" s="0" t="s">
        <v>2715</v>
      </c>
      <c r="AD656" s="0" t="s">
        <v>2715</v>
      </c>
      <c r="AE656" s="0" t="s">
        <v>2716</v>
      </c>
      <c r="AF656" s="0" t="s">
        <v>3594</v>
      </c>
      <c r="AG656" s="0" t="s">
        <v>3595</v>
      </c>
      <c r="AH656" s="0" t="s">
        <v>5149</v>
      </c>
      <c r="AI656" s="0" t="s">
        <v>3608</v>
      </c>
      <c r="AJ656" s="0" t="s">
        <v>3984</v>
      </c>
      <c r="AK656" s="0" t="s">
        <v>5150</v>
      </c>
      <c r="AL656" s="0" t="s">
        <v>5125</v>
      </c>
      <c r="AN656" s="0" t="s">
        <v>3972</v>
      </c>
      <c r="AO656" s="0" t="s">
        <v>5151</v>
      </c>
      <c r="AP656" s="0" t="s">
        <v>228</v>
      </c>
      <c r="AQ656" s="0" t="s">
        <v>228</v>
      </c>
      <c r="AR656" s="0" t="s">
        <v>228</v>
      </c>
      <c r="AS656" s="0" t="s">
        <v>228</v>
      </c>
      <c r="AT656" s="0" t="s">
        <v>228</v>
      </c>
      <c r="AU656" s="0" t="s">
        <v>228</v>
      </c>
      <c r="AV656" s="0" t="s">
        <v>228</v>
      </c>
      <c r="AW656" s="0" t="s">
        <v>228</v>
      </c>
      <c r="AX656" s="0" t="s">
        <v>228</v>
      </c>
      <c r="AY656" s="0" t="s">
        <v>228</v>
      </c>
      <c r="AZ656" s="0" t="s">
        <v>228</v>
      </c>
      <c r="BA656" s="0" t="s">
        <v>228</v>
      </c>
      <c r="BB656" s="0" t="s">
        <v>228</v>
      </c>
      <c r="BC656" s="0" t="s">
        <v>228</v>
      </c>
      <c r="BD656" s="0" t="s">
        <v>228</v>
      </c>
      <c r="BE656" s="0" t="s">
        <v>228</v>
      </c>
      <c r="BF656" s="0" t="s">
        <v>228</v>
      </c>
      <c r="BG656" s="0" t="s">
        <v>228</v>
      </c>
      <c r="BH656" s="0" t="s">
        <v>228</v>
      </c>
      <c r="BI656" s="0" t="s">
        <v>228</v>
      </c>
      <c r="BJ656" s="0" t="s">
        <v>228</v>
      </c>
      <c r="BK656" s="0" t="s">
        <v>228</v>
      </c>
      <c r="BL656" s="0" t="s">
        <v>228</v>
      </c>
      <c r="BM656" s="0" t="s">
        <v>228</v>
      </c>
      <c r="BN656" s="0" t="s">
        <v>228</v>
      </c>
      <c r="BO656" s="0" t="s">
        <v>228</v>
      </c>
      <c r="BP656" s="0" t="s">
        <v>228</v>
      </c>
      <c r="BQ656" s="0" t="s">
        <v>228</v>
      </c>
      <c r="BR656" s="0" t="s">
        <v>228</v>
      </c>
      <c r="BS656" s="0" t="s">
        <v>228</v>
      </c>
      <c r="BT656" s="0" t="s">
        <v>228</v>
      </c>
      <c r="CS656" s="0" t="s">
        <v>228</v>
      </c>
      <c r="CT656" s="0" t="s">
        <v>3568</v>
      </c>
      <c r="CU656" s="0" t="s">
        <v>3569</v>
      </c>
      <c r="CV656" s="0" t="s">
        <v>418</v>
      </c>
      <c r="CW656" s="0" t="s">
        <v>3602</v>
      </c>
      <c r="CX656" s="0" t="s">
        <v>3603</v>
      </c>
      <c r="CY656" s="0" t="s">
        <v>418</v>
      </c>
      <c r="CZ656" s="0" t="s">
        <v>504</v>
      </c>
      <c r="DA656" s="0" t="s">
        <v>3604</v>
      </c>
      <c r="DB656" s="0" t="s">
        <v>3602</v>
      </c>
      <c r="DC656" s="0" t="s">
        <v>362</v>
      </c>
      <c r="DD656" s="0" t="s">
        <v>282</v>
      </c>
      <c r="DE656" s="0" t="s">
        <v>5152</v>
      </c>
    </row>
    <row customHeight="1" ht="11.25">
      <c r="A657" s="1353" t="s">
        <v>228</v>
      </c>
      <c r="B657" s="0" t="s">
        <v>228</v>
      </c>
      <c r="C657" s="0" t="s">
        <v>228</v>
      </c>
      <c r="D657" s="0" t="s">
        <v>228</v>
      </c>
      <c r="E657" s="0" t="s">
        <v>228</v>
      </c>
      <c r="F657" s="0" t="s">
        <v>228</v>
      </c>
      <c r="G657" s="0" t="s">
        <v>228</v>
      </c>
      <c r="H657" s="0" t="s">
        <v>228</v>
      </c>
      <c r="I657" s="0" t="s">
        <v>5119</v>
      </c>
      <c r="J657" s="0" t="s">
        <v>228</v>
      </c>
      <c r="K657" s="0" t="s">
        <v>228</v>
      </c>
      <c r="L657" s="0" t="s">
        <v>228</v>
      </c>
      <c r="M657" s="0" t="s">
        <v>228</v>
      </c>
      <c r="N657" s="0" t="s">
        <v>228</v>
      </c>
      <c r="O657" s="0" t="s">
        <v>228</v>
      </c>
      <c r="P657" s="0" t="s">
        <v>228</v>
      </c>
      <c r="Q657" s="0" t="s">
        <v>228</v>
      </c>
      <c r="R657" s="0" t="s">
        <v>5153</v>
      </c>
      <c r="S657" s="0" t="s">
        <v>228</v>
      </c>
      <c r="T657" s="0" t="s">
        <v>228</v>
      </c>
      <c r="U657" s="0" t="s">
        <v>101</v>
      </c>
      <c r="V657" s="0" t="s">
        <v>228</v>
      </c>
      <c r="W657" s="0" t="s">
        <v>228</v>
      </c>
      <c r="X657" s="0" t="s">
        <v>5121</v>
      </c>
      <c r="Y657" s="0" t="s">
        <v>228</v>
      </c>
      <c r="Z657" s="0" t="s">
        <v>160</v>
      </c>
      <c r="AA657" s="0" t="s">
        <v>151</v>
      </c>
      <c r="AB657" s="0" t="s">
        <v>151</v>
      </c>
      <c r="AC657" s="0" t="s">
        <v>2721</v>
      </c>
      <c r="AD657" s="0" t="s">
        <v>2721</v>
      </c>
      <c r="AE657" s="0" t="s">
        <v>2722</v>
      </c>
      <c r="AF657" s="0" t="s">
        <v>4024</v>
      </c>
      <c r="AG657" s="0" t="s">
        <v>4025</v>
      </c>
      <c r="AH657" s="0" t="s">
        <v>3693</v>
      </c>
      <c r="AI657" s="0" t="s">
        <v>3608</v>
      </c>
      <c r="AJ657" s="0" t="s">
        <v>3900</v>
      </c>
      <c r="AK657" s="0" t="s">
        <v>3620</v>
      </c>
      <c r="AL657" s="0" t="s">
        <v>5125</v>
      </c>
      <c r="AN657" s="0" t="s">
        <v>3628</v>
      </c>
      <c r="AO657" s="0" t="s">
        <v>5154</v>
      </c>
      <c r="AP657" s="0" t="s">
        <v>228</v>
      </c>
      <c r="AQ657" s="0" t="s">
        <v>228</v>
      </c>
      <c r="AR657" s="0" t="s">
        <v>228</v>
      </c>
      <c r="AS657" s="0" t="s">
        <v>228</v>
      </c>
      <c r="AT657" s="0" t="s">
        <v>228</v>
      </c>
      <c r="AU657" s="0" t="s">
        <v>228</v>
      </c>
      <c r="AV657" s="0" t="s">
        <v>228</v>
      </c>
      <c r="AW657" s="0" t="s">
        <v>228</v>
      </c>
      <c r="AX657" s="0" t="s">
        <v>228</v>
      </c>
      <c r="AY657" s="0" t="s">
        <v>228</v>
      </c>
      <c r="AZ657" s="0" t="s">
        <v>228</v>
      </c>
      <c r="BA657" s="0" t="s">
        <v>228</v>
      </c>
      <c r="BB657" s="0" t="s">
        <v>228</v>
      </c>
      <c r="BC657" s="0" t="s">
        <v>228</v>
      </c>
      <c r="BD657" s="0" t="s">
        <v>228</v>
      </c>
      <c r="BE657" s="0" t="s">
        <v>228</v>
      </c>
      <c r="BF657" s="0" t="s">
        <v>228</v>
      </c>
      <c r="BG657" s="0" t="s">
        <v>228</v>
      </c>
      <c r="BH657" s="0" t="s">
        <v>228</v>
      </c>
      <c r="BI657" s="0" t="s">
        <v>228</v>
      </c>
      <c r="BJ657" s="0" t="s">
        <v>228</v>
      </c>
      <c r="BK657" s="0" t="s">
        <v>228</v>
      </c>
      <c r="BL657" s="0" t="s">
        <v>228</v>
      </c>
      <c r="BM657" s="0" t="s">
        <v>228</v>
      </c>
      <c r="BN657" s="0" t="s">
        <v>228</v>
      </c>
      <c r="BO657" s="0" t="s">
        <v>228</v>
      </c>
      <c r="BP657" s="0" t="s">
        <v>228</v>
      </c>
      <c r="BQ657" s="0" t="s">
        <v>228</v>
      </c>
      <c r="BR657" s="0" t="s">
        <v>228</v>
      </c>
      <c r="BS657" s="0" t="s">
        <v>228</v>
      </c>
      <c r="BT657" s="0" t="s">
        <v>228</v>
      </c>
      <c r="CS657" s="0" t="s">
        <v>228</v>
      </c>
      <c r="CT657" s="0" t="s">
        <v>3568</v>
      </c>
      <c r="CU657" s="0" t="s">
        <v>3569</v>
      </c>
      <c r="CV657" s="0" t="s">
        <v>4030</v>
      </c>
      <c r="CW657" s="0" t="s">
        <v>4031</v>
      </c>
      <c r="CX657" s="0" t="s">
        <v>3603</v>
      </c>
      <c r="CY657" s="0" t="s">
        <v>4030</v>
      </c>
      <c r="CZ657" s="0" t="s">
        <v>5138</v>
      </c>
      <c r="DA657" s="0" t="s">
        <v>4032</v>
      </c>
      <c r="DB657" s="0" t="s">
        <v>4031</v>
      </c>
      <c r="DC657" s="0" t="s">
        <v>362</v>
      </c>
      <c r="DD657" s="0" t="s">
        <v>282</v>
      </c>
      <c r="DE657" s="0" t="s">
        <v>5155</v>
      </c>
    </row>
    <row customHeight="1" ht="11.25">
      <c r="A658" s="1353" t="s">
        <v>228</v>
      </c>
      <c r="B658" s="0" t="s">
        <v>228</v>
      </c>
      <c r="C658" s="0" t="s">
        <v>228</v>
      </c>
      <c r="D658" s="0" t="s">
        <v>228</v>
      </c>
      <c r="E658" s="0" t="s">
        <v>228</v>
      </c>
      <c r="F658" s="0" t="s">
        <v>228</v>
      </c>
      <c r="G658" s="0" t="s">
        <v>228</v>
      </c>
      <c r="H658" s="0" t="s">
        <v>228</v>
      </c>
      <c r="I658" s="0" t="s">
        <v>5119</v>
      </c>
      <c r="J658" s="0" t="s">
        <v>228</v>
      </c>
      <c r="K658" s="0" t="s">
        <v>228</v>
      </c>
      <c r="L658" s="0" t="s">
        <v>228</v>
      </c>
      <c r="M658" s="0" t="s">
        <v>228</v>
      </c>
      <c r="N658" s="0" t="s">
        <v>228</v>
      </c>
      <c r="O658" s="0" t="s">
        <v>228</v>
      </c>
      <c r="P658" s="0" t="s">
        <v>228</v>
      </c>
      <c r="Q658" s="0" t="s">
        <v>228</v>
      </c>
      <c r="R658" s="0" t="s">
        <v>5156</v>
      </c>
      <c r="S658" s="0" t="s">
        <v>228</v>
      </c>
      <c r="T658" s="0" t="s">
        <v>228</v>
      </c>
      <c r="U658" s="0" t="s">
        <v>101</v>
      </c>
      <c r="V658" s="0" t="s">
        <v>228</v>
      </c>
      <c r="W658" s="0" t="s">
        <v>228</v>
      </c>
      <c r="X658" s="0" t="s">
        <v>5121</v>
      </c>
      <c r="Y658" s="0" t="s">
        <v>228</v>
      </c>
      <c r="Z658" s="0" t="s">
        <v>160</v>
      </c>
      <c r="AA658" s="0" t="s">
        <v>151</v>
      </c>
      <c r="AB658" s="0" t="s">
        <v>151</v>
      </c>
      <c r="AC658" s="0" t="s">
        <v>2715</v>
      </c>
      <c r="AD658" s="0" t="s">
        <v>2715</v>
      </c>
      <c r="AE658" s="0" t="s">
        <v>2716</v>
      </c>
      <c r="AF658" s="0" t="s">
        <v>3594</v>
      </c>
      <c r="AG658" s="0" t="s">
        <v>3595</v>
      </c>
      <c r="AH658" s="0" t="s">
        <v>5157</v>
      </c>
      <c r="AI658" s="0" t="s">
        <v>3608</v>
      </c>
      <c r="AJ658" s="0" t="s">
        <v>3858</v>
      </c>
      <c r="AK658" s="0" t="s">
        <v>5158</v>
      </c>
      <c r="AL658" s="0" t="s">
        <v>5144</v>
      </c>
      <c r="AN658" s="0" t="s">
        <v>5159</v>
      </c>
      <c r="AO658" s="0" t="s">
        <v>5160</v>
      </c>
      <c r="AP658" s="0" t="s">
        <v>228</v>
      </c>
      <c r="AQ658" s="0" t="s">
        <v>228</v>
      </c>
      <c r="AR658" s="0" t="s">
        <v>228</v>
      </c>
      <c r="AS658" s="0" t="s">
        <v>228</v>
      </c>
      <c r="AT658" s="0" t="s">
        <v>228</v>
      </c>
      <c r="AU658" s="0" t="s">
        <v>228</v>
      </c>
      <c r="AV658" s="0" t="s">
        <v>228</v>
      </c>
      <c r="AW658" s="0" t="s">
        <v>228</v>
      </c>
      <c r="AX658" s="0" t="s">
        <v>228</v>
      </c>
      <c r="AY658" s="0" t="s">
        <v>228</v>
      </c>
      <c r="AZ658" s="0" t="s">
        <v>228</v>
      </c>
      <c r="BA658" s="0" t="s">
        <v>228</v>
      </c>
      <c r="BB658" s="0" t="s">
        <v>228</v>
      </c>
      <c r="BC658" s="0" t="s">
        <v>228</v>
      </c>
      <c r="BD658" s="0" t="s">
        <v>228</v>
      </c>
      <c r="BE658" s="0" t="s">
        <v>228</v>
      </c>
      <c r="BF658" s="0" t="s">
        <v>228</v>
      </c>
      <c r="BG658" s="0" t="s">
        <v>228</v>
      </c>
      <c r="BH658" s="0" t="s">
        <v>228</v>
      </c>
      <c r="BI658" s="0" t="s">
        <v>228</v>
      </c>
      <c r="BJ658" s="0" t="s">
        <v>228</v>
      </c>
      <c r="BK658" s="0" t="s">
        <v>228</v>
      </c>
      <c r="BL658" s="0" t="s">
        <v>228</v>
      </c>
      <c r="BM658" s="0" t="s">
        <v>228</v>
      </c>
      <c r="BN658" s="0" t="s">
        <v>228</v>
      </c>
      <c r="BO658" s="0" t="s">
        <v>228</v>
      </c>
      <c r="BP658" s="0" t="s">
        <v>228</v>
      </c>
      <c r="BQ658" s="0" t="s">
        <v>228</v>
      </c>
      <c r="BR658" s="0" t="s">
        <v>228</v>
      </c>
      <c r="BS658" s="0" t="s">
        <v>228</v>
      </c>
      <c r="BT658" s="0" t="s">
        <v>228</v>
      </c>
      <c r="CS658" s="0" t="s">
        <v>228</v>
      </c>
      <c r="CT658" s="0" t="s">
        <v>3568</v>
      </c>
      <c r="CU658" s="0" t="s">
        <v>3569</v>
      </c>
      <c r="CV658" s="0" t="s">
        <v>418</v>
      </c>
      <c r="CW658" s="0" t="s">
        <v>3602</v>
      </c>
      <c r="CX658" s="0" t="s">
        <v>419</v>
      </c>
      <c r="CY658" s="0" t="s">
        <v>418</v>
      </c>
      <c r="CZ658" s="0" t="s">
        <v>504</v>
      </c>
      <c r="DA658" s="0" t="s">
        <v>3604</v>
      </c>
      <c r="DB658" s="0" t="s">
        <v>3602</v>
      </c>
      <c r="DC658" s="0" t="s">
        <v>362</v>
      </c>
      <c r="DD658" s="0" t="s">
        <v>282</v>
      </c>
      <c r="DE658" s="0" t="s">
        <v>5161</v>
      </c>
    </row>
    <row customHeight="1" ht="11.25">
      <c r="A659" s="1353" t="s">
        <v>228</v>
      </c>
      <c r="B659" s="0" t="s">
        <v>228</v>
      </c>
      <c r="C659" s="0" t="s">
        <v>228</v>
      </c>
      <c r="D659" s="0" t="s">
        <v>228</v>
      </c>
      <c r="E659" s="0" t="s">
        <v>228</v>
      </c>
      <c r="F659" s="0" t="s">
        <v>228</v>
      </c>
      <c r="G659" s="0" t="s">
        <v>228</v>
      </c>
      <c r="H659" s="0" t="s">
        <v>228</v>
      </c>
      <c r="I659" s="0" t="s">
        <v>5119</v>
      </c>
      <c r="J659" s="0" t="s">
        <v>228</v>
      </c>
      <c r="K659" s="0" t="s">
        <v>228</v>
      </c>
      <c r="L659" s="0" t="s">
        <v>228</v>
      </c>
      <c r="M659" s="0" t="s">
        <v>228</v>
      </c>
      <c r="N659" s="0" t="s">
        <v>228</v>
      </c>
      <c r="O659" s="0" t="s">
        <v>228</v>
      </c>
      <c r="P659" s="0" t="s">
        <v>228</v>
      </c>
      <c r="Q659" s="0" t="s">
        <v>228</v>
      </c>
      <c r="R659" s="0" t="s">
        <v>5162</v>
      </c>
      <c r="S659" s="0" t="s">
        <v>228</v>
      </c>
      <c r="T659" s="0" t="s">
        <v>228</v>
      </c>
      <c r="U659" s="0" t="s">
        <v>101</v>
      </c>
      <c r="V659" s="0" t="s">
        <v>228</v>
      </c>
      <c r="W659" s="0" t="s">
        <v>228</v>
      </c>
      <c r="X659" s="0" t="s">
        <v>3988</v>
      </c>
      <c r="Y659" s="0" t="s">
        <v>228</v>
      </c>
      <c r="Z659" s="0" t="s">
        <v>151</v>
      </c>
      <c r="AA659" s="0" t="s">
        <v>160</v>
      </c>
      <c r="AB659" s="0" t="s">
        <v>151</v>
      </c>
      <c r="AC659" s="0" t="s">
        <v>2715</v>
      </c>
      <c r="AD659" s="0" t="s">
        <v>2715</v>
      </c>
      <c r="AE659" s="0" t="s">
        <v>2716</v>
      </c>
      <c r="AF659" s="0" t="s">
        <v>3594</v>
      </c>
      <c r="AG659" s="0" t="s">
        <v>3595</v>
      </c>
      <c r="AH659" s="0" t="s">
        <v>5163</v>
      </c>
      <c r="AI659" s="0" t="s">
        <v>3608</v>
      </c>
      <c r="AJ659" s="0" t="s">
        <v>228</v>
      </c>
      <c r="AK659" s="0" t="s">
        <v>228</v>
      </c>
      <c r="AL659" s="0" t="s">
        <v>228</v>
      </c>
      <c r="AN659" s="0" t="s">
        <v>228</v>
      </c>
      <c r="AO659" s="0" t="s">
        <v>228</v>
      </c>
      <c r="AP659" s="0" t="s">
        <v>5164</v>
      </c>
      <c r="AQ659" s="0" t="s">
        <v>5165</v>
      </c>
      <c r="AR659" s="0" t="s">
        <v>111</v>
      </c>
      <c r="AS659" s="0" t="s">
        <v>3665</v>
      </c>
      <c r="AT659" s="0" t="s">
        <v>122</v>
      </c>
      <c r="AU659" s="0" t="s">
        <v>228</v>
      </c>
      <c r="AV659" s="0" t="s">
        <v>5162</v>
      </c>
      <c r="AW659" s="0" t="s">
        <v>2715</v>
      </c>
      <c r="AX659" s="0" t="s">
        <v>2715</v>
      </c>
      <c r="AY659" s="0" t="s">
        <v>3667</v>
      </c>
      <c r="AZ659" s="0" t="s">
        <v>3594</v>
      </c>
      <c r="BA659" s="0" t="s">
        <v>3668</v>
      </c>
      <c r="BB659" s="0" t="s">
        <v>5163</v>
      </c>
      <c r="BC659" s="0" t="s">
        <v>3608</v>
      </c>
      <c r="BD659" s="0" t="s">
        <v>3563</v>
      </c>
      <c r="BE659" s="0" t="s">
        <v>228</v>
      </c>
      <c r="BF659" s="0" t="s">
        <v>228</v>
      </c>
      <c r="BG659" s="0" t="s">
        <v>228</v>
      </c>
      <c r="BH659" s="0" t="s">
        <v>228</v>
      </c>
      <c r="BI659" s="0" t="s">
        <v>228</v>
      </c>
      <c r="BJ659" s="0" t="s">
        <v>228</v>
      </c>
      <c r="BK659" s="0" t="s">
        <v>228</v>
      </c>
      <c r="BL659" s="0" t="s">
        <v>228</v>
      </c>
      <c r="BM659" s="0" t="s">
        <v>228</v>
      </c>
      <c r="BN659" s="0" t="s">
        <v>228</v>
      </c>
      <c r="BO659" s="0" t="s">
        <v>228</v>
      </c>
      <c r="BP659" s="0" t="s">
        <v>228</v>
      </c>
      <c r="BQ659" s="0" t="s">
        <v>228</v>
      </c>
      <c r="BR659" s="0" t="s">
        <v>228</v>
      </c>
      <c r="BS659" s="0" t="s">
        <v>228</v>
      </c>
      <c r="BT659" s="0" t="s">
        <v>228</v>
      </c>
      <c r="CS659" s="0" t="s">
        <v>228</v>
      </c>
      <c r="CT659" s="0" t="s">
        <v>3568</v>
      </c>
      <c r="CU659" s="0" t="s">
        <v>3569</v>
      </c>
      <c r="CV659" s="0" t="s">
        <v>418</v>
      </c>
      <c r="CW659" s="0" t="s">
        <v>3602</v>
      </c>
      <c r="CX659" s="0" t="s">
        <v>3603</v>
      </c>
      <c r="CY659" s="0" t="s">
        <v>418</v>
      </c>
      <c r="CZ659" s="0" t="s">
        <v>504</v>
      </c>
      <c r="DA659" s="0" t="s">
        <v>3604</v>
      </c>
      <c r="DB659" s="0" t="s">
        <v>3602</v>
      </c>
      <c r="DC659" s="0" t="s">
        <v>362</v>
      </c>
      <c r="DD659" s="0" t="s">
        <v>282</v>
      </c>
      <c r="DE659" s="0" t="s">
        <v>5166</v>
      </c>
    </row>
    <row customHeight="1" ht="11.25">
      <c r="A660" s="1353" t="s">
        <v>228</v>
      </c>
      <c r="B660" s="0" t="s">
        <v>228</v>
      </c>
      <c r="C660" s="0" t="s">
        <v>228</v>
      </c>
      <c r="D660" s="0" t="s">
        <v>228</v>
      </c>
      <c r="E660" s="0" t="s">
        <v>228</v>
      </c>
      <c r="F660" s="0" t="s">
        <v>228</v>
      </c>
      <c r="G660" s="0" t="s">
        <v>228</v>
      </c>
      <c r="H660" s="0" t="s">
        <v>228</v>
      </c>
      <c r="I660" s="0" t="s">
        <v>5119</v>
      </c>
      <c r="J660" s="0" t="s">
        <v>228</v>
      </c>
      <c r="K660" s="0" t="s">
        <v>228</v>
      </c>
      <c r="L660" s="0" t="s">
        <v>228</v>
      </c>
      <c r="M660" s="0" t="s">
        <v>228</v>
      </c>
      <c r="N660" s="0" t="s">
        <v>228</v>
      </c>
      <c r="O660" s="0" t="s">
        <v>228</v>
      </c>
      <c r="P660" s="0" t="s">
        <v>228</v>
      </c>
      <c r="Q660" s="0" t="s">
        <v>228</v>
      </c>
      <c r="R660" s="0" t="s">
        <v>5167</v>
      </c>
      <c r="S660" s="0" t="s">
        <v>228</v>
      </c>
      <c r="T660" s="0" t="s">
        <v>228</v>
      </c>
      <c r="U660" s="0" t="s">
        <v>101</v>
      </c>
      <c r="V660" s="0" t="s">
        <v>228</v>
      </c>
      <c r="W660" s="0" t="s">
        <v>228</v>
      </c>
      <c r="X660" s="0" t="s">
        <v>5121</v>
      </c>
      <c r="Y660" s="0" t="s">
        <v>228</v>
      </c>
      <c r="Z660" s="0" t="s">
        <v>160</v>
      </c>
      <c r="AA660" s="0" t="s">
        <v>151</v>
      </c>
      <c r="AB660" s="0" t="s">
        <v>151</v>
      </c>
      <c r="AC660" s="0" t="s">
        <v>2715</v>
      </c>
      <c r="AD660" s="0" t="s">
        <v>2715</v>
      </c>
      <c r="AE660" s="0" t="s">
        <v>2716</v>
      </c>
      <c r="AF660" s="0" t="s">
        <v>3594</v>
      </c>
      <c r="AG660" s="0" t="s">
        <v>3595</v>
      </c>
      <c r="AH660" s="0" t="s">
        <v>5157</v>
      </c>
      <c r="AI660" s="0" t="s">
        <v>3608</v>
      </c>
      <c r="AJ660" s="0" t="s">
        <v>5168</v>
      </c>
      <c r="AK660" s="0" t="s">
        <v>5169</v>
      </c>
      <c r="AL660" s="0" t="s">
        <v>5144</v>
      </c>
      <c r="AN660" s="0" t="s">
        <v>4563</v>
      </c>
      <c r="AO660" s="0" t="s">
        <v>5170</v>
      </c>
      <c r="AP660" s="0" t="s">
        <v>228</v>
      </c>
      <c r="AQ660" s="0" t="s">
        <v>228</v>
      </c>
      <c r="AR660" s="0" t="s">
        <v>228</v>
      </c>
      <c r="AS660" s="0" t="s">
        <v>228</v>
      </c>
      <c r="AT660" s="0" t="s">
        <v>228</v>
      </c>
      <c r="AU660" s="0" t="s">
        <v>228</v>
      </c>
      <c r="AV660" s="0" t="s">
        <v>228</v>
      </c>
      <c r="AW660" s="0" t="s">
        <v>228</v>
      </c>
      <c r="AX660" s="0" t="s">
        <v>228</v>
      </c>
      <c r="AY660" s="0" t="s">
        <v>228</v>
      </c>
      <c r="AZ660" s="0" t="s">
        <v>228</v>
      </c>
      <c r="BA660" s="0" t="s">
        <v>228</v>
      </c>
      <c r="BB660" s="0" t="s">
        <v>228</v>
      </c>
      <c r="BC660" s="0" t="s">
        <v>228</v>
      </c>
      <c r="BD660" s="0" t="s">
        <v>228</v>
      </c>
      <c r="BE660" s="0" t="s">
        <v>228</v>
      </c>
      <c r="BF660" s="0" t="s">
        <v>228</v>
      </c>
      <c r="BG660" s="0" t="s">
        <v>228</v>
      </c>
      <c r="BH660" s="0" t="s">
        <v>228</v>
      </c>
      <c r="BI660" s="0" t="s">
        <v>228</v>
      </c>
      <c r="BJ660" s="0" t="s">
        <v>228</v>
      </c>
      <c r="BK660" s="0" t="s">
        <v>228</v>
      </c>
      <c r="BL660" s="0" t="s">
        <v>228</v>
      </c>
      <c r="BM660" s="0" t="s">
        <v>228</v>
      </c>
      <c r="BN660" s="0" t="s">
        <v>228</v>
      </c>
      <c r="BO660" s="0" t="s">
        <v>228</v>
      </c>
      <c r="BP660" s="0" t="s">
        <v>228</v>
      </c>
      <c r="BQ660" s="0" t="s">
        <v>228</v>
      </c>
      <c r="BR660" s="0" t="s">
        <v>228</v>
      </c>
      <c r="BS660" s="0" t="s">
        <v>228</v>
      </c>
      <c r="BT660" s="0" t="s">
        <v>228</v>
      </c>
      <c r="CS660" s="0" t="s">
        <v>228</v>
      </c>
      <c r="CT660" s="0" t="s">
        <v>3568</v>
      </c>
      <c r="CU660" s="0" t="s">
        <v>3569</v>
      </c>
      <c r="CV660" s="0" t="s">
        <v>418</v>
      </c>
      <c r="CW660" s="0" t="s">
        <v>3602</v>
      </c>
      <c r="CX660" s="0" t="s">
        <v>419</v>
      </c>
      <c r="CY660" s="0" t="s">
        <v>418</v>
      </c>
      <c r="CZ660" s="0" t="s">
        <v>504</v>
      </c>
      <c r="DA660" s="0" t="s">
        <v>3604</v>
      </c>
      <c r="DB660" s="0" t="s">
        <v>3602</v>
      </c>
      <c r="DC660" s="0" t="s">
        <v>362</v>
      </c>
      <c r="DD660" s="0" t="s">
        <v>282</v>
      </c>
      <c r="DE660" s="0" t="s">
        <v>5161</v>
      </c>
    </row>
    <row customHeight="1" ht="11.25">
      <c r="A661" s="1353" t="s">
        <v>228</v>
      </c>
      <c r="B661" s="0" t="s">
        <v>228</v>
      </c>
      <c r="C661" s="0" t="s">
        <v>228</v>
      </c>
      <c r="D661" s="0" t="s">
        <v>228</v>
      </c>
      <c r="E661" s="0" t="s">
        <v>228</v>
      </c>
      <c r="F661" s="0" t="s">
        <v>228</v>
      </c>
      <c r="G661" s="0" t="s">
        <v>228</v>
      </c>
      <c r="H661" s="0" t="s">
        <v>228</v>
      </c>
      <c r="I661" s="0" t="s">
        <v>5119</v>
      </c>
      <c r="J661" s="0" t="s">
        <v>228</v>
      </c>
      <c r="K661" s="0" t="s">
        <v>228</v>
      </c>
      <c r="L661" s="0" t="s">
        <v>228</v>
      </c>
      <c r="M661" s="0" t="s">
        <v>228</v>
      </c>
      <c r="N661" s="0" t="s">
        <v>228</v>
      </c>
      <c r="O661" s="0" t="s">
        <v>228</v>
      </c>
      <c r="P661" s="0" t="s">
        <v>228</v>
      </c>
      <c r="Q661" s="0" t="s">
        <v>228</v>
      </c>
      <c r="R661" s="0" t="s">
        <v>5171</v>
      </c>
      <c r="S661" s="0" t="s">
        <v>228</v>
      </c>
      <c r="T661" s="0" t="s">
        <v>228</v>
      </c>
      <c r="U661" s="0" t="s">
        <v>101</v>
      </c>
      <c r="V661" s="0" t="s">
        <v>228</v>
      </c>
      <c r="W661" s="0" t="s">
        <v>228</v>
      </c>
      <c r="X661" s="0" t="s">
        <v>3661</v>
      </c>
      <c r="Y661" s="0" t="s">
        <v>228</v>
      </c>
      <c r="Z661" s="0" t="s">
        <v>151</v>
      </c>
      <c r="AA661" s="0" t="s">
        <v>151</v>
      </c>
      <c r="AB661" s="0" t="s">
        <v>160</v>
      </c>
      <c r="AC661" s="0" t="s">
        <v>2290</v>
      </c>
      <c r="AD661" s="0" t="s">
        <v>2290</v>
      </c>
      <c r="AE661" s="0" t="s">
        <v>2292</v>
      </c>
      <c r="AF661" s="0" t="s">
        <v>3558</v>
      </c>
      <c r="AG661" s="0" t="s">
        <v>3559</v>
      </c>
      <c r="AH661" s="0" t="s">
        <v>4719</v>
      </c>
      <c r="AI661" s="0" t="s">
        <v>3608</v>
      </c>
      <c r="AJ661" s="0" t="s">
        <v>228</v>
      </c>
      <c r="AK661" s="0" t="s">
        <v>228</v>
      </c>
      <c r="AL661" s="0" t="s">
        <v>228</v>
      </c>
      <c r="AN661" s="0" t="s">
        <v>228</v>
      </c>
      <c r="AO661" s="0" t="s">
        <v>228</v>
      </c>
      <c r="AP661" s="0" t="s">
        <v>228</v>
      </c>
      <c r="AQ661" s="0" t="s">
        <v>228</v>
      </c>
      <c r="AR661" s="0" t="s">
        <v>228</v>
      </c>
      <c r="AS661" s="0" t="s">
        <v>228</v>
      </c>
      <c r="AT661" s="0" t="s">
        <v>228</v>
      </c>
      <c r="AU661" s="0" t="s">
        <v>228</v>
      </c>
      <c r="AV661" s="0" t="s">
        <v>228</v>
      </c>
      <c r="AW661" s="0" t="s">
        <v>228</v>
      </c>
      <c r="AX661" s="0" t="s">
        <v>228</v>
      </c>
      <c r="AY661" s="0" t="s">
        <v>228</v>
      </c>
      <c r="AZ661" s="0" t="s">
        <v>228</v>
      </c>
      <c r="BA661" s="0" t="s">
        <v>228</v>
      </c>
      <c r="BB661" s="0" t="s">
        <v>228</v>
      </c>
      <c r="BC661" s="0" t="s">
        <v>228</v>
      </c>
      <c r="BD661" s="0" t="s">
        <v>228</v>
      </c>
      <c r="BE661" s="0" t="s">
        <v>5172</v>
      </c>
      <c r="BF661" s="0" t="s">
        <v>5173</v>
      </c>
      <c r="BG661" s="0" t="s">
        <v>111</v>
      </c>
      <c r="BH661" s="0" t="s">
        <v>3665</v>
      </c>
      <c r="BI661" s="0" t="s">
        <v>122</v>
      </c>
      <c r="BJ661" s="0" t="s">
        <v>228</v>
      </c>
      <c r="BK661" s="0" t="s">
        <v>5174</v>
      </c>
      <c r="BL661" s="0" t="s">
        <v>2290</v>
      </c>
      <c r="BM661" s="0" t="s">
        <v>2290</v>
      </c>
      <c r="BN661" s="0" t="s">
        <v>4917</v>
      </c>
      <c r="BO661" s="0" t="s">
        <v>3558</v>
      </c>
      <c r="BP661" s="0" t="s">
        <v>5175</v>
      </c>
      <c r="BQ661" s="0" t="s">
        <v>4719</v>
      </c>
      <c r="BR661" s="0" t="s">
        <v>3608</v>
      </c>
      <c r="BS661" s="0" t="s">
        <v>228</v>
      </c>
      <c r="BT661" s="0" t="s">
        <v>3727</v>
      </c>
      <c r="CS661" s="0" t="s">
        <v>5176</v>
      </c>
      <c r="CT661" s="0" t="s">
        <v>3568</v>
      </c>
      <c r="CU661" s="0" t="s">
        <v>3569</v>
      </c>
      <c r="CV661" s="0" t="s">
        <v>418</v>
      </c>
      <c r="CW661" s="0" t="s">
        <v>3570</v>
      </c>
      <c r="CX661" s="0" t="s">
        <v>419</v>
      </c>
      <c r="CY661" s="0" t="s">
        <v>418</v>
      </c>
      <c r="CZ661" s="0" t="s">
        <v>3571</v>
      </c>
      <c r="DA661" s="0" t="s">
        <v>420</v>
      </c>
      <c r="DB661" s="0" t="s">
        <v>3570</v>
      </c>
      <c r="DC661" s="0" t="s">
        <v>362</v>
      </c>
      <c r="DD661" s="0" t="s">
        <v>282</v>
      </c>
      <c r="DE661" s="0" t="s">
        <v>5177</v>
      </c>
    </row>
    <row customHeight="1" ht="11.25">
      <c r="A662" s="1353" t="s">
        <v>228</v>
      </c>
      <c r="B662" s="0" t="s">
        <v>228</v>
      </c>
      <c r="C662" s="0" t="s">
        <v>228</v>
      </c>
      <c r="D662" s="0" t="s">
        <v>228</v>
      </c>
      <c r="E662" s="0" t="s">
        <v>228</v>
      </c>
      <c r="F662" s="0" t="s">
        <v>228</v>
      </c>
      <c r="G662" s="0" t="s">
        <v>228</v>
      </c>
      <c r="H662" s="0" t="s">
        <v>228</v>
      </c>
      <c r="I662" s="0" t="s">
        <v>5119</v>
      </c>
      <c r="J662" s="0" t="s">
        <v>228</v>
      </c>
      <c r="K662" s="0" t="s">
        <v>228</v>
      </c>
      <c r="L662" s="0" t="s">
        <v>228</v>
      </c>
      <c r="M662" s="0" t="s">
        <v>228</v>
      </c>
      <c r="N662" s="0" t="s">
        <v>228</v>
      </c>
      <c r="O662" s="0" t="s">
        <v>228</v>
      </c>
      <c r="P662" s="0" t="s">
        <v>228</v>
      </c>
      <c r="Q662" s="0" t="s">
        <v>228</v>
      </c>
      <c r="R662" s="0" t="s">
        <v>5171</v>
      </c>
      <c r="S662" s="0" t="s">
        <v>228</v>
      </c>
      <c r="T662" s="0" t="s">
        <v>228</v>
      </c>
      <c r="U662" s="0" t="s">
        <v>101</v>
      </c>
      <c r="V662" s="0" t="s">
        <v>228</v>
      </c>
      <c r="W662" s="0" t="s">
        <v>228</v>
      </c>
      <c r="X662" s="0" t="s">
        <v>3661</v>
      </c>
      <c r="Y662" s="0" t="s">
        <v>228</v>
      </c>
      <c r="Z662" s="0" t="s">
        <v>151</v>
      </c>
      <c r="AA662" s="0" t="s">
        <v>151</v>
      </c>
      <c r="AB662" s="0" t="s">
        <v>160</v>
      </c>
      <c r="AC662" s="0" t="s">
        <v>2290</v>
      </c>
      <c r="AD662" s="0" t="s">
        <v>2290</v>
      </c>
      <c r="AE662" s="0" t="s">
        <v>2292</v>
      </c>
      <c r="AF662" s="0" t="s">
        <v>4912</v>
      </c>
      <c r="AG662" s="0" t="s">
        <v>4913</v>
      </c>
      <c r="AH662" s="0" t="s">
        <v>4914</v>
      </c>
      <c r="AI662" s="0" t="s">
        <v>3608</v>
      </c>
      <c r="AJ662" s="0" t="s">
        <v>228</v>
      </c>
      <c r="AK662" s="0" t="s">
        <v>228</v>
      </c>
      <c r="AL662" s="0" t="s">
        <v>228</v>
      </c>
      <c r="AN662" s="0" t="s">
        <v>228</v>
      </c>
      <c r="AO662" s="0" t="s">
        <v>228</v>
      </c>
      <c r="AP662" s="0" t="s">
        <v>228</v>
      </c>
      <c r="AQ662" s="0" t="s">
        <v>228</v>
      </c>
      <c r="AR662" s="0" t="s">
        <v>228</v>
      </c>
      <c r="AS662" s="0" t="s">
        <v>228</v>
      </c>
      <c r="AT662" s="0" t="s">
        <v>228</v>
      </c>
      <c r="AU662" s="0" t="s">
        <v>228</v>
      </c>
      <c r="AV662" s="0" t="s">
        <v>228</v>
      </c>
      <c r="AW662" s="0" t="s">
        <v>228</v>
      </c>
      <c r="AX662" s="0" t="s">
        <v>228</v>
      </c>
      <c r="AY662" s="0" t="s">
        <v>228</v>
      </c>
      <c r="AZ662" s="0" t="s">
        <v>228</v>
      </c>
      <c r="BA662" s="0" t="s">
        <v>228</v>
      </c>
      <c r="BB662" s="0" t="s">
        <v>228</v>
      </c>
      <c r="BC662" s="0" t="s">
        <v>228</v>
      </c>
      <c r="BD662" s="0" t="s">
        <v>228</v>
      </c>
      <c r="BE662" s="0" t="s">
        <v>5029</v>
      </c>
      <c r="BF662" s="0" t="s">
        <v>5178</v>
      </c>
      <c r="BG662" s="0" t="s">
        <v>111</v>
      </c>
      <c r="BH662" s="0" t="s">
        <v>3665</v>
      </c>
      <c r="BI662" s="0" t="s">
        <v>122</v>
      </c>
      <c r="BJ662" s="0" t="s">
        <v>228</v>
      </c>
      <c r="BK662" s="0" t="s">
        <v>5121</v>
      </c>
      <c r="BL662" s="0" t="s">
        <v>2290</v>
      </c>
      <c r="BM662" s="0" t="s">
        <v>2290</v>
      </c>
      <c r="BN662" s="0" t="s">
        <v>4917</v>
      </c>
      <c r="BO662" s="0" t="s">
        <v>4912</v>
      </c>
      <c r="BP662" s="0" t="s">
        <v>4918</v>
      </c>
      <c r="BQ662" s="0" t="s">
        <v>5179</v>
      </c>
      <c r="BR662" s="0" t="s">
        <v>5180</v>
      </c>
      <c r="BS662" s="0" t="s">
        <v>228</v>
      </c>
      <c r="BT662" s="0" t="s">
        <v>3727</v>
      </c>
      <c r="CS662" s="0" t="s">
        <v>3579</v>
      </c>
      <c r="CT662" s="0" t="s">
        <v>3568</v>
      </c>
      <c r="CU662" s="0" t="s">
        <v>3569</v>
      </c>
      <c r="CV662" s="0" t="s">
        <v>418</v>
      </c>
      <c r="CW662" s="0" t="s">
        <v>4924</v>
      </c>
      <c r="CX662" s="0" t="s">
        <v>419</v>
      </c>
      <c r="CY662" s="0" t="s">
        <v>418</v>
      </c>
      <c r="CZ662" s="0" t="s">
        <v>319</v>
      </c>
      <c r="DA662" s="0" t="s">
        <v>420</v>
      </c>
      <c r="DB662" s="0" t="s">
        <v>4924</v>
      </c>
      <c r="DC662" s="0" t="s">
        <v>362</v>
      </c>
      <c r="DD662" s="0" t="s">
        <v>282</v>
      </c>
      <c r="DE662" s="0" t="s">
        <v>417</v>
      </c>
    </row>
    <row customHeight="1" ht="11.25">
      <c r="A663" s="1353" t="s">
        <v>228</v>
      </c>
      <c r="B663" s="0" t="s">
        <v>228</v>
      </c>
      <c r="C663" s="0" t="s">
        <v>228</v>
      </c>
      <c r="D663" s="0" t="s">
        <v>228</v>
      </c>
      <c r="E663" s="0" t="s">
        <v>228</v>
      </c>
      <c r="F663" s="0" t="s">
        <v>228</v>
      </c>
      <c r="G663" s="0" t="s">
        <v>228</v>
      </c>
      <c r="H663" s="0" t="s">
        <v>228</v>
      </c>
      <c r="I663" s="0" t="s">
        <v>5119</v>
      </c>
      <c r="J663" s="0" t="s">
        <v>228</v>
      </c>
      <c r="K663" s="0" t="s">
        <v>228</v>
      </c>
      <c r="L663" s="0" t="s">
        <v>228</v>
      </c>
      <c r="M663" s="0" t="s">
        <v>228</v>
      </c>
      <c r="N663" s="0" t="s">
        <v>228</v>
      </c>
      <c r="O663" s="0" t="s">
        <v>228</v>
      </c>
      <c r="P663" s="0" t="s">
        <v>228</v>
      </c>
      <c r="Q663" s="0" t="s">
        <v>228</v>
      </c>
      <c r="R663" s="0" t="s">
        <v>5181</v>
      </c>
      <c r="S663" s="0" t="s">
        <v>228</v>
      </c>
      <c r="T663" s="0" t="s">
        <v>228</v>
      </c>
      <c r="U663" s="0" t="s">
        <v>101</v>
      </c>
      <c r="V663" s="0" t="s">
        <v>228</v>
      </c>
      <c r="W663" s="0" t="s">
        <v>228</v>
      </c>
      <c r="X663" s="0" t="s">
        <v>5121</v>
      </c>
      <c r="Y663" s="0" t="s">
        <v>228</v>
      </c>
      <c r="Z663" s="0" t="s">
        <v>160</v>
      </c>
      <c r="AA663" s="0" t="s">
        <v>151</v>
      </c>
      <c r="AB663" s="0" t="s">
        <v>151</v>
      </c>
      <c r="AC663" s="0" t="s">
        <v>2715</v>
      </c>
      <c r="AD663" s="0" t="s">
        <v>2715</v>
      </c>
      <c r="AE663" s="0" t="s">
        <v>2716</v>
      </c>
      <c r="AF663" s="0" t="s">
        <v>3594</v>
      </c>
      <c r="AG663" s="0" t="s">
        <v>3595</v>
      </c>
      <c r="AH663" s="0" t="s">
        <v>5182</v>
      </c>
      <c r="AI663" s="0" t="s">
        <v>5183</v>
      </c>
      <c r="AJ663" s="0" t="s">
        <v>5184</v>
      </c>
      <c r="AK663" s="0" t="s">
        <v>4398</v>
      </c>
      <c r="AL663" s="0" t="s">
        <v>5125</v>
      </c>
      <c r="AN663" s="0" t="s">
        <v>5185</v>
      </c>
      <c r="AO663" s="0" t="s">
        <v>5186</v>
      </c>
      <c r="AP663" s="0" t="s">
        <v>228</v>
      </c>
      <c r="AQ663" s="0" t="s">
        <v>228</v>
      </c>
      <c r="AR663" s="0" t="s">
        <v>228</v>
      </c>
      <c r="AS663" s="0" t="s">
        <v>228</v>
      </c>
      <c r="AT663" s="0" t="s">
        <v>228</v>
      </c>
      <c r="AU663" s="0" t="s">
        <v>228</v>
      </c>
      <c r="AV663" s="0" t="s">
        <v>228</v>
      </c>
      <c r="AW663" s="0" t="s">
        <v>228</v>
      </c>
      <c r="AX663" s="0" t="s">
        <v>228</v>
      </c>
      <c r="AY663" s="0" t="s">
        <v>228</v>
      </c>
      <c r="AZ663" s="0" t="s">
        <v>228</v>
      </c>
      <c r="BA663" s="0" t="s">
        <v>228</v>
      </c>
      <c r="BB663" s="0" t="s">
        <v>228</v>
      </c>
      <c r="BC663" s="0" t="s">
        <v>228</v>
      </c>
      <c r="BD663" s="0" t="s">
        <v>228</v>
      </c>
      <c r="BE663" s="0" t="s">
        <v>228</v>
      </c>
      <c r="BF663" s="0" t="s">
        <v>228</v>
      </c>
      <c r="BG663" s="0" t="s">
        <v>228</v>
      </c>
      <c r="BH663" s="0" t="s">
        <v>228</v>
      </c>
      <c r="BI663" s="0" t="s">
        <v>228</v>
      </c>
      <c r="BJ663" s="0" t="s">
        <v>228</v>
      </c>
      <c r="BK663" s="0" t="s">
        <v>228</v>
      </c>
      <c r="BL663" s="0" t="s">
        <v>228</v>
      </c>
      <c r="BM663" s="0" t="s">
        <v>228</v>
      </c>
      <c r="BN663" s="0" t="s">
        <v>228</v>
      </c>
      <c r="BO663" s="0" t="s">
        <v>228</v>
      </c>
      <c r="BP663" s="0" t="s">
        <v>228</v>
      </c>
      <c r="BQ663" s="0" t="s">
        <v>228</v>
      </c>
      <c r="BR663" s="0" t="s">
        <v>228</v>
      </c>
      <c r="BS663" s="0" t="s">
        <v>228</v>
      </c>
      <c r="BT663" s="0" t="s">
        <v>228</v>
      </c>
      <c r="CS663" s="0" t="s">
        <v>228</v>
      </c>
      <c r="CT663" s="0" t="s">
        <v>3568</v>
      </c>
      <c r="CU663" s="0" t="s">
        <v>3569</v>
      </c>
      <c r="CV663" s="0" t="s">
        <v>4030</v>
      </c>
      <c r="CW663" s="0" t="s">
        <v>5187</v>
      </c>
      <c r="CX663" s="0" t="s">
        <v>3603</v>
      </c>
      <c r="CY663" s="0" t="s">
        <v>5188</v>
      </c>
      <c r="CZ663" s="0" t="s">
        <v>3608</v>
      </c>
      <c r="DA663" s="0" t="s">
        <v>5189</v>
      </c>
      <c r="DB663" s="0" t="s">
        <v>5129</v>
      </c>
      <c r="DC663" s="0" t="s">
        <v>362</v>
      </c>
      <c r="DD663" s="0" t="s">
        <v>282</v>
      </c>
      <c r="DE663" s="0" t="s">
        <v>5190</v>
      </c>
    </row>
    <row customHeight="1" ht="11.25">
      <c r="A664" s="1353" t="s">
        <v>228</v>
      </c>
      <c r="B664" s="0" t="s">
        <v>228</v>
      </c>
      <c r="C664" s="0" t="s">
        <v>228</v>
      </c>
      <c r="D664" s="0" t="s">
        <v>228</v>
      </c>
      <c r="E664" s="0" t="s">
        <v>228</v>
      </c>
      <c r="F664" s="0" t="s">
        <v>228</v>
      </c>
      <c r="G664" s="0" t="s">
        <v>228</v>
      </c>
      <c r="H664" s="0" t="s">
        <v>228</v>
      </c>
      <c r="I664" s="0" t="s">
        <v>5119</v>
      </c>
      <c r="J664" s="0" t="s">
        <v>228</v>
      </c>
      <c r="K664" s="0" t="s">
        <v>228</v>
      </c>
      <c r="L664" s="0" t="s">
        <v>228</v>
      </c>
      <c r="M664" s="0" t="s">
        <v>228</v>
      </c>
      <c r="N664" s="0" t="s">
        <v>228</v>
      </c>
      <c r="O664" s="0" t="s">
        <v>228</v>
      </c>
      <c r="P664" s="0" t="s">
        <v>228</v>
      </c>
      <c r="Q664" s="0" t="s">
        <v>228</v>
      </c>
      <c r="R664" s="0" t="s">
        <v>5191</v>
      </c>
      <c r="S664" s="0" t="s">
        <v>228</v>
      </c>
      <c r="T664" s="0" t="s">
        <v>228</v>
      </c>
      <c r="U664" s="0" t="s">
        <v>101</v>
      </c>
      <c r="V664" s="0" t="s">
        <v>228</v>
      </c>
      <c r="W664" s="0" t="s">
        <v>228</v>
      </c>
      <c r="X664" s="0" t="s">
        <v>5121</v>
      </c>
      <c r="Y664" s="0" t="s">
        <v>228</v>
      </c>
      <c r="Z664" s="0" t="s">
        <v>160</v>
      </c>
      <c r="AA664" s="0" t="s">
        <v>151</v>
      </c>
      <c r="AB664" s="0" t="s">
        <v>151</v>
      </c>
      <c r="AC664" s="0" t="s">
        <v>2715</v>
      </c>
      <c r="AD664" s="0" t="s">
        <v>2715</v>
      </c>
      <c r="AE664" s="0" t="s">
        <v>2716</v>
      </c>
      <c r="AF664" s="0" t="s">
        <v>3594</v>
      </c>
      <c r="AG664" s="0" t="s">
        <v>3595</v>
      </c>
      <c r="AH664" s="0" t="s">
        <v>5192</v>
      </c>
      <c r="AI664" s="0" t="s">
        <v>3608</v>
      </c>
      <c r="AJ664" s="0" t="s">
        <v>3858</v>
      </c>
      <c r="AK664" s="0" t="s">
        <v>5193</v>
      </c>
      <c r="AL664" s="0" t="s">
        <v>5125</v>
      </c>
      <c r="AN664" s="0" t="s">
        <v>5194</v>
      </c>
      <c r="AO664" s="0" t="s">
        <v>5195</v>
      </c>
      <c r="AP664" s="0" t="s">
        <v>228</v>
      </c>
      <c r="AQ664" s="0" t="s">
        <v>228</v>
      </c>
      <c r="AR664" s="0" t="s">
        <v>228</v>
      </c>
      <c r="AS664" s="0" t="s">
        <v>228</v>
      </c>
      <c r="AT664" s="0" t="s">
        <v>228</v>
      </c>
      <c r="AU664" s="0" t="s">
        <v>228</v>
      </c>
      <c r="AV664" s="0" t="s">
        <v>228</v>
      </c>
      <c r="AW664" s="0" t="s">
        <v>228</v>
      </c>
      <c r="AX664" s="0" t="s">
        <v>228</v>
      </c>
      <c r="AY664" s="0" t="s">
        <v>228</v>
      </c>
      <c r="AZ664" s="0" t="s">
        <v>228</v>
      </c>
      <c r="BA664" s="0" t="s">
        <v>228</v>
      </c>
      <c r="BB664" s="0" t="s">
        <v>228</v>
      </c>
      <c r="BC664" s="0" t="s">
        <v>228</v>
      </c>
      <c r="BD664" s="0" t="s">
        <v>228</v>
      </c>
      <c r="BE664" s="0" t="s">
        <v>228</v>
      </c>
      <c r="BF664" s="0" t="s">
        <v>228</v>
      </c>
      <c r="BG664" s="0" t="s">
        <v>228</v>
      </c>
      <c r="BH664" s="0" t="s">
        <v>228</v>
      </c>
      <c r="BI664" s="0" t="s">
        <v>228</v>
      </c>
      <c r="BJ664" s="0" t="s">
        <v>228</v>
      </c>
      <c r="BK664" s="0" t="s">
        <v>228</v>
      </c>
      <c r="BL664" s="0" t="s">
        <v>228</v>
      </c>
      <c r="BM664" s="0" t="s">
        <v>228</v>
      </c>
      <c r="BN664" s="0" t="s">
        <v>228</v>
      </c>
      <c r="BO664" s="0" t="s">
        <v>228</v>
      </c>
      <c r="BP664" s="0" t="s">
        <v>228</v>
      </c>
      <c r="BQ664" s="0" t="s">
        <v>228</v>
      </c>
      <c r="BR664" s="0" t="s">
        <v>228</v>
      </c>
      <c r="BS664" s="0" t="s">
        <v>228</v>
      </c>
      <c r="BT664" s="0" t="s">
        <v>228</v>
      </c>
      <c r="CS664" s="0" t="s">
        <v>228</v>
      </c>
      <c r="CT664" s="0" t="s">
        <v>3568</v>
      </c>
      <c r="CU664" s="0" t="s">
        <v>3569</v>
      </c>
      <c r="CV664" s="0" t="s">
        <v>418</v>
      </c>
      <c r="CW664" s="0" t="s">
        <v>3602</v>
      </c>
      <c r="CX664" s="0" t="s">
        <v>419</v>
      </c>
      <c r="CY664" s="0" t="s">
        <v>418</v>
      </c>
      <c r="CZ664" s="0" t="s">
        <v>504</v>
      </c>
      <c r="DA664" s="0" t="s">
        <v>3604</v>
      </c>
      <c r="DB664" s="0" t="s">
        <v>3602</v>
      </c>
      <c r="DC664" s="0" t="s">
        <v>362</v>
      </c>
      <c r="DD664" s="0" t="s">
        <v>282</v>
      </c>
      <c r="DE664" s="0" t="s">
        <v>5196</v>
      </c>
    </row>
    <row customHeight="1" ht="11.25">
      <c r="A665" s="1353" t="s">
        <v>228</v>
      </c>
      <c r="B665" s="0" t="s">
        <v>228</v>
      </c>
      <c r="C665" s="0" t="s">
        <v>228</v>
      </c>
      <c r="D665" s="0" t="s">
        <v>228</v>
      </c>
      <c r="E665" s="0" t="s">
        <v>228</v>
      </c>
      <c r="F665" s="0" t="s">
        <v>228</v>
      </c>
      <c r="G665" s="0" t="s">
        <v>228</v>
      </c>
      <c r="H665" s="0" t="s">
        <v>228</v>
      </c>
      <c r="I665" s="0" t="s">
        <v>5119</v>
      </c>
      <c r="J665" s="0" t="s">
        <v>228</v>
      </c>
      <c r="K665" s="0" t="s">
        <v>228</v>
      </c>
      <c r="L665" s="0" t="s">
        <v>228</v>
      </c>
      <c r="M665" s="0" t="s">
        <v>228</v>
      </c>
      <c r="N665" s="0" t="s">
        <v>228</v>
      </c>
      <c r="O665" s="0" t="s">
        <v>228</v>
      </c>
      <c r="P665" s="0" t="s">
        <v>228</v>
      </c>
      <c r="Q665" s="0" t="s">
        <v>228</v>
      </c>
      <c r="R665" s="0" t="s">
        <v>5197</v>
      </c>
      <c r="S665" s="0" t="s">
        <v>228</v>
      </c>
      <c r="T665" s="0" t="s">
        <v>228</v>
      </c>
      <c r="U665" s="0" t="s">
        <v>101</v>
      </c>
      <c r="V665" s="0" t="s">
        <v>228</v>
      </c>
      <c r="W665" s="0" t="s">
        <v>228</v>
      </c>
      <c r="X665" s="0" t="s">
        <v>5121</v>
      </c>
      <c r="Y665" s="0" t="s">
        <v>228</v>
      </c>
      <c r="Z665" s="0" t="s">
        <v>160</v>
      </c>
      <c r="AA665" s="0" t="s">
        <v>151</v>
      </c>
      <c r="AB665" s="0" t="s">
        <v>151</v>
      </c>
      <c r="AC665" s="0" t="s">
        <v>2715</v>
      </c>
      <c r="AD665" s="0" t="s">
        <v>2715</v>
      </c>
      <c r="AE665" s="0" t="s">
        <v>2716</v>
      </c>
      <c r="AF665" s="0" t="s">
        <v>3594</v>
      </c>
      <c r="AG665" s="0" t="s">
        <v>3595</v>
      </c>
      <c r="AH665" s="0" t="s">
        <v>5198</v>
      </c>
      <c r="AI665" s="0" t="s">
        <v>3608</v>
      </c>
      <c r="AJ665" s="0" t="s">
        <v>3858</v>
      </c>
      <c r="AK665" s="0" t="s">
        <v>5199</v>
      </c>
      <c r="AL665" s="0" t="s">
        <v>5125</v>
      </c>
      <c r="AN665" s="0" t="s">
        <v>5194</v>
      </c>
      <c r="AO665" s="0" t="s">
        <v>5195</v>
      </c>
      <c r="AP665" s="0" t="s">
        <v>228</v>
      </c>
      <c r="AQ665" s="0" t="s">
        <v>228</v>
      </c>
      <c r="AR665" s="0" t="s">
        <v>228</v>
      </c>
      <c r="AS665" s="0" t="s">
        <v>228</v>
      </c>
      <c r="AT665" s="0" t="s">
        <v>228</v>
      </c>
      <c r="AU665" s="0" t="s">
        <v>228</v>
      </c>
      <c r="AV665" s="0" t="s">
        <v>228</v>
      </c>
      <c r="AW665" s="0" t="s">
        <v>228</v>
      </c>
      <c r="AX665" s="0" t="s">
        <v>228</v>
      </c>
      <c r="AY665" s="0" t="s">
        <v>228</v>
      </c>
      <c r="AZ665" s="0" t="s">
        <v>228</v>
      </c>
      <c r="BA665" s="0" t="s">
        <v>228</v>
      </c>
      <c r="BB665" s="0" t="s">
        <v>228</v>
      </c>
      <c r="BC665" s="0" t="s">
        <v>228</v>
      </c>
      <c r="BD665" s="0" t="s">
        <v>228</v>
      </c>
      <c r="BE665" s="0" t="s">
        <v>228</v>
      </c>
      <c r="BF665" s="0" t="s">
        <v>228</v>
      </c>
      <c r="BG665" s="0" t="s">
        <v>228</v>
      </c>
      <c r="BH665" s="0" t="s">
        <v>228</v>
      </c>
      <c r="BI665" s="0" t="s">
        <v>228</v>
      </c>
      <c r="BJ665" s="0" t="s">
        <v>228</v>
      </c>
      <c r="BK665" s="0" t="s">
        <v>228</v>
      </c>
      <c r="BL665" s="0" t="s">
        <v>228</v>
      </c>
      <c r="BM665" s="0" t="s">
        <v>228</v>
      </c>
      <c r="BN665" s="0" t="s">
        <v>228</v>
      </c>
      <c r="BO665" s="0" t="s">
        <v>228</v>
      </c>
      <c r="BP665" s="0" t="s">
        <v>228</v>
      </c>
      <c r="BQ665" s="0" t="s">
        <v>228</v>
      </c>
      <c r="BR665" s="0" t="s">
        <v>228</v>
      </c>
      <c r="BS665" s="0" t="s">
        <v>228</v>
      </c>
      <c r="BT665" s="0" t="s">
        <v>228</v>
      </c>
      <c r="CS665" s="0" t="s">
        <v>228</v>
      </c>
      <c r="CT665" s="0" t="s">
        <v>3568</v>
      </c>
      <c r="CU665" s="0" t="s">
        <v>3569</v>
      </c>
      <c r="CV665" s="0" t="s">
        <v>418</v>
      </c>
      <c r="CW665" s="0" t="s">
        <v>3602</v>
      </c>
      <c r="CX665" s="0" t="s">
        <v>419</v>
      </c>
      <c r="CY665" s="0" t="s">
        <v>418</v>
      </c>
      <c r="CZ665" s="0" t="s">
        <v>504</v>
      </c>
      <c r="DA665" s="0" t="s">
        <v>3604</v>
      </c>
      <c r="DB665" s="0" t="s">
        <v>3602</v>
      </c>
      <c r="DC665" s="0" t="s">
        <v>362</v>
      </c>
      <c r="DD665" s="0" t="s">
        <v>282</v>
      </c>
      <c r="DE665" s="0" t="s">
        <v>5200</v>
      </c>
    </row>
    <row customHeight="1" ht="11.25">
      <c r="A666" s="1353" t="s">
        <v>228</v>
      </c>
      <c r="B666" s="0" t="s">
        <v>228</v>
      </c>
      <c r="C666" s="0" t="s">
        <v>228</v>
      </c>
      <c r="D666" s="0" t="s">
        <v>228</v>
      </c>
      <c r="E666" s="0" t="s">
        <v>228</v>
      </c>
      <c r="F666" s="0" t="s">
        <v>228</v>
      </c>
      <c r="G666" s="0" t="s">
        <v>228</v>
      </c>
      <c r="H666" s="0" t="s">
        <v>228</v>
      </c>
      <c r="I666" s="0" t="s">
        <v>5119</v>
      </c>
      <c r="J666" s="0" t="s">
        <v>228</v>
      </c>
      <c r="K666" s="0" t="s">
        <v>228</v>
      </c>
      <c r="L666" s="0" t="s">
        <v>228</v>
      </c>
      <c r="M666" s="0" t="s">
        <v>228</v>
      </c>
      <c r="N666" s="0" t="s">
        <v>228</v>
      </c>
      <c r="O666" s="0" t="s">
        <v>228</v>
      </c>
      <c r="P666" s="0" t="s">
        <v>228</v>
      </c>
      <c r="Q666" s="0" t="s">
        <v>228</v>
      </c>
      <c r="R666" s="0" t="s">
        <v>5201</v>
      </c>
      <c r="S666" s="0" t="s">
        <v>228</v>
      </c>
      <c r="T666" s="0" t="s">
        <v>228</v>
      </c>
      <c r="U666" s="0" t="s">
        <v>101</v>
      </c>
      <c r="V666" s="0" t="s">
        <v>228</v>
      </c>
      <c r="W666" s="0" t="s">
        <v>228</v>
      </c>
      <c r="X666" s="0" t="s">
        <v>5121</v>
      </c>
      <c r="Y666" s="0" t="s">
        <v>228</v>
      </c>
      <c r="Z666" s="0" t="s">
        <v>160</v>
      </c>
      <c r="AA666" s="0" t="s">
        <v>151</v>
      </c>
      <c r="AB666" s="0" t="s">
        <v>151</v>
      </c>
      <c r="AC666" s="0" t="s">
        <v>2715</v>
      </c>
      <c r="AD666" s="0" t="s">
        <v>2715</v>
      </c>
      <c r="AE666" s="0" t="s">
        <v>2716</v>
      </c>
      <c r="AF666" s="0" t="s">
        <v>3594</v>
      </c>
      <c r="AG666" s="0" t="s">
        <v>3595</v>
      </c>
      <c r="AH666" s="0" t="s">
        <v>4210</v>
      </c>
      <c r="AI666" s="0" t="s">
        <v>5202</v>
      </c>
      <c r="AJ666" s="0" t="s">
        <v>5203</v>
      </c>
      <c r="AK666" s="0" t="s">
        <v>5204</v>
      </c>
      <c r="AL666" s="0" t="s">
        <v>5125</v>
      </c>
      <c r="AN666" s="0" t="s">
        <v>5205</v>
      </c>
      <c r="AO666" s="0" t="s">
        <v>5206</v>
      </c>
      <c r="AP666" s="0" t="s">
        <v>228</v>
      </c>
      <c r="AQ666" s="0" t="s">
        <v>228</v>
      </c>
      <c r="AR666" s="0" t="s">
        <v>228</v>
      </c>
      <c r="AS666" s="0" t="s">
        <v>228</v>
      </c>
      <c r="AT666" s="0" t="s">
        <v>228</v>
      </c>
      <c r="AU666" s="0" t="s">
        <v>228</v>
      </c>
      <c r="AV666" s="0" t="s">
        <v>228</v>
      </c>
      <c r="AW666" s="0" t="s">
        <v>228</v>
      </c>
      <c r="AX666" s="0" t="s">
        <v>228</v>
      </c>
      <c r="AY666" s="0" t="s">
        <v>228</v>
      </c>
      <c r="AZ666" s="0" t="s">
        <v>228</v>
      </c>
      <c r="BA666" s="0" t="s">
        <v>228</v>
      </c>
      <c r="BB666" s="0" t="s">
        <v>228</v>
      </c>
      <c r="BC666" s="0" t="s">
        <v>228</v>
      </c>
      <c r="BD666" s="0" t="s">
        <v>228</v>
      </c>
      <c r="BE666" s="0" t="s">
        <v>228</v>
      </c>
      <c r="BF666" s="0" t="s">
        <v>228</v>
      </c>
      <c r="BG666" s="0" t="s">
        <v>228</v>
      </c>
      <c r="BH666" s="0" t="s">
        <v>228</v>
      </c>
      <c r="BI666" s="0" t="s">
        <v>228</v>
      </c>
      <c r="BJ666" s="0" t="s">
        <v>228</v>
      </c>
      <c r="BK666" s="0" t="s">
        <v>228</v>
      </c>
      <c r="BL666" s="0" t="s">
        <v>228</v>
      </c>
      <c r="BM666" s="0" t="s">
        <v>228</v>
      </c>
      <c r="BN666" s="0" t="s">
        <v>228</v>
      </c>
      <c r="BO666" s="0" t="s">
        <v>228</v>
      </c>
      <c r="BP666" s="0" t="s">
        <v>228</v>
      </c>
      <c r="BQ666" s="0" t="s">
        <v>228</v>
      </c>
      <c r="BR666" s="0" t="s">
        <v>228</v>
      </c>
      <c r="BS666" s="0" t="s">
        <v>228</v>
      </c>
      <c r="BT666" s="0" t="s">
        <v>228</v>
      </c>
      <c r="CS666" s="0" t="s">
        <v>228</v>
      </c>
      <c r="CT666" s="0" t="s">
        <v>3568</v>
      </c>
      <c r="CU666" s="0" t="s">
        <v>3569</v>
      </c>
      <c r="CV666" s="0" t="s">
        <v>418</v>
      </c>
      <c r="CW666" s="0" t="s">
        <v>3602</v>
      </c>
      <c r="CX666" s="0" t="s">
        <v>419</v>
      </c>
      <c r="CY666" s="0" t="s">
        <v>418</v>
      </c>
      <c r="CZ666" s="0" t="s">
        <v>504</v>
      </c>
      <c r="DA666" s="0" t="s">
        <v>3604</v>
      </c>
      <c r="DB666" s="0" t="s">
        <v>3602</v>
      </c>
      <c r="DC666" s="0" t="s">
        <v>362</v>
      </c>
      <c r="DD666" s="0" t="s">
        <v>282</v>
      </c>
      <c r="DE666" s="0" t="s">
        <v>5207</v>
      </c>
    </row>
    <row customHeight="1" ht="11.25">
      <c r="A667" s="1353" t="s">
        <v>228</v>
      </c>
      <c r="B667" s="0" t="s">
        <v>228</v>
      </c>
      <c r="C667" s="0" t="s">
        <v>228</v>
      </c>
      <c r="D667" s="0" t="s">
        <v>228</v>
      </c>
      <c r="E667" s="0" t="s">
        <v>228</v>
      </c>
      <c r="F667" s="0" t="s">
        <v>228</v>
      </c>
      <c r="G667" s="0" t="s">
        <v>228</v>
      </c>
      <c r="H667" s="0" t="s">
        <v>228</v>
      </c>
      <c r="I667" s="0" t="s">
        <v>5119</v>
      </c>
      <c r="J667" s="0" t="s">
        <v>228</v>
      </c>
      <c r="K667" s="0" t="s">
        <v>228</v>
      </c>
      <c r="L667" s="0" t="s">
        <v>228</v>
      </c>
      <c r="M667" s="0" t="s">
        <v>228</v>
      </c>
      <c r="N667" s="0" t="s">
        <v>228</v>
      </c>
      <c r="O667" s="0" t="s">
        <v>228</v>
      </c>
      <c r="P667" s="0" t="s">
        <v>228</v>
      </c>
      <c r="Q667" s="0" t="s">
        <v>228</v>
      </c>
      <c r="R667" s="0" t="s">
        <v>5208</v>
      </c>
      <c r="S667" s="0" t="s">
        <v>228</v>
      </c>
      <c r="T667" s="0" t="s">
        <v>228</v>
      </c>
      <c r="U667" s="0" t="s">
        <v>101</v>
      </c>
      <c r="V667" s="0" t="s">
        <v>228</v>
      </c>
      <c r="W667" s="0" t="s">
        <v>228</v>
      </c>
      <c r="X667" s="0" t="s">
        <v>5121</v>
      </c>
      <c r="Y667" s="0" t="s">
        <v>228</v>
      </c>
      <c r="Z667" s="0" t="s">
        <v>160</v>
      </c>
      <c r="AA667" s="0" t="s">
        <v>151</v>
      </c>
      <c r="AB667" s="0" t="s">
        <v>151</v>
      </c>
      <c r="AC667" s="0" t="s">
        <v>2715</v>
      </c>
      <c r="AD667" s="0" t="s">
        <v>2715</v>
      </c>
      <c r="AE667" s="0" t="s">
        <v>2716</v>
      </c>
      <c r="AF667" s="0" t="s">
        <v>3594</v>
      </c>
      <c r="AG667" s="0" t="s">
        <v>3595</v>
      </c>
      <c r="AH667" s="0" t="s">
        <v>5209</v>
      </c>
      <c r="AI667" s="0" t="s">
        <v>3608</v>
      </c>
      <c r="AJ667" s="0" t="s">
        <v>3985</v>
      </c>
      <c r="AK667" s="0" t="s">
        <v>5210</v>
      </c>
      <c r="AL667" s="0" t="s">
        <v>5125</v>
      </c>
      <c r="AN667" s="0" t="s">
        <v>5211</v>
      </c>
      <c r="AO667" s="0" t="s">
        <v>4212</v>
      </c>
      <c r="AP667" s="0" t="s">
        <v>228</v>
      </c>
      <c r="AQ667" s="0" t="s">
        <v>228</v>
      </c>
      <c r="AR667" s="0" t="s">
        <v>228</v>
      </c>
      <c r="AS667" s="0" t="s">
        <v>228</v>
      </c>
      <c r="AT667" s="0" t="s">
        <v>228</v>
      </c>
      <c r="AU667" s="0" t="s">
        <v>228</v>
      </c>
      <c r="AV667" s="0" t="s">
        <v>228</v>
      </c>
      <c r="AW667" s="0" t="s">
        <v>228</v>
      </c>
      <c r="AX667" s="0" t="s">
        <v>228</v>
      </c>
      <c r="AY667" s="0" t="s">
        <v>228</v>
      </c>
      <c r="AZ667" s="0" t="s">
        <v>228</v>
      </c>
      <c r="BA667" s="0" t="s">
        <v>228</v>
      </c>
      <c r="BB667" s="0" t="s">
        <v>228</v>
      </c>
      <c r="BC667" s="0" t="s">
        <v>228</v>
      </c>
      <c r="BD667" s="0" t="s">
        <v>228</v>
      </c>
      <c r="BE667" s="0" t="s">
        <v>228</v>
      </c>
      <c r="BF667" s="0" t="s">
        <v>228</v>
      </c>
      <c r="BG667" s="0" t="s">
        <v>228</v>
      </c>
      <c r="BH667" s="0" t="s">
        <v>228</v>
      </c>
      <c r="BI667" s="0" t="s">
        <v>228</v>
      </c>
      <c r="BJ667" s="0" t="s">
        <v>228</v>
      </c>
      <c r="BK667" s="0" t="s">
        <v>228</v>
      </c>
      <c r="BL667" s="0" t="s">
        <v>228</v>
      </c>
      <c r="BM667" s="0" t="s">
        <v>228</v>
      </c>
      <c r="BN667" s="0" t="s">
        <v>228</v>
      </c>
      <c r="BO667" s="0" t="s">
        <v>228</v>
      </c>
      <c r="BP667" s="0" t="s">
        <v>228</v>
      </c>
      <c r="BQ667" s="0" t="s">
        <v>228</v>
      </c>
      <c r="BR667" s="0" t="s">
        <v>228</v>
      </c>
      <c r="BS667" s="0" t="s">
        <v>228</v>
      </c>
      <c r="BT667" s="0" t="s">
        <v>228</v>
      </c>
      <c r="CS667" s="0" t="s">
        <v>228</v>
      </c>
      <c r="CT667" s="0" t="s">
        <v>3568</v>
      </c>
      <c r="CU667" s="0" t="s">
        <v>3569</v>
      </c>
      <c r="CV667" s="0" t="s">
        <v>418</v>
      </c>
      <c r="CW667" s="0" t="s">
        <v>3602</v>
      </c>
      <c r="CX667" s="0" t="s">
        <v>419</v>
      </c>
      <c r="CY667" s="0" t="s">
        <v>418</v>
      </c>
      <c r="CZ667" s="0" t="s">
        <v>504</v>
      </c>
      <c r="DA667" s="0" t="s">
        <v>3604</v>
      </c>
      <c r="DB667" s="0" t="s">
        <v>3602</v>
      </c>
      <c r="DC667" s="0" t="s">
        <v>362</v>
      </c>
      <c r="DD667" s="0" t="s">
        <v>282</v>
      </c>
      <c r="DE667" s="0" t="s">
        <v>5212</v>
      </c>
    </row>
    <row customHeight="1" ht="11.25">
      <c r="A668" s="1353" t="s">
        <v>228</v>
      </c>
      <c r="B668" s="0" t="s">
        <v>228</v>
      </c>
      <c r="C668" s="0" t="s">
        <v>228</v>
      </c>
      <c r="D668" s="0" t="s">
        <v>228</v>
      </c>
      <c r="E668" s="0" t="s">
        <v>228</v>
      </c>
      <c r="F668" s="0" t="s">
        <v>228</v>
      </c>
      <c r="G668" s="0" t="s">
        <v>228</v>
      </c>
      <c r="H668" s="0" t="s">
        <v>228</v>
      </c>
      <c r="I668" s="0" t="s">
        <v>5119</v>
      </c>
      <c r="J668" s="0" t="s">
        <v>228</v>
      </c>
      <c r="K668" s="0" t="s">
        <v>228</v>
      </c>
      <c r="L668" s="0" t="s">
        <v>228</v>
      </c>
      <c r="M668" s="0" t="s">
        <v>228</v>
      </c>
      <c r="N668" s="0" t="s">
        <v>228</v>
      </c>
      <c r="O668" s="0" t="s">
        <v>228</v>
      </c>
      <c r="P668" s="0" t="s">
        <v>228</v>
      </c>
      <c r="Q668" s="0" t="s">
        <v>228</v>
      </c>
      <c r="R668" s="0" t="s">
        <v>4936</v>
      </c>
      <c r="S668" s="0" t="s">
        <v>228</v>
      </c>
      <c r="T668" s="0" t="s">
        <v>228</v>
      </c>
      <c r="U668" s="0" t="s">
        <v>101</v>
      </c>
      <c r="V668" s="0" t="s">
        <v>228</v>
      </c>
      <c r="W668" s="0" t="s">
        <v>228</v>
      </c>
      <c r="X668" s="0" t="s">
        <v>3661</v>
      </c>
      <c r="Y668" s="0" t="s">
        <v>228</v>
      </c>
      <c r="Z668" s="0" t="s">
        <v>151</v>
      </c>
      <c r="AA668" s="0" t="s">
        <v>151</v>
      </c>
      <c r="AB668" s="0" t="s">
        <v>160</v>
      </c>
      <c r="AC668" s="0" t="s">
        <v>2721</v>
      </c>
      <c r="AD668" s="0" t="s">
        <v>2721</v>
      </c>
      <c r="AE668" s="0" t="s">
        <v>2722</v>
      </c>
      <c r="AF668" s="0" t="s">
        <v>4024</v>
      </c>
      <c r="AG668" s="0" t="s">
        <v>4025</v>
      </c>
      <c r="AH668" s="0" t="s">
        <v>4146</v>
      </c>
      <c r="AI668" s="0" t="s">
        <v>3608</v>
      </c>
      <c r="AJ668" s="0" t="s">
        <v>228</v>
      </c>
      <c r="AK668" s="0" t="s">
        <v>228</v>
      </c>
      <c r="AL668" s="0" t="s">
        <v>228</v>
      </c>
      <c r="AN668" s="0" t="s">
        <v>228</v>
      </c>
      <c r="AO668" s="0" t="s">
        <v>228</v>
      </c>
      <c r="AP668" s="0" t="s">
        <v>228</v>
      </c>
      <c r="AQ668" s="0" t="s">
        <v>228</v>
      </c>
      <c r="AR668" s="0" t="s">
        <v>228</v>
      </c>
      <c r="AS668" s="0" t="s">
        <v>228</v>
      </c>
      <c r="AT668" s="0" t="s">
        <v>228</v>
      </c>
      <c r="AU668" s="0" t="s">
        <v>228</v>
      </c>
      <c r="AV668" s="0" t="s">
        <v>228</v>
      </c>
      <c r="AW668" s="0" t="s">
        <v>228</v>
      </c>
      <c r="AX668" s="0" t="s">
        <v>228</v>
      </c>
      <c r="AY668" s="0" t="s">
        <v>228</v>
      </c>
      <c r="AZ668" s="0" t="s">
        <v>228</v>
      </c>
      <c r="BA668" s="0" t="s">
        <v>228</v>
      </c>
      <c r="BB668" s="0" t="s">
        <v>228</v>
      </c>
      <c r="BC668" s="0" t="s">
        <v>228</v>
      </c>
      <c r="BD668" s="0" t="s">
        <v>228</v>
      </c>
      <c r="BE668" s="0" t="s">
        <v>5213</v>
      </c>
      <c r="BF668" s="0" t="s">
        <v>5214</v>
      </c>
      <c r="BG668" s="0" t="s">
        <v>111</v>
      </c>
      <c r="BH668" s="0" t="s">
        <v>3665</v>
      </c>
      <c r="BI668" s="0" t="s">
        <v>122</v>
      </c>
      <c r="BJ668" s="0" t="s">
        <v>228</v>
      </c>
      <c r="BK668" s="0" t="s">
        <v>5215</v>
      </c>
      <c r="BL668" s="0" t="s">
        <v>2721</v>
      </c>
      <c r="BM668" s="0" t="s">
        <v>2721</v>
      </c>
      <c r="BN668" s="0" t="s">
        <v>4149</v>
      </c>
      <c r="BO668" s="0" t="s">
        <v>4024</v>
      </c>
      <c r="BP668" s="0" t="s">
        <v>4150</v>
      </c>
      <c r="BQ668" s="0" t="s">
        <v>4146</v>
      </c>
      <c r="BR668" s="0" t="s">
        <v>3608</v>
      </c>
      <c r="BS668" s="0" t="s">
        <v>228</v>
      </c>
      <c r="BT668" s="0" t="s">
        <v>3670</v>
      </c>
      <c r="CS668" s="0" t="s">
        <v>3628</v>
      </c>
      <c r="CT668" s="0" t="s">
        <v>3568</v>
      </c>
      <c r="CU668" s="0" t="s">
        <v>3569</v>
      </c>
      <c r="CV668" s="0" t="s">
        <v>4030</v>
      </c>
      <c r="CW668" s="0" t="s">
        <v>4031</v>
      </c>
      <c r="CX668" s="0" t="s">
        <v>3603</v>
      </c>
      <c r="CY668" s="0" t="s">
        <v>4030</v>
      </c>
      <c r="CZ668" s="0" t="s">
        <v>5138</v>
      </c>
      <c r="DA668" s="0" t="s">
        <v>4032</v>
      </c>
      <c r="DB668" s="0" t="s">
        <v>4031</v>
      </c>
      <c r="DC668" s="0" t="s">
        <v>362</v>
      </c>
      <c r="DD668" s="0" t="s">
        <v>282</v>
      </c>
      <c r="DE668" s="0" t="s">
        <v>5216</v>
      </c>
    </row>
    <row customHeight="1" ht="11.25">
      <c r="A669" s="1353" t="s">
        <v>228</v>
      </c>
      <c r="B669" s="0" t="s">
        <v>228</v>
      </c>
      <c r="C669" s="0" t="s">
        <v>228</v>
      </c>
      <c r="D669" s="0" t="s">
        <v>228</v>
      </c>
      <c r="E669" s="0" t="s">
        <v>228</v>
      </c>
      <c r="F669" s="0" t="s">
        <v>228</v>
      </c>
      <c r="G669" s="0" t="s">
        <v>228</v>
      </c>
      <c r="H669" s="0" t="s">
        <v>228</v>
      </c>
      <c r="I669" s="0" t="s">
        <v>5119</v>
      </c>
      <c r="J669" s="0" t="s">
        <v>228</v>
      </c>
      <c r="K669" s="0" t="s">
        <v>228</v>
      </c>
      <c r="L669" s="0" t="s">
        <v>228</v>
      </c>
      <c r="M669" s="0" t="s">
        <v>228</v>
      </c>
      <c r="N669" s="0" t="s">
        <v>228</v>
      </c>
      <c r="O669" s="0" t="s">
        <v>228</v>
      </c>
      <c r="P669" s="0" t="s">
        <v>228</v>
      </c>
      <c r="Q669" s="0" t="s">
        <v>228</v>
      </c>
      <c r="R669" s="0" t="s">
        <v>5217</v>
      </c>
      <c r="S669" s="0" t="s">
        <v>228</v>
      </c>
      <c r="T669" s="0" t="s">
        <v>228</v>
      </c>
      <c r="U669" s="0" t="s">
        <v>101</v>
      </c>
      <c r="V669" s="0" t="s">
        <v>228</v>
      </c>
      <c r="W669" s="0" t="s">
        <v>228</v>
      </c>
      <c r="X669" s="0" t="s">
        <v>5121</v>
      </c>
      <c r="Y669" s="0" t="s">
        <v>228</v>
      </c>
      <c r="Z669" s="0" t="s">
        <v>160</v>
      </c>
      <c r="AA669" s="0" t="s">
        <v>151</v>
      </c>
      <c r="AB669" s="0" t="s">
        <v>151</v>
      </c>
      <c r="AC669" s="0" t="s">
        <v>2290</v>
      </c>
      <c r="AD669" s="0" t="s">
        <v>2290</v>
      </c>
      <c r="AE669" s="0" t="s">
        <v>2292</v>
      </c>
      <c r="AF669" s="0" t="s">
        <v>4912</v>
      </c>
      <c r="AG669" s="0" t="s">
        <v>4913</v>
      </c>
      <c r="AH669" s="0" t="s">
        <v>5218</v>
      </c>
      <c r="AI669" s="0" t="s">
        <v>3608</v>
      </c>
      <c r="AJ669" s="0" t="s">
        <v>3563</v>
      </c>
      <c r="AK669" s="0" t="s">
        <v>5219</v>
      </c>
      <c r="AL669" s="0" t="s">
        <v>5125</v>
      </c>
      <c r="AN669" s="0" t="s">
        <v>3654</v>
      </c>
      <c r="AO669" s="0" t="s">
        <v>4578</v>
      </c>
      <c r="AP669" s="0" t="s">
        <v>228</v>
      </c>
      <c r="AQ669" s="0" t="s">
        <v>228</v>
      </c>
      <c r="AR669" s="0" t="s">
        <v>228</v>
      </c>
      <c r="AS669" s="0" t="s">
        <v>228</v>
      </c>
      <c r="AT669" s="0" t="s">
        <v>228</v>
      </c>
      <c r="AU669" s="0" t="s">
        <v>228</v>
      </c>
      <c r="AV669" s="0" t="s">
        <v>228</v>
      </c>
      <c r="AW669" s="0" t="s">
        <v>228</v>
      </c>
      <c r="AX669" s="0" t="s">
        <v>228</v>
      </c>
      <c r="AY669" s="0" t="s">
        <v>228</v>
      </c>
      <c r="AZ669" s="0" t="s">
        <v>228</v>
      </c>
      <c r="BA669" s="0" t="s">
        <v>228</v>
      </c>
      <c r="BB669" s="0" t="s">
        <v>228</v>
      </c>
      <c r="BC669" s="0" t="s">
        <v>228</v>
      </c>
      <c r="BD669" s="0" t="s">
        <v>228</v>
      </c>
      <c r="BE669" s="0" t="s">
        <v>228</v>
      </c>
      <c r="BF669" s="0" t="s">
        <v>228</v>
      </c>
      <c r="BG669" s="0" t="s">
        <v>228</v>
      </c>
      <c r="BH669" s="0" t="s">
        <v>228</v>
      </c>
      <c r="BI669" s="0" t="s">
        <v>228</v>
      </c>
      <c r="BJ669" s="0" t="s">
        <v>228</v>
      </c>
      <c r="BK669" s="0" t="s">
        <v>228</v>
      </c>
      <c r="BL669" s="0" t="s">
        <v>228</v>
      </c>
      <c r="BM669" s="0" t="s">
        <v>228</v>
      </c>
      <c r="BN669" s="0" t="s">
        <v>228</v>
      </c>
      <c r="BO669" s="0" t="s">
        <v>228</v>
      </c>
      <c r="BP669" s="0" t="s">
        <v>228</v>
      </c>
      <c r="BQ669" s="0" t="s">
        <v>228</v>
      </c>
      <c r="BR669" s="0" t="s">
        <v>228</v>
      </c>
      <c r="BS669" s="0" t="s">
        <v>228</v>
      </c>
      <c r="BT669" s="0" t="s">
        <v>228</v>
      </c>
      <c r="CS669" s="0" t="s">
        <v>228</v>
      </c>
      <c r="CT669" s="0" t="s">
        <v>3568</v>
      </c>
      <c r="CU669" s="0" t="s">
        <v>3569</v>
      </c>
      <c r="CV669" s="0" t="s">
        <v>418</v>
      </c>
      <c r="CW669" s="0" t="s">
        <v>4924</v>
      </c>
      <c r="CX669" s="0" t="s">
        <v>419</v>
      </c>
      <c r="CY669" s="0" t="s">
        <v>418</v>
      </c>
      <c r="CZ669" s="0" t="s">
        <v>319</v>
      </c>
      <c r="DA669" s="0" t="s">
        <v>420</v>
      </c>
      <c r="DB669" s="0" t="s">
        <v>4924</v>
      </c>
      <c r="DC669" s="0" t="s">
        <v>362</v>
      </c>
      <c r="DD669" s="0" t="s">
        <v>282</v>
      </c>
      <c r="DE669" s="0" t="s">
        <v>5220</v>
      </c>
    </row>
    <row customHeight="1" ht="11.25">
      <c r="A670" s="1353" t="s">
        <v>228</v>
      </c>
      <c r="B670" s="0" t="s">
        <v>228</v>
      </c>
      <c r="C670" s="0" t="s">
        <v>228</v>
      </c>
      <c r="D670" s="0" t="s">
        <v>228</v>
      </c>
      <c r="E670" s="0" t="s">
        <v>228</v>
      </c>
      <c r="F670" s="0" t="s">
        <v>228</v>
      </c>
      <c r="G670" s="0" t="s">
        <v>228</v>
      </c>
      <c r="H670" s="0" t="s">
        <v>228</v>
      </c>
      <c r="I670" s="0" t="s">
        <v>5119</v>
      </c>
      <c r="J670" s="0" t="s">
        <v>228</v>
      </c>
      <c r="K670" s="0" t="s">
        <v>228</v>
      </c>
      <c r="L670" s="0" t="s">
        <v>228</v>
      </c>
      <c r="M670" s="0" t="s">
        <v>228</v>
      </c>
      <c r="N670" s="0" t="s">
        <v>228</v>
      </c>
      <c r="O670" s="0" t="s">
        <v>228</v>
      </c>
      <c r="P670" s="0" t="s">
        <v>228</v>
      </c>
      <c r="Q670" s="0" t="s">
        <v>228</v>
      </c>
      <c r="R670" s="0" t="s">
        <v>5221</v>
      </c>
      <c r="S670" s="0" t="s">
        <v>228</v>
      </c>
      <c r="T670" s="0" t="s">
        <v>228</v>
      </c>
      <c r="U670" s="0" t="s">
        <v>101</v>
      </c>
      <c r="V670" s="0" t="s">
        <v>228</v>
      </c>
      <c r="W670" s="0" t="s">
        <v>228</v>
      </c>
      <c r="X670" s="0" t="s">
        <v>5121</v>
      </c>
      <c r="Y670" s="0" t="s">
        <v>228</v>
      </c>
      <c r="Z670" s="0" t="s">
        <v>160</v>
      </c>
      <c r="AA670" s="0" t="s">
        <v>151</v>
      </c>
      <c r="AB670" s="0" t="s">
        <v>151</v>
      </c>
      <c r="AC670" s="0" t="s">
        <v>2715</v>
      </c>
      <c r="AD670" s="0" t="s">
        <v>2715</v>
      </c>
      <c r="AE670" s="0" t="s">
        <v>2716</v>
      </c>
      <c r="AF670" s="0" t="s">
        <v>3594</v>
      </c>
      <c r="AG670" s="0" t="s">
        <v>3595</v>
      </c>
      <c r="AH670" s="0" t="s">
        <v>5222</v>
      </c>
      <c r="AI670" s="0" t="s">
        <v>5223</v>
      </c>
      <c r="AJ670" s="0" t="s">
        <v>5224</v>
      </c>
      <c r="AK670" s="0" t="s">
        <v>5225</v>
      </c>
      <c r="AL670" s="0" t="s">
        <v>5144</v>
      </c>
      <c r="AN670" s="0" t="s">
        <v>5226</v>
      </c>
      <c r="AO670" s="0" t="s">
        <v>5227</v>
      </c>
      <c r="AP670" s="0" t="s">
        <v>228</v>
      </c>
      <c r="AQ670" s="0" t="s">
        <v>228</v>
      </c>
      <c r="AR670" s="0" t="s">
        <v>228</v>
      </c>
      <c r="AS670" s="0" t="s">
        <v>228</v>
      </c>
      <c r="AT670" s="0" t="s">
        <v>228</v>
      </c>
      <c r="AU670" s="0" t="s">
        <v>228</v>
      </c>
      <c r="AV670" s="0" t="s">
        <v>228</v>
      </c>
      <c r="AW670" s="0" t="s">
        <v>228</v>
      </c>
      <c r="AX670" s="0" t="s">
        <v>228</v>
      </c>
      <c r="AY670" s="0" t="s">
        <v>228</v>
      </c>
      <c r="AZ670" s="0" t="s">
        <v>228</v>
      </c>
      <c r="BA670" s="0" t="s">
        <v>228</v>
      </c>
      <c r="BB670" s="0" t="s">
        <v>228</v>
      </c>
      <c r="BC670" s="0" t="s">
        <v>228</v>
      </c>
      <c r="BD670" s="0" t="s">
        <v>228</v>
      </c>
      <c r="BE670" s="0" t="s">
        <v>228</v>
      </c>
      <c r="BF670" s="0" t="s">
        <v>228</v>
      </c>
      <c r="BG670" s="0" t="s">
        <v>228</v>
      </c>
      <c r="BH670" s="0" t="s">
        <v>228</v>
      </c>
      <c r="BI670" s="0" t="s">
        <v>228</v>
      </c>
      <c r="BJ670" s="0" t="s">
        <v>228</v>
      </c>
      <c r="BK670" s="0" t="s">
        <v>228</v>
      </c>
      <c r="BL670" s="0" t="s">
        <v>228</v>
      </c>
      <c r="BM670" s="0" t="s">
        <v>228</v>
      </c>
      <c r="BN670" s="0" t="s">
        <v>228</v>
      </c>
      <c r="BO670" s="0" t="s">
        <v>228</v>
      </c>
      <c r="BP670" s="0" t="s">
        <v>228</v>
      </c>
      <c r="BQ670" s="0" t="s">
        <v>228</v>
      </c>
      <c r="BR670" s="0" t="s">
        <v>228</v>
      </c>
      <c r="BS670" s="0" t="s">
        <v>228</v>
      </c>
      <c r="BT670" s="0" t="s">
        <v>228</v>
      </c>
      <c r="CS670" s="0" t="s">
        <v>228</v>
      </c>
      <c r="CT670" s="0" t="s">
        <v>3568</v>
      </c>
      <c r="CU670" s="0" t="s">
        <v>5128</v>
      </c>
      <c r="CV670" s="0" t="s">
        <v>4030</v>
      </c>
      <c r="CW670" s="0" t="s">
        <v>5129</v>
      </c>
      <c r="CX670" s="0" t="s">
        <v>3603</v>
      </c>
      <c r="CY670" s="0" t="s">
        <v>4030</v>
      </c>
      <c r="CZ670" s="0" t="s">
        <v>5130</v>
      </c>
      <c r="DA670" s="0" t="s">
        <v>5131</v>
      </c>
      <c r="DB670" s="0" t="s">
        <v>5129</v>
      </c>
      <c r="DC670" s="0" t="s">
        <v>362</v>
      </c>
      <c r="DD670" s="0" t="s">
        <v>282</v>
      </c>
      <c r="DE670" s="0" t="s">
        <v>5228</v>
      </c>
    </row>
    <row customHeight="1" ht="11.25">
      <c r="A671" s="1353" t="s">
        <v>228</v>
      </c>
      <c r="B671" s="0" t="s">
        <v>228</v>
      </c>
      <c r="C671" s="0" t="s">
        <v>228</v>
      </c>
      <c r="D671" s="0" t="s">
        <v>228</v>
      </c>
      <c r="E671" s="0" t="s">
        <v>228</v>
      </c>
      <c r="F671" s="0" t="s">
        <v>228</v>
      </c>
      <c r="G671" s="0" t="s">
        <v>228</v>
      </c>
      <c r="H671" s="0" t="s">
        <v>228</v>
      </c>
      <c r="I671" s="0" t="s">
        <v>5119</v>
      </c>
      <c r="J671" s="0" t="s">
        <v>228</v>
      </c>
      <c r="K671" s="0" t="s">
        <v>228</v>
      </c>
      <c r="L671" s="0" t="s">
        <v>228</v>
      </c>
      <c r="M671" s="0" t="s">
        <v>228</v>
      </c>
      <c r="N671" s="0" t="s">
        <v>228</v>
      </c>
      <c r="O671" s="0" t="s">
        <v>228</v>
      </c>
      <c r="P671" s="0" t="s">
        <v>228</v>
      </c>
      <c r="Q671" s="0" t="s">
        <v>228</v>
      </c>
      <c r="R671" s="0" t="s">
        <v>5229</v>
      </c>
      <c r="S671" s="0" t="s">
        <v>228</v>
      </c>
      <c r="T671" s="0" t="s">
        <v>228</v>
      </c>
      <c r="U671" s="0" t="s">
        <v>101</v>
      </c>
      <c r="V671" s="0" t="s">
        <v>228</v>
      </c>
      <c r="W671" s="0" t="s">
        <v>228</v>
      </c>
      <c r="X671" s="0" t="s">
        <v>5121</v>
      </c>
      <c r="Y671" s="0" t="s">
        <v>228</v>
      </c>
      <c r="Z671" s="0" t="s">
        <v>160</v>
      </c>
      <c r="AA671" s="0" t="s">
        <v>151</v>
      </c>
      <c r="AB671" s="0" t="s">
        <v>151</v>
      </c>
      <c r="AC671" s="0" t="s">
        <v>2290</v>
      </c>
      <c r="AD671" s="0" t="s">
        <v>2290</v>
      </c>
      <c r="AE671" s="0" t="s">
        <v>2292</v>
      </c>
      <c r="AF671" s="0" t="s">
        <v>4912</v>
      </c>
      <c r="AG671" s="0" t="s">
        <v>4913</v>
      </c>
      <c r="AH671" s="0" t="s">
        <v>5230</v>
      </c>
      <c r="AI671" s="0" t="s">
        <v>3608</v>
      </c>
      <c r="AJ671" s="0" t="s">
        <v>5231</v>
      </c>
      <c r="AK671" s="0" t="s">
        <v>5232</v>
      </c>
      <c r="AL671" s="0" t="s">
        <v>5125</v>
      </c>
      <c r="AN671" s="0" t="s">
        <v>3582</v>
      </c>
      <c r="AO671" s="0" t="s">
        <v>5233</v>
      </c>
      <c r="AP671" s="0" t="s">
        <v>228</v>
      </c>
      <c r="AQ671" s="0" t="s">
        <v>228</v>
      </c>
      <c r="AR671" s="0" t="s">
        <v>228</v>
      </c>
      <c r="AS671" s="0" t="s">
        <v>228</v>
      </c>
      <c r="AT671" s="0" t="s">
        <v>228</v>
      </c>
      <c r="AU671" s="0" t="s">
        <v>228</v>
      </c>
      <c r="AV671" s="0" t="s">
        <v>228</v>
      </c>
      <c r="AW671" s="0" t="s">
        <v>228</v>
      </c>
      <c r="AX671" s="0" t="s">
        <v>228</v>
      </c>
      <c r="AY671" s="0" t="s">
        <v>228</v>
      </c>
      <c r="AZ671" s="0" t="s">
        <v>228</v>
      </c>
      <c r="BA671" s="0" t="s">
        <v>228</v>
      </c>
      <c r="BB671" s="0" t="s">
        <v>228</v>
      </c>
      <c r="BC671" s="0" t="s">
        <v>228</v>
      </c>
      <c r="BD671" s="0" t="s">
        <v>228</v>
      </c>
      <c r="BE671" s="0" t="s">
        <v>228</v>
      </c>
      <c r="BF671" s="0" t="s">
        <v>228</v>
      </c>
      <c r="BG671" s="0" t="s">
        <v>228</v>
      </c>
      <c r="BH671" s="0" t="s">
        <v>228</v>
      </c>
      <c r="BI671" s="0" t="s">
        <v>228</v>
      </c>
      <c r="BJ671" s="0" t="s">
        <v>228</v>
      </c>
      <c r="BK671" s="0" t="s">
        <v>228</v>
      </c>
      <c r="BL671" s="0" t="s">
        <v>228</v>
      </c>
      <c r="BM671" s="0" t="s">
        <v>228</v>
      </c>
      <c r="BN671" s="0" t="s">
        <v>228</v>
      </c>
      <c r="BO671" s="0" t="s">
        <v>228</v>
      </c>
      <c r="BP671" s="0" t="s">
        <v>228</v>
      </c>
      <c r="BQ671" s="0" t="s">
        <v>228</v>
      </c>
      <c r="BR671" s="0" t="s">
        <v>228</v>
      </c>
      <c r="BS671" s="0" t="s">
        <v>228</v>
      </c>
      <c r="BT671" s="0" t="s">
        <v>228</v>
      </c>
      <c r="CS671" s="0" t="s">
        <v>228</v>
      </c>
      <c r="CT671" s="0" t="s">
        <v>3568</v>
      </c>
      <c r="CU671" s="0" t="s">
        <v>3569</v>
      </c>
      <c r="CV671" s="0" t="s">
        <v>418</v>
      </c>
      <c r="CW671" s="0" t="s">
        <v>4924</v>
      </c>
      <c r="CX671" s="0" t="s">
        <v>419</v>
      </c>
      <c r="CY671" s="0" t="s">
        <v>418</v>
      </c>
      <c r="CZ671" s="0" t="s">
        <v>319</v>
      </c>
      <c r="DA671" s="0" t="s">
        <v>420</v>
      </c>
      <c r="DB671" s="0" t="s">
        <v>4924</v>
      </c>
      <c r="DC671" s="0" t="s">
        <v>362</v>
      </c>
      <c r="DD671" s="0" t="s">
        <v>282</v>
      </c>
      <c r="DE671" s="0" t="s">
        <v>5234</v>
      </c>
    </row>
    <row customHeight="1" ht="11.25">
      <c r="A672" s="1353" t="s">
        <v>228</v>
      </c>
      <c r="B672" s="0" t="s">
        <v>228</v>
      </c>
      <c r="C672" s="0" t="s">
        <v>228</v>
      </c>
      <c r="D672" s="0" t="s">
        <v>228</v>
      </c>
      <c r="E672" s="0" t="s">
        <v>228</v>
      </c>
      <c r="F672" s="0" t="s">
        <v>228</v>
      </c>
      <c r="G672" s="0" t="s">
        <v>228</v>
      </c>
      <c r="H672" s="0" t="s">
        <v>228</v>
      </c>
      <c r="I672" s="0" t="s">
        <v>5119</v>
      </c>
      <c r="J672" s="0" t="s">
        <v>228</v>
      </c>
      <c r="K672" s="0" t="s">
        <v>228</v>
      </c>
      <c r="L672" s="0" t="s">
        <v>228</v>
      </c>
      <c r="M672" s="0" t="s">
        <v>228</v>
      </c>
      <c r="N672" s="0" t="s">
        <v>228</v>
      </c>
      <c r="O672" s="0" t="s">
        <v>228</v>
      </c>
      <c r="P672" s="0" t="s">
        <v>228</v>
      </c>
      <c r="Q672" s="0" t="s">
        <v>228</v>
      </c>
      <c r="R672" s="0" t="s">
        <v>5171</v>
      </c>
      <c r="S672" s="0" t="s">
        <v>228</v>
      </c>
      <c r="T672" s="0" t="s">
        <v>228</v>
      </c>
      <c r="U672" s="0" t="s">
        <v>101</v>
      </c>
      <c r="V672" s="0" t="s">
        <v>228</v>
      </c>
      <c r="W672" s="0" t="s">
        <v>228</v>
      </c>
      <c r="X672" s="0" t="s">
        <v>3661</v>
      </c>
      <c r="Y672" s="0" t="s">
        <v>228</v>
      </c>
      <c r="Z672" s="0" t="s">
        <v>151</v>
      </c>
      <c r="AA672" s="0" t="s">
        <v>151</v>
      </c>
      <c r="AB672" s="0" t="s">
        <v>160</v>
      </c>
      <c r="AC672" s="0" t="s">
        <v>2311</v>
      </c>
      <c r="AD672" s="0" t="s">
        <v>2311</v>
      </c>
      <c r="AE672" s="0" t="s">
        <v>2312</v>
      </c>
      <c r="AF672" s="0" t="s">
        <v>4034</v>
      </c>
      <c r="AG672" s="0" t="s">
        <v>4035</v>
      </c>
      <c r="AH672" s="0" t="s">
        <v>4034</v>
      </c>
      <c r="AI672" s="0" t="s">
        <v>3608</v>
      </c>
      <c r="AJ672" s="0" t="s">
        <v>228</v>
      </c>
      <c r="AK672" s="0" t="s">
        <v>228</v>
      </c>
      <c r="AL672" s="0" t="s">
        <v>228</v>
      </c>
      <c r="AN672" s="0" t="s">
        <v>228</v>
      </c>
      <c r="AO672" s="0" t="s">
        <v>228</v>
      </c>
      <c r="AP672" s="0" t="s">
        <v>228</v>
      </c>
      <c r="AQ672" s="0" t="s">
        <v>228</v>
      </c>
      <c r="AR672" s="0" t="s">
        <v>228</v>
      </c>
      <c r="AS672" s="0" t="s">
        <v>228</v>
      </c>
      <c r="AT672" s="0" t="s">
        <v>228</v>
      </c>
      <c r="AU672" s="0" t="s">
        <v>228</v>
      </c>
      <c r="AV672" s="0" t="s">
        <v>228</v>
      </c>
      <c r="AW672" s="0" t="s">
        <v>228</v>
      </c>
      <c r="AX672" s="0" t="s">
        <v>228</v>
      </c>
      <c r="AY672" s="0" t="s">
        <v>228</v>
      </c>
      <c r="AZ672" s="0" t="s">
        <v>228</v>
      </c>
      <c r="BA672" s="0" t="s">
        <v>228</v>
      </c>
      <c r="BB672" s="0" t="s">
        <v>228</v>
      </c>
      <c r="BC672" s="0" t="s">
        <v>228</v>
      </c>
      <c r="BD672" s="0" t="s">
        <v>228</v>
      </c>
      <c r="BE672" s="0" t="s">
        <v>5235</v>
      </c>
      <c r="BF672" s="0" t="s">
        <v>5236</v>
      </c>
      <c r="BG672" s="0" t="s">
        <v>111</v>
      </c>
      <c r="BH672" s="0" t="s">
        <v>3665</v>
      </c>
      <c r="BI672" s="0" t="s">
        <v>122</v>
      </c>
      <c r="BJ672" s="0" t="s">
        <v>228</v>
      </c>
      <c r="BK672" s="0" t="s">
        <v>5237</v>
      </c>
      <c r="BL672" s="0" t="s">
        <v>2311</v>
      </c>
      <c r="BM672" s="0" t="s">
        <v>2311</v>
      </c>
      <c r="BN672" s="0" t="s">
        <v>3723</v>
      </c>
      <c r="BO672" s="0" t="s">
        <v>4034</v>
      </c>
      <c r="BP672" s="0" t="s">
        <v>4038</v>
      </c>
      <c r="BQ672" s="0" t="s">
        <v>5238</v>
      </c>
      <c r="BR672" s="0" t="s">
        <v>3608</v>
      </c>
      <c r="BS672" s="0" t="s">
        <v>228</v>
      </c>
      <c r="BT672" s="0" t="s">
        <v>3727</v>
      </c>
      <c r="CS672" s="0" t="s">
        <v>3582</v>
      </c>
      <c r="CT672" s="0" t="s">
        <v>3568</v>
      </c>
      <c r="CU672" s="0" t="s">
        <v>3569</v>
      </c>
      <c r="CV672" s="0" t="s">
        <v>418</v>
      </c>
      <c r="CW672" s="0" t="s">
        <v>3584</v>
      </c>
      <c r="CX672" s="0" t="s">
        <v>419</v>
      </c>
      <c r="CY672" s="0" t="s">
        <v>418</v>
      </c>
      <c r="CZ672" s="0" t="s">
        <v>3585</v>
      </c>
      <c r="DA672" s="0" t="s">
        <v>3586</v>
      </c>
      <c r="DB672" s="0" t="s">
        <v>3584</v>
      </c>
      <c r="DC672" s="0" t="s">
        <v>362</v>
      </c>
      <c r="DD672" s="0" t="s">
        <v>282</v>
      </c>
      <c r="DE672" s="0" t="s">
        <v>5239</v>
      </c>
    </row>
    <row customHeight="1" ht="11.25">
      <c r="A673" s="1353" t="s">
        <v>228</v>
      </c>
      <c r="B673" s="0" t="s">
        <v>228</v>
      </c>
      <c r="C673" s="0" t="s">
        <v>228</v>
      </c>
      <c r="D673" s="0" t="s">
        <v>228</v>
      </c>
      <c r="E673" s="0" t="s">
        <v>228</v>
      </c>
      <c r="F673" s="0" t="s">
        <v>228</v>
      </c>
      <c r="G673" s="0" t="s">
        <v>228</v>
      </c>
      <c r="H673" s="0" t="s">
        <v>228</v>
      </c>
      <c r="I673" s="0" t="s">
        <v>5119</v>
      </c>
      <c r="J673" s="0" t="s">
        <v>228</v>
      </c>
      <c r="K673" s="0" t="s">
        <v>228</v>
      </c>
      <c r="L673" s="0" t="s">
        <v>228</v>
      </c>
      <c r="M673" s="0" t="s">
        <v>228</v>
      </c>
      <c r="N673" s="0" t="s">
        <v>228</v>
      </c>
      <c r="O673" s="0" t="s">
        <v>228</v>
      </c>
      <c r="P673" s="0" t="s">
        <v>228</v>
      </c>
      <c r="Q673" s="0" t="s">
        <v>228</v>
      </c>
      <c r="R673" s="0" t="s">
        <v>5240</v>
      </c>
      <c r="S673" s="0" t="s">
        <v>228</v>
      </c>
      <c r="T673" s="0" t="s">
        <v>228</v>
      </c>
      <c r="U673" s="0" t="s">
        <v>101</v>
      </c>
      <c r="V673" s="0" t="s">
        <v>228</v>
      </c>
      <c r="W673" s="0" t="s">
        <v>228</v>
      </c>
      <c r="X673" s="0" t="s">
        <v>3661</v>
      </c>
      <c r="Y673" s="0" t="s">
        <v>228</v>
      </c>
      <c r="Z673" s="0" t="s">
        <v>151</v>
      </c>
      <c r="AA673" s="0" t="s">
        <v>151</v>
      </c>
      <c r="AB673" s="0" t="s">
        <v>160</v>
      </c>
      <c r="AC673" s="0" t="s">
        <v>2315</v>
      </c>
      <c r="AD673" s="0" t="s">
        <v>2315</v>
      </c>
      <c r="AE673" s="0" t="s">
        <v>2316</v>
      </c>
      <c r="AF673" s="0" t="s">
        <v>4058</v>
      </c>
      <c r="AG673" s="0" t="s">
        <v>4059</v>
      </c>
      <c r="AH673" s="0" t="s">
        <v>3651</v>
      </c>
      <c r="AI673" s="0" t="s">
        <v>3651</v>
      </c>
      <c r="AJ673" s="0" t="s">
        <v>228</v>
      </c>
      <c r="AK673" s="0" t="s">
        <v>228</v>
      </c>
      <c r="AL673" s="0" t="s">
        <v>228</v>
      </c>
      <c r="AN673" s="0" t="s">
        <v>228</v>
      </c>
      <c r="AO673" s="0" t="s">
        <v>228</v>
      </c>
      <c r="AP673" s="0" t="s">
        <v>228</v>
      </c>
      <c r="AQ673" s="0" t="s">
        <v>228</v>
      </c>
      <c r="AR673" s="0" t="s">
        <v>228</v>
      </c>
      <c r="AS673" s="0" t="s">
        <v>228</v>
      </c>
      <c r="AT673" s="0" t="s">
        <v>228</v>
      </c>
      <c r="AU673" s="0" t="s">
        <v>228</v>
      </c>
      <c r="AV673" s="0" t="s">
        <v>228</v>
      </c>
      <c r="AW673" s="0" t="s">
        <v>228</v>
      </c>
      <c r="AX673" s="0" t="s">
        <v>228</v>
      </c>
      <c r="AY673" s="0" t="s">
        <v>228</v>
      </c>
      <c r="AZ673" s="0" t="s">
        <v>228</v>
      </c>
      <c r="BA673" s="0" t="s">
        <v>228</v>
      </c>
      <c r="BB673" s="0" t="s">
        <v>228</v>
      </c>
      <c r="BC673" s="0" t="s">
        <v>228</v>
      </c>
      <c r="BD673" s="0" t="s">
        <v>228</v>
      </c>
      <c r="BE673" s="0" t="s">
        <v>5241</v>
      </c>
      <c r="BF673" s="0" t="s">
        <v>5242</v>
      </c>
      <c r="BG673" s="0" t="s">
        <v>111</v>
      </c>
      <c r="BH673" s="0" t="s">
        <v>3665</v>
      </c>
      <c r="BI673" s="0" t="s">
        <v>122</v>
      </c>
      <c r="BJ673" s="0" t="s">
        <v>228</v>
      </c>
      <c r="BK673" s="0" t="s">
        <v>228</v>
      </c>
      <c r="BL673" s="0" t="s">
        <v>2315</v>
      </c>
      <c r="BM673" s="0" t="s">
        <v>2315</v>
      </c>
      <c r="BN673" s="0" t="s">
        <v>3875</v>
      </c>
      <c r="BO673" s="0" t="s">
        <v>4058</v>
      </c>
      <c r="BP673" s="0" t="s">
        <v>4249</v>
      </c>
      <c r="BQ673" s="0" t="s">
        <v>3651</v>
      </c>
      <c r="BR673" s="0" t="s">
        <v>3651</v>
      </c>
      <c r="BS673" s="0" t="s">
        <v>228</v>
      </c>
      <c r="BT673" s="0" t="s">
        <v>3727</v>
      </c>
      <c r="CS673" s="0" t="s">
        <v>5243</v>
      </c>
      <c r="CT673" s="0" t="s">
        <v>3568</v>
      </c>
      <c r="CU673" s="0" t="s">
        <v>3569</v>
      </c>
      <c r="CV673" s="0" t="s">
        <v>418</v>
      </c>
      <c r="CW673" s="0" t="s">
        <v>3656</v>
      </c>
      <c r="CX673" s="0" t="s">
        <v>419</v>
      </c>
      <c r="CY673" s="0" t="s">
        <v>418</v>
      </c>
      <c r="CZ673" s="0" t="s">
        <v>3657</v>
      </c>
      <c r="DA673" s="0" t="s">
        <v>3658</v>
      </c>
      <c r="DB673" s="0" t="s">
        <v>3656</v>
      </c>
      <c r="DC673" s="0" t="s">
        <v>362</v>
      </c>
      <c r="DD673" s="0" t="s">
        <v>282</v>
      </c>
      <c r="DE673" s="0" t="s">
        <v>4323</v>
      </c>
    </row>
    <row customHeight="1" ht="11.25">
      <c r="A674" s="1353" t="s">
        <v>228</v>
      </c>
      <c r="B674" s="0" t="s">
        <v>228</v>
      </c>
      <c r="C674" s="0" t="s">
        <v>228</v>
      </c>
      <c r="D674" s="0" t="s">
        <v>228</v>
      </c>
      <c r="E674" s="0" t="s">
        <v>228</v>
      </c>
      <c r="F674" s="0" t="s">
        <v>228</v>
      </c>
      <c r="G674" s="0" t="s">
        <v>228</v>
      </c>
      <c r="H674" s="0" t="s">
        <v>228</v>
      </c>
      <c r="I674" s="0" t="s">
        <v>5119</v>
      </c>
      <c r="J674" s="0" t="s">
        <v>228</v>
      </c>
      <c r="K674" s="0" t="s">
        <v>228</v>
      </c>
      <c r="L674" s="0" t="s">
        <v>228</v>
      </c>
      <c r="M674" s="0" t="s">
        <v>228</v>
      </c>
      <c r="N674" s="0" t="s">
        <v>228</v>
      </c>
      <c r="O674" s="0" t="s">
        <v>228</v>
      </c>
      <c r="P674" s="0" t="s">
        <v>228</v>
      </c>
      <c r="Q674" s="0" t="s">
        <v>228</v>
      </c>
      <c r="R674" s="0" t="s">
        <v>5244</v>
      </c>
      <c r="S674" s="0" t="s">
        <v>228</v>
      </c>
      <c r="T674" s="0" t="s">
        <v>228</v>
      </c>
      <c r="U674" s="0" t="s">
        <v>101</v>
      </c>
      <c r="V674" s="0" t="s">
        <v>228</v>
      </c>
      <c r="W674" s="0" t="s">
        <v>228</v>
      </c>
      <c r="X674" s="0" t="s">
        <v>5121</v>
      </c>
      <c r="Y674" s="0" t="s">
        <v>228</v>
      </c>
      <c r="Z674" s="0" t="s">
        <v>160</v>
      </c>
      <c r="AA674" s="0" t="s">
        <v>151</v>
      </c>
      <c r="AB674" s="0" t="s">
        <v>151</v>
      </c>
      <c r="AC674" s="0" t="s">
        <v>2315</v>
      </c>
      <c r="AD674" s="0" t="s">
        <v>2315</v>
      </c>
      <c r="AE674" s="0" t="s">
        <v>2316</v>
      </c>
      <c r="AF674" s="0" t="s">
        <v>4058</v>
      </c>
      <c r="AG674" s="0" t="s">
        <v>4059</v>
      </c>
      <c r="AH674" s="0" t="s">
        <v>5245</v>
      </c>
      <c r="AI674" s="0" t="s">
        <v>3651</v>
      </c>
      <c r="AJ674" s="0" t="s">
        <v>5243</v>
      </c>
      <c r="AK674" s="0" t="s">
        <v>5246</v>
      </c>
      <c r="AL674" s="0" t="s">
        <v>5125</v>
      </c>
      <c r="AN674" s="0" t="s">
        <v>3563</v>
      </c>
      <c r="AO674" s="0" t="s">
        <v>5247</v>
      </c>
      <c r="AP674" s="0" t="s">
        <v>228</v>
      </c>
      <c r="AQ674" s="0" t="s">
        <v>228</v>
      </c>
      <c r="AR674" s="0" t="s">
        <v>228</v>
      </c>
      <c r="AS674" s="0" t="s">
        <v>228</v>
      </c>
      <c r="AT674" s="0" t="s">
        <v>228</v>
      </c>
      <c r="AU674" s="0" t="s">
        <v>228</v>
      </c>
      <c r="AV674" s="0" t="s">
        <v>228</v>
      </c>
      <c r="AW674" s="0" t="s">
        <v>228</v>
      </c>
      <c r="AX674" s="0" t="s">
        <v>228</v>
      </c>
      <c r="AY674" s="0" t="s">
        <v>228</v>
      </c>
      <c r="AZ674" s="0" t="s">
        <v>228</v>
      </c>
      <c r="BA674" s="0" t="s">
        <v>228</v>
      </c>
      <c r="BB674" s="0" t="s">
        <v>228</v>
      </c>
      <c r="BC674" s="0" t="s">
        <v>228</v>
      </c>
      <c r="BD674" s="0" t="s">
        <v>228</v>
      </c>
      <c r="BE674" s="0" t="s">
        <v>228</v>
      </c>
      <c r="BF674" s="0" t="s">
        <v>228</v>
      </c>
      <c r="BG674" s="0" t="s">
        <v>228</v>
      </c>
      <c r="BH674" s="0" t="s">
        <v>228</v>
      </c>
      <c r="BI674" s="0" t="s">
        <v>228</v>
      </c>
      <c r="BJ674" s="0" t="s">
        <v>228</v>
      </c>
      <c r="BK674" s="0" t="s">
        <v>228</v>
      </c>
      <c r="BL674" s="0" t="s">
        <v>228</v>
      </c>
      <c r="BM674" s="0" t="s">
        <v>228</v>
      </c>
      <c r="BN674" s="0" t="s">
        <v>228</v>
      </c>
      <c r="BO674" s="0" t="s">
        <v>228</v>
      </c>
      <c r="BP674" s="0" t="s">
        <v>228</v>
      </c>
      <c r="BQ674" s="0" t="s">
        <v>228</v>
      </c>
      <c r="BR674" s="0" t="s">
        <v>228</v>
      </c>
      <c r="BS674" s="0" t="s">
        <v>228</v>
      </c>
      <c r="BT674" s="0" t="s">
        <v>228</v>
      </c>
      <c r="CS674" s="0" t="s">
        <v>228</v>
      </c>
      <c r="CT674" s="0" t="s">
        <v>3568</v>
      </c>
      <c r="CU674" s="0" t="s">
        <v>3569</v>
      </c>
      <c r="CV674" s="0" t="s">
        <v>418</v>
      </c>
      <c r="CW674" s="0" t="s">
        <v>3656</v>
      </c>
      <c r="CX674" s="0" t="s">
        <v>419</v>
      </c>
      <c r="CY674" s="0" t="s">
        <v>418</v>
      </c>
      <c r="CZ674" s="0" t="s">
        <v>3657</v>
      </c>
      <c r="DA674" s="0" t="s">
        <v>3658</v>
      </c>
      <c r="DB674" s="0" t="s">
        <v>3656</v>
      </c>
      <c r="DC674" s="0" t="s">
        <v>362</v>
      </c>
      <c r="DD674" s="0" t="s">
        <v>282</v>
      </c>
      <c r="DE674" s="0" t="s">
        <v>5248</v>
      </c>
    </row>
    <row customHeight="1" ht="11.25">
      <c r="A675" s="1353" t="s">
        <v>228</v>
      </c>
      <c r="B675" s="0" t="s">
        <v>228</v>
      </c>
      <c r="C675" s="0" t="s">
        <v>228</v>
      </c>
      <c r="D675" s="0" t="s">
        <v>228</v>
      </c>
      <c r="E675" s="0" t="s">
        <v>228</v>
      </c>
      <c r="F675" s="0" t="s">
        <v>228</v>
      </c>
      <c r="G675" s="0" t="s">
        <v>228</v>
      </c>
      <c r="H675" s="0" t="s">
        <v>228</v>
      </c>
      <c r="I675" s="0" t="s">
        <v>5119</v>
      </c>
      <c r="J675" s="0" t="s">
        <v>228</v>
      </c>
      <c r="K675" s="0" t="s">
        <v>228</v>
      </c>
      <c r="L675" s="0" t="s">
        <v>228</v>
      </c>
      <c r="M675" s="0" t="s">
        <v>228</v>
      </c>
      <c r="N675" s="0" t="s">
        <v>228</v>
      </c>
      <c r="O675" s="0" t="s">
        <v>228</v>
      </c>
      <c r="P675" s="0" t="s">
        <v>228</v>
      </c>
      <c r="Q675" s="0" t="s">
        <v>228</v>
      </c>
      <c r="R675" s="0" t="s">
        <v>5249</v>
      </c>
      <c r="S675" s="0" t="s">
        <v>228</v>
      </c>
      <c r="T675" s="0" t="s">
        <v>228</v>
      </c>
      <c r="U675" s="0" t="s">
        <v>101</v>
      </c>
      <c r="V675" s="0" t="s">
        <v>228</v>
      </c>
      <c r="W675" s="0" t="s">
        <v>228</v>
      </c>
      <c r="X675" s="0" t="s">
        <v>5121</v>
      </c>
      <c r="Y675" s="0" t="s">
        <v>228</v>
      </c>
      <c r="Z675" s="0" t="s">
        <v>160</v>
      </c>
      <c r="AA675" s="0" t="s">
        <v>151</v>
      </c>
      <c r="AB675" s="0" t="s">
        <v>151</v>
      </c>
      <c r="AC675" s="0" t="s">
        <v>2315</v>
      </c>
      <c r="AD675" s="0" t="s">
        <v>2315</v>
      </c>
      <c r="AE675" s="0" t="s">
        <v>2316</v>
      </c>
      <c r="AF675" s="0" t="s">
        <v>4058</v>
      </c>
      <c r="AG675" s="0" t="s">
        <v>4059</v>
      </c>
      <c r="AH675" s="0" t="s">
        <v>5238</v>
      </c>
      <c r="AI675" s="0" t="s">
        <v>3651</v>
      </c>
      <c r="AJ675" s="0" t="s">
        <v>5250</v>
      </c>
      <c r="AK675" s="0" t="s">
        <v>3808</v>
      </c>
      <c r="AL675" s="0" t="s">
        <v>5125</v>
      </c>
      <c r="AN675" s="0" t="s">
        <v>3563</v>
      </c>
      <c r="AO675" s="0" t="s">
        <v>5251</v>
      </c>
      <c r="AP675" s="0" t="s">
        <v>228</v>
      </c>
      <c r="AQ675" s="0" t="s">
        <v>228</v>
      </c>
      <c r="AR675" s="0" t="s">
        <v>228</v>
      </c>
      <c r="AS675" s="0" t="s">
        <v>228</v>
      </c>
      <c r="AT675" s="0" t="s">
        <v>228</v>
      </c>
      <c r="AU675" s="0" t="s">
        <v>228</v>
      </c>
      <c r="AV675" s="0" t="s">
        <v>228</v>
      </c>
      <c r="AW675" s="0" t="s">
        <v>228</v>
      </c>
      <c r="AX675" s="0" t="s">
        <v>228</v>
      </c>
      <c r="AY675" s="0" t="s">
        <v>228</v>
      </c>
      <c r="AZ675" s="0" t="s">
        <v>228</v>
      </c>
      <c r="BA675" s="0" t="s">
        <v>228</v>
      </c>
      <c r="BB675" s="0" t="s">
        <v>228</v>
      </c>
      <c r="BC675" s="0" t="s">
        <v>228</v>
      </c>
      <c r="BD675" s="0" t="s">
        <v>228</v>
      </c>
      <c r="BE675" s="0" t="s">
        <v>228</v>
      </c>
      <c r="BF675" s="0" t="s">
        <v>228</v>
      </c>
      <c r="BG675" s="0" t="s">
        <v>228</v>
      </c>
      <c r="BH675" s="0" t="s">
        <v>228</v>
      </c>
      <c r="BI675" s="0" t="s">
        <v>228</v>
      </c>
      <c r="BJ675" s="0" t="s">
        <v>228</v>
      </c>
      <c r="BK675" s="0" t="s">
        <v>228</v>
      </c>
      <c r="BL675" s="0" t="s">
        <v>228</v>
      </c>
      <c r="BM675" s="0" t="s">
        <v>228</v>
      </c>
      <c r="BN675" s="0" t="s">
        <v>228</v>
      </c>
      <c r="BO675" s="0" t="s">
        <v>228</v>
      </c>
      <c r="BP675" s="0" t="s">
        <v>228</v>
      </c>
      <c r="BQ675" s="0" t="s">
        <v>228</v>
      </c>
      <c r="BR675" s="0" t="s">
        <v>228</v>
      </c>
      <c r="BS675" s="0" t="s">
        <v>228</v>
      </c>
      <c r="BT675" s="0" t="s">
        <v>228</v>
      </c>
      <c r="CS675" s="0" t="s">
        <v>228</v>
      </c>
      <c r="CT675" s="0" t="s">
        <v>3568</v>
      </c>
      <c r="CU675" s="0" t="s">
        <v>3569</v>
      </c>
      <c r="CV675" s="0" t="s">
        <v>418</v>
      </c>
      <c r="CW675" s="0" t="s">
        <v>3656</v>
      </c>
      <c r="CX675" s="0" t="s">
        <v>419</v>
      </c>
      <c r="CY675" s="0" t="s">
        <v>418</v>
      </c>
      <c r="CZ675" s="0" t="s">
        <v>3657</v>
      </c>
      <c r="DA675" s="0" t="s">
        <v>3658</v>
      </c>
      <c r="DB675" s="0" t="s">
        <v>3656</v>
      </c>
      <c r="DC675" s="0" t="s">
        <v>362</v>
      </c>
      <c r="DD675" s="0" t="s">
        <v>282</v>
      </c>
      <c r="DE675" s="0" t="s">
        <v>5252</v>
      </c>
    </row>
    <row customHeight="1" ht="11.25">
      <c r="A676" s="1353" t="s">
        <v>228</v>
      </c>
      <c r="B676" s="0" t="s">
        <v>228</v>
      </c>
      <c r="C676" s="0" t="s">
        <v>228</v>
      </c>
      <c r="D676" s="0" t="s">
        <v>228</v>
      </c>
      <c r="E676" s="0" t="s">
        <v>228</v>
      </c>
      <c r="F676" s="0" t="s">
        <v>228</v>
      </c>
      <c r="G676" s="0" t="s">
        <v>228</v>
      </c>
      <c r="H676" s="0" t="s">
        <v>228</v>
      </c>
      <c r="I676" s="0" t="s">
        <v>5119</v>
      </c>
      <c r="J676" s="0" t="s">
        <v>228</v>
      </c>
      <c r="K676" s="0" t="s">
        <v>228</v>
      </c>
      <c r="L676" s="0" t="s">
        <v>228</v>
      </c>
      <c r="M676" s="0" t="s">
        <v>228</v>
      </c>
      <c r="N676" s="0" t="s">
        <v>228</v>
      </c>
      <c r="O676" s="0" t="s">
        <v>228</v>
      </c>
      <c r="P676" s="0" t="s">
        <v>228</v>
      </c>
      <c r="Q676" s="0" t="s">
        <v>228</v>
      </c>
      <c r="R676" s="0" t="s">
        <v>4945</v>
      </c>
      <c r="S676" s="0" t="s">
        <v>228</v>
      </c>
      <c r="T676" s="0" t="s">
        <v>228</v>
      </c>
      <c r="U676" s="0" t="s">
        <v>101</v>
      </c>
      <c r="V676" s="0" t="s">
        <v>228</v>
      </c>
      <c r="W676" s="0" t="s">
        <v>228</v>
      </c>
      <c r="X676" s="0" t="s">
        <v>3661</v>
      </c>
      <c r="Y676" s="0" t="s">
        <v>228</v>
      </c>
      <c r="Z676" s="0" t="s">
        <v>151</v>
      </c>
      <c r="AA676" s="0" t="s">
        <v>151</v>
      </c>
      <c r="AB676" s="0" t="s">
        <v>160</v>
      </c>
      <c r="AC676" s="0" t="s">
        <v>2721</v>
      </c>
      <c r="AD676" s="0" t="s">
        <v>2721</v>
      </c>
      <c r="AE676" s="0" t="s">
        <v>2722</v>
      </c>
      <c r="AF676" s="0" t="s">
        <v>4024</v>
      </c>
      <c r="AG676" s="0" t="s">
        <v>4025</v>
      </c>
      <c r="AH676" s="0" t="s">
        <v>4146</v>
      </c>
      <c r="AI676" s="0" t="s">
        <v>3608</v>
      </c>
      <c r="AJ676" s="0" t="s">
        <v>228</v>
      </c>
      <c r="AK676" s="0" t="s">
        <v>228</v>
      </c>
      <c r="AL676" s="0" t="s">
        <v>228</v>
      </c>
      <c r="AN676" s="0" t="s">
        <v>228</v>
      </c>
      <c r="AO676" s="0" t="s">
        <v>228</v>
      </c>
      <c r="AP676" s="0" t="s">
        <v>228</v>
      </c>
      <c r="AQ676" s="0" t="s">
        <v>228</v>
      </c>
      <c r="AR676" s="0" t="s">
        <v>228</v>
      </c>
      <c r="AS676" s="0" t="s">
        <v>228</v>
      </c>
      <c r="AT676" s="0" t="s">
        <v>228</v>
      </c>
      <c r="AU676" s="0" t="s">
        <v>228</v>
      </c>
      <c r="AV676" s="0" t="s">
        <v>228</v>
      </c>
      <c r="AW676" s="0" t="s">
        <v>228</v>
      </c>
      <c r="AX676" s="0" t="s">
        <v>228</v>
      </c>
      <c r="AY676" s="0" t="s">
        <v>228</v>
      </c>
      <c r="AZ676" s="0" t="s">
        <v>228</v>
      </c>
      <c r="BA676" s="0" t="s">
        <v>228</v>
      </c>
      <c r="BB676" s="0" t="s">
        <v>228</v>
      </c>
      <c r="BC676" s="0" t="s">
        <v>228</v>
      </c>
      <c r="BD676" s="0" t="s">
        <v>228</v>
      </c>
      <c r="BE676" s="0" t="s">
        <v>5253</v>
      </c>
      <c r="BF676" s="0" t="s">
        <v>5254</v>
      </c>
      <c r="BG676" s="0" t="s">
        <v>111</v>
      </c>
      <c r="BH676" s="0" t="s">
        <v>3665</v>
      </c>
      <c r="BI676" s="0" t="s">
        <v>122</v>
      </c>
      <c r="BJ676" s="0" t="s">
        <v>228</v>
      </c>
      <c r="BK676" s="0" t="s">
        <v>5255</v>
      </c>
      <c r="BL676" s="0" t="s">
        <v>2721</v>
      </c>
      <c r="BM676" s="0" t="s">
        <v>2721</v>
      </c>
      <c r="BN676" s="0" t="s">
        <v>4149</v>
      </c>
      <c r="BO676" s="0" t="s">
        <v>4024</v>
      </c>
      <c r="BP676" s="0" t="s">
        <v>4150</v>
      </c>
      <c r="BQ676" s="0" t="s">
        <v>4146</v>
      </c>
      <c r="BR676" s="0" t="s">
        <v>3608</v>
      </c>
      <c r="BS676" s="0" t="s">
        <v>228</v>
      </c>
      <c r="BT676" s="0" t="s">
        <v>3670</v>
      </c>
      <c r="CS676" s="0" t="s">
        <v>3628</v>
      </c>
      <c r="CT676" s="0" t="s">
        <v>3568</v>
      </c>
      <c r="CU676" s="0" t="s">
        <v>3569</v>
      </c>
      <c r="CV676" s="0" t="s">
        <v>4030</v>
      </c>
      <c r="CW676" s="0" t="s">
        <v>4031</v>
      </c>
      <c r="CX676" s="0" t="s">
        <v>3603</v>
      </c>
      <c r="CY676" s="0" t="s">
        <v>4030</v>
      </c>
      <c r="CZ676" s="0" t="s">
        <v>5138</v>
      </c>
      <c r="DA676" s="0" t="s">
        <v>4032</v>
      </c>
      <c r="DB676" s="0" t="s">
        <v>4031</v>
      </c>
      <c r="DC676" s="0" t="s">
        <v>362</v>
      </c>
      <c r="DD676" s="0" t="s">
        <v>282</v>
      </c>
      <c r="DE676" s="0" t="s">
        <v>5216</v>
      </c>
    </row>
    <row customHeight="1" ht="11.25">
      <c r="A677" s="1353" t="s">
        <v>228</v>
      </c>
      <c r="B677" s="0" t="s">
        <v>228</v>
      </c>
      <c r="C677" s="0" t="s">
        <v>228</v>
      </c>
      <c r="D677" s="0" t="s">
        <v>228</v>
      </c>
      <c r="E677" s="0" t="s">
        <v>228</v>
      </c>
      <c r="F677" s="0" t="s">
        <v>228</v>
      </c>
      <c r="G677" s="0" t="s">
        <v>228</v>
      </c>
      <c r="H677" s="0" t="s">
        <v>228</v>
      </c>
      <c r="I677" s="0" t="s">
        <v>5119</v>
      </c>
      <c r="J677" s="0" t="s">
        <v>228</v>
      </c>
      <c r="K677" s="0" t="s">
        <v>228</v>
      </c>
      <c r="L677" s="0" t="s">
        <v>228</v>
      </c>
      <c r="M677" s="0" t="s">
        <v>228</v>
      </c>
      <c r="N677" s="0" t="s">
        <v>228</v>
      </c>
      <c r="O677" s="0" t="s">
        <v>228</v>
      </c>
      <c r="P677" s="0" t="s">
        <v>228</v>
      </c>
      <c r="Q677" s="0" t="s">
        <v>228</v>
      </c>
      <c r="R677" s="0" t="s">
        <v>5256</v>
      </c>
      <c r="S677" s="0" t="s">
        <v>228</v>
      </c>
      <c r="T677" s="0" t="s">
        <v>228</v>
      </c>
      <c r="U677" s="0" t="s">
        <v>101</v>
      </c>
      <c r="V677" s="0" t="s">
        <v>228</v>
      </c>
      <c r="W677" s="0" t="s">
        <v>228</v>
      </c>
      <c r="X677" s="0" t="s">
        <v>5121</v>
      </c>
      <c r="Y677" s="0" t="s">
        <v>228</v>
      </c>
      <c r="Z677" s="0" t="s">
        <v>160</v>
      </c>
      <c r="AA677" s="0" t="s">
        <v>151</v>
      </c>
      <c r="AB677" s="0" t="s">
        <v>151</v>
      </c>
      <c r="AC677" s="0" t="s">
        <v>2715</v>
      </c>
      <c r="AD677" s="0" t="s">
        <v>2715</v>
      </c>
      <c r="AE677" s="0" t="s">
        <v>2716</v>
      </c>
      <c r="AF677" s="0" t="s">
        <v>3594</v>
      </c>
      <c r="AG677" s="0" t="s">
        <v>3595</v>
      </c>
      <c r="AH677" s="0" t="s">
        <v>5257</v>
      </c>
      <c r="AI677" s="0" t="s">
        <v>3608</v>
      </c>
      <c r="AJ677" s="0" t="s">
        <v>5258</v>
      </c>
      <c r="AK677" s="0" t="s">
        <v>5259</v>
      </c>
      <c r="AL677" s="0" t="s">
        <v>5125</v>
      </c>
      <c r="AN677" s="0" t="s">
        <v>5260</v>
      </c>
      <c r="AO677" s="0" t="s">
        <v>5261</v>
      </c>
      <c r="AP677" s="0" t="s">
        <v>228</v>
      </c>
      <c r="AQ677" s="0" t="s">
        <v>228</v>
      </c>
      <c r="AR677" s="0" t="s">
        <v>228</v>
      </c>
      <c r="AS677" s="0" t="s">
        <v>228</v>
      </c>
      <c r="AT677" s="0" t="s">
        <v>228</v>
      </c>
      <c r="AU677" s="0" t="s">
        <v>228</v>
      </c>
      <c r="AV677" s="0" t="s">
        <v>228</v>
      </c>
      <c r="AW677" s="0" t="s">
        <v>228</v>
      </c>
      <c r="AX677" s="0" t="s">
        <v>228</v>
      </c>
      <c r="AY677" s="0" t="s">
        <v>228</v>
      </c>
      <c r="AZ677" s="0" t="s">
        <v>228</v>
      </c>
      <c r="BA677" s="0" t="s">
        <v>228</v>
      </c>
      <c r="BB677" s="0" t="s">
        <v>228</v>
      </c>
      <c r="BC677" s="0" t="s">
        <v>228</v>
      </c>
      <c r="BD677" s="0" t="s">
        <v>228</v>
      </c>
      <c r="BE677" s="0" t="s">
        <v>228</v>
      </c>
      <c r="BF677" s="0" t="s">
        <v>228</v>
      </c>
      <c r="BG677" s="0" t="s">
        <v>228</v>
      </c>
      <c r="BH677" s="0" t="s">
        <v>228</v>
      </c>
      <c r="BI677" s="0" t="s">
        <v>228</v>
      </c>
      <c r="BJ677" s="0" t="s">
        <v>228</v>
      </c>
      <c r="BK677" s="0" t="s">
        <v>228</v>
      </c>
      <c r="BL677" s="0" t="s">
        <v>228</v>
      </c>
      <c r="BM677" s="0" t="s">
        <v>228</v>
      </c>
      <c r="BN677" s="0" t="s">
        <v>228</v>
      </c>
      <c r="BO677" s="0" t="s">
        <v>228</v>
      </c>
      <c r="BP677" s="0" t="s">
        <v>228</v>
      </c>
      <c r="BQ677" s="0" t="s">
        <v>228</v>
      </c>
      <c r="BR677" s="0" t="s">
        <v>228</v>
      </c>
      <c r="BS677" s="0" t="s">
        <v>228</v>
      </c>
      <c r="BT677" s="0" t="s">
        <v>228</v>
      </c>
      <c r="CS677" s="0" t="s">
        <v>228</v>
      </c>
      <c r="CT677" s="0" t="s">
        <v>3568</v>
      </c>
      <c r="CU677" s="0" t="s">
        <v>3569</v>
      </c>
      <c r="CV677" s="0" t="s">
        <v>418</v>
      </c>
      <c r="CW677" s="0" t="s">
        <v>3602</v>
      </c>
      <c r="CX677" s="0" t="s">
        <v>3603</v>
      </c>
      <c r="CY677" s="0" t="s">
        <v>418</v>
      </c>
      <c r="CZ677" s="0" t="s">
        <v>504</v>
      </c>
      <c r="DA677" s="0" t="s">
        <v>3604</v>
      </c>
      <c r="DB677" s="0" t="s">
        <v>3602</v>
      </c>
      <c r="DC677" s="0" t="s">
        <v>362</v>
      </c>
      <c r="DD677" s="0" t="s">
        <v>282</v>
      </c>
      <c r="DE677" s="0" t="s">
        <v>5262</v>
      </c>
    </row>
    <row customHeight="1" ht="11.25">
      <c r="A678" s="1353" t="s">
        <v>228</v>
      </c>
      <c r="B678" s="0" t="s">
        <v>228</v>
      </c>
      <c r="C678" s="0" t="s">
        <v>228</v>
      </c>
      <c r="D678" s="0" t="s">
        <v>228</v>
      </c>
      <c r="E678" s="0" t="s">
        <v>228</v>
      </c>
      <c r="F678" s="0" t="s">
        <v>228</v>
      </c>
      <c r="G678" s="0" t="s">
        <v>228</v>
      </c>
      <c r="H678" s="0" t="s">
        <v>228</v>
      </c>
      <c r="I678" s="0" t="s">
        <v>5119</v>
      </c>
      <c r="J678" s="0" t="s">
        <v>228</v>
      </c>
      <c r="K678" s="0" t="s">
        <v>228</v>
      </c>
      <c r="L678" s="0" t="s">
        <v>228</v>
      </c>
      <c r="M678" s="0" t="s">
        <v>228</v>
      </c>
      <c r="N678" s="0" t="s">
        <v>228</v>
      </c>
      <c r="O678" s="0" t="s">
        <v>228</v>
      </c>
      <c r="P678" s="0" t="s">
        <v>228</v>
      </c>
      <c r="Q678" s="0" t="s">
        <v>228</v>
      </c>
      <c r="R678" s="0" t="s">
        <v>4145</v>
      </c>
      <c r="S678" s="0" t="s">
        <v>228</v>
      </c>
      <c r="T678" s="0" t="s">
        <v>228</v>
      </c>
      <c r="U678" s="0" t="s">
        <v>101</v>
      </c>
      <c r="V678" s="0" t="s">
        <v>228</v>
      </c>
      <c r="W678" s="0" t="s">
        <v>228</v>
      </c>
      <c r="X678" s="0" t="s">
        <v>3661</v>
      </c>
      <c r="Y678" s="0" t="s">
        <v>228</v>
      </c>
      <c r="Z678" s="0" t="s">
        <v>151</v>
      </c>
      <c r="AA678" s="0" t="s">
        <v>151</v>
      </c>
      <c r="AB678" s="0" t="s">
        <v>160</v>
      </c>
      <c r="AC678" s="0" t="s">
        <v>2721</v>
      </c>
      <c r="AD678" s="0" t="s">
        <v>2721</v>
      </c>
      <c r="AE678" s="0" t="s">
        <v>2722</v>
      </c>
      <c r="AF678" s="0" t="s">
        <v>4024</v>
      </c>
      <c r="AG678" s="0" t="s">
        <v>4025</v>
      </c>
      <c r="AH678" s="0" t="s">
        <v>4146</v>
      </c>
      <c r="AI678" s="0" t="s">
        <v>3608</v>
      </c>
      <c r="AJ678" s="0" t="s">
        <v>228</v>
      </c>
      <c r="AK678" s="0" t="s">
        <v>228</v>
      </c>
      <c r="AL678" s="0" t="s">
        <v>228</v>
      </c>
      <c r="AN678" s="0" t="s">
        <v>228</v>
      </c>
      <c r="AO678" s="0" t="s">
        <v>228</v>
      </c>
      <c r="AP678" s="0" t="s">
        <v>228</v>
      </c>
      <c r="AQ678" s="0" t="s">
        <v>228</v>
      </c>
      <c r="AR678" s="0" t="s">
        <v>228</v>
      </c>
      <c r="AS678" s="0" t="s">
        <v>228</v>
      </c>
      <c r="AT678" s="0" t="s">
        <v>228</v>
      </c>
      <c r="AU678" s="0" t="s">
        <v>228</v>
      </c>
      <c r="AV678" s="0" t="s">
        <v>228</v>
      </c>
      <c r="AW678" s="0" t="s">
        <v>228</v>
      </c>
      <c r="AX678" s="0" t="s">
        <v>228</v>
      </c>
      <c r="AY678" s="0" t="s">
        <v>228</v>
      </c>
      <c r="AZ678" s="0" t="s">
        <v>228</v>
      </c>
      <c r="BA678" s="0" t="s">
        <v>228</v>
      </c>
      <c r="BB678" s="0" t="s">
        <v>228</v>
      </c>
      <c r="BC678" s="0" t="s">
        <v>228</v>
      </c>
      <c r="BD678" s="0" t="s">
        <v>228</v>
      </c>
      <c r="BE678" s="0" t="s">
        <v>5263</v>
      </c>
      <c r="BF678" s="0" t="s">
        <v>5264</v>
      </c>
      <c r="BG678" s="0" t="s">
        <v>111</v>
      </c>
      <c r="BH678" s="0" t="s">
        <v>3665</v>
      </c>
      <c r="BI678" s="0" t="s">
        <v>122</v>
      </c>
      <c r="BJ678" s="0" t="s">
        <v>228</v>
      </c>
      <c r="BK678" s="0" t="s">
        <v>151</v>
      </c>
      <c r="BL678" s="0" t="s">
        <v>2721</v>
      </c>
      <c r="BM678" s="0" t="s">
        <v>2721</v>
      </c>
      <c r="BN678" s="0" t="s">
        <v>4149</v>
      </c>
      <c r="BO678" s="0" t="s">
        <v>4024</v>
      </c>
      <c r="BP678" s="0" t="s">
        <v>4150</v>
      </c>
      <c r="BQ678" s="0" t="s">
        <v>4146</v>
      </c>
      <c r="BR678" s="0" t="s">
        <v>3608</v>
      </c>
      <c r="BS678" s="0" t="s">
        <v>228</v>
      </c>
      <c r="BT678" s="0" t="s">
        <v>3670</v>
      </c>
      <c r="CS678" s="0" t="s">
        <v>3628</v>
      </c>
      <c r="CT678" s="0" t="s">
        <v>3568</v>
      </c>
      <c r="CU678" s="0" t="s">
        <v>3569</v>
      </c>
      <c r="CV678" s="0" t="s">
        <v>4030</v>
      </c>
      <c r="CW678" s="0" t="s">
        <v>4031</v>
      </c>
      <c r="CX678" s="0" t="s">
        <v>3603</v>
      </c>
      <c r="CY678" s="0" t="s">
        <v>4030</v>
      </c>
      <c r="CZ678" s="0" t="s">
        <v>5138</v>
      </c>
      <c r="DA678" s="0" t="s">
        <v>4032</v>
      </c>
      <c r="DB678" s="0" t="s">
        <v>4031</v>
      </c>
      <c r="DC678" s="0" t="s">
        <v>362</v>
      </c>
      <c r="DD678" s="0" t="s">
        <v>282</v>
      </c>
      <c r="DE678" s="0" t="s">
        <v>5216</v>
      </c>
    </row>
    <row customHeight="1" ht="11.25">
      <c r="A679" s="1353" t="s">
        <v>228</v>
      </c>
      <c r="B679" s="0" t="s">
        <v>228</v>
      </c>
      <c r="C679" s="0" t="s">
        <v>228</v>
      </c>
      <c r="D679" s="0" t="s">
        <v>228</v>
      </c>
      <c r="E679" s="0" t="s">
        <v>228</v>
      </c>
      <c r="F679" s="0" t="s">
        <v>228</v>
      </c>
      <c r="G679" s="0" t="s">
        <v>228</v>
      </c>
      <c r="H679" s="0" t="s">
        <v>228</v>
      </c>
      <c r="I679" s="0" t="s">
        <v>5119</v>
      </c>
      <c r="J679" s="0" t="s">
        <v>228</v>
      </c>
      <c r="K679" s="0" t="s">
        <v>228</v>
      </c>
      <c r="L679" s="0" t="s">
        <v>228</v>
      </c>
      <c r="M679" s="0" t="s">
        <v>228</v>
      </c>
      <c r="N679" s="0" t="s">
        <v>228</v>
      </c>
      <c r="O679" s="0" t="s">
        <v>228</v>
      </c>
      <c r="P679" s="0" t="s">
        <v>228</v>
      </c>
      <c r="Q679" s="0" t="s">
        <v>228</v>
      </c>
      <c r="R679" s="0" t="s">
        <v>5237</v>
      </c>
      <c r="S679" s="0" t="s">
        <v>228</v>
      </c>
      <c r="T679" s="0" t="s">
        <v>228</v>
      </c>
      <c r="U679" s="0" t="s">
        <v>101</v>
      </c>
      <c r="V679" s="0" t="s">
        <v>228</v>
      </c>
      <c r="W679" s="0" t="s">
        <v>228</v>
      </c>
      <c r="X679" s="0" t="s">
        <v>5121</v>
      </c>
      <c r="Y679" s="0" t="s">
        <v>228</v>
      </c>
      <c r="Z679" s="0" t="s">
        <v>160</v>
      </c>
      <c r="AA679" s="0" t="s">
        <v>151</v>
      </c>
      <c r="AB679" s="0" t="s">
        <v>151</v>
      </c>
      <c r="AC679" s="0" t="s">
        <v>2311</v>
      </c>
      <c r="AD679" s="0" t="s">
        <v>2311</v>
      </c>
      <c r="AE679" s="0" t="s">
        <v>2312</v>
      </c>
      <c r="AF679" s="0" t="s">
        <v>4034</v>
      </c>
      <c r="AG679" s="0" t="s">
        <v>4035</v>
      </c>
      <c r="AH679" s="0" t="s">
        <v>5238</v>
      </c>
      <c r="AI679" s="0" t="s">
        <v>3608</v>
      </c>
      <c r="AJ679" s="0" t="s">
        <v>5265</v>
      </c>
      <c r="AK679" s="0" t="s">
        <v>3563</v>
      </c>
      <c r="AL679" s="0" t="s">
        <v>5125</v>
      </c>
      <c r="AN679" s="0" t="s">
        <v>3582</v>
      </c>
      <c r="AO679" s="0" t="s">
        <v>5266</v>
      </c>
      <c r="AP679" s="0" t="s">
        <v>228</v>
      </c>
      <c r="AQ679" s="0" t="s">
        <v>228</v>
      </c>
      <c r="AR679" s="0" t="s">
        <v>228</v>
      </c>
      <c r="AS679" s="0" t="s">
        <v>228</v>
      </c>
      <c r="AT679" s="0" t="s">
        <v>228</v>
      </c>
      <c r="AU679" s="0" t="s">
        <v>228</v>
      </c>
      <c r="AV679" s="0" t="s">
        <v>228</v>
      </c>
      <c r="AW679" s="0" t="s">
        <v>228</v>
      </c>
      <c r="AX679" s="0" t="s">
        <v>228</v>
      </c>
      <c r="AY679" s="0" t="s">
        <v>228</v>
      </c>
      <c r="AZ679" s="0" t="s">
        <v>228</v>
      </c>
      <c r="BA679" s="0" t="s">
        <v>228</v>
      </c>
      <c r="BB679" s="0" t="s">
        <v>228</v>
      </c>
      <c r="BC679" s="0" t="s">
        <v>228</v>
      </c>
      <c r="BD679" s="0" t="s">
        <v>228</v>
      </c>
      <c r="BE679" s="0" t="s">
        <v>228</v>
      </c>
      <c r="BF679" s="0" t="s">
        <v>228</v>
      </c>
      <c r="BG679" s="0" t="s">
        <v>228</v>
      </c>
      <c r="BH679" s="0" t="s">
        <v>228</v>
      </c>
      <c r="BI679" s="0" t="s">
        <v>228</v>
      </c>
      <c r="BJ679" s="0" t="s">
        <v>228</v>
      </c>
      <c r="BK679" s="0" t="s">
        <v>228</v>
      </c>
      <c r="BL679" s="0" t="s">
        <v>228</v>
      </c>
      <c r="BM679" s="0" t="s">
        <v>228</v>
      </c>
      <c r="BN679" s="0" t="s">
        <v>228</v>
      </c>
      <c r="BO679" s="0" t="s">
        <v>228</v>
      </c>
      <c r="BP679" s="0" t="s">
        <v>228</v>
      </c>
      <c r="BQ679" s="0" t="s">
        <v>228</v>
      </c>
      <c r="BR679" s="0" t="s">
        <v>228</v>
      </c>
      <c r="BS679" s="0" t="s">
        <v>228</v>
      </c>
      <c r="BT679" s="0" t="s">
        <v>228</v>
      </c>
      <c r="CS679" s="0" t="s">
        <v>228</v>
      </c>
      <c r="CT679" s="0" t="s">
        <v>3568</v>
      </c>
      <c r="CU679" s="0" t="s">
        <v>3569</v>
      </c>
      <c r="CV679" s="0" t="s">
        <v>418</v>
      </c>
      <c r="CW679" s="0" t="s">
        <v>3584</v>
      </c>
      <c r="CX679" s="0" t="s">
        <v>419</v>
      </c>
      <c r="CY679" s="0" t="s">
        <v>418</v>
      </c>
      <c r="CZ679" s="0" t="s">
        <v>3585</v>
      </c>
      <c r="DA679" s="0" t="s">
        <v>3586</v>
      </c>
      <c r="DB679" s="0" t="s">
        <v>3584</v>
      </c>
      <c r="DC679" s="0" t="s">
        <v>362</v>
      </c>
      <c r="DD679" s="0" t="s">
        <v>282</v>
      </c>
      <c r="DE679" s="0" t="s">
        <v>5267</v>
      </c>
    </row>
    <row customHeight="1" ht="11.25">
      <c r="A680" s="1353" t="s">
        <v>228</v>
      </c>
      <c r="B680" s="0" t="s">
        <v>228</v>
      </c>
      <c r="C680" s="0" t="s">
        <v>228</v>
      </c>
      <c r="D680" s="0" t="s">
        <v>228</v>
      </c>
      <c r="E680" s="0" t="s">
        <v>228</v>
      </c>
      <c r="F680" s="0" t="s">
        <v>228</v>
      </c>
      <c r="G680" s="0" t="s">
        <v>228</v>
      </c>
      <c r="H680" s="0" t="s">
        <v>228</v>
      </c>
      <c r="I680" s="0" t="s">
        <v>5119</v>
      </c>
      <c r="J680" s="0" t="s">
        <v>228</v>
      </c>
      <c r="K680" s="0" t="s">
        <v>228</v>
      </c>
      <c r="L680" s="0" t="s">
        <v>228</v>
      </c>
      <c r="M680" s="0" t="s">
        <v>228</v>
      </c>
      <c r="N680" s="0" t="s">
        <v>228</v>
      </c>
      <c r="O680" s="0" t="s">
        <v>228</v>
      </c>
      <c r="P680" s="0" t="s">
        <v>228</v>
      </c>
      <c r="Q680" s="0" t="s">
        <v>228</v>
      </c>
      <c r="R680" s="0" t="s">
        <v>5268</v>
      </c>
      <c r="S680" s="0" t="s">
        <v>228</v>
      </c>
      <c r="T680" s="0" t="s">
        <v>228</v>
      </c>
      <c r="U680" s="0" t="s">
        <v>101</v>
      </c>
      <c r="V680" s="0" t="s">
        <v>228</v>
      </c>
      <c r="W680" s="0" t="s">
        <v>228</v>
      </c>
      <c r="X680" s="0" t="s">
        <v>5121</v>
      </c>
      <c r="Y680" s="0" t="s">
        <v>228</v>
      </c>
      <c r="Z680" s="0" t="s">
        <v>160</v>
      </c>
      <c r="AA680" s="0" t="s">
        <v>151</v>
      </c>
      <c r="AB680" s="0" t="s">
        <v>151</v>
      </c>
      <c r="AC680" s="0" t="s">
        <v>2311</v>
      </c>
      <c r="AD680" s="0" t="s">
        <v>2311</v>
      </c>
      <c r="AE680" s="0" t="s">
        <v>2312</v>
      </c>
      <c r="AF680" s="0" t="s">
        <v>4034</v>
      </c>
      <c r="AG680" s="0" t="s">
        <v>4035</v>
      </c>
      <c r="AH680" s="0" t="s">
        <v>5269</v>
      </c>
      <c r="AI680" s="0" t="s">
        <v>3608</v>
      </c>
      <c r="AJ680" s="0" t="s">
        <v>4028</v>
      </c>
      <c r="AK680" s="0" t="s">
        <v>5270</v>
      </c>
      <c r="AL680" s="0" t="s">
        <v>5125</v>
      </c>
      <c r="AN680" s="0" t="s">
        <v>3582</v>
      </c>
      <c r="AO680" s="0" t="s">
        <v>5271</v>
      </c>
      <c r="AP680" s="0" t="s">
        <v>228</v>
      </c>
      <c r="AQ680" s="0" t="s">
        <v>228</v>
      </c>
      <c r="AR680" s="0" t="s">
        <v>228</v>
      </c>
      <c r="AS680" s="0" t="s">
        <v>228</v>
      </c>
      <c r="AT680" s="0" t="s">
        <v>228</v>
      </c>
      <c r="AU680" s="0" t="s">
        <v>228</v>
      </c>
      <c r="AV680" s="0" t="s">
        <v>228</v>
      </c>
      <c r="AW680" s="0" t="s">
        <v>228</v>
      </c>
      <c r="AX680" s="0" t="s">
        <v>228</v>
      </c>
      <c r="AY680" s="0" t="s">
        <v>228</v>
      </c>
      <c r="AZ680" s="0" t="s">
        <v>228</v>
      </c>
      <c r="BA680" s="0" t="s">
        <v>228</v>
      </c>
      <c r="BB680" s="0" t="s">
        <v>228</v>
      </c>
      <c r="BC680" s="0" t="s">
        <v>228</v>
      </c>
      <c r="BD680" s="0" t="s">
        <v>228</v>
      </c>
      <c r="BE680" s="0" t="s">
        <v>228</v>
      </c>
      <c r="BF680" s="0" t="s">
        <v>228</v>
      </c>
      <c r="BG680" s="0" t="s">
        <v>228</v>
      </c>
      <c r="BH680" s="0" t="s">
        <v>228</v>
      </c>
      <c r="BI680" s="0" t="s">
        <v>228</v>
      </c>
      <c r="BJ680" s="0" t="s">
        <v>228</v>
      </c>
      <c r="BK680" s="0" t="s">
        <v>228</v>
      </c>
      <c r="BL680" s="0" t="s">
        <v>228</v>
      </c>
      <c r="BM680" s="0" t="s">
        <v>228</v>
      </c>
      <c r="BN680" s="0" t="s">
        <v>228</v>
      </c>
      <c r="BO680" s="0" t="s">
        <v>228</v>
      </c>
      <c r="BP680" s="0" t="s">
        <v>228</v>
      </c>
      <c r="BQ680" s="0" t="s">
        <v>228</v>
      </c>
      <c r="BR680" s="0" t="s">
        <v>228</v>
      </c>
      <c r="BS680" s="0" t="s">
        <v>228</v>
      </c>
      <c r="BT680" s="0" t="s">
        <v>228</v>
      </c>
      <c r="CS680" s="0" t="s">
        <v>228</v>
      </c>
      <c r="CT680" s="0" t="s">
        <v>3568</v>
      </c>
      <c r="CU680" s="0" t="s">
        <v>3569</v>
      </c>
      <c r="CV680" s="0" t="s">
        <v>418</v>
      </c>
      <c r="CW680" s="0" t="s">
        <v>3584</v>
      </c>
      <c r="CX680" s="0" t="s">
        <v>419</v>
      </c>
      <c r="CY680" s="0" t="s">
        <v>418</v>
      </c>
      <c r="CZ680" s="0" t="s">
        <v>3585</v>
      </c>
      <c r="DA680" s="0" t="s">
        <v>3586</v>
      </c>
      <c r="DB680" s="0" t="s">
        <v>3584</v>
      </c>
      <c r="DC680" s="0" t="s">
        <v>362</v>
      </c>
      <c r="DD680" s="0" t="s">
        <v>282</v>
      </c>
      <c r="DE680" s="0" t="s">
        <v>5272</v>
      </c>
    </row>
    <row customHeight="1" ht="11.25">
      <c r="A681" s="1353" t="s">
        <v>228</v>
      </c>
      <c r="B681" s="0" t="s">
        <v>228</v>
      </c>
      <c r="C681" s="0" t="s">
        <v>228</v>
      </c>
      <c r="D681" s="0" t="s">
        <v>228</v>
      </c>
      <c r="E681" s="0" t="s">
        <v>228</v>
      </c>
      <c r="F681" s="0" t="s">
        <v>228</v>
      </c>
      <c r="G681" s="0" t="s">
        <v>228</v>
      </c>
      <c r="H681" s="0" t="s">
        <v>228</v>
      </c>
      <c r="I681" s="0" t="s">
        <v>5119</v>
      </c>
      <c r="J681" s="0" t="s">
        <v>228</v>
      </c>
      <c r="K681" s="0" t="s">
        <v>228</v>
      </c>
      <c r="L681" s="0" t="s">
        <v>228</v>
      </c>
      <c r="M681" s="0" t="s">
        <v>228</v>
      </c>
      <c r="N681" s="0" t="s">
        <v>228</v>
      </c>
      <c r="O681" s="0" t="s">
        <v>228</v>
      </c>
      <c r="P681" s="0" t="s">
        <v>228</v>
      </c>
      <c r="Q681" s="0" t="s">
        <v>228</v>
      </c>
      <c r="R681" s="0" t="s">
        <v>5273</v>
      </c>
      <c r="S681" s="0" t="s">
        <v>228</v>
      </c>
      <c r="T681" s="0" t="s">
        <v>228</v>
      </c>
      <c r="U681" s="0" t="s">
        <v>101</v>
      </c>
      <c r="V681" s="0" t="s">
        <v>228</v>
      </c>
      <c r="W681" s="0" t="s">
        <v>228</v>
      </c>
      <c r="X681" s="0" t="s">
        <v>5121</v>
      </c>
      <c r="Y681" s="0" t="s">
        <v>228</v>
      </c>
      <c r="Z681" s="0" t="s">
        <v>160</v>
      </c>
      <c r="AA681" s="0" t="s">
        <v>151</v>
      </c>
      <c r="AB681" s="0" t="s">
        <v>151</v>
      </c>
      <c r="AC681" s="0" t="s">
        <v>2315</v>
      </c>
      <c r="AD681" s="0" t="s">
        <v>2315</v>
      </c>
      <c r="AE681" s="0" t="s">
        <v>2316</v>
      </c>
      <c r="AF681" s="0" t="s">
        <v>4058</v>
      </c>
      <c r="AG681" s="0" t="s">
        <v>4059</v>
      </c>
      <c r="AH681" s="0" t="s">
        <v>5274</v>
      </c>
      <c r="AI681" s="0" t="s">
        <v>3651</v>
      </c>
      <c r="AJ681" s="0" t="s">
        <v>5250</v>
      </c>
      <c r="AK681" s="0" t="s">
        <v>5270</v>
      </c>
      <c r="AL681" s="0" t="s">
        <v>5125</v>
      </c>
      <c r="AN681" s="0" t="s">
        <v>3582</v>
      </c>
      <c r="AO681" s="0" t="s">
        <v>5275</v>
      </c>
      <c r="AP681" s="0" t="s">
        <v>228</v>
      </c>
      <c r="AQ681" s="0" t="s">
        <v>228</v>
      </c>
      <c r="AR681" s="0" t="s">
        <v>228</v>
      </c>
      <c r="AS681" s="0" t="s">
        <v>228</v>
      </c>
      <c r="AT681" s="0" t="s">
        <v>228</v>
      </c>
      <c r="AU681" s="0" t="s">
        <v>228</v>
      </c>
      <c r="AV681" s="0" t="s">
        <v>228</v>
      </c>
      <c r="AW681" s="0" t="s">
        <v>228</v>
      </c>
      <c r="AX681" s="0" t="s">
        <v>228</v>
      </c>
      <c r="AY681" s="0" t="s">
        <v>228</v>
      </c>
      <c r="AZ681" s="0" t="s">
        <v>228</v>
      </c>
      <c r="BA681" s="0" t="s">
        <v>228</v>
      </c>
      <c r="BB681" s="0" t="s">
        <v>228</v>
      </c>
      <c r="BC681" s="0" t="s">
        <v>228</v>
      </c>
      <c r="BD681" s="0" t="s">
        <v>228</v>
      </c>
      <c r="BE681" s="0" t="s">
        <v>228</v>
      </c>
      <c r="BF681" s="0" t="s">
        <v>228</v>
      </c>
      <c r="BG681" s="0" t="s">
        <v>228</v>
      </c>
      <c r="BH681" s="0" t="s">
        <v>228</v>
      </c>
      <c r="BI681" s="0" t="s">
        <v>228</v>
      </c>
      <c r="BJ681" s="0" t="s">
        <v>228</v>
      </c>
      <c r="BK681" s="0" t="s">
        <v>228</v>
      </c>
      <c r="BL681" s="0" t="s">
        <v>228</v>
      </c>
      <c r="BM681" s="0" t="s">
        <v>228</v>
      </c>
      <c r="BN681" s="0" t="s">
        <v>228</v>
      </c>
      <c r="BO681" s="0" t="s">
        <v>228</v>
      </c>
      <c r="BP681" s="0" t="s">
        <v>228</v>
      </c>
      <c r="BQ681" s="0" t="s">
        <v>228</v>
      </c>
      <c r="BR681" s="0" t="s">
        <v>228</v>
      </c>
      <c r="BS681" s="0" t="s">
        <v>228</v>
      </c>
      <c r="BT681" s="0" t="s">
        <v>228</v>
      </c>
      <c r="CS681" s="0" t="s">
        <v>228</v>
      </c>
      <c r="CT681" s="0" t="s">
        <v>3568</v>
      </c>
      <c r="CU681" s="0" t="s">
        <v>3569</v>
      </c>
      <c r="CV681" s="0" t="s">
        <v>418</v>
      </c>
      <c r="CW681" s="0" t="s">
        <v>3656</v>
      </c>
      <c r="CX681" s="0" t="s">
        <v>419</v>
      </c>
      <c r="CY681" s="0" t="s">
        <v>418</v>
      </c>
      <c r="CZ681" s="0" t="s">
        <v>3657</v>
      </c>
      <c r="DA681" s="0" t="s">
        <v>3658</v>
      </c>
      <c r="DB681" s="0" t="s">
        <v>3656</v>
      </c>
      <c r="DC681" s="0" t="s">
        <v>362</v>
      </c>
      <c r="DD681" s="0" t="s">
        <v>282</v>
      </c>
      <c r="DE681" s="0" t="s">
        <v>5276</v>
      </c>
    </row>
    <row customHeight="1" ht="11.25">
      <c r="A682" s="1353" t="s">
        <v>228</v>
      </c>
      <c r="B682" s="0" t="s">
        <v>228</v>
      </c>
      <c r="C682" s="0" t="s">
        <v>228</v>
      </c>
      <c r="D682" s="0" t="s">
        <v>228</v>
      </c>
      <c r="E682" s="0" t="s">
        <v>228</v>
      </c>
      <c r="F682" s="0" t="s">
        <v>228</v>
      </c>
      <c r="G682" s="0" t="s">
        <v>228</v>
      </c>
      <c r="H682" s="0" t="s">
        <v>228</v>
      </c>
      <c r="I682" s="0" t="s">
        <v>5119</v>
      </c>
      <c r="J682" s="0" t="s">
        <v>228</v>
      </c>
      <c r="K682" s="0" t="s">
        <v>228</v>
      </c>
      <c r="L682" s="0" t="s">
        <v>228</v>
      </c>
      <c r="M682" s="0" t="s">
        <v>228</v>
      </c>
      <c r="N682" s="0" t="s">
        <v>228</v>
      </c>
      <c r="O682" s="0" t="s">
        <v>228</v>
      </c>
      <c r="P682" s="0" t="s">
        <v>228</v>
      </c>
      <c r="Q682" s="0" t="s">
        <v>228</v>
      </c>
      <c r="R682" s="0" t="s">
        <v>5277</v>
      </c>
      <c r="S682" s="0" t="s">
        <v>228</v>
      </c>
      <c r="T682" s="0" t="s">
        <v>228</v>
      </c>
      <c r="U682" s="0" t="s">
        <v>101</v>
      </c>
      <c r="V682" s="0" t="s">
        <v>228</v>
      </c>
      <c r="W682" s="0" t="s">
        <v>228</v>
      </c>
      <c r="X682" s="0" t="s">
        <v>5121</v>
      </c>
      <c r="Y682" s="0" t="s">
        <v>228</v>
      </c>
      <c r="Z682" s="0" t="s">
        <v>160</v>
      </c>
      <c r="AA682" s="0" t="s">
        <v>151</v>
      </c>
      <c r="AB682" s="0" t="s">
        <v>151</v>
      </c>
      <c r="AC682" s="0" t="s">
        <v>2721</v>
      </c>
      <c r="AD682" s="0" t="s">
        <v>2721</v>
      </c>
      <c r="AE682" s="0" t="s">
        <v>2722</v>
      </c>
      <c r="AF682" s="0" t="s">
        <v>4024</v>
      </c>
      <c r="AG682" s="0" t="s">
        <v>4025</v>
      </c>
      <c r="AH682" s="0" t="s">
        <v>5278</v>
      </c>
      <c r="AI682" s="0" t="s">
        <v>3608</v>
      </c>
      <c r="AJ682" s="0" t="s">
        <v>5279</v>
      </c>
      <c r="AK682" s="0" t="s">
        <v>5279</v>
      </c>
      <c r="AL682" s="0" t="s">
        <v>5125</v>
      </c>
      <c r="AN682" s="0" t="s">
        <v>3628</v>
      </c>
      <c r="AO682" s="0" t="s">
        <v>5280</v>
      </c>
      <c r="AP682" s="0" t="s">
        <v>228</v>
      </c>
      <c r="AQ682" s="0" t="s">
        <v>228</v>
      </c>
      <c r="AR682" s="0" t="s">
        <v>228</v>
      </c>
      <c r="AS682" s="0" t="s">
        <v>228</v>
      </c>
      <c r="AT682" s="0" t="s">
        <v>228</v>
      </c>
      <c r="AU682" s="0" t="s">
        <v>228</v>
      </c>
      <c r="AV682" s="0" t="s">
        <v>228</v>
      </c>
      <c r="AW682" s="0" t="s">
        <v>228</v>
      </c>
      <c r="AX682" s="0" t="s">
        <v>228</v>
      </c>
      <c r="AY682" s="0" t="s">
        <v>228</v>
      </c>
      <c r="AZ682" s="0" t="s">
        <v>228</v>
      </c>
      <c r="BA682" s="0" t="s">
        <v>228</v>
      </c>
      <c r="BB682" s="0" t="s">
        <v>228</v>
      </c>
      <c r="BC682" s="0" t="s">
        <v>228</v>
      </c>
      <c r="BD682" s="0" t="s">
        <v>228</v>
      </c>
      <c r="BE682" s="0" t="s">
        <v>228</v>
      </c>
      <c r="BF682" s="0" t="s">
        <v>228</v>
      </c>
      <c r="BG682" s="0" t="s">
        <v>228</v>
      </c>
      <c r="BH682" s="0" t="s">
        <v>228</v>
      </c>
      <c r="BI682" s="0" t="s">
        <v>228</v>
      </c>
      <c r="BJ682" s="0" t="s">
        <v>228</v>
      </c>
      <c r="BK682" s="0" t="s">
        <v>228</v>
      </c>
      <c r="BL682" s="0" t="s">
        <v>228</v>
      </c>
      <c r="BM682" s="0" t="s">
        <v>228</v>
      </c>
      <c r="BN682" s="0" t="s">
        <v>228</v>
      </c>
      <c r="BO682" s="0" t="s">
        <v>228</v>
      </c>
      <c r="BP682" s="0" t="s">
        <v>228</v>
      </c>
      <c r="BQ682" s="0" t="s">
        <v>228</v>
      </c>
      <c r="BR682" s="0" t="s">
        <v>228</v>
      </c>
      <c r="BS682" s="0" t="s">
        <v>228</v>
      </c>
      <c r="BT682" s="0" t="s">
        <v>228</v>
      </c>
      <c r="CS682" s="0" t="s">
        <v>228</v>
      </c>
      <c r="CT682" s="0" t="s">
        <v>3568</v>
      </c>
      <c r="CU682" s="0" t="s">
        <v>3569</v>
      </c>
      <c r="CV682" s="0" t="s">
        <v>4030</v>
      </c>
      <c r="CW682" s="0" t="s">
        <v>4031</v>
      </c>
      <c r="CX682" s="0" t="s">
        <v>3603</v>
      </c>
      <c r="CY682" s="0" t="s">
        <v>4030</v>
      </c>
      <c r="CZ682" s="0" t="s">
        <v>5138</v>
      </c>
      <c r="DA682" s="0" t="s">
        <v>4032</v>
      </c>
      <c r="DB682" s="0" t="s">
        <v>4031</v>
      </c>
      <c r="DC682" s="0" t="s">
        <v>362</v>
      </c>
      <c r="DD682" s="0" t="s">
        <v>282</v>
      </c>
      <c r="DE682" s="0" t="s">
        <v>5281</v>
      </c>
    </row>
    <row customHeight="1" ht="11.25">
      <c r="A683" s="1353" t="s">
        <v>228</v>
      </c>
      <c r="B683" s="0" t="s">
        <v>228</v>
      </c>
      <c r="C683" s="0" t="s">
        <v>228</v>
      </c>
      <c r="D683" s="0" t="s">
        <v>228</v>
      </c>
      <c r="E683" s="0" t="s">
        <v>228</v>
      </c>
      <c r="F683" s="0" t="s">
        <v>228</v>
      </c>
      <c r="G683" s="0" t="s">
        <v>228</v>
      </c>
      <c r="H683" s="0" t="s">
        <v>228</v>
      </c>
      <c r="I683" s="0" t="s">
        <v>5119</v>
      </c>
      <c r="J683" s="0" t="s">
        <v>228</v>
      </c>
      <c r="K683" s="0" t="s">
        <v>228</v>
      </c>
      <c r="L683" s="0" t="s">
        <v>228</v>
      </c>
      <c r="M683" s="0" t="s">
        <v>228</v>
      </c>
      <c r="N683" s="0" t="s">
        <v>228</v>
      </c>
      <c r="O683" s="0" t="s">
        <v>228</v>
      </c>
      <c r="P683" s="0" t="s">
        <v>228</v>
      </c>
      <c r="Q683" s="0" t="s">
        <v>228</v>
      </c>
      <c r="R683" s="0" t="s">
        <v>5282</v>
      </c>
      <c r="S683" s="0" t="s">
        <v>228</v>
      </c>
      <c r="T683" s="0" t="s">
        <v>228</v>
      </c>
      <c r="U683" s="0" t="s">
        <v>101</v>
      </c>
      <c r="V683" s="0" t="s">
        <v>228</v>
      </c>
      <c r="W683" s="0" t="s">
        <v>228</v>
      </c>
      <c r="X683" s="0" t="s">
        <v>5121</v>
      </c>
      <c r="Y683" s="0" t="s">
        <v>228</v>
      </c>
      <c r="Z683" s="0" t="s">
        <v>160</v>
      </c>
      <c r="AA683" s="0" t="s">
        <v>151</v>
      </c>
      <c r="AB683" s="0" t="s">
        <v>151</v>
      </c>
      <c r="AC683" s="0" t="s">
        <v>2715</v>
      </c>
      <c r="AD683" s="0" t="s">
        <v>2715</v>
      </c>
      <c r="AE683" s="0" t="s">
        <v>2716</v>
      </c>
      <c r="AF683" s="0" t="s">
        <v>3594</v>
      </c>
      <c r="AG683" s="0" t="s">
        <v>3595</v>
      </c>
      <c r="AH683" s="0" t="s">
        <v>5283</v>
      </c>
      <c r="AI683" s="0" t="s">
        <v>3651</v>
      </c>
      <c r="AJ683" s="0" t="s">
        <v>3985</v>
      </c>
      <c r="AK683" s="0" t="s">
        <v>5284</v>
      </c>
      <c r="AL683" s="0" t="s">
        <v>5125</v>
      </c>
      <c r="AN683" s="0" t="s">
        <v>3563</v>
      </c>
      <c r="AO683" s="0" t="s">
        <v>5285</v>
      </c>
      <c r="AP683" s="0" t="s">
        <v>228</v>
      </c>
      <c r="AQ683" s="0" t="s">
        <v>228</v>
      </c>
      <c r="AR683" s="0" t="s">
        <v>228</v>
      </c>
      <c r="AS683" s="0" t="s">
        <v>228</v>
      </c>
      <c r="AT683" s="0" t="s">
        <v>228</v>
      </c>
      <c r="AU683" s="0" t="s">
        <v>228</v>
      </c>
      <c r="AV683" s="0" t="s">
        <v>228</v>
      </c>
      <c r="AW683" s="0" t="s">
        <v>228</v>
      </c>
      <c r="AX683" s="0" t="s">
        <v>228</v>
      </c>
      <c r="AY683" s="0" t="s">
        <v>228</v>
      </c>
      <c r="AZ683" s="0" t="s">
        <v>228</v>
      </c>
      <c r="BA683" s="0" t="s">
        <v>228</v>
      </c>
      <c r="BB683" s="0" t="s">
        <v>228</v>
      </c>
      <c r="BC683" s="0" t="s">
        <v>228</v>
      </c>
      <c r="BD683" s="0" t="s">
        <v>228</v>
      </c>
      <c r="BE683" s="0" t="s">
        <v>228</v>
      </c>
      <c r="BF683" s="0" t="s">
        <v>228</v>
      </c>
      <c r="BG683" s="0" t="s">
        <v>228</v>
      </c>
      <c r="BH683" s="0" t="s">
        <v>228</v>
      </c>
      <c r="BI683" s="0" t="s">
        <v>228</v>
      </c>
      <c r="BJ683" s="0" t="s">
        <v>228</v>
      </c>
      <c r="BK683" s="0" t="s">
        <v>228</v>
      </c>
      <c r="BL683" s="0" t="s">
        <v>228</v>
      </c>
      <c r="BM683" s="0" t="s">
        <v>228</v>
      </c>
      <c r="BN683" s="0" t="s">
        <v>228</v>
      </c>
      <c r="BO683" s="0" t="s">
        <v>228</v>
      </c>
      <c r="BP683" s="0" t="s">
        <v>228</v>
      </c>
      <c r="BQ683" s="0" t="s">
        <v>228</v>
      </c>
      <c r="BR683" s="0" t="s">
        <v>228</v>
      </c>
      <c r="BS683" s="0" t="s">
        <v>228</v>
      </c>
      <c r="BT683" s="0" t="s">
        <v>228</v>
      </c>
      <c r="CS683" s="0" t="s">
        <v>228</v>
      </c>
      <c r="CT683" s="0" t="s">
        <v>3568</v>
      </c>
      <c r="CU683" s="0" t="s">
        <v>3569</v>
      </c>
      <c r="CV683" s="0" t="s">
        <v>418</v>
      </c>
      <c r="CW683" s="0" t="s">
        <v>3602</v>
      </c>
      <c r="CX683" s="0" t="s">
        <v>419</v>
      </c>
      <c r="CY683" s="0" t="s">
        <v>418</v>
      </c>
      <c r="CZ683" s="0" t="s">
        <v>504</v>
      </c>
      <c r="DA683" s="0" t="s">
        <v>3604</v>
      </c>
      <c r="DB683" s="0" t="s">
        <v>3602</v>
      </c>
      <c r="DC683" s="0" t="s">
        <v>362</v>
      </c>
      <c r="DD683" s="0" t="s">
        <v>282</v>
      </c>
      <c r="DE683" s="0" t="s">
        <v>5286</v>
      </c>
    </row>
    <row customHeight="1" ht="11.25">
      <c r="A684" s="1353" t="s">
        <v>228</v>
      </c>
      <c r="B684" s="0" t="s">
        <v>228</v>
      </c>
      <c r="C684" s="0" t="s">
        <v>228</v>
      </c>
      <c r="D684" s="0" t="s">
        <v>228</v>
      </c>
      <c r="E684" s="0" t="s">
        <v>228</v>
      </c>
      <c r="F684" s="0" t="s">
        <v>228</v>
      </c>
      <c r="G684" s="0" t="s">
        <v>228</v>
      </c>
      <c r="H684" s="0" t="s">
        <v>228</v>
      </c>
      <c r="I684" s="0" t="s">
        <v>5119</v>
      </c>
      <c r="J684" s="0" t="s">
        <v>228</v>
      </c>
      <c r="K684" s="0" t="s">
        <v>228</v>
      </c>
      <c r="L684" s="0" t="s">
        <v>228</v>
      </c>
      <c r="M684" s="0" t="s">
        <v>228</v>
      </c>
      <c r="N684" s="0" t="s">
        <v>228</v>
      </c>
      <c r="O684" s="0" t="s">
        <v>228</v>
      </c>
      <c r="P684" s="0" t="s">
        <v>228</v>
      </c>
      <c r="Q684" s="0" t="s">
        <v>228</v>
      </c>
      <c r="R684" s="0" t="s">
        <v>5287</v>
      </c>
      <c r="S684" s="0" t="s">
        <v>228</v>
      </c>
      <c r="T684" s="0" t="s">
        <v>228</v>
      </c>
      <c r="U684" s="0" t="s">
        <v>101</v>
      </c>
      <c r="V684" s="0" t="s">
        <v>228</v>
      </c>
      <c r="W684" s="0" t="s">
        <v>228</v>
      </c>
      <c r="X684" s="0" t="s">
        <v>5121</v>
      </c>
      <c r="Y684" s="0" t="s">
        <v>228</v>
      </c>
      <c r="Z684" s="0" t="s">
        <v>160</v>
      </c>
      <c r="AA684" s="0" t="s">
        <v>151</v>
      </c>
      <c r="AB684" s="0" t="s">
        <v>151</v>
      </c>
      <c r="AC684" s="0" t="s">
        <v>2715</v>
      </c>
      <c r="AD684" s="0" t="s">
        <v>2715</v>
      </c>
      <c r="AE684" s="0" t="s">
        <v>2716</v>
      </c>
      <c r="AF684" s="0" t="s">
        <v>3594</v>
      </c>
      <c r="AG684" s="0" t="s">
        <v>3595</v>
      </c>
      <c r="AH684" s="0" t="s">
        <v>5288</v>
      </c>
      <c r="AI684" s="0" t="s">
        <v>3651</v>
      </c>
      <c r="AJ684" s="0" t="s">
        <v>5289</v>
      </c>
      <c r="AK684" s="0" t="s">
        <v>5290</v>
      </c>
      <c r="AL684" s="0" t="s">
        <v>5125</v>
      </c>
      <c r="AN684" s="0" t="s">
        <v>4827</v>
      </c>
      <c r="AO684" s="0" t="s">
        <v>5291</v>
      </c>
      <c r="AP684" s="0" t="s">
        <v>228</v>
      </c>
      <c r="AQ684" s="0" t="s">
        <v>228</v>
      </c>
      <c r="AR684" s="0" t="s">
        <v>228</v>
      </c>
      <c r="AS684" s="0" t="s">
        <v>228</v>
      </c>
      <c r="AT684" s="0" t="s">
        <v>228</v>
      </c>
      <c r="AU684" s="0" t="s">
        <v>228</v>
      </c>
      <c r="AV684" s="0" t="s">
        <v>228</v>
      </c>
      <c r="AW684" s="0" t="s">
        <v>228</v>
      </c>
      <c r="AX684" s="0" t="s">
        <v>228</v>
      </c>
      <c r="AY684" s="0" t="s">
        <v>228</v>
      </c>
      <c r="AZ684" s="0" t="s">
        <v>228</v>
      </c>
      <c r="BA684" s="0" t="s">
        <v>228</v>
      </c>
      <c r="BB684" s="0" t="s">
        <v>228</v>
      </c>
      <c r="BC684" s="0" t="s">
        <v>228</v>
      </c>
      <c r="BD684" s="0" t="s">
        <v>228</v>
      </c>
      <c r="BE684" s="0" t="s">
        <v>228</v>
      </c>
      <c r="BF684" s="0" t="s">
        <v>228</v>
      </c>
      <c r="BG684" s="0" t="s">
        <v>228</v>
      </c>
      <c r="BH684" s="0" t="s">
        <v>228</v>
      </c>
      <c r="BI684" s="0" t="s">
        <v>228</v>
      </c>
      <c r="BJ684" s="0" t="s">
        <v>228</v>
      </c>
      <c r="BK684" s="0" t="s">
        <v>228</v>
      </c>
      <c r="BL684" s="0" t="s">
        <v>228</v>
      </c>
      <c r="BM684" s="0" t="s">
        <v>228</v>
      </c>
      <c r="BN684" s="0" t="s">
        <v>228</v>
      </c>
      <c r="BO684" s="0" t="s">
        <v>228</v>
      </c>
      <c r="BP684" s="0" t="s">
        <v>228</v>
      </c>
      <c r="BQ684" s="0" t="s">
        <v>228</v>
      </c>
      <c r="BR684" s="0" t="s">
        <v>228</v>
      </c>
      <c r="BS684" s="0" t="s">
        <v>228</v>
      </c>
      <c r="BT684" s="0" t="s">
        <v>228</v>
      </c>
      <c r="CS684" s="0" t="s">
        <v>228</v>
      </c>
      <c r="CT684" s="0" t="s">
        <v>3568</v>
      </c>
      <c r="CU684" s="0" t="s">
        <v>3569</v>
      </c>
      <c r="CV684" s="0" t="s">
        <v>418</v>
      </c>
      <c r="CW684" s="0" t="s">
        <v>3602</v>
      </c>
      <c r="CX684" s="0" t="s">
        <v>419</v>
      </c>
      <c r="CY684" s="0" t="s">
        <v>418</v>
      </c>
      <c r="CZ684" s="0" t="s">
        <v>504</v>
      </c>
      <c r="DA684" s="0" t="s">
        <v>3604</v>
      </c>
      <c r="DB684" s="0" t="s">
        <v>3602</v>
      </c>
      <c r="DC684" s="0" t="s">
        <v>362</v>
      </c>
      <c r="DD684" s="0" t="s">
        <v>282</v>
      </c>
      <c r="DE684" s="0" t="s">
        <v>5292</v>
      </c>
    </row>
    <row customHeight="1" ht="11.25">
      <c r="A685" s="1353" t="s">
        <v>228</v>
      </c>
      <c r="B685" s="0" t="s">
        <v>228</v>
      </c>
      <c r="C685" s="0" t="s">
        <v>228</v>
      </c>
      <c r="D685" s="0" t="s">
        <v>228</v>
      </c>
      <c r="E685" s="0" t="s">
        <v>228</v>
      </c>
      <c r="F685" s="0" t="s">
        <v>228</v>
      </c>
      <c r="G685" s="0" t="s">
        <v>228</v>
      </c>
      <c r="H685" s="0" t="s">
        <v>228</v>
      </c>
      <c r="I685" s="0" t="s">
        <v>5119</v>
      </c>
      <c r="J685" s="0" t="s">
        <v>228</v>
      </c>
      <c r="K685" s="0" t="s">
        <v>228</v>
      </c>
      <c r="L685" s="0" t="s">
        <v>228</v>
      </c>
      <c r="M685" s="0" t="s">
        <v>228</v>
      </c>
      <c r="N685" s="0" t="s">
        <v>228</v>
      </c>
      <c r="O685" s="0" t="s">
        <v>228</v>
      </c>
      <c r="P685" s="0" t="s">
        <v>228</v>
      </c>
      <c r="Q685" s="0" t="s">
        <v>228</v>
      </c>
      <c r="R685" s="0" t="s">
        <v>5293</v>
      </c>
      <c r="S685" s="0" t="s">
        <v>228</v>
      </c>
      <c r="T685" s="0" t="s">
        <v>228</v>
      </c>
      <c r="U685" s="0" t="s">
        <v>101</v>
      </c>
      <c r="V685" s="0" t="s">
        <v>228</v>
      </c>
      <c r="W685" s="0" t="s">
        <v>228</v>
      </c>
      <c r="X685" s="0" t="s">
        <v>5121</v>
      </c>
      <c r="Y685" s="0" t="s">
        <v>228</v>
      </c>
      <c r="Z685" s="0" t="s">
        <v>160</v>
      </c>
      <c r="AA685" s="0" t="s">
        <v>151</v>
      </c>
      <c r="AB685" s="0" t="s">
        <v>151</v>
      </c>
      <c r="AC685" s="0" t="s">
        <v>2715</v>
      </c>
      <c r="AD685" s="0" t="s">
        <v>2715</v>
      </c>
      <c r="AE685" s="0" t="s">
        <v>2716</v>
      </c>
      <c r="AF685" s="0" t="s">
        <v>3594</v>
      </c>
      <c r="AG685" s="0" t="s">
        <v>3595</v>
      </c>
      <c r="AH685" s="0" t="s">
        <v>5294</v>
      </c>
      <c r="AI685" s="0" t="s">
        <v>1688</v>
      </c>
      <c r="AJ685" s="0" t="s">
        <v>4287</v>
      </c>
      <c r="AK685" s="0" t="s">
        <v>5295</v>
      </c>
      <c r="AL685" s="0" t="s">
        <v>5125</v>
      </c>
      <c r="AN685" s="0" t="s">
        <v>3579</v>
      </c>
      <c r="AO685" s="0" t="s">
        <v>4473</v>
      </c>
      <c r="AP685" s="0" t="s">
        <v>228</v>
      </c>
      <c r="AQ685" s="0" t="s">
        <v>228</v>
      </c>
      <c r="AR685" s="0" t="s">
        <v>228</v>
      </c>
      <c r="AS685" s="0" t="s">
        <v>228</v>
      </c>
      <c r="AT685" s="0" t="s">
        <v>228</v>
      </c>
      <c r="AU685" s="0" t="s">
        <v>228</v>
      </c>
      <c r="AV685" s="0" t="s">
        <v>228</v>
      </c>
      <c r="AW685" s="0" t="s">
        <v>228</v>
      </c>
      <c r="AX685" s="0" t="s">
        <v>228</v>
      </c>
      <c r="AY685" s="0" t="s">
        <v>228</v>
      </c>
      <c r="AZ685" s="0" t="s">
        <v>228</v>
      </c>
      <c r="BA685" s="0" t="s">
        <v>228</v>
      </c>
      <c r="BB685" s="0" t="s">
        <v>228</v>
      </c>
      <c r="BC685" s="0" t="s">
        <v>228</v>
      </c>
      <c r="BD685" s="0" t="s">
        <v>228</v>
      </c>
      <c r="BE685" s="0" t="s">
        <v>228</v>
      </c>
      <c r="BF685" s="0" t="s">
        <v>228</v>
      </c>
      <c r="BG685" s="0" t="s">
        <v>228</v>
      </c>
      <c r="BH685" s="0" t="s">
        <v>228</v>
      </c>
      <c r="BI685" s="0" t="s">
        <v>228</v>
      </c>
      <c r="BJ685" s="0" t="s">
        <v>228</v>
      </c>
      <c r="BK685" s="0" t="s">
        <v>228</v>
      </c>
      <c r="BL685" s="0" t="s">
        <v>228</v>
      </c>
      <c r="BM685" s="0" t="s">
        <v>228</v>
      </c>
      <c r="BN685" s="0" t="s">
        <v>228</v>
      </c>
      <c r="BO685" s="0" t="s">
        <v>228</v>
      </c>
      <c r="BP685" s="0" t="s">
        <v>228</v>
      </c>
      <c r="BQ685" s="0" t="s">
        <v>228</v>
      </c>
      <c r="BR685" s="0" t="s">
        <v>228</v>
      </c>
      <c r="BS685" s="0" t="s">
        <v>228</v>
      </c>
      <c r="BT685" s="0" t="s">
        <v>228</v>
      </c>
      <c r="CS685" s="0" t="s">
        <v>228</v>
      </c>
      <c r="CT685" s="0" t="s">
        <v>3568</v>
      </c>
      <c r="CU685" s="0" t="s">
        <v>3569</v>
      </c>
      <c r="CV685" s="0" t="s">
        <v>418</v>
      </c>
      <c r="CW685" s="0" t="s">
        <v>3602</v>
      </c>
      <c r="CX685" s="0" t="s">
        <v>419</v>
      </c>
      <c r="CY685" s="0" t="s">
        <v>418</v>
      </c>
      <c r="CZ685" s="0" t="s">
        <v>504</v>
      </c>
      <c r="DA685" s="0" t="s">
        <v>3604</v>
      </c>
      <c r="DB685" s="0" t="s">
        <v>3602</v>
      </c>
      <c r="DC685" s="0" t="s">
        <v>362</v>
      </c>
      <c r="DD685" s="0" t="s">
        <v>282</v>
      </c>
      <c r="DE685" s="0" t="s">
        <v>5296</v>
      </c>
    </row>
    <row customHeight="1" ht="11.25">
      <c r="A686" s="1353" t="s">
        <v>228</v>
      </c>
      <c r="B686" s="0" t="s">
        <v>228</v>
      </c>
      <c r="C686" s="0" t="s">
        <v>228</v>
      </c>
      <c r="D686" s="0" t="s">
        <v>228</v>
      </c>
      <c r="E686" s="0" t="s">
        <v>228</v>
      </c>
      <c r="F686" s="0" t="s">
        <v>228</v>
      </c>
      <c r="G686" s="0" t="s">
        <v>228</v>
      </c>
      <c r="H686" s="0" t="s">
        <v>228</v>
      </c>
      <c r="I686" s="0" t="s">
        <v>5119</v>
      </c>
      <c r="J686" s="0" t="s">
        <v>228</v>
      </c>
      <c r="K686" s="0" t="s">
        <v>228</v>
      </c>
      <c r="L686" s="0" t="s">
        <v>228</v>
      </c>
      <c r="M686" s="0" t="s">
        <v>228</v>
      </c>
      <c r="N686" s="0" t="s">
        <v>228</v>
      </c>
      <c r="O686" s="0" t="s">
        <v>228</v>
      </c>
      <c r="P686" s="0" t="s">
        <v>228</v>
      </c>
      <c r="Q686" s="0" t="s">
        <v>228</v>
      </c>
      <c r="R686" s="0" t="s">
        <v>5297</v>
      </c>
      <c r="S686" s="0" t="s">
        <v>228</v>
      </c>
      <c r="T686" s="0" t="s">
        <v>228</v>
      </c>
      <c r="U686" s="0" t="s">
        <v>101</v>
      </c>
      <c r="V686" s="0" t="s">
        <v>228</v>
      </c>
      <c r="W686" s="0" t="s">
        <v>228</v>
      </c>
      <c r="X686" s="0" t="s">
        <v>5121</v>
      </c>
      <c r="Y686" s="0" t="s">
        <v>228</v>
      </c>
      <c r="Z686" s="0" t="s">
        <v>160</v>
      </c>
      <c r="AA686" s="0" t="s">
        <v>151</v>
      </c>
      <c r="AB686" s="0" t="s">
        <v>151</v>
      </c>
      <c r="AC686" s="0" t="s">
        <v>2290</v>
      </c>
      <c r="AD686" s="0" t="s">
        <v>2290</v>
      </c>
      <c r="AE686" s="0" t="s">
        <v>2292</v>
      </c>
      <c r="AF686" s="0" t="s">
        <v>3558</v>
      </c>
      <c r="AG686" s="0" t="s">
        <v>3559</v>
      </c>
      <c r="AH686" s="0" t="s">
        <v>5298</v>
      </c>
      <c r="AI686" s="0" t="s">
        <v>5299</v>
      </c>
      <c r="AJ686" s="0" t="s">
        <v>3654</v>
      </c>
      <c r="AK686" s="0" t="s">
        <v>3873</v>
      </c>
      <c r="AL686" s="0" t="s">
        <v>5125</v>
      </c>
      <c r="AN686" s="0" t="s">
        <v>5300</v>
      </c>
      <c r="AO686" s="0" t="s">
        <v>3695</v>
      </c>
      <c r="AP686" s="0" t="s">
        <v>228</v>
      </c>
      <c r="AQ686" s="0" t="s">
        <v>228</v>
      </c>
      <c r="AR686" s="0" t="s">
        <v>228</v>
      </c>
      <c r="AS686" s="0" t="s">
        <v>228</v>
      </c>
      <c r="AT686" s="0" t="s">
        <v>228</v>
      </c>
      <c r="AU686" s="0" t="s">
        <v>228</v>
      </c>
      <c r="AV686" s="0" t="s">
        <v>228</v>
      </c>
      <c r="AW686" s="0" t="s">
        <v>228</v>
      </c>
      <c r="AX686" s="0" t="s">
        <v>228</v>
      </c>
      <c r="AY686" s="0" t="s">
        <v>228</v>
      </c>
      <c r="AZ686" s="0" t="s">
        <v>228</v>
      </c>
      <c r="BA686" s="0" t="s">
        <v>228</v>
      </c>
      <c r="BB686" s="0" t="s">
        <v>228</v>
      </c>
      <c r="BC686" s="0" t="s">
        <v>228</v>
      </c>
      <c r="BD686" s="0" t="s">
        <v>228</v>
      </c>
      <c r="BE686" s="0" t="s">
        <v>228</v>
      </c>
      <c r="BF686" s="0" t="s">
        <v>228</v>
      </c>
      <c r="BG686" s="0" t="s">
        <v>228</v>
      </c>
      <c r="BH686" s="0" t="s">
        <v>228</v>
      </c>
      <c r="BI686" s="0" t="s">
        <v>228</v>
      </c>
      <c r="BJ686" s="0" t="s">
        <v>228</v>
      </c>
      <c r="BK686" s="0" t="s">
        <v>228</v>
      </c>
      <c r="BL686" s="0" t="s">
        <v>228</v>
      </c>
      <c r="BM686" s="0" t="s">
        <v>228</v>
      </c>
      <c r="BN686" s="0" t="s">
        <v>228</v>
      </c>
      <c r="BO686" s="0" t="s">
        <v>228</v>
      </c>
      <c r="BP686" s="0" t="s">
        <v>228</v>
      </c>
      <c r="BQ686" s="0" t="s">
        <v>228</v>
      </c>
      <c r="BR686" s="0" t="s">
        <v>228</v>
      </c>
      <c r="BS686" s="0" t="s">
        <v>228</v>
      </c>
      <c r="BT686" s="0" t="s">
        <v>228</v>
      </c>
      <c r="CS686" s="0" t="s">
        <v>228</v>
      </c>
      <c r="CT686" s="0" t="s">
        <v>3568</v>
      </c>
      <c r="CU686" s="0" t="s">
        <v>3569</v>
      </c>
      <c r="CV686" s="0" t="s">
        <v>418</v>
      </c>
      <c r="CW686" s="0" t="s">
        <v>3570</v>
      </c>
      <c r="CX686" s="0" t="s">
        <v>419</v>
      </c>
      <c r="CY686" s="0" t="s">
        <v>418</v>
      </c>
      <c r="CZ686" s="0" t="s">
        <v>3571</v>
      </c>
      <c r="DA686" s="0" t="s">
        <v>420</v>
      </c>
      <c r="DB686" s="0" t="s">
        <v>3570</v>
      </c>
      <c r="DC686" s="0" t="s">
        <v>362</v>
      </c>
      <c r="DD686" s="0" t="s">
        <v>282</v>
      </c>
      <c r="DE686" s="0" t="s">
        <v>5301</v>
      </c>
    </row>
    <row customHeight="1" ht="11.25">
      <c r="A687" s="1353" t="s">
        <v>228</v>
      </c>
      <c r="B687" s="0" t="s">
        <v>228</v>
      </c>
      <c r="C687" s="0" t="s">
        <v>228</v>
      </c>
      <c r="D687" s="0" t="s">
        <v>228</v>
      </c>
      <c r="E687" s="0" t="s">
        <v>228</v>
      </c>
      <c r="F687" s="0" t="s">
        <v>228</v>
      </c>
      <c r="G687" s="0" t="s">
        <v>228</v>
      </c>
      <c r="H687" s="0" t="s">
        <v>228</v>
      </c>
      <c r="I687" s="0" t="s">
        <v>5119</v>
      </c>
      <c r="J687" s="0" t="s">
        <v>228</v>
      </c>
      <c r="K687" s="0" t="s">
        <v>228</v>
      </c>
      <c r="L687" s="0" t="s">
        <v>228</v>
      </c>
      <c r="M687" s="0" t="s">
        <v>228</v>
      </c>
      <c r="N687" s="0" t="s">
        <v>228</v>
      </c>
      <c r="O687" s="0" t="s">
        <v>228</v>
      </c>
      <c r="P687" s="0" t="s">
        <v>228</v>
      </c>
      <c r="Q687" s="0" t="s">
        <v>228</v>
      </c>
      <c r="R687" s="0" t="s">
        <v>5302</v>
      </c>
      <c r="S687" s="0" t="s">
        <v>228</v>
      </c>
      <c r="T687" s="0" t="s">
        <v>228</v>
      </c>
      <c r="U687" s="0" t="s">
        <v>101</v>
      </c>
      <c r="V687" s="0" t="s">
        <v>228</v>
      </c>
      <c r="W687" s="0" t="s">
        <v>228</v>
      </c>
      <c r="X687" s="0" t="s">
        <v>5121</v>
      </c>
      <c r="Y687" s="0" t="s">
        <v>228</v>
      </c>
      <c r="Z687" s="0" t="s">
        <v>160</v>
      </c>
      <c r="AA687" s="0" t="s">
        <v>151</v>
      </c>
      <c r="AB687" s="0" t="s">
        <v>151</v>
      </c>
      <c r="AC687" s="0" t="s">
        <v>2290</v>
      </c>
      <c r="AD687" s="0" t="s">
        <v>2290</v>
      </c>
      <c r="AE687" s="0" t="s">
        <v>2292</v>
      </c>
      <c r="AF687" s="0" t="s">
        <v>3558</v>
      </c>
      <c r="AG687" s="0" t="s">
        <v>3559</v>
      </c>
      <c r="AH687" s="0" t="s">
        <v>5303</v>
      </c>
      <c r="AI687" s="0" t="s">
        <v>5304</v>
      </c>
      <c r="AJ687" s="0" t="s">
        <v>5305</v>
      </c>
      <c r="AK687" s="0" t="s">
        <v>4297</v>
      </c>
      <c r="AL687" s="0" t="s">
        <v>5125</v>
      </c>
      <c r="AN687" s="0" t="s">
        <v>5306</v>
      </c>
      <c r="AO687" s="0" t="s">
        <v>3712</v>
      </c>
      <c r="AP687" s="0" t="s">
        <v>228</v>
      </c>
      <c r="AQ687" s="0" t="s">
        <v>228</v>
      </c>
      <c r="AR687" s="0" t="s">
        <v>228</v>
      </c>
      <c r="AS687" s="0" t="s">
        <v>228</v>
      </c>
      <c r="AT687" s="0" t="s">
        <v>228</v>
      </c>
      <c r="AU687" s="0" t="s">
        <v>228</v>
      </c>
      <c r="AV687" s="0" t="s">
        <v>228</v>
      </c>
      <c r="AW687" s="0" t="s">
        <v>228</v>
      </c>
      <c r="AX687" s="0" t="s">
        <v>228</v>
      </c>
      <c r="AY687" s="0" t="s">
        <v>228</v>
      </c>
      <c r="AZ687" s="0" t="s">
        <v>228</v>
      </c>
      <c r="BA687" s="0" t="s">
        <v>228</v>
      </c>
      <c r="BB687" s="0" t="s">
        <v>228</v>
      </c>
      <c r="BC687" s="0" t="s">
        <v>228</v>
      </c>
      <c r="BD687" s="0" t="s">
        <v>228</v>
      </c>
      <c r="BE687" s="0" t="s">
        <v>228</v>
      </c>
      <c r="BF687" s="0" t="s">
        <v>228</v>
      </c>
      <c r="BG687" s="0" t="s">
        <v>228</v>
      </c>
      <c r="BH687" s="0" t="s">
        <v>228</v>
      </c>
      <c r="BI687" s="0" t="s">
        <v>228</v>
      </c>
      <c r="BJ687" s="0" t="s">
        <v>228</v>
      </c>
      <c r="BK687" s="0" t="s">
        <v>228</v>
      </c>
      <c r="BL687" s="0" t="s">
        <v>228</v>
      </c>
      <c r="BM687" s="0" t="s">
        <v>228</v>
      </c>
      <c r="BN687" s="0" t="s">
        <v>228</v>
      </c>
      <c r="BO687" s="0" t="s">
        <v>228</v>
      </c>
      <c r="BP687" s="0" t="s">
        <v>228</v>
      </c>
      <c r="BQ687" s="0" t="s">
        <v>228</v>
      </c>
      <c r="BR687" s="0" t="s">
        <v>228</v>
      </c>
      <c r="BS687" s="0" t="s">
        <v>228</v>
      </c>
      <c r="BT687" s="0" t="s">
        <v>228</v>
      </c>
      <c r="CS687" s="0" t="s">
        <v>228</v>
      </c>
      <c r="CT687" s="0" t="s">
        <v>3568</v>
      </c>
      <c r="CU687" s="0" t="s">
        <v>3569</v>
      </c>
      <c r="CV687" s="0" t="s">
        <v>418</v>
      </c>
      <c r="CW687" s="0" t="s">
        <v>3570</v>
      </c>
      <c r="CX687" s="0" t="s">
        <v>419</v>
      </c>
      <c r="CY687" s="0" t="s">
        <v>418</v>
      </c>
      <c r="CZ687" s="0" t="s">
        <v>3571</v>
      </c>
      <c r="DA687" s="0" t="s">
        <v>420</v>
      </c>
      <c r="DB687" s="0" t="s">
        <v>3570</v>
      </c>
      <c r="DC687" s="0" t="s">
        <v>362</v>
      </c>
      <c r="DD687" s="0" t="s">
        <v>282</v>
      </c>
      <c r="DE687" s="0" t="s">
        <v>5307</v>
      </c>
    </row>
    <row customHeight="1" ht="11.25">
      <c r="A688" s="1353" t="s">
        <v>228</v>
      </c>
      <c r="B688" s="0" t="s">
        <v>228</v>
      </c>
      <c r="C688" s="0" t="s">
        <v>228</v>
      </c>
      <c r="D688" s="0" t="s">
        <v>228</v>
      </c>
      <c r="E688" s="0" t="s">
        <v>228</v>
      </c>
      <c r="F688" s="0" t="s">
        <v>228</v>
      </c>
      <c r="G688" s="0" t="s">
        <v>228</v>
      </c>
      <c r="H688" s="0" t="s">
        <v>228</v>
      </c>
      <c r="I688" s="0" t="s">
        <v>5119</v>
      </c>
      <c r="J688" s="0" t="s">
        <v>228</v>
      </c>
      <c r="K688" s="0" t="s">
        <v>228</v>
      </c>
      <c r="L688" s="0" t="s">
        <v>228</v>
      </c>
      <c r="M688" s="0" t="s">
        <v>228</v>
      </c>
      <c r="N688" s="0" t="s">
        <v>228</v>
      </c>
      <c r="O688" s="0" t="s">
        <v>228</v>
      </c>
      <c r="P688" s="0" t="s">
        <v>228</v>
      </c>
      <c r="Q688" s="0" t="s">
        <v>228</v>
      </c>
      <c r="R688" s="0" t="s">
        <v>5308</v>
      </c>
      <c r="S688" s="0" t="s">
        <v>228</v>
      </c>
      <c r="T688" s="0" t="s">
        <v>228</v>
      </c>
      <c r="U688" s="0" t="s">
        <v>101</v>
      </c>
      <c r="V688" s="0" t="s">
        <v>228</v>
      </c>
      <c r="W688" s="0" t="s">
        <v>228</v>
      </c>
      <c r="X688" s="0" t="s">
        <v>5121</v>
      </c>
      <c r="Y688" s="0" t="s">
        <v>228</v>
      </c>
      <c r="Z688" s="0" t="s">
        <v>160</v>
      </c>
      <c r="AA688" s="0" t="s">
        <v>151</v>
      </c>
      <c r="AB688" s="0" t="s">
        <v>151</v>
      </c>
      <c r="AC688" s="0" t="s">
        <v>2290</v>
      </c>
      <c r="AD688" s="0" t="s">
        <v>2290</v>
      </c>
      <c r="AE688" s="0" t="s">
        <v>2292</v>
      </c>
      <c r="AF688" s="0" t="s">
        <v>3558</v>
      </c>
      <c r="AG688" s="0" t="s">
        <v>3559</v>
      </c>
      <c r="AH688" s="0" t="s">
        <v>5309</v>
      </c>
      <c r="AI688" s="0" t="s">
        <v>5304</v>
      </c>
      <c r="AJ688" s="0" t="s">
        <v>5279</v>
      </c>
      <c r="AK688" s="0" t="s">
        <v>4075</v>
      </c>
      <c r="AL688" s="0" t="s">
        <v>5125</v>
      </c>
      <c r="AN688" s="0" t="s">
        <v>5310</v>
      </c>
      <c r="AO688" s="0" t="s">
        <v>3621</v>
      </c>
      <c r="AP688" s="0" t="s">
        <v>228</v>
      </c>
      <c r="AQ688" s="0" t="s">
        <v>228</v>
      </c>
      <c r="AR688" s="0" t="s">
        <v>228</v>
      </c>
      <c r="AS688" s="0" t="s">
        <v>228</v>
      </c>
      <c r="AT688" s="0" t="s">
        <v>228</v>
      </c>
      <c r="AU688" s="0" t="s">
        <v>228</v>
      </c>
      <c r="AV688" s="0" t="s">
        <v>228</v>
      </c>
      <c r="AW688" s="0" t="s">
        <v>228</v>
      </c>
      <c r="AX688" s="0" t="s">
        <v>228</v>
      </c>
      <c r="AY688" s="0" t="s">
        <v>228</v>
      </c>
      <c r="AZ688" s="0" t="s">
        <v>228</v>
      </c>
      <c r="BA688" s="0" t="s">
        <v>228</v>
      </c>
      <c r="BB688" s="0" t="s">
        <v>228</v>
      </c>
      <c r="BC688" s="0" t="s">
        <v>228</v>
      </c>
      <c r="BD688" s="0" t="s">
        <v>228</v>
      </c>
      <c r="BE688" s="0" t="s">
        <v>228</v>
      </c>
      <c r="BF688" s="0" t="s">
        <v>228</v>
      </c>
      <c r="BG688" s="0" t="s">
        <v>228</v>
      </c>
      <c r="BH688" s="0" t="s">
        <v>228</v>
      </c>
      <c r="BI688" s="0" t="s">
        <v>228</v>
      </c>
      <c r="BJ688" s="0" t="s">
        <v>228</v>
      </c>
      <c r="BK688" s="0" t="s">
        <v>228</v>
      </c>
      <c r="BL688" s="0" t="s">
        <v>228</v>
      </c>
      <c r="BM688" s="0" t="s">
        <v>228</v>
      </c>
      <c r="BN688" s="0" t="s">
        <v>228</v>
      </c>
      <c r="BO688" s="0" t="s">
        <v>228</v>
      </c>
      <c r="BP688" s="0" t="s">
        <v>228</v>
      </c>
      <c r="BQ688" s="0" t="s">
        <v>228</v>
      </c>
      <c r="BR688" s="0" t="s">
        <v>228</v>
      </c>
      <c r="BS688" s="0" t="s">
        <v>228</v>
      </c>
      <c r="BT688" s="0" t="s">
        <v>228</v>
      </c>
      <c r="CS688" s="0" t="s">
        <v>228</v>
      </c>
      <c r="CT688" s="0" t="s">
        <v>3568</v>
      </c>
      <c r="CU688" s="0" t="s">
        <v>3569</v>
      </c>
      <c r="CV688" s="0" t="s">
        <v>418</v>
      </c>
      <c r="CW688" s="0" t="s">
        <v>3570</v>
      </c>
      <c r="CX688" s="0" t="s">
        <v>419</v>
      </c>
      <c r="CY688" s="0" t="s">
        <v>418</v>
      </c>
      <c r="CZ688" s="0" t="s">
        <v>3571</v>
      </c>
      <c r="DA688" s="0" t="s">
        <v>420</v>
      </c>
      <c r="DB688" s="0" t="s">
        <v>3570</v>
      </c>
      <c r="DC688" s="0" t="s">
        <v>362</v>
      </c>
      <c r="DD688" s="0" t="s">
        <v>282</v>
      </c>
      <c r="DE688" s="0" t="s">
        <v>5311</v>
      </c>
    </row>
    <row customHeight="1" ht="11.25">
      <c r="A689" s="1353" t="s">
        <v>228</v>
      </c>
      <c r="B689" s="0" t="s">
        <v>228</v>
      </c>
      <c r="C689" s="0" t="s">
        <v>228</v>
      </c>
      <c r="D689" s="0" t="s">
        <v>228</v>
      </c>
      <c r="E689" s="0" t="s">
        <v>228</v>
      </c>
      <c r="F689" s="0" t="s">
        <v>228</v>
      </c>
      <c r="G689" s="0" t="s">
        <v>228</v>
      </c>
      <c r="H689" s="0" t="s">
        <v>228</v>
      </c>
      <c r="I689" s="0" t="s">
        <v>5119</v>
      </c>
      <c r="J689" s="0" t="s">
        <v>228</v>
      </c>
      <c r="K689" s="0" t="s">
        <v>228</v>
      </c>
      <c r="L689" s="0" t="s">
        <v>228</v>
      </c>
      <c r="M689" s="0" t="s">
        <v>228</v>
      </c>
      <c r="N689" s="0" t="s">
        <v>228</v>
      </c>
      <c r="O689" s="0" t="s">
        <v>228</v>
      </c>
      <c r="P689" s="0" t="s">
        <v>228</v>
      </c>
      <c r="Q689" s="0" t="s">
        <v>228</v>
      </c>
      <c r="R689" s="0" t="s">
        <v>5312</v>
      </c>
      <c r="S689" s="0" t="s">
        <v>228</v>
      </c>
      <c r="T689" s="0" t="s">
        <v>228</v>
      </c>
      <c r="U689" s="0" t="s">
        <v>101</v>
      </c>
      <c r="V689" s="0" t="s">
        <v>228</v>
      </c>
      <c r="W689" s="0" t="s">
        <v>228</v>
      </c>
      <c r="X689" s="0" t="s">
        <v>5121</v>
      </c>
      <c r="Y689" s="0" t="s">
        <v>228</v>
      </c>
      <c r="Z689" s="0" t="s">
        <v>160</v>
      </c>
      <c r="AA689" s="0" t="s">
        <v>151</v>
      </c>
      <c r="AB689" s="0" t="s">
        <v>151</v>
      </c>
      <c r="AC689" s="0" t="s">
        <v>2290</v>
      </c>
      <c r="AD689" s="0" t="s">
        <v>2290</v>
      </c>
      <c r="AE689" s="0" t="s">
        <v>2292</v>
      </c>
      <c r="AF689" s="0" t="s">
        <v>3558</v>
      </c>
      <c r="AG689" s="0" t="s">
        <v>3559</v>
      </c>
      <c r="AH689" s="0" t="s">
        <v>5313</v>
      </c>
      <c r="AI689" s="0" t="s">
        <v>5314</v>
      </c>
      <c r="AJ689" s="0" t="s">
        <v>5279</v>
      </c>
      <c r="AK689" s="0" t="s">
        <v>4075</v>
      </c>
      <c r="AL689" s="0" t="s">
        <v>5125</v>
      </c>
      <c r="AN689" s="0" t="s">
        <v>4188</v>
      </c>
      <c r="AO689" s="0" t="s">
        <v>3621</v>
      </c>
      <c r="AP689" s="0" t="s">
        <v>228</v>
      </c>
      <c r="AQ689" s="0" t="s">
        <v>228</v>
      </c>
      <c r="AR689" s="0" t="s">
        <v>228</v>
      </c>
      <c r="AS689" s="0" t="s">
        <v>228</v>
      </c>
      <c r="AT689" s="0" t="s">
        <v>228</v>
      </c>
      <c r="AU689" s="0" t="s">
        <v>228</v>
      </c>
      <c r="AV689" s="0" t="s">
        <v>228</v>
      </c>
      <c r="AW689" s="0" t="s">
        <v>228</v>
      </c>
      <c r="AX689" s="0" t="s">
        <v>228</v>
      </c>
      <c r="AY689" s="0" t="s">
        <v>228</v>
      </c>
      <c r="AZ689" s="0" t="s">
        <v>228</v>
      </c>
      <c r="BA689" s="0" t="s">
        <v>228</v>
      </c>
      <c r="BB689" s="0" t="s">
        <v>228</v>
      </c>
      <c r="BC689" s="0" t="s">
        <v>228</v>
      </c>
      <c r="BD689" s="0" t="s">
        <v>228</v>
      </c>
      <c r="BE689" s="0" t="s">
        <v>228</v>
      </c>
      <c r="BF689" s="0" t="s">
        <v>228</v>
      </c>
      <c r="BG689" s="0" t="s">
        <v>228</v>
      </c>
      <c r="BH689" s="0" t="s">
        <v>228</v>
      </c>
      <c r="BI689" s="0" t="s">
        <v>228</v>
      </c>
      <c r="BJ689" s="0" t="s">
        <v>228</v>
      </c>
      <c r="BK689" s="0" t="s">
        <v>228</v>
      </c>
      <c r="BL689" s="0" t="s">
        <v>228</v>
      </c>
      <c r="BM689" s="0" t="s">
        <v>228</v>
      </c>
      <c r="BN689" s="0" t="s">
        <v>228</v>
      </c>
      <c r="BO689" s="0" t="s">
        <v>228</v>
      </c>
      <c r="BP689" s="0" t="s">
        <v>228</v>
      </c>
      <c r="BQ689" s="0" t="s">
        <v>228</v>
      </c>
      <c r="BR689" s="0" t="s">
        <v>228</v>
      </c>
      <c r="BS689" s="0" t="s">
        <v>228</v>
      </c>
      <c r="BT689" s="0" t="s">
        <v>228</v>
      </c>
      <c r="CS689" s="0" t="s">
        <v>228</v>
      </c>
      <c r="CT689" s="0" t="s">
        <v>3568</v>
      </c>
      <c r="CU689" s="0" t="s">
        <v>3569</v>
      </c>
      <c r="CV689" s="0" t="s">
        <v>418</v>
      </c>
      <c r="CW689" s="0" t="s">
        <v>3570</v>
      </c>
      <c r="CX689" s="0" t="s">
        <v>419</v>
      </c>
      <c r="CY689" s="0" t="s">
        <v>418</v>
      </c>
      <c r="CZ689" s="0" t="s">
        <v>3571</v>
      </c>
      <c r="DA689" s="0" t="s">
        <v>420</v>
      </c>
      <c r="DB689" s="0" t="s">
        <v>3570</v>
      </c>
      <c r="DC689" s="0" t="s">
        <v>362</v>
      </c>
      <c r="DD689" s="0" t="s">
        <v>282</v>
      </c>
      <c r="DE689" s="0" t="s">
        <v>5315</v>
      </c>
    </row>
    <row customHeight="1" ht="11.25">
      <c r="A690" s="1353" t="s">
        <v>228</v>
      </c>
      <c r="B690" s="0" t="s">
        <v>228</v>
      </c>
      <c r="C690" s="0" t="s">
        <v>228</v>
      </c>
      <c r="D690" s="0" t="s">
        <v>228</v>
      </c>
      <c r="E690" s="0" t="s">
        <v>228</v>
      </c>
      <c r="F690" s="0" t="s">
        <v>228</v>
      </c>
      <c r="G690" s="0" t="s">
        <v>228</v>
      </c>
      <c r="H690" s="0" t="s">
        <v>228</v>
      </c>
      <c r="I690" s="0" t="s">
        <v>5119</v>
      </c>
      <c r="J690" s="0" t="s">
        <v>228</v>
      </c>
      <c r="K690" s="0" t="s">
        <v>228</v>
      </c>
      <c r="L690" s="0" t="s">
        <v>228</v>
      </c>
      <c r="M690" s="0" t="s">
        <v>228</v>
      </c>
      <c r="N690" s="0" t="s">
        <v>228</v>
      </c>
      <c r="O690" s="0" t="s">
        <v>228</v>
      </c>
      <c r="P690" s="0" t="s">
        <v>228</v>
      </c>
      <c r="Q690" s="0" t="s">
        <v>228</v>
      </c>
      <c r="R690" s="0" t="s">
        <v>5316</v>
      </c>
      <c r="S690" s="0" t="s">
        <v>228</v>
      </c>
      <c r="T690" s="0" t="s">
        <v>228</v>
      </c>
      <c r="U690" s="0" t="s">
        <v>101</v>
      </c>
      <c r="V690" s="0" t="s">
        <v>228</v>
      </c>
      <c r="W690" s="0" t="s">
        <v>228</v>
      </c>
      <c r="X690" s="0" t="s">
        <v>5121</v>
      </c>
      <c r="Y690" s="0" t="s">
        <v>228</v>
      </c>
      <c r="Z690" s="0" t="s">
        <v>160</v>
      </c>
      <c r="AA690" s="0" t="s">
        <v>151</v>
      </c>
      <c r="AB690" s="0" t="s">
        <v>151</v>
      </c>
      <c r="AC690" s="0" t="s">
        <v>2715</v>
      </c>
      <c r="AD690" s="0" t="s">
        <v>2715</v>
      </c>
      <c r="AE690" s="0" t="s">
        <v>2716</v>
      </c>
      <c r="AF690" s="0" t="s">
        <v>3594</v>
      </c>
      <c r="AG690" s="0" t="s">
        <v>3595</v>
      </c>
      <c r="AH690" s="0" t="s">
        <v>5317</v>
      </c>
      <c r="AI690" s="0" t="s">
        <v>5318</v>
      </c>
      <c r="AJ690" s="0" t="s">
        <v>3899</v>
      </c>
      <c r="AK690" s="0" t="s">
        <v>5319</v>
      </c>
      <c r="AL690" s="0" t="s">
        <v>5125</v>
      </c>
      <c r="AN690" s="0" t="s">
        <v>3566</v>
      </c>
      <c r="AO690" s="0" t="s">
        <v>5320</v>
      </c>
      <c r="AP690" s="0" t="s">
        <v>228</v>
      </c>
      <c r="AQ690" s="0" t="s">
        <v>228</v>
      </c>
      <c r="AR690" s="0" t="s">
        <v>228</v>
      </c>
      <c r="AS690" s="0" t="s">
        <v>228</v>
      </c>
      <c r="AT690" s="0" t="s">
        <v>228</v>
      </c>
      <c r="AU690" s="0" t="s">
        <v>228</v>
      </c>
      <c r="AV690" s="0" t="s">
        <v>228</v>
      </c>
      <c r="AW690" s="0" t="s">
        <v>228</v>
      </c>
      <c r="AX690" s="0" t="s">
        <v>228</v>
      </c>
      <c r="AY690" s="0" t="s">
        <v>228</v>
      </c>
      <c r="AZ690" s="0" t="s">
        <v>228</v>
      </c>
      <c r="BA690" s="0" t="s">
        <v>228</v>
      </c>
      <c r="BB690" s="0" t="s">
        <v>228</v>
      </c>
      <c r="BC690" s="0" t="s">
        <v>228</v>
      </c>
      <c r="BD690" s="0" t="s">
        <v>228</v>
      </c>
      <c r="BE690" s="0" t="s">
        <v>228</v>
      </c>
      <c r="BF690" s="0" t="s">
        <v>228</v>
      </c>
      <c r="BG690" s="0" t="s">
        <v>228</v>
      </c>
      <c r="BH690" s="0" t="s">
        <v>228</v>
      </c>
      <c r="BI690" s="0" t="s">
        <v>228</v>
      </c>
      <c r="BJ690" s="0" t="s">
        <v>228</v>
      </c>
      <c r="BK690" s="0" t="s">
        <v>228</v>
      </c>
      <c r="BL690" s="0" t="s">
        <v>228</v>
      </c>
      <c r="BM690" s="0" t="s">
        <v>228</v>
      </c>
      <c r="BN690" s="0" t="s">
        <v>228</v>
      </c>
      <c r="BO690" s="0" t="s">
        <v>228</v>
      </c>
      <c r="BP690" s="0" t="s">
        <v>228</v>
      </c>
      <c r="BQ690" s="0" t="s">
        <v>228</v>
      </c>
      <c r="BR690" s="0" t="s">
        <v>228</v>
      </c>
      <c r="BS690" s="0" t="s">
        <v>228</v>
      </c>
      <c r="BT690" s="0" t="s">
        <v>228</v>
      </c>
      <c r="CS690" s="0" t="s">
        <v>228</v>
      </c>
      <c r="CT690" s="0" t="s">
        <v>3568</v>
      </c>
      <c r="CU690" s="0" t="s">
        <v>5128</v>
      </c>
      <c r="CV690" s="0" t="s">
        <v>4649</v>
      </c>
      <c r="CW690" s="0" t="s">
        <v>5321</v>
      </c>
      <c r="CX690" s="0" t="s">
        <v>3603</v>
      </c>
      <c r="CY690" s="0" t="s">
        <v>5322</v>
      </c>
      <c r="CZ690" s="0" t="s">
        <v>5323</v>
      </c>
      <c r="DA690" s="0" t="s">
        <v>5320</v>
      </c>
      <c r="DB690" s="0" t="s">
        <v>5321</v>
      </c>
      <c r="DC690" s="0" t="s">
        <v>362</v>
      </c>
      <c r="DD690" s="0" t="s">
        <v>282</v>
      </c>
      <c r="DE690" s="0" t="s">
        <v>5324</v>
      </c>
    </row>
    <row customHeight="1" ht="11.25">
      <c r="A691" s="1353" t="s">
        <v>228</v>
      </c>
      <c r="B691" s="0" t="s">
        <v>228</v>
      </c>
      <c r="C691" s="0" t="s">
        <v>228</v>
      </c>
      <c r="D691" s="0" t="s">
        <v>228</v>
      </c>
      <c r="E691" s="0" t="s">
        <v>228</v>
      </c>
      <c r="F691" s="0" t="s">
        <v>228</v>
      </c>
      <c r="G691" s="0" t="s">
        <v>228</v>
      </c>
      <c r="H691" s="0" t="s">
        <v>228</v>
      </c>
      <c r="I691" s="0" t="s">
        <v>5119</v>
      </c>
      <c r="J691" s="0" t="s">
        <v>228</v>
      </c>
      <c r="K691" s="0" t="s">
        <v>228</v>
      </c>
      <c r="L691" s="0" t="s">
        <v>228</v>
      </c>
      <c r="M691" s="0" t="s">
        <v>228</v>
      </c>
      <c r="N691" s="0" t="s">
        <v>228</v>
      </c>
      <c r="O691" s="0" t="s">
        <v>228</v>
      </c>
      <c r="P691" s="0" t="s">
        <v>228</v>
      </c>
      <c r="Q691" s="0" t="s">
        <v>228</v>
      </c>
      <c r="R691" s="0" t="s">
        <v>5325</v>
      </c>
      <c r="S691" s="0" t="s">
        <v>228</v>
      </c>
      <c r="T691" s="0" t="s">
        <v>228</v>
      </c>
      <c r="U691" s="0" t="s">
        <v>101</v>
      </c>
      <c r="V691" s="0" t="s">
        <v>228</v>
      </c>
      <c r="W691" s="0" t="s">
        <v>228</v>
      </c>
      <c r="X691" s="0" t="s">
        <v>5121</v>
      </c>
      <c r="Y691" s="0" t="s">
        <v>228</v>
      </c>
      <c r="Z691" s="0" t="s">
        <v>160</v>
      </c>
      <c r="AA691" s="0" t="s">
        <v>151</v>
      </c>
      <c r="AB691" s="0" t="s">
        <v>151</v>
      </c>
      <c r="AC691" s="0" t="s">
        <v>2317</v>
      </c>
      <c r="AD691" s="0" t="s">
        <v>2317</v>
      </c>
      <c r="AE691" s="0" t="s">
        <v>2318</v>
      </c>
      <c r="AF691" s="0" t="s">
        <v>3826</v>
      </c>
      <c r="AG691" s="0" t="s">
        <v>3827</v>
      </c>
      <c r="AH691" s="0" t="s">
        <v>5326</v>
      </c>
      <c r="AI691" s="0" t="s">
        <v>5327</v>
      </c>
      <c r="AJ691" s="0" t="s">
        <v>5029</v>
      </c>
      <c r="AK691" s="0" t="s">
        <v>5328</v>
      </c>
      <c r="AL691" s="0" t="s">
        <v>5125</v>
      </c>
      <c r="AN691" s="0" t="s">
        <v>3582</v>
      </c>
      <c r="AO691" s="0" t="s">
        <v>3701</v>
      </c>
      <c r="AP691" s="0" t="s">
        <v>228</v>
      </c>
      <c r="AQ691" s="0" t="s">
        <v>228</v>
      </c>
      <c r="AR691" s="0" t="s">
        <v>228</v>
      </c>
      <c r="AS691" s="0" t="s">
        <v>228</v>
      </c>
      <c r="AT691" s="0" t="s">
        <v>228</v>
      </c>
      <c r="AU691" s="0" t="s">
        <v>228</v>
      </c>
      <c r="AV691" s="0" t="s">
        <v>228</v>
      </c>
      <c r="AW691" s="0" t="s">
        <v>228</v>
      </c>
      <c r="AX691" s="0" t="s">
        <v>228</v>
      </c>
      <c r="AY691" s="0" t="s">
        <v>228</v>
      </c>
      <c r="AZ691" s="0" t="s">
        <v>228</v>
      </c>
      <c r="BA691" s="0" t="s">
        <v>228</v>
      </c>
      <c r="BB691" s="0" t="s">
        <v>228</v>
      </c>
      <c r="BC691" s="0" t="s">
        <v>228</v>
      </c>
      <c r="BD691" s="0" t="s">
        <v>228</v>
      </c>
      <c r="BE691" s="0" t="s">
        <v>228</v>
      </c>
      <c r="BF691" s="0" t="s">
        <v>228</v>
      </c>
      <c r="BG691" s="0" t="s">
        <v>228</v>
      </c>
      <c r="BH691" s="0" t="s">
        <v>228</v>
      </c>
      <c r="BI691" s="0" t="s">
        <v>228</v>
      </c>
      <c r="BJ691" s="0" t="s">
        <v>228</v>
      </c>
      <c r="BK691" s="0" t="s">
        <v>228</v>
      </c>
      <c r="BL691" s="0" t="s">
        <v>228</v>
      </c>
      <c r="BM691" s="0" t="s">
        <v>228</v>
      </c>
      <c r="BN691" s="0" t="s">
        <v>228</v>
      </c>
      <c r="BO691" s="0" t="s">
        <v>228</v>
      </c>
      <c r="BP691" s="0" t="s">
        <v>228</v>
      </c>
      <c r="BQ691" s="0" t="s">
        <v>228</v>
      </c>
      <c r="BR691" s="0" t="s">
        <v>228</v>
      </c>
      <c r="BS691" s="0" t="s">
        <v>228</v>
      </c>
      <c r="BT691" s="0" t="s">
        <v>228</v>
      </c>
      <c r="CS691" s="0" t="s">
        <v>228</v>
      </c>
      <c r="CT691" s="0" t="s">
        <v>3568</v>
      </c>
      <c r="CU691" s="0" t="s">
        <v>3569</v>
      </c>
      <c r="CV691" s="0" t="s">
        <v>418</v>
      </c>
      <c r="CW691" s="0" t="s">
        <v>3622</v>
      </c>
      <c r="CX691" s="0" t="s">
        <v>419</v>
      </c>
      <c r="CY691" s="0" t="s">
        <v>418</v>
      </c>
      <c r="CZ691" s="0" t="s">
        <v>3623</v>
      </c>
      <c r="DA691" s="0" t="s">
        <v>3624</v>
      </c>
      <c r="DB691" s="0" t="s">
        <v>3622</v>
      </c>
      <c r="DC691" s="0" t="s">
        <v>362</v>
      </c>
      <c r="DD691" s="0" t="s">
        <v>282</v>
      </c>
      <c r="DE691" s="0" t="s">
        <v>5329</v>
      </c>
    </row>
    <row customHeight="1" ht="11.25">
      <c r="A692" s="1353" t="s">
        <v>228</v>
      </c>
      <c r="B692" s="0" t="s">
        <v>228</v>
      </c>
      <c r="C692" s="0" t="s">
        <v>228</v>
      </c>
      <c r="D692" s="0" t="s">
        <v>228</v>
      </c>
      <c r="E692" s="0" t="s">
        <v>228</v>
      </c>
      <c r="F692" s="0" t="s">
        <v>228</v>
      </c>
      <c r="G692" s="0" t="s">
        <v>228</v>
      </c>
      <c r="H692" s="0" t="s">
        <v>228</v>
      </c>
      <c r="I692" s="0" t="s">
        <v>5119</v>
      </c>
      <c r="J692" s="0" t="s">
        <v>228</v>
      </c>
      <c r="K692" s="0" t="s">
        <v>228</v>
      </c>
      <c r="L692" s="0" t="s">
        <v>228</v>
      </c>
      <c r="M692" s="0" t="s">
        <v>228</v>
      </c>
      <c r="N692" s="0" t="s">
        <v>228</v>
      </c>
      <c r="O692" s="0" t="s">
        <v>228</v>
      </c>
      <c r="P692" s="0" t="s">
        <v>228</v>
      </c>
      <c r="Q692" s="0" t="s">
        <v>228</v>
      </c>
      <c r="R692" s="0" t="s">
        <v>5330</v>
      </c>
      <c r="S692" s="0" t="s">
        <v>228</v>
      </c>
      <c r="T692" s="0" t="s">
        <v>228</v>
      </c>
      <c r="U692" s="0" t="s">
        <v>101</v>
      </c>
      <c r="V692" s="0" t="s">
        <v>228</v>
      </c>
      <c r="W692" s="0" t="s">
        <v>228</v>
      </c>
      <c r="X692" s="0" t="s">
        <v>5121</v>
      </c>
      <c r="Y692" s="0" t="s">
        <v>228</v>
      </c>
      <c r="Z692" s="0" t="s">
        <v>160</v>
      </c>
      <c r="AA692" s="0" t="s">
        <v>151</v>
      </c>
      <c r="AB692" s="0" t="s">
        <v>151</v>
      </c>
      <c r="AC692" s="0" t="s">
        <v>2317</v>
      </c>
      <c r="AD692" s="0" t="s">
        <v>2317</v>
      </c>
      <c r="AE692" s="0" t="s">
        <v>2318</v>
      </c>
      <c r="AF692" s="0" t="s">
        <v>3826</v>
      </c>
      <c r="AG692" s="0" t="s">
        <v>3827</v>
      </c>
      <c r="AH692" s="0" t="s">
        <v>5331</v>
      </c>
      <c r="AI692" s="0" t="s">
        <v>3651</v>
      </c>
      <c r="AJ692" s="0" t="s">
        <v>5029</v>
      </c>
      <c r="AK692" s="0" t="s">
        <v>5328</v>
      </c>
      <c r="AL692" s="0" t="s">
        <v>5125</v>
      </c>
      <c r="AN692" s="0" t="s">
        <v>3582</v>
      </c>
      <c r="AO692" s="0" t="s">
        <v>3701</v>
      </c>
      <c r="AP692" s="0" t="s">
        <v>228</v>
      </c>
      <c r="AQ692" s="0" t="s">
        <v>228</v>
      </c>
      <c r="AR692" s="0" t="s">
        <v>228</v>
      </c>
      <c r="AS692" s="0" t="s">
        <v>228</v>
      </c>
      <c r="AT692" s="0" t="s">
        <v>228</v>
      </c>
      <c r="AU692" s="0" t="s">
        <v>228</v>
      </c>
      <c r="AV692" s="0" t="s">
        <v>228</v>
      </c>
      <c r="AW692" s="0" t="s">
        <v>228</v>
      </c>
      <c r="AX692" s="0" t="s">
        <v>228</v>
      </c>
      <c r="AY692" s="0" t="s">
        <v>228</v>
      </c>
      <c r="AZ692" s="0" t="s">
        <v>228</v>
      </c>
      <c r="BA692" s="0" t="s">
        <v>228</v>
      </c>
      <c r="BB692" s="0" t="s">
        <v>228</v>
      </c>
      <c r="BC692" s="0" t="s">
        <v>228</v>
      </c>
      <c r="BD692" s="0" t="s">
        <v>228</v>
      </c>
      <c r="BE692" s="0" t="s">
        <v>228</v>
      </c>
      <c r="BF692" s="0" t="s">
        <v>228</v>
      </c>
      <c r="BG692" s="0" t="s">
        <v>228</v>
      </c>
      <c r="BH692" s="0" t="s">
        <v>228</v>
      </c>
      <c r="BI692" s="0" t="s">
        <v>228</v>
      </c>
      <c r="BJ692" s="0" t="s">
        <v>228</v>
      </c>
      <c r="BK692" s="0" t="s">
        <v>228</v>
      </c>
      <c r="BL692" s="0" t="s">
        <v>228</v>
      </c>
      <c r="BM692" s="0" t="s">
        <v>228</v>
      </c>
      <c r="BN692" s="0" t="s">
        <v>228</v>
      </c>
      <c r="BO692" s="0" t="s">
        <v>228</v>
      </c>
      <c r="BP692" s="0" t="s">
        <v>228</v>
      </c>
      <c r="BQ692" s="0" t="s">
        <v>228</v>
      </c>
      <c r="BR692" s="0" t="s">
        <v>228</v>
      </c>
      <c r="BS692" s="0" t="s">
        <v>228</v>
      </c>
      <c r="BT692" s="0" t="s">
        <v>228</v>
      </c>
      <c r="CS692" s="0" t="s">
        <v>228</v>
      </c>
      <c r="CT692" s="0" t="s">
        <v>3568</v>
      </c>
      <c r="CU692" s="0" t="s">
        <v>3569</v>
      </c>
      <c r="CV692" s="0" t="s">
        <v>418</v>
      </c>
      <c r="CW692" s="0" t="s">
        <v>3622</v>
      </c>
      <c r="CX692" s="0" t="s">
        <v>419</v>
      </c>
      <c r="CY692" s="0" t="s">
        <v>418</v>
      </c>
      <c r="CZ692" s="0" t="s">
        <v>3623</v>
      </c>
      <c r="DA692" s="0" t="s">
        <v>3624</v>
      </c>
      <c r="DB692" s="0" t="s">
        <v>3622</v>
      </c>
      <c r="DC692" s="0" t="s">
        <v>362</v>
      </c>
      <c r="DD692" s="0" t="s">
        <v>282</v>
      </c>
      <c r="DE692" s="0" t="s">
        <v>5332</v>
      </c>
    </row>
    <row customHeight="1" ht="11.25">
      <c r="A693" s="1353" t="s">
        <v>228</v>
      </c>
      <c r="B693" s="0" t="s">
        <v>228</v>
      </c>
      <c r="C693" s="0" t="s">
        <v>228</v>
      </c>
      <c r="D693" s="0" t="s">
        <v>228</v>
      </c>
      <c r="E693" s="0" t="s">
        <v>228</v>
      </c>
      <c r="F693" s="0" t="s">
        <v>228</v>
      </c>
      <c r="G693" s="0" t="s">
        <v>228</v>
      </c>
      <c r="H693" s="0" t="s">
        <v>228</v>
      </c>
      <c r="I693" s="0" t="s">
        <v>5119</v>
      </c>
      <c r="J693" s="0" t="s">
        <v>228</v>
      </c>
      <c r="K693" s="0" t="s">
        <v>228</v>
      </c>
      <c r="L693" s="0" t="s">
        <v>228</v>
      </c>
      <c r="M693" s="0" t="s">
        <v>228</v>
      </c>
      <c r="N693" s="0" t="s">
        <v>228</v>
      </c>
      <c r="O693" s="0" t="s">
        <v>228</v>
      </c>
      <c r="P693" s="0" t="s">
        <v>228</v>
      </c>
      <c r="Q693" s="0" t="s">
        <v>228</v>
      </c>
      <c r="R693" s="0" t="s">
        <v>5333</v>
      </c>
      <c r="S693" s="0" t="s">
        <v>228</v>
      </c>
      <c r="T693" s="0" t="s">
        <v>228</v>
      </c>
      <c r="U693" s="0" t="s">
        <v>101</v>
      </c>
      <c r="V693" s="0" t="s">
        <v>228</v>
      </c>
      <c r="W693" s="0" t="s">
        <v>228</v>
      </c>
      <c r="X693" s="0" t="s">
        <v>5121</v>
      </c>
      <c r="Y693" s="0" t="s">
        <v>228</v>
      </c>
      <c r="Z693" s="0" t="s">
        <v>160</v>
      </c>
      <c r="AA693" s="0" t="s">
        <v>151</v>
      </c>
      <c r="AB693" s="0" t="s">
        <v>151</v>
      </c>
      <c r="AC693" s="0" t="s">
        <v>2715</v>
      </c>
      <c r="AD693" s="0" t="s">
        <v>2715</v>
      </c>
      <c r="AE693" s="0" t="s">
        <v>2716</v>
      </c>
      <c r="AF693" s="0" t="s">
        <v>3594</v>
      </c>
      <c r="AG693" s="0" t="s">
        <v>3595</v>
      </c>
      <c r="AH693" s="0" t="s">
        <v>5334</v>
      </c>
      <c r="AI693" s="0" t="s">
        <v>489</v>
      </c>
      <c r="AJ693" s="0" t="s">
        <v>4993</v>
      </c>
      <c r="AK693" s="0" t="s">
        <v>5335</v>
      </c>
      <c r="AL693" s="0" t="s">
        <v>5125</v>
      </c>
      <c r="AN693" s="0" t="s">
        <v>3563</v>
      </c>
      <c r="AO693" s="0" t="s">
        <v>5233</v>
      </c>
      <c r="AP693" s="0" t="s">
        <v>228</v>
      </c>
      <c r="AQ693" s="0" t="s">
        <v>228</v>
      </c>
      <c r="AR693" s="0" t="s">
        <v>228</v>
      </c>
      <c r="AS693" s="0" t="s">
        <v>228</v>
      </c>
      <c r="AT693" s="0" t="s">
        <v>228</v>
      </c>
      <c r="AU693" s="0" t="s">
        <v>228</v>
      </c>
      <c r="AV693" s="0" t="s">
        <v>228</v>
      </c>
      <c r="AW693" s="0" t="s">
        <v>228</v>
      </c>
      <c r="AX693" s="0" t="s">
        <v>228</v>
      </c>
      <c r="AY693" s="0" t="s">
        <v>228</v>
      </c>
      <c r="AZ693" s="0" t="s">
        <v>228</v>
      </c>
      <c r="BA693" s="0" t="s">
        <v>228</v>
      </c>
      <c r="BB693" s="0" t="s">
        <v>228</v>
      </c>
      <c r="BC693" s="0" t="s">
        <v>228</v>
      </c>
      <c r="BD693" s="0" t="s">
        <v>228</v>
      </c>
      <c r="BE693" s="0" t="s">
        <v>228</v>
      </c>
      <c r="BF693" s="0" t="s">
        <v>228</v>
      </c>
      <c r="BG693" s="0" t="s">
        <v>228</v>
      </c>
      <c r="BH693" s="0" t="s">
        <v>228</v>
      </c>
      <c r="BI693" s="0" t="s">
        <v>228</v>
      </c>
      <c r="BJ693" s="0" t="s">
        <v>228</v>
      </c>
      <c r="BK693" s="0" t="s">
        <v>228</v>
      </c>
      <c r="BL693" s="0" t="s">
        <v>228</v>
      </c>
      <c r="BM693" s="0" t="s">
        <v>228</v>
      </c>
      <c r="BN693" s="0" t="s">
        <v>228</v>
      </c>
      <c r="BO693" s="0" t="s">
        <v>228</v>
      </c>
      <c r="BP693" s="0" t="s">
        <v>228</v>
      </c>
      <c r="BQ693" s="0" t="s">
        <v>228</v>
      </c>
      <c r="BR693" s="0" t="s">
        <v>228</v>
      </c>
      <c r="BS693" s="0" t="s">
        <v>228</v>
      </c>
      <c r="BT693" s="0" t="s">
        <v>228</v>
      </c>
      <c r="CS693" s="0" t="s">
        <v>228</v>
      </c>
      <c r="CT693" s="0" t="s">
        <v>3568</v>
      </c>
      <c r="CU693" s="0" t="s">
        <v>3569</v>
      </c>
      <c r="CV693" s="0" t="s">
        <v>418</v>
      </c>
      <c r="CW693" s="0" t="s">
        <v>3602</v>
      </c>
      <c r="CX693" s="0" t="s">
        <v>419</v>
      </c>
      <c r="CY693" s="0" t="s">
        <v>418</v>
      </c>
      <c r="CZ693" s="0" t="s">
        <v>504</v>
      </c>
      <c r="DA693" s="0" t="s">
        <v>3604</v>
      </c>
      <c r="DB693" s="0" t="s">
        <v>3602</v>
      </c>
      <c r="DC693" s="0" t="s">
        <v>362</v>
      </c>
      <c r="DD693" s="0" t="s">
        <v>282</v>
      </c>
      <c r="DE693" s="0" t="s">
        <v>5336</v>
      </c>
    </row>
    <row customHeight="1" ht="11.25">
      <c r="A694" s="1353" t="s">
        <v>228</v>
      </c>
      <c r="B694" s="0" t="s">
        <v>228</v>
      </c>
      <c r="C694" s="0" t="s">
        <v>228</v>
      </c>
      <c r="D694" s="0" t="s">
        <v>228</v>
      </c>
      <c r="E694" s="0" t="s">
        <v>228</v>
      </c>
      <c r="F694" s="0" t="s">
        <v>228</v>
      </c>
      <c r="G694" s="0" t="s">
        <v>228</v>
      </c>
      <c r="H694" s="0" t="s">
        <v>228</v>
      </c>
      <c r="I694" s="0" t="s">
        <v>5119</v>
      </c>
      <c r="J694" s="0" t="s">
        <v>228</v>
      </c>
      <c r="K694" s="0" t="s">
        <v>228</v>
      </c>
      <c r="L694" s="0" t="s">
        <v>228</v>
      </c>
      <c r="M694" s="0" t="s">
        <v>228</v>
      </c>
      <c r="N694" s="0" t="s">
        <v>228</v>
      </c>
      <c r="O694" s="0" t="s">
        <v>228</v>
      </c>
      <c r="P694" s="0" t="s">
        <v>228</v>
      </c>
      <c r="Q694" s="0" t="s">
        <v>228</v>
      </c>
      <c r="R694" s="0" t="s">
        <v>5337</v>
      </c>
      <c r="S694" s="0" t="s">
        <v>228</v>
      </c>
      <c r="T694" s="0" t="s">
        <v>228</v>
      </c>
      <c r="U694" s="0" t="s">
        <v>101</v>
      </c>
      <c r="V694" s="0" t="s">
        <v>228</v>
      </c>
      <c r="W694" s="0" t="s">
        <v>228</v>
      </c>
      <c r="X694" s="0" t="s">
        <v>5121</v>
      </c>
      <c r="Y694" s="0" t="s">
        <v>228</v>
      </c>
      <c r="Z694" s="0" t="s">
        <v>160</v>
      </c>
      <c r="AA694" s="0" t="s">
        <v>151</v>
      </c>
      <c r="AB694" s="0" t="s">
        <v>151</v>
      </c>
      <c r="AC694" s="0" t="s">
        <v>2715</v>
      </c>
      <c r="AD694" s="0" t="s">
        <v>2715</v>
      </c>
      <c r="AE694" s="0" t="s">
        <v>2716</v>
      </c>
      <c r="AF694" s="0" t="s">
        <v>3594</v>
      </c>
      <c r="AG694" s="0" t="s">
        <v>3595</v>
      </c>
      <c r="AH694" s="0" t="s">
        <v>5338</v>
      </c>
      <c r="AI694" s="0" t="s">
        <v>3651</v>
      </c>
      <c r="AJ694" s="0" t="s">
        <v>4993</v>
      </c>
      <c r="AK694" s="0" t="s">
        <v>3579</v>
      </c>
      <c r="AL694" s="0" t="s">
        <v>5125</v>
      </c>
      <c r="AN694" s="0" t="s">
        <v>3899</v>
      </c>
      <c r="AO694" s="0" t="s">
        <v>5339</v>
      </c>
      <c r="AP694" s="0" t="s">
        <v>228</v>
      </c>
      <c r="AQ694" s="0" t="s">
        <v>228</v>
      </c>
      <c r="AR694" s="0" t="s">
        <v>228</v>
      </c>
      <c r="AS694" s="0" t="s">
        <v>228</v>
      </c>
      <c r="AT694" s="0" t="s">
        <v>228</v>
      </c>
      <c r="AU694" s="0" t="s">
        <v>228</v>
      </c>
      <c r="AV694" s="0" t="s">
        <v>228</v>
      </c>
      <c r="AW694" s="0" t="s">
        <v>228</v>
      </c>
      <c r="AX694" s="0" t="s">
        <v>228</v>
      </c>
      <c r="AY694" s="0" t="s">
        <v>228</v>
      </c>
      <c r="AZ694" s="0" t="s">
        <v>228</v>
      </c>
      <c r="BA694" s="0" t="s">
        <v>228</v>
      </c>
      <c r="BB694" s="0" t="s">
        <v>228</v>
      </c>
      <c r="BC694" s="0" t="s">
        <v>228</v>
      </c>
      <c r="BD694" s="0" t="s">
        <v>228</v>
      </c>
      <c r="BE694" s="0" t="s">
        <v>228</v>
      </c>
      <c r="BF694" s="0" t="s">
        <v>228</v>
      </c>
      <c r="BG694" s="0" t="s">
        <v>228</v>
      </c>
      <c r="BH694" s="0" t="s">
        <v>228</v>
      </c>
      <c r="BI694" s="0" t="s">
        <v>228</v>
      </c>
      <c r="BJ694" s="0" t="s">
        <v>228</v>
      </c>
      <c r="BK694" s="0" t="s">
        <v>228</v>
      </c>
      <c r="BL694" s="0" t="s">
        <v>228</v>
      </c>
      <c r="BM694" s="0" t="s">
        <v>228</v>
      </c>
      <c r="BN694" s="0" t="s">
        <v>228</v>
      </c>
      <c r="BO694" s="0" t="s">
        <v>228</v>
      </c>
      <c r="BP694" s="0" t="s">
        <v>228</v>
      </c>
      <c r="BQ694" s="0" t="s">
        <v>228</v>
      </c>
      <c r="BR694" s="0" t="s">
        <v>228</v>
      </c>
      <c r="BS694" s="0" t="s">
        <v>228</v>
      </c>
      <c r="BT694" s="0" t="s">
        <v>228</v>
      </c>
      <c r="CS694" s="0" t="s">
        <v>228</v>
      </c>
      <c r="CT694" s="0" t="s">
        <v>3568</v>
      </c>
      <c r="CU694" s="0" t="s">
        <v>5128</v>
      </c>
      <c r="CV694" s="0" t="s">
        <v>5340</v>
      </c>
      <c r="CW694" s="0" t="s">
        <v>5341</v>
      </c>
      <c r="CX694" s="0" t="s">
        <v>5342</v>
      </c>
      <c r="CY694" s="0" t="s">
        <v>5322</v>
      </c>
      <c r="CZ694" s="0" t="s">
        <v>5343</v>
      </c>
      <c r="DA694" s="0" t="s">
        <v>5339</v>
      </c>
      <c r="DB694" s="0" t="s">
        <v>5341</v>
      </c>
      <c r="DC694" s="0" t="s">
        <v>362</v>
      </c>
      <c r="DD694" s="0" t="s">
        <v>282</v>
      </c>
      <c r="DE694" s="0" t="s">
        <v>5344</v>
      </c>
    </row>
    <row customHeight="1" ht="11.25">
      <c r="A695" s="1353" t="s">
        <v>228</v>
      </c>
      <c r="B695" s="0" t="s">
        <v>228</v>
      </c>
      <c r="C695" s="0" t="s">
        <v>228</v>
      </c>
      <c r="D695" s="0" t="s">
        <v>228</v>
      </c>
      <c r="E695" s="0" t="s">
        <v>228</v>
      </c>
      <c r="F695" s="0" t="s">
        <v>228</v>
      </c>
      <c r="G695" s="0" t="s">
        <v>228</v>
      </c>
      <c r="H695" s="0" t="s">
        <v>228</v>
      </c>
      <c r="I695" s="0" t="s">
        <v>5119</v>
      </c>
      <c r="J695" s="0" t="s">
        <v>228</v>
      </c>
      <c r="K695" s="0" t="s">
        <v>228</v>
      </c>
      <c r="L695" s="0" t="s">
        <v>228</v>
      </c>
      <c r="M695" s="0" t="s">
        <v>228</v>
      </c>
      <c r="N695" s="0" t="s">
        <v>228</v>
      </c>
      <c r="O695" s="0" t="s">
        <v>228</v>
      </c>
      <c r="P695" s="0" t="s">
        <v>228</v>
      </c>
      <c r="Q695" s="0" t="s">
        <v>228</v>
      </c>
      <c r="R695" s="0" t="s">
        <v>5345</v>
      </c>
      <c r="S695" s="0" t="s">
        <v>228</v>
      </c>
      <c r="T695" s="0" t="s">
        <v>228</v>
      </c>
      <c r="U695" s="0" t="s">
        <v>101</v>
      </c>
      <c r="V695" s="0" t="s">
        <v>228</v>
      </c>
      <c r="W695" s="0" t="s">
        <v>228</v>
      </c>
      <c r="X695" s="0" t="s">
        <v>5121</v>
      </c>
      <c r="Y695" s="0" t="s">
        <v>228</v>
      </c>
      <c r="Z695" s="0" t="s">
        <v>160</v>
      </c>
      <c r="AA695" s="0" t="s">
        <v>151</v>
      </c>
      <c r="AB695" s="0" t="s">
        <v>151</v>
      </c>
      <c r="AC695" s="0" t="s">
        <v>2715</v>
      </c>
      <c r="AD695" s="0" t="s">
        <v>2715</v>
      </c>
      <c r="AE695" s="0" t="s">
        <v>2716</v>
      </c>
      <c r="AF695" s="0" t="s">
        <v>3594</v>
      </c>
      <c r="AG695" s="0" t="s">
        <v>3595</v>
      </c>
      <c r="AH695" s="0" t="s">
        <v>5346</v>
      </c>
      <c r="AI695" s="0" t="s">
        <v>5347</v>
      </c>
      <c r="AJ695" s="0" t="s">
        <v>5348</v>
      </c>
      <c r="AK695" s="0" t="s">
        <v>5349</v>
      </c>
      <c r="AL695" s="0" t="s">
        <v>5125</v>
      </c>
      <c r="AN695" s="0" t="s">
        <v>3563</v>
      </c>
      <c r="AO695" s="0" t="s">
        <v>5233</v>
      </c>
      <c r="AP695" s="0" t="s">
        <v>228</v>
      </c>
      <c r="AQ695" s="0" t="s">
        <v>228</v>
      </c>
      <c r="AR695" s="0" t="s">
        <v>228</v>
      </c>
      <c r="AS695" s="0" t="s">
        <v>228</v>
      </c>
      <c r="AT695" s="0" t="s">
        <v>228</v>
      </c>
      <c r="AU695" s="0" t="s">
        <v>228</v>
      </c>
      <c r="AV695" s="0" t="s">
        <v>228</v>
      </c>
      <c r="AW695" s="0" t="s">
        <v>228</v>
      </c>
      <c r="AX695" s="0" t="s">
        <v>228</v>
      </c>
      <c r="AY695" s="0" t="s">
        <v>228</v>
      </c>
      <c r="AZ695" s="0" t="s">
        <v>228</v>
      </c>
      <c r="BA695" s="0" t="s">
        <v>228</v>
      </c>
      <c r="BB695" s="0" t="s">
        <v>228</v>
      </c>
      <c r="BC695" s="0" t="s">
        <v>228</v>
      </c>
      <c r="BD695" s="0" t="s">
        <v>228</v>
      </c>
      <c r="BE695" s="0" t="s">
        <v>228</v>
      </c>
      <c r="BF695" s="0" t="s">
        <v>228</v>
      </c>
      <c r="BG695" s="0" t="s">
        <v>228</v>
      </c>
      <c r="BH695" s="0" t="s">
        <v>228</v>
      </c>
      <c r="BI695" s="0" t="s">
        <v>228</v>
      </c>
      <c r="BJ695" s="0" t="s">
        <v>228</v>
      </c>
      <c r="BK695" s="0" t="s">
        <v>228</v>
      </c>
      <c r="BL695" s="0" t="s">
        <v>228</v>
      </c>
      <c r="BM695" s="0" t="s">
        <v>228</v>
      </c>
      <c r="BN695" s="0" t="s">
        <v>228</v>
      </c>
      <c r="BO695" s="0" t="s">
        <v>228</v>
      </c>
      <c r="BP695" s="0" t="s">
        <v>228</v>
      </c>
      <c r="BQ695" s="0" t="s">
        <v>228</v>
      </c>
      <c r="BR695" s="0" t="s">
        <v>228</v>
      </c>
      <c r="BS695" s="0" t="s">
        <v>228</v>
      </c>
      <c r="BT695" s="0" t="s">
        <v>228</v>
      </c>
      <c r="CS695" s="0" t="s">
        <v>228</v>
      </c>
      <c r="CT695" s="0" t="s">
        <v>3568</v>
      </c>
      <c r="CU695" s="0" t="s">
        <v>3569</v>
      </c>
      <c r="CV695" s="0" t="s">
        <v>418</v>
      </c>
      <c r="CW695" s="0" t="s">
        <v>3602</v>
      </c>
      <c r="CX695" s="0" t="s">
        <v>419</v>
      </c>
      <c r="CY695" s="0" t="s">
        <v>418</v>
      </c>
      <c r="CZ695" s="0" t="s">
        <v>504</v>
      </c>
      <c r="DA695" s="0" t="s">
        <v>3604</v>
      </c>
      <c r="DB695" s="0" t="s">
        <v>5350</v>
      </c>
      <c r="DC695" s="0" t="s">
        <v>362</v>
      </c>
      <c r="DD695" s="0" t="s">
        <v>282</v>
      </c>
      <c r="DE695" s="0" t="s">
        <v>5351</v>
      </c>
    </row>
    <row customHeight="1" ht="11.25">
      <c r="A696" s="1353" t="s">
        <v>228</v>
      </c>
      <c r="B696" s="0" t="s">
        <v>228</v>
      </c>
      <c r="C696" s="0" t="s">
        <v>228</v>
      </c>
      <c r="D696" s="0" t="s">
        <v>228</v>
      </c>
      <c r="E696" s="0" t="s">
        <v>228</v>
      </c>
      <c r="F696" s="0" t="s">
        <v>228</v>
      </c>
      <c r="G696" s="0" t="s">
        <v>228</v>
      </c>
      <c r="H696" s="0" t="s">
        <v>228</v>
      </c>
      <c r="I696" s="0" t="s">
        <v>5119</v>
      </c>
      <c r="J696" s="0" t="s">
        <v>228</v>
      </c>
      <c r="K696" s="0" t="s">
        <v>228</v>
      </c>
      <c r="L696" s="0" t="s">
        <v>228</v>
      </c>
      <c r="M696" s="0" t="s">
        <v>228</v>
      </c>
      <c r="N696" s="0" t="s">
        <v>228</v>
      </c>
      <c r="O696" s="0" t="s">
        <v>228</v>
      </c>
      <c r="P696" s="0" t="s">
        <v>228</v>
      </c>
      <c r="Q696" s="0" t="s">
        <v>228</v>
      </c>
      <c r="R696" s="0" t="s">
        <v>5352</v>
      </c>
      <c r="S696" s="0" t="s">
        <v>228</v>
      </c>
      <c r="T696" s="0" t="s">
        <v>228</v>
      </c>
      <c r="U696" s="0" t="s">
        <v>101</v>
      </c>
      <c r="V696" s="0" t="s">
        <v>228</v>
      </c>
      <c r="W696" s="0" t="s">
        <v>228</v>
      </c>
      <c r="X696" s="0" t="s">
        <v>5121</v>
      </c>
      <c r="Y696" s="0" t="s">
        <v>228</v>
      </c>
      <c r="Z696" s="0" t="s">
        <v>160</v>
      </c>
      <c r="AA696" s="0" t="s">
        <v>151</v>
      </c>
      <c r="AB696" s="0" t="s">
        <v>151</v>
      </c>
      <c r="AC696" s="0" t="s">
        <v>2290</v>
      </c>
      <c r="AD696" s="0" t="s">
        <v>2290</v>
      </c>
      <c r="AE696" s="0" t="s">
        <v>2292</v>
      </c>
      <c r="AF696" s="0" t="s">
        <v>3558</v>
      </c>
      <c r="AG696" s="0" t="s">
        <v>3559</v>
      </c>
      <c r="AH696" s="0" t="s">
        <v>3560</v>
      </c>
      <c r="AI696" s="0" t="s">
        <v>5353</v>
      </c>
      <c r="AJ696" s="0" t="s">
        <v>3654</v>
      </c>
      <c r="AK696" s="0" t="s">
        <v>3853</v>
      </c>
      <c r="AL696" s="0" t="s">
        <v>5125</v>
      </c>
      <c r="AN696" s="0" t="s">
        <v>5354</v>
      </c>
      <c r="AO696" s="0" t="s">
        <v>3712</v>
      </c>
      <c r="AP696" s="0" t="s">
        <v>228</v>
      </c>
      <c r="AQ696" s="0" t="s">
        <v>228</v>
      </c>
      <c r="AR696" s="0" t="s">
        <v>228</v>
      </c>
      <c r="AS696" s="0" t="s">
        <v>228</v>
      </c>
      <c r="AT696" s="0" t="s">
        <v>228</v>
      </c>
      <c r="AU696" s="0" t="s">
        <v>228</v>
      </c>
      <c r="AV696" s="0" t="s">
        <v>228</v>
      </c>
      <c r="AW696" s="0" t="s">
        <v>228</v>
      </c>
      <c r="AX696" s="0" t="s">
        <v>228</v>
      </c>
      <c r="AY696" s="0" t="s">
        <v>228</v>
      </c>
      <c r="AZ696" s="0" t="s">
        <v>228</v>
      </c>
      <c r="BA696" s="0" t="s">
        <v>228</v>
      </c>
      <c r="BB696" s="0" t="s">
        <v>228</v>
      </c>
      <c r="BC696" s="0" t="s">
        <v>228</v>
      </c>
      <c r="BD696" s="0" t="s">
        <v>228</v>
      </c>
      <c r="BE696" s="0" t="s">
        <v>228</v>
      </c>
      <c r="BF696" s="0" t="s">
        <v>228</v>
      </c>
      <c r="BG696" s="0" t="s">
        <v>228</v>
      </c>
      <c r="BH696" s="0" t="s">
        <v>228</v>
      </c>
      <c r="BI696" s="0" t="s">
        <v>228</v>
      </c>
      <c r="BJ696" s="0" t="s">
        <v>228</v>
      </c>
      <c r="BK696" s="0" t="s">
        <v>228</v>
      </c>
      <c r="BL696" s="0" t="s">
        <v>228</v>
      </c>
      <c r="BM696" s="0" t="s">
        <v>228</v>
      </c>
      <c r="BN696" s="0" t="s">
        <v>228</v>
      </c>
      <c r="BO696" s="0" t="s">
        <v>228</v>
      </c>
      <c r="BP696" s="0" t="s">
        <v>228</v>
      </c>
      <c r="BQ696" s="0" t="s">
        <v>228</v>
      </c>
      <c r="BR696" s="0" t="s">
        <v>228</v>
      </c>
      <c r="BS696" s="0" t="s">
        <v>228</v>
      </c>
      <c r="BT696" s="0" t="s">
        <v>228</v>
      </c>
      <c r="CS696" s="0" t="s">
        <v>228</v>
      </c>
      <c r="CT696" s="0" t="s">
        <v>3568</v>
      </c>
      <c r="CU696" s="0" t="s">
        <v>3569</v>
      </c>
      <c r="CV696" s="0" t="s">
        <v>418</v>
      </c>
      <c r="CW696" s="0" t="s">
        <v>3570</v>
      </c>
      <c r="CX696" s="0" t="s">
        <v>419</v>
      </c>
      <c r="CY696" s="0" t="s">
        <v>418</v>
      </c>
      <c r="CZ696" s="0" t="s">
        <v>3571</v>
      </c>
      <c r="DA696" s="0" t="s">
        <v>420</v>
      </c>
      <c r="DB696" s="0" t="s">
        <v>3570</v>
      </c>
      <c r="DC696" s="0" t="s">
        <v>362</v>
      </c>
      <c r="DD696" s="0" t="s">
        <v>282</v>
      </c>
      <c r="DE696" s="0" t="s">
        <v>5355</v>
      </c>
    </row>
    <row customHeight="1" ht="11.25">
      <c r="A697" s="1353" t="s">
        <v>228</v>
      </c>
      <c r="B697" s="0" t="s">
        <v>228</v>
      </c>
      <c r="C697" s="0" t="s">
        <v>228</v>
      </c>
      <c r="D697" s="0" t="s">
        <v>228</v>
      </c>
      <c r="E697" s="0" t="s">
        <v>228</v>
      </c>
      <c r="F697" s="0" t="s">
        <v>228</v>
      </c>
      <c r="G697" s="0" t="s">
        <v>228</v>
      </c>
      <c r="H697" s="0" t="s">
        <v>228</v>
      </c>
      <c r="I697" s="0" t="s">
        <v>5119</v>
      </c>
      <c r="J697" s="0" t="s">
        <v>228</v>
      </c>
      <c r="K697" s="0" t="s">
        <v>228</v>
      </c>
      <c r="L697" s="0" t="s">
        <v>228</v>
      </c>
      <c r="M697" s="0" t="s">
        <v>228</v>
      </c>
      <c r="N697" s="0" t="s">
        <v>228</v>
      </c>
      <c r="O697" s="0" t="s">
        <v>228</v>
      </c>
      <c r="P697" s="0" t="s">
        <v>228</v>
      </c>
      <c r="Q697" s="0" t="s">
        <v>228</v>
      </c>
      <c r="R697" s="0" t="s">
        <v>5356</v>
      </c>
      <c r="S697" s="0" t="s">
        <v>228</v>
      </c>
      <c r="T697" s="0" t="s">
        <v>228</v>
      </c>
      <c r="U697" s="0" t="s">
        <v>101</v>
      </c>
      <c r="V697" s="0" t="s">
        <v>228</v>
      </c>
      <c r="W697" s="0" t="s">
        <v>228</v>
      </c>
      <c r="X697" s="0" t="s">
        <v>5121</v>
      </c>
      <c r="Y697" s="0" t="s">
        <v>228</v>
      </c>
      <c r="Z697" s="0" t="s">
        <v>160</v>
      </c>
      <c r="AA697" s="0" t="s">
        <v>151</v>
      </c>
      <c r="AB697" s="0" t="s">
        <v>151</v>
      </c>
      <c r="AC697" s="0" t="s">
        <v>2290</v>
      </c>
      <c r="AD697" s="0" t="s">
        <v>2290</v>
      </c>
      <c r="AE697" s="0" t="s">
        <v>2292</v>
      </c>
      <c r="AF697" s="0" t="s">
        <v>3558</v>
      </c>
      <c r="AG697" s="0" t="s">
        <v>3559</v>
      </c>
      <c r="AH697" s="0" t="s">
        <v>5357</v>
      </c>
      <c r="AI697" s="0" t="s">
        <v>5358</v>
      </c>
      <c r="AJ697" s="0" t="s">
        <v>3654</v>
      </c>
      <c r="AK697" s="0" t="s">
        <v>3853</v>
      </c>
      <c r="AL697" s="0" t="s">
        <v>5125</v>
      </c>
      <c r="AN697" s="0" t="s">
        <v>3743</v>
      </c>
      <c r="AO697" s="0" t="s">
        <v>3845</v>
      </c>
      <c r="AP697" s="0" t="s">
        <v>228</v>
      </c>
      <c r="AQ697" s="0" t="s">
        <v>228</v>
      </c>
      <c r="AR697" s="0" t="s">
        <v>228</v>
      </c>
      <c r="AS697" s="0" t="s">
        <v>228</v>
      </c>
      <c r="AT697" s="0" t="s">
        <v>228</v>
      </c>
      <c r="AU697" s="0" t="s">
        <v>228</v>
      </c>
      <c r="AV697" s="0" t="s">
        <v>228</v>
      </c>
      <c r="AW697" s="0" t="s">
        <v>228</v>
      </c>
      <c r="AX697" s="0" t="s">
        <v>228</v>
      </c>
      <c r="AY697" s="0" t="s">
        <v>228</v>
      </c>
      <c r="AZ697" s="0" t="s">
        <v>228</v>
      </c>
      <c r="BA697" s="0" t="s">
        <v>228</v>
      </c>
      <c r="BB697" s="0" t="s">
        <v>228</v>
      </c>
      <c r="BC697" s="0" t="s">
        <v>228</v>
      </c>
      <c r="BD697" s="0" t="s">
        <v>228</v>
      </c>
      <c r="BE697" s="0" t="s">
        <v>228</v>
      </c>
      <c r="BF697" s="0" t="s">
        <v>228</v>
      </c>
      <c r="BG697" s="0" t="s">
        <v>228</v>
      </c>
      <c r="BH697" s="0" t="s">
        <v>228</v>
      </c>
      <c r="BI697" s="0" t="s">
        <v>228</v>
      </c>
      <c r="BJ697" s="0" t="s">
        <v>228</v>
      </c>
      <c r="BK697" s="0" t="s">
        <v>228</v>
      </c>
      <c r="BL697" s="0" t="s">
        <v>228</v>
      </c>
      <c r="BM697" s="0" t="s">
        <v>228</v>
      </c>
      <c r="BN697" s="0" t="s">
        <v>228</v>
      </c>
      <c r="BO697" s="0" t="s">
        <v>228</v>
      </c>
      <c r="BP697" s="0" t="s">
        <v>228</v>
      </c>
      <c r="BQ697" s="0" t="s">
        <v>228</v>
      </c>
      <c r="BR697" s="0" t="s">
        <v>228</v>
      </c>
      <c r="BS697" s="0" t="s">
        <v>228</v>
      </c>
      <c r="BT697" s="0" t="s">
        <v>228</v>
      </c>
      <c r="CS697" s="0" t="s">
        <v>228</v>
      </c>
      <c r="CT697" s="0" t="s">
        <v>3568</v>
      </c>
      <c r="CU697" s="0" t="s">
        <v>3569</v>
      </c>
      <c r="CV697" s="0" t="s">
        <v>418</v>
      </c>
      <c r="CW697" s="0" t="s">
        <v>3570</v>
      </c>
      <c r="CX697" s="0" t="s">
        <v>419</v>
      </c>
      <c r="CY697" s="0" t="s">
        <v>418</v>
      </c>
      <c r="CZ697" s="0" t="s">
        <v>3571</v>
      </c>
      <c r="DA697" s="0" t="s">
        <v>420</v>
      </c>
      <c r="DB697" s="0" t="s">
        <v>3570</v>
      </c>
      <c r="DC697" s="0" t="s">
        <v>362</v>
      </c>
      <c r="DD697" s="0" t="s">
        <v>282</v>
      </c>
      <c r="DE697" s="0" t="s">
        <v>5359</v>
      </c>
    </row>
    <row customHeight="1" ht="11.25">
      <c r="A698" s="1353" t="s">
        <v>228</v>
      </c>
      <c r="B698" s="0" t="s">
        <v>228</v>
      </c>
      <c r="C698" s="0" t="s">
        <v>228</v>
      </c>
      <c r="D698" s="0" t="s">
        <v>228</v>
      </c>
      <c r="E698" s="0" t="s">
        <v>228</v>
      </c>
      <c r="F698" s="0" t="s">
        <v>228</v>
      </c>
      <c r="G698" s="0" t="s">
        <v>228</v>
      </c>
      <c r="H698" s="0" t="s">
        <v>228</v>
      </c>
      <c r="I698" s="0" t="s">
        <v>5119</v>
      </c>
      <c r="J698" s="0" t="s">
        <v>228</v>
      </c>
      <c r="K698" s="0" t="s">
        <v>228</v>
      </c>
      <c r="L698" s="0" t="s">
        <v>228</v>
      </c>
      <c r="M698" s="0" t="s">
        <v>228</v>
      </c>
      <c r="N698" s="0" t="s">
        <v>228</v>
      </c>
      <c r="O698" s="0" t="s">
        <v>228</v>
      </c>
      <c r="P698" s="0" t="s">
        <v>228</v>
      </c>
      <c r="Q698" s="0" t="s">
        <v>228</v>
      </c>
      <c r="R698" s="0" t="s">
        <v>5360</v>
      </c>
      <c r="S698" s="0" t="s">
        <v>228</v>
      </c>
      <c r="T698" s="0" t="s">
        <v>228</v>
      </c>
      <c r="U698" s="0" t="s">
        <v>101</v>
      </c>
      <c r="V698" s="0" t="s">
        <v>228</v>
      </c>
      <c r="W698" s="0" t="s">
        <v>228</v>
      </c>
      <c r="X698" s="0" t="s">
        <v>5121</v>
      </c>
      <c r="Y698" s="0" t="s">
        <v>228</v>
      </c>
      <c r="Z698" s="0" t="s">
        <v>160</v>
      </c>
      <c r="AA698" s="0" t="s">
        <v>151</v>
      </c>
      <c r="AB698" s="0" t="s">
        <v>151</v>
      </c>
      <c r="AC698" s="0" t="s">
        <v>2721</v>
      </c>
      <c r="AD698" s="0" t="s">
        <v>2721</v>
      </c>
      <c r="AE698" s="0" t="s">
        <v>2722</v>
      </c>
      <c r="AF698" s="0" t="s">
        <v>4024</v>
      </c>
      <c r="AG698" s="0" t="s">
        <v>4025</v>
      </c>
      <c r="AH698" s="0" t="s">
        <v>5361</v>
      </c>
      <c r="AI698" s="0" t="s">
        <v>3608</v>
      </c>
      <c r="AJ698" s="0" t="s">
        <v>4028</v>
      </c>
      <c r="AK698" s="0" t="s">
        <v>5246</v>
      </c>
      <c r="AL698" s="0" t="s">
        <v>5125</v>
      </c>
      <c r="AN698" s="0" t="s">
        <v>3628</v>
      </c>
      <c r="AO698" s="0" t="s">
        <v>5362</v>
      </c>
      <c r="AP698" s="0" t="s">
        <v>228</v>
      </c>
      <c r="AQ698" s="0" t="s">
        <v>228</v>
      </c>
      <c r="AR698" s="0" t="s">
        <v>228</v>
      </c>
      <c r="AS698" s="0" t="s">
        <v>228</v>
      </c>
      <c r="AT698" s="0" t="s">
        <v>228</v>
      </c>
      <c r="AU698" s="0" t="s">
        <v>228</v>
      </c>
      <c r="AV698" s="0" t="s">
        <v>228</v>
      </c>
      <c r="AW698" s="0" t="s">
        <v>228</v>
      </c>
      <c r="AX698" s="0" t="s">
        <v>228</v>
      </c>
      <c r="AY698" s="0" t="s">
        <v>228</v>
      </c>
      <c r="AZ698" s="0" t="s">
        <v>228</v>
      </c>
      <c r="BA698" s="0" t="s">
        <v>228</v>
      </c>
      <c r="BB698" s="0" t="s">
        <v>228</v>
      </c>
      <c r="BC698" s="0" t="s">
        <v>228</v>
      </c>
      <c r="BD698" s="0" t="s">
        <v>228</v>
      </c>
      <c r="BE698" s="0" t="s">
        <v>228</v>
      </c>
      <c r="BF698" s="0" t="s">
        <v>228</v>
      </c>
      <c r="BG698" s="0" t="s">
        <v>228</v>
      </c>
      <c r="BH698" s="0" t="s">
        <v>228</v>
      </c>
      <c r="BI698" s="0" t="s">
        <v>228</v>
      </c>
      <c r="BJ698" s="0" t="s">
        <v>228</v>
      </c>
      <c r="BK698" s="0" t="s">
        <v>228</v>
      </c>
      <c r="BL698" s="0" t="s">
        <v>228</v>
      </c>
      <c r="BM698" s="0" t="s">
        <v>228</v>
      </c>
      <c r="BN698" s="0" t="s">
        <v>228</v>
      </c>
      <c r="BO698" s="0" t="s">
        <v>228</v>
      </c>
      <c r="BP698" s="0" t="s">
        <v>228</v>
      </c>
      <c r="BQ698" s="0" t="s">
        <v>228</v>
      </c>
      <c r="BR698" s="0" t="s">
        <v>228</v>
      </c>
      <c r="BS698" s="0" t="s">
        <v>228</v>
      </c>
      <c r="BT698" s="0" t="s">
        <v>228</v>
      </c>
      <c r="CS698" s="0" t="s">
        <v>228</v>
      </c>
      <c r="CT698" s="0" t="s">
        <v>3568</v>
      </c>
      <c r="CU698" s="0" t="s">
        <v>3569</v>
      </c>
      <c r="CV698" s="0" t="s">
        <v>4030</v>
      </c>
      <c r="CW698" s="0" t="s">
        <v>4031</v>
      </c>
      <c r="CX698" s="0" t="s">
        <v>3603</v>
      </c>
      <c r="CY698" s="0" t="s">
        <v>4030</v>
      </c>
      <c r="CZ698" s="0" t="s">
        <v>5138</v>
      </c>
      <c r="DA698" s="0" t="s">
        <v>4032</v>
      </c>
      <c r="DB698" s="0" t="s">
        <v>4031</v>
      </c>
      <c r="DC698" s="0" t="s">
        <v>362</v>
      </c>
      <c r="DD698" s="0" t="s">
        <v>282</v>
      </c>
      <c r="DE698" s="0" t="s">
        <v>5363</v>
      </c>
    </row>
    <row customHeight="1" ht="11.25">
      <c r="A699" s="1353" t="s">
        <v>228</v>
      </c>
      <c r="B699" s="0" t="s">
        <v>228</v>
      </c>
      <c r="C699" s="0" t="s">
        <v>228</v>
      </c>
      <c r="D699" s="0" t="s">
        <v>228</v>
      </c>
      <c r="E699" s="0" t="s">
        <v>228</v>
      </c>
      <c r="F699" s="0" t="s">
        <v>228</v>
      </c>
      <c r="G699" s="0" t="s">
        <v>228</v>
      </c>
      <c r="H699" s="0" t="s">
        <v>228</v>
      </c>
      <c r="I699" s="0" t="s">
        <v>5119</v>
      </c>
      <c r="J699" s="0" t="s">
        <v>228</v>
      </c>
      <c r="K699" s="0" t="s">
        <v>228</v>
      </c>
      <c r="L699" s="0" t="s">
        <v>228</v>
      </c>
      <c r="M699" s="0" t="s">
        <v>228</v>
      </c>
      <c r="N699" s="0" t="s">
        <v>228</v>
      </c>
      <c r="O699" s="0" t="s">
        <v>228</v>
      </c>
      <c r="P699" s="0" t="s">
        <v>228</v>
      </c>
      <c r="Q699" s="0" t="s">
        <v>228</v>
      </c>
      <c r="R699" s="0" t="s">
        <v>5364</v>
      </c>
      <c r="S699" s="0" t="s">
        <v>228</v>
      </c>
      <c r="T699" s="0" t="s">
        <v>228</v>
      </c>
      <c r="U699" s="0" t="s">
        <v>101</v>
      </c>
      <c r="V699" s="0" t="s">
        <v>228</v>
      </c>
      <c r="W699" s="0" t="s">
        <v>228</v>
      </c>
      <c r="X699" s="0" t="s">
        <v>5121</v>
      </c>
      <c r="Y699" s="0" t="s">
        <v>228</v>
      </c>
      <c r="Z699" s="0" t="s">
        <v>160</v>
      </c>
      <c r="AA699" s="0" t="s">
        <v>151</v>
      </c>
      <c r="AB699" s="0" t="s">
        <v>151</v>
      </c>
      <c r="AC699" s="0" t="s">
        <v>2290</v>
      </c>
      <c r="AD699" s="0" t="s">
        <v>2290</v>
      </c>
      <c r="AE699" s="0" t="s">
        <v>2292</v>
      </c>
      <c r="AF699" s="0" t="s">
        <v>3558</v>
      </c>
      <c r="AG699" s="0" t="s">
        <v>3559</v>
      </c>
      <c r="AH699" s="0" t="s">
        <v>5365</v>
      </c>
      <c r="AI699" s="0" t="s">
        <v>4717</v>
      </c>
      <c r="AJ699" s="0" t="s">
        <v>3563</v>
      </c>
      <c r="AK699" s="0" t="s">
        <v>5270</v>
      </c>
      <c r="AL699" s="0" t="s">
        <v>5125</v>
      </c>
      <c r="AN699" s="0" t="s">
        <v>3984</v>
      </c>
      <c r="AO699" s="0" t="s">
        <v>5366</v>
      </c>
      <c r="AP699" s="0" t="s">
        <v>228</v>
      </c>
      <c r="AQ699" s="0" t="s">
        <v>228</v>
      </c>
      <c r="AR699" s="0" t="s">
        <v>228</v>
      </c>
      <c r="AS699" s="0" t="s">
        <v>228</v>
      </c>
      <c r="AT699" s="0" t="s">
        <v>228</v>
      </c>
      <c r="AU699" s="0" t="s">
        <v>228</v>
      </c>
      <c r="AV699" s="0" t="s">
        <v>228</v>
      </c>
      <c r="AW699" s="0" t="s">
        <v>228</v>
      </c>
      <c r="AX699" s="0" t="s">
        <v>228</v>
      </c>
      <c r="AY699" s="0" t="s">
        <v>228</v>
      </c>
      <c r="AZ699" s="0" t="s">
        <v>228</v>
      </c>
      <c r="BA699" s="0" t="s">
        <v>228</v>
      </c>
      <c r="BB699" s="0" t="s">
        <v>228</v>
      </c>
      <c r="BC699" s="0" t="s">
        <v>228</v>
      </c>
      <c r="BD699" s="0" t="s">
        <v>228</v>
      </c>
      <c r="BE699" s="0" t="s">
        <v>228</v>
      </c>
      <c r="BF699" s="0" t="s">
        <v>228</v>
      </c>
      <c r="BG699" s="0" t="s">
        <v>228</v>
      </c>
      <c r="BH699" s="0" t="s">
        <v>228</v>
      </c>
      <c r="BI699" s="0" t="s">
        <v>228</v>
      </c>
      <c r="BJ699" s="0" t="s">
        <v>228</v>
      </c>
      <c r="BK699" s="0" t="s">
        <v>228</v>
      </c>
      <c r="BL699" s="0" t="s">
        <v>228</v>
      </c>
      <c r="BM699" s="0" t="s">
        <v>228</v>
      </c>
      <c r="BN699" s="0" t="s">
        <v>228</v>
      </c>
      <c r="BO699" s="0" t="s">
        <v>228</v>
      </c>
      <c r="BP699" s="0" t="s">
        <v>228</v>
      </c>
      <c r="BQ699" s="0" t="s">
        <v>228</v>
      </c>
      <c r="BR699" s="0" t="s">
        <v>228</v>
      </c>
      <c r="BS699" s="0" t="s">
        <v>228</v>
      </c>
      <c r="BT699" s="0" t="s">
        <v>228</v>
      </c>
      <c r="CS699" s="0" t="s">
        <v>228</v>
      </c>
      <c r="CT699" s="0" t="s">
        <v>3568</v>
      </c>
      <c r="CU699" s="0" t="s">
        <v>3569</v>
      </c>
      <c r="CV699" s="0" t="s">
        <v>418</v>
      </c>
      <c r="CW699" s="0" t="s">
        <v>3570</v>
      </c>
      <c r="CX699" s="0" t="s">
        <v>419</v>
      </c>
      <c r="CY699" s="0" t="s">
        <v>418</v>
      </c>
      <c r="CZ699" s="0" t="s">
        <v>3571</v>
      </c>
      <c r="DA699" s="0" t="s">
        <v>420</v>
      </c>
      <c r="DB699" s="0" t="s">
        <v>3570</v>
      </c>
      <c r="DC699" s="0" t="s">
        <v>362</v>
      </c>
      <c r="DD699" s="0" t="s">
        <v>282</v>
      </c>
      <c r="DE699" s="0" t="s">
        <v>5367</v>
      </c>
    </row>
    <row customHeight="1" ht="11.25">
      <c r="A700" s="1353" t="s">
        <v>228</v>
      </c>
      <c r="B700" s="0" t="s">
        <v>228</v>
      </c>
      <c r="C700" s="0" t="s">
        <v>228</v>
      </c>
      <c r="D700" s="0" t="s">
        <v>228</v>
      </c>
      <c r="E700" s="0" t="s">
        <v>228</v>
      </c>
      <c r="F700" s="0" t="s">
        <v>228</v>
      </c>
      <c r="G700" s="0" t="s">
        <v>228</v>
      </c>
      <c r="H700" s="0" t="s">
        <v>228</v>
      </c>
      <c r="I700" s="0" t="s">
        <v>5119</v>
      </c>
      <c r="J700" s="0" t="s">
        <v>228</v>
      </c>
      <c r="K700" s="0" t="s">
        <v>228</v>
      </c>
      <c r="L700" s="0" t="s">
        <v>228</v>
      </c>
      <c r="M700" s="0" t="s">
        <v>228</v>
      </c>
      <c r="N700" s="0" t="s">
        <v>228</v>
      </c>
      <c r="O700" s="0" t="s">
        <v>228</v>
      </c>
      <c r="P700" s="0" t="s">
        <v>228</v>
      </c>
      <c r="Q700" s="0" t="s">
        <v>228</v>
      </c>
      <c r="R700" s="0" t="s">
        <v>5368</v>
      </c>
      <c r="S700" s="0" t="s">
        <v>228</v>
      </c>
      <c r="T700" s="0" t="s">
        <v>228</v>
      </c>
      <c r="U700" s="0" t="s">
        <v>101</v>
      </c>
      <c r="V700" s="0" t="s">
        <v>228</v>
      </c>
      <c r="W700" s="0" t="s">
        <v>228</v>
      </c>
      <c r="X700" s="0" t="s">
        <v>5121</v>
      </c>
      <c r="Y700" s="0" t="s">
        <v>228</v>
      </c>
      <c r="Z700" s="0" t="s">
        <v>160</v>
      </c>
      <c r="AA700" s="0" t="s">
        <v>151</v>
      </c>
      <c r="AB700" s="0" t="s">
        <v>151</v>
      </c>
      <c r="AC700" s="0" t="s">
        <v>2317</v>
      </c>
      <c r="AD700" s="0" t="s">
        <v>2317</v>
      </c>
      <c r="AE700" s="0" t="s">
        <v>2318</v>
      </c>
      <c r="AF700" s="0" t="s">
        <v>3826</v>
      </c>
      <c r="AG700" s="0" t="s">
        <v>3827</v>
      </c>
      <c r="AH700" s="0" t="s">
        <v>5369</v>
      </c>
      <c r="AI700" s="0" t="s">
        <v>3700</v>
      </c>
      <c r="AJ700" s="0" t="s">
        <v>5029</v>
      </c>
      <c r="AK700" s="0" t="s">
        <v>5328</v>
      </c>
      <c r="AL700" s="0" t="s">
        <v>5125</v>
      </c>
      <c r="AN700" s="0" t="s">
        <v>3582</v>
      </c>
      <c r="AO700" s="0" t="s">
        <v>3701</v>
      </c>
      <c r="AP700" s="0" t="s">
        <v>228</v>
      </c>
      <c r="AQ700" s="0" t="s">
        <v>228</v>
      </c>
      <c r="AR700" s="0" t="s">
        <v>228</v>
      </c>
      <c r="AS700" s="0" t="s">
        <v>228</v>
      </c>
      <c r="AT700" s="0" t="s">
        <v>228</v>
      </c>
      <c r="AU700" s="0" t="s">
        <v>228</v>
      </c>
      <c r="AV700" s="0" t="s">
        <v>228</v>
      </c>
      <c r="AW700" s="0" t="s">
        <v>228</v>
      </c>
      <c r="AX700" s="0" t="s">
        <v>228</v>
      </c>
      <c r="AY700" s="0" t="s">
        <v>228</v>
      </c>
      <c r="AZ700" s="0" t="s">
        <v>228</v>
      </c>
      <c r="BA700" s="0" t="s">
        <v>228</v>
      </c>
      <c r="BB700" s="0" t="s">
        <v>228</v>
      </c>
      <c r="BC700" s="0" t="s">
        <v>228</v>
      </c>
      <c r="BD700" s="0" t="s">
        <v>228</v>
      </c>
      <c r="BE700" s="0" t="s">
        <v>228</v>
      </c>
      <c r="BF700" s="0" t="s">
        <v>228</v>
      </c>
      <c r="BG700" s="0" t="s">
        <v>228</v>
      </c>
      <c r="BH700" s="0" t="s">
        <v>228</v>
      </c>
      <c r="BI700" s="0" t="s">
        <v>228</v>
      </c>
      <c r="BJ700" s="0" t="s">
        <v>228</v>
      </c>
      <c r="BK700" s="0" t="s">
        <v>228</v>
      </c>
      <c r="BL700" s="0" t="s">
        <v>228</v>
      </c>
      <c r="BM700" s="0" t="s">
        <v>228</v>
      </c>
      <c r="BN700" s="0" t="s">
        <v>228</v>
      </c>
      <c r="BO700" s="0" t="s">
        <v>228</v>
      </c>
      <c r="BP700" s="0" t="s">
        <v>228</v>
      </c>
      <c r="BQ700" s="0" t="s">
        <v>228</v>
      </c>
      <c r="BR700" s="0" t="s">
        <v>228</v>
      </c>
      <c r="BS700" s="0" t="s">
        <v>228</v>
      </c>
      <c r="BT700" s="0" t="s">
        <v>228</v>
      </c>
      <c r="CS700" s="0" t="s">
        <v>228</v>
      </c>
      <c r="CT700" s="0" t="s">
        <v>3568</v>
      </c>
      <c r="CU700" s="0" t="s">
        <v>3569</v>
      </c>
      <c r="CV700" s="0" t="s">
        <v>418</v>
      </c>
      <c r="CW700" s="0" t="s">
        <v>3622</v>
      </c>
      <c r="CX700" s="0" t="s">
        <v>419</v>
      </c>
      <c r="CY700" s="0" t="s">
        <v>418</v>
      </c>
      <c r="CZ700" s="0" t="s">
        <v>3623</v>
      </c>
      <c r="DA700" s="0" t="s">
        <v>3624</v>
      </c>
      <c r="DB700" s="0" t="s">
        <v>3622</v>
      </c>
      <c r="DC700" s="0" t="s">
        <v>362</v>
      </c>
      <c r="DD700" s="0" t="s">
        <v>282</v>
      </c>
      <c r="DE700" s="0" t="s">
        <v>5370</v>
      </c>
    </row>
    <row customHeight="1" ht="11.25">
      <c r="A701" s="1353" t="s">
        <v>228</v>
      </c>
      <c r="B701" s="0" t="s">
        <v>228</v>
      </c>
      <c r="C701" s="0" t="s">
        <v>228</v>
      </c>
      <c r="D701" s="0" t="s">
        <v>228</v>
      </c>
      <c r="E701" s="0" t="s">
        <v>228</v>
      </c>
      <c r="F701" s="0" t="s">
        <v>228</v>
      </c>
      <c r="G701" s="0" t="s">
        <v>228</v>
      </c>
      <c r="H701" s="0" t="s">
        <v>228</v>
      </c>
      <c r="I701" s="0" t="s">
        <v>5119</v>
      </c>
      <c r="J701" s="0" t="s">
        <v>228</v>
      </c>
      <c r="K701" s="0" t="s">
        <v>228</v>
      </c>
      <c r="L701" s="0" t="s">
        <v>228</v>
      </c>
      <c r="M701" s="0" t="s">
        <v>228</v>
      </c>
      <c r="N701" s="0" t="s">
        <v>228</v>
      </c>
      <c r="O701" s="0" t="s">
        <v>228</v>
      </c>
      <c r="P701" s="0" t="s">
        <v>228</v>
      </c>
      <c r="Q701" s="0" t="s">
        <v>228</v>
      </c>
      <c r="R701" s="0" t="s">
        <v>5371</v>
      </c>
      <c r="S701" s="0" t="s">
        <v>228</v>
      </c>
      <c r="T701" s="0" t="s">
        <v>228</v>
      </c>
      <c r="U701" s="0" t="s">
        <v>101</v>
      </c>
      <c r="V701" s="0" t="s">
        <v>228</v>
      </c>
      <c r="W701" s="0" t="s">
        <v>228</v>
      </c>
      <c r="X701" s="0" t="s">
        <v>5121</v>
      </c>
      <c r="Y701" s="0" t="s">
        <v>228</v>
      </c>
      <c r="Z701" s="0" t="s">
        <v>160</v>
      </c>
      <c r="AA701" s="0" t="s">
        <v>151</v>
      </c>
      <c r="AB701" s="0" t="s">
        <v>151</v>
      </c>
      <c r="AC701" s="0" t="s">
        <v>2317</v>
      </c>
      <c r="AD701" s="0" t="s">
        <v>2317</v>
      </c>
      <c r="AE701" s="0" t="s">
        <v>2318</v>
      </c>
      <c r="AF701" s="0" t="s">
        <v>3826</v>
      </c>
      <c r="AG701" s="0" t="s">
        <v>3827</v>
      </c>
      <c r="AH701" s="0" t="s">
        <v>5372</v>
      </c>
      <c r="AI701" s="0" t="s">
        <v>3651</v>
      </c>
      <c r="AJ701" s="0" t="s">
        <v>5029</v>
      </c>
      <c r="AK701" s="0" t="s">
        <v>5328</v>
      </c>
      <c r="AL701" s="0" t="s">
        <v>5125</v>
      </c>
      <c r="AN701" s="0" t="s">
        <v>3582</v>
      </c>
      <c r="AO701" s="0" t="s">
        <v>5131</v>
      </c>
      <c r="AP701" s="0" t="s">
        <v>228</v>
      </c>
      <c r="AQ701" s="0" t="s">
        <v>228</v>
      </c>
      <c r="AR701" s="0" t="s">
        <v>228</v>
      </c>
      <c r="AS701" s="0" t="s">
        <v>228</v>
      </c>
      <c r="AT701" s="0" t="s">
        <v>228</v>
      </c>
      <c r="AU701" s="0" t="s">
        <v>228</v>
      </c>
      <c r="AV701" s="0" t="s">
        <v>228</v>
      </c>
      <c r="AW701" s="0" t="s">
        <v>228</v>
      </c>
      <c r="AX701" s="0" t="s">
        <v>228</v>
      </c>
      <c r="AY701" s="0" t="s">
        <v>228</v>
      </c>
      <c r="AZ701" s="0" t="s">
        <v>228</v>
      </c>
      <c r="BA701" s="0" t="s">
        <v>228</v>
      </c>
      <c r="BB701" s="0" t="s">
        <v>228</v>
      </c>
      <c r="BC701" s="0" t="s">
        <v>228</v>
      </c>
      <c r="BD701" s="0" t="s">
        <v>228</v>
      </c>
      <c r="BE701" s="0" t="s">
        <v>228</v>
      </c>
      <c r="BF701" s="0" t="s">
        <v>228</v>
      </c>
      <c r="BG701" s="0" t="s">
        <v>228</v>
      </c>
      <c r="BH701" s="0" t="s">
        <v>228</v>
      </c>
      <c r="BI701" s="0" t="s">
        <v>228</v>
      </c>
      <c r="BJ701" s="0" t="s">
        <v>228</v>
      </c>
      <c r="BK701" s="0" t="s">
        <v>228</v>
      </c>
      <c r="BL701" s="0" t="s">
        <v>228</v>
      </c>
      <c r="BM701" s="0" t="s">
        <v>228</v>
      </c>
      <c r="BN701" s="0" t="s">
        <v>228</v>
      </c>
      <c r="BO701" s="0" t="s">
        <v>228</v>
      </c>
      <c r="BP701" s="0" t="s">
        <v>228</v>
      </c>
      <c r="BQ701" s="0" t="s">
        <v>228</v>
      </c>
      <c r="BR701" s="0" t="s">
        <v>228</v>
      </c>
      <c r="BS701" s="0" t="s">
        <v>228</v>
      </c>
      <c r="BT701" s="0" t="s">
        <v>228</v>
      </c>
      <c r="CS701" s="0" t="s">
        <v>228</v>
      </c>
      <c r="CT701" s="0" t="s">
        <v>3568</v>
      </c>
      <c r="CU701" s="0" t="s">
        <v>3569</v>
      </c>
      <c r="CV701" s="0" t="s">
        <v>418</v>
      </c>
      <c r="CW701" s="0" t="s">
        <v>3622</v>
      </c>
      <c r="CX701" s="0" t="s">
        <v>419</v>
      </c>
      <c r="CY701" s="0" t="s">
        <v>418</v>
      </c>
      <c r="CZ701" s="0" t="s">
        <v>3623</v>
      </c>
      <c r="DA701" s="0" t="s">
        <v>3624</v>
      </c>
      <c r="DB701" s="0" t="s">
        <v>3622</v>
      </c>
      <c r="DC701" s="0" t="s">
        <v>362</v>
      </c>
      <c r="DD701" s="0" t="s">
        <v>282</v>
      </c>
      <c r="DE701" s="0" t="s">
        <v>5373</v>
      </c>
    </row>
    <row customHeight="1" ht="11.25">
      <c r="A702" s="1353" t="s">
        <v>228</v>
      </c>
      <c r="B702" s="0" t="s">
        <v>228</v>
      </c>
      <c r="C702" s="0" t="s">
        <v>228</v>
      </c>
      <c r="D702" s="0" t="s">
        <v>228</v>
      </c>
      <c r="E702" s="0" t="s">
        <v>228</v>
      </c>
      <c r="F702" s="0" t="s">
        <v>228</v>
      </c>
      <c r="G702" s="0" t="s">
        <v>228</v>
      </c>
      <c r="H702" s="0" t="s">
        <v>228</v>
      </c>
      <c r="I702" s="0" t="s">
        <v>5119</v>
      </c>
      <c r="J702" s="0" t="s">
        <v>228</v>
      </c>
      <c r="K702" s="0" t="s">
        <v>228</v>
      </c>
      <c r="L702" s="0" t="s">
        <v>228</v>
      </c>
      <c r="M702" s="0" t="s">
        <v>228</v>
      </c>
      <c r="N702" s="0" t="s">
        <v>228</v>
      </c>
      <c r="O702" s="0" t="s">
        <v>228</v>
      </c>
      <c r="P702" s="0" t="s">
        <v>228</v>
      </c>
      <c r="Q702" s="0" t="s">
        <v>228</v>
      </c>
      <c r="R702" s="0" t="s">
        <v>5374</v>
      </c>
      <c r="S702" s="0" t="s">
        <v>228</v>
      </c>
      <c r="T702" s="0" t="s">
        <v>228</v>
      </c>
      <c r="U702" s="0" t="s">
        <v>101</v>
      </c>
      <c r="V702" s="0" t="s">
        <v>228</v>
      </c>
      <c r="W702" s="0" t="s">
        <v>228</v>
      </c>
      <c r="X702" s="0" t="s">
        <v>3661</v>
      </c>
      <c r="Y702" s="0" t="s">
        <v>228</v>
      </c>
      <c r="Z702" s="0" t="s">
        <v>151</v>
      </c>
      <c r="AA702" s="0" t="s">
        <v>151</v>
      </c>
      <c r="AB702" s="0" t="s">
        <v>160</v>
      </c>
      <c r="AC702" s="0" t="s">
        <v>2317</v>
      </c>
      <c r="AD702" s="0" t="s">
        <v>2317</v>
      </c>
      <c r="AE702" s="0" t="s">
        <v>2318</v>
      </c>
      <c r="AF702" s="0" t="s">
        <v>3615</v>
      </c>
      <c r="AG702" s="0" t="s">
        <v>3616</v>
      </c>
      <c r="AH702" s="0" t="s">
        <v>3651</v>
      </c>
      <c r="AI702" s="0" t="s">
        <v>3651</v>
      </c>
      <c r="AJ702" s="0" t="s">
        <v>228</v>
      </c>
      <c r="AK702" s="0" t="s">
        <v>228</v>
      </c>
      <c r="AL702" s="0" t="s">
        <v>228</v>
      </c>
      <c r="AN702" s="0" t="s">
        <v>228</v>
      </c>
      <c r="AO702" s="0" t="s">
        <v>228</v>
      </c>
      <c r="AP702" s="0" t="s">
        <v>228</v>
      </c>
      <c r="AQ702" s="0" t="s">
        <v>228</v>
      </c>
      <c r="AR702" s="0" t="s">
        <v>228</v>
      </c>
      <c r="AS702" s="0" t="s">
        <v>228</v>
      </c>
      <c r="AT702" s="0" t="s">
        <v>228</v>
      </c>
      <c r="AU702" s="0" t="s">
        <v>228</v>
      </c>
      <c r="AV702" s="0" t="s">
        <v>228</v>
      </c>
      <c r="AW702" s="0" t="s">
        <v>228</v>
      </c>
      <c r="AX702" s="0" t="s">
        <v>228</v>
      </c>
      <c r="AY702" s="0" t="s">
        <v>228</v>
      </c>
      <c r="AZ702" s="0" t="s">
        <v>228</v>
      </c>
      <c r="BA702" s="0" t="s">
        <v>228</v>
      </c>
      <c r="BB702" s="0" t="s">
        <v>228</v>
      </c>
      <c r="BC702" s="0" t="s">
        <v>228</v>
      </c>
      <c r="BD702" s="0" t="s">
        <v>228</v>
      </c>
      <c r="BE702" s="0" t="s">
        <v>3580</v>
      </c>
      <c r="BF702" s="0" t="s">
        <v>3853</v>
      </c>
      <c r="BG702" s="0" t="s">
        <v>111</v>
      </c>
      <c r="BH702" s="0" t="s">
        <v>3665</v>
      </c>
      <c r="BI702" s="0" t="s">
        <v>122</v>
      </c>
      <c r="BJ702" s="0" t="s">
        <v>228</v>
      </c>
      <c r="BK702" s="0" t="s">
        <v>228</v>
      </c>
      <c r="BL702" s="0" t="s">
        <v>2317</v>
      </c>
      <c r="BM702" s="0" t="s">
        <v>2317</v>
      </c>
      <c r="BN702" s="0" t="s">
        <v>3740</v>
      </c>
      <c r="BO702" s="0" t="s">
        <v>3615</v>
      </c>
      <c r="BP702" s="0" t="s">
        <v>4267</v>
      </c>
      <c r="BQ702" s="0" t="s">
        <v>3651</v>
      </c>
      <c r="BR702" s="0" t="s">
        <v>3651</v>
      </c>
      <c r="BS702" s="0" t="s">
        <v>228</v>
      </c>
      <c r="BT702" s="0" t="s">
        <v>3727</v>
      </c>
      <c r="CS702" s="0" t="s">
        <v>5243</v>
      </c>
      <c r="CT702" s="0" t="s">
        <v>3568</v>
      </c>
      <c r="CU702" s="0" t="s">
        <v>3569</v>
      </c>
      <c r="CV702" s="0" t="s">
        <v>418</v>
      </c>
      <c r="CW702" s="0" t="s">
        <v>3622</v>
      </c>
      <c r="CX702" s="0" t="s">
        <v>419</v>
      </c>
      <c r="CY702" s="0" t="s">
        <v>418</v>
      </c>
      <c r="CZ702" s="0" t="s">
        <v>3623</v>
      </c>
      <c r="DA702" s="0" t="s">
        <v>3624</v>
      </c>
      <c r="DB702" s="0" t="s">
        <v>3622</v>
      </c>
      <c r="DC702" s="0" t="s">
        <v>362</v>
      </c>
      <c r="DD702" s="0" t="s">
        <v>282</v>
      </c>
      <c r="DE702" s="0" t="s">
        <v>4269</v>
      </c>
    </row>
    <row customHeight="1" ht="11.25">
      <c r="A703" s="1353" t="s">
        <v>228</v>
      </c>
      <c r="B703" s="0" t="s">
        <v>228</v>
      </c>
      <c r="C703" s="0" t="s">
        <v>228</v>
      </c>
      <c r="D703" s="0" t="s">
        <v>228</v>
      </c>
      <c r="E703" s="0" t="s">
        <v>228</v>
      </c>
      <c r="F703" s="0" t="s">
        <v>228</v>
      </c>
      <c r="G703" s="0" t="s">
        <v>228</v>
      </c>
      <c r="H703" s="0" t="s">
        <v>228</v>
      </c>
      <c r="I703" s="0" t="s">
        <v>5119</v>
      </c>
      <c r="J703" s="0" t="s">
        <v>228</v>
      </c>
      <c r="K703" s="0" t="s">
        <v>228</v>
      </c>
      <c r="L703" s="0" t="s">
        <v>228</v>
      </c>
      <c r="M703" s="0" t="s">
        <v>228</v>
      </c>
      <c r="N703" s="0" t="s">
        <v>228</v>
      </c>
      <c r="O703" s="0" t="s">
        <v>228</v>
      </c>
      <c r="P703" s="0" t="s">
        <v>228</v>
      </c>
      <c r="Q703" s="0" t="s">
        <v>228</v>
      </c>
      <c r="R703" s="0" t="s">
        <v>5375</v>
      </c>
      <c r="S703" s="0" t="s">
        <v>228</v>
      </c>
      <c r="T703" s="0" t="s">
        <v>228</v>
      </c>
      <c r="U703" s="0" t="s">
        <v>101</v>
      </c>
      <c r="V703" s="0" t="s">
        <v>228</v>
      </c>
      <c r="W703" s="0" t="s">
        <v>228</v>
      </c>
      <c r="X703" s="0" t="s">
        <v>5121</v>
      </c>
      <c r="Y703" s="0" t="s">
        <v>228</v>
      </c>
      <c r="Z703" s="0" t="s">
        <v>160</v>
      </c>
      <c r="AA703" s="0" t="s">
        <v>151</v>
      </c>
      <c r="AB703" s="0" t="s">
        <v>151</v>
      </c>
      <c r="AC703" s="0" t="s">
        <v>2715</v>
      </c>
      <c r="AD703" s="0" t="s">
        <v>2715</v>
      </c>
      <c r="AE703" s="0" t="s">
        <v>2716</v>
      </c>
      <c r="AF703" s="0" t="s">
        <v>3594</v>
      </c>
      <c r="AG703" s="0" t="s">
        <v>3595</v>
      </c>
      <c r="AH703" s="0" t="s">
        <v>5376</v>
      </c>
      <c r="AI703" s="0" t="s">
        <v>5377</v>
      </c>
      <c r="AJ703" s="0" t="s">
        <v>3579</v>
      </c>
      <c r="AK703" s="0" t="s">
        <v>3674</v>
      </c>
      <c r="AL703" s="0" t="s">
        <v>5125</v>
      </c>
      <c r="AN703" s="0" t="s">
        <v>3566</v>
      </c>
      <c r="AO703" s="0" t="s">
        <v>5378</v>
      </c>
      <c r="AP703" s="0" t="s">
        <v>228</v>
      </c>
      <c r="AQ703" s="0" t="s">
        <v>228</v>
      </c>
      <c r="AR703" s="0" t="s">
        <v>228</v>
      </c>
      <c r="AS703" s="0" t="s">
        <v>228</v>
      </c>
      <c r="AT703" s="0" t="s">
        <v>228</v>
      </c>
      <c r="AU703" s="0" t="s">
        <v>228</v>
      </c>
      <c r="AV703" s="0" t="s">
        <v>228</v>
      </c>
      <c r="AW703" s="0" t="s">
        <v>228</v>
      </c>
      <c r="AX703" s="0" t="s">
        <v>228</v>
      </c>
      <c r="AY703" s="0" t="s">
        <v>228</v>
      </c>
      <c r="AZ703" s="0" t="s">
        <v>228</v>
      </c>
      <c r="BA703" s="0" t="s">
        <v>228</v>
      </c>
      <c r="BB703" s="0" t="s">
        <v>228</v>
      </c>
      <c r="BC703" s="0" t="s">
        <v>228</v>
      </c>
      <c r="BD703" s="0" t="s">
        <v>228</v>
      </c>
      <c r="BE703" s="0" t="s">
        <v>228</v>
      </c>
      <c r="BF703" s="0" t="s">
        <v>228</v>
      </c>
      <c r="BG703" s="0" t="s">
        <v>228</v>
      </c>
      <c r="BH703" s="0" t="s">
        <v>228</v>
      </c>
      <c r="BI703" s="0" t="s">
        <v>228</v>
      </c>
      <c r="BJ703" s="0" t="s">
        <v>228</v>
      </c>
      <c r="BK703" s="0" t="s">
        <v>228</v>
      </c>
      <c r="BL703" s="0" t="s">
        <v>228</v>
      </c>
      <c r="BM703" s="0" t="s">
        <v>228</v>
      </c>
      <c r="BN703" s="0" t="s">
        <v>228</v>
      </c>
      <c r="BO703" s="0" t="s">
        <v>228</v>
      </c>
      <c r="BP703" s="0" t="s">
        <v>228</v>
      </c>
      <c r="BQ703" s="0" t="s">
        <v>228</v>
      </c>
      <c r="BR703" s="0" t="s">
        <v>228</v>
      </c>
      <c r="BS703" s="0" t="s">
        <v>228</v>
      </c>
      <c r="BT703" s="0" t="s">
        <v>228</v>
      </c>
      <c r="CS703" s="0" t="s">
        <v>228</v>
      </c>
      <c r="CT703" s="0" t="s">
        <v>3568</v>
      </c>
      <c r="CU703" s="0" t="s">
        <v>3569</v>
      </c>
      <c r="CV703" s="0" t="s">
        <v>418</v>
      </c>
      <c r="CW703" s="0" t="s">
        <v>3602</v>
      </c>
      <c r="CX703" s="0" t="s">
        <v>419</v>
      </c>
      <c r="CY703" s="0" t="s">
        <v>418</v>
      </c>
      <c r="CZ703" s="0" t="s">
        <v>504</v>
      </c>
      <c r="DA703" s="0" t="s">
        <v>3604</v>
      </c>
      <c r="DB703" s="0" t="s">
        <v>5379</v>
      </c>
      <c r="DC703" s="0" t="s">
        <v>362</v>
      </c>
      <c r="DD703" s="0" t="s">
        <v>282</v>
      </c>
      <c r="DE703" s="0" t="s">
        <v>5380</v>
      </c>
    </row>
    <row customHeight="1" ht="11.25">
      <c r="A704" s="1353" t="s">
        <v>228</v>
      </c>
      <c r="B704" s="0" t="s">
        <v>228</v>
      </c>
      <c r="C704" s="0" t="s">
        <v>228</v>
      </c>
      <c r="D704" s="0" t="s">
        <v>228</v>
      </c>
      <c r="E704" s="0" t="s">
        <v>228</v>
      </c>
      <c r="F704" s="0" t="s">
        <v>228</v>
      </c>
      <c r="G704" s="0" t="s">
        <v>228</v>
      </c>
      <c r="H704" s="0" t="s">
        <v>228</v>
      </c>
      <c r="I704" s="0" t="s">
        <v>5119</v>
      </c>
      <c r="J704" s="0" t="s">
        <v>228</v>
      </c>
      <c r="K704" s="0" t="s">
        <v>228</v>
      </c>
      <c r="L704" s="0" t="s">
        <v>228</v>
      </c>
      <c r="M704" s="0" t="s">
        <v>228</v>
      </c>
      <c r="N704" s="0" t="s">
        <v>228</v>
      </c>
      <c r="O704" s="0" t="s">
        <v>228</v>
      </c>
      <c r="P704" s="0" t="s">
        <v>228</v>
      </c>
      <c r="Q704" s="0" t="s">
        <v>228</v>
      </c>
      <c r="R704" s="0" t="s">
        <v>5381</v>
      </c>
      <c r="S704" s="0" t="s">
        <v>228</v>
      </c>
      <c r="T704" s="0" t="s">
        <v>228</v>
      </c>
      <c r="U704" s="0" t="s">
        <v>101</v>
      </c>
      <c r="V704" s="0" t="s">
        <v>228</v>
      </c>
      <c r="W704" s="0" t="s">
        <v>228</v>
      </c>
      <c r="X704" s="0" t="s">
        <v>5121</v>
      </c>
      <c r="Y704" s="0" t="s">
        <v>228</v>
      </c>
      <c r="Z704" s="0" t="s">
        <v>160</v>
      </c>
      <c r="AA704" s="0" t="s">
        <v>151</v>
      </c>
      <c r="AB704" s="0" t="s">
        <v>151</v>
      </c>
      <c r="AC704" s="0" t="s">
        <v>2715</v>
      </c>
      <c r="AD704" s="0" t="s">
        <v>2715</v>
      </c>
      <c r="AE704" s="0" t="s">
        <v>2716</v>
      </c>
      <c r="AF704" s="0" t="s">
        <v>3594</v>
      </c>
      <c r="AG704" s="0" t="s">
        <v>3595</v>
      </c>
      <c r="AH704" s="0" t="s">
        <v>5376</v>
      </c>
      <c r="AI704" s="0" t="s">
        <v>319</v>
      </c>
      <c r="AJ704" s="0" t="s">
        <v>5382</v>
      </c>
      <c r="AK704" s="0" t="s">
        <v>5383</v>
      </c>
      <c r="AL704" s="0" t="s">
        <v>5125</v>
      </c>
      <c r="AN704" s="0" t="s">
        <v>3566</v>
      </c>
      <c r="AO704" s="0" t="s">
        <v>5378</v>
      </c>
      <c r="AP704" s="0" t="s">
        <v>228</v>
      </c>
      <c r="AQ704" s="0" t="s">
        <v>228</v>
      </c>
      <c r="AR704" s="0" t="s">
        <v>228</v>
      </c>
      <c r="AS704" s="0" t="s">
        <v>228</v>
      </c>
      <c r="AT704" s="0" t="s">
        <v>228</v>
      </c>
      <c r="AU704" s="0" t="s">
        <v>228</v>
      </c>
      <c r="AV704" s="0" t="s">
        <v>228</v>
      </c>
      <c r="AW704" s="0" t="s">
        <v>228</v>
      </c>
      <c r="AX704" s="0" t="s">
        <v>228</v>
      </c>
      <c r="AY704" s="0" t="s">
        <v>228</v>
      </c>
      <c r="AZ704" s="0" t="s">
        <v>228</v>
      </c>
      <c r="BA704" s="0" t="s">
        <v>228</v>
      </c>
      <c r="BB704" s="0" t="s">
        <v>228</v>
      </c>
      <c r="BC704" s="0" t="s">
        <v>228</v>
      </c>
      <c r="BD704" s="0" t="s">
        <v>228</v>
      </c>
      <c r="BE704" s="0" t="s">
        <v>228</v>
      </c>
      <c r="BF704" s="0" t="s">
        <v>228</v>
      </c>
      <c r="BG704" s="0" t="s">
        <v>228</v>
      </c>
      <c r="BH704" s="0" t="s">
        <v>228</v>
      </c>
      <c r="BI704" s="0" t="s">
        <v>228</v>
      </c>
      <c r="BJ704" s="0" t="s">
        <v>228</v>
      </c>
      <c r="BK704" s="0" t="s">
        <v>228</v>
      </c>
      <c r="BL704" s="0" t="s">
        <v>228</v>
      </c>
      <c r="BM704" s="0" t="s">
        <v>228</v>
      </c>
      <c r="BN704" s="0" t="s">
        <v>228</v>
      </c>
      <c r="BO704" s="0" t="s">
        <v>228</v>
      </c>
      <c r="BP704" s="0" t="s">
        <v>228</v>
      </c>
      <c r="BQ704" s="0" t="s">
        <v>228</v>
      </c>
      <c r="BR704" s="0" t="s">
        <v>228</v>
      </c>
      <c r="BS704" s="0" t="s">
        <v>228</v>
      </c>
      <c r="BT704" s="0" t="s">
        <v>228</v>
      </c>
      <c r="CS704" s="0" t="s">
        <v>228</v>
      </c>
      <c r="CT704" s="0" t="s">
        <v>3568</v>
      </c>
      <c r="CU704" s="0" t="s">
        <v>3569</v>
      </c>
      <c r="CV704" s="0" t="s">
        <v>418</v>
      </c>
      <c r="CW704" s="0" t="s">
        <v>3602</v>
      </c>
      <c r="CX704" s="0" t="s">
        <v>419</v>
      </c>
      <c r="CY704" s="0" t="s">
        <v>418</v>
      </c>
      <c r="CZ704" s="0" t="s">
        <v>504</v>
      </c>
      <c r="DA704" s="0" t="s">
        <v>3604</v>
      </c>
      <c r="DB704" s="0" t="s">
        <v>5379</v>
      </c>
      <c r="DC704" s="0" t="s">
        <v>362</v>
      </c>
      <c r="DD704" s="0" t="s">
        <v>282</v>
      </c>
      <c r="DE704" s="0" t="s">
        <v>5384</v>
      </c>
    </row>
    <row customHeight="1" ht="11.25">
      <c r="A705" s="1353" t="s">
        <v>228</v>
      </c>
      <c r="B705" s="0" t="s">
        <v>228</v>
      </c>
      <c r="C705" s="0" t="s">
        <v>228</v>
      </c>
      <c r="D705" s="0" t="s">
        <v>228</v>
      </c>
      <c r="E705" s="0" t="s">
        <v>228</v>
      </c>
      <c r="F705" s="0" t="s">
        <v>228</v>
      </c>
      <c r="G705" s="0" t="s">
        <v>228</v>
      </c>
      <c r="H705" s="0" t="s">
        <v>228</v>
      </c>
      <c r="I705" s="0" t="s">
        <v>5119</v>
      </c>
      <c r="J705" s="0" t="s">
        <v>228</v>
      </c>
      <c r="K705" s="0" t="s">
        <v>228</v>
      </c>
      <c r="L705" s="0" t="s">
        <v>228</v>
      </c>
      <c r="M705" s="0" t="s">
        <v>228</v>
      </c>
      <c r="N705" s="0" t="s">
        <v>228</v>
      </c>
      <c r="O705" s="0" t="s">
        <v>228</v>
      </c>
      <c r="P705" s="0" t="s">
        <v>228</v>
      </c>
      <c r="Q705" s="0" t="s">
        <v>228</v>
      </c>
      <c r="R705" s="0" t="s">
        <v>5385</v>
      </c>
      <c r="S705" s="0" t="s">
        <v>228</v>
      </c>
      <c r="T705" s="0" t="s">
        <v>228</v>
      </c>
      <c r="U705" s="0" t="s">
        <v>101</v>
      </c>
      <c r="V705" s="0" t="s">
        <v>228</v>
      </c>
      <c r="W705" s="0" t="s">
        <v>228</v>
      </c>
      <c r="X705" s="0" t="s">
        <v>5121</v>
      </c>
      <c r="Y705" s="0" t="s">
        <v>228</v>
      </c>
      <c r="Z705" s="0" t="s">
        <v>160</v>
      </c>
      <c r="AA705" s="0" t="s">
        <v>151</v>
      </c>
      <c r="AB705" s="0" t="s">
        <v>151</v>
      </c>
      <c r="AC705" s="0" t="s">
        <v>2715</v>
      </c>
      <c r="AD705" s="0" t="s">
        <v>2715</v>
      </c>
      <c r="AE705" s="0" t="s">
        <v>2716</v>
      </c>
      <c r="AF705" s="0" t="s">
        <v>3594</v>
      </c>
      <c r="AG705" s="0" t="s">
        <v>3595</v>
      </c>
      <c r="AH705" s="0" t="s">
        <v>5386</v>
      </c>
      <c r="AI705" s="0" t="s">
        <v>3651</v>
      </c>
      <c r="AJ705" s="0" t="s">
        <v>5387</v>
      </c>
      <c r="AK705" s="0" t="s">
        <v>5388</v>
      </c>
      <c r="AL705" s="0" t="s">
        <v>5125</v>
      </c>
      <c r="AN705" s="0" t="s">
        <v>3566</v>
      </c>
      <c r="AO705" s="0" t="s">
        <v>5389</v>
      </c>
      <c r="AP705" s="0" t="s">
        <v>228</v>
      </c>
      <c r="AQ705" s="0" t="s">
        <v>228</v>
      </c>
      <c r="AR705" s="0" t="s">
        <v>228</v>
      </c>
      <c r="AS705" s="0" t="s">
        <v>228</v>
      </c>
      <c r="AT705" s="0" t="s">
        <v>228</v>
      </c>
      <c r="AU705" s="0" t="s">
        <v>228</v>
      </c>
      <c r="AV705" s="0" t="s">
        <v>228</v>
      </c>
      <c r="AW705" s="0" t="s">
        <v>228</v>
      </c>
      <c r="AX705" s="0" t="s">
        <v>228</v>
      </c>
      <c r="AY705" s="0" t="s">
        <v>228</v>
      </c>
      <c r="AZ705" s="0" t="s">
        <v>228</v>
      </c>
      <c r="BA705" s="0" t="s">
        <v>228</v>
      </c>
      <c r="BB705" s="0" t="s">
        <v>228</v>
      </c>
      <c r="BC705" s="0" t="s">
        <v>228</v>
      </c>
      <c r="BD705" s="0" t="s">
        <v>228</v>
      </c>
      <c r="BE705" s="0" t="s">
        <v>228</v>
      </c>
      <c r="BF705" s="0" t="s">
        <v>228</v>
      </c>
      <c r="BG705" s="0" t="s">
        <v>228</v>
      </c>
      <c r="BH705" s="0" t="s">
        <v>228</v>
      </c>
      <c r="BI705" s="0" t="s">
        <v>228</v>
      </c>
      <c r="BJ705" s="0" t="s">
        <v>228</v>
      </c>
      <c r="BK705" s="0" t="s">
        <v>228</v>
      </c>
      <c r="BL705" s="0" t="s">
        <v>228</v>
      </c>
      <c r="BM705" s="0" t="s">
        <v>228</v>
      </c>
      <c r="BN705" s="0" t="s">
        <v>228</v>
      </c>
      <c r="BO705" s="0" t="s">
        <v>228</v>
      </c>
      <c r="BP705" s="0" t="s">
        <v>228</v>
      </c>
      <c r="BQ705" s="0" t="s">
        <v>228</v>
      </c>
      <c r="BR705" s="0" t="s">
        <v>228</v>
      </c>
      <c r="BS705" s="0" t="s">
        <v>228</v>
      </c>
      <c r="BT705" s="0" t="s">
        <v>228</v>
      </c>
      <c r="CS705" s="0" t="s">
        <v>228</v>
      </c>
      <c r="CT705" s="0" t="s">
        <v>3568</v>
      </c>
      <c r="CU705" s="0" t="s">
        <v>3569</v>
      </c>
      <c r="CV705" s="0" t="s">
        <v>418</v>
      </c>
      <c r="CW705" s="0" t="s">
        <v>3602</v>
      </c>
      <c r="CX705" s="0" t="s">
        <v>419</v>
      </c>
      <c r="CY705" s="0" t="s">
        <v>418</v>
      </c>
      <c r="CZ705" s="0" t="s">
        <v>504</v>
      </c>
      <c r="DA705" s="0" t="s">
        <v>3604</v>
      </c>
      <c r="DB705" s="0" t="s">
        <v>5379</v>
      </c>
      <c r="DC705" s="0" t="s">
        <v>362</v>
      </c>
      <c r="DD705" s="0" t="s">
        <v>282</v>
      </c>
      <c r="DE705" s="0" t="s">
        <v>5390</v>
      </c>
    </row>
    <row customHeight="1" ht="11.25">
      <c r="A706" s="1353" t="s">
        <v>228</v>
      </c>
      <c r="B706" s="0" t="s">
        <v>228</v>
      </c>
      <c r="C706" s="0" t="s">
        <v>228</v>
      </c>
      <c r="D706" s="0" t="s">
        <v>228</v>
      </c>
      <c r="E706" s="0" t="s">
        <v>228</v>
      </c>
      <c r="F706" s="0" t="s">
        <v>228</v>
      </c>
      <c r="G706" s="0" t="s">
        <v>228</v>
      </c>
      <c r="H706" s="0" t="s">
        <v>228</v>
      </c>
      <c r="I706" s="0" t="s">
        <v>5119</v>
      </c>
      <c r="J706" s="0" t="s">
        <v>228</v>
      </c>
      <c r="K706" s="0" t="s">
        <v>228</v>
      </c>
      <c r="L706" s="0" t="s">
        <v>228</v>
      </c>
      <c r="M706" s="0" t="s">
        <v>228</v>
      </c>
      <c r="N706" s="0" t="s">
        <v>228</v>
      </c>
      <c r="O706" s="0" t="s">
        <v>228</v>
      </c>
      <c r="P706" s="0" t="s">
        <v>228</v>
      </c>
      <c r="Q706" s="0" t="s">
        <v>228</v>
      </c>
      <c r="R706" s="0" t="s">
        <v>5391</v>
      </c>
      <c r="S706" s="0" t="s">
        <v>228</v>
      </c>
      <c r="T706" s="0" t="s">
        <v>228</v>
      </c>
      <c r="U706" s="0" t="s">
        <v>101</v>
      </c>
      <c r="V706" s="0" t="s">
        <v>228</v>
      </c>
      <c r="W706" s="0" t="s">
        <v>228</v>
      </c>
      <c r="X706" s="0" t="s">
        <v>3661</v>
      </c>
      <c r="Y706" s="0" t="s">
        <v>228</v>
      </c>
      <c r="Z706" s="0" t="s">
        <v>151</v>
      </c>
      <c r="AA706" s="0" t="s">
        <v>151</v>
      </c>
      <c r="AB706" s="0" t="s">
        <v>160</v>
      </c>
      <c r="AC706" s="0" t="s">
        <v>2715</v>
      </c>
      <c r="AD706" s="0" t="s">
        <v>2715</v>
      </c>
      <c r="AE706" s="0" t="s">
        <v>2716</v>
      </c>
      <c r="AF706" s="0" t="s">
        <v>3594</v>
      </c>
      <c r="AG706" s="0" t="s">
        <v>3595</v>
      </c>
      <c r="AH706" s="0" t="s">
        <v>5392</v>
      </c>
      <c r="AI706" s="0" t="s">
        <v>3608</v>
      </c>
      <c r="AJ706" s="0" t="s">
        <v>228</v>
      </c>
      <c r="AK706" s="0" t="s">
        <v>228</v>
      </c>
      <c r="AL706" s="0" t="s">
        <v>228</v>
      </c>
      <c r="AN706" s="0" t="s">
        <v>228</v>
      </c>
      <c r="AO706" s="0" t="s">
        <v>228</v>
      </c>
      <c r="AP706" s="0" t="s">
        <v>228</v>
      </c>
      <c r="AQ706" s="0" t="s">
        <v>228</v>
      </c>
      <c r="AR706" s="0" t="s">
        <v>228</v>
      </c>
      <c r="AS706" s="0" t="s">
        <v>228</v>
      </c>
      <c r="AT706" s="0" t="s">
        <v>228</v>
      </c>
      <c r="AU706" s="0" t="s">
        <v>228</v>
      </c>
      <c r="AV706" s="0" t="s">
        <v>228</v>
      </c>
      <c r="AW706" s="0" t="s">
        <v>228</v>
      </c>
      <c r="AX706" s="0" t="s">
        <v>228</v>
      </c>
      <c r="AY706" s="0" t="s">
        <v>228</v>
      </c>
      <c r="AZ706" s="0" t="s">
        <v>228</v>
      </c>
      <c r="BA706" s="0" t="s">
        <v>228</v>
      </c>
      <c r="BB706" s="0" t="s">
        <v>228</v>
      </c>
      <c r="BC706" s="0" t="s">
        <v>228</v>
      </c>
      <c r="BD706" s="0" t="s">
        <v>228</v>
      </c>
      <c r="BE706" s="0" t="s">
        <v>5393</v>
      </c>
      <c r="BF706" s="0" t="s">
        <v>5394</v>
      </c>
      <c r="BG706" s="0" t="s">
        <v>111</v>
      </c>
      <c r="BH706" s="0" t="s">
        <v>3665</v>
      </c>
      <c r="BI706" s="0" t="s">
        <v>122</v>
      </c>
      <c r="BJ706" s="0" t="s">
        <v>228</v>
      </c>
      <c r="BK706" s="0" t="s">
        <v>5395</v>
      </c>
      <c r="BL706" s="0" t="s">
        <v>2715</v>
      </c>
      <c r="BM706" s="0" t="s">
        <v>2715</v>
      </c>
      <c r="BN706" s="0" t="s">
        <v>3667</v>
      </c>
      <c r="BO706" s="0" t="s">
        <v>3594</v>
      </c>
      <c r="BP706" s="0" t="s">
        <v>3668</v>
      </c>
      <c r="BQ706" s="0" t="s">
        <v>3669</v>
      </c>
      <c r="BR706" s="0" t="s">
        <v>3608</v>
      </c>
      <c r="BS706" s="0" t="s">
        <v>228</v>
      </c>
      <c r="BT706" s="0" t="s">
        <v>3670</v>
      </c>
      <c r="CS706" s="0" t="s">
        <v>5396</v>
      </c>
      <c r="CT706" s="0" t="s">
        <v>3568</v>
      </c>
      <c r="CU706" s="0" t="s">
        <v>3569</v>
      </c>
      <c r="CV706" s="0" t="s">
        <v>418</v>
      </c>
      <c r="CW706" s="0" t="s">
        <v>3602</v>
      </c>
      <c r="CX706" s="0" t="s">
        <v>419</v>
      </c>
      <c r="CY706" s="0" t="s">
        <v>418</v>
      </c>
      <c r="CZ706" s="0" t="s">
        <v>504</v>
      </c>
      <c r="DA706" s="0" t="s">
        <v>3604</v>
      </c>
      <c r="DB706" s="0" t="s">
        <v>3602</v>
      </c>
      <c r="DC706" s="0" t="s">
        <v>362</v>
      </c>
      <c r="DD706" s="0" t="s">
        <v>282</v>
      </c>
      <c r="DE706" s="0" t="s">
        <v>5397</v>
      </c>
    </row>
    <row customHeight="1" ht="11.25">
      <c r="A707" s="1353" t="s">
        <v>228</v>
      </c>
      <c r="B707" s="0" t="s">
        <v>228</v>
      </c>
      <c r="C707" s="0" t="s">
        <v>228</v>
      </c>
      <c r="D707" s="0" t="s">
        <v>228</v>
      </c>
      <c r="E707" s="0" t="s">
        <v>228</v>
      </c>
      <c r="F707" s="0" t="s">
        <v>228</v>
      </c>
      <c r="G707" s="0" t="s">
        <v>228</v>
      </c>
      <c r="H707" s="0" t="s">
        <v>228</v>
      </c>
      <c r="I707" s="0" t="s">
        <v>5119</v>
      </c>
      <c r="J707" s="0" t="s">
        <v>228</v>
      </c>
      <c r="K707" s="0" t="s">
        <v>228</v>
      </c>
      <c r="L707" s="0" t="s">
        <v>228</v>
      </c>
      <c r="M707" s="0" t="s">
        <v>228</v>
      </c>
      <c r="N707" s="0" t="s">
        <v>228</v>
      </c>
      <c r="O707" s="0" t="s">
        <v>228</v>
      </c>
      <c r="P707" s="0" t="s">
        <v>228</v>
      </c>
      <c r="Q707" s="0" t="s">
        <v>228</v>
      </c>
      <c r="R707" s="0" t="s">
        <v>5162</v>
      </c>
      <c r="S707" s="0" t="s">
        <v>228</v>
      </c>
      <c r="T707" s="0" t="s">
        <v>228</v>
      </c>
      <c r="U707" s="0" t="s">
        <v>101</v>
      </c>
      <c r="V707" s="0" t="s">
        <v>228</v>
      </c>
      <c r="W707" s="0" t="s">
        <v>228</v>
      </c>
      <c r="X707" s="0" t="s">
        <v>3661</v>
      </c>
      <c r="Y707" s="0" t="s">
        <v>228</v>
      </c>
      <c r="Z707" s="0" t="s">
        <v>151</v>
      </c>
      <c r="AA707" s="0" t="s">
        <v>151</v>
      </c>
      <c r="AB707" s="0" t="s">
        <v>160</v>
      </c>
      <c r="AC707" s="0" t="s">
        <v>2715</v>
      </c>
      <c r="AD707" s="0" t="s">
        <v>2715</v>
      </c>
      <c r="AE707" s="0" t="s">
        <v>2716</v>
      </c>
      <c r="AF707" s="0" t="s">
        <v>3594</v>
      </c>
      <c r="AG707" s="0" t="s">
        <v>3595</v>
      </c>
      <c r="AH707" s="0" t="s">
        <v>5163</v>
      </c>
      <c r="AI707" s="0" t="s">
        <v>3608</v>
      </c>
      <c r="AJ707" s="0" t="s">
        <v>228</v>
      </c>
      <c r="AK707" s="0" t="s">
        <v>228</v>
      </c>
      <c r="AL707" s="0" t="s">
        <v>228</v>
      </c>
      <c r="AN707" s="0" t="s">
        <v>228</v>
      </c>
      <c r="AO707" s="0" t="s">
        <v>228</v>
      </c>
      <c r="AP707" s="0" t="s">
        <v>228</v>
      </c>
      <c r="AQ707" s="0" t="s">
        <v>228</v>
      </c>
      <c r="AR707" s="0" t="s">
        <v>228</v>
      </c>
      <c r="AS707" s="0" t="s">
        <v>228</v>
      </c>
      <c r="AT707" s="0" t="s">
        <v>228</v>
      </c>
      <c r="AU707" s="0" t="s">
        <v>228</v>
      </c>
      <c r="AV707" s="0" t="s">
        <v>228</v>
      </c>
      <c r="AW707" s="0" t="s">
        <v>228</v>
      </c>
      <c r="AX707" s="0" t="s">
        <v>228</v>
      </c>
      <c r="AY707" s="0" t="s">
        <v>228</v>
      </c>
      <c r="AZ707" s="0" t="s">
        <v>228</v>
      </c>
      <c r="BA707" s="0" t="s">
        <v>228</v>
      </c>
      <c r="BB707" s="0" t="s">
        <v>228</v>
      </c>
      <c r="BC707" s="0" t="s">
        <v>228</v>
      </c>
      <c r="BD707" s="0" t="s">
        <v>228</v>
      </c>
      <c r="BE707" s="0" t="s">
        <v>5398</v>
      </c>
      <c r="BF707" s="0" t="s">
        <v>5165</v>
      </c>
      <c r="BG707" s="0" t="s">
        <v>111</v>
      </c>
      <c r="BH707" s="0" t="s">
        <v>3665</v>
      </c>
      <c r="BI707" s="0" t="s">
        <v>122</v>
      </c>
      <c r="BJ707" s="0" t="s">
        <v>228</v>
      </c>
      <c r="BK707" s="0" t="s">
        <v>5399</v>
      </c>
      <c r="BL707" s="0" t="s">
        <v>2715</v>
      </c>
      <c r="BM707" s="0" t="s">
        <v>2715</v>
      </c>
      <c r="BN707" s="0" t="s">
        <v>3667</v>
      </c>
      <c r="BO707" s="0" t="s">
        <v>3594</v>
      </c>
      <c r="BP707" s="0" t="s">
        <v>3668</v>
      </c>
      <c r="BQ707" s="0" t="s">
        <v>5400</v>
      </c>
      <c r="BR707" s="0" t="s">
        <v>3608</v>
      </c>
      <c r="BS707" s="0" t="s">
        <v>228</v>
      </c>
      <c r="BT707" s="0" t="s">
        <v>3670</v>
      </c>
      <c r="CS707" s="0" t="s">
        <v>5396</v>
      </c>
      <c r="CT707" s="0" t="s">
        <v>3568</v>
      </c>
      <c r="CU707" s="0" t="s">
        <v>3569</v>
      </c>
      <c r="CV707" s="0" t="s">
        <v>418</v>
      </c>
      <c r="CW707" s="0" t="s">
        <v>3602</v>
      </c>
      <c r="CX707" s="0" t="s">
        <v>419</v>
      </c>
      <c r="CY707" s="0" t="s">
        <v>418</v>
      </c>
      <c r="CZ707" s="0" t="s">
        <v>504</v>
      </c>
      <c r="DA707" s="0" t="s">
        <v>3604</v>
      </c>
      <c r="DB707" s="0" t="s">
        <v>3602</v>
      </c>
      <c r="DC707" s="0" t="s">
        <v>362</v>
      </c>
      <c r="DD707" s="0" t="s">
        <v>282</v>
      </c>
      <c r="DE707" s="0" t="s">
        <v>5166</v>
      </c>
    </row>
    <row customHeight="1" ht="11.25">
      <c r="A708" s="1353" t="s">
        <v>228</v>
      </c>
      <c r="B708" s="0" t="s">
        <v>228</v>
      </c>
      <c r="C708" s="0" t="s">
        <v>228</v>
      </c>
      <c r="D708" s="0" t="s">
        <v>228</v>
      </c>
      <c r="E708" s="0" t="s">
        <v>228</v>
      </c>
      <c r="F708" s="0" t="s">
        <v>228</v>
      </c>
      <c r="G708" s="0" t="s">
        <v>228</v>
      </c>
      <c r="H708" s="0" t="s">
        <v>228</v>
      </c>
      <c r="I708" s="0" t="s">
        <v>5119</v>
      </c>
      <c r="J708" s="0" t="s">
        <v>228</v>
      </c>
      <c r="K708" s="0" t="s">
        <v>228</v>
      </c>
      <c r="L708" s="0" t="s">
        <v>228</v>
      </c>
      <c r="M708" s="0" t="s">
        <v>228</v>
      </c>
      <c r="N708" s="0" t="s">
        <v>228</v>
      </c>
      <c r="O708" s="0" t="s">
        <v>228</v>
      </c>
      <c r="P708" s="0" t="s">
        <v>228</v>
      </c>
      <c r="Q708" s="0" t="s">
        <v>228</v>
      </c>
      <c r="R708" s="0" t="s">
        <v>5401</v>
      </c>
      <c r="S708" s="0" t="s">
        <v>228</v>
      </c>
      <c r="T708" s="0" t="s">
        <v>228</v>
      </c>
      <c r="U708" s="0" t="s">
        <v>101</v>
      </c>
      <c r="V708" s="0" t="s">
        <v>228</v>
      </c>
      <c r="W708" s="0" t="s">
        <v>228</v>
      </c>
      <c r="X708" s="0" t="s">
        <v>3661</v>
      </c>
      <c r="Y708" s="0" t="s">
        <v>228</v>
      </c>
      <c r="Z708" s="0" t="s">
        <v>151</v>
      </c>
      <c r="AA708" s="0" t="s">
        <v>151</v>
      </c>
      <c r="AB708" s="0" t="s">
        <v>160</v>
      </c>
      <c r="AC708" s="0" t="s">
        <v>2715</v>
      </c>
      <c r="AD708" s="0" t="s">
        <v>2715</v>
      </c>
      <c r="AE708" s="0" t="s">
        <v>2716</v>
      </c>
      <c r="AF708" s="0" t="s">
        <v>3594</v>
      </c>
      <c r="AG708" s="0" t="s">
        <v>3595</v>
      </c>
      <c r="AH708" s="0" t="s">
        <v>5402</v>
      </c>
      <c r="AI708" s="0" t="s">
        <v>3608</v>
      </c>
      <c r="AJ708" s="0" t="s">
        <v>228</v>
      </c>
      <c r="AK708" s="0" t="s">
        <v>228</v>
      </c>
      <c r="AL708" s="0" t="s">
        <v>228</v>
      </c>
      <c r="AN708" s="0" t="s">
        <v>228</v>
      </c>
      <c r="AO708" s="0" t="s">
        <v>228</v>
      </c>
      <c r="AP708" s="0" t="s">
        <v>228</v>
      </c>
      <c r="AQ708" s="0" t="s">
        <v>228</v>
      </c>
      <c r="AR708" s="0" t="s">
        <v>228</v>
      </c>
      <c r="AS708" s="0" t="s">
        <v>228</v>
      </c>
      <c r="AT708" s="0" t="s">
        <v>228</v>
      </c>
      <c r="AU708" s="0" t="s">
        <v>228</v>
      </c>
      <c r="AV708" s="0" t="s">
        <v>228</v>
      </c>
      <c r="AW708" s="0" t="s">
        <v>228</v>
      </c>
      <c r="AX708" s="0" t="s">
        <v>228</v>
      </c>
      <c r="AY708" s="0" t="s">
        <v>228</v>
      </c>
      <c r="AZ708" s="0" t="s">
        <v>228</v>
      </c>
      <c r="BA708" s="0" t="s">
        <v>228</v>
      </c>
      <c r="BB708" s="0" t="s">
        <v>228</v>
      </c>
      <c r="BC708" s="0" t="s">
        <v>228</v>
      </c>
      <c r="BD708" s="0" t="s">
        <v>228</v>
      </c>
      <c r="BE708" s="0" t="s">
        <v>3793</v>
      </c>
      <c r="BF708" s="0" t="s">
        <v>5403</v>
      </c>
      <c r="BG708" s="0" t="s">
        <v>111</v>
      </c>
      <c r="BH708" s="0" t="s">
        <v>3665</v>
      </c>
      <c r="BI708" s="0" t="s">
        <v>122</v>
      </c>
      <c r="BJ708" s="0" t="s">
        <v>228</v>
      </c>
      <c r="BK708" s="0" t="s">
        <v>5404</v>
      </c>
      <c r="BL708" s="0" t="s">
        <v>2715</v>
      </c>
      <c r="BM708" s="0" t="s">
        <v>2715</v>
      </c>
      <c r="BN708" s="0" t="s">
        <v>3667</v>
      </c>
      <c r="BO708" s="0" t="s">
        <v>3594</v>
      </c>
      <c r="BP708" s="0" t="s">
        <v>3668</v>
      </c>
      <c r="BQ708" s="0" t="s">
        <v>5402</v>
      </c>
      <c r="BR708" s="0" t="s">
        <v>3608</v>
      </c>
      <c r="BS708" s="0" t="s">
        <v>228</v>
      </c>
      <c r="BT708" s="0" t="s">
        <v>3670</v>
      </c>
      <c r="CS708" s="0" t="s">
        <v>5396</v>
      </c>
      <c r="CT708" s="0" t="s">
        <v>3568</v>
      </c>
      <c r="CU708" s="0" t="s">
        <v>3569</v>
      </c>
      <c r="CV708" s="0" t="s">
        <v>418</v>
      </c>
      <c r="CW708" s="0" t="s">
        <v>3602</v>
      </c>
      <c r="CX708" s="0" t="s">
        <v>419</v>
      </c>
      <c r="CY708" s="0" t="s">
        <v>418</v>
      </c>
      <c r="CZ708" s="0" t="s">
        <v>504</v>
      </c>
      <c r="DA708" s="0" t="s">
        <v>3604</v>
      </c>
      <c r="DB708" s="0" t="s">
        <v>3602</v>
      </c>
      <c r="DC708" s="0" t="s">
        <v>362</v>
      </c>
      <c r="DD708" s="0" t="s">
        <v>282</v>
      </c>
      <c r="DE708" s="0" t="s">
        <v>5405</v>
      </c>
    </row>
    <row customHeight="1" ht="11.25">
      <c r="A709" s="1353" t="s">
        <v>228</v>
      </c>
      <c r="B709" s="0" t="s">
        <v>228</v>
      </c>
      <c r="C709" s="0" t="s">
        <v>228</v>
      </c>
      <c r="D709" s="0" t="s">
        <v>228</v>
      </c>
      <c r="E709" s="0" t="s">
        <v>228</v>
      </c>
      <c r="F709" s="0" t="s">
        <v>228</v>
      </c>
      <c r="G709" s="0" t="s">
        <v>228</v>
      </c>
      <c r="H709" s="0" t="s">
        <v>228</v>
      </c>
      <c r="I709" s="0" t="s">
        <v>5119</v>
      </c>
      <c r="J709" s="0" t="s">
        <v>228</v>
      </c>
      <c r="K709" s="0" t="s">
        <v>228</v>
      </c>
      <c r="L709" s="0" t="s">
        <v>228</v>
      </c>
      <c r="M709" s="0" t="s">
        <v>228</v>
      </c>
      <c r="N709" s="0" t="s">
        <v>228</v>
      </c>
      <c r="O709" s="0" t="s">
        <v>228</v>
      </c>
      <c r="P709" s="0" t="s">
        <v>228</v>
      </c>
      <c r="Q709" s="0" t="s">
        <v>228</v>
      </c>
      <c r="R709" s="0" t="s">
        <v>5401</v>
      </c>
      <c r="S709" s="0" t="s">
        <v>228</v>
      </c>
      <c r="T709" s="0" t="s">
        <v>228</v>
      </c>
      <c r="U709" s="0" t="s">
        <v>101</v>
      </c>
      <c r="V709" s="0" t="s">
        <v>228</v>
      </c>
      <c r="W709" s="0" t="s">
        <v>228</v>
      </c>
      <c r="X709" s="0" t="s">
        <v>3988</v>
      </c>
      <c r="Y709" s="0" t="s">
        <v>228</v>
      </c>
      <c r="Z709" s="0" t="s">
        <v>151</v>
      </c>
      <c r="AA709" s="0" t="s">
        <v>160</v>
      </c>
      <c r="AB709" s="0" t="s">
        <v>151</v>
      </c>
      <c r="AC709" s="0" t="s">
        <v>2715</v>
      </c>
      <c r="AD709" s="0" t="s">
        <v>2715</v>
      </c>
      <c r="AE709" s="0" t="s">
        <v>2716</v>
      </c>
      <c r="AF709" s="0" t="s">
        <v>3594</v>
      </c>
      <c r="AG709" s="0" t="s">
        <v>3595</v>
      </c>
      <c r="AH709" s="0" t="s">
        <v>5402</v>
      </c>
      <c r="AI709" s="0" t="s">
        <v>3608</v>
      </c>
      <c r="AJ709" s="0" t="s">
        <v>228</v>
      </c>
      <c r="AK709" s="0" t="s">
        <v>228</v>
      </c>
      <c r="AL709" s="0" t="s">
        <v>228</v>
      </c>
      <c r="AN709" s="0" t="s">
        <v>228</v>
      </c>
      <c r="AO709" s="0" t="s">
        <v>228</v>
      </c>
      <c r="AP709" s="0" t="s">
        <v>3793</v>
      </c>
      <c r="AQ709" s="0" t="s">
        <v>5403</v>
      </c>
      <c r="AR709" s="0" t="s">
        <v>111</v>
      </c>
      <c r="AS709" s="0" t="s">
        <v>3665</v>
      </c>
      <c r="AT709" s="0" t="s">
        <v>122</v>
      </c>
      <c r="AU709" s="0" t="s">
        <v>228</v>
      </c>
      <c r="AV709" s="0" t="s">
        <v>5401</v>
      </c>
      <c r="AW709" s="0" t="s">
        <v>2715</v>
      </c>
      <c r="AX709" s="0" t="s">
        <v>2715</v>
      </c>
      <c r="AY709" s="0" t="s">
        <v>3667</v>
      </c>
      <c r="AZ709" s="0" t="s">
        <v>3594</v>
      </c>
      <c r="BA709" s="0" t="s">
        <v>3668</v>
      </c>
      <c r="BB709" s="0" t="s">
        <v>5402</v>
      </c>
      <c r="BC709" s="0" t="s">
        <v>3608</v>
      </c>
      <c r="BD709" s="0" t="s">
        <v>5406</v>
      </c>
      <c r="BE709" s="0" t="s">
        <v>228</v>
      </c>
      <c r="BF709" s="0" t="s">
        <v>228</v>
      </c>
      <c r="BG709" s="0" t="s">
        <v>228</v>
      </c>
      <c r="BH709" s="0" t="s">
        <v>228</v>
      </c>
      <c r="BI709" s="0" t="s">
        <v>228</v>
      </c>
      <c r="BJ709" s="0" t="s">
        <v>228</v>
      </c>
      <c r="BK709" s="0" t="s">
        <v>228</v>
      </c>
      <c r="BL709" s="0" t="s">
        <v>228</v>
      </c>
      <c r="BM709" s="0" t="s">
        <v>228</v>
      </c>
      <c r="BN709" s="0" t="s">
        <v>228</v>
      </c>
      <c r="BO709" s="0" t="s">
        <v>228</v>
      </c>
      <c r="BP709" s="0" t="s">
        <v>228</v>
      </c>
      <c r="BQ709" s="0" t="s">
        <v>228</v>
      </c>
      <c r="BR709" s="0" t="s">
        <v>228</v>
      </c>
      <c r="BS709" s="0" t="s">
        <v>228</v>
      </c>
      <c r="BT709" s="0" t="s">
        <v>228</v>
      </c>
      <c r="CS709" s="0" t="s">
        <v>228</v>
      </c>
      <c r="CT709" s="0" t="s">
        <v>3568</v>
      </c>
      <c r="CU709" s="0" t="s">
        <v>3569</v>
      </c>
      <c r="CV709" s="0" t="s">
        <v>418</v>
      </c>
      <c r="CW709" s="0" t="s">
        <v>3602</v>
      </c>
      <c r="CX709" s="0" t="s">
        <v>3603</v>
      </c>
      <c r="CY709" s="0" t="s">
        <v>418</v>
      </c>
      <c r="CZ709" s="0" t="s">
        <v>504</v>
      </c>
      <c r="DA709" s="0" t="s">
        <v>3604</v>
      </c>
      <c r="DB709" s="0" t="s">
        <v>3602</v>
      </c>
      <c r="DC709" s="0" t="s">
        <v>362</v>
      </c>
      <c r="DD709" s="0" t="s">
        <v>282</v>
      </c>
      <c r="DE709" s="0" t="s">
        <v>5405</v>
      </c>
    </row>
    <row customHeight="1" ht="11.25">
      <c r="A710" s="1353" t="s">
        <v>228</v>
      </c>
      <c r="B710" s="0" t="s">
        <v>228</v>
      </c>
      <c r="C710" s="0" t="s">
        <v>228</v>
      </c>
      <c r="D710" s="0" t="s">
        <v>228</v>
      </c>
      <c r="E710" s="0" t="s">
        <v>228</v>
      </c>
      <c r="F710" s="0" t="s">
        <v>228</v>
      </c>
      <c r="G710" s="0" t="s">
        <v>228</v>
      </c>
      <c r="H710" s="0" t="s">
        <v>228</v>
      </c>
      <c r="I710" s="0" t="s">
        <v>5119</v>
      </c>
      <c r="J710" s="0" t="s">
        <v>228</v>
      </c>
      <c r="K710" s="0" t="s">
        <v>228</v>
      </c>
      <c r="L710" s="0" t="s">
        <v>228</v>
      </c>
      <c r="M710" s="0" t="s">
        <v>228</v>
      </c>
      <c r="N710" s="0" t="s">
        <v>228</v>
      </c>
      <c r="O710" s="0" t="s">
        <v>228</v>
      </c>
      <c r="P710" s="0" t="s">
        <v>228</v>
      </c>
      <c r="Q710" s="0" t="s">
        <v>228</v>
      </c>
      <c r="R710" s="0" t="s">
        <v>5407</v>
      </c>
      <c r="S710" s="0" t="s">
        <v>228</v>
      </c>
      <c r="T710" s="0" t="s">
        <v>228</v>
      </c>
      <c r="U710" s="0" t="s">
        <v>101</v>
      </c>
      <c r="V710" s="0" t="s">
        <v>228</v>
      </c>
      <c r="W710" s="0" t="s">
        <v>228</v>
      </c>
      <c r="X710" s="0" t="s">
        <v>5408</v>
      </c>
      <c r="Y710" s="0" t="s">
        <v>228</v>
      </c>
      <c r="Z710" s="0" t="s">
        <v>160</v>
      </c>
      <c r="AA710" s="0" t="s">
        <v>151</v>
      </c>
      <c r="AB710" s="0" t="s">
        <v>160</v>
      </c>
      <c r="AC710" s="0" t="s">
        <v>2715</v>
      </c>
      <c r="AD710" s="0" t="s">
        <v>2715</v>
      </c>
      <c r="AE710" s="0" t="s">
        <v>2716</v>
      </c>
      <c r="AF710" s="0" t="s">
        <v>3594</v>
      </c>
      <c r="AG710" s="0" t="s">
        <v>3595</v>
      </c>
      <c r="AH710" s="0" t="s">
        <v>5409</v>
      </c>
      <c r="AI710" s="0" t="s">
        <v>4215</v>
      </c>
      <c r="AJ710" s="0" t="s">
        <v>5203</v>
      </c>
      <c r="AK710" s="0" t="s">
        <v>3562</v>
      </c>
      <c r="AL710" s="0" t="s">
        <v>5144</v>
      </c>
      <c r="AN710" s="0" t="s">
        <v>3582</v>
      </c>
      <c r="AO710" s="0" t="s">
        <v>5410</v>
      </c>
      <c r="AP710" s="0" t="s">
        <v>228</v>
      </c>
      <c r="AQ710" s="0" t="s">
        <v>228</v>
      </c>
      <c r="AR710" s="0" t="s">
        <v>228</v>
      </c>
      <c r="AS710" s="0" t="s">
        <v>228</v>
      </c>
      <c r="AT710" s="0" t="s">
        <v>228</v>
      </c>
      <c r="AU710" s="0" t="s">
        <v>228</v>
      </c>
      <c r="AV710" s="0" t="s">
        <v>228</v>
      </c>
      <c r="AW710" s="0" t="s">
        <v>228</v>
      </c>
      <c r="AX710" s="0" t="s">
        <v>228</v>
      </c>
      <c r="AY710" s="0" t="s">
        <v>228</v>
      </c>
      <c r="AZ710" s="0" t="s">
        <v>228</v>
      </c>
      <c r="BA710" s="0" t="s">
        <v>228</v>
      </c>
      <c r="BB710" s="0" t="s">
        <v>228</v>
      </c>
      <c r="BC710" s="0" t="s">
        <v>228</v>
      </c>
      <c r="BD710" s="0" t="s">
        <v>228</v>
      </c>
      <c r="BE710" s="0" t="s">
        <v>5203</v>
      </c>
      <c r="BF710" s="0" t="s">
        <v>3562</v>
      </c>
      <c r="BG710" s="0" t="s">
        <v>228</v>
      </c>
      <c r="BH710" s="0" t="s">
        <v>228</v>
      </c>
      <c r="BI710" s="0" t="s">
        <v>228</v>
      </c>
      <c r="BJ710" s="0" t="s">
        <v>228</v>
      </c>
      <c r="BK710" s="0" t="s">
        <v>228</v>
      </c>
      <c r="BL710" s="0" t="s">
        <v>228</v>
      </c>
      <c r="BM710" s="0" t="s">
        <v>228</v>
      </c>
      <c r="BN710" s="0" t="s">
        <v>228</v>
      </c>
      <c r="BO710" s="0" t="s">
        <v>228</v>
      </c>
      <c r="BP710" s="0" t="s">
        <v>228</v>
      </c>
      <c r="BQ710" s="0" t="s">
        <v>228</v>
      </c>
      <c r="BR710" s="0" t="s">
        <v>228</v>
      </c>
      <c r="BS710" s="0" t="s">
        <v>228</v>
      </c>
      <c r="BT710" s="0" t="s">
        <v>3670</v>
      </c>
      <c r="CS710" s="0" t="s">
        <v>5411</v>
      </c>
      <c r="CT710" s="0" t="s">
        <v>3568</v>
      </c>
      <c r="CU710" s="0" t="s">
        <v>3569</v>
      </c>
      <c r="CV710" s="0" t="s">
        <v>418</v>
      </c>
      <c r="CW710" s="0" t="s">
        <v>3602</v>
      </c>
      <c r="CX710" s="0" t="s">
        <v>419</v>
      </c>
      <c r="CY710" s="0" t="s">
        <v>418</v>
      </c>
      <c r="CZ710" s="0" t="s">
        <v>504</v>
      </c>
      <c r="DA710" s="0" t="s">
        <v>3604</v>
      </c>
      <c r="DB710" s="0" t="s">
        <v>3602</v>
      </c>
      <c r="DC710" s="0" t="s">
        <v>362</v>
      </c>
      <c r="DD710" s="0" t="s">
        <v>282</v>
      </c>
      <c r="DE710" s="0" t="s">
        <v>5412</v>
      </c>
    </row>
    <row customHeight="1" ht="11.25">
      <c r="A711" s="1353" t="s">
        <v>228</v>
      </c>
      <c r="B711" s="0" t="s">
        <v>228</v>
      </c>
      <c r="C711" s="0" t="s">
        <v>228</v>
      </c>
      <c r="D711" s="0" t="s">
        <v>228</v>
      </c>
      <c r="E711" s="0" t="s">
        <v>228</v>
      </c>
      <c r="F711" s="0" t="s">
        <v>228</v>
      </c>
      <c r="G711" s="0" t="s">
        <v>228</v>
      </c>
      <c r="H711" s="0" t="s">
        <v>228</v>
      </c>
      <c r="I711" s="0" t="s">
        <v>5119</v>
      </c>
      <c r="J711" s="0" t="s">
        <v>228</v>
      </c>
      <c r="K711" s="0" t="s">
        <v>228</v>
      </c>
      <c r="L711" s="0" t="s">
        <v>228</v>
      </c>
      <c r="M711" s="0" t="s">
        <v>228</v>
      </c>
      <c r="N711" s="0" t="s">
        <v>228</v>
      </c>
      <c r="O711" s="0" t="s">
        <v>228</v>
      </c>
      <c r="P711" s="0" t="s">
        <v>228</v>
      </c>
      <c r="Q711" s="0" t="s">
        <v>228</v>
      </c>
      <c r="R711" s="0" t="s">
        <v>5413</v>
      </c>
      <c r="S711" s="0" t="s">
        <v>228</v>
      </c>
      <c r="T711" s="0" t="s">
        <v>228</v>
      </c>
      <c r="U711" s="0" t="s">
        <v>101</v>
      </c>
      <c r="V711" s="0" t="s">
        <v>228</v>
      </c>
      <c r="W711" s="0" t="s">
        <v>228</v>
      </c>
      <c r="X711" s="0" t="s">
        <v>3661</v>
      </c>
      <c r="Y711" s="0" t="s">
        <v>228</v>
      </c>
      <c r="Z711" s="0" t="s">
        <v>151</v>
      </c>
      <c r="AA711" s="0" t="s">
        <v>151</v>
      </c>
      <c r="AB711" s="0" t="s">
        <v>160</v>
      </c>
      <c r="AC711" s="0" t="s">
        <v>2715</v>
      </c>
      <c r="AD711" s="0" t="s">
        <v>2715</v>
      </c>
      <c r="AE711" s="0" t="s">
        <v>2716</v>
      </c>
      <c r="AF711" s="0" t="s">
        <v>3594</v>
      </c>
      <c r="AG711" s="0" t="s">
        <v>3595</v>
      </c>
      <c r="AH711" s="0" t="s">
        <v>4548</v>
      </c>
      <c r="AI711" s="0" t="s">
        <v>5414</v>
      </c>
      <c r="AJ711" s="0" t="s">
        <v>228</v>
      </c>
      <c r="AK711" s="0" t="s">
        <v>228</v>
      </c>
      <c r="AL711" s="0" t="s">
        <v>228</v>
      </c>
      <c r="AN711" s="0" t="s">
        <v>228</v>
      </c>
      <c r="AO711" s="0" t="s">
        <v>228</v>
      </c>
      <c r="AP711" s="0" t="s">
        <v>228</v>
      </c>
      <c r="AQ711" s="0" t="s">
        <v>228</v>
      </c>
      <c r="AR711" s="0" t="s">
        <v>228</v>
      </c>
      <c r="AS711" s="0" t="s">
        <v>228</v>
      </c>
      <c r="AT711" s="0" t="s">
        <v>228</v>
      </c>
      <c r="AU711" s="0" t="s">
        <v>228</v>
      </c>
      <c r="AV711" s="0" t="s">
        <v>228</v>
      </c>
      <c r="AW711" s="0" t="s">
        <v>228</v>
      </c>
      <c r="AX711" s="0" t="s">
        <v>228</v>
      </c>
      <c r="AY711" s="0" t="s">
        <v>228</v>
      </c>
      <c r="AZ711" s="0" t="s">
        <v>228</v>
      </c>
      <c r="BA711" s="0" t="s">
        <v>228</v>
      </c>
      <c r="BB711" s="0" t="s">
        <v>228</v>
      </c>
      <c r="BC711" s="0" t="s">
        <v>228</v>
      </c>
      <c r="BD711" s="0" t="s">
        <v>228</v>
      </c>
      <c r="BE711" s="0" t="s">
        <v>5415</v>
      </c>
      <c r="BF711" s="0" t="s">
        <v>5415</v>
      </c>
      <c r="BG711" s="0" t="s">
        <v>111</v>
      </c>
      <c r="BH711" s="0" t="s">
        <v>3665</v>
      </c>
      <c r="BI711" s="0" t="s">
        <v>122</v>
      </c>
      <c r="BJ711" s="0" t="s">
        <v>228</v>
      </c>
      <c r="BK711" s="0" t="s">
        <v>5140</v>
      </c>
      <c r="BL711" s="0" t="s">
        <v>2715</v>
      </c>
      <c r="BM711" s="0" t="s">
        <v>2715</v>
      </c>
      <c r="BN711" s="0" t="s">
        <v>3667</v>
      </c>
      <c r="BO711" s="0" t="s">
        <v>3594</v>
      </c>
      <c r="BP711" s="0" t="s">
        <v>3668</v>
      </c>
      <c r="BQ711" s="0" t="s">
        <v>4548</v>
      </c>
      <c r="BR711" s="0" t="s">
        <v>5414</v>
      </c>
      <c r="BS711" s="0" t="s">
        <v>228</v>
      </c>
      <c r="BT711" s="0" t="s">
        <v>3670</v>
      </c>
      <c r="CS711" s="0" t="s">
        <v>5396</v>
      </c>
      <c r="CT711" s="0" t="s">
        <v>3568</v>
      </c>
      <c r="CU711" s="0" t="s">
        <v>3569</v>
      </c>
      <c r="CV711" s="0" t="s">
        <v>418</v>
      </c>
      <c r="CW711" s="0" t="s">
        <v>3602</v>
      </c>
      <c r="CX711" s="0" t="s">
        <v>419</v>
      </c>
      <c r="CY711" s="0" t="s">
        <v>418</v>
      </c>
      <c r="CZ711" s="0" t="s">
        <v>504</v>
      </c>
      <c r="DA711" s="0" t="s">
        <v>3604</v>
      </c>
      <c r="DB711" s="0" t="s">
        <v>3602</v>
      </c>
      <c r="DC711" s="0" t="s">
        <v>362</v>
      </c>
      <c r="DD711" s="0" t="s">
        <v>282</v>
      </c>
      <c r="DE711" s="0" t="s">
        <v>5416</v>
      </c>
    </row>
    <row customHeight="1" ht="11.25">
      <c r="A712" s="1353" t="s">
        <v>228</v>
      </c>
      <c r="B712" s="0" t="s">
        <v>228</v>
      </c>
      <c r="C712" s="0" t="s">
        <v>228</v>
      </c>
      <c r="D712" s="0" t="s">
        <v>228</v>
      </c>
      <c r="E712" s="0" t="s">
        <v>228</v>
      </c>
      <c r="F712" s="0" t="s">
        <v>228</v>
      </c>
      <c r="G712" s="0" t="s">
        <v>228</v>
      </c>
      <c r="H712" s="0" t="s">
        <v>228</v>
      </c>
      <c r="I712" s="0" t="s">
        <v>5119</v>
      </c>
      <c r="J712" s="0" t="s">
        <v>228</v>
      </c>
      <c r="K712" s="0" t="s">
        <v>228</v>
      </c>
      <c r="L712" s="0" t="s">
        <v>228</v>
      </c>
      <c r="M712" s="0" t="s">
        <v>228</v>
      </c>
      <c r="N712" s="0" t="s">
        <v>228</v>
      </c>
      <c r="O712" s="0" t="s">
        <v>228</v>
      </c>
      <c r="P712" s="0" t="s">
        <v>228</v>
      </c>
      <c r="Q712" s="0" t="s">
        <v>228</v>
      </c>
      <c r="R712" s="0" t="s">
        <v>5417</v>
      </c>
      <c r="S712" s="0" t="s">
        <v>228</v>
      </c>
      <c r="T712" s="0" t="s">
        <v>228</v>
      </c>
      <c r="U712" s="0" t="s">
        <v>101</v>
      </c>
      <c r="V712" s="0" t="s">
        <v>228</v>
      </c>
      <c r="W712" s="0" t="s">
        <v>228</v>
      </c>
      <c r="X712" s="0" t="s">
        <v>5121</v>
      </c>
      <c r="Y712" s="0" t="s">
        <v>228</v>
      </c>
      <c r="Z712" s="0" t="s">
        <v>160</v>
      </c>
      <c r="AA712" s="0" t="s">
        <v>151</v>
      </c>
      <c r="AB712" s="0" t="s">
        <v>151</v>
      </c>
      <c r="AC712" s="0" t="s">
        <v>2317</v>
      </c>
      <c r="AD712" s="0" t="s">
        <v>2317</v>
      </c>
      <c r="AE712" s="0" t="s">
        <v>2318</v>
      </c>
      <c r="AF712" s="0" t="s">
        <v>3849</v>
      </c>
      <c r="AG712" s="0" t="s">
        <v>3850</v>
      </c>
      <c r="AH712" s="0" t="s">
        <v>3651</v>
      </c>
      <c r="AI712" s="0" t="s">
        <v>3651</v>
      </c>
      <c r="AJ712" s="0" t="s">
        <v>5029</v>
      </c>
      <c r="AK712" s="0" t="s">
        <v>5328</v>
      </c>
      <c r="AL712" s="0" t="s">
        <v>5125</v>
      </c>
      <c r="AN712" s="0" t="s">
        <v>3582</v>
      </c>
      <c r="AO712" s="0" t="s">
        <v>4184</v>
      </c>
      <c r="AP712" s="0" t="s">
        <v>228</v>
      </c>
      <c r="AQ712" s="0" t="s">
        <v>228</v>
      </c>
      <c r="AR712" s="0" t="s">
        <v>228</v>
      </c>
      <c r="AS712" s="0" t="s">
        <v>228</v>
      </c>
      <c r="AT712" s="0" t="s">
        <v>228</v>
      </c>
      <c r="AU712" s="0" t="s">
        <v>228</v>
      </c>
      <c r="AV712" s="0" t="s">
        <v>228</v>
      </c>
      <c r="AW712" s="0" t="s">
        <v>228</v>
      </c>
      <c r="AX712" s="0" t="s">
        <v>228</v>
      </c>
      <c r="AY712" s="0" t="s">
        <v>228</v>
      </c>
      <c r="AZ712" s="0" t="s">
        <v>228</v>
      </c>
      <c r="BA712" s="0" t="s">
        <v>228</v>
      </c>
      <c r="BB712" s="0" t="s">
        <v>228</v>
      </c>
      <c r="BC712" s="0" t="s">
        <v>228</v>
      </c>
      <c r="BD712" s="0" t="s">
        <v>228</v>
      </c>
      <c r="BE712" s="0" t="s">
        <v>228</v>
      </c>
      <c r="BF712" s="0" t="s">
        <v>228</v>
      </c>
      <c r="BG712" s="0" t="s">
        <v>228</v>
      </c>
      <c r="BH712" s="0" t="s">
        <v>228</v>
      </c>
      <c r="BI712" s="0" t="s">
        <v>228</v>
      </c>
      <c r="BJ712" s="0" t="s">
        <v>228</v>
      </c>
      <c r="BK712" s="0" t="s">
        <v>228</v>
      </c>
      <c r="BL712" s="0" t="s">
        <v>228</v>
      </c>
      <c r="BM712" s="0" t="s">
        <v>228</v>
      </c>
      <c r="BN712" s="0" t="s">
        <v>228</v>
      </c>
      <c r="BO712" s="0" t="s">
        <v>228</v>
      </c>
      <c r="BP712" s="0" t="s">
        <v>228</v>
      </c>
      <c r="BQ712" s="0" t="s">
        <v>228</v>
      </c>
      <c r="BR712" s="0" t="s">
        <v>228</v>
      </c>
      <c r="BS712" s="0" t="s">
        <v>228</v>
      </c>
      <c r="BT712" s="0" t="s">
        <v>228</v>
      </c>
      <c r="CS712" s="0" t="s">
        <v>228</v>
      </c>
      <c r="CT712" s="0" t="s">
        <v>3568</v>
      </c>
      <c r="CU712" s="0" t="s">
        <v>3569</v>
      </c>
      <c r="CV712" s="0" t="s">
        <v>418</v>
      </c>
      <c r="CW712" s="0" t="s">
        <v>3622</v>
      </c>
      <c r="CX712" s="0" t="s">
        <v>419</v>
      </c>
      <c r="CY712" s="0" t="s">
        <v>418</v>
      </c>
      <c r="CZ712" s="0" t="s">
        <v>3623</v>
      </c>
      <c r="DA712" s="0" t="s">
        <v>3624</v>
      </c>
      <c r="DB712" s="0" t="s">
        <v>3622</v>
      </c>
      <c r="DC712" s="0" t="s">
        <v>362</v>
      </c>
      <c r="DD712" s="0" t="s">
        <v>282</v>
      </c>
      <c r="DE712" s="0" t="s">
        <v>4236</v>
      </c>
    </row>
    <row customHeight="1" ht="11.25">
      <c r="A713" s="1353" t="s">
        <v>228</v>
      </c>
      <c r="B713" s="0" t="s">
        <v>228</v>
      </c>
      <c r="C713" s="0" t="s">
        <v>228</v>
      </c>
      <c r="D713" s="0" t="s">
        <v>228</v>
      </c>
      <c r="E713" s="0" t="s">
        <v>228</v>
      </c>
      <c r="F713" s="0" t="s">
        <v>228</v>
      </c>
      <c r="G713" s="0" t="s">
        <v>228</v>
      </c>
      <c r="H713" s="0" t="s">
        <v>228</v>
      </c>
      <c r="I713" s="0" t="s">
        <v>5119</v>
      </c>
      <c r="J713" s="0" t="s">
        <v>228</v>
      </c>
      <c r="K713" s="0" t="s">
        <v>228</v>
      </c>
      <c r="L713" s="0" t="s">
        <v>228</v>
      </c>
      <c r="M713" s="0" t="s">
        <v>228</v>
      </c>
      <c r="N713" s="0" t="s">
        <v>228</v>
      </c>
      <c r="O713" s="0" t="s">
        <v>228</v>
      </c>
      <c r="P713" s="0" t="s">
        <v>228</v>
      </c>
      <c r="Q713" s="0" t="s">
        <v>228</v>
      </c>
      <c r="R713" s="0" t="s">
        <v>5418</v>
      </c>
      <c r="S713" s="0" t="s">
        <v>228</v>
      </c>
      <c r="T713" s="0" t="s">
        <v>228</v>
      </c>
      <c r="U713" s="0" t="s">
        <v>101</v>
      </c>
      <c r="V713" s="0" t="s">
        <v>228</v>
      </c>
      <c r="W713" s="0" t="s">
        <v>228</v>
      </c>
      <c r="X713" s="0" t="s">
        <v>3661</v>
      </c>
      <c r="Y713" s="0" t="s">
        <v>228</v>
      </c>
      <c r="Z713" s="0" t="s">
        <v>151</v>
      </c>
      <c r="AA713" s="0" t="s">
        <v>151</v>
      </c>
      <c r="AB713" s="0" t="s">
        <v>160</v>
      </c>
      <c r="AC713" s="0" t="s">
        <v>2317</v>
      </c>
      <c r="AD713" s="0" t="s">
        <v>2317</v>
      </c>
      <c r="AE713" s="0" t="s">
        <v>2318</v>
      </c>
      <c r="AF713" s="0" t="s">
        <v>4053</v>
      </c>
      <c r="AG713" s="0" t="s">
        <v>4054</v>
      </c>
      <c r="AH713" s="0" t="s">
        <v>3651</v>
      </c>
      <c r="AI713" s="0" t="s">
        <v>3651</v>
      </c>
      <c r="AJ713" s="0" t="s">
        <v>228</v>
      </c>
      <c r="AK713" s="0" t="s">
        <v>228</v>
      </c>
      <c r="AL713" s="0" t="s">
        <v>228</v>
      </c>
      <c r="AN713" s="0" t="s">
        <v>228</v>
      </c>
      <c r="AO713" s="0" t="s">
        <v>228</v>
      </c>
      <c r="AP713" s="0" t="s">
        <v>228</v>
      </c>
      <c r="AQ713" s="0" t="s">
        <v>228</v>
      </c>
      <c r="AR713" s="0" t="s">
        <v>228</v>
      </c>
      <c r="AS713" s="0" t="s">
        <v>228</v>
      </c>
      <c r="AT713" s="0" t="s">
        <v>228</v>
      </c>
      <c r="AU713" s="0" t="s">
        <v>228</v>
      </c>
      <c r="AV713" s="0" t="s">
        <v>228</v>
      </c>
      <c r="AW713" s="0" t="s">
        <v>228</v>
      </c>
      <c r="AX713" s="0" t="s">
        <v>228</v>
      </c>
      <c r="AY713" s="0" t="s">
        <v>228</v>
      </c>
      <c r="AZ713" s="0" t="s">
        <v>228</v>
      </c>
      <c r="BA713" s="0" t="s">
        <v>228</v>
      </c>
      <c r="BB713" s="0" t="s">
        <v>228</v>
      </c>
      <c r="BC713" s="0" t="s">
        <v>228</v>
      </c>
      <c r="BD713" s="0" t="s">
        <v>228</v>
      </c>
      <c r="BE713" s="0" t="s">
        <v>3627</v>
      </c>
      <c r="BF713" s="0" t="s">
        <v>3808</v>
      </c>
      <c r="BG713" s="0" t="s">
        <v>111</v>
      </c>
      <c r="BH713" s="0" t="s">
        <v>3665</v>
      </c>
      <c r="BI713" s="0" t="s">
        <v>122</v>
      </c>
      <c r="BJ713" s="0" t="s">
        <v>228</v>
      </c>
      <c r="BK713" s="0" t="s">
        <v>228</v>
      </c>
      <c r="BL713" s="0" t="s">
        <v>2317</v>
      </c>
      <c r="BM713" s="0" t="s">
        <v>2317</v>
      </c>
      <c r="BN713" s="0" t="s">
        <v>3740</v>
      </c>
      <c r="BO713" s="0" t="s">
        <v>4053</v>
      </c>
      <c r="BP713" s="0" t="s">
        <v>4503</v>
      </c>
      <c r="BQ713" s="0" t="s">
        <v>3651</v>
      </c>
      <c r="BR713" s="0" t="s">
        <v>3651</v>
      </c>
      <c r="BS713" s="0" t="s">
        <v>228</v>
      </c>
      <c r="BT713" s="0" t="s">
        <v>3727</v>
      </c>
      <c r="CS713" s="0" t="s">
        <v>5243</v>
      </c>
      <c r="CT713" s="0" t="s">
        <v>3568</v>
      </c>
      <c r="CU713" s="0" t="s">
        <v>3569</v>
      </c>
      <c r="CV713" s="0" t="s">
        <v>418</v>
      </c>
      <c r="CW713" s="0" t="s">
        <v>3622</v>
      </c>
      <c r="CX713" s="0" t="s">
        <v>419</v>
      </c>
      <c r="CY713" s="0" t="s">
        <v>418</v>
      </c>
      <c r="CZ713" s="0" t="s">
        <v>3623</v>
      </c>
      <c r="DA713" s="0" t="s">
        <v>3624</v>
      </c>
      <c r="DB713" s="0" t="s">
        <v>3622</v>
      </c>
      <c r="DC713" s="0" t="s">
        <v>362</v>
      </c>
      <c r="DD713" s="0" t="s">
        <v>282</v>
      </c>
      <c r="DE713" s="0" t="s">
        <v>4505</v>
      </c>
    </row>
    <row customHeight="1" ht="11.25">
      <c r="A714" s="1353" t="s">
        <v>228</v>
      </c>
      <c r="B714" s="0" t="s">
        <v>228</v>
      </c>
      <c r="C714" s="0" t="s">
        <v>228</v>
      </c>
      <c r="D714" s="0" t="s">
        <v>228</v>
      </c>
      <c r="E714" s="0" t="s">
        <v>228</v>
      </c>
      <c r="F714" s="0" t="s">
        <v>228</v>
      </c>
      <c r="G714" s="0" t="s">
        <v>228</v>
      </c>
      <c r="H714" s="0" t="s">
        <v>228</v>
      </c>
      <c r="I714" s="0" t="s">
        <v>5119</v>
      </c>
      <c r="J714" s="0" t="s">
        <v>228</v>
      </c>
      <c r="K714" s="0" t="s">
        <v>228</v>
      </c>
      <c r="L714" s="0" t="s">
        <v>228</v>
      </c>
      <c r="M714" s="0" t="s">
        <v>228</v>
      </c>
      <c r="N714" s="0" t="s">
        <v>228</v>
      </c>
      <c r="O714" s="0" t="s">
        <v>228</v>
      </c>
      <c r="P714" s="0" t="s">
        <v>228</v>
      </c>
      <c r="Q714" s="0" t="s">
        <v>228</v>
      </c>
      <c r="R714" s="0" t="s">
        <v>5419</v>
      </c>
      <c r="S714" s="0" t="s">
        <v>228</v>
      </c>
      <c r="T714" s="0" t="s">
        <v>228</v>
      </c>
      <c r="U714" s="0" t="s">
        <v>101</v>
      </c>
      <c r="V714" s="0" t="s">
        <v>228</v>
      </c>
      <c r="W714" s="0" t="s">
        <v>228</v>
      </c>
      <c r="X714" s="0" t="s">
        <v>5121</v>
      </c>
      <c r="Y714" s="0" t="s">
        <v>228</v>
      </c>
      <c r="Z714" s="0" t="s">
        <v>160</v>
      </c>
      <c r="AA714" s="0" t="s">
        <v>151</v>
      </c>
      <c r="AB714" s="0" t="s">
        <v>151</v>
      </c>
      <c r="AC714" s="0" t="s">
        <v>2721</v>
      </c>
      <c r="AD714" s="0" t="s">
        <v>2721</v>
      </c>
      <c r="AE714" s="0" t="s">
        <v>2722</v>
      </c>
      <c r="AF714" s="0" t="s">
        <v>4024</v>
      </c>
      <c r="AG714" s="0" t="s">
        <v>4025</v>
      </c>
      <c r="AH714" s="0" t="s">
        <v>5420</v>
      </c>
      <c r="AI714" s="0" t="s">
        <v>717</v>
      </c>
      <c r="AJ714" s="0" t="s">
        <v>5029</v>
      </c>
      <c r="AK714" s="0" t="s">
        <v>5421</v>
      </c>
      <c r="AL714" s="0" t="s">
        <v>5125</v>
      </c>
      <c r="AN714" s="0" t="s">
        <v>3628</v>
      </c>
      <c r="AO714" s="0" t="s">
        <v>5422</v>
      </c>
      <c r="AP714" s="0" t="s">
        <v>228</v>
      </c>
      <c r="AQ714" s="0" t="s">
        <v>228</v>
      </c>
      <c r="AR714" s="0" t="s">
        <v>228</v>
      </c>
      <c r="AS714" s="0" t="s">
        <v>228</v>
      </c>
      <c r="AT714" s="0" t="s">
        <v>228</v>
      </c>
      <c r="AU714" s="0" t="s">
        <v>228</v>
      </c>
      <c r="AV714" s="0" t="s">
        <v>228</v>
      </c>
      <c r="AW714" s="0" t="s">
        <v>228</v>
      </c>
      <c r="AX714" s="0" t="s">
        <v>228</v>
      </c>
      <c r="AY714" s="0" t="s">
        <v>228</v>
      </c>
      <c r="AZ714" s="0" t="s">
        <v>228</v>
      </c>
      <c r="BA714" s="0" t="s">
        <v>228</v>
      </c>
      <c r="BB714" s="0" t="s">
        <v>228</v>
      </c>
      <c r="BC714" s="0" t="s">
        <v>228</v>
      </c>
      <c r="BD714" s="0" t="s">
        <v>228</v>
      </c>
      <c r="BE714" s="0" t="s">
        <v>228</v>
      </c>
      <c r="BF714" s="0" t="s">
        <v>228</v>
      </c>
      <c r="BG714" s="0" t="s">
        <v>228</v>
      </c>
      <c r="BH714" s="0" t="s">
        <v>228</v>
      </c>
      <c r="BI714" s="0" t="s">
        <v>228</v>
      </c>
      <c r="BJ714" s="0" t="s">
        <v>228</v>
      </c>
      <c r="BK714" s="0" t="s">
        <v>228</v>
      </c>
      <c r="BL714" s="0" t="s">
        <v>228</v>
      </c>
      <c r="BM714" s="0" t="s">
        <v>228</v>
      </c>
      <c r="BN714" s="0" t="s">
        <v>228</v>
      </c>
      <c r="BO714" s="0" t="s">
        <v>228</v>
      </c>
      <c r="BP714" s="0" t="s">
        <v>228</v>
      </c>
      <c r="BQ714" s="0" t="s">
        <v>228</v>
      </c>
      <c r="BR714" s="0" t="s">
        <v>228</v>
      </c>
      <c r="BS714" s="0" t="s">
        <v>228</v>
      </c>
      <c r="BT714" s="0" t="s">
        <v>228</v>
      </c>
      <c r="CS714" s="0" t="s">
        <v>228</v>
      </c>
      <c r="CT714" s="0" t="s">
        <v>3568</v>
      </c>
      <c r="CU714" s="0" t="s">
        <v>3569</v>
      </c>
      <c r="CV714" s="0" t="s">
        <v>4030</v>
      </c>
      <c r="CW714" s="0" t="s">
        <v>4031</v>
      </c>
      <c r="CX714" s="0" t="s">
        <v>3603</v>
      </c>
      <c r="CY714" s="0" t="s">
        <v>4030</v>
      </c>
      <c r="CZ714" s="0" t="s">
        <v>5138</v>
      </c>
      <c r="DA714" s="0" t="s">
        <v>4032</v>
      </c>
      <c r="DB714" s="0" t="s">
        <v>4031</v>
      </c>
      <c r="DC714" s="0" t="s">
        <v>362</v>
      </c>
      <c r="DD714" s="0" t="s">
        <v>282</v>
      </c>
      <c r="DE714" s="0" t="s">
        <v>5423</v>
      </c>
    </row>
    <row customHeight="1" ht="11.25">
      <c r="A715" s="1353" t="s">
        <v>228</v>
      </c>
      <c r="B715" s="0" t="s">
        <v>228</v>
      </c>
      <c r="C715" s="0" t="s">
        <v>228</v>
      </c>
      <c r="D715" s="0" t="s">
        <v>228</v>
      </c>
      <c r="E715" s="0" t="s">
        <v>228</v>
      </c>
      <c r="F715" s="0" t="s">
        <v>228</v>
      </c>
      <c r="G715" s="0" t="s">
        <v>228</v>
      </c>
      <c r="H715" s="0" t="s">
        <v>228</v>
      </c>
      <c r="I715" s="0" t="s">
        <v>5119</v>
      </c>
      <c r="J715" s="0" t="s">
        <v>228</v>
      </c>
      <c r="K715" s="0" t="s">
        <v>228</v>
      </c>
      <c r="L715" s="0" t="s">
        <v>228</v>
      </c>
      <c r="M715" s="0" t="s">
        <v>228</v>
      </c>
      <c r="N715" s="0" t="s">
        <v>228</v>
      </c>
      <c r="O715" s="0" t="s">
        <v>228</v>
      </c>
      <c r="P715" s="0" t="s">
        <v>228</v>
      </c>
      <c r="Q715" s="0" t="s">
        <v>228</v>
      </c>
      <c r="R715" s="0" t="s">
        <v>5424</v>
      </c>
      <c r="S715" s="0" t="s">
        <v>228</v>
      </c>
      <c r="T715" s="0" t="s">
        <v>228</v>
      </c>
      <c r="U715" s="0" t="s">
        <v>101</v>
      </c>
      <c r="V715" s="0" t="s">
        <v>228</v>
      </c>
      <c r="W715" s="0" t="s">
        <v>228</v>
      </c>
      <c r="X715" s="0" t="s">
        <v>5121</v>
      </c>
      <c r="Y715" s="0" t="s">
        <v>228</v>
      </c>
      <c r="Z715" s="0" t="s">
        <v>160</v>
      </c>
      <c r="AA715" s="0" t="s">
        <v>151</v>
      </c>
      <c r="AB715" s="0" t="s">
        <v>151</v>
      </c>
      <c r="AC715" s="0" t="s">
        <v>2721</v>
      </c>
      <c r="AD715" s="0" t="s">
        <v>2721</v>
      </c>
      <c r="AE715" s="0" t="s">
        <v>2722</v>
      </c>
      <c r="AF715" s="0" t="s">
        <v>4024</v>
      </c>
      <c r="AG715" s="0" t="s">
        <v>4025</v>
      </c>
      <c r="AH715" s="0" t="s">
        <v>5425</v>
      </c>
      <c r="AI715" s="0" t="s">
        <v>971</v>
      </c>
      <c r="AJ715" s="0" t="s">
        <v>4993</v>
      </c>
      <c r="AK715" s="0" t="s">
        <v>5426</v>
      </c>
      <c r="AL715" s="0" t="s">
        <v>5125</v>
      </c>
      <c r="AN715" s="0" t="s">
        <v>3628</v>
      </c>
      <c r="AO715" s="0" t="s">
        <v>5427</v>
      </c>
      <c r="AP715" s="0" t="s">
        <v>228</v>
      </c>
      <c r="AQ715" s="0" t="s">
        <v>228</v>
      </c>
      <c r="AR715" s="0" t="s">
        <v>228</v>
      </c>
      <c r="AS715" s="0" t="s">
        <v>228</v>
      </c>
      <c r="AT715" s="0" t="s">
        <v>228</v>
      </c>
      <c r="AU715" s="0" t="s">
        <v>228</v>
      </c>
      <c r="AV715" s="0" t="s">
        <v>228</v>
      </c>
      <c r="AW715" s="0" t="s">
        <v>228</v>
      </c>
      <c r="AX715" s="0" t="s">
        <v>228</v>
      </c>
      <c r="AY715" s="0" t="s">
        <v>228</v>
      </c>
      <c r="AZ715" s="0" t="s">
        <v>228</v>
      </c>
      <c r="BA715" s="0" t="s">
        <v>228</v>
      </c>
      <c r="BB715" s="0" t="s">
        <v>228</v>
      </c>
      <c r="BC715" s="0" t="s">
        <v>228</v>
      </c>
      <c r="BD715" s="0" t="s">
        <v>228</v>
      </c>
      <c r="BE715" s="0" t="s">
        <v>228</v>
      </c>
      <c r="BF715" s="0" t="s">
        <v>228</v>
      </c>
      <c r="BG715" s="0" t="s">
        <v>228</v>
      </c>
      <c r="BH715" s="0" t="s">
        <v>228</v>
      </c>
      <c r="BI715" s="0" t="s">
        <v>228</v>
      </c>
      <c r="BJ715" s="0" t="s">
        <v>228</v>
      </c>
      <c r="BK715" s="0" t="s">
        <v>228</v>
      </c>
      <c r="BL715" s="0" t="s">
        <v>228</v>
      </c>
      <c r="BM715" s="0" t="s">
        <v>228</v>
      </c>
      <c r="BN715" s="0" t="s">
        <v>228</v>
      </c>
      <c r="BO715" s="0" t="s">
        <v>228</v>
      </c>
      <c r="BP715" s="0" t="s">
        <v>228</v>
      </c>
      <c r="BQ715" s="0" t="s">
        <v>228</v>
      </c>
      <c r="BR715" s="0" t="s">
        <v>228</v>
      </c>
      <c r="BS715" s="0" t="s">
        <v>228</v>
      </c>
      <c r="BT715" s="0" t="s">
        <v>228</v>
      </c>
      <c r="CS715" s="0" t="s">
        <v>228</v>
      </c>
      <c r="CT715" s="0" t="s">
        <v>3568</v>
      </c>
      <c r="CU715" s="0" t="s">
        <v>3569</v>
      </c>
      <c r="CV715" s="0" t="s">
        <v>4030</v>
      </c>
      <c r="CW715" s="0" t="s">
        <v>4031</v>
      </c>
      <c r="CX715" s="0" t="s">
        <v>3603</v>
      </c>
      <c r="CY715" s="0" t="s">
        <v>4030</v>
      </c>
      <c r="CZ715" s="0" t="s">
        <v>5138</v>
      </c>
      <c r="DA715" s="0" t="s">
        <v>4032</v>
      </c>
      <c r="DB715" s="0" t="s">
        <v>4031</v>
      </c>
      <c r="DC715" s="0" t="s">
        <v>362</v>
      </c>
      <c r="DD715" s="0" t="s">
        <v>282</v>
      </c>
      <c r="DE715" s="0" t="s">
        <v>5428</v>
      </c>
    </row>
    <row customHeight="1" ht="11.25">
      <c r="A716" s="1353" t="s">
        <v>228</v>
      </c>
      <c r="B716" s="0" t="s">
        <v>228</v>
      </c>
      <c r="C716" s="0" t="s">
        <v>228</v>
      </c>
      <c r="D716" s="0" t="s">
        <v>228</v>
      </c>
      <c r="E716" s="0" t="s">
        <v>228</v>
      </c>
      <c r="F716" s="0" t="s">
        <v>228</v>
      </c>
      <c r="G716" s="0" t="s">
        <v>228</v>
      </c>
      <c r="H716" s="0" t="s">
        <v>228</v>
      </c>
      <c r="I716" s="0" t="s">
        <v>5119</v>
      </c>
      <c r="J716" s="0" t="s">
        <v>228</v>
      </c>
      <c r="K716" s="0" t="s">
        <v>228</v>
      </c>
      <c r="L716" s="0" t="s">
        <v>228</v>
      </c>
      <c r="M716" s="0" t="s">
        <v>228</v>
      </c>
      <c r="N716" s="0" t="s">
        <v>228</v>
      </c>
      <c r="O716" s="0" t="s">
        <v>228</v>
      </c>
      <c r="P716" s="0" t="s">
        <v>228</v>
      </c>
      <c r="Q716" s="0" t="s">
        <v>228</v>
      </c>
      <c r="R716" s="0" t="s">
        <v>5429</v>
      </c>
      <c r="S716" s="0" t="s">
        <v>228</v>
      </c>
      <c r="T716" s="0" t="s">
        <v>228</v>
      </c>
      <c r="U716" s="0" t="s">
        <v>101</v>
      </c>
      <c r="V716" s="0" t="s">
        <v>228</v>
      </c>
      <c r="W716" s="0" t="s">
        <v>228</v>
      </c>
      <c r="X716" s="0" t="s">
        <v>3661</v>
      </c>
      <c r="Y716" s="0" t="s">
        <v>228</v>
      </c>
      <c r="Z716" s="0" t="s">
        <v>151</v>
      </c>
      <c r="AA716" s="0" t="s">
        <v>151</v>
      </c>
      <c r="AB716" s="0" t="s">
        <v>160</v>
      </c>
      <c r="AC716" s="0" t="s">
        <v>2317</v>
      </c>
      <c r="AD716" s="0" t="s">
        <v>2317</v>
      </c>
      <c r="AE716" s="0" t="s">
        <v>2318</v>
      </c>
      <c r="AF716" s="0" t="s">
        <v>4544</v>
      </c>
      <c r="AG716" s="0" t="s">
        <v>4545</v>
      </c>
      <c r="AH716" s="0" t="s">
        <v>3651</v>
      </c>
      <c r="AI716" s="0" t="s">
        <v>3651</v>
      </c>
      <c r="AJ716" s="0" t="s">
        <v>228</v>
      </c>
      <c r="AK716" s="0" t="s">
        <v>228</v>
      </c>
      <c r="AL716" s="0" t="s">
        <v>228</v>
      </c>
      <c r="AN716" s="0" t="s">
        <v>228</v>
      </c>
      <c r="AO716" s="0" t="s">
        <v>228</v>
      </c>
      <c r="AP716" s="0" t="s">
        <v>228</v>
      </c>
      <c r="AQ716" s="0" t="s">
        <v>228</v>
      </c>
      <c r="AR716" s="0" t="s">
        <v>228</v>
      </c>
      <c r="AS716" s="0" t="s">
        <v>228</v>
      </c>
      <c r="AT716" s="0" t="s">
        <v>228</v>
      </c>
      <c r="AU716" s="0" t="s">
        <v>228</v>
      </c>
      <c r="AV716" s="0" t="s">
        <v>228</v>
      </c>
      <c r="AW716" s="0" t="s">
        <v>228</v>
      </c>
      <c r="AX716" s="0" t="s">
        <v>228</v>
      </c>
      <c r="AY716" s="0" t="s">
        <v>228</v>
      </c>
      <c r="AZ716" s="0" t="s">
        <v>228</v>
      </c>
      <c r="BA716" s="0" t="s">
        <v>228</v>
      </c>
      <c r="BB716" s="0" t="s">
        <v>228</v>
      </c>
      <c r="BC716" s="0" t="s">
        <v>228</v>
      </c>
      <c r="BD716" s="0" t="s">
        <v>228</v>
      </c>
      <c r="BE716" s="0" t="s">
        <v>3627</v>
      </c>
      <c r="BF716" s="0" t="s">
        <v>3808</v>
      </c>
      <c r="BG716" s="0" t="s">
        <v>111</v>
      </c>
      <c r="BH716" s="0" t="s">
        <v>3665</v>
      </c>
      <c r="BI716" s="0" t="s">
        <v>122</v>
      </c>
      <c r="BJ716" s="0" t="s">
        <v>228</v>
      </c>
      <c r="BK716" s="0" t="s">
        <v>228</v>
      </c>
      <c r="BL716" s="0" t="s">
        <v>2317</v>
      </c>
      <c r="BM716" s="0" t="s">
        <v>2317</v>
      </c>
      <c r="BN716" s="0" t="s">
        <v>3740</v>
      </c>
      <c r="BO716" s="0" t="s">
        <v>4544</v>
      </c>
      <c r="BP716" s="0" t="s">
        <v>4812</v>
      </c>
      <c r="BQ716" s="0" t="s">
        <v>3651</v>
      </c>
      <c r="BR716" s="0" t="s">
        <v>3651</v>
      </c>
      <c r="BS716" s="0" t="s">
        <v>228</v>
      </c>
      <c r="BT716" s="0" t="s">
        <v>3727</v>
      </c>
      <c r="CS716" s="0" t="s">
        <v>5243</v>
      </c>
      <c r="CT716" s="0" t="s">
        <v>3568</v>
      </c>
      <c r="CU716" s="0" t="s">
        <v>3569</v>
      </c>
      <c r="CV716" s="0" t="s">
        <v>418</v>
      </c>
      <c r="CW716" s="0" t="s">
        <v>3622</v>
      </c>
      <c r="CX716" s="0" t="s">
        <v>419</v>
      </c>
      <c r="CY716" s="0" t="s">
        <v>418</v>
      </c>
      <c r="CZ716" s="0" t="s">
        <v>3623</v>
      </c>
      <c r="DA716" s="0" t="s">
        <v>3624</v>
      </c>
      <c r="DB716" s="0" t="s">
        <v>3622</v>
      </c>
      <c r="DC716" s="0" t="s">
        <v>362</v>
      </c>
      <c r="DD716" s="0" t="s">
        <v>282</v>
      </c>
      <c r="DE716" s="0" t="s">
        <v>4814</v>
      </c>
    </row>
    <row customHeight="1" ht="11.25">
      <c r="A717" s="1353" t="s">
        <v>228</v>
      </c>
      <c r="B717" s="0" t="s">
        <v>228</v>
      </c>
      <c r="C717" s="0" t="s">
        <v>228</v>
      </c>
      <c r="D717" s="0" t="s">
        <v>228</v>
      </c>
      <c r="E717" s="0" t="s">
        <v>228</v>
      </c>
      <c r="F717" s="0" t="s">
        <v>228</v>
      </c>
      <c r="G717" s="0" t="s">
        <v>228</v>
      </c>
      <c r="H717" s="0" t="s">
        <v>228</v>
      </c>
      <c r="I717" s="0" t="s">
        <v>5119</v>
      </c>
      <c r="J717" s="0" t="s">
        <v>228</v>
      </c>
      <c r="K717" s="0" t="s">
        <v>228</v>
      </c>
      <c r="L717" s="0" t="s">
        <v>228</v>
      </c>
      <c r="M717" s="0" t="s">
        <v>228</v>
      </c>
      <c r="N717" s="0" t="s">
        <v>228</v>
      </c>
      <c r="O717" s="0" t="s">
        <v>228</v>
      </c>
      <c r="P717" s="0" t="s">
        <v>228</v>
      </c>
      <c r="Q717" s="0" t="s">
        <v>228</v>
      </c>
      <c r="R717" s="0" t="s">
        <v>5430</v>
      </c>
      <c r="S717" s="0" t="s">
        <v>228</v>
      </c>
      <c r="T717" s="0" t="s">
        <v>228</v>
      </c>
      <c r="U717" s="0" t="s">
        <v>101</v>
      </c>
      <c r="V717" s="0" t="s">
        <v>228</v>
      </c>
      <c r="W717" s="0" t="s">
        <v>228</v>
      </c>
      <c r="X717" s="0" t="s">
        <v>5121</v>
      </c>
      <c r="Y717" s="0" t="s">
        <v>228</v>
      </c>
      <c r="Z717" s="0" t="s">
        <v>160</v>
      </c>
      <c r="AA717" s="0" t="s">
        <v>151</v>
      </c>
      <c r="AB717" s="0" t="s">
        <v>151</v>
      </c>
      <c r="AC717" s="0" t="s">
        <v>2715</v>
      </c>
      <c r="AD717" s="0" t="s">
        <v>2715</v>
      </c>
      <c r="AE717" s="0" t="s">
        <v>2716</v>
      </c>
      <c r="AF717" s="0" t="s">
        <v>3594</v>
      </c>
      <c r="AG717" s="0" t="s">
        <v>3595</v>
      </c>
      <c r="AH717" s="0" t="s">
        <v>5431</v>
      </c>
      <c r="AI717" s="0" t="s">
        <v>3608</v>
      </c>
      <c r="AJ717" s="0" t="s">
        <v>3858</v>
      </c>
      <c r="AK717" s="0" t="s">
        <v>5432</v>
      </c>
      <c r="AL717" s="0" t="s">
        <v>5125</v>
      </c>
      <c r="AN717" s="0" t="s">
        <v>5433</v>
      </c>
      <c r="AO717" s="0" t="s">
        <v>5434</v>
      </c>
      <c r="AP717" s="0" t="s">
        <v>228</v>
      </c>
      <c r="AQ717" s="0" t="s">
        <v>228</v>
      </c>
      <c r="AR717" s="0" t="s">
        <v>228</v>
      </c>
      <c r="AS717" s="0" t="s">
        <v>228</v>
      </c>
      <c r="AT717" s="0" t="s">
        <v>228</v>
      </c>
      <c r="AU717" s="0" t="s">
        <v>228</v>
      </c>
      <c r="AV717" s="0" t="s">
        <v>228</v>
      </c>
      <c r="AW717" s="0" t="s">
        <v>228</v>
      </c>
      <c r="AX717" s="0" t="s">
        <v>228</v>
      </c>
      <c r="AY717" s="0" t="s">
        <v>228</v>
      </c>
      <c r="AZ717" s="0" t="s">
        <v>228</v>
      </c>
      <c r="BA717" s="0" t="s">
        <v>228</v>
      </c>
      <c r="BB717" s="0" t="s">
        <v>228</v>
      </c>
      <c r="BC717" s="0" t="s">
        <v>228</v>
      </c>
      <c r="BD717" s="0" t="s">
        <v>228</v>
      </c>
      <c r="BE717" s="0" t="s">
        <v>228</v>
      </c>
      <c r="BF717" s="0" t="s">
        <v>228</v>
      </c>
      <c r="BG717" s="0" t="s">
        <v>228</v>
      </c>
      <c r="BH717" s="0" t="s">
        <v>228</v>
      </c>
      <c r="BI717" s="0" t="s">
        <v>228</v>
      </c>
      <c r="BJ717" s="0" t="s">
        <v>228</v>
      </c>
      <c r="BK717" s="0" t="s">
        <v>228</v>
      </c>
      <c r="BL717" s="0" t="s">
        <v>228</v>
      </c>
      <c r="BM717" s="0" t="s">
        <v>228</v>
      </c>
      <c r="BN717" s="0" t="s">
        <v>228</v>
      </c>
      <c r="BO717" s="0" t="s">
        <v>228</v>
      </c>
      <c r="BP717" s="0" t="s">
        <v>228</v>
      </c>
      <c r="BQ717" s="0" t="s">
        <v>228</v>
      </c>
      <c r="BR717" s="0" t="s">
        <v>228</v>
      </c>
      <c r="BS717" s="0" t="s">
        <v>228</v>
      </c>
      <c r="BT717" s="0" t="s">
        <v>228</v>
      </c>
      <c r="CS717" s="0" t="s">
        <v>228</v>
      </c>
      <c r="CT717" s="0" t="s">
        <v>3568</v>
      </c>
      <c r="CU717" s="0" t="s">
        <v>3569</v>
      </c>
      <c r="CV717" s="0" t="s">
        <v>418</v>
      </c>
      <c r="CW717" s="0" t="s">
        <v>3602</v>
      </c>
      <c r="CX717" s="0" t="s">
        <v>3603</v>
      </c>
      <c r="CY717" s="0" t="s">
        <v>418</v>
      </c>
      <c r="CZ717" s="0" t="s">
        <v>504</v>
      </c>
      <c r="DA717" s="0" t="s">
        <v>3604</v>
      </c>
      <c r="DB717" s="0" t="s">
        <v>3602</v>
      </c>
      <c r="DC717" s="0" t="s">
        <v>362</v>
      </c>
      <c r="DD717" s="0" t="s">
        <v>282</v>
      </c>
      <c r="DE717" s="0" t="s">
        <v>5435</v>
      </c>
    </row>
    <row customHeight="1" ht="11.25">
      <c r="A718" s="1353" t="s">
        <v>228</v>
      </c>
      <c r="B718" s="0" t="s">
        <v>228</v>
      </c>
      <c r="C718" s="0" t="s">
        <v>228</v>
      </c>
      <c r="D718" s="0" t="s">
        <v>228</v>
      </c>
      <c r="E718" s="0" t="s">
        <v>228</v>
      </c>
      <c r="F718" s="0" t="s">
        <v>228</v>
      </c>
      <c r="G718" s="0" t="s">
        <v>228</v>
      </c>
      <c r="H718" s="0" t="s">
        <v>228</v>
      </c>
      <c r="I718" s="0" t="s">
        <v>5119</v>
      </c>
      <c r="J718" s="0" t="s">
        <v>228</v>
      </c>
      <c r="K718" s="0" t="s">
        <v>228</v>
      </c>
      <c r="L718" s="0" t="s">
        <v>228</v>
      </c>
      <c r="M718" s="0" t="s">
        <v>228</v>
      </c>
      <c r="N718" s="0" t="s">
        <v>228</v>
      </c>
      <c r="O718" s="0" t="s">
        <v>228</v>
      </c>
      <c r="P718" s="0" t="s">
        <v>228</v>
      </c>
      <c r="Q718" s="0" t="s">
        <v>228</v>
      </c>
      <c r="R718" s="0" t="s">
        <v>5436</v>
      </c>
      <c r="S718" s="0" t="s">
        <v>228</v>
      </c>
      <c r="T718" s="0" t="s">
        <v>228</v>
      </c>
      <c r="U718" s="0" t="s">
        <v>101</v>
      </c>
      <c r="V718" s="0" t="s">
        <v>228</v>
      </c>
      <c r="W718" s="0" t="s">
        <v>228</v>
      </c>
      <c r="X718" s="0" t="s">
        <v>3661</v>
      </c>
      <c r="Y718" s="0" t="s">
        <v>228</v>
      </c>
      <c r="Z718" s="0" t="s">
        <v>151</v>
      </c>
      <c r="AA718" s="0" t="s">
        <v>151</v>
      </c>
      <c r="AB718" s="0" t="s">
        <v>160</v>
      </c>
      <c r="AC718" s="0" t="s">
        <v>2317</v>
      </c>
      <c r="AD718" s="0" t="s">
        <v>2317</v>
      </c>
      <c r="AE718" s="0" t="s">
        <v>2318</v>
      </c>
      <c r="AF718" s="0" t="s">
        <v>3963</v>
      </c>
      <c r="AG718" s="0" t="s">
        <v>3964</v>
      </c>
      <c r="AH718" s="0" t="s">
        <v>3651</v>
      </c>
      <c r="AI718" s="0" t="s">
        <v>3651</v>
      </c>
      <c r="AJ718" s="0" t="s">
        <v>228</v>
      </c>
      <c r="AK718" s="0" t="s">
        <v>228</v>
      </c>
      <c r="AL718" s="0" t="s">
        <v>228</v>
      </c>
      <c r="AN718" s="0" t="s">
        <v>228</v>
      </c>
      <c r="AO718" s="0" t="s">
        <v>228</v>
      </c>
      <c r="AP718" s="0" t="s">
        <v>228</v>
      </c>
      <c r="AQ718" s="0" t="s">
        <v>228</v>
      </c>
      <c r="AR718" s="0" t="s">
        <v>228</v>
      </c>
      <c r="AS718" s="0" t="s">
        <v>228</v>
      </c>
      <c r="AT718" s="0" t="s">
        <v>228</v>
      </c>
      <c r="AU718" s="0" t="s">
        <v>228</v>
      </c>
      <c r="AV718" s="0" t="s">
        <v>228</v>
      </c>
      <c r="AW718" s="0" t="s">
        <v>228</v>
      </c>
      <c r="AX718" s="0" t="s">
        <v>228</v>
      </c>
      <c r="AY718" s="0" t="s">
        <v>228</v>
      </c>
      <c r="AZ718" s="0" t="s">
        <v>228</v>
      </c>
      <c r="BA718" s="0" t="s">
        <v>228</v>
      </c>
      <c r="BB718" s="0" t="s">
        <v>228</v>
      </c>
      <c r="BC718" s="0" t="s">
        <v>228</v>
      </c>
      <c r="BD718" s="0" t="s">
        <v>228</v>
      </c>
      <c r="BE718" s="0" t="s">
        <v>3579</v>
      </c>
      <c r="BF718" s="0" t="s">
        <v>3853</v>
      </c>
      <c r="BG718" s="0" t="s">
        <v>111</v>
      </c>
      <c r="BH718" s="0" t="s">
        <v>3665</v>
      </c>
      <c r="BI718" s="0" t="s">
        <v>122</v>
      </c>
      <c r="BJ718" s="0" t="s">
        <v>228</v>
      </c>
      <c r="BK718" s="0" t="s">
        <v>228</v>
      </c>
      <c r="BL718" s="0" t="s">
        <v>2317</v>
      </c>
      <c r="BM718" s="0" t="s">
        <v>2317</v>
      </c>
      <c r="BN718" s="0" t="s">
        <v>3740</v>
      </c>
      <c r="BO718" s="0" t="s">
        <v>3963</v>
      </c>
      <c r="BP718" s="0" t="s">
        <v>4927</v>
      </c>
      <c r="BQ718" s="0" t="s">
        <v>3651</v>
      </c>
      <c r="BR718" s="0" t="s">
        <v>3651</v>
      </c>
      <c r="BS718" s="0" t="s">
        <v>228</v>
      </c>
      <c r="BT718" s="0" t="s">
        <v>3727</v>
      </c>
      <c r="CS718" s="0" t="s">
        <v>5243</v>
      </c>
      <c r="CT718" s="0" t="s">
        <v>3568</v>
      </c>
      <c r="CU718" s="0" t="s">
        <v>3569</v>
      </c>
      <c r="CV718" s="0" t="s">
        <v>418</v>
      </c>
      <c r="CW718" s="0" t="s">
        <v>3622</v>
      </c>
      <c r="CX718" s="0" t="s">
        <v>419</v>
      </c>
      <c r="CY718" s="0" t="s">
        <v>418</v>
      </c>
      <c r="CZ718" s="0" t="s">
        <v>3623</v>
      </c>
      <c r="DA718" s="0" t="s">
        <v>3624</v>
      </c>
      <c r="DB718" s="0" t="s">
        <v>3622</v>
      </c>
      <c r="DC718" s="0" t="s">
        <v>362</v>
      </c>
      <c r="DD718" s="0" t="s">
        <v>282</v>
      </c>
      <c r="DE718" s="0" t="s">
        <v>4929</v>
      </c>
    </row>
    <row customHeight="1" ht="11.25">
      <c r="A719" s="1353" t="s">
        <v>228</v>
      </c>
      <c r="B719" s="0" t="s">
        <v>228</v>
      </c>
      <c r="C719" s="0" t="s">
        <v>228</v>
      </c>
      <c r="D719" s="0" t="s">
        <v>228</v>
      </c>
      <c r="E719" s="0" t="s">
        <v>228</v>
      </c>
      <c r="F719" s="0" t="s">
        <v>228</v>
      </c>
      <c r="G719" s="0" t="s">
        <v>228</v>
      </c>
      <c r="H719" s="0" t="s">
        <v>228</v>
      </c>
      <c r="I719" s="0" t="s">
        <v>5119</v>
      </c>
      <c r="J719" s="0" t="s">
        <v>228</v>
      </c>
      <c r="K719" s="0" t="s">
        <v>228</v>
      </c>
      <c r="L719" s="0" t="s">
        <v>228</v>
      </c>
      <c r="M719" s="0" t="s">
        <v>228</v>
      </c>
      <c r="N719" s="0" t="s">
        <v>228</v>
      </c>
      <c r="O719" s="0" t="s">
        <v>228</v>
      </c>
      <c r="P719" s="0" t="s">
        <v>228</v>
      </c>
      <c r="Q719" s="0" t="s">
        <v>228</v>
      </c>
      <c r="R719" s="0" t="s">
        <v>5437</v>
      </c>
      <c r="S719" s="0" t="s">
        <v>228</v>
      </c>
      <c r="T719" s="0" t="s">
        <v>228</v>
      </c>
      <c r="U719" s="0" t="s">
        <v>101</v>
      </c>
      <c r="V719" s="0" t="s">
        <v>228</v>
      </c>
      <c r="W719" s="0" t="s">
        <v>228</v>
      </c>
      <c r="X719" s="0" t="s">
        <v>3988</v>
      </c>
      <c r="Y719" s="0" t="s">
        <v>228</v>
      </c>
      <c r="Z719" s="0" t="s">
        <v>151</v>
      </c>
      <c r="AA719" s="0" t="s">
        <v>160</v>
      </c>
      <c r="AB719" s="0" t="s">
        <v>151</v>
      </c>
      <c r="AC719" s="0" t="s">
        <v>2721</v>
      </c>
      <c r="AD719" s="0" t="s">
        <v>2721</v>
      </c>
      <c r="AE719" s="0" t="s">
        <v>2722</v>
      </c>
      <c r="AF719" s="0" t="s">
        <v>4024</v>
      </c>
      <c r="AG719" s="0" t="s">
        <v>4025</v>
      </c>
      <c r="AH719" s="0" t="s">
        <v>5438</v>
      </c>
      <c r="AI719" s="0" t="s">
        <v>3608</v>
      </c>
      <c r="AJ719" s="0" t="s">
        <v>228</v>
      </c>
      <c r="AK719" s="0" t="s">
        <v>228</v>
      </c>
      <c r="AL719" s="0" t="s">
        <v>228</v>
      </c>
      <c r="AN719" s="0" t="s">
        <v>228</v>
      </c>
      <c r="AO719" s="0" t="s">
        <v>228</v>
      </c>
      <c r="AP719" s="0" t="s">
        <v>5263</v>
      </c>
      <c r="AQ719" s="0" t="s">
        <v>5264</v>
      </c>
      <c r="AR719" s="0" t="s">
        <v>111</v>
      </c>
      <c r="AS719" s="0" t="s">
        <v>3665</v>
      </c>
      <c r="AT719" s="0" t="s">
        <v>122</v>
      </c>
      <c r="AU719" s="0" t="s">
        <v>228</v>
      </c>
      <c r="AV719" s="0" t="s">
        <v>5439</v>
      </c>
      <c r="AW719" s="0" t="s">
        <v>2721</v>
      </c>
      <c r="AX719" s="0" t="s">
        <v>2721</v>
      </c>
      <c r="AY719" s="0" t="s">
        <v>4149</v>
      </c>
      <c r="AZ719" s="0" t="s">
        <v>4024</v>
      </c>
      <c r="BA719" s="0" t="s">
        <v>4150</v>
      </c>
      <c r="BB719" s="0" t="s">
        <v>5438</v>
      </c>
      <c r="BC719" s="0" t="s">
        <v>3608</v>
      </c>
      <c r="BD719" s="0" t="s">
        <v>3628</v>
      </c>
      <c r="BE719" s="0" t="s">
        <v>228</v>
      </c>
      <c r="BF719" s="0" t="s">
        <v>228</v>
      </c>
      <c r="BG719" s="0" t="s">
        <v>228</v>
      </c>
      <c r="BH719" s="0" t="s">
        <v>228</v>
      </c>
      <c r="BI719" s="0" t="s">
        <v>228</v>
      </c>
      <c r="BJ719" s="0" t="s">
        <v>228</v>
      </c>
      <c r="BK719" s="0" t="s">
        <v>228</v>
      </c>
      <c r="BL719" s="0" t="s">
        <v>228</v>
      </c>
      <c r="BM719" s="0" t="s">
        <v>228</v>
      </c>
      <c r="BN719" s="0" t="s">
        <v>228</v>
      </c>
      <c r="BO719" s="0" t="s">
        <v>228</v>
      </c>
      <c r="BP719" s="0" t="s">
        <v>228</v>
      </c>
      <c r="BQ719" s="0" t="s">
        <v>228</v>
      </c>
      <c r="BR719" s="0" t="s">
        <v>228</v>
      </c>
      <c r="BS719" s="0" t="s">
        <v>228</v>
      </c>
      <c r="BT719" s="0" t="s">
        <v>228</v>
      </c>
      <c r="CS719" s="0" t="s">
        <v>228</v>
      </c>
      <c r="CT719" s="0" t="s">
        <v>3568</v>
      </c>
      <c r="CU719" s="0" t="s">
        <v>3569</v>
      </c>
      <c r="CV719" s="0" t="s">
        <v>4030</v>
      </c>
      <c r="CW719" s="0" t="s">
        <v>4031</v>
      </c>
      <c r="CX719" s="0" t="s">
        <v>3603</v>
      </c>
      <c r="CY719" s="0" t="s">
        <v>4030</v>
      </c>
      <c r="CZ719" s="0" t="s">
        <v>5138</v>
      </c>
      <c r="DA719" s="0" t="s">
        <v>4032</v>
      </c>
      <c r="DB719" s="0" t="s">
        <v>4031</v>
      </c>
      <c r="DC719" s="0" t="s">
        <v>362</v>
      </c>
      <c r="DD719" s="0" t="s">
        <v>282</v>
      </c>
      <c r="DE719" s="0" t="s">
        <v>5440</v>
      </c>
    </row>
    <row customHeight="1" ht="11.25">
      <c r="A720" s="1353" t="s">
        <v>228</v>
      </c>
      <c r="B720" s="0" t="s">
        <v>228</v>
      </c>
      <c r="C720" s="0" t="s">
        <v>228</v>
      </c>
      <c r="D720" s="0" t="s">
        <v>228</v>
      </c>
      <c r="E720" s="0" t="s">
        <v>228</v>
      </c>
      <c r="F720" s="0" t="s">
        <v>228</v>
      </c>
      <c r="G720" s="0" t="s">
        <v>228</v>
      </c>
      <c r="H720" s="0" t="s">
        <v>228</v>
      </c>
      <c r="I720" s="0" t="s">
        <v>5119</v>
      </c>
      <c r="J720" s="0" t="s">
        <v>228</v>
      </c>
      <c r="K720" s="0" t="s">
        <v>228</v>
      </c>
      <c r="L720" s="0" t="s">
        <v>228</v>
      </c>
      <c r="M720" s="0" t="s">
        <v>228</v>
      </c>
      <c r="N720" s="0" t="s">
        <v>228</v>
      </c>
      <c r="O720" s="0" t="s">
        <v>228</v>
      </c>
      <c r="P720" s="0" t="s">
        <v>228</v>
      </c>
      <c r="Q720" s="0" t="s">
        <v>228</v>
      </c>
      <c r="R720" s="0" t="s">
        <v>5439</v>
      </c>
      <c r="S720" s="0" t="s">
        <v>228</v>
      </c>
      <c r="T720" s="0" t="s">
        <v>228</v>
      </c>
      <c r="U720" s="0" t="s">
        <v>101</v>
      </c>
      <c r="V720" s="0" t="s">
        <v>228</v>
      </c>
      <c r="W720" s="0" t="s">
        <v>228</v>
      </c>
      <c r="X720" s="0" t="s">
        <v>3988</v>
      </c>
      <c r="Y720" s="0" t="s">
        <v>228</v>
      </c>
      <c r="Z720" s="0" t="s">
        <v>151</v>
      </c>
      <c r="AA720" s="0" t="s">
        <v>160</v>
      </c>
      <c r="AB720" s="0" t="s">
        <v>151</v>
      </c>
      <c r="AC720" s="0" t="s">
        <v>2290</v>
      </c>
      <c r="AD720" s="0" t="s">
        <v>2290</v>
      </c>
      <c r="AE720" s="0" t="s">
        <v>2292</v>
      </c>
      <c r="AF720" s="0" t="s">
        <v>4912</v>
      </c>
      <c r="AG720" s="0" t="s">
        <v>4913</v>
      </c>
      <c r="AH720" s="0" t="s">
        <v>5019</v>
      </c>
      <c r="AI720" s="0" t="s">
        <v>281</v>
      </c>
      <c r="AJ720" s="0" t="s">
        <v>228</v>
      </c>
      <c r="AK720" s="0" t="s">
        <v>228</v>
      </c>
      <c r="AL720" s="0" t="s">
        <v>228</v>
      </c>
      <c r="AN720" s="0" t="s">
        <v>228</v>
      </c>
      <c r="AO720" s="0" t="s">
        <v>228</v>
      </c>
      <c r="AP720" s="0" t="s">
        <v>5305</v>
      </c>
      <c r="AQ720" s="0" t="s">
        <v>5178</v>
      </c>
      <c r="AR720" s="0" t="s">
        <v>111</v>
      </c>
      <c r="AS720" s="0" t="s">
        <v>3665</v>
      </c>
      <c r="AT720" s="0" t="s">
        <v>122</v>
      </c>
      <c r="AU720" s="0" t="s">
        <v>228</v>
      </c>
      <c r="AV720" s="0" t="s">
        <v>5439</v>
      </c>
      <c r="AW720" s="0" t="s">
        <v>2290</v>
      </c>
      <c r="AX720" s="0" t="s">
        <v>2290</v>
      </c>
      <c r="AY720" s="0" t="s">
        <v>4917</v>
      </c>
      <c r="AZ720" s="0" t="s">
        <v>4912</v>
      </c>
      <c r="BA720" s="0" t="s">
        <v>4918</v>
      </c>
      <c r="BB720" s="0" t="s">
        <v>5019</v>
      </c>
      <c r="BC720" s="0" t="s">
        <v>281</v>
      </c>
      <c r="BD720" s="0" t="s">
        <v>3654</v>
      </c>
      <c r="BE720" s="0" t="s">
        <v>228</v>
      </c>
      <c r="BF720" s="0" t="s">
        <v>228</v>
      </c>
      <c r="BG720" s="0" t="s">
        <v>228</v>
      </c>
      <c r="BH720" s="0" t="s">
        <v>228</v>
      </c>
      <c r="BI720" s="0" t="s">
        <v>228</v>
      </c>
      <c r="BJ720" s="0" t="s">
        <v>228</v>
      </c>
      <c r="BK720" s="0" t="s">
        <v>228</v>
      </c>
      <c r="BL720" s="0" t="s">
        <v>228</v>
      </c>
      <c r="BM720" s="0" t="s">
        <v>228</v>
      </c>
      <c r="BN720" s="0" t="s">
        <v>228</v>
      </c>
      <c r="BO720" s="0" t="s">
        <v>228</v>
      </c>
      <c r="BP720" s="0" t="s">
        <v>228</v>
      </c>
      <c r="BQ720" s="0" t="s">
        <v>228</v>
      </c>
      <c r="BR720" s="0" t="s">
        <v>228</v>
      </c>
      <c r="BS720" s="0" t="s">
        <v>228</v>
      </c>
      <c r="BT720" s="0" t="s">
        <v>228</v>
      </c>
      <c r="CS720" s="0" t="s">
        <v>228</v>
      </c>
      <c r="CT720" s="0" t="s">
        <v>3568</v>
      </c>
      <c r="CU720" s="0" t="s">
        <v>3569</v>
      </c>
      <c r="CV720" s="0" t="s">
        <v>418</v>
      </c>
      <c r="CW720" s="0" t="s">
        <v>4924</v>
      </c>
      <c r="CX720" s="0" t="s">
        <v>419</v>
      </c>
      <c r="CY720" s="0" t="s">
        <v>418</v>
      </c>
      <c r="CZ720" s="0" t="s">
        <v>319</v>
      </c>
      <c r="DA720" s="0" t="s">
        <v>420</v>
      </c>
      <c r="DB720" s="0" t="s">
        <v>4924</v>
      </c>
      <c r="DC720" s="0" t="s">
        <v>362</v>
      </c>
      <c r="DD720" s="0" t="s">
        <v>282</v>
      </c>
      <c r="DE720" s="0" t="s">
        <v>5441</v>
      </c>
    </row>
    <row customHeight="1" ht="11.25">
      <c r="A721" s="1353" t="s">
        <v>228</v>
      </c>
      <c r="B721" s="0" t="s">
        <v>228</v>
      </c>
      <c r="C721" s="0" t="s">
        <v>228</v>
      </c>
      <c r="D721" s="0" t="s">
        <v>228</v>
      </c>
      <c r="E721" s="0" t="s">
        <v>228</v>
      </c>
      <c r="F721" s="0" t="s">
        <v>228</v>
      </c>
      <c r="G721" s="0" t="s">
        <v>228</v>
      </c>
      <c r="H721" s="0" t="s">
        <v>228</v>
      </c>
      <c r="I721" s="0" t="s">
        <v>5119</v>
      </c>
      <c r="J721" s="0" t="s">
        <v>228</v>
      </c>
      <c r="K721" s="0" t="s">
        <v>228</v>
      </c>
      <c r="L721" s="0" t="s">
        <v>228</v>
      </c>
      <c r="M721" s="0" t="s">
        <v>228</v>
      </c>
      <c r="N721" s="0" t="s">
        <v>228</v>
      </c>
      <c r="O721" s="0" t="s">
        <v>228</v>
      </c>
      <c r="P721" s="0" t="s">
        <v>228</v>
      </c>
      <c r="Q721" s="0" t="s">
        <v>228</v>
      </c>
      <c r="R721" s="0" t="s">
        <v>5121</v>
      </c>
      <c r="S721" s="0" t="s">
        <v>228</v>
      </c>
      <c r="T721" s="0" t="s">
        <v>228</v>
      </c>
      <c r="U721" s="0" t="s">
        <v>101</v>
      </c>
      <c r="V721" s="0" t="s">
        <v>228</v>
      </c>
      <c r="W721" s="0" t="s">
        <v>228</v>
      </c>
      <c r="X721" s="0" t="s">
        <v>5121</v>
      </c>
      <c r="Y721" s="0" t="s">
        <v>228</v>
      </c>
      <c r="Z721" s="0" t="s">
        <v>160</v>
      </c>
      <c r="AA721" s="0" t="s">
        <v>151</v>
      </c>
      <c r="AB721" s="0" t="s">
        <v>151</v>
      </c>
      <c r="AC721" s="0" t="s">
        <v>2290</v>
      </c>
      <c r="AD721" s="0" t="s">
        <v>2290</v>
      </c>
      <c r="AE721" s="0" t="s">
        <v>2292</v>
      </c>
      <c r="AF721" s="0" t="s">
        <v>4912</v>
      </c>
      <c r="AG721" s="0" t="s">
        <v>4913</v>
      </c>
      <c r="AH721" s="0" t="s">
        <v>5179</v>
      </c>
      <c r="AI721" s="0" t="s">
        <v>5442</v>
      </c>
      <c r="AJ721" s="0" t="s">
        <v>5443</v>
      </c>
      <c r="AK721" s="0" t="s">
        <v>5444</v>
      </c>
      <c r="AL721" s="0" t="s">
        <v>5125</v>
      </c>
      <c r="AN721" s="0" t="s">
        <v>3654</v>
      </c>
      <c r="AO721" s="0" t="s">
        <v>3695</v>
      </c>
      <c r="AP721" s="0" t="s">
        <v>228</v>
      </c>
      <c r="AQ721" s="0" t="s">
        <v>228</v>
      </c>
      <c r="AR721" s="0" t="s">
        <v>228</v>
      </c>
      <c r="AS721" s="0" t="s">
        <v>228</v>
      </c>
      <c r="AT721" s="0" t="s">
        <v>228</v>
      </c>
      <c r="AU721" s="0" t="s">
        <v>228</v>
      </c>
      <c r="AV721" s="0" t="s">
        <v>228</v>
      </c>
      <c r="AW721" s="0" t="s">
        <v>228</v>
      </c>
      <c r="AX721" s="0" t="s">
        <v>228</v>
      </c>
      <c r="AY721" s="0" t="s">
        <v>228</v>
      </c>
      <c r="AZ721" s="0" t="s">
        <v>228</v>
      </c>
      <c r="BA721" s="0" t="s">
        <v>228</v>
      </c>
      <c r="BB721" s="0" t="s">
        <v>228</v>
      </c>
      <c r="BC721" s="0" t="s">
        <v>228</v>
      </c>
      <c r="BD721" s="0" t="s">
        <v>228</v>
      </c>
      <c r="BE721" s="0" t="s">
        <v>228</v>
      </c>
      <c r="BF721" s="0" t="s">
        <v>228</v>
      </c>
      <c r="BG721" s="0" t="s">
        <v>228</v>
      </c>
      <c r="BH721" s="0" t="s">
        <v>228</v>
      </c>
      <c r="BI721" s="0" t="s">
        <v>228</v>
      </c>
      <c r="BJ721" s="0" t="s">
        <v>228</v>
      </c>
      <c r="BK721" s="0" t="s">
        <v>228</v>
      </c>
      <c r="BL721" s="0" t="s">
        <v>228</v>
      </c>
      <c r="BM721" s="0" t="s">
        <v>228</v>
      </c>
      <c r="BN721" s="0" t="s">
        <v>228</v>
      </c>
      <c r="BO721" s="0" t="s">
        <v>228</v>
      </c>
      <c r="BP721" s="0" t="s">
        <v>228</v>
      </c>
      <c r="BQ721" s="0" t="s">
        <v>228</v>
      </c>
      <c r="BR721" s="0" t="s">
        <v>228</v>
      </c>
      <c r="BS721" s="0" t="s">
        <v>228</v>
      </c>
      <c r="BT721" s="0" t="s">
        <v>228</v>
      </c>
      <c r="CS721" s="0" t="s">
        <v>228</v>
      </c>
      <c r="CT721" s="0" t="s">
        <v>3568</v>
      </c>
      <c r="CU721" s="0" t="s">
        <v>3569</v>
      </c>
      <c r="CV721" s="0" t="s">
        <v>418</v>
      </c>
      <c r="CW721" s="0" t="s">
        <v>4924</v>
      </c>
      <c r="CX721" s="0" t="s">
        <v>419</v>
      </c>
      <c r="CY721" s="0" t="s">
        <v>418</v>
      </c>
      <c r="CZ721" s="0" t="s">
        <v>319</v>
      </c>
      <c r="DA721" s="0" t="s">
        <v>420</v>
      </c>
      <c r="DB721" s="0" t="s">
        <v>4924</v>
      </c>
      <c r="DC721" s="0" t="s">
        <v>362</v>
      </c>
      <c r="DD721" s="0" t="s">
        <v>282</v>
      </c>
      <c r="DE721" s="0" t="s">
        <v>5445</v>
      </c>
    </row>
    <row customHeight="1" ht="11.25">
      <c r="A722" s="1353" t="s">
        <v>228</v>
      </c>
      <c r="B722" s="0" t="s">
        <v>228</v>
      </c>
      <c r="C722" s="0" t="s">
        <v>228</v>
      </c>
      <c r="D722" s="0" t="s">
        <v>228</v>
      </c>
      <c r="E722" s="0" t="s">
        <v>228</v>
      </c>
      <c r="F722" s="0" t="s">
        <v>228</v>
      </c>
      <c r="G722" s="0" t="s">
        <v>228</v>
      </c>
      <c r="H722" s="0" t="s">
        <v>228</v>
      </c>
      <c r="I722" s="0" t="s">
        <v>5119</v>
      </c>
      <c r="J722" s="0" t="s">
        <v>228</v>
      </c>
      <c r="K722" s="0" t="s">
        <v>228</v>
      </c>
      <c r="L722" s="0" t="s">
        <v>228</v>
      </c>
      <c r="M722" s="0" t="s">
        <v>228</v>
      </c>
      <c r="N722" s="0" t="s">
        <v>228</v>
      </c>
      <c r="O722" s="0" t="s">
        <v>228</v>
      </c>
      <c r="P722" s="0" t="s">
        <v>228</v>
      </c>
      <c r="Q722" s="0" t="s">
        <v>228</v>
      </c>
      <c r="R722" s="0" t="s">
        <v>5446</v>
      </c>
      <c r="S722" s="0" t="s">
        <v>228</v>
      </c>
      <c r="T722" s="0" t="s">
        <v>228</v>
      </c>
      <c r="U722" s="0" t="s">
        <v>101</v>
      </c>
      <c r="V722" s="0" t="s">
        <v>228</v>
      </c>
      <c r="W722" s="0" t="s">
        <v>228</v>
      </c>
      <c r="X722" s="0" t="s">
        <v>5121</v>
      </c>
      <c r="Y722" s="0" t="s">
        <v>228</v>
      </c>
      <c r="Z722" s="0" t="s">
        <v>160</v>
      </c>
      <c r="AA722" s="0" t="s">
        <v>151</v>
      </c>
      <c r="AB722" s="0" t="s">
        <v>151</v>
      </c>
      <c r="AC722" s="0" t="s">
        <v>2290</v>
      </c>
      <c r="AD722" s="0" t="s">
        <v>2290</v>
      </c>
      <c r="AE722" s="0" t="s">
        <v>2292</v>
      </c>
      <c r="AF722" s="0" t="s">
        <v>4912</v>
      </c>
      <c r="AG722" s="0" t="s">
        <v>4913</v>
      </c>
      <c r="AH722" s="0" t="s">
        <v>5447</v>
      </c>
      <c r="AI722" s="0" t="s">
        <v>3608</v>
      </c>
      <c r="AJ722" s="0" t="s">
        <v>3582</v>
      </c>
      <c r="AK722" s="0" t="s">
        <v>5448</v>
      </c>
      <c r="AL722" s="0" t="s">
        <v>5125</v>
      </c>
      <c r="AN722" s="0" t="s">
        <v>5328</v>
      </c>
      <c r="AO722" s="0" t="s">
        <v>5131</v>
      </c>
      <c r="AP722" s="0" t="s">
        <v>228</v>
      </c>
      <c r="AQ722" s="0" t="s">
        <v>228</v>
      </c>
      <c r="AR722" s="0" t="s">
        <v>228</v>
      </c>
      <c r="AS722" s="0" t="s">
        <v>228</v>
      </c>
      <c r="AT722" s="0" t="s">
        <v>228</v>
      </c>
      <c r="AU722" s="0" t="s">
        <v>228</v>
      </c>
      <c r="AV722" s="0" t="s">
        <v>228</v>
      </c>
      <c r="AW722" s="0" t="s">
        <v>228</v>
      </c>
      <c r="AX722" s="0" t="s">
        <v>228</v>
      </c>
      <c r="AY722" s="0" t="s">
        <v>228</v>
      </c>
      <c r="AZ722" s="0" t="s">
        <v>228</v>
      </c>
      <c r="BA722" s="0" t="s">
        <v>228</v>
      </c>
      <c r="BB722" s="0" t="s">
        <v>228</v>
      </c>
      <c r="BC722" s="0" t="s">
        <v>228</v>
      </c>
      <c r="BD722" s="0" t="s">
        <v>228</v>
      </c>
      <c r="BE722" s="0" t="s">
        <v>228</v>
      </c>
      <c r="BF722" s="0" t="s">
        <v>228</v>
      </c>
      <c r="BG722" s="0" t="s">
        <v>228</v>
      </c>
      <c r="BH722" s="0" t="s">
        <v>228</v>
      </c>
      <c r="BI722" s="0" t="s">
        <v>228</v>
      </c>
      <c r="BJ722" s="0" t="s">
        <v>228</v>
      </c>
      <c r="BK722" s="0" t="s">
        <v>228</v>
      </c>
      <c r="BL722" s="0" t="s">
        <v>228</v>
      </c>
      <c r="BM722" s="0" t="s">
        <v>228</v>
      </c>
      <c r="BN722" s="0" t="s">
        <v>228</v>
      </c>
      <c r="BO722" s="0" t="s">
        <v>228</v>
      </c>
      <c r="BP722" s="0" t="s">
        <v>228</v>
      </c>
      <c r="BQ722" s="0" t="s">
        <v>228</v>
      </c>
      <c r="BR722" s="0" t="s">
        <v>228</v>
      </c>
      <c r="BS722" s="0" t="s">
        <v>228</v>
      </c>
      <c r="BT722" s="0" t="s">
        <v>228</v>
      </c>
      <c r="CS722" s="0" t="s">
        <v>228</v>
      </c>
      <c r="CT722" s="0" t="s">
        <v>3568</v>
      </c>
      <c r="CU722" s="0" t="s">
        <v>3569</v>
      </c>
      <c r="CV722" s="0" t="s">
        <v>418</v>
      </c>
      <c r="CW722" s="0" t="s">
        <v>4924</v>
      </c>
      <c r="CX722" s="0" t="s">
        <v>419</v>
      </c>
      <c r="CY722" s="0" t="s">
        <v>418</v>
      </c>
      <c r="CZ722" s="0" t="s">
        <v>319</v>
      </c>
      <c r="DA722" s="0" t="s">
        <v>420</v>
      </c>
      <c r="DB722" s="0" t="s">
        <v>4924</v>
      </c>
      <c r="DC722" s="0" t="s">
        <v>362</v>
      </c>
      <c r="DD722" s="0" t="s">
        <v>282</v>
      </c>
      <c r="DE722" s="0" t="s">
        <v>5449</v>
      </c>
    </row>
    <row customHeight="1" ht="11.25">
      <c r="A723" s="1353" t="s">
        <v>228</v>
      </c>
      <c r="B723" s="0" t="s">
        <v>228</v>
      </c>
      <c r="C723" s="0" t="s">
        <v>228</v>
      </c>
      <c r="D723" s="0" t="s">
        <v>228</v>
      </c>
      <c r="E723" s="0" t="s">
        <v>228</v>
      </c>
      <c r="F723" s="0" t="s">
        <v>228</v>
      </c>
      <c r="G723" s="0" t="s">
        <v>228</v>
      </c>
      <c r="H723" s="0" t="s">
        <v>228</v>
      </c>
      <c r="I723" s="0" t="s">
        <v>5119</v>
      </c>
      <c r="J723" s="0" t="s">
        <v>228</v>
      </c>
      <c r="K723" s="0" t="s">
        <v>228</v>
      </c>
      <c r="L723" s="0" t="s">
        <v>228</v>
      </c>
      <c r="M723" s="0" t="s">
        <v>228</v>
      </c>
      <c r="N723" s="0" t="s">
        <v>228</v>
      </c>
      <c r="O723" s="0" t="s">
        <v>228</v>
      </c>
      <c r="P723" s="0" t="s">
        <v>228</v>
      </c>
      <c r="Q723" s="0" t="s">
        <v>228</v>
      </c>
      <c r="R723" s="0" t="s">
        <v>5450</v>
      </c>
      <c r="S723" s="0" t="s">
        <v>228</v>
      </c>
      <c r="T723" s="0" t="s">
        <v>228</v>
      </c>
      <c r="U723" s="0" t="s">
        <v>101</v>
      </c>
      <c r="V723" s="0" t="s">
        <v>228</v>
      </c>
      <c r="W723" s="0" t="s">
        <v>228</v>
      </c>
      <c r="X723" s="0" t="s">
        <v>3661</v>
      </c>
      <c r="Y723" s="0" t="s">
        <v>228</v>
      </c>
      <c r="Z723" s="0" t="s">
        <v>151</v>
      </c>
      <c r="AA723" s="0" t="s">
        <v>151</v>
      </c>
      <c r="AB723" s="0" t="s">
        <v>160</v>
      </c>
      <c r="AC723" s="0" t="s">
        <v>2317</v>
      </c>
      <c r="AD723" s="0" t="s">
        <v>2317</v>
      </c>
      <c r="AE723" s="0" t="s">
        <v>2318</v>
      </c>
      <c r="AF723" s="0" t="s">
        <v>3768</v>
      </c>
      <c r="AG723" s="0" t="s">
        <v>3769</v>
      </c>
      <c r="AH723" s="0" t="s">
        <v>3651</v>
      </c>
      <c r="AI723" s="0" t="s">
        <v>3651</v>
      </c>
      <c r="AJ723" s="0" t="s">
        <v>228</v>
      </c>
      <c r="AK723" s="0" t="s">
        <v>228</v>
      </c>
      <c r="AL723" s="0" t="s">
        <v>228</v>
      </c>
      <c r="AN723" s="0" t="s">
        <v>228</v>
      </c>
      <c r="AO723" s="0" t="s">
        <v>228</v>
      </c>
      <c r="AP723" s="0" t="s">
        <v>228</v>
      </c>
      <c r="AQ723" s="0" t="s">
        <v>228</v>
      </c>
      <c r="AR723" s="0" t="s">
        <v>228</v>
      </c>
      <c r="AS723" s="0" t="s">
        <v>228</v>
      </c>
      <c r="AT723" s="0" t="s">
        <v>228</v>
      </c>
      <c r="AU723" s="0" t="s">
        <v>228</v>
      </c>
      <c r="AV723" s="0" t="s">
        <v>228</v>
      </c>
      <c r="AW723" s="0" t="s">
        <v>228</v>
      </c>
      <c r="AX723" s="0" t="s">
        <v>228</v>
      </c>
      <c r="AY723" s="0" t="s">
        <v>228</v>
      </c>
      <c r="AZ723" s="0" t="s">
        <v>228</v>
      </c>
      <c r="BA723" s="0" t="s">
        <v>228</v>
      </c>
      <c r="BB723" s="0" t="s">
        <v>228</v>
      </c>
      <c r="BC723" s="0" t="s">
        <v>228</v>
      </c>
      <c r="BD723" s="0" t="s">
        <v>228</v>
      </c>
      <c r="BE723" s="0" t="s">
        <v>3619</v>
      </c>
      <c r="BF723" s="0" t="s">
        <v>3749</v>
      </c>
      <c r="BG723" s="0" t="s">
        <v>111</v>
      </c>
      <c r="BH723" s="0" t="s">
        <v>3665</v>
      </c>
      <c r="BI723" s="0" t="s">
        <v>122</v>
      </c>
      <c r="BJ723" s="0" t="s">
        <v>228</v>
      </c>
      <c r="BK723" s="0" t="s">
        <v>228</v>
      </c>
      <c r="BL723" s="0" t="s">
        <v>2317</v>
      </c>
      <c r="BM723" s="0" t="s">
        <v>2317</v>
      </c>
      <c r="BN723" s="0" t="s">
        <v>3740</v>
      </c>
      <c r="BO723" s="0" t="s">
        <v>3768</v>
      </c>
      <c r="BP723" s="0" t="s">
        <v>4103</v>
      </c>
      <c r="BQ723" s="0" t="s">
        <v>3651</v>
      </c>
      <c r="BR723" s="0" t="s">
        <v>3651</v>
      </c>
      <c r="BS723" s="0" t="s">
        <v>228</v>
      </c>
      <c r="BT723" s="0" t="s">
        <v>3727</v>
      </c>
      <c r="CS723" s="0" t="s">
        <v>5243</v>
      </c>
      <c r="CT723" s="0" t="s">
        <v>3568</v>
      </c>
      <c r="CU723" s="0" t="s">
        <v>3569</v>
      </c>
      <c r="CV723" s="0" t="s">
        <v>418</v>
      </c>
      <c r="CW723" s="0" t="s">
        <v>3622</v>
      </c>
      <c r="CX723" s="0" t="s">
        <v>419</v>
      </c>
      <c r="CY723" s="0" t="s">
        <v>418</v>
      </c>
      <c r="CZ723" s="0" t="s">
        <v>3623</v>
      </c>
      <c r="DA723" s="0" t="s">
        <v>3624</v>
      </c>
      <c r="DB723" s="0" t="s">
        <v>3622</v>
      </c>
      <c r="DC723" s="0" t="s">
        <v>362</v>
      </c>
      <c r="DD723" s="0" t="s">
        <v>282</v>
      </c>
      <c r="DE723" s="0" t="s">
        <v>4105</v>
      </c>
    </row>
    <row customHeight="1" ht="11.25">
      <c r="A724" s="1353" t="s">
        <v>228</v>
      </c>
      <c r="B724" s="0" t="s">
        <v>228</v>
      </c>
      <c r="C724" s="0" t="s">
        <v>228</v>
      </c>
      <c r="D724" s="0" t="s">
        <v>228</v>
      </c>
      <c r="E724" s="0" t="s">
        <v>228</v>
      </c>
      <c r="F724" s="0" t="s">
        <v>228</v>
      </c>
      <c r="G724" s="0" t="s">
        <v>228</v>
      </c>
      <c r="H724" s="0" t="s">
        <v>228</v>
      </c>
      <c r="I724" s="0" t="s">
        <v>5119</v>
      </c>
      <c r="J724" s="0" t="s">
        <v>228</v>
      </c>
      <c r="K724" s="0" t="s">
        <v>228</v>
      </c>
      <c r="L724" s="0" t="s">
        <v>228</v>
      </c>
      <c r="M724" s="0" t="s">
        <v>228</v>
      </c>
      <c r="N724" s="0" t="s">
        <v>228</v>
      </c>
      <c r="O724" s="0" t="s">
        <v>228</v>
      </c>
      <c r="P724" s="0" t="s">
        <v>228</v>
      </c>
      <c r="Q724" s="0" t="s">
        <v>228</v>
      </c>
      <c r="R724" s="0" t="s">
        <v>5451</v>
      </c>
      <c r="S724" s="0" t="s">
        <v>228</v>
      </c>
      <c r="T724" s="0" t="s">
        <v>228</v>
      </c>
      <c r="U724" s="0" t="s">
        <v>101</v>
      </c>
      <c r="V724" s="0" t="s">
        <v>228</v>
      </c>
      <c r="W724" s="0" t="s">
        <v>228</v>
      </c>
      <c r="X724" s="0" t="s">
        <v>3661</v>
      </c>
      <c r="Y724" s="0" t="s">
        <v>228</v>
      </c>
      <c r="Z724" s="0" t="s">
        <v>151</v>
      </c>
      <c r="AA724" s="0" t="s">
        <v>151</v>
      </c>
      <c r="AB724" s="0" t="s">
        <v>160</v>
      </c>
      <c r="AC724" s="0" t="s">
        <v>2317</v>
      </c>
      <c r="AD724" s="0" t="s">
        <v>2317</v>
      </c>
      <c r="AE724" s="0" t="s">
        <v>2318</v>
      </c>
      <c r="AF724" s="0" t="s">
        <v>3826</v>
      </c>
      <c r="AG724" s="0" t="s">
        <v>3827</v>
      </c>
      <c r="AH724" s="0" t="s">
        <v>3651</v>
      </c>
      <c r="AI724" s="0" t="s">
        <v>3651</v>
      </c>
      <c r="AJ724" s="0" t="s">
        <v>228</v>
      </c>
      <c r="AK724" s="0" t="s">
        <v>228</v>
      </c>
      <c r="AL724" s="0" t="s">
        <v>228</v>
      </c>
      <c r="AN724" s="0" t="s">
        <v>228</v>
      </c>
      <c r="AO724" s="0" t="s">
        <v>228</v>
      </c>
      <c r="AP724" s="0" t="s">
        <v>228</v>
      </c>
      <c r="AQ724" s="0" t="s">
        <v>228</v>
      </c>
      <c r="AR724" s="0" t="s">
        <v>228</v>
      </c>
      <c r="AS724" s="0" t="s">
        <v>228</v>
      </c>
      <c r="AT724" s="0" t="s">
        <v>228</v>
      </c>
      <c r="AU724" s="0" t="s">
        <v>228</v>
      </c>
      <c r="AV724" s="0" t="s">
        <v>228</v>
      </c>
      <c r="AW724" s="0" t="s">
        <v>228</v>
      </c>
      <c r="AX724" s="0" t="s">
        <v>228</v>
      </c>
      <c r="AY724" s="0" t="s">
        <v>228</v>
      </c>
      <c r="AZ724" s="0" t="s">
        <v>228</v>
      </c>
      <c r="BA724" s="0" t="s">
        <v>228</v>
      </c>
      <c r="BB724" s="0" t="s">
        <v>228</v>
      </c>
      <c r="BC724" s="0" t="s">
        <v>228</v>
      </c>
      <c r="BD724" s="0" t="s">
        <v>228</v>
      </c>
      <c r="BE724" s="0" t="s">
        <v>5029</v>
      </c>
      <c r="BF724" s="0" t="s">
        <v>5328</v>
      </c>
      <c r="BG724" s="0" t="s">
        <v>111</v>
      </c>
      <c r="BH724" s="0" t="s">
        <v>3665</v>
      </c>
      <c r="BI724" s="0" t="s">
        <v>122</v>
      </c>
      <c r="BJ724" s="0" t="s">
        <v>228</v>
      </c>
      <c r="BK724" s="0" t="s">
        <v>228</v>
      </c>
      <c r="BL724" s="0" t="s">
        <v>2317</v>
      </c>
      <c r="BM724" s="0" t="s">
        <v>2317</v>
      </c>
      <c r="BN724" s="0" t="s">
        <v>3740</v>
      </c>
      <c r="BO724" s="0" t="s">
        <v>3826</v>
      </c>
      <c r="BP724" s="0" t="s">
        <v>4953</v>
      </c>
      <c r="BQ724" s="0" t="s">
        <v>3651</v>
      </c>
      <c r="BR724" s="0" t="s">
        <v>3651</v>
      </c>
      <c r="BS724" s="0" t="s">
        <v>228</v>
      </c>
      <c r="BT724" s="0" t="s">
        <v>3727</v>
      </c>
      <c r="CS724" s="0" t="s">
        <v>5243</v>
      </c>
      <c r="CT724" s="0" t="s">
        <v>3568</v>
      </c>
      <c r="CU724" s="0" t="s">
        <v>3569</v>
      </c>
      <c r="CV724" s="0" t="s">
        <v>418</v>
      </c>
      <c r="CW724" s="0" t="s">
        <v>3622</v>
      </c>
      <c r="CX724" s="0" t="s">
        <v>419</v>
      </c>
      <c r="CY724" s="0" t="s">
        <v>418</v>
      </c>
      <c r="CZ724" s="0" t="s">
        <v>3623</v>
      </c>
      <c r="DA724" s="0" t="s">
        <v>3624</v>
      </c>
      <c r="DB724" s="0" t="s">
        <v>3656</v>
      </c>
      <c r="DC724" s="0" t="s">
        <v>362</v>
      </c>
      <c r="DD724" s="0" t="s">
        <v>282</v>
      </c>
      <c r="DE724" s="0" t="s">
        <v>4955</v>
      </c>
    </row>
    <row customHeight="1" ht="11.25">
      <c r="A725" s="1353" t="s">
        <v>228</v>
      </c>
      <c r="B725" s="0" t="s">
        <v>228</v>
      </c>
      <c r="C725" s="0" t="s">
        <v>228</v>
      </c>
      <c r="D725" s="0" t="s">
        <v>228</v>
      </c>
      <c r="E725" s="0" t="s">
        <v>228</v>
      </c>
      <c r="F725" s="0" t="s">
        <v>228</v>
      </c>
      <c r="G725" s="0" t="s">
        <v>228</v>
      </c>
      <c r="H725" s="0" t="s">
        <v>228</v>
      </c>
      <c r="I725" s="0" t="s">
        <v>5119</v>
      </c>
      <c r="J725" s="0" t="s">
        <v>228</v>
      </c>
      <c r="K725" s="0" t="s">
        <v>228</v>
      </c>
      <c r="L725" s="0" t="s">
        <v>228</v>
      </c>
      <c r="M725" s="0" t="s">
        <v>228</v>
      </c>
      <c r="N725" s="0" t="s">
        <v>228</v>
      </c>
      <c r="O725" s="0" t="s">
        <v>228</v>
      </c>
      <c r="P725" s="0" t="s">
        <v>228</v>
      </c>
      <c r="Q725" s="0" t="s">
        <v>228</v>
      </c>
      <c r="R725" s="0" t="s">
        <v>5452</v>
      </c>
      <c r="S725" s="0" t="s">
        <v>228</v>
      </c>
      <c r="T725" s="0" t="s">
        <v>228</v>
      </c>
      <c r="U725" s="0" t="s">
        <v>101</v>
      </c>
      <c r="V725" s="0" t="s">
        <v>228</v>
      </c>
      <c r="W725" s="0" t="s">
        <v>228</v>
      </c>
      <c r="X725" s="0" t="s">
        <v>3988</v>
      </c>
      <c r="Y725" s="0" t="s">
        <v>228</v>
      </c>
      <c r="Z725" s="0" t="s">
        <v>151</v>
      </c>
      <c r="AA725" s="0" t="s">
        <v>160</v>
      </c>
      <c r="AB725" s="0" t="s">
        <v>151</v>
      </c>
      <c r="AC725" s="0" t="s">
        <v>2721</v>
      </c>
      <c r="AD725" s="0" t="s">
        <v>2721</v>
      </c>
      <c r="AE725" s="0" t="s">
        <v>2722</v>
      </c>
      <c r="AF725" s="0" t="s">
        <v>4024</v>
      </c>
      <c r="AG725" s="0" t="s">
        <v>4025</v>
      </c>
      <c r="AH725" s="0" t="s">
        <v>5453</v>
      </c>
      <c r="AI725" s="0" t="s">
        <v>3608</v>
      </c>
      <c r="AJ725" s="0" t="s">
        <v>228</v>
      </c>
      <c r="AK725" s="0" t="s">
        <v>228</v>
      </c>
      <c r="AL725" s="0" t="s">
        <v>228</v>
      </c>
      <c r="AN725" s="0" t="s">
        <v>228</v>
      </c>
      <c r="AO725" s="0" t="s">
        <v>228</v>
      </c>
      <c r="AP725" s="0" t="s">
        <v>5213</v>
      </c>
      <c r="AQ725" s="0" t="s">
        <v>5214</v>
      </c>
      <c r="AR725" s="0" t="s">
        <v>111</v>
      </c>
      <c r="AS725" s="0" t="s">
        <v>3665</v>
      </c>
      <c r="AT725" s="0" t="s">
        <v>122</v>
      </c>
      <c r="AU725" s="0" t="s">
        <v>228</v>
      </c>
      <c r="AV725" s="0" t="s">
        <v>5439</v>
      </c>
      <c r="AW725" s="0" t="s">
        <v>2721</v>
      </c>
      <c r="AX725" s="0" t="s">
        <v>2721</v>
      </c>
      <c r="AY725" s="0" t="s">
        <v>4149</v>
      </c>
      <c r="AZ725" s="0" t="s">
        <v>4024</v>
      </c>
      <c r="BA725" s="0" t="s">
        <v>4150</v>
      </c>
      <c r="BB725" s="0" t="s">
        <v>5454</v>
      </c>
      <c r="BC725" s="0" t="s">
        <v>3608</v>
      </c>
      <c r="BD725" s="0" t="s">
        <v>3628</v>
      </c>
      <c r="BE725" s="0" t="s">
        <v>228</v>
      </c>
      <c r="BF725" s="0" t="s">
        <v>228</v>
      </c>
      <c r="BG725" s="0" t="s">
        <v>228</v>
      </c>
      <c r="BH725" s="0" t="s">
        <v>228</v>
      </c>
      <c r="BI725" s="0" t="s">
        <v>228</v>
      </c>
      <c r="BJ725" s="0" t="s">
        <v>228</v>
      </c>
      <c r="BK725" s="0" t="s">
        <v>228</v>
      </c>
      <c r="BL725" s="0" t="s">
        <v>228</v>
      </c>
      <c r="BM725" s="0" t="s">
        <v>228</v>
      </c>
      <c r="BN725" s="0" t="s">
        <v>228</v>
      </c>
      <c r="BO725" s="0" t="s">
        <v>228</v>
      </c>
      <c r="BP725" s="0" t="s">
        <v>228</v>
      </c>
      <c r="BQ725" s="0" t="s">
        <v>228</v>
      </c>
      <c r="BR725" s="0" t="s">
        <v>228</v>
      </c>
      <c r="BS725" s="0" t="s">
        <v>228</v>
      </c>
      <c r="BT725" s="0" t="s">
        <v>228</v>
      </c>
      <c r="CS725" s="0" t="s">
        <v>228</v>
      </c>
      <c r="CT725" s="0" t="s">
        <v>3568</v>
      </c>
      <c r="CU725" s="0" t="s">
        <v>3569</v>
      </c>
      <c r="CV725" s="0" t="s">
        <v>4030</v>
      </c>
      <c r="CW725" s="0" t="s">
        <v>4031</v>
      </c>
      <c r="CX725" s="0" t="s">
        <v>3603</v>
      </c>
      <c r="CY725" s="0" t="s">
        <v>4030</v>
      </c>
      <c r="CZ725" s="0" t="s">
        <v>5138</v>
      </c>
      <c r="DA725" s="0" t="s">
        <v>4032</v>
      </c>
      <c r="DB725" s="0" t="s">
        <v>4031</v>
      </c>
      <c r="DC725" s="0" t="s">
        <v>362</v>
      </c>
      <c r="DD725" s="0" t="s">
        <v>282</v>
      </c>
      <c r="DE725" s="0" t="s">
        <v>5455</v>
      </c>
    </row>
    <row customHeight="1" ht="11.25">
      <c r="A726" s="1353" t="s">
        <v>228</v>
      </c>
      <c r="B726" s="0" t="s">
        <v>228</v>
      </c>
      <c r="C726" s="0" t="s">
        <v>228</v>
      </c>
      <c r="D726" s="0" t="s">
        <v>228</v>
      </c>
      <c r="E726" s="0" t="s">
        <v>228</v>
      </c>
      <c r="F726" s="0" t="s">
        <v>228</v>
      </c>
      <c r="G726" s="0" t="s">
        <v>228</v>
      </c>
      <c r="H726" s="0" t="s">
        <v>228</v>
      </c>
      <c r="I726" s="0" t="s">
        <v>5119</v>
      </c>
      <c r="J726" s="0" t="s">
        <v>228</v>
      </c>
      <c r="K726" s="0" t="s">
        <v>228</v>
      </c>
      <c r="L726" s="0" t="s">
        <v>228</v>
      </c>
      <c r="M726" s="0" t="s">
        <v>228</v>
      </c>
      <c r="N726" s="0" t="s">
        <v>228</v>
      </c>
      <c r="O726" s="0" t="s">
        <v>228</v>
      </c>
      <c r="P726" s="0" t="s">
        <v>228</v>
      </c>
      <c r="Q726" s="0" t="s">
        <v>228</v>
      </c>
      <c r="R726" s="0" t="s">
        <v>5456</v>
      </c>
      <c r="S726" s="0" t="s">
        <v>228</v>
      </c>
      <c r="T726" s="0" t="s">
        <v>228</v>
      </c>
      <c r="U726" s="0" t="s">
        <v>101</v>
      </c>
      <c r="V726" s="0" t="s">
        <v>228</v>
      </c>
      <c r="W726" s="0" t="s">
        <v>228</v>
      </c>
      <c r="X726" s="0" t="s">
        <v>5121</v>
      </c>
      <c r="Y726" s="0" t="s">
        <v>228</v>
      </c>
      <c r="Z726" s="0" t="s">
        <v>160</v>
      </c>
      <c r="AA726" s="0" t="s">
        <v>151</v>
      </c>
      <c r="AB726" s="0" t="s">
        <v>151</v>
      </c>
      <c r="AC726" s="0" t="s">
        <v>2290</v>
      </c>
      <c r="AD726" s="0" t="s">
        <v>2290</v>
      </c>
      <c r="AE726" s="0" t="s">
        <v>2292</v>
      </c>
      <c r="AF726" s="0" t="s">
        <v>3558</v>
      </c>
      <c r="AG726" s="0" t="s">
        <v>3559</v>
      </c>
      <c r="AH726" s="0" t="s">
        <v>5457</v>
      </c>
      <c r="AI726" s="0" t="s">
        <v>3608</v>
      </c>
      <c r="AJ726" s="0" t="s">
        <v>4287</v>
      </c>
      <c r="AK726" s="0" t="s">
        <v>5458</v>
      </c>
      <c r="AL726" s="0" t="s">
        <v>5125</v>
      </c>
      <c r="AN726" s="0" t="s">
        <v>3833</v>
      </c>
      <c r="AO726" s="0" t="s">
        <v>4574</v>
      </c>
      <c r="AP726" s="0" t="s">
        <v>228</v>
      </c>
      <c r="AQ726" s="0" t="s">
        <v>228</v>
      </c>
      <c r="AR726" s="0" t="s">
        <v>228</v>
      </c>
      <c r="AS726" s="0" t="s">
        <v>228</v>
      </c>
      <c r="AT726" s="0" t="s">
        <v>228</v>
      </c>
      <c r="AU726" s="0" t="s">
        <v>228</v>
      </c>
      <c r="AV726" s="0" t="s">
        <v>228</v>
      </c>
      <c r="AW726" s="0" t="s">
        <v>228</v>
      </c>
      <c r="AX726" s="0" t="s">
        <v>228</v>
      </c>
      <c r="AY726" s="0" t="s">
        <v>228</v>
      </c>
      <c r="AZ726" s="0" t="s">
        <v>228</v>
      </c>
      <c r="BA726" s="0" t="s">
        <v>228</v>
      </c>
      <c r="BB726" s="0" t="s">
        <v>228</v>
      </c>
      <c r="BC726" s="0" t="s">
        <v>228</v>
      </c>
      <c r="BD726" s="0" t="s">
        <v>228</v>
      </c>
      <c r="BE726" s="0" t="s">
        <v>228</v>
      </c>
      <c r="BF726" s="0" t="s">
        <v>228</v>
      </c>
      <c r="BG726" s="0" t="s">
        <v>228</v>
      </c>
      <c r="BH726" s="0" t="s">
        <v>228</v>
      </c>
      <c r="BI726" s="0" t="s">
        <v>228</v>
      </c>
      <c r="BJ726" s="0" t="s">
        <v>228</v>
      </c>
      <c r="BK726" s="0" t="s">
        <v>228</v>
      </c>
      <c r="BL726" s="0" t="s">
        <v>228</v>
      </c>
      <c r="BM726" s="0" t="s">
        <v>228</v>
      </c>
      <c r="BN726" s="0" t="s">
        <v>228</v>
      </c>
      <c r="BO726" s="0" t="s">
        <v>228</v>
      </c>
      <c r="BP726" s="0" t="s">
        <v>228</v>
      </c>
      <c r="BQ726" s="0" t="s">
        <v>228</v>
      </c>
      <c r="BR726" s="0" t="s">
        <v>228</v>
      </c>
      <c r="BS726" s="0" t="s">
        <v>228</v>
      </c>
      <c r="BT726" s="0" t="s">
        <v>228</v>
      </c>
      <c r="CS726" s="0" t="s">
        <v>228</v>
      </c>
      <c r="CT726" s="0" t="s">
        <v>3568</v>
      </c>
      <c r="CU726" s="0" t="s">
        <v>3569</v>
      </c>
      <c r="CV726" s="0" t="s">
        <v>418</v>
      </c>
      <c r="CW726" s="0" t="s">
        <v>3570</v>
      </c>
      <c r="CX726" s="0" t="s">
        <v>419</v>
      </c>
      <c r="CY726" s="0" t="s">
        <v>418</v>
      </c>
      <c r="CZ726" s="0" t="s">
        <v>3571</v>
      </c>
      <c r="DA726" s="0" t="s">
        <v>420</v>
      </c>
      <c r="DB726" s="0" t="s">
        <v>3570</v>
      </c>
      <c r="DC726" s="0" t="s">
        <v>362</v>
      </c>
      <c r="DD726" s="0" t="s">
        <v>282</v>
      </c>
      <c r="DE726" s="0" t="s">
        <v>5459</v>
      </c>
    </row>
    <row customHeight="1" ht="11.25">
      <c r="A727" s="1353" t="s">
        <v>228</v>
      </c>
      <c r="B727" s="0" t="s">
        <v>228</v>
      </c>
      <c r="C727" s="0" t="s">
        <v>228</v>
      </c>
      <c r="D727" s="0" t="s">
        <v>228</v>
      </c>
      <c r="E727" s="0" t="s">
        <v>228</v>
      </c>
      <c r="F727" s="0" t="s">
        <v>228</v>
      </c>
      <c r="G727" s="0" t="s">
        <v>228</v>
      </c>
      <c r="H727" s="0" t="s">
        <v>228</v>
      </c>
      <c r="I727" s="0" t="s">
        <v>5119</v>
      </c>
      <c r="J727" s="0" t="s">
        <v>228</v>
      </c>
      <c r="K727" s="0" t="s">
        <v>228</v>
      </c>
      <c r="L727" s="0" t="s">
        <v>228</v>
      </c>
      <c r="M727" s="0" t="s">
        <v>228</v>
      </c>
      <c r="N727" s="0" t="s">
        <v>228</v>
      </c>
      <c r="O727" s="0" t="s">
        <v>228</v>
      </c>
      <c r="P727" s="0" t="s">
        <v>228</v>
      </c>
      <c r="Q727" s="0" t="s">
        <v>228</v>
      </c>
      <c r="R727" s="0" t="s">
        <v>5391</v>
      </c>
      <c r="S727" s="0" t="s">
        <v>228</v>
      </c>
      <c r="T727" s="0" t="s">
        <v>228</v>
      </c>
      <c r="U727" s="0" t="s">
        <v>101</v>
      </c>
      <c r="V727" s="0" t="s">
        <v>228</v>
      </c>
      <c r="W727" s="0" t="s">
        <v>228</v>
      </c>
      <c r="X727" s="0" t="s">
        <v>3988</v>
      </c>
      <c r="Y727" s="0" t="s">
        <v>228</v>
      </c>
      <c r="Z727" s="0" t="s">
        <v>151</v>
      </c>
      <c r="AA727" s="0" t="s">
        <v>160</v>
      </c>
      <c r="AB727" s="0" t="s">
        <v>151</v>
      </c>
      <c r="AC727" s="0" t="s">
        <v>2715</v>
      </c>
      <c r="AD727" s="0" t="s">
        <v>2715</v>
      </c>
      <c r="AE727" s="0" t="s">
        <v>2716</v>
      </c>
      <c r="AF727" s="0" t="s">
        <v>3594</v>
      </c>
      <c r="AG727" s="0" t="s">
        <v>3595</v>
      </c>
      <c r="AH727" s="0" t="s">
        <v>5392</v>
      </c>
      <c r="AI727" s="0" t="s">
        <v>3608</v>
      </c>
      <c r="AJ727" s="0" t="s">
        <v>228</v>
      </c>
      <c r="AK727" s="0" t="s">
        <v>228</v>
      </c>
      <c r="AL727" s="0" t="s">
        <v>228</v>
      </c>
      <c r="AN727" s="0" t="s">
        <v>228</v>
      </c>
      <c r="AO727" s="0" t="s">
        <v>228</v>
      </c>
      <c r="AP727" s="0" t="s">
        <v>5460</v>
      </c>
      <c r="AQ727" s="0" t="s">
        <v>5394</v>
      </c>
      <c r="AR727" s="0" t="s">
        <v>111</v>
      </c>
      <c r="AS727" s="0" t="s">
        <v>3665</v>
      </c>
      <c r="AT727" s="0" t="s">
        <v>122</v>
      </c>
      <c r="AU727" s="0" t="s">
        <v>228</v>
      </c>
      <c r="AV727" s="0" t="s">
        <v>5391</v>
      </c>
      <c r="AW727" s="0" t="s">
        <v>2715</v>
      </c>
      <c r="AX727" s="0" t="s">
        <v>2715</v>
      </c>
      <c r="AY727" s="0" t="s">
        <v>3667</v>
      </c>
      <c r="AZ727" s="0" t="s">
        <v>3594</v>
      </c>
      <c r="BA727" s="0" t="s">
        <v>3668</v>
      </c>
      <c r="BB727" s="0" t="s">
        <v>5392</v>
      </c>
      <c r="BC727" s="0" t="s">
        <v>3608</v>
      </c>
      <c r="BD727" s="0" t="s">
        <v>5461</v>
      </c>
      <c r="BE727" s="0" t="s">
        <v>228</v>
      </c>
      <c r="BF727" s="0" t="s">
        <v>228</v>
      </c>
      <c r="BG727" s="0" t="s">
        <v>228</v>
      </c>
      <c r="BH727" s="0" t="s">
        <v>228</v>
      </c>
      <c r="BI727" s="0" t="s">
        <v>228</v>
      </c>
      <c r="BJ727" s="0" t="s">
        <v>228</v>
      </c>
      <c r="BK727" s="0" t="s">
        <v>228</v>
      </c>
      <c r="BL727" s="0" t="s">
        <v>228</v>
      </c>
      <c r="BM727" s="0" t="s">
        <v>228</v>
      </c>
      <c r="BN727" s="0" t="s">
        <v>228</v>
      </c>
      <c r="BO727" s="0" t="s">
        <v>228</v>
      </c>
      <c r="BP727" s="0" t="s">
        <v>228</v>
      </c>
      <c r="BQ727" s="0" t="s">
        <v>228</v>
      </c>
      <c r="BR727" s="0" t="s">
        <v>228</v>
      </c>
      <c r="BS727" s="0" t="s">
        <v>228</v>
      </c>
      <c r="BT727" s="0" t="s">
        <v>228</v>
      </c>
      <c r="CS727" s="0" t="s">
        <v>228</v>
      </c>
      <c r="CT727" s="0" t="s">
        <v>3568</v>
      </c>
      <c r="CU727" s="0" t="s">
        <v>5128</v>
      </c>
      <c r="CV727" s="0" t="s">
        <v>4030</v>
      </c>
      <c r="CW727" s="0" t="s">
        <v>3676</v>
      </c>
      <c r="CX727" s="0" t="s">
        <v>3603</v>
      </c>
      <c r="CY727" s="0" t="s">
        <v>4030</v>
      </c>
      <c r="CZ727" s="0" t="s">
        <v>5130</v>
      </c>
      <c r="DA727" s="0" t="s">
        <v>5131</v>
      </c>
      <c r="DB727" s="0" t="s">
        <v>3676</v>
      </c>
      <c r="DC727" s="0" t="s">
        <v>362</v>
      </c>
      <c r="DD727" s="0" t="s">
        <v>282</v>
      </c>
      <c r="DE727" s="0" t="s">
        <v>5397</v>
      </c>
    </row>
    <row customHeight="1" ht="11.25">
      <c r="A728" s="1353" t="s">
        <v>228</v>
      </c>
      <c r="B728" s="0" t="s">
        <v>228</v>
      </c>
      <c r="C728" s="0" t="s">
        <v>228</v>
      </c>
      <c r="D728" s="0" t="s">
        <v>228</v>
      </c>
      <c r="E728" s="0" t="s">
        <v>228</v>
      </c>
      <c r="F728" s="0" t="s">
        <v>228</v>
      </c>
      <c r="G728" s="0" t="s">
        <v>228</v>
      </c>
      <c r="H728" s="0" t="s">
        <v>228</v>
      </c>
      <c r="I728" s="0" t="s">
        <v>5119</v>
      </c>
      <c r="J728" s="0" t="s">
        <v>228</v>
      </c>
      <c r="K728" s="0" t="s">
        <v>228</v>
      </c>
      <c r="L728" s="0" t="s">
        <v>228</v>
      </c>
      <c r="M728" s="0" t="s">
        <v>228</v>
      </c>
      <c r="N728" s="0" t="s">
        <v>228</v>
      </c>
      <c r="O728" s="0" t="s">
        <v>228</v>
      </c>
      <c r="P728" s="0" t="s">
        <v>228</v>
      </c>
      <c r="Q728" s="0" t="s">
        <v>228</v>
      </c>
      <c r="R728" s="0" t="s">
        <v>5462</v>
      </c>
      <c r="S728" s="0" t="s">
        <v>228</v>
      </c>
      <c r="T728" s="0" t="s">
        <v>228</v>
      </c>
      <c r="U728" s="0" t="s">
        <v>101</v>
      </c>
      <c r="V728" s="0" t="s">
        <v>228</v>
      </c>
      <c r="W728" s="0" t="s">
        <v>228</v>
      </c>
      <c r="X728" s="0" t="s">
        <v>5121</v>
      </c>
      <c r="Y728" s="0" t="s">
        <v>228</v>
      </c>
      <c r="Z728" s="0" t="s">
        <v>160</v>
      </c>
      <c r="AA728" s="0" t="s">
        <v>151</v>
      </c>
      <c r="AB728" s="0" t="s">
        <v>151</v>
      </c>
      <c r="AC728" s="0" t="s">
        <v>2290</v>
      </c>
      <c r="AD728" s="0" t="s">
        <v>2290</v>
      </c>
      <c r="AE728" s="0" t="s">
        <v>2292</v>
      </c>
      <c r="AF728" s="0" t="s">
        <v>3558</v>
      </c>
      <c r="AG728" s="0" t="s">
        <v>3559</v>
      </c>
      <c r="AH728" s="0" t="s">
        <v>5463</v>
      </c>
      <c r="AI728" s="0" t="s">
        <v>5464</v>
      </c>
      <c r="AJ728" s="0" t="s">
        <v>5172</v>
      </c>
      <c r="AK728" s="0" t="s">
        <v>5465</v>
      </c>
      <c r="AL728" s="0" t="s">
        <v>5144</v>
      </c>
      <c r="AN728" s="0" t="s">
        <v>5466</v>
      </c>
      <c r="AO728" s="0" t="s">
        <v>3823</v>
      </c>
      <c r="AP728" s="0" t="s">
        <v>228</v>
      </c>
      <c r="AQ728" s="0" t="s">
        <v>228</v>
      </c>
      <c r="AR728" s="0" t="s">
        <v>228</v>
      </c>
      <c r="AS728" s="0" t="s">
        <v>228</v>
      </c>
      <c r="AT728" s="0" t="s">
        <v>228</v>
      </c>
      <c r="AU728" s="0" t="s">
        <v>228</v>
      </c>
      <c r="AV728" s="0" t="s">
        <v>228</v>
      </c>
      <c r="AW728" s="0" t="s">
        <v>228</v>
      </c>
      <c r="AX728" s="0" t="s">
        <v>228</v>
      </c>
      <c r="AY728" s="0" t="s">
        <v>228</v>
      </c>
      <c r="AZ728" s="0" t="s">
        <v>228</v>
      </c>
      <c r="BA728" s="0" t="s">
        <v>228</v>
      </c>
      <c r="BB728" s="0" t="s">
        <v>228</v>
      </c>
      <c r="BC728" s="0" t="s">
        <v>228</v>
      </c>
      <c r="BD728" s="0" t="s">
        <v>228</v>
      </c>
      <c r="BE728" s="0" t="s">
        <v>228</v>
      </c>
      <c r="BF728" s="0" t="s">
        <v>228</v>
      </c>
      <c r="BG728" s="0" t="s">
        <v>228</v>
      </c>
      <c r="BH728" s="0" t="s">
        <v>228</v>
      </c>
      <c r="BI728" s="0" t="s">
        <v>228</v>
      </c>
      <c r="BJ728" s="0" t="s">
        <v>228</v>
      </c>
      <c r="BK728" s="0" t="s">
        <v>228</v>
      </c>
      <c r="BL728" s="0" t="s">
        <v>228</v>
      </c>
      <c r="BM728" s="0" t="s">
        <v>228</v>
      </c>
      <c r="BN728" s="0" t="s">
        <v>228</v>
      </c>
      <c r="BO728" s="0" t="s">
        <v>228</v>
      </c>
      <c r="BP728" s="0" t="s">
        <v>228</v>
      </c>
      <c r="BQ728" s="0" t="s">
        <v>228</v>
      </c>
      <c r="BR728" s="0" t="s">
        <v>228</v>
      </c>
      <c r="BS728" s="0" t="s">
        <v>228</v>
      </c>
      <c r="BT728" s="0" t="s">
        <v>228</v>
      </c>
      <c r="CS728" s="0" t="s">
        <v>228</v>
      </c>
      <c r="CT728" s="0" t="s">
        <v>3568</v>
      </c>
      <c r="CU728" s="0" t="s">
        <v>3569</v>
      </c>
      <c r="CV728" s="0" t="s">
        <v>418</v>
      </c>
      <c r="CW728" s="0" t="s">
        <v>3570</v>
      </c>
      <c r="CX728" s="0" t="s">
        <v>419</v>
      </c>
      <c r="CY728" s="0" t="s">
        <v>418</v>
      </c>
      <c r="CZ728" s="0" t="s">
        <v>3571</v>
      </c>
      <c r="DA728" s="0" t="s">
        <v>420</v>
      </c>
      <c r="DB728" s="0" t="s">
        <v>3570</v>
      </c>
      <c r="DC728" s="0" t="s">
        <v>362</v>
      </c>
      <c r="DD728" s="0" t="s">
        <v>282</v>
      </c>
      <c r="DE728" s="0" t="s">
        <v>5467</v>
      </c>
    </row>
    <row customHeight="1" ht="11.25">
      <c r="A729" s="1353" t="s">
        <v>228</v>
      </c>
      <c r="B729" s="0" t="s">
        <v>228</v>
      </c>
      <c r="C729" s="0" t="s">
        <v>228</v>
      </c>
      <c r="D729" s="0" t="s">
        <v>228</v>
      </c>
      <c r="E729" s="0" t="s">
        <v>228</v>
      </c>
      <c r="F729" s="0" t="s">
        <v>228</v>
      </c>
      <c r="G729" s="0" t="s">
        <v>228</v>
      </c>
      <c r="H729" s="0" t="s">
        <v>228</v>
      </c>
      <c r="I729" s="0" t="s">
        <v>5119</v>
      </c>
      <c r="J729" s="0" t="s">
        <v>228</v>
      </c>
      <c r="K729" s="0" t="s">
        <v>228</v>
      </c>
      <c r="L729" s="0" t="s">
        <v>228</v>
      </c>
      <c r="M729" s="0" t="s">
        <v>228</v>
      </c>
      <c r="N729" s="0" t="s">
        <v>228</v>
      </c>
      <c r="O729" s="0" t="s">
        <v>228</v>
      </c>
      <c r="P729" s="0" t="s">
        <v>228</v>
      </c>
      <c r="Q729" s="0" t="s">
        <v>228</v>
      </c>
      <c r="R729" s="0" t="s">
        <v>5468</v>
      </c>
      <c r="S729" s="0" t="s">
        <v>228</v>
      </c>
      <c r="T729" s="0" t="s">
        <v>228</v>
      </c>
      <c r="U729" s="0" t="s">
        <v>101</v>
      </c>
      <c r="V729" s="0" t="s">
        <v>228</v>
      </c>
      <c r="W729" s="0" t="s">
        <v>228</v>
      </c>
      <c r="X729" s="0" t="s">
        <v>5121</v>
      </c>
      <c r="Y729" s="0" t="s">
        <v>228</v>
      </c>
      <c r="Z729" s="0" t="s">
        <v>160</v>
      </c>
      <c r="AA729" s="0" t="s">
        <v>151</v>
      </c>
      <c r="AB729" s="0" t="s">
        <v>151</v>
      </c>
      <c r="AC729" s="0" t="s">
        <v>2715</v>
      </c>
      <c r="AD729" s="0" t="s">
        <v>2715</v>
      </c>
      <c r="AE729" s="0" t="s">
        <v>2716</v>
      </c>
      <c r="AF729" s="0" t="s">
        <v>3594</v>
      </c>
      <c r="AG729" s="0" t="s">
        <v>3595</v>
      </c>
      <c r="AH729" s="0" t="s">
        <v>5469</v>
      </c>
      <c r="AI729" s="0" t="s">
        <v>3608</v>
      </c>
      <c r="AJ729" s="0" t="s">
        <v>5470</v>
      </c>
      <c r="AK729" s="0" t="s">
        <v>5471</v>
      </c>
      <c r="AL729" s="0" t="s">
        <v>5125</v>
      </c>
      <c r="AN729" s="0" t="s">
        <v>5472</v>
      </c>
      <c r="AO729" s="0" t="s">
        <v>5473</v>
      </c>
      <c r="AP729" s="0" t="s">
        <v>228</v>
      </c>
      <c r="AQ729" s="0" t="s">
        <v>228</v>
      </c>
      <c r="AR729" s="0" t="s">
        <v>228</v>
      </c>
      <c r="AS729" s="0" t="s">
        <v>228</v>
      </c>
      <c r="AT729" s="0" t="s">
        <v>228</v>
      </c>
      <c r="AU729" s="0" t="s">
        <v>228</v>
      </c>
      <c r="AV729" s="0" t="s">
        <v>228</v>
      </c>
      <c r="AW729" s="0" t="s">
        <v>228</v>
      </c>
      <c r="AX729" s="0" t="s">
        <v>228</v>
      </c>
      <c r="AY729" s="0" t="s">
        <v>228</v>
      </c>
      <c r="AZ729" s="0" t="s">
        <v>228</v>
      </c>
      <c r="BA729" s="0" t="s">
        <v>228</v>
      </c>
      <c r="BB729" s="0" t="s">
        <v>228</v>
      </c>
      <c r="BC729" s="0" t="s">
        <v>228</v>
      </c>
      <c r="BD729" s="0" t="s">
        <v>228</v>
      </c>
      <c r="BE729" s="0" t="s">
        <v>228</v>
      </c>
      <c r="BF729" s="0" t="s">
        <v>228</v>
      </c>
      <c r="BG729" s="0" t="s">
        <v>228</v>
      </c>
      <c r="BH729" s="0" t="s">
        <v>228</v>
      </c>
      <c r="BI729" s="0" t="s">
        <v>228</v>
      </c>
      <c r="BJ729" s="0" t="s">
        <v>228</v>
      </c>
      <c r="BK729" s="0" t="s">
        <v>228</v>
      </c>
      <c r="BL729" s="0" t="s">
        <v>228</v>
      </c>
      <c r="BM729" s="0" t="s">
        <v>228</v>
      </c>
      <c r="BN729" s="0" t="s">
        <v>228</v>
      </c>
      <c r="BO729" s="0" t="s">
        <v>228</v>
      </c>
      <c r="BP729" s="0" t="s">
        <v>228</v>
      </c>
      <c r="BQ729" s="0" t="s">
        <v>228</v>
      </c>
      <c r="BR729" s="0" t="s">
        <v>228</v>
      </c>
      <c r="BS729" s="0" t="s">
        <v>228</v>
      </c>
      <c r="BT729" s="0" t="s">
        <v>228</v>
      </c>
      <c r="CS729" s="0" t="s">
        <v>228</v>
      </c>
      <c r="CT729" s="0" t="s">
        <v>3568</v>
      </c>
      <c r="CU729" s="0" t="s">
        <v>3569</v>
      </c>
      <c r="CV729" s="0" t="s">
        <v>418</v>
      </c>
      <c r="CW729" s="0" t="s">
        <v>3602</v>
      </c>
      <c r="CX729" s="0" t="s">
        <v>3603</v>
      </c>
      <c r="CY729" s="0" t="s">
        <v>418</v>
      </c>
      <c r="CZ729" s="0" t="s">
        <v>504</v>
      </c>
      <c r="DA729" s="0" t="s">
        <v>3604</v>
      </c>
      <c r="DB729" s="0" t="s">
        <v>3602</v>
      </c>
      <c r="DC729" s="0" t="s">
        <v>362</v>
      </c>
      <c r="DD729" s="0" t="s">
        <v>282</v>
      </c>
      <c r="DE729" s="0" t="s">
        <v>5474</v>
      </c>
    </row>
    <row customHeight="1" ht="11.25">
      <c r="A730" s="1353" t="s">
        <v>228</v>
      </c>
      <c r="B730" s="0" t="s">
        <v>228</v>
      </c>
      <c r="C730" s="0" t="s">
        <v>228</v>
      </c>
      <c r="D730" s="0" t="s">
        <v>228</v>
      </c>
      <c r="E730" s="0" t="s">
        <v>228</v>
      </c>
      <c r="F730" s="0" t="s">
        <v>228</v>
      </c>
      <c r="G730" s="0" t="s">
        <v>228</v>
      </c>
      <c r="H730" s="0" t="s">
        <v>228</v>
      </c>
      <c r="I730" s="0" t="s">
        <v>5119</v>
      </c>
      <c r="J730" s="0" t="s">
        <v>228</v>
      </c>
      <c r="K730" s="0" t="s">
        <v>228</v>
      </c>
      <c r="L730" s="0" t="s">
        <v>228</v>
      </c>
      <c r="M730" s="0" t="s">
        <v>228</v>
      </c>
      <c r="N730" s="0" t="s">
        <v>228</v>
      </c>
      <c r="O730" s="0" t="s">
        <v>228</v>
      </c>
      <c r="P730" s="0" t="s">
        <v>228</v>
      </c>
      <c r="Q730" s="0" t="s">
        <v>228</v>
      </c>
      <c r="R730" s="0" t="s">
        <v>5475</v>
      </c>
      <c r="S730" s="0" t="s">
        <v>228</v>
      </c>
      <c r="T730" s="0" t="s">
        <v>228</v>
      </c>
      <c r="U730" s="0" t="s">
        <v>101</v>
      </c>
      <c r="V730" s="0" t="s">
        <v>228</v>
      </c>
      <c r="W730" s="0" t="s">
        <v>228</v>
      </c>
      <c r="X730" s="0" t="s">
        <v>5121</v>
      </c>
      <c r="Y730" s="0" t="s">
        <v>228</v>
      </c>
      <c r="Z730" s="0" t="s">
        <v>160</v>
      </c>
      <c r="AA730" s="0" t="s">
        <v>151</v>
      </c>
      <c r="AB730" s="0" t="s">
        <v>151</v>
      </c>
      <c r="AC730" s="0" t="s">
        <v>2290</v>
      </c>
      <c r="AD730" s="0" t="s">
        <v>2290</v>
      </c>
      <c r="AE730" s="0" t="s">
        <v>2292</v>
      </c>
      <c r="AF730" s="0" t="s">
        <v>3558</v>
      </c>
      <c r="AG730" s="0" t="s">
        <v>3559</v>
      </c>
      <c r="AH730" s="0" t="s">
        <v>5476</v>
      </c>
      <c r="AI730" s="0" t="s">
        <v>5477</v>
      </c>
      <c r="AJ730" s="0" t="s">
        <v>4287</v>
      </c>
      <c r="AK730" s="0" t="s">
        <v>3579</v>
      </c>
      <c r="AL730" s="0" t="s">
        <v>5125</v>
      </c>
      <c r="AN730" s="0" t="s">
        <v>3833</v>
      </c>
      <c r="AO730" s="0" t="s">
        <v>5251</v>
      </c>
      <c r="AP730" s="0" t="s">
        <v>228</v>
      </c>
      <c r="AQ730" s="0" t="s">
        <v>228</v>
      </c>
      <c r="AR730" s="0" t="s">
        <v>228</v>
      </c>
      <c r="AS730" s="0" t="s">
        <v>228</v>
      </c>
      <c r="AT730" s="0" t="s">
        <v>228</v>
      </c>
      <c r="AU730" s="0" t="s">
        <v>228</v>
      </c>
      <c r="AV730" s="0" t="s">
        <v>228</v>
      </c>
      <c r="AW730" s="0" t="s">
        <v>228</v>
      </c>
      <c r="AX730" s="0" t="s">
        <v>228</v>
      </c>
      <c r="AY730" s="0" t="s">
        <v>228</v>
      </c>
      <c r="AZ730" s="0" t="s">
        <v>228</v>
      </c>
      <c r="BA730" s="0" t="s">
        <v>228</v>
      </c>
      <c r="BB730" s="0" t="s">
        <v>228</v>
      </c>
      <c r="BC730" s="0" t="s">
        <v>228</v>
      </c>
      <c r="BD730" s="0" t="s">
        <v>228</v>
      </c>
      <c r="BE730" s="0" t="s">
        <v>228</v>
      </c>
      <c r="BF730" s="0" t="s">
        <v>228</v>
      </c>
      <c r="BG730" s="0" t="s">
        <v>228</v>
      </c>
      <c r="BH730" s="0" t="s">
        <v>228</v>
      </c>
      <c r="BI730" s="0" t="s">
        <v>228</v>
      </c>
      <c r="BJ730" s="0" t="s">
        <v>228</v>
      </c>
      <c r="BK730" s="0" t="s">
        <v>228</v>
      </c>
      <c r="BL730" s="0" t="s">
        <v>228</v>
      </c>
      <c r="BM730" s="0" t="s">
        <v>228</v>
      </c>
      <c r="BN730" s="0" t="s">
        <v>228</v>
      </c>
      <c r="BO730" s="0" t="s">
        <v>228</v>
      </c>
      <c r="BP730" s="0" t="s">
        <v>228</v>
      </c>
      <c r="BQ730" s="0" t="s">
        <v>228</v>
      </c>
      <c r="BR730" s="0" t="s">
        <v>228</v>
      </c>
      <c r="BS730" s="0" t="s">
        <v>228</v>
      </c>
      <c r="BT730" s="0" t="s">
        <v>228</v>
      </c>
      <c r="CS730" s="0" t="s">
        <v>228</v>
      </c>
      <c r="CT730" s="0" t="s">
        <v>3568</v>
      </c>
      <c r="CU730" s="0" t="s">
        <v>3569</v>
      </c>
      <c r="CV730" s="0" t="s">
        <v>418</v>
      </c>
      <c r="CW730" s="0" t="s">
        <v>3570</v>
      </c>
      <c r="CX730" s="0" t="s">
        <v>419</v>
      </c>
      <c r="CY730" s="0" t="s">
        <v>418</v>
      </c>
      <c r="CZ730" s="0" t="s">
        <v>3571</v>
      </c>
      <c r="DA730" s="0" t="s">
        <v>420</v>
      </c>
      <c r="DB730" s="0" t="s">
        <v>3570</v>
      </c>
      <c r="DC730" s="0" t="s">
        <v>362</v>
      </c>
      <c r="DD730" s="0" t="s">
        <v>282</v>
      </c>
      <c r="DE730" s="0" t="s">
        <v>5478</v>
      </c>
    </row>
    <row customHeight="1" ht="11.25">
      <c r="A731" s="1353" t="s">
        <v>228</v>
      </c>
      <c r="B731" s="0" t="s">
        <v>228</v>
      </c>
      <c r="C731" s="0" t="s">
        <v>228</v>
      </c>
      <c r="D731" s="0" t="s">
        <v>228</v>
      </c>
      <c r="E731" s="0" t="s">
        <v>228</v>
      </c>
      <c r="F731" s="0" t="s">
        <v>228</v>
      </c>
      <c r="G731" s="0" t="s">
        <v>228</v>
      </c>
      <c r="H731" s="0" t="s">
        <v>228</v>
      </c>
      <c r="I731" s="0" t="s">
        <v>5119</v>
      </c>
      <c r="J731" s="0" t="s">
        <v>228</v>
      </c>
      <c r="K731" s="0" t="s">
        <v>228</v>
      </c>
      <c r="L731" s="0" t="s">
        <v>228</v>
      </c>
      <c r="M731" s="0" t="s">
        <v>228</v>
      </c>
      <c r="N731" s="0" t="s">
        <v>228</v>
      </c>
      <c r="O731" s="0" t="s">
        <v>228</v>
      </c>
      <c r="P731" s="0" t="s">
        <v>228</v>
      </c>
      <c r="Q731" s="0" t="s">
        <v>228</v>
      </c>
      <c r="R731" s="0" t="s">
        <v>5140</v>
      </c>
      <c r="S731" s="0" t="s">
        <v>228</v>
      </c>
      <c r="T731" s="0" t="s">
        <v>228</v>
      </c>
      <c r="U731" s="0" t="s">
        <v>101</v>
      </c>
      <c r="V731" s="0" t="s">
        <v>228</v>
      </c>
      <c r="W731" s="0" t="s">
        <v>228</v>
      </c>
      <c r="X731" s="0" t="s">
        <v>5121</v>
      </c>
      <c r="Y731" s="0" t="s">
        <v>228</v>
      </c>
      <c r="Z731" s="0" t="s">
        <v>160</v>
      </c>
      <c r="AA731" s="0" t="s">
        <v>151</v>
      </c>
      <c r="AB731" s="0" t="s">
        <v>151</v>
      </c>
      <c r="AC731" s="0" t="s">
        <v>2290</v>
      </c>
      <c r="AD731" s="0" t="s">
        <v>2290</v>
      </c>
      <c r="AE731" s="0" t="s">
        <v>2292</v>
      </c>
      <c r="AF731" s="0" t="s">
        <v>3558</v>
      </c>
      <c r="AG731" s="0" t="s">
        <v>3559</v>
      </c>
      <c r="AH731" s="0" t="s">
        <v>5479</v>
      </c>
      <c r="AI731" s="0" t="s">
        <v>5480</v>
      </c>
      <c r="AJ731" s="0" t="s">
        <v>5172</v>
      </c>
      <c r="AK731" s="0" t="s">
        <v>5173</v>
      </c>
      <c r="AL731" s="0" t="s">
        <v>5125</v>
      </c>
      <c r="AN731" s="0" t="s">
        <v>5466</v>
      </c>
      <c r="AO731" s="0" t="s">
        <v>5146</v>
      </c>
      <c r="AP731" s="0" t="s">
        <v>228</v>
      </c>
      <c r="AQ731" s="0" t="s">
        <v>228</v>
      </c>
      <c r="AR731" s="0" t="s">
        <v>228</v>
      </c>
      <c r="AS731" s="0" t="s">
        <v>228</v>
      </c>
      <c r="AT731" s="0" t="s">
        <v>228</v>
      </c>
      <c r="AU731" s="0" t="s">
        <v>228</v>
      </c>
      <c r="AV731" s="0" t="s">
        <v>228</v>
      </c>
      <c r="AW731" s="0" t="s">
        <v>228</v>
      </c>
      <c r="AX731" s="0" t="s">
        <v>228</v>
      </c>
      <c r="AY731" s="0" t="s">
        <v>228</v>
      </c>
      <c r="AZ731" s="0" t="s">
        <v>228</v>
      </c>
      <c r="BA731" s="0" t="s">
        <v>228</v>
      </c>
      <c r="BB731" s="0" t="s">
        <v>228</v>
      </c>
      <c r="BC731" s="0" t="s">
        <v>228</v>
      </c>
      <c r="BD731" s="0" t="s">
        <v>228</v>
      </c>
      <c r="BE731" s="0" t="s">
        <v>228</v>
      </c>
      <c r="BF731" s="0" t="s">
        <v>228</v>
      </c>
      <c r="BG731" s="0" t="s">
        <v>228</v>
      </c>
      <c r="BH731" s="0" t="s">
        <v>228</v>
      </c>
      <c r="BI731" s="0" t="s">
        <v>228</v>
      </c>
      <c r="BJ731" s="0" t="s">
        <v>228</v>
      </c>
      <c r="BK731" s="0" t="s">
        <v>228</v>
      </c>
      <c r="BL731" s="0" t="s">
        <v>228</v>
      </c>
      <c r="BM731" s="0" t="s">
        <v>228</v>
      </c>
      <c r="BN731" s="0" t="s">
        <v>228</v>
      </c>
      <c r="BO731" s="0" t="s">
        <v>228</v>
      </c>
      <c r="BP731" s="0" t="s">
        <v>228</v>
      </c>
      <c r="BQ731" s="0" t="s">
        <v>228</v>
      </c>
      <c r="BR731" s="0" t="s">
        <v>228</v>
      </c>
      <c r="BS731" s="0" t="s">
        <v>228</v>
      </c>
      <c r="BT731" s="0" t="s">
        <v>228</v>
      </c>
      <c r="CS731" s="0" t="s">
        <v>228</v>
      </c>
      <c r="CT731" s="0" t="s">
        <v>3568</v>
      </c>
      <c r="CU731" s="0" t="s">
        <v>3569</v>
      </c>
      <c r="CV731" s="0" t="s">
        <v>418</v>
      </c>
      <c r="CW731" s="0" t="s">
        <v>3570</v>
      </c>
      <c r="CX731" s="0" t="s">
        <v>419</v>
      </c>
      <c r="CY731" s="0" t="s">
        <v>418</v>
      </c>
      <c r="CZ731" s="0" t="s">
        <v>3571</v>
      </c>
      <c r="DA731" s="0" t="s">
        <v>420</v>
      </c>
      <c r="DB731" s="0" t="s">
        <v>3570</v>
      </c>
      <c r="DC731" s="0" t="s">
        <v>362</v>
      </c>
      <c r="DD731" s="0" t="s">
        <v>282</v>
      </c>
      <c r="DE731" s="0" t="s">
        <v>5481</v>
      </c>
    </row>
    <row customHeight="1" ht="11.25">
      <c r="A732" s="1353" t="s">
        <v>228</v>
      </c>
      <c r="B732" s="0" t="s">
        <v>228</v>
      </c>
      <c r="C732" s="0" t="s">
        <v>228</v>
      </c>
      <c r="D732" s="0" t="s">
        <v>228</v>
      </c>
      <c r="E732" s="0" t="s">
        <v>228</v>
      </c>
      <c r="F732" s="0" t="s">
        <v>228</v>
      </c>
      <c r="G732" s="0" t="s">
        <v>228</v>
      </c>
      <c r="H732" s="0" t="s">
        <v>228</v>
      </c>
      <c r="I732" s="0" t="s">
        <v>5119</v>
      </c>
      <c r="J732" s="0" t="s">
        <v>228</v>
      </c>
      <c r="K732" s="0" t="s">
        <v>228</v>
      </c>
      <c r="L732" s="0" t="s">
        <v>228</v>
      </c>
      <c r="M732" s="0" t="s">
        <v>228</v>
      </c>
      <c r="N732" s="0" t="s">
        <v>228</v>
      </c>
      <c r="O732" s="0" t="s">
        <v>228</v>
      </c>
      <c r="P732" s="0" t="s">
        <v>228</v>
      </c>
      <c r="Q732" s="0" t="s">
        <v>228</v>
      </c>
      <c r="R732" s="0" t="s">
        <v>5482</v>
      </c>
      <c r="S732" s="0" t="s">
        <v>228</v>
      </c>
      <c r="T732" s="0" t="s">
        <v>228</v>
      </c>
      <c r="U732" s="0" t="s">
        <v>101</v>
      </c>
      <c r="V732" s="0" t="s">
        <v>228</v>
      </c>
      <c r="W732" s="0" t="s">
        <v>228</v>
      </c>
      <c r="X732" s="0" t="s">
        <v>5121</v>
      </c>
      <c r="Y732" s="0" t="s">
        <v>228</v>
      </c>
      <c r="Z732" s="0" t="s">
        <v>160</v>
      </c>
      <c r="AA732" s="0" t="s">
        <v>151</v>
      </c>
      <c r="AB732" s="0" t="s">
        <v>151</v>
      </c>
      <c r="AC732" s="0" t="s">
        <v>2715</v>
      </c>
      <c r="AD732" s="0" t="s">
        <v>2715</v>
      </c>
      <c r="AE732" s="0" t="s">
        <v>2716</v>
      </c>
      <c r="AF732" s="0" t="s">
        <v>3594</v>
      </c>
      <c r="AG732" s="0" t="s">
        <v>3595</v>
      </c>
      <c r="AH732" s="0" t="s">
        <v>5483</v>
      </c>
      <c r="AI732" s="0" t="s">
        <v>5484</v>
      </c>
      <c r="AJ732" s="0" t="s">
        <v>3858</v>
      </c>
      <c r="AK732" s="0" t="s">
        <v>5485</v>
      </c>
      <c r="AL732" s="0" t="s">
        <v>5125</v>
      </c>
      <c r="AN732" s="0" t="s">
        <v>5486</v>
      </c>
      <c r="AO732" s="0" t="s">
        <v>5434</v>
      </c>
      <c r="AP732" s="0" t="s">
        <v>228</v>
      </c>
      <c r="AQ732" s="0" t="s">
        <v>228</v>
      </c>
      <c r="AR732" s="0" t="s">
        <v>228</v>
      </c>
      <c r="AS732" s="0" t="s">
        <v>228</v>
      </c>
      <c r="AT732" s="0" t="s">
        <v>228</v>
      </c>
      <c r="AU732" s="0" t="s">
        <v>228</v>
      </c>
      <c r="AV732" s="0" t="s">
        <v>228</v>
      </c>
      <c r="AW732" s="0" t="s">
        <v>228</v>
      </c>
      <c r="AX732" s="0" t="s">
        <v>228</v>
      </c>
      <c r="AY732" s="0" t="s">
        <v>228</v>
      </c>
      <c r="AZ732" s="0" t="s">
        <v>228</v>
      </c>
      <c r="BA732" s="0" t="s">
        <v>228</v>
      </c>
      <c r="BB732" s="0" t="s">
        <v>228</v>
      </c>
      <c r="BC732" s="0" t="s">
        <v>228</v>
      </c>
      <c r="BD732" s="0" t="s">
        <v>228</v>
      </c>
      <c r="BE732" s="0" t="s">
        <v>228</v>
      </c>
      <c r="BF732" s="0" t="s">
        <v>228</v>
      </c>
      <c r="BG732" s="0" t="s">
        <v>228</v>
      </c>
      <c r="BH732" s="0" t="s">
        <v>228</v>
      </c>
      <c r="BI732" s="0" t="s">
        <v>228</v>
      </c>
      <c r="BJ732" s="0" t="s">
        <v>228</v>
      </c>
      <c r="BK732" s="0" t="s">
        <v>228</v>
      </c>
      <c r="BL732" s="0" t="s">
        <v>228</v>
      </c>
      <c r="BM732" s="0" t="s">
        <v>228</v>
      </c>
      <c r="BN732" s="0" t="s">
        <v>228</v>
      </c>
      <c r="BO732" s="0" t="s">
        <v>228</v>
      </c>
      <c r="BP732" s="0" t="s">
        <v>228</v>
      </c>
      <c r="BQ732" s="0" t="s">
        <v>228</v>
      </c>
      <c r="BR732" s="0" t="s">
        <v>228</v>
      </c>
      <c r="BS732" s="0" t="s">
        <v>228</v>
      </c>
      <c r="BT732" s="0" t="s">
        <v>228</v>
      </c>
      <c r="CS732" s="0" t="s">
        <v>228</v>
      </c>
      <c r="CT732" s="0" t="s">
        <v>3568</v>
      </c>
      <c r="CU732" s="0" t="s">
        <v>3569</v>
      </c>
      <c r="CV732" s="0" t="s">
        <v>418</v>
      </c>
      <c r="CW732" s="0" t="s">
        <v>3602</v>
      </c>
      <c r="CX732" s="0" t="s">
        <v>3603</v>
      </c>
      <c r="CY732" s="0" t="s">
        <v>418</v>
      </c>
      <c r="CZ732" s="0" t="s">
        <v>504</v>
      </c>
      <c r="DA732" s="0" t="s">
        <v>3604</v>
      </c>
      <c r="DB732" s="0" t="s">
        <v>3602</v>
      </c>
      <c r="DC732" s="0" t="s">
        <v>362</v>
      </c>
      <c r="DD732" s="0" t="s">
        <v>282</v>
      </c>
      <c r="DE732" s="0" t="s">
        <v>5487</v>
      </c>
    </row>
    <row customHeight="1" ht="11.25">
      <c r="A733" s="1353" t="s">
        <v>228</v>
      </c>
      <c r="B733" s="0" t="s">
        <v>228</v>
      </c>
      <c r="C733" s="0" t="s">
        <v>228</v>
      </c>
      <c r="D733" s="0" t="s">
        <v>228</v>
      </c>
      <c r="E733" s="0" t="s">
        <v>228</v>
      </c>
      <c r="F733" s="0" t="s">
        <v>228</v>
      </c>
      <c r="G733" s="0" t="s">
        <v>228</v>
      </c>
      <c r="H733" s="0" t="s">
        <v>228</v>
      </c>
      <c r="I733" s="0" t="s">
        <v>5119</v>
      </c>
      <c r="J733" s="0" t="s">
        <v>228</v>
      </c>
      <c r="K733" s="0" t="s">
        <v>228</v>
      </c>
      <c r="L733" s="0" t="s">
        <v>228</v>
      </c>
      <c r="M733" s="0" t="s">
        <v>228</v>
      </c>
      <c r="N733" s="0" t="s">
        <v>228</v>
      </c>
      <c r="O733" s="0" t="s">
        <v>228</v>
      </c>
      <c r="P733" s="0" t="s">
        <v>228</v>
      </c>
      <c r="Q733" s="0" t="s">
        <v>228</v>
      </c>
      <c r="R733" s="0" t="s">
        <v>5488</v>
      </c>
      <c r="S733" s="0" t="s">
        <v>228</v>
      </c>
      <c r="T733" s="0" t="s">
        <v>228</v>
      </c>
      <c r="U733" s="0" t="s">
        <v>101</v>
      </c>
      <c r="V733" s="0" t="s">
        <v>228</v>
      </c>
      <c r="W733" s="0" t="s">
        <v>228</v>
      </c>
      <c r="X733" s="0" t="s">
        <v>3661</v>
      </c>
      <c r="Y733" s="0" t="s">
        <v>228</v>
      </c>
      <c r="Z733" s="0" t="s">
        <v>151</v>
      </c>
      <c r="AA733" s="0" t="s">
        <v>151</v>
      </c>
      <c r="AB733" s="0" t="s">
        <v>160</v>
      </c>
      <c r="AC733" s="0" t="s">
        <v>2317</v>
      </c>
      <c r="AD733" s="0" t="s">
        <v>2317</v>
      </c>
      <c r="AE733" s="0" t="s">
        <v>2318</v>
      </c>
      <c r="AF733" s="0" t="s">
        <v>3804</v>
      </c>
      <c r="AG733" s="0" t="s">
        <v>3805</v>
      </c>
      <c r="AH733" s="0" t="s">
        <v>3651</v>
      </c>
      <c r="AI733" s="0" t="s">
        <v>3651</v>
      </c>
      <c r="AJ733" s="0" t="s">
        <v>228</v>
      </c>
      <c r="AK733" s="0" t="s">
        <v>228</v>
      </c>
      <c r="AL733" s="0" t="s">
        <v>228</v>
      </c>
      <c r="AN733" s="0" t="s">
        <v>228</v>
      </c>
      <c r="AO733" s="0" t="s">
        <v>228</v>
      </c>
      <c r="AP733" s="0" t="s">
        <v>228</v>
      </c>
      <c r="AQ733" s="0" t="s">
        <v>228</v>
      </c>
      <c r="AR733" s="0" t="s">
        <v>228</v>
      </c>
      <c r="AS733" s="0" t="s">
        <v>228</v>
      </c>
      <c r="AT733" s="0" t="s">
        <v>228</v>
      </c>
      <c r="AU733" s="0" t="s">
        <v>228</v>
      </c>
      <c r="AV733" s="0" t="s">
        <v>228</v>
      </c>
      <c r="AW733" s="0" t="s">
        <v>228</v>
      </c>
      <c r="AX733" s="0" t="s">
        <v>228</v>
      </c>
      <c r="AY733" s="0" t="s">
        <v>228</v>
      </c>
      <c r="AZ733" s="0" t="s">
        <v>228</v>
      </c>
      <c r="BA733" s="0" t="s">
        <v>228</v>
      </c>
      <c r="BB733" s="0" t="s">
        <v>228</v>
      </c>
      <c r="BC733" s="0" t="s">
        <v>228</v>
      </c>
      <c r="BD733" s="0" t="s">
        <v>228</v>
      </c>
      <c r="BE733" s="0" t="s">
        <v>3580</v>
      </c>
      <c r="BF733" s="0" t="s">
        <v>3853</v>
      </c>
      <c r="BG733" s="0" t="s">
        <v>111</v>
      </c>
      <c r="BH733" s="0" t="s">
        <v>3665</v>
      </c>
      <c r="BI733" s="0" t="s">
        <v>122</v>
      </c>
      <c r="BJ733" s="0" t="s">
        <v>228</v>
      </c>
      <c r="BK733" s="0" t="s">
        <v>228</v>
      </c>
      <c r="BL733" s="0" t="s">
        <v>2317</v>
      </c>
      <c r="BM733" s="0" t="s">
        <v>2317</v>
      </c>
      <c r="BN733" s="0" t="s">
        <v>3740</v>
      </c>
      <c r="BO733" s="0" t="s">
        <v>3804</v>
      </c>
      <c r="BP733" s="0" t="s">
        <v>4125</v>
      </c>
      <c r="BQ733" s="0" t="s">
        <v>3651</v>
      </c>
      <c r="BR733" s="0" t="s">
        <v>3651</v>
      </c>
      <c r="BS733" s="0" t="s">
        <v>228</v>
      </c>
      <c r="BT733" s="0" t="s">
        <v>3727</v>
      </c>
      <c r="CS733" s="0" t="s">
        <v>5243</v>
      </c>
      <c r="CT733" s="0" t="s">
        <v>3568</v>
      </c>
      <c r="CU733" s="0" t="s">
        <v>3569</v>
      </c>
      <c r="CV733" s="0" t="s">
        <v>418</v>
      </c>
      <c r="CW733" s="0" t="s">
        <v>3622</v>
      </c>
      <c r="CX733" s="0" t="s">
        <v>419</v>
      </c>
      <c r="CY733" s="0" t="s">
        <v>418</v>
      </c>
      <c r="CZ733" s="0" t="s">
        <v>3623</v>
      </c>
      <c r="DA733" s="0" t="s">
        <v>3624</v>
      </c>
      <c r="DB733" s="0" t="s">
        <v>3622</v>
      </c>
      <c r="DC733" s="0" t="s">
        <v>362</v>
      </c>
      <c r="DD733" s="0" t="s">
        <v>282</v>
      </c>
      <c r="DE733" s="0" t="s">
        <v>4127</v>
      </c>
    </row>
    <row customHeight="1" ht="11.25">
      <c r="A734" s="1353" t="s">
        <v>228</v>
      </c>
      <c r="B734" s="0" t="s">
        <v>228</v>
      </c>
      <c r="C734" s="0" t="s">
        <v>228</v>
      </c>
      <c r="D734" s="0" t="s">
        <v>228</v>
      </c>
      <c r="E734" s="0" t="s">
        <v>228</v>
      </c>
      <c r="F734" s="0" t="s">
        <v>228</v>
      </c>
      <c r="G734" s="0" t="s">
        <v>228</v>
      </c>
      <c r="H734" s="0" t="s">
        <v>228</v>
      </c>
      <c r="I734" s="0" t="s">
        <v>5119</v>
      </c>
      <c r="J734" s="0" t="s">
        <v>228</v>
      </c>
      <c r="K734" s="0" t="s">
        <v>228</v>
      </c>
      <c r="L734" s="0" t="s">
        <v>228</v>
      </c>
      <c r="M734" s="0" t="s">
        <v>228</v>
      </c>
      <c r="N734" s="0" t="s">
        <v>228</v>
      </c>
      <c r="O734" s="0" t="s">
        <v>228</v>
      </c>
      <c r="P734" s="0" t="s">
        <v>228</v>
      </c>
      <c r="Q734" s="0" t="s">
        <v>228</v>
      </c>
      <c r="R734" s="0" t="s">
        <v>5489</v>
      </c>
      <c r="S734" s="0" t="s">
        <v>228</v>
      </c>
      <c r="T734" s="0" t="s">
        <v>228</v>
      </c>
      <c r="U734" s="0" t="s">
        <v>101</v>
      </c>
      <c r="V734" s="0" t="s">
        <v>228</v>
      </c>
      <c r="W734" s="0" t="s">
        <v>228</v>
      </c>
      <c r="X734" s="0" t="s">
        <v>3661</v>
      </c>
      <c r="Y734" s="0" t="s">
        <v>228</v>
      </c>
      <c r="Z734" s="0" t="s">
        <v>151</v>
      </c>
      <c r="AA734" s="0" t="s">
        <v>151</v>
      </c>
      <c r="AB734" s="0" t="s">
        <v>160</v>
      </c>
      <c r="AC734" s="0" t="s">
        <v>2317</v>
      </c>
      <c r="AD734" s="0" t="s">
        <v>2317</v>
      </c>
      <c r="AE734" s="0" t="s">
        <v>2318</v>
      </c>
      <c r="AF734" s="0" t="s">
        <v>3923</v>
      </c>
      <c r="AG734" s="0" t="s">
        <v>3924</v>
      </c>
      <c r="AH734" s="0" t="s">
        <v>3651</v>
      </c>
      <c r="AI734" s="0" t="s">
        <v>3651</v>
      </c>
      <c r="AJ734" s="0" t="s">
        <v>228</v>
      </c>
      <c r="AK734" s="0" t="s">
        <v>228</v>
      </c>
      <c r="AL734" s="0" t="s">
        <v>228</v>
      </c>
      <c r="AN734" s="0" t="s">
        <v>228</v>
      </c>
      <c r="AO734" s="0" t="s">
        <v>228</v>
      </c>
      <c r="AP734" s="0" t="s">
        <v>228</v>
      </c>
      <c r="AQ734" s="0" t="s">
        <v>228</v>
      </c>
      <c r="AR734" s="0" t="s">
        <v>228</v>
      </c>
      <c r="AS734" s="0" t="s">
        <v>228</v>
      </c>
      <c r="AT734" s="0" t="s">
        <v>228</v>
      </c>
      <c r="AU734" s="0" t="s">
        <v>228</v>
      </c>
      <c r="AV734" s="0" t="s">
        <v>228</v>
      </c>
      <c r="AW734" s="0" t="s">
        <v>228</v>
      </c>
      <c r="AX734" s="0" t="s">
        <v>228</v>
      </c>
      <c r="AY734" s="0" t="s">
        <v>228</v>
      </c>
      <c r="AZ734" s="0" t="s">
        <v>228</v>
      </c>
      <c r="BA734" s="0" t="s">
        <v>228</v>
      </c>
      <c r="BB734" s="0" t="s">
        <v>228</v>
      </c>
      <c r="BC734" s="0" t="s">
        <v>228</v>
      </c>
      <c r="BD734" s="0" t="s">
        <v>228</v>
      </c>
      <c r="BE734" s="0" t="s">
        <v>3619</v>
      </c>
      <c r="BF734" s="0" t="s">
        <v>3749</v>
      </c>
      <c r="BG734" s="0" t="s">
        <v>111</v>
      </c>
      <c r="BH734" s="0" t="s">
        <v>3665</v>
      </c>
      <c r="BI734" s="0" t="s">
        <v>122</v>
      </c>
      <c r="BJ734" s="0" t="s">
        <v>228</v>
      </c>
      <c r="BK734" s="0" t="s">
        <v>228</v>
      </c>
      <c r="BL734" s="0" t="s">
        <v>2317</v>
      </c>
      <c r="BM734" s="0" t="s">
        <v>2317</v>
      </c>
      <c r="BN734" s="0" t="s">
        <v>3740</v>
      </c>
      <c r="BO734" s="0" t="s">
        <v>3923</v>
      </c>
      <c r="BP734" s="0" t="s">
        <v>4397</v>
      </c>
      <c r="BQ734" s="0" t="s">
        <v>3651</v>
      </c>
      <c r="BR734" s="0" t="s">
        <v>3651</v>
      </c>
      <c r="BS734" s="0" t="s">
        <v>228</v>
      </c>
      <c r="BT734" s="0" t="s">
        <v>3727</v>
      </c>
      <c r="CS734" s="0" t="s">
        <v>5243</v>
      </c>
      <c r="CT734" s="0" t="s">
        <v>3568</v>
      </c>
      <c r="CU734" s="0" t="s">
        <v>3569</v>
      </c>
      <c r="CV734" s="0" t="s">
        <v>418</v>
      </c>
      <c r="CW734" s="0" t="s">
        <v>3622</v>
      </c>
      <c r="CX734" s="0" t="s">
        <v>419</v>
      </c>
      <c r="CY734" s="0" t="s">
        <v>418</v>
      </c>
      <c r="CZ734" s="0" t="s">
        <v>3623</v>
      </c>
      <c r="DA734" s="0" t="s">
        <v>3624</v>
      </c>
      <c r="DB734" s="0" t="s">
        <v>3622</v>
      </c>
      <c r="DC734" s="0" t="s">
        <v>362</v>
      </c>
      <c r="DD734" s="0" t="s">
        <v>282</v>
      </c>
      <c r="DE734" s="0" t="s">
        <v>4399</v>
      </c>
    </row>
    <row customHeight="1" ht="11.25">
      <c r="A735" s="1353" t="s">
        <v>228</v>
      </c>
      <c r="B735" s="0" t="s">
        <v>228</v>
      </c>
      <c r="C735" s="0" t="s">
        <v>228</v>
      </c>
      <c r="D735" s="0" t="s">
        <v>228</v>
      </c>
      <c r="E735" s="0" t="s">
        <v>228</v>
      </c>
      <c r="F735" s="0" t="s">
        <v>228</v>
      </c>
      <c r="G735" s="0" t="s">
        <v>228</v>
      </c>
      <c r="H735" s="0" t="s">
        <v>228</v>
      </c>
      <c r="I735" s="0" t="s">
        <v>5119</v>
      </c>
      <c r="J735" s="0" t="s">
        <v>228</v>
      </c>
      <c r="K735" s="0" t="s">
        <v>228</v>
      </c>
      <c r="L735" s="0" t="s">
        <v>228</v>
      </c>
      <c r="M735" s="0" t="s">
        <v>228</v>
      </c>
      <c r="N735" s="0" t="s">
        <v>228</v>
      </c>
      <c r="O735" s="0" t="s">
        <v>228</v>
      </c>
      <c r="P735" s="0" t="s">
        <v>228</v>
      </c>
      <c r="Q735" s="0" t="s">
        <v>228</v>
      </c>
      <c r="R735" s="0" t="s">
        <v>5490</v>
      </c>
      <c r="S735" s="0" t="s">
        <v>228</v>
      </c>
      <c r="T735" s="0" t="s">
        <v>228</v>
      </c>
      <c r="U735" s="0" t="s">
        <v>101</v>
      </c>
      <c r="V735" s="0" t="s">
        <v>228</v>
      </c>
      <c r="W735" s="0" t="s">
        <v>228</v>
      </c>
      <c r="X735" s="0" t="s">
        <v>5121</v>
      </c>
      <c r="Y735" s="0" t="s">
        <v>228</v>
      </c>
      <c r="Z735" s="0" t="s">
        <v>160</v>
      </c>
      <c r="AA735" s="0" t="s">
        <v>151</v>
      </c>
      <c r="AB735" s="0" t="s">
        <v>151</v>
      </c>
      <c r="AC735" s="0" t="s">
        <v>2715</v>
      </c>
      <c r="AD735" s="0" t="s">
        <v>2715</v>
      </c>
      <c r="AE735" s="0" t="s">
        <v>2716</v>
      </c>
      <c r="AF735" s="0" t="s">
        <v>3594</v>
      </c>
      <c r="AG735" s="0" t="s">
        <v>3595</v>
      </c>
      <c r="AH735" s="0" t="s">
        <v>5491</v>
      </c>
      <c r="AI735" s="0" t="s">
        <v>5492</v>
      </c>
      <c r="AJ735" s="0" t="s">
        <v>3777</v>
      </c>
      <c r="AK735" s="0" t="s">
        <v>5493</v>
      </c>
      <c r="AL735" s="0" t="s">
        <v>5125</v>
      </c>
      <c r="AN735" s="0" t="s">
        <v>4364</v>
      </c>
      <c r="AO735" s="0" t="s">
        <v>4365</v>
      </c>
      <c r="AP735" s="0" t="s">
        <v>228</v>
      </c>
      <c r="AQ735" s="0" t="s">
        <v>228</v>
      </c>
      <c r="AR735" s="0" t="s">
        <v>228</v>
      </c>
      <c r="AS735" s="0" t="s">
        <v>228</v>
      </c>
      <c r="AT735" s="0" t="s">
        <v>228</v>
      </c>
      <c r="AU735" s="0" t="s">
        <v>228</v>
      </c>
      <c r="AV735" s="0" t="s">
        <v>228</v>
      </c>
      <c r="AW735" s="0" t="s">
        <v>228</v>
      </c>
      <c r="AX735" s="0" t="s">
        <v>228</v>
      </c>
      <c r="AY735" s="0" t="s">
        <v>228</v>
      </c>
      <c r="AZ735" s="0" t="s">
        <v>228</v>
      </c>
      <c r="BA735" s="0" t="s">
        <v>228</v>
      </c>
      <c r="BB735" s="0" t="s">
        <v>228</v>
      </c>
      <c r="BC735" s="0" t="s">
        <v>228</v>
      </c>
      <c r="BD735" s="0" t="s">
        <v>228</v>
      </c>
      <c r="BE735" s="0" t="s">
        <v>228</v>
      </c>
      <c r="BF735" s="0" t="s">
        <v>228</v>
      </c>
      <c r="BG735" s="0" t="s">
        <v>228</v>
      </c>
      <c r="BH735" s="0" t="s">
        <v>228</v>
      </c>
      <c r="BI735" s="0" t="s">
        <v>228</v>
      </c>
      <c r="BJ735" s="0" t="s">
        <v>228</v>
      </c>
      <c r="BK735" s="0" t="s">
        <v>228</v>
      </c>
      <c r="BL735" s="0" t="s">
        <v>228</v>
      </c>
      <c r="BM735" s="0" t="s">
        <v>228</v>
      </c>
      <c r="BN735" s="0" t="s">
        <v>228</v>
      </c>
      <c r="BO735" s="0" t="s">
        <v>228</v>
      </c>
      <c r="BP735" s="0" t="s">
        <v>228</v>
      </c>
      <c r="BQ735" s="0" t="s">
        <v>228</v>
      </c>
      <c r="BR735" s="0" t="s">
        <v>228</v>
      </c>
      <c r="BS735" s="0" t="s">
        <v>228</v>
      </c>
      <c r="BT735" s="0" t="s">
        <v>228</v>
      </c>
      <c r="CS735" s="0" t="s">
        <v>228</v>
      </c>
      <c r="CT735" s="0" t="s">
        <v>3568</v>
      </c>
      <c r="CU735" s="0" t="s">
        <v>3569</v>
      </c>
      <c r="CV735" s="0" t="s">
        <v>418</v>
      </c>
      <c r="CW735" s="0" t="s">
        <v>3602</v>
      </c>
      <c r="CX735" s="0" t="s">
        <v>3603</v>
      </c>
      <c r="CY735" s="0" t="s">
        <v>418</v>
      </c>
      <c r="CZ735" s="0" t="s">
        <v>504</v>
      </c>
      <c r="DA735" s="0" t="s">
        <v>3604</v>
      </c>
      <c r="DB735" s="0" t="s">
        <v>3602</v>
      </c>
      <c r="DC735" s="0" t="s">
        <v>362</v>
      </c>
      <c r="DD735" s="0" t="s">
        <v>282</v>
      </c>
      <c r="DE735" s="0" t="s">
        <v>5494</v>
      </c>
    </row>
    <row customHeight="1" ht="11.25">
      <c r="A736" s="1353" t="s">
        <v>228</v>
      </c>
      <c r="B736" s="0" t="s">
        <v>228</v>
      </c>
      <c r="C736" s="0" t="s">
        <v>228</v>
      </c>
      <c r="D736" s="0" t="s">
        <v>228</v>
      </c>
      <c r="E736" s="0" t="s">
        <v>228</v>
      </c>
      <c r="F736" s="0" t="s">
        <v>228</v>
      </c>
      <c r="G736" s="0" t="s">
        <v>228</v>
      </c>
      <c r="H736" s="0" t="s">
        <v>228</v>
      </c>
      <c r="I736" s="0" t="s">
        <v>5119</v>
      </c>
      <c r="J736" s="0" t="s">
        <v>228</v>
      </c>
      <c r="K736" s="0" t="s">
        <v>228</v>
      </c>
      <c r="L736" s="0" t="s">
        <v>228</v>
      </c>
      <c r="M736" s="0" t="s">
        <v>228</v>
      </c>
      <c r="N736" s="0" t="s">
        <v>228</v>
      </c>
      <c r="O736" s="0" t="s">
        <v>228</v>
      </c>
      <c r="P736" s="0" t="s">
        <v>228</v>
      </c>
      <c r="Q736" s="0" t="s">
        <v>228</v>
      </c>
      <c r="R736" s="0" t="s">
        <v>5495</v>
      </c>
      <c r="S736" s="0" t="s">
        <v>228</v>
      </c>
      <c r="T736" s="0" t="s">
        <v>228</v>
      </c>
      <c r="U736" s="0" t="s">
        <v>101</v>
      </c>
      <c r="V736" s="0" t="s">
        <v>228</v>
      </c>
      <c r="W736" s="0" t="s">
        <v>228</v>
      </c>
      <c r="X736" s="0" t="s">
        <v>5121</v>
      </c>
      <c r="Y736" s="0" t="s">
        <v>228</v>
      </c>
      <c r="Z736" s="0" t="s">
        <v>160</v>
      </c>
      <c r="AA736" s="0" t="s">
        <v>151</v>
      </c>
      <c r="AB736" s="0" t="s">
        <v>151</v>
      </c>
      <c r="AC736" s="0" t="s">
        <v>2715</v>
      </c>
      <c r="AD736" s="0" t="s">
        <v>2715</v>
      </c>
      <c r="AE736" s="0" t="s">
        <v>2716</v>
      </c>
      <c r="AF736" s="0" t="s">
        <v>3594</v>
      </c>
      <c r="AG736" s="0" t="s">
        <v>3595</v>
      </c>
      <c r="AH736" s="0" t="s">
        <v>5496</v>
      </c>
      <c r="AI736" s="0" t="s">
        <v>3608</v>
      </c>
      <c r="AJ736" s="0" t="s">
        <v>5497</v>
      </c>
      <c r="AK736" s="0" t="s">
        <v>3674</v>
      </c>
      <c r="AL736" s="0" t="s">
        <v>5125</v>
      </c>
      <c r="AN736" s="0" t="s">
        <v>5472</v>
      </c>
      <c r="AO736" s="0" t="s">
        <v>5473</v>
      </c>
      <c r="AP736" s="0" t="s">
        <v>228</v>
      </c>
      <c r="AQ736" s="0" t="s">
        <v>228</v>
      </c>
      <c r="AR736" s="0" t="s">
        <v>228</v>
      </c>
      <c r="AS736" s="0" t="s">
        <v>228</v>
      </c>
      <c r="AT736" s="0" t="s">
        <v>228</v>
      </c>
      <c r="AU736" s="0" t="s">
        <v>228</v>
      </c>
      <c r="AV736" s="0" t="s">
        <v>228</v>
      </c>
      <c r="AW736" s="0" t="s">
        <v>228</v>
      </c>
      <c r="AX736" s="0" t="s">
        <v>228</v>
      </c>
      <c r="AY736" s="0" t="s">
        <v>228</v>
      </c>
      <c r="AZ736" s="0" t="s">
        <v>228</v>
      </c>
      <c r="BA736" s="0" t="s">
        <v>228</v>
      </c>
      <c r="BB736" s="0" t="s">
        <v>228</v>
      </c>
      <c r="BC736" s="0" t="s">
        <v>228</v>
      </c>
      <c r="BD736" s="0" t="s">
        <v>228</v>
      </c>
      <c r="BE736" s="0" t="s">
        <v>228</v>
      </c>
      <c r="BF736" s="0" t="s">
        <v>228</v>
      </c>
      <c r="BG736" s="0" t="s">
        <v>228</v>
      </c>
      <c r="BH736" s="0" t="s">
        <v>228</v>
      </c>
      <c r="BI736" s="0" t="s">
        <v>228</v>
      </c>
      <c r="BJ736" s="0" t="s">
        <v>228</v>
      </c>
      <c r="BK736" s="0" t="s">
        <v>228</v>
      </c>
      <c r="BL736" s="0" t="s">
        <v>228</v>
      </c>
      <c r="BM736" s="0" t="s">
        <v>228</v>
      </c>
      <c r="BN736" s="0" t="s">
        <v>228</v>
      </c>
      <c r="BO736" s="0" t="s">
        <v>228</v>
      </c>
      <c r="BP736" s="0" t="s">
        <v>228</v>
      </c>
      <c r="BQ736" s="0" t="s">
        <v>228</v>
      </c>
      <c r="BR736" s="0" t="s">
        <v>228</v>
      </c>
      <c r="BS736" s="0" t="s">
        <v>228</v>
      </c>
      <c r="BT736" s="0" t="s">
        <v>228</v>
      </c>
      <c r="CS736" s="0" t="s">
        <v>228</v>
      </c>
      <c r="CT736" s="0" t="s">
        <v>3568</v>
      </c>
      <c r="CU736" s="0" t="s">
        <v>3569</v>
      </c>
      <c r="CV736" s="0" t="s">
        <v>418</v>
      </c>
      <c r="CW736" s="0" t="s">
        <v>3602</v>
      </c>
      <c r="CX736" s="0" t="s">
        <v>3603</v>
      </c>
      <c r="CY736" s="0" t="s">
        <v>418</v>
      </c>
      <c r="CZ736" s="0" t="s">
        <v>504</v>
      </c>
      <c r="DA736" s="0" t="s">
        <v>3604</v>
      </c>
      <c r="DB736" s="0" t="s">
        <v>3602</v>
      </c>
      <c r="DC736" s="0" t="s">
        <v>362</v>
      </c>
      <c r="DD736" s="0" t="s">
        <v>282</v>
      </c>
      <c r="DE736" s="0" t="s">
        <v>5498</v>
      </c>
    </row>
    <row customHeight="1" ht="11.25">
      <c r="A737" s="1353" t="s">
        <v>228</v>
      </c>
      <c r="B737" s="0" t="s">
        <v>228</v>
      </c>
      <c r="C737" s="0" t="s">
        <v>228</v>
      </c>
      <c r="D737" s="0" t="s">
        <v>228</v>
      </c>
      <c r="E737" s="0" t="s">
        <v>228</v>
      </c>
      <c r="F737" s="0" t="s">
        <v>228</v>
      </c>
      <c r="G737" s="0" t="s">
        <v>228</v>
      </c>
      <c r="H737" s="0" t="s">
        <v>228</v>
      </c>
      <c r="I737" s="0" t="s">
        <v>5119</v>
      </c>
      <c r="J737" s="0" t="s">
        <v>228</v>
      </c>
      <c r="K737" s="0" t="s">
        <v>228</v>
      </c>
      <c r="L737" s="0" t="s">
        <v>228</v>
      </c>
      <c r="M737" s="0" t="s">
        <v>228</v>
      </c>
      <c r="N737" s="0" t="s">
        <v>228</v>
      </c>
      <c r="O737" s="0" t="s">
        <v>228</v>
      </c>
      <c r="P737" s="0" t="s">
        <v>228</v>
      </c>
      <c r="Q737" s="0" t="s">
        <v>228</v>
      </c>
      <c r="R737" s="0" t="s">
        <v>5499</v>
      </c>
      <c r="S737" s="0" t="s">
        <v>228</v>
      </c>
      <c r="T737" s="0" t="s">
        <v>228</v>
      </c>
      <c r="U737" s="0" t="s">
        <v>101</v>
      </c>
      <c r="V737" s="0" t="s">
        <v>228</v>
      </c>
      <c r="W737" s="0" t="s">
        <v>228</v>
      </c>
      <c r="X737" s="0" t="s">
        <v>5121</v>
      </c>
      <c r="Y737" s="0" t="s">
        <v>228</v>
      </c>
      <c r="Z737" s="0" t="s">
        <v>160</v>
      </c>
      <c r="AA737" s="0" t="s">
        <v>151</v>
      </c>
      <c r="AB737" s="0" t="s">
        <v>151</v>
      </c>
      <c r="AC737" s="0" t="s">
        <v>2715</v>
      </c>
      <c r="AD737" s="0" t="s">
        <v>2715</v>
      </c>
      <c r="AE737" s="0" t="s">
        <v>2716</v>
      </c>
      <c r="AF737" s="0" t="s">
        <v>3594</v>
      </c>
      <c r="AG737" s="0" t="s">
        <v>3595</v>
      </c>
      <c r="AH737" s="0" t="s">
        <v>5500</v>
      </c>
      <c r="AI737" s="0" t="s">
        <v>5501</v>
      </c>
      <c r="AJ737" s="0" t="s">
        <v>5502</v>
      </c>
      <c r="AK737" s="0" t="s">
        <v>5503</v>
      </c>
      <c r="AL737" s="0" t="s">
        <v>5125</v>
      </c>
      <c r="AN737" s="0" t="s">
        <v>3675</v>
      </c>
      <c r="AO737" s="0" t="s">
        <v>5504</v>
      </c>
      <c r="AP737" s="0" t="s">
        <v>228</v>
      </c>
      <c r="AQ737" s="0" t="s">
        <v>228</v>
      </c>
      <c r="AR737" s="0" t="s">
        <v>228</v>
      </c>
      <c r="AS737" s="0" t="s">
        <v>228</v>
      </c>
      <c r="AT737" s="0" t="s">
        <v>228</v>
      </c>
      <c r="AU737" s="0" t="s">
        <v>228</v>
      </c>
      <c r="AV737" s="0" t="s">
        <v>228</v>
      </c>
      <c r="AW737" s="0" t="s">
        <v>228</v>
      </c>
      <c r="AX737" s="0" t="s">
        <v>228</v>
      </c>
      <c r="AY737" s="0" t="s">
        <v>228</v>
      </c>
      <c r="AZ737" s="0" t="s">
        <v>228</v>
      </c>
      <c r="BA737" s="0" t="s">
        <v>228</v>
      </c>
      <c r="BB737" s="0" t="s">
        <v>228</v>
      </c>
      <c r="BC737" s="0" t="s">
        <v>228</v>
      </c>
      <c r="BD737" s="0" t="s">
        <v>228</v>
      </c>
      <c r="BE737" s="0" t="s">
        <v>228</v>
      </c>
      <c r="BF737" s="0" t="s">
        <v>228</v>
      </c>
      <c r="BG737" s="0" t="s">
        <v>228</v>
      </c>
      <c r="BH737" s="0" t="s">
        <v>228</v>
      </c>
      <c r="BI737" s="0" t="s">
        <v>228</v>
      </c>
      <c r="BJ737" s="0" t="s">
        <v>228</v>
      </c>
      <c r="BK737" s="0" t="s">
        <v>228</v>
      </c>
      <c r="BL737" s="0" t="s">
        <v>228</v>
      </c>
      <c r="BM737" s="0" t="s">
        <v>228</v>
      </c>
      <c r="BN737" s="0" t="s">
        <v>228</v>
      </c>
      <c r="BO737" s="0" t="s">
        <v>228</v>
      </c>
      <c r="BP737" s="0" t="s">
        <v>228</v>
      </c>
      <c r="BQ737" s="0" t="s">
        <v>228</v>
      </c>
      <c r="BR737" s="0" t="s">
        <v>228</v>
      </c>
      <c r="BS737" s="0" t="s">
        <v>228</v>
      </c>
      <c r="BT737" s="0" t="s">
        <v>228</v>
      </c>
      <c r="CS737" s="0" t="s">
        <v>228</v>
      </c>
      <c r="CT737" s="0" t="s">
        <v>3568</v>
      </c>
      <c r="CU737" s="0" t="s">
        <v>3569</v>
      </c>
      <c r="CV737" s="0" t="s">
        <v>418</v>
      </c>
      <c r="CW737" s="0" t="s">
        <v>3602</v>
      </c>
      <c r="CX737" s="0" t="s">
        <v>3603</v>
      </c>
      <c r="CY737" s="0" t="s">
        <v>418</v>
      </c>
      <c r="CZ737" s="0" t="s">
        <v>504</v>
      </c>
      <c r="DA737" s="0" t="s">
        <v>3604</v>
      </c>
      <c r="DB737" s="0" t="s">
        <v>3602</v>
      </c>
      <c r="DC737" s="0" t="s">
        <v>362</v>
      </c>
      <c r="DD737" s="0" t="s">
        <v>282</v>
      </c>
      <c r="DE737" s="0" t="s">
        <v>5505</v>
      </c>
    </row>
    <row customHeight="1" ht="11.25">
      <c r="A738" s="1353" t="s">
        <v>228</v>
      </c>
      <c r="B738" s="0" t="s">
        <v>228</v>
      </c>
      <c r="C738" s="0" t="s">
        <v>228</v>
      </c>
      <c r="D738" s="0" t="s">
        <v>228</v>
      </c>
      <c r="E738" s="0" t="s">
        <v>228</v>
      </c>
      <c r="F738" s="0" t="s">
        <v>228</v>
      </c>
      <c r="G738" s="0" t="s">
        <v>228</v>
      </c>
      <c r="H738" s="0" t="s">
        <v>228</v>
      </c>
      <c r="I738" s="0" t="s">
        <v>5119</v>
      </c>
      <c r="J738" s="0" t="s">
        <v>228</v>
      </c>
      <c r="K738" s="0" t="s">
        <v>228</v>
      </c>
      <c r="L738" s="0" t="s">
        <v>228</v>
      </c>
      <c r="M738" s="0" t="s">
        <v>228</v>
      </c>
      <c r="N738" s="0" t="s">
        <v>228</v>
      </c>
      <c r="O738" s="0" t="s">
        <v>228</v>
      </c>
      <c r="P738" s="0" t="s">
        <v>228</v>
      </c>
      <c r="Q738" s="0" t="s">
        <v>228</v>
      </c>
      <c r="R738" s="0" t="s">
        <v>5506</v>
      </c>
      <c r="S738" s="0" t="s">
        <v>228</v>
      </c>
      <c r="T738" s="0" t="s">
        <v>228</v>
      </c>
      <c r="U738" s="0" t="s">
        <v>101</v>
      </c>
      <c r="V738" s="0" t="s">
        <v>228</v>
      </c>
      <c r="W738" s="0" t="s">
        <v>228</v>
      </c>
      <c r="X738" s="0" t="s">
        <v>3988</v>
      </c>
      <c r="Y738" s="0" t="s">
        <v>228</v>
      </c>
      <c r="Z738" s="0" t="s">
        <v>151</v>
      </c>
      <c r="AA738" s="0" t="s">
        <v>160</v>
      </c>
      <c r="AB738" s="0" t="s">
        <v>151</v>
      </c>
      <c r="AC738" s="0" t="s">
        <v>2290</v>
      </c>
      <c r="AD738" s="0" t="s">
        <v>2290</v>
      </c>
      <c r="AE738" s="0" t="s">
        <v>2292</v>
      </c>
      <c r="AF738" s="0" t="s">
        <v>3558</v>
      </c>
      <c r="AG738" s="0" t="s">
        <v>3559</v>
      </c>
      <c r="AH738" s="0" t="s">
        <v>5479</v>
      </c>
      <c r="AI738" s="0" t="s">
        <v>5507</v>
      </c>
      <c r="AJ738" s="0" t="s">
        <v>228</v>
      </c>
      <c r="AK738" s="0" t="s">
        <v>228</v>
      </c>
      <c r="AL738" s="0" t="s">
        <v>228</v>
      </c>
      <c r="AN738" s="0" t="s">
        <v>228</v>
      </c>
      <c r="AO738" s="0" t="s">
        <v>228</v>
      </c>
      <c r="AP738" s="0" t="s">
        <v>5508</v>
      </c>
      <c r="AQ738" s="0" t="s">
        <v>5173</v>
      </c>
      <c r="AR738" s="0" t="s">
        <v>111</v>
      </c>
      <c r="AS738" s="0" t="s">
        <v>3665</v>
      </c>
      <c r="AT738" s="0" t="s">
        <v>122</v>
      </c>
      <c r="AU738" s="0" t="s">
        <v>228</v>
      </c>
      <c r="AV738" s="0" t="s">
        <v>5439</v>
      </c>
      <c r="AW738" s="0" t="s">
        <v>2290</v>
      </c>
      <c r="AX738" s="0" t="s">
        <v>2290</v>
      </c>
      <c r="AY738" s="0" t="s">
        <v>4917</v>
      </c>
      <c r="AZ738" s="0" t="s">
        <v>3558</v>
      </c>
      <c r="BA738" s="0" t="s">
        <v>5175</v>
      </c>
      <c r="BB738" s="0" t="s">
        <v>5479</v>
      </c>
      <c r="BC738" s="0" t="s">
        <v>5507</v>
      </c>
      <c r="BD738" s="0" t="s">
        <v>3566</v>
      </c>
      <c r="BE738" s="0" t="s">
        <v>228</v>
      </c>
      <c r="BF738" s="0" t="s">
        <v>228</v>
      </c>
      <c r="BG738" s="0" t="s">
        <v>228</v>
      </c>
      <c r="BH738" s="0" t="s">
        <v>228</v>
      </c>
      <c r="BI738" s="0" t="s">
        <v>228</v>
      </c>
      <c r="BJ738" s="0" t="s">
        <v>228</v>
      </c>
      <c r="BK738" s="0" t="s">
        <v>228</v>
      </c>
      <c r="BL738" s="0" t="s">
        <v>228</v>
      </c>
      <c r="BM738" s="0" t="s">
        <v>228</v>
      </c>
      <c r="BN738" s="0" t="s">
        <v>228</v>
      </c>
      <c r="BO738" s="0" t="s">
        <v>228</v>
      </c>
      <c r="BP738" s="0" t="s">
        <v>228</v>
      </c>
      <c r="BQ738" s="0" t="s">
        <v>228</v>
      </c>
      <c r="BR738" s="0" t="s">
        <v>228</v>
      </c>
      <c r="BS738" s="0" t="s">
        <v>228</v>
      </c>
      <c r="BT738" s="0" t="s">
        <v>228</v>
      </c>
      <c r="CS738" s="0" t="s">
        <v>228</v>
      </c>
      <c r="CT738" s="0" t="s">
        <v>3568</v>
      </c>
      <c r="CU738" s="0" t="s">
        <v>3569</v>
      </c>
      <c r="CV738" s="0" t="s">
        <v>418</v>
      </c>
      <c r="CW738" s="0" t="s">
        <v>3570</v>
      </c>
      <c r="CX738" s="0" t="s">
        <v>419</v>
      </c>
      <c r="CY738" s="0" t="s">
        <v>418</v>
      </c>
      <c r="CZ738" s="0" t="s">
        <v>3571</v>
      </c>
      <c r="DA738" s="0" t="s">
        <v>420</v>
      </c>
      <c r="DB738" s="0" t="s">
        <v>3570</v>
      </c>
      <c r="DC738" s="0" t="s">
        <v>362</v>
      </c>
      <c r="DD738" s="0" t="s">
        <v>282</v>
      </c>
      <c r="DE738" s="0" t="s">
        <v>5509</v>
      </c>
    </row>
    <row customHeight="1" ht="11.25">
      <c r="A739" s="1353" t="s">
        <v>228</v>
      </c>
      <c r="B739" s="0" t="s">
        <v>228</v>
      </c>
      <c r="C739" s="0" t="s">
        <v>228</v>
      </c>
      <c r="D739" s="0" t="s">
        <v>228</v>
      </c>
      <c r="E739" s="0" t="s">
        <v>228</v>
      </c>
      <c r="F739" s="0" t="s">
        <v>228</v>
      </c>
      <c r="G739" s="0" t="s">
        <v>228</v>
      </c>
      <c r="H739" s="0" t="s">
        <v>228</v>
      </c>
      <c r="I739" s="0" t="s">
        <v>5119</v>
      </c>
      <c r="J739" s="0" t="s">
        <v>228</v>
      </c>
      <c r="K739" s="0" t="s">
        <v>228</v>
      </c>
      <c r="L739" s="0" t="s">
        <v>228</v>
      </c>
      <c r="M739" s="0" t="s">
        <v>228</v>
      </c>
      <c r="N739" s="0" t="s">
        <v>228</v>
      </c>
      <c r="O739" s="0" t="s">
        <v>228</v>
      </c>
      <c r="P739" s="0" t="s">
        <v>228</v>
      </c>
      <c r="Q739" s="0" t="s">
        <v>228</v>
      </c>
      <c r="R739" s="0" t="s">
        <v>5510</v>
      </c>
      <c r="S739" s="0" t="s">
        <v>228</v>
      </c>
      <c r="T739" s="0" t="s">
        <v>228</v>
      </c>
      <c r="U739" s="0" t="s">
        <v>101</v>
      </c>
      <c r="V739" s="0" t="s">
        <v>228</v>
      </c>
      <c r="W739" s="0" t="s">
        <v>228</v>
      </c>
      <c r="X739" s="0" t="s">
        <v>3988</v>
      </c>
      <c r="Y739" s="0" t="s">
        <v>228</v>
      </c>
      <c r="Z739" s="0" t="s">
        <v>151</v>
      </c>
      <c r="AA739" s="0" t="s">
        <v>160</v>
      </c>
      <c r="AB739" s="0" t="s">
        <v>151</v>
      </c>
      <c r="AC739" s="0" t="s">
        <v>2290</v>
      </c>
      <c r="AD739" s="0" t="s">
        <v>2290</v>
      </c>
      <c r="AE739" s="0" t="s">
        <v>2292</v>
      </c>
      <c r="AF739" s="0" t="s">
        <v>3558</v>
      </c>
      <c r="AG739" s="0" t="s">
        <v>3559</v>
      </c>
      <c r="AH739" s="0" t="s">
        <v>5511</v>
      </c>
      <c r="AI739" s="0" t="s">
        <v>5512</v>
      </c>
      <c r="AJ739" s="0" t="s">
        <v>228</v>
      </c>
      <c r="AK739" s="0" t="s">
        <v>228</v>
      </c>
      <c r="AL739" s="0" t="s">
        <v>228</v>
      </c>
      <c r="AN739" s="0" t="s">
        <v>228</v>
      </c>
      <c r="AO739" s="0" t="s">
        <v>228</v>
      </c>
      <c r="AP739" s="0" t="s">
        <v>4993</v>
      </c>
      <c r="AQ739" s="0" t="s">
        <v>5513</v>
      </c>
      <c r="AR739" s="0" t="s">
        <v>111</v>
      </c>
      <c r="AS739" s="0" t="s">
        <v>3665</v>
      </c>
      <c r="AT739" s="0" t="s">
        <v>122</v>
      </c>
      <c r="AU739" s="0" t="s">
        <v>228</v>
      </c>
      <c r="AV739" s="0" t="s">
        <v>5439</v>
      </c>
      <c r="AW739" s="0" t="s">
        <v>2290</v>
      </c>
      <c r="AX739" s="0" t="s">
        <v>2290</v>
      </c>
      <c r="AY739" s="0" t="s">
        <v>4917</v>
      </c>
      <c r="AZ739" s="0" t="s">
        <v>4453</v>
      </c>
      <c r="BA739" s="0" t="s">
        <v>5514</v>
      </c>
      <c r="BB739" s="0" t="s">
        <v>4455</v>
      </c>
      <c r="BC739" s="0" t="s">
        <v>3608</v>
      </c>
      <c r="BD739" s="0" t="s">
        <v>3566</v>
      </c>
      <c r="BE739" s="0" t="s">
        <v>228</v>
      </c>
      <c r="BF739" s="0" t="s">
        <v>228</v>
      </c>
      <c r="BG739" s="0" t="s">
        <v>228</v>
      </c>
      <c r="BH739" s="0" t="s">
        <v>228</v>
      </c>
      <c r="BI739" s="0" t="s">
        <v>228</v>
      </c>
      <c r="BJ739" s="0" t="s">
        <v>228</v>
      </c>
      <c r="BK739" s="0" t="s">
        <v>228</v>
      </c>
      <c r="BL739" s="0" t="s">
        <v>228</v>
      </c>
      <c r="BM739" s="0" t="s">
        <v>228</v>
      </c>
      <c r="BN739" s="0" t="s">
        <v>228</v>
      </c>
      <c r="BO739" s="0" t="s">
        <v>228</v>
      </c>
      <c r="BP739" s="0" t="s">
        <v>228</v>
      </c>
      <c r="BQ739" s="0" t="s">
        <v>228</v>
      </c>
      <c r="BR739" s="0" t="s">
        <v>228</v>
      </c>
      <c r="BS739" s="0" t="s">
        <v>228</v>
      </c>
      <c r="BT739" s="0" t="s">
        <v>228</v>
      </c>
      <c r="CS739" s="0" t="s">
        <v>228</v>
      </c>
      <c r="CT739" s="0" t="s">
        <v>3568</v>
      </c>
      <c r="CU739" s="0" t="s">
        <v>3569</v>
      </c>
      <c r="CV739" s="0" t="s">
        <v>418</v>
      </c>
      <c r="CW739" s="0" t="s">
        <v>3570</v>
      </c>
      <c r="CX739" s="0" t="s">
        <v>419</v>
      </c>
      <c r="CY739" s="0" t="s">
        <v>418</v>
      </c>
      <c r="CZ739" s="0" t="s">
        <v>3571</v>
      </c>
      <c r="DA739" s="0" t="s">
        <v>420</v>
      </c>
      <c r="DB739" s="0" t="s">
        <v>3570</v>
      </c>
      <c r="DC739" s="0" t="s">
        <v>362</v>
      </c>
      <c r="DD739" s="0" t="s">
        <v>282</v>
      </c>
      <c r="DE739" s="0" t="s">
        <v>5515</v>
      </c>
    </row>
    <row customHeight="1" ht="11.25">
      <c r="A740" s="1353" t="s">
        <v>228</v>
      </c>
      <c r="B740" s="0" t="s">
        <v>228</v>
      </c>
      <c r="C740" s="0" t="s">
        <v>228</v>
      </c>
      <c r="D740" s="0" t="s">
        <v>228</v>
      </c>
      <c r="E740" s="0" t="s">
        <v>228</v>
      </c>
      <c r="F740" s="0" t="s">
        <v>228</v>
      </c>
      <c r="G740" s="0" t="s">
        <v>228</v>
      </c>
      <c r="H740" s="0" t="s">
        <v>228</v>
      </c>
      <c r="I740" s="0" t="s">
        <v>5119</v>
      </c>
      <c r="J740" s="0" t="s">
        <v>228</v>
      </c>
      <c r="K740" s="0" t="s">
        <v>228</v>
      </c>
      <c r="L740" s="0" t="s">
        <v>228</v>
      </c>
      <c r="M740" s="0" t="s">
        <v>228</v>
      </c>
      <c r="N740" s="0" t="s">
        <v>228</v>
      </c>
      <c r="O740" s="0" t="s">
        <v>228</v>
      </c>
      <c r="P740" s="0" t="s">
        <v>228</v>
      </c>
      <c r="Q740" s="0" t="s">
        <v>228</v>
      </c>
      <c r="R740" s="0" t="s">
        <v>5516</v>
      </c>
      <c r="S740" s="0" t="s">
        <v>228</v>
      </c>
      <c r="T740" s="0" t="s">
        <v>228</v>
      </c>
      <c r="U740" s="0" t="s">
        <v>101</v>
      </c>
      <c r="V740" s="0" t="s">
        <v>228</v>
      </c>
      <c r="W740" s="0" t="s">
        <v>228</v>
      </c>
      <c r="X740" s="0" t="s">
        <v>3661</v>
      </c>
      <c r="Y740" s="0" t="s">
        <v>228</v>
      </c>
      <c r="Z740" s="0" t="s">
        <v>151</v>
      </c>
      <c r="AA740" s="0" t="s">
        <v>151</v>
      </c>
      <c r="AB740" s="0" t="s">
        <v>160</v>
      </c>
      <c r="AC740" s="0" t="s">
        <v>2317</v>
      </c>
      <c r="AD740" s="0" t="s">
        <v>2317</v>
      </c>
      <c r="AE740" s="0" t="s">
        <v>2318</v>
      </c>
      <c r="AF740" s="0" t="s">
        <v>4401</v>
      </c>
      <c r="AG740" s="0" t="s">
        <v>4402</v>
      </c>
      <c r="AH740" s="0" t="s">
        <v>3651</v>
      </c>
      <c r="AI740" s="0" t="s">
        <v>3651</v>
      </c>
      <c r="AJ740" s="0" t="s">
        <v>228</v>
      </c>
      <c r="AK740" s="0" t="s">
        <v>228</v>
      </c>
      <c r="AL740" s="0" t="s">
        <v>228</v>
      </c>
      <c r="AN740" s="0" t="s">
        <v>228</v>
      </c>
      <c r="AO740" s="0" t="s">
        <v>228</v>
      </c>
      <c r="AP740" s="0" t="s">
        <v>228</v>
      </c>
      <c r="AQ740" s="0" t="s">
        <v>228</v>
      </c>
      <c r="AR740" s="0" t="s">
        <v>228</v>
      </c>
      <c r="AS740" s="0" t="s">
        <v>228</v>
      </c>
      <c r="AT740" s="0" t="s">
        <v>228</v>
      </c>
      <c r="AU740" s="0" t="s">
        <v>228</v>
      </c>
      <c r="AV740" s="0" t="s">
        <v>228</v>
      </c>
      <c r="AW740" s="0" t="s">
        <v>228</v>
      </c>
      <c r="AX740" s="0" t="s">
        <v>228</v>
      </c>
      <c r="AY740" s="0" t="s">
        <v>228</v>
      </c>
      <c r="AZ740" s="0" t="s">
        <v>228</v>
      </c>
      <c r="BA740" s="0" t="s">
        <v>228</v>
      </c>
      <c r="BB740" s="0" t="s">
        <v>228</v>
      </c>
      <c r="BC740" s="0" t="s">
        <v>228</v>
      </c>
      <c r="BD740" s="0" t="s">
        <v>228</v>
      </c>
      <c r="BE740" s="0" t="s">
        <v>3853</v>
      </c>
      <c r="BF740" s="0" t="s">
        <v>3619</v>
      </c>
      <c r="BG740" s="0" t="s">
        <v>111</v>
      </c>
      <c r="BH740" s="0" t="s">
        <v>3665</v>
      </c>
      <c r="BI740" s="0" t="s">
        <v>122</v>
      </c>
      <c r="BJ740" s="0" t="s">
        <v>228</v>
      </c>
      <c r="BK740" s="0" t="s">
        <v>228</v>
      </c>
      <c r="BL740" s="0" t="s">
        <v>2317</v>
      </c>
      <c r="BM740" s="0" t="s">
        <v>2317</v>
      </c>
      <c r="BN740" s="0" t="s">
        <v>3740</v>
      </c>
      <c r="BO740" s="0" t="s">
        <v>4401</v>
      </c>
      <c r="BP740" s="0" t="s">
        <v>4660</v>
      </c>
      <c r="BQ740" s="0" t="s">
        <v>3651</v>
      </c>
      <c r="BR740" s="0" t="s">
        <v>3651</v>
      </c>
      <c r="BS740" s="0" t="s">
        <v>228</v>
      </c>
      <c r="BT740" s="0" t="s">
        <v>3727</v>
      </c>
      <c r="CS740" s="0" t="s">
        <v>5243</v>
      </c>
      <c r="CT740" s="0" t="s">
        <v>3568</v>
      </c>
      <c r="CU740" s="0" t="s">
        <v>3569</v>
      </c>
      <c r="CV740" s="0" t="s">
        <v>418</v>
      </c>
      <c r="CW740" s="0" t="s">
        <v>3622</v>
      </c>
      <c r="CX740" s="0" t="s">
        <v>419</v>
      </c>
      <c r="CY740" s="0" t="s">
        <v>418</v>
      </c>
      <c r="CZ740" s="0" t="s">
        <v>3623</v>
      </c>
      <c r="DA740" s="0" t="s">
        <v>3624</v>
      </c>
      <c r="DB740" s="0" t="s">
        <v>3622</v>
      </c>
      <c r="DC740" s="0" t="s">
        <v>362</v>
      </c>
      <c r="DD740" s="0" t="s">
        <v>282</v>
      </c>
      <c r="DE740" s="0" t="s">
        <v>4662</v>
      </c>
    </row>
    <row customHeight="1" ht="11.25">
      <c r="A741" s="1353" t="s">
        <v>228</v>
      </c>
      <c r="B741" s="0" t="s">
        <v>228</v>
      </c>
      <c r="C741" s="0" t="s">
        <v>228</v>
      </c>
      <c r="D741" s="0" t="s">
        <v>228</v>
      </c>
      <c r="E741" s="0" t="s">
        <v>228</v>
      </c>
      <c r="F741" s="0" t="s">
        <v>228</v>
      </c>
      <c r="G741" s="0" t="s">
        <v>228</v>
      </c>
      <c r="H741" s="0" t="s">
        <v>228</v>
      </c>
      <c r="I741" s="0" t="s">
        <v>5119</v>
      </c>
      <c r="J741" s="0" t="s">
        <v>228</v>
      </c>
      <c r="K741" s="0" t="s">
        <v>228</v>
      </c>
      <c r="L741" s="0" t="s">
        <v>228</v>
      </c>
      <c r="M741" s="0" t="s">
        <v>228</v>
      </c>
      <c r="N741" s="0" t="s">
        <v>228</v>
      </c>
      <c r="O741" s="0" t="s">
        <v>228</v>
      </c>
      <c r="P741" s="0" t="s">
        <v>228</v>
      </c>
      <c r="Q741" s="0" t="s">
        <v>228</v>
      </c>
      <c r="R741" s="0" t="s">
        <v>5517</v>
      </c>
      <c r="S741" s="0" t="s">
        <v>228</v>
      </c>
      <c r="T741" s="0" t="s">
        <v>228</v>
      </c>
      <c r="U741" s="0" t="s">
        <v>101</v>
      </c>
      <c r="V741" s="0" t="s">
        <v>228</v>
      </c>
      <c r="W741" s="0" t="s">
        <v>228</v>
      </c>
      <c r="X741" s="0" t="s">
        <v>3661</v>
      </c>
      <c r="Y741" s="0" t="s">
        <v>228</v>
      </c>
      <c r="Z741" s="0" t="s">
        <v>151</v>
      </c>
      <c r="AA741" s="0" t="s">
        <v>151</v>
      </c>
      <c r="AB741" s="0" t="s">
        <v>160</v>
      </c>
      <c r="AC741" s="0" t="s">
        <v>2317</v>
      </c>
      <c r="AD741" s="0" t="s">
        <v>2317</v>
      </c>
      <c r="AE741" s="0" t="s">
        <v>2318</v>
      </c>
      <c r="AF741" s="0" t="s">
        <v>3849</v>
      </c>
      <c r="AG741" s="0" t="s">
        <v>3850</v>
      </c>
      <c r="AH741" s="0" t="s">
        <v>3651</v>
      </c>
      <c r="AI741" s="0" t="s">
        <v>3651</v>
      </c>
      <c r="AJ741" s="0" t="s">
        <v>228</v>
      </c>
      <c r="AK741" s="0" t="s">
        <v>228</v>
      </c>
      <c r="AL741" s="0" t="s">
        <v>228</v>
      </c>
      <c r="AN741" s="0" t="s">
        <v>228</v>
      </c>
      <c r="AO741" s="0" t="s">
        <v>228</v>
      </c>
      <c r="AP741" s="0" t="s">
        <v>228</v>
      </c>
      <c r="AQ741" s="0" t="s">
        <v>228</v>
      </c>
      <c r="AR741" s="0" t="s">
        <v>228</v>
      </c>
      <c r="AS741" s="0" t="s">
        <v>228</v>
      </c>
      <c r="AT741" s="0" t="s">
        <v>228</v>
      </c>
      <c r="AU741" s="0" t="s">
        <v>228</v>
      </c>
      <c r="AV741" s="0" t="s">
        <v>228</v>
      </c>
      <c r="AW741" s="0" t="s">
        <v>228</v>
      </c>
      <c r="AX741" s="0" t="s">
        <v>228</v>
      </c>
      <c r="AY741" s="0" t="s">
        <v>228</v>
      </c>
      <c r="AZ741" s="0" t="s">
        <v>228</v>
      </c>
      <c r="BA741" s="0" t="s">
        <v>228</v>
      </c>
      <c r="BB741" s="0" t="s">
        <v>228</v>
      </c>
      <c r="BC741" s="0" t="s">
        <v>228</v>
      </c>
      <c r="BD741" s="0" t="s">
        <v>228</v>
      </c>
      <c r="BE741" s="0" t="s">
        <v>5458</v>
      </c>
      <c r="BF741" s="0" t="s">
        <v>3833</v>
      </c>
      <c r="BG741" s="0" t="s">
        <v>111</v>
      </c>
      <c r="BH741" s="0" t="s">
        <v>3665</v>
      </c>
      <c r="BI741" s="0" t="s">
        <v>122</v>
      </c>
      <c r="BJ741" s="0" t="s">
        <v>228</v>
      </c>
      <c r="BK741" s="0" t="s">
        <v>228</v>
      </c>
      <c r="BL741" s="0" t="s">
        <v>2317</v>
      </c>
      <c r="BM741" s="0" t="s">
        <v>2317</v>
      </c>
      <c r="BN741" s="0" t="s">
        <v>3740</v>
      </c>
      <c r="BO741" s="0" t="s">
        <v>3849</v>
      </c>
      <c r="BP741" s="0" t="s">
        <v>4234</v>
      </c>
      <c r="BQ741" s="0" t="s">
        <v>3651</v>
      </c>
      <c r="BR741" s="0" t="s">
        <v>3651</v>
      </c>
      <c r="BS741" s="0" t="s">
        <v>228</v>
      </c>
      <c r="BT741" s="0" t="s">
        <v>3727</v>
      </c>
      <c r="CS741" s="0" t="s">
        <v>5243</v>
      </c>
      <c r="CT741" s="0" t="s">
        <v>3568</v>
      </c>
      <c r="CU741" s="0" t="s">
        <v>3569</v>
      </c>
      <c r="CV741" s="0" t="s">
        <v>418</v>
      </c>
      <c r="CW741" s="0" t="s">
        <v>3622</v>
      </c>
      <c r="CX741" s="0" t="s">
        <v>419</v>
      </c>
      <c r="CY741" s="0" t="s">
        <v>418</v>
      </c>
      <c r="CZ741" s="0" t="s">
        <v>3623</v>
      </c>
      <c r="DA741" s="0" t="s">
        <v>3624</v>
      </c>
      <c r="DB741" s="0" t="s">
        <v>3622</v>
      </c>
      <c r="DC741" s="0" t="s">
        <v>362</v>
      </c>
      <c r="DD741" s="0" t="s">
        <v>282</v>
      </c>
      <c r="DE741" s="0" t="s">
        <v>4236</v>
      </c>
    </row>
    <row customHeight="1" ht="11.25">
      <c r="A742" s="1353" t="s">
        <v>228</v>
      </c>
      <c r="B742" s="0" t="s">
        <v>228</v>
      </c>
      <c r="C742" s="0" t="s">
        <v>228</v>
      </c>
      <c r="D742" s="0" t="s">
        <v>228</v>
      </c>
      <c r="E742" s="0" t="s">
        <v>228</v>
      </c>
      <c r="F742" s="0" t="s">
        <v>228</v>
      </c>
      <c r="G742" s="0" t="s">
        <v>228</v>
      </c>
      <c r="H742" s="0" t="s">
        <v>228</v>
      </c>
      <c r="I742" s="0" t="s">
        <v>5119</v>
      </c>
      <c r="J742" s="0" t="s">
        <v>228</v>
      </c>
      <c r="K742" s="0" t="s">
        <v>228</v>
      </c>
      <c r="L742" s="0" t="s">
        <v>228</v>
      </c>
      <c r="M742" s="0" t="s">
        <v>228</v>
      </c>
      <c r="N742" s="0" t="s">
        <v>228</v>
      </c>
      <c r="O742" s="0" t="s">
        <v>228</v>
      </c>
      <c r="P742" s="0" t="s">
        <v>228</v>
      </c>
      <c r="Q742" s="0" t="s">
        <v>228</v>
      </c>
      <c r="R742" s="0" t="s">
        <v>5518</v>
      </c>
      <c r="S742" s="0" t="s">
        <v>228</v>
      </c>
      <c r="T742" s="0" t="s">
        <v>228</v>
      </c>
      <c r="U742" s="0" t="s">
        <v>101</v>
      </c>
      <c r="V742" s="0" t="s">
        <v>228</v>
      </c>
      <c r="W742" s="0" t="s">
        <v>228</v>
      </c>
      <c r="X742" s="0" t="s">
        <v>5121</v>
      </c>
      <c r="Y742" s="0" t="s">
        <v>228</v>
      </c>
      <c r="Z742" s="0" t="s">
        <v>160</v>
      </c>
      <c r="AA742" s="0" t="s">
        <v>151</v>
      </c>
      <c r="AB742" s="0" t="s">
        <v>151</v>
      </c>
      <c r="AC742" s="0" t="s">
        <v>2715</v>
      </c>
      <c r="AD742" s="0" t="s">
        <v>2715</v>
      </c>
      <c r="AE742" s="0" t="s">
        <v>2716</v>
      </c>
      <c r="AF742" s="0" t="s">
        <v>3594</v>
      </c>
      <c r="AG742" s="0" t="s">
        <v>3595</v>
      </c>
      <c r="AH742" s="0" t="s">
        <v>5157</v>
      </c>
      <c r="AI742" s="0" t="s">
        <v>3608</v>
      </c>
      <c r="AJ742" s="0" t="s">
        <v>5168</v>
      </c>
      <c r="AK742" s="0" t="s">
        <v>5519</v>
      </c>
      <c r="AL742" s="0" t="s">
        <v>5144</v>
      </c>
      <c r="AN742" s="0" t="s">
        <v>4563</v>
      </c>
      <c r="AO742" s="0" t="s">
        <v>5170</v>
      </c>
      <c r="AP742" s="0" t="s">
        <v>228</v>
      </c>
      <c r="AQ742" s="0" t="s">
        <v>228</v>
      </c>
      <c r="AR742" s="0" t="s">
        <v>228</v>
      </c>
      <c r="AS742" s="0" t="s">
        <v>228</v>
      </c>
      <c r="AT742" s="0" t="s">
        <v>228</v>
      </c>
      <c r="AU742" s="0" t="s">
        <v>228</v>
      </c>
      <c r="AV742" s="0" t="s">
        <v>228</v>
      </c>
      <c r="AW742" s="0" t="s">
        <v>228</v>
      </c>
      <c r="AX742" s="0" t="s">
        <v>228</v>
      </c>
      <c r="AY742" s="0" t="s">
        <v>228</v>
      </c>
      <c r="AZ742" s="0" t="s">
        <v>228</v>
      </c>
      <c r="BA742" s="0" t="s">
        <v>228</v>
      </c>
      <c r="BB742" s="0" t="s">
        <v>228</v>
      </c>
      <c r="BC742" s="0" t="s">
        <v>228</v>
      </c>
      <c r="BD742" s="0" t="s">
        <v>228</v>
      </c>
      <c r="BE742" s="0" t="s">
        <v>228</v>
      </c>
      <c r="BF742" s="0" t="s">
        <v>228</v>
      </c>
      <c r="BG742" s="0" t="s">
        <v>228</v>
      </c>
      <c r="BH742" s="0" t="s">
        <v>228</v>
      </c>
      <c r="BI742" s="0" t="s">
        <v>228</v>
      </c>
      <c r="BJ742" s="0" t="s">
        <v>228</v>
      </c>
      <c r="BK742" s="0" t="s">
        <v>228</v>
      </c>
      <c r="BL742" s="0" t="s">
        <v>228</v>
      </c>
      <c r="BM742" s="0" t="s">
        <v>228</v>
      </c>
      <c r="BN742" s="0" t="s">
        <v>228</v>
      </c>
      <c r="BO742" s="0" t="s">
        <v>228</v>
      </c>
      <c r="BP742" s="0" t="s">
        <v>228</v>
      </c>
      <c r="BQ742" s="0" t="s">
        <v>228</v>
      </c>
      <c r="BR742" s="0" t="s">
        <v>228</v>
      </c>
      <c r="BS742" s="0" t="s">
        <v>228</v>
      </c>
      <c r="BT742" s="0" t="s">
        <v>228</v>
      </c>
      <c r="CS742" s="0" t="s">
        <v>228</v>
      </c>
      <c r="CT742" s="0" t="s">
        <v>3568</v>
      </c>
      <c r="CU742" s="0" t="s">
        <v>3569</v>
      </c>
      <c r="CV742" s="0" t="s">
        <v>418</v>
      </c>
      <c r="CW742" s="0" t="s">
        <v>3602</v>
      </c>
      <c r="CX742" s="0" t="s">
        <v>419</v>
      </c>
      <c r="CY742" s="0" t="s">
        <v>418</v>
      </c>
      <c r="CZ742" s="0" t="s">
        <v>504</v>
      </c>
      <c r="DA742" s="0" t="s">
        <v>3604</v>
      </c>
      <c r="DB742" s="0" t="s">
        <v>3602</v>
      </c>
      <c r="DC742" s="0" t="s">
        <v>362</v>
      </c>
      <c r="DD742" s="0" t="s">
        <v>282</v>
      </c>
      <c r="DE742" s="0" t="s">
        <v>5161</v>
      </c>
    </row>
    <row customHeight="1" ht="11.25">
      <c r="A743" s="1353" t="s">
        <v>228</v>
      </c>
      <c r="B743" s="0" t="s">
        <v>228</v>
      </c>
      <c r="C743" s="0" t="s">
        <v>228</v>
      </c>
      <c r="D743" s="0" t="s">
        <v>228</v>
      </c>
      <c r="E743" s="0" t="s">
        <v>228</v>
      </c>
      <c r="F743" s="0" t="s">
        <v>228</v>
      </c>
      <c r="G743" s="0" t="s">
        <v>228</v>
      </c>
      <c r="H743" s="0" t="s">
        <v>228</v>
      </c>
      <c r="I743" s="0" t="s">
        <v>5119</v>
      </c>
      <c r="J743" s="0" t="s">
        <v>228</v>
      </c>
      <c r="K743" s="0" t="s">
        <v>228</v>
      </c>
      <c r="L743" s="0" t="s">
        <v>228</v>
      </c>
      <c r="M743" s="0" t="s">
        <v>228</v>
      </c>
      <c r="N743" s="0" t="s">
        <v>228</v>
      </c>
      <c r="O743" s="0" t="s">
        <v>228</v>
      </c>
      <c r="P743" s="0" t="s">
        <v>228</v>
      </c>
      <c r="Q743" s="0" t="s">
        <v>228</v>
      </c>
      <c r="R743" s="0" t="s">
        <v>5520</v>
      </c>
      <c r="S743" s="0" t="s">
        <v>228</v>
      </c>
      <c r="T743" s="0" t="s">
        <v>228</v>
      </c>
      <c r="U743" s="0" t="s">
        <v>101</v>
      </c>
      <c r="V743" s="0" t="s">
        <v>228</v>
      </c>
      <c r="W743" s="0" t="s">
        <v>228</v>
      </c>
      <c r="X743" s="0" t="s">
        <v>5121</v>
      </c>
      <c r="Y743" s="0" t="s">
        <v>228</v>
      </c>
      <c r="Z743" s="0" t="s">
        <v>160</v>
      </c>
      <c r="AA743" s="0" t="s">
        <v>151</v>
      </c>
      <c r="AB743" s="0" t="s">
        <v>151</v>
      </c>
      <c r="AC743" s="0" t="s">
        <v>2315</v>
      </c>
      <c r="AD743" s="0" t="s">
        <v>2315</v>
      </c>
      <c r="AE743" s="0" t="s">
        <v>2316</v>
      </c>
      <c r="AF743" s="0" t="s">
        <v>4058</v>
      </c>
      <c r="AG743" s="0" t="s">
        <v>4059</v>
      </c>
      <c r="AH743" s="0" t="s">
        <v>3693</v>
      </c>
      <c r="AI743" s="0" t="s">
        <v>3651</v>
      </c>
      <c r="AJ743" s="0" t="s">
        <v>5250</v>
      </c>
      <c r="AK743" s="0" t="s">
        <v>5521</v>
      </c>
      <c r="AL743" s="0" t="s">
        <v>5125</v>
      </c>
      <c r="AN743" s="0" t="s">
        <v>3563</v>
      </c>
      <c r="AO743" s="0" t="s">
        <v>5275</v>
      </c>
      <c r="AP743" s="0" t="s">
        <v>228</v>
      </c>
      <c r="AQ743" s="0" t="s">
        <v>228</v>
      </c>
      <c r="AR743" s="0" t="s">
        <v>228</v>
      </c>
      <c r="AS743" s="0" t="s">
        <v>228</v>
      </c>
      <c r="AT743" s="0" t="s">
        <v>228</v>
      </c>
      <c r="AU743" s="0" t="s">
        <v>228</v>
      </c>
      <c r="AV743" s="0" t="s">
        <v>228</v>
      </c>
      <c r="AW743" s="0" t="s">
        <v>228</v>
      </c>
      <c r="AX743" s="0" t="s">
        <v>228</v>
      </c>
      <c r="AY743" s="0" t="s">
        <v>228</v>
      </c>
      <c r="AZ743" s="0" t="s">
        <v>228</v>
      </c>
      <c r="BA743" s="0" t="s">
        <v>228</v>
      </c>
      <c r="BB743" s="0" t="s">
        <v>228</v>
      </c>
      <c r="BC743" s="0" t="s">
        <v>228</v>
      </c>
      <c r="BD743" s="0" t="s">
        <v>228</v>
      </c>
      <c r="BE743" s="0" t="s">
        <v>228</v>
      </c>
      <c r="BF743" s="0" t="s">
        <v>228</v>
      </c>
      <c r="BG743" s="0" t="s">
        <v>228</v>
      </c>
      <c r="BH743" s="0" t="s">
        <v>228</v>
      </c>
      <c r="BI743" s="0" t="s">
        <v>228</v>
      </c>
      <c r="BJ743" s="0" t="s">
        <v>228</v>
      </c>
      <c r="BK743" s="0" t="s">
        <v>228</v>
      </c>
      <c r="BL743" s="0" t="s">
        <v>228</v>
      </c>
      <c r="BM743" s="0" t="s">
        <v>228</v>
      </c>
      <c r="BN743" s="0" t="s">
        <v>228</v>
      </c>
      <c r="BO743" s="0" t="s">
        <v>228</v>
      </c>
      <c r="BP743" s="0" t="s">
        <v>228</v>
      </c>
      <c r="BQ743" s="0" t="s">
        <v>228</v>
      </c>
      <c r="BR743" s="0" t="s">
        <v>228</v>
      </c>
      <c r="BS743" s="0" t="s">
        <v>228</v>
      </c>
      <c r="BT743" s="0" t="s">
        <v>228</v>
      </c>
      <c r="CS743" s="0" t="s">
        <v>228</v>
      </c>
      <c r="CT743" s="0" t="s">
        <v>3568</v>
      </c>
      <c r="CU743" s="0" t="s">
        <v>3569</v>
      </c>
      <c r="CV743" s="0" t="s">
        <v>418</v>
      </c>
      <c r="CW743" s="0" t="s">
        <v>3656</v>
      </c>
      <c r="CX743" s="0" t="s">
        <v>419</v>
      </c>
      <c r="CY743" s="0" t="s">
        <v>418</v>
      </c>
      <c r="CZ743" s="0" t="s">
        <v>3657</v>
      </c>
      <c r="DA743" s="0" t="s">
        <v>3658</v>
      </c>
      <c r="DB743" s="0" t="s">
        <v>3656</v>
      </c>
      <c r="DC743" s="0" t="s">
        <v>362</v>
      </c>
      <c r="DD743" s="0" t="s">
        <v>282</v>
      </c>
      <c r="DE743" s="0" t="s">
        <v>5522</v>
      </c>
    </row>
    <row customHeight="1" ht="11.25">
      <c r="A744" s="1353" t="s">
        <v>228</v>
      </c>
      <c r="B744" s="0" t="s">
        <v>228</v>
      </c>
      <c r="C744" s="0" t="s">
        <v>228</v>
      </c>
      <c r="D744" s="0" t="s">
        <v>228</v>
      </c>
      <c r="E744" s="0" t="s">
        <v>228</v>
      </c>
      <c r="F744" s="0" t="s">
        <v>228</v>
      </c>
      <c r="G744" s="0" t="s">
        <v>228</v>
      </c>
      <c r="H744" s="0" t="s">
        <v>228</v>
      </c>
      <c r="I744" s="0" t="s">
        <v>5119</v>
      </c>
      <c r="J744" s="0" t="s">
        <v>228</v>
      </c>
      <c r="K744" s="0" t="s">
        <v>228</v>
      </c>
      <c r="L744" s="0" t="s">
        <v>228</v>
      </c>
      <c r="M744" s="0" t="s">
        <v>228</v>
      </c>
      <c r="N744" s="0" t="s">
        <v>228</v>
      </c>
      <c r="O744" s="0" t="s">
        <v>228</v>
      </c>
      <c r="P744" s="0" t="s">
        <v>228</v>
      </c>
      <c r="Q744" s="0" t="s">
        <v>228</v>
      </c>
      <c r="R744" s="0" t="s">
        <v>5523</v>
      </c>
      <c r="S744" s="0" t="s">
        <v>228</v>
      </c>
      <c r="T744" s="0" t="s">
        <v>228</v>
      </c>
      <c r="U744" s="0" t="s">
        <v>101</v>
      </c>
      <c r="V744" s="0" t="s">
        <v>228</v>
      </c>
      <c r="W744" s="0" t="s">
        <v>228</v>
      </c>
      <c r="X744" s="0" t="s">
        <v>5121</v>
      </c>
      <c r="Y744" s="0" t="s">
        <v>228</v>
      </c>
      <c r="Z744" s="0" t="s">
        <v>160</v>
      </c>
      <c r="AA744" s="0" t="s">
        <v>151</v>
      </c>
      <c r="AB744" s="0" t="s">
        <v>151</v>
      </c>
      <c r="AC744" s="0" t="s">
        <v>2715</v>
      </c>
      <c r="AD744" s="0" t="s">
        <v>2715</v>
      </c>
      <c r="AE744" s="0" t="s">
        <v>2716</v>
      </c>
      <c r="AF744" s="0" t="s">
        <v>3594</v>
      </c>
      <c r="AG744" s="0" t="s">
        <v>3595</v>
      </c>
      <c r="AH744" s="0" t="s">
        <v>3837</v>
      </c>
      <c r="AI744" s="0" t="s">
        <v>3608</v>
      </c>
      <c r="AJ744" s="0" t="s">
        <v>3985</v>
      </c>
      <c r="AK744" s="0" t="s">
        <v>5524</v>
      </c>
      <c r="AL744" s="0" t="s">
        <v>5125</v>
      </c>
      <c r="AN744" s="0" t="s">
        <v>5525</v>
      </c>
      <c r="AO744" s="0" t="s">
        <v>5526</v>
      </c>
      <c r="AP744" s="0" t="s">
        <v>228</v>
      </c>
      <c r="AQ744" s="0" t="s">
        <v>228</v>
      </c>
      <c r="AR744" s="0" t="s">
        <v>228</v>
      </c>
      <c r="AS744" s="0" t="s">
        <v>228</v>
      </c>
      <c r="AT744" s="0" t="s">
        <v>228</v>
      </c>
      <c r="AU744" s="0" t="s">
        <v>228</v>
      </c>
      <c r="AV744" s="0" t="s">
        <v>228</v>
      </c>
      <c r="AW744" s="0" t="s">
        <v>228</v>
      </c>
      <c r="AX744" s="0" t="s">
        <v>228</v>
      </c>
      <c r="AY744" s="0" t="s">
        <v>228</v>
      </c>
      <c r="AZ744" s="0" t="s">
        <v>228</v>
      </c>
      <c r="BA744" s="0" t="s">
        <v>228</v>
      </c>
      <c r="BB744" s="0" t="s">
        <v>228</v>
      </c>
      <c r="BC744" s="0" t="s">
        <v>228</v>
      </c>
      <c r="BD744" s="0" t="s">
        <v>228</v>
      </c>
      <c r="BE744" s="0" t="s">
        <v>228</v>
      </c>
      <c r="BF744" s="0" t="s">
        <v>228</v>
      </c>
      <c r="BG744" s="0" t="s">
        <v>228</v>
      </c>
      <c r="BH744" s="0" t="s">
        <v>228</v>
      </c>
      <c r="BI744" s="0" t="s">
        <v>228</v>
      </c>
      <c r="BJ744" s="0" t="s">
        <v>228</v>
      </c>
      <c r="BK744" s="0" t="s">
        <v>228</v>
      </c>
      <c r="BL744" s="0" t="s">
        <v>228</v>
      </c>
      <c r="BM744" s="0" t="s">
        <v>228</v>
      </c>
      <c r="BN744" s="0" t="s">
        <v>228</v>
      </c>
      <c r="BO744" s="0" t="s">
        <v>228</v>
      </c>
      <c r="BP744" s="0" t="s">
        <v>228</v>
      </c>
      <c r="BQ744" s="0" t="s">
        <v>228</v>
      </c>
      <c r="BR744" s="0" t="s">
        <v>228</v>
      </c>
      <c r="BS744" s="0" t="s">
        <v>228</v>
      </c>
      <c r="BT744" s="0" t="s">
        <v>228</v>
      </c>
      <c r="CS744" s="0" t="s">
        <v>228</v>
      </c>
      <c r="CT744" s="0" t="s">
        <v>3568</v>
      </c>
      <c r="CU744" s="0" t="s">
        <v>3569</v>
      </c>
      <c r="CV744" s="0" t="s">
        <v>418</v>
      </c>
      <c r="CW744" s="0" t="s">
        <v>3602</v>
      </c>
      <c r="CX744" s="0" t="s">
        <v>3603</v>
      </c>
      <c r="CY744" s="0" t="s">
        <v>418</v>
      </c>
      <c r="CZ744" s="0" t="s">
        <v>504</v>
      </c>
      <c r="DA744" s="0" t="s">
        <v>3604</v>
      </c>
      <c r="DB744" s="0" t="s">
        <v>3602</v>
      </c>
      <c r="DC744" s="0" t="s">
        <v>362</v>
      </c>
      <c r="DD744" s="0" t="s">
        <v>282</v>
      </c>
      <c r="DE744" s="0" t="s">
        <v>3842</v>
      </c>
    </row>
    <row customHeight="1" ht="11.25">
      <c r="A745" s="1353" t="s">
        <v>228</v>
      </c>
      <c r="B745" s="0" t="s">
        <v>228</v>
      </c>
      <c r="C745" s="0" t="s">
        <v>228</v>
      </c>
      <c r="D745" s="0" t="s">
        <v>228</v>
      </c>
      <c r="E745" s="0" t="s">
        <v>228</v>
      </c>
      <c r="F745" s="0" t="s">
        <v>228</v>
      </c>
      <c r="G745" s="0" t="s">
        <v>228</v>
      </c>
      <c r="H745" s="0" t="s">
        <v>228</v>
      </c>
      <c r="I745" s="0" t="s">
        <v>5119</v>
      </c>
      <c r="J745" s="0" t="s">
        <v>228</v>
      </c>
      <c r="K745" s="0" t="s">
        <v>228</v>
      </c>
      <c r="L745" s="0" t="s">
        <v>228</v>
      </c>
      <c r="M745" s="0" t="s">
        <v>228</v>
      </c>
      <c r="N745" s="0" t="s">
        <v>228</v>
      </c>
      <c r="O745" s="0" t="s">
        <v>228</v>
      </c>
      <c r="P745" s="0" t="s">
        <v>228</v>
      </c>
      <c r="Q745" s="0" t="s">
        <v>228</v>
      </c>
      <c r="R745" s="0" t="s">
        <v>5527</v>
      </c>
      <c r="S745" s="0" t="s">
        <v>228</v>
      </c>
      <c r="T745" s="0" t="s">
        <v>228</v>
      </c>
      <c r="U745" s="0" t="s">
        <v>101</v>
      </c>
      <c r="V745" s="0" t="s">
        <v>228</v>
      </c>
      <c r="W745" s="0" t="s">
        <v>228</v>
      </c>
      <c r="X745" s="0" t="s">
        <v>3988</v>
      </c>
      <c r="Y745" s="0" t="s">
        <v>228</v>
      </c>
      <c r="Z745" s="0" t="s">
        <v>151</v>
      </c>
      <c r="AA745" s="0" t="s">
        <v>160</v>
      </c>
      <c r="AB745" s="0" t="s">
        <v>151</v>
      </c>
      <c r="AC745" s="0" t="s">
        <v>2315</v>
      </c>
      <c r="AD745" s="0" t="s">
        <v>2315</v>
      </c>
      <c r="AE745" s="0" t="s">
        <v>2316</v>
      </c>
      <c r="AF745" s="0" t="s">
        <v>4058</v>
      </c>
      <c r="AG745" s="0" t="s">
        <v>4059</v>
      </c>
      <c r="AH745" s="0" t="s">
        <v>3651</v>
      </c>
      <c r="AI745" s="0" t="s">
        <v>3651</v>
      </c>
      <c r="AJ745" s="0" t="s">
        <v>228</v>
      </c>
      <c r="AK745" s="0" t="s">
        <v>228</v>
      </c>
      <c r="AL745" s="0" t="s">
        <v>228</v>
      </c>
      <c r="AN745" s="0" t="s">
        <v>228</v>
      </c>
      <c r="AO745" s="0" t="s">
        <v>228</v>
      </c>
      <c r="AP745" s="0" t="s">
        <v>5241</v>
      </c>
      <c r="AQ745" s="0" t="s">
        <v>5242</v>
      </c>
      <c r="AR745" s="0" t="s">
        <v>111</v>
      </c>
      <c r="AS745" s="0" t="s">
        <v>3665</v>
      </c>
      <c r="AT745" s="0" t="s">
        <v>122</v>
      </c>
      <c r="AU745" s="0" t="s">
        <v>228</v>
      </c>
      <c r="AV745" s="0" t="s">
        <v>5527</v>
      </c>
      <c r="AW745" s="0" t="s">
        <v>2315</v>
      </c>
      <c r="AX745" s="0" t="s">
        <v>2315</v>
      </c>
      <c r="AY745" s="0" t="s">
        <v>3875</v>
      </c>
      <c r="AZ745" s="0" t="s">
        <v>4058</v>
      </c>
      <c r="BA745" s="0" t="s">
        <v>4249</v>
      </c>
      <c r="BB745" s="0" t="s">
        <v>228</v>
      </c>
      <c r="BC745" s="0" t="s">
        <v>228</v>
      </c>
      <c r="BD745" s="0" t="s">
        <v>3582</v>
      </c>
      <c r="BE745" s="0" t="s">
        <v>228</v>
      </c>
      <c r="BF745" s="0" t="s">
        <v>228</v>
      </c>
      <c r="BG745" s="0" t="s">
        <v>228</v>
      </c>
      <c r="BH745" s="0" t="s">
        <v>228</v>
      </c>
      <c r="BI745" s="0" t="s">
        <v>228</v>
      </c>
      <c r="BJ745" s="0" t="s">
        <v>228</v>
      </c>
      <c r="BK745" s="0" t="s">
        <v>228</v>
      </c>
      <c r="BL745" s="0" t="s">
        <v>228</v>
      </c>
      <c r="BM745" s="0" t="s">
        <v>228</v>
      </c>
      <c r="BN745" s="0" t="s">
        <v>228</v>
      </c>
      <c r="BO745" s="0" t="s">
        <v>228</v>
      </c>
      <c r="BP745" s="0" t="s">
        <v>228</v>
      </c>
      <c r="BQ745" s="0" t="s">
        <v>228</v>
      </c>
      <c r="BR745" s="0" t="s">
        <v>228</v>
      </c>
      <c r="BS745" s="0" t="s">
        <v>228</v>
      </c>
      <c r="BT745" s="0" t="s">
        <v>228</v>
      </c>
      <c r="CS745" s="0" t="s">
        <v>228</v>
      </c>
      <c r="CT745" s="0" t="s">
        <v>3568</v>
      </c>
      <c r="CU745" s="0" t="s">
        <v>3569</v>
      </c>
      <c r="CV745" s="0" t="s">
        <v>418</v>
      </c>
      <c r="CW745" s="0" t="s">
        <v>3656</v>
      </c>
      <c r="CX745" s="0" t="s">
        <v>419</v>
      </c>
      <c r="CY745" s="0" t="s">
        <v>418</v>
      </c>
      <c r="CZ745" s="0" t="s">
        <v>3657</v>
      </c>
      <c r="DA745" s="0" t="s">
        <v>3658</v>
      </c>
      <c r="DB745" s="0" t="s">
        <v>3656</v>
      </c>
      <c r="DC745" s="0" t="s">
        <v>362</v>
      </c>
      <c r="DD745" s="0" t="s">
        <v>282</v>
      </c>
      <c r="DE745" s="0" t="s">
        <v>4323</v>
      </c>
    </row>
    <row customHeight="1" ht="11.25">
      <c r="A746" s="1353" t="s">
        <v>228</v>
      </c>
      <c r="B746" s="0" t="s">
        <v>228</v>
      </c>
      <c r="C746" s="0" t="s">
        <v>228</v>
      </c>
      <c r="D746" s="0" t="s">
        <v>228</v>
      </c>
      <c r="E746" s="0" t="s">
        <v>228</v>
      </c>
      <c r="F746" s="0" t="s">
        <v>228</v>
      </c>
      <c r="G746" s="0" t="s">
        <v>228</v>
      </c>
      <c r="H746" s="0" t="s">
        <v>228</v>
      </c>
      <c r="I746" s="0" t="s">
        <v>5119</v>
      </c>
      <c r="J746" s="0" t="s">
        <v>228</v>
      </c>
      <c r="K746" s="0" t="s">
        <v>228</v>
      </c>
      <c r="L746" s="0" t="s">
        <v>228</v>
      </c>
      <c r="M746" s="0" t="s">
        <v>228</v>
      </c>
      <c r="N746" s="0" t="s">
        <v>228</v>
      </c>
      <c r="O746" s="0" t="s">
        <v>228</v>
      </c>
      <c r="P746" s="0" t="s">
        <v>228</v>
      </c>
      <c r="Q746" s="0" t="s">
        <v>228</v>
      </c>
      <c r="R746" s="0" t="s">
        <v>5237</v>
      </c>
      <c r="S746" s="0" t="s">
        <v>228</v>
      </c>
      <c r="T746" s="0" t="s">
        <v>228</v>
      </c>
      <c r="U746" s="0" t="s">
        <v>101</v>
      </c>
      <c r="V746" s="0" t="s">
        <v>228</v>
      </c>
      <c r="W746" s="0" t="s">
        <v>228</v>
      </c>
      <c r="X746" s="0" t="s">
        <v>5121</v>
      </c>
      <c r="Y746" s="0" t="s">
        <v>228</v>
      </c>
      <c r="Z746" s="0" t="s">
        <v>160</v>
      </c>
      <c r="AA746" s="0" t="s">
        <v>151</v>
      </c>
      <c r="AB746" s="0" t="s">
        <v>151</v>
      </c>
      <c r="AC746" s="0" t="s">
        <v>2290</v>
      </c>
      <c r="AD746" s="0" t="s">
        <v>2290</v>
      </c>
      <c r="AE746" s="0" t="s">
        <v>2292</v>
      </c>
      <c r="AF746" s="0" t="s">
        <v>3558</v>
      </c>
      <c r="AG746" s="0" t="s">
        <v>3559</v>
      </c>
      <c r="AH746" s="0" t="s">
        <v>5528</v>
      </c>
      <c r="AI746" s="0" t="s">
        <v>4051</v>
      </c>
      <c r="AJ746" s="0" t="s">
        <v>4993</v>
      </c>
      <c r="AK746" s="0" t="s">
        <v>3566</v>
      </c>
      <c r="AL746" s="0" t="s">
        <v>5125</v>
      </c>
      <c r="AN746" s="0" t="s">
        <v>4293</v>
      </c>
      <c r="AO746" s="0" t="s">
        <v>3655</v>
      </c>
      <c r="AP746" s="0" t="s">
        <v>228</v>
      </c>
      <c r="AQ746" s="0" t="s">
        <v>228</v>
      </c>
      <c r="AR746" s="0" t="s">
        <v>228</v>
      </c>
      <c r="AS746" s="0" t="s">
        <v>228</v>
      </c>
      <c r="AT746" s="0" t="s">
        <v>228</v>
      </c>
      <c r="AU746" s="0" t="s">
        <v>228</v>
      </c>
      <c r="AV746" s="0" t="s">
        <v>228</v>
      </c>
      <c r="AW746" s="0" t="s">
        <v>228</v>
      </c>
      <c r="AX746" s="0" t="s">
        <v>228</v>
      </c>
      <c r="AY746" s="0" t="s">
        <v>228</v>
      </c>
      <c r="AZ746" s="0" t="s">
        <v>228</v>
      </c>
      <c r="BA746" s="0" t="s">
        <v>228</v>
      </c>
      <c r="BB746" s="0" t="s">
        <v>228</v>
      </c>
      <c r="BC746" s="0" t="s">
        <v>228</v>
      </c>
      <c r="BD746" s="0" t="s">
        <v>228</v>
      </c>
      <c r="BE746" s="0" t="s">
        <v>228</v>
      </c>
      <c r="BF746" s="0" t="s">
        <v>228</v>
      </c>
      <c r="BG746" s="0" t="s">
        <v>228</v>
      </c>
      <c r="BH746" s="0" t="s">
        <v>228</v>
      </c>
      <c r="BI746" s="0" t="s">
        <v>228</v>
      </c>
      <c r="BJ746" s="0" t="s">
        <v>228</v>
      </c>
      <c r="BK746" s="0" t="s">
        <v>228</v>
      </c>
      <c r="BL746" s="0" t="s">
        <v>228</v>
      </c>
      <c r="BM746" s="0" t="s">
        <v>228</v>
      </c>
      <c r="BN746" s="0" t="s">
        <v>228</v>
      </c>
      <c r="BO746" s="0" t="s">
        <v>228</v>
      </c>
      <c r="BP746" s="0" t="s">
        <v>228</v>
      </c>
      <c r="BQ746" s="0" t="s">
        <v>228</v>
      </c>
      <c r="BR746" s="0" t="s">
        <v>228</v>
      </c>
      <c r="BS746" s="0" t="s">
        <v>228</v>
      </c>
      <c r="BT746" s="0" t="s">
        <v>228</v>
      </c>
      <c r="CS746" s="0" t="s">
        <v>228</v>
      </c>
      <c r="CT746" s="0" t="s">
        <v>3568</v>
      </c>
      <c r="CU746" s="0" t="s">
        <v>3569</v>
      </c>
      <c r="CV746" s="0" t="s">
        <v>418</v>
      </c>
      <c r="CW746" s="0" t="s">
        <v>3570</v>
      </c>
      <c r="CX746" s="0" t="s">
        <v>419</v>
      </c>
      <c r="CY746" s="0" t="s">
        <v>418</v>
      </c>
      <c r="CZ746" s="0" t="s">
        <v>3571</v>
      </c>
      <c r="DA746" s="0" t="s">
        <v>420</v>
      </c>
      <c r="DB746" s="0" t="s">
        <v>3570</v>
      </c>
      <c r="DC746" s="0" t="s">
        <v>362</v>
      </c>
      <c r="DD746" s="0" t="s">
        <v>282</v>
      </c>
      <c r="DE746" s="0" t="s">
        <v>5529</v>
      </c>
    </row>
    <row customHeight="1" ht="11.25">
      <c r="A747" s="1353" t="s">
        <v>228</v>
      </c>
      <c r="B747" s="0" t="s">
        <v>228</v>
      </c>
      <c r="C747" s="0" t="s">
        <v>228</v>
      </c>
      <c r="D747" s="0" t="s">
        <v>228</v>
      </c>
      <c r="E747" s="0" t="s">
        <v>228</v>
      </c>
      <c r="F747" s="0" t="s">
        <v>228</v>
      </c>
      <c r="G747" s="0" t="s">
        <v>228</v>
      </c>
      <c r="H747" s="0" t="s">
        <v>228</v>
      </c>
      <c r="I747" s="0" t="s">
        <v>5119</v>
      </c>
      <c r="J747" s="0" t="s">
        <v>228</v>
      </c>
      <c r="K747" s="0" t="s">
        <v>228</v>
      </c>
      <c r="L747" s="0" t="s">
        <v>228</v>
      </c>
      <c r="M747" s="0" t="s">
        <v>228</v>
      </c>
      <c r="N747" s="0" t="s">
        <v>228</v>
      </c>
      <c r="O747" s="0" t="s">
        <v>228</v>
      </c>
      <c r="P747" s="0" t="s">
        <v>228</v>
      </c>
      <c r="Q747" s="0" t="s">
        <v>228</v>
      </c>
      <c r="R747" s="0" t="s">
        <v>5140</v>
      </c>
      <c r="S747" s="0" t="s">
        <v>228</v>
      </c>
      <c r="T747" s="0" t="s">
        <v>228</v>
      </c>
      <c r="U747" s="0" t="s">
        <v>101</v>
      </c>
      <c r="V747" s="0" t="s">
        <v>228</v>
      </c>
      <c r="W747" s="0" t="s">
        <v>228</v>
      </c>
      <c r="X747" s="0" t="s">
        <v>5121</v>
      </c>
      <c r="Y747" s="0" t="s">
        <v>228</v>
      </c>
      <c r="Z747" s="0" t="s">
        <v>160</v>
      </c>
      <c r="AA747" s="0" t="s">
        <v>151</v>
      </c>
      <c r="AB747" s="0" t="s">
        <v>151</v>
      </c>
      <c r="AC747" s="0" t="s">
        <v>2290</v>
      </c>
      <c r="AD747" s="0" t="s">
        <v>2290</v>
      </c>
      <c r="AE747" s="0" t="s">
        <v>2292</v>
      </c>
      <c r="AF747" s="0" t="s">
        <v>4912</v>
      </c>
      <c r="AG747" s="0" t="s">
        <v>4913</v>
      </c>
      <c r="AH747" s="0" t="s">
        <v>5530</v>
      </c>
      <c r="AI747" s="0" t="s">
        <v>5008</v>
      </c>
      <c r="AJ747" s="0" t="s">
        <v>5531</v>
      </c>
      <c r="AK747" s="0" t="s">
        <v>4993</v>
      </c>
      <c r="AL747" s="0" t="s">
        <v>5125</v>
      </c>
      <c r="AN747" s="0" t="s">
        <v>3654</v>
      </c>
      <c r="AO747" s="0" t="s">
        <v>3712</v>
      </c>
      <c r="AP747" s="0" t="s">
        <v>228</v>
      </c>
      <c r="AQ747" s="0" t="s">
        <v>228</v>
      </c>
      <c r="AR747" s="0" t="s">
        <v>228</v>
      </c>
      <c r="AS747" s="0" t="s">
        <v>228</v>
      </c>
      <c r="AT747" s="0" t="s">
        <v>228</v>
      </c>
      <c r="AU747" s="0" t="s">
        <v>228</v>
      </c>
      <c r="AV747" s="0" t="s">
        <v>228</v>
      </c>
      <c r="AW747" s="0" t="s">
        <v>228</v>
      </c>
      <c r="AX747" s="0" t="s">
        <v>228</v>
      </c>
      <c r="AY747" s="0" t="s">
        <v>228</v>
      </c>
      <c r="AZ747" s="0" t="s">
        <v>228</v>
      </c>
      <c r="BA747" s="0" t="s">
        <v>228</v>
      </c>
      <c r="BB747" s="0" t="s">
        <v>228</v>
      </c>
      <c r="BC747" s="0" t="s">
        <v>228</v>
      </c>
      <c r="BD747" s="0" t="s">
        <v>228</v>
      </c>
      <c r="BE747" s="0" t="s">
        <v>228</v>
      </c>
      <c r="BF747" s="0" t="s">
        <v>228</v>
      </c>
      <c r="BG747" s="0" t="s">
        <v>228</v>
      </c>
      <c r="BH747" s="0" t="s">
        <v>228</v>
      </c>
      <c r="BI747" s="0" t="s">
        <v>228</v>
      </c>
      <c r="BJ747" s="0" t="s">
        <v>228</v>
      </c>
      <c r="BK747" s="0" t="s">
        <v>228</v>
      </c>
      <c r="BL747" s="0" t="s">
        <v>228</v>
      </c>
      <c r="BM747" s="0" t="s">
        <v>228</v>
      </c>
      <c r="BN747" s="0" t="s">
        <v>228</v>
      </c>
      <c r="BO747" s="0" t="s">
        <v>228</v>
      </c>
      <c r="BP747" s="0" t="s">
        <v>228</v>
      </c>
      <c r="BQ747" s="0" t="s">
        <v>228</v>
      </c>
      <c r="BR747" s="0" t="s">
        <v>228</v>
      </c>
      <c r="BS747" s="0" t="s">
        <v>228</v>
      </c>
      <c r="BT747" s="0" t="s">
        <v>228</v>
      </c>
      <c r="CS747" s="0" t="s">
        <v>228</v>
      </c>
      <c r="CT747" s="0" t="s">
        <v>3568</v>
      </c>
      <c r="CU747" s="0" t="s">
        <v>3569</v>
      </c>
      <c r="CV747" s="0" t="s">
        <v>418</v>
      </c>
      <c r="CW747" s="0" t="s">
        <v>4924</v>
      </c>
      <c r="CX747" s="0" t="s">
        <v>419</v>
      </c>
      <c r="CY747" s="0" t="s">
        <v>418</v>
      </c>
      <c r="CZ747" s="0" t="s">
        <v>319</v>
      </c>
      <c r="DA747" s="0" t="s">
        <v>420</v>
      </c>
      <c r="DB747" s="0" t="s">
        <v>4924</v>
      </c>
      <c r="DC747" s="0" t="s">
        <v>362</v>
      </c>
      <c r="DD747" s="0" t="s">
        <v>282</v>
      </c>
      <c r="DE747" s="0" t="s">
        <v>5532</v>
      </c>
    </row>
    <row customHeight="1" ht="11.25">
      <c r="A748" s="1353" t="s">
        <v>228</v>
      </c>
      <c r="B748" s="0" t="s">
        <v>228</v>
      </c>
      <c r="C748" s="0" t="s">
        <v>228</v>
      </c>
      <c r="D748" s="0" t="s">
        <v>228</v>
      </c>
      <c r="E748" s="0" t="s">
        <v>228</v>
      </c>
      <c r="F748" s="0" t="s">
        <v>228</v>
      </c>
      <c r="G748" s="0" t="s">
        <v>228</v>
      </c>
      <c r="H748" s="0" t="s">
        <v>228</v>
      </c>
      <c r="I748" s="0" t="s">
        <v>5119</v>
      </c>
      <c r="J748" s="0" t="s">
        <v>228</v>
      </c>
      <c r="K748" s="0" t="s">
        <v>228</v>
      </c>
      <c r="L748" s="0" t="s">
        <v>228</v>
      </c>
      <c r="M748" s="0" t="s">
        <v>228</v>
      </c>
      <c r="N748" s="0" t="s">
        <v>228</v>
      </c>
      <c r="O748" s="0" t="s">
        <v>228</v>
      </c>
      <c r="P748" s="0" t="s">
        <v>228</v>
      </c>
      <c r="Q748" s="0" t="s">
        <v>228</v>
      </c>
      <c r="R748" s="0" t="s">
        <v>5533</v>
      </c>
      <c r="S748" s="0" t="s">
        <v>228</v>
      </c>
      <c r="T748" s="0" t="s">
        <v>228</v>
      </c>
      <c r="U748" s="0" t="s">
        <v>101</v>
      </c>
      <c r="V748" s="0" t="s">
        <v>228</v>
      </c>
      <c r="W748" s="0" t="s">
        <v>228</v>
      </c>
      <c r="X748" s="0" t="s">
        <v>5121</v>
      </c>
      <c r="Y748" s="0" t="s">
        <v>228</v>
      </c>
      <c r="Z748" s="0" t="s">
        <v>160</v>
      </c>
      <c r="AA748" s="0" t="s">
        <v>151</v>
      </c>
      <c r="AB748" s="0" t="s">
        <v>151</v>
      </c>
      <c r="AC748" s="0" t="s">
        <v>2721</v>
      </c>
      <c r="AD748" s="0" t="s">
        <v>2721</v>
      </c>
      <c r="AE748" s="0" t="s">
        <v>2722</v>
      </c>
      <c r="AF748" s="0" t="s">
        <v>4024</v>
      </c>
      <c r="AG748" s="0" t="s">
        <v>4025</v>
      </c>
      <c r="AH748" s="0" t="s">
        <v>4310</v>
      </c>
      <c r="AI748" s="0" t="s">
        <v>4657</v>
      </c>
      <c r="AJ748" s="0" t="s">
        <v>3900</v>
      </c>
      <c r="AK748" s="0" t="s">
        <v>3900</v>
      </c>
      <c r="AL748" s="0" t="s">
        <v>5125</v>
      </c>
      <c r="AN748" s="0" t="s">
        <v>3628</v>
      </c>
      <c r="AO748" s="0" t="s">
        <v>5534</v>
      </c>
      <c r="AP748" s="0" t="s">
        <v>228</v>
      </c>
      <c r="AQ748" s="0" t="s">
        <v>228</v>
      </c>
      <c r="AR748" s="0" t="s">
        <v>228</v>
      </c>
      <c r="AS748" s="0" t="s">
        <v>228</v>
      </c>
      <c r="AT748" s="0" t="s">
        <v>228</v>
      </c>
      <c r="AU748" s="0" t="s">
        <v>228</v>
      </c>
      <c r="AV748" s="0" t="s">
        <v>228</v>
      </c>
      <c r="AW748" s="0" t="s">
        <v>228</v>
      </c>
      <c r="AX748" s="0" t="s">
        <v>228</v>
      </c>
      <c r="AY748" s="0" t="s">
        <v>228</v>
      </c>
      <c r="AZ748" s="0" t="s">
        <v>228</v>
      </c>
      <c r="BA748" s="0" t="s">
        <v>228</v>
      </c>
      <c r="BB748" s="0" t="s">
        <v>228</v>
      </c>
      <c r="BC748" s="0" t="s">
        <v>228</v>
      </c>
      <c r="BD748" s="0" t="s">
        <v>228</v>
      </c>
      <c r="BE748" s="0" t="s">
        <v>228</v>
      </c>
      <c r="BF748" s="0" t="s">
        <v>228</v>
      </c>
      <c r="BG748" s="0" t="s">
        <v>228</v>
      </c>
      <c r="BH748" s="0" t="s">
        <v>228</v>
      </c>
      <c r="BI748" s="0" t="s">
        <v>228</v>
      </c>
      <c r="BJ748" s="0" t="s">
        <v>228</v>
      </c>
      <c r="BK748" s="0" t="s">
        <v>228</v>
      </c>
      <c r="BL748" s="0" t="s">
        <v>228</v>
      </c>
      <c r="BM748" s="0" t="s">
        <v>228</v>
      </c>
      <c r="BN748" s="0" t="s">
        <v>228</v>
      </c>
      <c r="BO748" s="0" t="s">
        <v>228</v>
      </c>
      <c r="BP748" s="0" t="s">
        <v>228</v>
      </c>
      <c r="BQ748" s="0" t="s">
        <v>228</v>
      </c>
      <c r="BR748" s="0" t="s">
        <v>228</v>
      </c>
      <c r="BS748" s="0" t="s">
        <v>228</v>
      </c>
      <c r="BT748" s="0" t="s">
        <v>228</v>
      </c>
      <c r="CS748" s="0" t="s">
        <v>228</v>
      </c>
      <c r="CT748" s="0" t="s">
        <v>3568</v>
      </c>
      <c r="CU748" s="0" t="s">
        <v>3569</v>
      </c>
      <c r="CV748" s="0" t="s">
        <v>4030</v>
      </c>
      <c r="CW748" s="0" t="s">
        <v>4031</v>
      </c>
      <c r="CX748" s="0" t="s">
        <v>3603</v>
      </c>
      <c r="CY748" s="0" t="s">
        <v>4030</v>
      </c>
      <c r="CZ748" s="0" t="s">
        <v>5138</v>
      </c>
      <c r="DA748" s="0" t="s">
        <v>4032</v>
      </c>
      <c r="DB748" s="0" t="s">
        <v>4031</v>
      </c>
      <c r="DC748" s="0" t="s">
        <v>362</v>
      </c>
      <c r="DD748" s="0" t="s">
        <v>282</v>
      </c>
      <c r="DE748" s="0" t="s">
        <v>5535</v>
      </c>
    </row>
    <row customHeight="1" ht="11.25">
      <c r="A749" s="1353" t="s">
        <v>228</v>
      </c>
      <c r="B749" s="0" t="s">
        <v>228</v>
      </c>
      <c r="C749" s="0" t="s">
        <v>228</v>
      </c>
      <c r="D749" s="0" t="s">
        <v>228</v>
      </c>
      <c r="E749" s="0" t="s">
        <v>228</v>
      </c>
      <c r="F749" s="0" t="s">
        <v>228</v>
      </c>
      <c r="G749" s="0" t="s">
        <v>228</v>
      </c>
      <c r="H749" s="0" t="s">
        <v>228</v>
      </c>
      <c r="I749" s="0" t="s">
        <v>5119</v>
      </c>
      <c r="J749" s="0" t="s">
        <v>228</v>
      </c>
      <c r="K749" s="0" t="s">
        <v>228</v>
      </c>
      <c r="L749" s="0" t="s">
        <v>228</v>
      </c>
      <c r="M749" s="0" t="s">
        <v>228</v>
      </c>
      <c r="N749" s="0" t="s">
        <v>228</v>
      </c>
      <c r="O749" s="0" t="s">
        <v>228</v>
      </c>
      <c r="P749" s="0" t="s">
        <v>228</v>
      </c>
      <c r="Q749" s="0" t="s">
        <v>228</v>
      </c>
      <c r="R749" s="0" t="s">
        <v>5536</v>
      </c>
      <c r="S749" s="0" t="s">
        <v>228</v>
      </c>
      <c r="T749" s="0" t="s">
        <v>228</v>
      </c>
      <c r="U749" s="0" t="s">
        <v>101</v>
      </c>
      <c r="V749" s="0" t="s">
        <v>228</v>
      </c>
      <c r="W749" s="0" t="s">
        <v>228</v>
      </c>
      <c r="X749" s="0" t="s">
        <v>5121</v>
      </c>
      <c r="Y749" s="0" t="s">
        <v>228</v>
      </c>
      <c r="Z749" s="0" t="s">
        <v>160</v>
      </c>
      <c r="AA749" s="0" t="s">
        <v>151</v>
      </c>
      <c r="AB749" s="0" t="s">
        <v>151</v>
      </c>
      <c r="AC749" s="0" t="s">
        <v>2721</v>
      </c>
      <c r="AD749" s="0" t="s">
        <v>2721</v>
      </c>
      <c r="AE749" s="0" t="s">
        <v>2722</v>
      </c>
      <c r="AF749" s="0" t="s">
        <v>4024</v>
      </c>
      <c r="AG749" s="0" t="s">
        <v>4025</v>
      </c>
      <c r="AH749" s="0" t="s">
        <v>4775</v>
      </c>
      <c r="AI749" s="0" t="s">
        <v>489</v>
      </c>
      <c r="AJ749" s="0" t="s">
        <v>3654</v>
      </c>
      <c r="AK749" s="0" t="s">
        <v>3654</v>
      </c>
      <c r="AL749" s="0" t="s">
        <v>5125</v>
      </c>
      <c r="AN749" s="0" t="s">
        <v>3628</v>
      </c>
      <c r="AO749" s="0" t="s">
        <v>5537</v>
      </c>
      <c r="AP749" s="0" t="s">
        <v>228</v>
      </c>
      <c r="AQ749" s="0" t="s">
        <v>228</v>
      </c>
      <c r="AR749" s="0" t="s">
        <v>228</v>
      </c>
      <c r="AS749" s="0" t="s">
        <v>228</v>
      </c>
      <c r="AT749" s="0" t="s">
        <v>228</v>
      </c>
      <c r="AU749" s="0" t="s">
        <v>228</v>
      </c>
      <c r="AV749" s="0" t="s">
        <v>228</v>
      </c>
      <c r="AW749" s="0" t="s">
        <v>228</v>
      </c>
      <c r="AX749" s="0" t="s">
        <v>228</v>
      </c>
      <c r="AY749" s="0" t="s">
        <v>228</v>
      </c>
      <c r="AZ749" s="0" t="s">
        <v>228</v>
      </c>
      <c r="BA749" s="0" t="s">
        <v>228</v>
      </c>
      <c r="BB749" s="0" t="s">
        <v>228</v>
      </c>
      <c r="BC749" s="0" t="s">
        <v>228</v>
      </c>
      <c r="BD749" s="0" t="s">
        <v>228</v>
      </c>
      <c r="BE749" s="0" t="s">
        <v>228</v>
      </c>
      <c r="BF749" s="0" t="s">
        <v>228</v>
      </c>
      <c r="BG749" s="0" t="s">
        <v>228</v>
      </c>
      <c r="BH749" s="0" t="s">
        <v>228</v>
      </c>
      <c r="BI749" s="0" t="s">
        <v>228</v>
      </c>
      <c r="BJ749" s="0" t="s">
        <v>228</v>
      </c>
      <c r="BK749" s="0" t="s">
        <v>228</v>
      </c>
      <c r="BL749" s="0" t="s">
        <v>228</v>
      </c>
      <c r="BM749" s="0" t="s">
        <v>228</v>
      </c>
      <c r="BN749" s="0" t="s">
        <v>228</v>
      </c>
      <c r="BO749" s="0" t="s">
        <v>228</v>
      </c>
      <c r="BP749" s="0" t="s">
        <v>228</v>
      </c>
      <c r="BQ749" s="0" t="s">
        <v>228</v>
      </c>
      <c r="BR749" s="0" t="s">
        <v>228</v>
      </c>
      <c r="BS749" s="0" t="s">
        <v>228</v>
      </c>
      <c r="BT749" s="0" t="s">
        <v>228</v>
      </c>
      <c r="CS749" s="0" t="s">
        <v>228</v>
      </c>
      <c r="CT749" s="0" t="s">
        <v>3568</v>
      </c>
      <c r="CU749" s="0" t="s">
        <v>3569</v>
      </c>
      <c r="CV749" s="0" t="s">
        <v>4030</v>
      </c>
      <c r="CW749" s="0" t="s">
        <v>4031</v>
      </c>
      <c r="CX749" s="0" t="s">
        <v>3603</v>
      </c>
      <c r="CY749" s="0" t="s">
        <v>4030</v>
      </c>
      <c r="CZ749" s="0" t="s">
        <v>5138</v>
      </c>
      <c r="DA749" s="0" t="s">
        <v>4032</v>
      </c>
      <c r="DB749" s="0" t="s">
        <v>4031</v>
      </c>
      <c r="DC749" s="0" t="s">
        <v>362</v>
      </c>
      <c r="DD749" s="0" t="s">
        <v>282</v>
      </c>
      <c r="DE749" s="0" t="s">
        <v>4779</v>
      </c>
    </row>
    <row customHeight="1" ht="11.25">
      <c r="A750" s="1353" t="s">
        <v>228</v>
      </c>
      <c r="B750" s="0" t="s">
        <v>228</v>
      </c>
      <c r="C750" s="0" t="s">
        <v>228</v>
      </c>
      <c r="D750" s="0" t="s">
        <v>228</v>
      </c>
      <c r="E750" s="0" t="s">
        <v>228</v>
      </c>
      <c r="F750" s="0" t="s">
        <v>228</v>
      </c>
      <c r="G750" s="0" t="s">
        <v>228</v>
      </c>
      <c r="H750" s="0" t="s">
        <v>228</v>
      </c>
      <c r="I750" s="0" t="s">
        <v>5119</v>
      </c>
      <c r="J750" s="0" t="s">
        <v>228</v>
      </c>
      <c r="K750" s="0" t="s">
        <v>228</v>
      </c>
      <c r="L750" s="0" t="s">
        <v>228</v>
      </c>
      <c r="M750" s="0" t="s">
        <v>228</v>
      </c>
      <c r="N750" s="0" t="s">
        <v>228</v>
      </c>
      <c r="O750" s="0" t="s">
        <v>228</v>
      </c>
      <c r="P750" s="0" t="s">
        <v>228</v>
      </c>
      <c r="Q750" s="0" t="s">
        <v>228</v>
      </c>
      <c r="R750" s="0" t="s">
        <v>416</v>
      </c>
      <c r="S750" s="0" t="s">
        <v>228</v>
      </c>
      <c r="T750" s="0" t="s">
        <v>228</v>
      </c>
      <c r="U750" s="0" t="s">
        <v>101</v>
      </c>
      <c r="V750" s="0" t="s">
        <v>228</v>
      </c>
      <c r="W750" s="0" t="s">
        <v>228</v>
      </c>
      <c r="X750" s="0" t="s">
        <v>3661</v>
      </c>
      <c r="Y750" s="0" t="s">
        <v>228</v>
      </c>
      <c r="Z750" s="0" t="s">
        <v>151</v>
      </c>
      <c r="AA750" s="0" t="s">
        <v>151</v>
      </c>
      <c r="AB750" s="0" t="s">
        <v>160</v>
      </c>
      <c r="AC750" s="0" t="s">
        <v>2290</v>
      </c>
      <c r="AD750" s="0" t="s">
        <v>2290</v>
      </c>
      <c r="AE750" s="0" t="s">
        <v>2292</v>
      </c>
      <c r="AF750" s="0" t="s">
        <v>4912</v>
      </c>
      <c r="AG750" s="0" t="s">
        <v>4913</v>
      </c>
      <c r="AH750" s="0" t="s">
        <v>4914</v>
      </c>
      <c r="AI750" s="0" t="s">
        <v>3608</v>
      </c>
      <c r="AJ750" s="0" t="s">
        <v>228</v>
      </c>
      <c r="AK750" s="0" t="s">
        <v>228</v>
      </c>
      <c r="AL750" s="0" t="s">
        <v>228</v>
      </c>
      <c r="AN750" s="0" t="s">
        <v>228</v>
      </c>
      <c r="AO750" s="0" t="s">
        <v>228</v>
      </c>
      <c r="AP750" s="0" t="s">
        <v>228</v>
      </c>
      <c r="AQ750" s="0" t="s">
        <v>228</v>
      </c>
      <c r="AR750" s="0" t="s">
        <v>228</v>
      </c>
      <c r="AS750" s="0" t="s">
        <v>228</v>
      </c>
      <c r="AT750" s="0" t="s">
        <v>228</v>
      </c>
      <c r="AU750" s="0" t="s">
        <v>228</v>
      </c>
      <c r="AV750" s="0" t="s">
        <v>228</v>
      </c>
      <c r="AW750" s="0" t="s">
        <v>228</v>
      </c>
      <c r="AX750" s="0" t="s">
        <v>228</v>
      </c>
      <c r="AY750" s="0" t="s">
        <v>228</v>
      </c>
      <c r="AZ750" s="0" t="s">
        <v>228</v>
      </c>
      <c r="BA750" s="0" t="s">
        <v>228</v>
      </c>
      <c r="BB750" s="0" t="s">
        <v>228</v>
      </c>
      <c r="BC750" s="0" t="s">
        <v>228</v>
      </c>
      <c r="BD750" s="0" t="s">
        <v>228</v>
      </c>
      <c r="BE750" s="0" t="s">
        <v>5029</v>
      </c>
      <c r="BF750" s="0" t="s">
        <v>5178</v>
      </c>
      <c r="BG750" s="0" t="s">
        <v>111</v>
      </c>
      <c r="BH750" s="0" t="s">
        <v>3665</v>
      </c>
      <c r="BI750" s="0" t="s">
        <v>122</v>
      </c>
      <c r="BJ750" s="0" t="s">
        <v>228</v>
      </c>
      <c r="BK750" s="0" t="s">
        <v>5140</v>
      </c>
      <c r="BL750" s="0" t="s">
        <v>2290</v>
      </c>
      <c r="BM750" s="0" t="s">
        <v>2290</v>
      </c>
      <c r="BN750" s="0" t="s">
        <v>4917</v>
      </c>
      <c r="BO750" s="0" t="s">
        <v>4912</v>
      </c>
      <c r="BP750" s="0" t="s">
        <v>4918</v>
      </c>
      <c r="BQ750" s="0" t="s">
        <v>5530</v>
      </c>
      <c r="BR750" s="0" t="s">
        <v>3926</v>
      </c>
      <c r="BS750" s="0" t="s">
        <v>228</v>
      </c>
      <c r="BT750" s="0" t="s">
        <v>3727</v>
      </c>
      <c r="CS750" s="0" t="s">
        <v>3579</v>
      </c>
      <c r="CT750" s="0" t="s">
        <v>3568</v>
      </c>
      <c r="CU750" s="0" t="s">
        <v>3569</v>
      </c>
      <c r="CV750" s="0" t="s">
        <v>418</v>
      </c>
      <c r="CW750" s="0" t="s">
        <v>4924</v>
      </c>
      <c r="CX750" s="0" t="s">
        <v>419</v>
      </c>
      <c r="CY750" s="0" t="s">
        <v>418</v>
      </c>
      <c r="CZ750" s="0" t="s">
        <v>319</v>
      </c>
      <c r="DA750" s="0" t="s">
        <v>420</v>
      </c>
      <c r="DB750" s="0" t="s">
        <v>4924</v>
      </c>
      <c r="DC750" s="0" t="s">
        <v>362</v>
      </c>
      <c r="DD750" s="0" t="s">
        <v>282</v>
      </c>
      <c r="DE750" s="0" t="s">
        <v>417</v>
      </c>
    </row>
    <row customHeight="1" ht="11.25">
      <c r="A751" s="1353" t="s">
        <v>228</v>
      </c>
      <c r="B751" s="0" t="s">
        <v>228</v>
      </c>
      <c r="C751" s="0" t="s">
        <v>228</v>
      </c>
      <c r="D751" s="0" t="s">
        <v>228</v>
      </c>
      <c r="E751" s="0" t="s">
        <v>228</v>
      </c>
      <c r="F751" s="0" t="s">
        <v>228</v>
      </c>
      <c r="G751" s="0" t="s">
        <v>228</v>
      </c>
      <c r="H751" s="0" t="s">
        <v>228</v>
      </c>
      <c r="I751" s="0" t="s">
        <v>5119</v>
      </c>
      <c r="J751" s="0" t="s">
        <v>228</v>
      </c>
      <c r="K751" s="0" t="s">
        <v>228</v>
      </c>
      <c r="L751" s="0" t="s">
        <v>228</v>
      </c>
      <c r="M751" s="0" t="s">
        <v>228</v>
      </c>
      <c r="N751" s="0" t="s">
        <v>228</v>
      </c>
      <c r="O751" s="0" t="s">
        <v>228</v>
      </c>
      <c r="P751" s="0" t="s">
        <v>228</v>
      </c>
      <c r="Q751" s="0" t="s">
        <v>228</v>
      </c>
      <c r="R751" s="0" t="s">
        <v>5538</v>
      </c>
      <c r="S751" s="0" t="s">
        <v>228</v>
      </c>
      <c r="T751" s="0" t="s">
        <v>228</v>
      </c>
      <c r="U751" s="0" t="s">
        <v>101</v>
      </c>
      <c r="V751" s="0" t="s">
        <v>228</v>
      </c>
      <c r="W751" s="0" t="s">
        <v>228</v>
      </c>
      <c r="X751" s="0" t="s">
        <v>3661</v>
      </c>
      <c r="Y751" s="0" t="s">
        <v>228</v>
      </c>
      <c r="Z751" s="0" t="s">
        <v>151</v>
      </c>
      <c r="AA751" s="0" t="s">
        <v>151</v>
      </c>
      <c r="AB751" s="0" t="s">
        <v>160</v>
      </c>
      <c r="AC751" s="0" t="s">
        <v>2317</v>
      </c>
      <c r="AD751" s="0" t="s">
        <v>2317</v>
      </c>
      <c r="AE751" s="0" t="s">
        <v>2318</v>
      </c>
      <c r="AF751" s="0" t="s">
        <v>4487</v>
      </c>
      <c r="AG751" s="0" t="s">
        <v>4488</v>
      </c>
      <c r="AH751" s="0" t="s">
        <v>3651</v>
      </c>
      <c r="AI751" s="0" t="s">
        <v>3651</v>
      </c>
      <c r="AJ751" s="0" t="s">
        <v>228</v>
      </c>
      <c r="AK751" s="0" t="s">
        <v>228</v>
      </c>
      <c r="AL751" s="0" t="s">
        <v>228</v>
      </c>
      <c r="AN751" s="0" t="s">
        <v>228</v>
      </c>
      <c r="AO751" s="0" t="s">
        <v>228</v>
      </c>
      <c r="AP751" s="0" t="s">
        <v>228</v>
      </c>
      <c r="AQ751" s="0" t="s">
        <v>228</v>
      </c>
      <c r="AR751" s="0" t="s">
        <v>228</v>
      </c>
      <c r="AS751" s="0" t="s">
        <v>228</v>
      </c>
      <c r="AT751" s="0" t="s">
        <v>228</v>
      </c>
      <c r="AU751" s="0" t="s">
        <v>228</v>
      </c>
      <c r="AV751" s="0" t="s">
        <v>228</v>
      </c>
      <c r="AW751" s="0" t="s">
        <v>228</v>
      </c>
      <c r="AX751" s="0" t="s">
        <v>228</v>
      </c>
      <c r="AY751" s="0" t="s">
        <v>228</v>
      </c>
      <c r="AZ751" s="0" t="s">
        <v>228</v>
      </c>
      <c r="BA751" s="0" t="s">
        <v>228</v>
      </c>
      <c r="BB751" s="0" t="s">
        <v>228</v>
      </c>
      <c r="BC751" s="0" t="s">
        <v>228</v>
      </c>
      <c r="BD751" s="0" t="s">
        <v>228</v>
      </c>
      <c r="BE751" s="0" t="s">
        <v>3619</v>
      </c>
      <c r="BF751" s="0" t="s">
        <v>3749</v>
      </c>
      <c r="BG751" s="0" t="s">
        <v>111</v>
      </c>
      <c r="BH751" s="0" t="s">
        <v>3665</v>
      </c>
      <c r="BI751" s="0" t="s">
        <v>122</v>
      </c>
      <c r="BJ751" s="0" t="s">
        <v>228</v>
      </c>
      <c r="BK751" s="0" t="s">
        <v>228</v>
      </c>
      <c r="BL751" s="0" t="s">
        <v>2317</v>
      </c>
      <c r="BM751" s="0" t="s">
        <v>2317</v>
      </c>
      <c r="BN751" s="0" t="s">
        <v>3740</v>
      </c>
      <c r="BO751" s="0" t="s">
        <v>4487</v>
      </c>
      <c r="BP751" s="0" t="s">
        <v>4966</v>
      </c>
      <c r="BQ751" s="0" t="s">
        <v>3651</v>
      </c>
      <c r="BR751" s="0" t="s">
        <v>3651</v>
      </c>
      <c r="BS751" s="0" t="s">
        <v>228</v>
      </c>
      <c r="BT751" s="0" t="s">
        <v>3727</v>
      </c>
      <c r="CS751" s="0" t="s">
        <v>5243</v>
      </c>
      <c r="CT751" s="0" t="s">
        <v>3568</v>
      </c>
      <c r="CU751" s="0" t="s">
        <v>3569</v>
      </c>
      <c r="CV751" s="0" t="s">
        <v>418</v>
      </c>
      <c r="CW751" s="0" t="s">
        <v>3622</v>
      </c>
      <c r="CX751" s="0" t="s">
        <v>419</v>
      </c>
      <c r="CY751" s="0" t="s">
        <v>418</v>
      </c>
      <c r="CZ751" s="0" t="s">
        <v>3623</v>
      </c>
      <c r="DA751" s="0" t="s">
        <v>3624</v>
      </c>
      <c r="DB751" s="0" t="s">
        <v>3622</v>
      </c>
      <c r="DC751" s="0" t="s">
        <v>362</v>
      </c>
      <c r="DD751" s="0" t="s">
        <v>282</v>
      </c>
      <c r="DE751" s="0" t="s">
        <v>4968</v>
      </c>
    </row>
    <row customHeight="1" ht="11.25">
      <c r="A752" s="1353" t="s">
        <v>228</v>
      </c>
      <c r="B752" s="0" t="s">
        <v>228</v>
      </c>
      <c r="C752" s="0" t="s">
        <v>228</v>
      </c>
      <c r="D752" s="0" t="s">
        <v>228</v>
      </c>
      <c r="E752" s="0" t="s">
        <v>228</v>
      </c>
      <c r="F752" s="0" t="s">
        <v>228</v>
      </c>
      <c r="G752" s="0" t="s">
        <v>228</v>
      </c>
      <c r="H752" s="0" t="s">
        <v>228</v>
      </c>
      <c r="I752" s="0" t="s">
        <v>5119</v>
      </c>
      <c r="J752" s="0" t="s">
        <v>228</v>
      </c>
      <c r="K752" s="0" t="s">
        <v>228</v>
      </c>
      <c r="L752" s="0" t="s">
        <v>228</v>
      </c>
      <c r="M752" s="0" t="s">
        <v>228</v>
      </c>
      <c r="N752" s="0" t="s">
        <v>228</v>
      </c>
      <c r="O752" s="0" t="s">
        <v>228</v>
      </c>
      <c r="P752" s="0" t="s">
        <v>228</v>
      </c>
      <c r="Q752" s="0" t="s">
        <v>228</v>
      </c>
      <c r="R752" s="0" t="s">
        <v>5539</v>
      </c>
      <c r="S752" s="0" t="s">
        <v>228</v>
      </c>
      <c r="T752" s="0" t="s">
        <v>228</v>
      </c>
      <c r="U752" s="0" t="s">
        <v>101</v>
      </c>
      <c r="V752" s="0" t="s">
        <v>228</v>
      </c>
      <c r="W752" s="0" t="s">
        <v>228</v>
      </c>
      <c r="X752" s="0" t="s">
        <v>5121</v>
      </c>
      <c r="Y752" s="0" t="s">
        <v>228</v>
      </c>
      <c r="Z752" s="0" t="s">
        <v>160</v>
      </c>
      <c r="AA752" s="0" t="s">
        <v>151</v>
      </c>
      <c r="AB752" s="0" t="s">
        <v>151</v>
      </c>
      <c r="AC752" s="0" t="s">
        <v>2715</v>
      </c>
      <c r="AD752" s="0" t="s">
        <v>2715</v>
      </c>
      <c r="AE752" s="0" t="s">
        <v>2716</v>
      </c>
      <c r="AF752" s="0" t="s">
        <v>3594</v>
      </c>
      <c r="AG752" s="0" t="s">
        <v>3595</v>
      </c>
      <c r="AH752" s="0" t="s">
        <v>5540</v>
      </c>
      <c r="AI752" s="0" t="s">
        <v>5541</v>
      </c>
      <c r="AJ752" s="0" t="s">
        <v>3858</v>
      </c>
      <c r="AK752" s="0" t="s">
        <v>5542</v>
      </c>
      <c r="AL752" s="0" t="s">
        <v>5125</v>
      </c>
      <c r="AN752" s="0" t="s">
        <v>5543</v>
      </c>
      <c r="AO752" s="0" t="s">
        <v>5434</v>
      </c>
      <c r="AP752" s="0" t="s">
        <v>228</v>
      </c>
      <c r="AQ752" s="0" t="s">
        <v>228</v>
      </c>
      <c r="AR752" s="0" t="s">
        <v>228</v>
      </c>
      <c r="AS752" s="0" t="s">
        <v>228</v>
      </c>
      <c r="AT752" s="0" t="s">
        <v>228</v>
      </c>
      <c r="AU752" s="0" t="s">
        <v>228</v>
      </c>
      <c r="AV752" s="0" t="s">
        <v>228</v>
      </c>
      <c r="AW752" s="0" t="s">
        <v>228</v>
      </c>
      <c r="AX752" s="0" t="s">
        <v>228</v>
      </c>
      <c r="AY752" s="0" t="s">
        <v>228</v>
      </c>
      <c r="AZ752" s="0" t="s">
        <v>228</v>
      </c>
      <c r="BA752" s="0" t="s">
        <v>228</v>
      </c>
      <c r="BB752" s="0" t="s">
        <v>228</v>
      </c>
      <c r="BC752" s="0" t="s">
        <v>228</v>
      </c>
      <c r="BD752" s="0" t="s">
        <v>228</v>
      </c>
      <c r="BE752" s="0" t="s">
        <v>228</v>
      </c>
      <c r="BF752" s="0" t="s">
        <v>228</v>
      </c>
      <c r="BG752" s="0" t="s">
        <v>228</v>
      </c>
      <c r="BH752" s="0" t="s">
        <v>228</v>
      </c>
      <c r="BI752" s="0" t="s">
        <v>228</v>
      </c>
      <c r="BJ752" s="0" t="s">
        <v>228</v>
      </c>
      <c r="BK752" s="0" t="s">
        <v>228</v>
      </c>
      <c r="BL752" s="0" t="s">
        <v>228</v>
      </c>
      <c r="BM752" s="0" t="s">
        <v>228</v>
      </c>
      <c r="BN752" s="0" t="s">
        <v>228</v>
      </c>
      <c r="BO752" s="0" t="s">
        <v>228</v>
      </c>
      <c r="BP752" s="0" t="s">
        <v>228</v>
      </c>
      <c r="BQ752" s="0" t="s">
        <v>228</v>
      </c>
      <c r="BR752" s="0" t="s">
        <v>228</v>
      </c>
      <c r="BS752" s="0" t="s">
        <v>228</v>
      </c>
      <c r="BT752" s="0" t="s">
        <v>228</v>
      </c>
      <c r="CS752" s="0" t="s">
        <v>228</v>
      </c>
      <c r="CT752" s="0" t="s">
        <v>3568</v>
      </c>
      <c r="CU752" s="0" t="s">
        <v>3569</v>
      </c>
      <c r="CV752" s="0" t="s">
        <v>418</v>
      </c>
      <c r="CW752" s="0" t="s">
        <v>3602</v>
      </c>
      <c r="CX752" s="0" t="s">
        <v>3603</v>
      </c>
      <c r="CY752" s="0" t="s">
        <v>418</v>
      </c>
      <c r="CZ752" s="0" t="s">
        <v>504</v>
      </c>
      <c r="DA752" s="0" t="s">
        <v>3604</v>
      </c>
      <c r="DB752" s="0" t="s">
        <v>3602</v>
      </c>
      <c r="DC752" s="0" t="s">
        <v>362</v>
      </c>
      <c r="DD752" s="0" t="s">
        <v>282</v>
      </c>
      <c r="DE752" s="0" t="s">
        <v>5544</v>
      </c>
    </row>
    <row customHeight="1" ht="11.25">
      <c r="A753" s="1353" t="s">
        <v>228</v>
      </c>
      <c r="B753" s="0" t="s">
        <v>228</v>
      </c>
      <c r="C753" s="0" t="s">
        <v>228</v>
      </c>
      <c r="D753" s="0" t="s">
        <v>228</v>
      </c>
      <c r="E753" s="0" t="s">
        <v>228</v>
      </c>
      <c r="F753" s="0" t="s">
        <v>228</v>
      </c>
      <c r="G753" s="0" t="s">
        <v>228</v>
      </c>
      <c r="H753" s="0" t="s">
        <v>228</v>
      </c>
      <c r="I753" s="0" t="s">
        <v>5119</v>
      </c>
      <c r="J753" s="0" t="s">
        <v>228</v>
      </c>
      <c r="K753" s="0" t="s">
        <v>228</v>
      </c>
      <c r="L753" s="0" t="s">
        <v>228</v>
      </c>
      <c r="M753" s="0" t="s">
        <v>228</v>
      </c>
      <c r="N753" s="0" t="s">
        <v>228</v>
      </c>
      <c r="O753" s="0" t="s">
        <v>228</v>
      </c>
      <c r="P753" s="0" t="s">
        <v>228</v>
      </c>
      <c r="Q753" s="0" t="s">
        <v>228</v>
      </c>
      <c r="R753" s="0" t="s">
        <v>5545</v>
      </c>
      <c r="S753" s="0" t="s">
        <v>228</v>
      </c>
      <c r="T753" s="0" t="s">
        <v>228</v>
      </c>
      <c r="U753" s="0" t="s">
        <v>101</v>
      </c>
      <c r="V753" s="0" t="s">
        <v>228</v>
      </c>
      <c r="W753" s="0" t="s">
        <v>228</v>
      </c>
      <c r="X753" s="0" t="s">
        <v>3988</v>
      </c>
      <c r="Y753" s="0" t="s">
        <v>228</v>
      </c>
      <c r="Z753" s="0" t="s">
        <v>151</v>
      </c>
      <c r="AA753" s="0" t="s">
        <v>160</v>
      </c>
      <c r="AB753" s="0" t="s">
        <v>151</v>
      </c>
      <c r="AC753" s="0" t="s">
        <v>2721</v>
      </c>
      <c r="AD753" s="0" t="s">
        <v>2721</v>
      </c>
      <c r="AE753" s="0" t="s">
        <v>2722</v>
      </c>
      <c r="AF753" s="0" t="s">
        <v>4024</v>
      </c>
      <c r="AG753" s="0" t="s">
        <v>4025</v>
      </c>
      <c r="AH753" s="0" t="s">
        <v>4310</v>
      </c>
      <c r="AI753" s="0" t="s">
        <v>3608</v>
      </c>
      <c r="AJ753" s="0" t="s">
        <v>228</v>
      </c>
      <c r="AK753" s="0" t="s">
        <v>228</v>
      </c>
      <c r="AL753" s="0" t="s">
        <v>228</v>
      </c>
      <c r="AN753" s="0" t="s">
        <v>228</v>
      </c>
      <c r="AO753" s="0" t="s">
        <v>228</v>
      </c>
      <c r="AP753" s="0" t="s">
        <v>5253</v>
      </c>
      <c r="AQ753" s="0" t="s">
        <v>5254</v>
      </c>
      <c r="AR753" s="0" t="s">
        <v>111</v>
      </c>
      <c r="AS753" s="0" t="s">
        <v>3665</v>
      </c>
      <c r="AT753" s="0" t="s">
        <v>122</v>
      </c>
      <c r="AU753" s="0" t="s">
        <v>228</v>
      </c>
      <c r="AV753" s="0" t="s">
        <v>5439</v>
      </c>
      <c r="AW753" s="0" t="s">
        <v>2721</v>
      </c>
      <c r="AX753" s="0" t="s">
        <v>2721</v>
      </c>
      <c r="AY753" s="0" t="s">
        <v>4149</v>
      </c>
      <c r="AZ753" s="0" t="s">
        <v>4024</v>
      </c>
      <c r="BA753" s="0" t="s">
        <v>4150</v>
      </c>
      <c r="BB753" s="0" t="s">
        <v>4310</v>
      </c>
      <c r="BC753" s="0" t="s">
        <v>3608</v>
      </c>
      <c r="BD753" s="0" t="s">
        <v>3628</v>
      </c>
      <c r="BE753" s="0" t="s">
        <v>228</v>
      </c>
      <c r="BF753" s="0" t="s">
        <v>228</v>
      </c>
      <c r="BG753" s="0" t="s">
        <v>228</v>
      </c>
      <c r="BH753" s="0" t="s">
        <v>228</v>
      </c>
      <c r="BI753" s="0" t="s">
        <v>228</v>
      </c>
      <c r="BJ753" s="0" t="s">
        <v>228</v>
      </c>
      <c r="BK753" s="0" t="s">
        <v>228</v>
      </c>
      <c r="BL753" s="0" t="s">
        <v>228</v>
      </c>
      <c r="BM753" s="0" t="s">
        <v>228</v>
      </c>
      <c r="BN753" s="0" t="s">
        <v>228</v>
      </c>
      <c r="BO753" s="0" t="s">
        <v>228</v>
      </c>
      <c r="BP753" s="0" t="s">
        <v>228</v>
      </c>
      <c r="BQ753" s="0" t="s">
        <v>228</v>
      </c>
      <c r="BR753" s="0" t="s">
        <v>228</v>
      </c>
      <c r="BS753" s="0" t="s">
        <v>228</v>
      </c>
      <c r="BT753" s="0" t="s">
        <v>228</v>
      </c>
      <c r="CS753" s="0" t="s">
        <v>228</v>
      </c>
      <c r="CT753" s="0" t="s">
        <v>3568</v>
      </c>
      <c r="CU753" s="0" t="s">
        <v>3569</v>
      </c>
      <c r="CV753" s="0" t="s">
        <v>4030</v>
      </c>
      <c r="CW753" s="0" t="s">
        <v>4031</v>
      </c>
      <c r="CX753" s="0" t="s">
        <v>3603</v>
      </c>
      <c r="CY753" s="0" t="s">
        <v>4030</v>
      </c>
      <c r="CZ753" s="0" t="s">
        <v>5138</v>
      </c>
      <c r="DA753" s="0" t="s">
        <v>4032</v>
      </c>
      <c r="DB753" s="0" t="s">
        <v>4031</v>
      </c>
      <c r="DC753" s="0" t="s">
        <v>362</v>
      </c>
      <c r="DD753" s="0" t="s">
        <v>282</v>
      </c>
      <c r="DE753" s="0" t="s">
        <v>5546</v>
      </c>
    </row>
    <row customHeight="1" ht="11.25">
      <c r="A754" s="1353" t="s">
        <v>228</v>
      </c>
      <c r="B754" s="0" t="s">
        <v>228</v>
      </c>
      <c r="C754" s="0" t="s">
        <v>228</v>
      </c>
      <c r="D754" s="0" t="s">
        <v>228</v>
      </c>
      <c r="E754" s="0" t="s">
        <v>228</v>
      </c>
      <c r="F754" s="0" t="s">
        <v>228</v>
      </c>
      <c r="G754" s="0" t="s">
        <v>228</v>
      </c>
      <c r="H754" s="0" t="s">
        <v>228</v>
      </c>
      <c r="I754" s="0" t="s">
        <v>5119</v>
      </c>
      <c r="J754" s="0" t="s">
        <v>228</v>
      </c>
      <c r="K754" s="0" t="s">
        <v>228</v>
      </c>
      <c r="L754" s="0" t="s">
        <v>228</v>
      </c>
      <c r="M754" s="0" t="s">
        <v>228</v>
      </c>
      <c r="N754" s="0" t="s">
        <v>228</v>
      </c>
      <c r="O754" s="0" t="s">
        <v>228</v>
      </c>
      <c r="P754" s="0" t="s">
        <v>228</v>
      </c>
      <c r="Q754" s="0" t="s">
        <v>228</v>
      </c>
      <c r="R754" s="0" t="s">
        <v>5439</v>
      </c>
      <c r="S754" s="0" t="s">
        <v>228</v>
      </c>
      <c r="T754" s="0" t="s">
        <v>228</v>
      </c>
      <c r="U754" s="0" t="s">
        <v>101</v>
      </c>
      <c r="V754" s="0" t="s">
        <v>228</v>
      </c>
      <c r="W754" s="0" t="s">
        <v>228</v>
      </c>
      <c r="X754" s="0" t="s">
        <v>3988</v>
      </c>
      <c r="Y754" s="0" t="s">
        <v>228</v>
      </c>
      <c r="Z754" s="0" t="s">
        <v>151</v>
      </c>
      <c r="AA754" s="0" t="s">
        <v>160</v>
      </c>
      <c r="AB754" s="0" t="s">
        <v>151</v>
      </c>
      <c r="AC754" s="0" t="s">
        <v>2311</v>
      </c>
      <c r="AD754" s="0" t="s">
        <v>2311</v>
      </c>
      <c r="AE754" s="0" t="s">
        <v>2312</v>
      </c>
      <c r="AF754" s="0" t="s">
        <v>4034</v>
      </c>
      <c r="AG754" s="0" t="s">
        <v>4035</v>
      </c>
      <c r="AH754" s="0" t="s">
        <v>5238</v>
      </c>
      <c r="AI754" s="0" t="s">
        <v>3608</v>
      </c>
      <c r="AJ754" s="0" t="s">
        <v>228</v>
      </c>
      <c r="AK754" s="0" t="s">
        <v>228</v>
      </c>
      <c r="AL754" s="0" t="s">
        <v>228</v>
      </c>
      <c r="AN754" s="0" t="s">
        <v>228</v>
      </c>
      <c r="AO754" s="0" t="s">
        <v>228</v>
      </c>
      <c r="AP754" s="0" t="s">
        <v>5235</v>
      </c>
      <c r="AQ754" s="0" t="s">
        <v>5236</v>
      </c>
      <c r="AR754" s="0" t="s">
        <v>111</v>
      </c>
      <c r="AS754" s="0" t="s">
        <v>3665</v>
      </c>
      <c r="AT754" s="0" t="s">
        <v>122</v>
      </c>
      <c r="AU754" s="0" t="s">
        <v>228</v>
      </c>
      <c r="AV754" s="0" t="s">
        <v>5439</v>
      </c>
      <c r="AW754" s="0" t="s">
        <v>2311</v>
      </c>
      <c r="AX754" s="0" t="s">
        <v>2311</v>
      </c>
      <c r="AY754" s="0" t="s">
        <v>3723</v>
      </c>
      <c r="AZ754" s="0" t="s">
        <v>4034</v>
      </c>
      <c r="BA754" s="0" t="s">
        <v>4038</v>
      </c>
      <c r="BB754" s="0" t="s">
        <v>5238</v>
      </c>
      <c r="BC754" s="0" t="s">
        <v>3608</v>
      </c>
      <c r="BD754" s="0" t="s">
        <v>3582</v>
      </c>
      <c r="BE754" s="0" t="s">
        <v>228</v>
      </c>
      <c r="BF754" s="0" t="s">
        <v>228</v>
      </c>
      <c r="BG754" s="0" t="s">
        <v>228</v>
      </c>
      <c r="BH754" s="0" t="s">
        <v>228</v>
      </c>
      <c r="BI754" s="0" t="s">
        <v>228</v>
      </c>
      <c r="BJ754" s="0" t="s">
        <v>228</v>
      </c>
      <c r="BK754" s="0" t="s">
        <v>228</v>
      </c>
      <c r="BL754" s="0" t="s">
        <v>228</v>
      </c>
      <c r="BM754" s="0" t="s">
        <v>228</v>
      </c>
      <c r="BN754" s="0" t="s">
        <v>228</v>
      </c>
      <c r="BO754" s="0" t="s">
        <v>228</v>
      </c>
      <c r="BP754" s="0" t="s">
        <v>228</v>
      </c>
      <c r="BQ754" s="0" t="s">
        <v>228</v>
      </c>
      <c r="BR754" s="0" t="s">
        <v>228</v>
      </c>
      <c r="BS754" s="0" t="s">
        <v>228</v>
      </c>
      <c r="BT754" s="0" t="s">
        <v>228</v>
      </c>
      <c r="CS754" s="0" t="s">
        <v>228</v>
      </c>
      <c r="CT754" s="0" t="s">
        <v>3568</v>
      </c>
      <c r="CU754" s="0" t="s">
        <v>3569</v>
      </c>
      <c r="CV754" s="0" t="s">
        <v>418</v>
      </c>
      <c r="CW754" s="0" t="s">
        <v>3584</v>
      </c>
      <c r="CX754" s="0" t="s">
        <v>419</v>
      </c>
      <c r="CY754" s="0" t="s">
        <v>418</v>
      </c>
      <c r="CZ754" s="0" t="s">
        <v>3585</v>
      </c>
      <c r="DA754" s="0" t="s">
        <v>3586</v>
      </c>
      <c r="DB754" s="0" t="s">
        <v>3584</v>
      </c>
      <c r="DC754" s="0" t="s">
        <v>362</v>
      </c>
      <c r="DD754" s="0" t="s">
        <v>282</v>
      </c>
      <c r="DE754" s="0" t="s">
        <v>5267</v>
      </c>
    </row>
    <row customHeight="1" ht="11.25">
      <c r="A755" s="1353" t="s">
        <v>228</v>
      </c>
      <c r="B755" s="0" t="s">
        <v>228</v>
      </c>
      <c r="C755" s="0" t="s">
        <v>228</v>
      </c>
      <c r="D755" s="0" t="s">
        <v>228</v>
      </c>
      <c r="E755" s="0" t="s">
        <v>228</v>
      </c>
      <c r="F755" s="0" t="s">
        <v>228</v>
      </c>
      <c r="G755" s="0" t="s">
        <v>228</v>
      </c>
      <c r="H755" s="0" t="s">
        <v>228</v>
      </c>
      <c r="I755" s="0" t="s">
        <v>5119</v>
      </c>
      <c r="J755" s="0" t="s">
        <v>228</v>
      </c>
      <c r="K755" s="0" t="s">
        <v>228</v>
      </c>
      <c r="L755" s="0" t="s">
        <v>228</v>
      </c>
      <c r="M755" s="0" t="s">
        <v>228</v>
      </c>
      <c r="N755" s="0" t="s">
        <v>228</v>
      </c>
      <c r="O755" s="0" t="s">
        <v>228</v>
      </c>
      <c r="P755" s="0" t="s">
        <v>228</v>
      </c>
      <c r="Q755" s="0" t="s">
        <v>228</v>
      </c>
      <c r="R755" s="0" t="s">
        <v>5547</v>
      </c>
      <c r="S755" s="0" t="s">
        <v>228</v>
      </c>
      <c r="T755" s="0" t="s">
        <v>228</v>
      </c>
      <c r="U755" s="0" t="s">
        <v>101</v>
      </c>
      <c r="V755" s="0" t="s">
        <v>228</v>
      </c>
      <c r="W755" s="0" t="s">
        <v>228</v>
      </c>
      <c r="X755" s="0" t="s">
        <v>5121</v>
      </c>
      <c r="Y755" s="0" t="s">
        <v>228</v>
      </c>
      <c r="Z755" s="0" t="s">
        <v>160</v>
      </c>
      <c r="AA755" s="0" t="s">
        <v>151</v>
      </c>
      <c r="AB755" s="0" t="s">
        <v>151</v>
      </c>
      <c r="AC755" s="0" t="s">
        <v>2290</v>
      </c>
      <c r="AD755" s="0" t="s">
        <v>2290</v>
      </c>
      <c r="AE755" s="0" t="s">
        <v>2292</v>
      </c>
      <c r="AF755" s="0" t="s">
        <v>4912</v>
      </c>
      <c r="AG755" s="0" t="s">
        <v>4913</v>
      </c>
      <c r="AH755" s="0" t="s">
        <v>5548</v>
      </c>
      <c r="AI755" s="0" t="s">
        <v>3608</v>
      </c>
      <c r="AJ755" s="0" t="s">
        <v>5549</v>
      </c>
      <c r="AK755" s="0" t="s">
        <v>5232</v>
      </c>
      <c r="AL755" s="0" t="s">
        <v>5125</v>
      </c>
      <c r="AN755" s="0" t="s">
        <v>3628</v>
      </c>
      <c r="AO755" s="0" t="s">
        <v>5291</v>
      </c>
      <c r="AP755" s="0" t="s">
        <v>228</v>
      </c>
      <c r="AQ755" s="0" t="s">
        <v>228</v>
      </c>
      <c r="AR755" s="0" t="s">
        <v>228</v>
      </c>
      <c r="AS755" s="0" t="s">
        <v>228</v>
      </c>
      <c r="AT755" s="0" t="s">
        <v>228</v>
      </c>
      <c r="AU755" s="0" t="s">
        <v>228</v>
      </c>
      <c r="AV755" s="0" t="s">
        <v>228</v>
      </c>
      <c r="AW755" s="0" t="s">
        <v>228</v>
      </c>
      <c r="AX755" s="0" t="s">
        <v>228</v>
      </c>
      <c r="AY755" s="0" t="s">
        <v>228</v>
      </c>
      <c r="AZ755" s="0" t="s">
        <v>228</v>
      </c>
      <c r="BA755" s="0" t="s">
        <v>228</v>
      </c>
      <c r="BB755" s="0" t="s">
        <v>228</v>
      </c>
      <c r="BC755" s="0" t="s">
        <v>228</v>
      </c>
      <c r="BD755" s="0" t="s">
        <v>228</v>
      </c>
      <c r="BE755" s="0" t="s">
        <v>228</v>
      </c>
      <c r="BF755" s="0" t="s">
        <v>228</v>
      </c>
      <c r="BG755" s="0" t="s">
        <v>228</v>
      </c>
      <c r="BH755" s="0" t="s">
        <v>228</v>
      </c>
      <c r="BI755" s="0" t="s">
        <v>228</v>
      </c>
      <c r="BJ755" s="0" t="s">
        <v>228</v>
      </c>
      <c r="BK755" s="0" t="s">
        <v>228</v>
      </c>
      <c r="BL755" s="0" t="s">
        <v>228</v>
      </c>
      <c r="BM755" s="0" t="s">
        <v>228</v>
      </c>
      <c r="BN755" s="0" t="s">
        <v>228</v>
      </c>
      <c r="BO755" s="0" t="s">
        <v>228</v>
      </c>
      <c r="BP755" s="0" t="s">
        <v>228</v>
      </c>
      <c r="BQ755" s="0" t="s">
        <v>228</v>
      </c>
      <c r="BR755" s="0" t="s">
        <v>228</v>
      </c>
      <c r="BS755" s="0" t="s">
        <v>228</v>
      </c>
      <c r="BT755" s="0" t="s">
        <v>228</v>
      </c>
      <c r="CS755" s="0" t="s">
        <v>228</v>
      </c>
      <c r="CT755" s="0" t="s">
        <v>3568</v>
      </c>
      <c r="CU755" s="0" t="s">
        <v>3569</v>
      </c>
      <c r="CV755" s="0" t="s">
        <v>418</v>
      </c>
      <c r="CW755" s="0" t="s">
        <v>4924</v>
      </c>
      <c r="CX755" s="0" t="s">
        <v>419</v>
      </c>
      <c r="CY755" s="0" t="s">
        <v>418</v>
      </c>
      <c r="CZ755" s="0" t="s">
        <v>319</v>
      </c>
      <c r="DA755" s="0" t="s">
        <v>420</v>
      </c>
      <c r="DB755" s="0" t="s">
        <v>4924</v>
      </c>
      <c r="DC755" s="0" t="s">
        <v>362</v>
      </c>
      <c r="DD755" s="0" t="s">
        <v>282</v>
      </c>
      <c r="DE755" s="0" t="s">
        <v>5550</v>
      </c>
    </row>
    <row customHeight="1" ht="11.25">
      <c r="A756" s="1353" t="s">
        <v>228</v>
      </c>
      <c r="B756" s="0" t="s">
        <v>228</v>
      </c>
      <c r="C756" s="0" t="s">
        <v>228</v>
      </c>
      <c r="D756" s="0" t="s">
        <v>228</v>
      </c>
      <c r="E756" s="0" t="s">
        <v>228</v>
      </c>
      <c r="F756" s="0" t="s">
        <v>228</v>
      </c>
      <c r="G756" s="0" t="s">
        <v>228</v>
      </c>
      <c r="H756" s="0" t="s">
        <v>228</v>
      </c>
      <c r="I756" s="0" t="s">
        <v>5119</v>
      </c>
      <c r="J756" s="0" t="s">
        <v>228</v>
      </c>
      <c r="K756" s="0" t="s">
        <v>228</v>
      </c>
      <c r="L756" s="0" t="s">
        <v>228</v>
      </c>
      <c r="M756" s="0" t="s">
        <v>228</v>
      </c>
      <c r="N756" s="0" t="s">
        <v>228</v>
      </c>
      <c r="O756" s="0" t="s">
        <v>228</v>
      </c>
      <c r="P756" s="0" t="s">
        <v>228</v>
      </c>
      <c r="Q756" s="0" t="s">
        <v>228</v>
      </c>
      <c r="R756" s="0" t="s">
        <v>5551</v>
      </c>
      <c r="S756" s="0" t="s">
        <v>228</v>
      </c>
      <c r="T756" s="0" t="s">
        <v>228</v>
      </c>
      <c r="U756" s="0" t="s">
        <v>101</v>
      </c>
      <c r="V756" s="0" t="s">
        <v>228</v>
      </c>
      <c r="W756" s="0" t="s">
        <v>228</v>
      </c>
      <c r="X756" s="0" t="s">
        <v>5121</v>
      </c>
      <c r="Y756" s="0" t="s">
        <v>228</v>
      </c>
      <c r="Z756" s="0" t="s">
        <v>160</v>
      </c>
      <c r="AA756" s="0" t="s">
        <v>151</v>
      </c>
      <c r="AB756" s="0" t="s">
        <v>151</v>
      </c>
      <c r="AC756" s="0" t="s">
        <v>2715</v>
      </c>
      <c r="AD756" s="0" t="s">
        <v>2715</v>
      </c>
      <c r="AE756" s="0" t="s">
        <v>2716</v>
      </c>
      <c r="AF756" s="0" t="s">
        <v>3594</v>
      </c>
      <c r="AG756" s="0" t="s">
        <v>3595</v>
      </c>
      <c r="AH756" s="0" t="s">
        <v>5317</v>
      </c>
      <c r="AI756" s="0" t="s">
        <v>5552</v>
      </c>
      <c r="AJ756" s="0" t="s">
        <v>4342</v>
      </c>
      <c r="AK756" s="0" t="s">
        <v>5553</v>
      </c>
      <c r="AL756" s="0" t="s">
        <v>5125</v>
      </c>
      <c r="AN756" s="0" t="s">
        <v>3566</v>
      </c>
      <c r="AO756" s="0" t="s">
        <v>5320</v>
      </c>
      <c r="AP756" s="0" t="s">
        <v>228</v>
      </c>
      <c r="AQ756" s="0" t="s">
        <v>228</v>
      </c>
      <c r="AR756" s="0" t="s">
        <v>228</v>
      </c>
      <c r="AS756" s="0" t="s">
        <v>228</v>
      </c>
      <c r="AT756" s="0" t="s">
        <v>228</v>
      </c>
      <c r="AU756" s="0" t="s">
        <v>228</v>
      </c>
      <c r="AV756" s="0" t="s">
        <v>228</v>
      </c>
      <c r="AW756" s="0" t="s">
        <v>228</v>
      </c>
      <c r="AX756" s="0" t="s">
        <v>228</v>
      </c>
      <c r="AY756" s="0" t="s">
        <v>228</v>
      </c>
      <c r="AZ756" s="0" t="s">
        <v>228</v>
      </c>
      <c r="BA756" s="0" t="s">
        <v>228</v>
      </c>
      <c r="BB756" s="0" t="s">
        <v>228</v>
      </c>
      <c r="BC756" s="0" t="s">
        <v>228</v>
      </c>
      <c r="BD756" s="0" t="s">
        <v>228</v>
      </c>
      <c r="BE756" s="0" t="s">
        <v>228</v>
      </c>
      <c r="BF756" s="0" t="s">
        <v>228</v>
      </c>
      <c r="BG756" s="0" t="s">
        <v>228</v>
      </c>
      <c r="BH756" s="0" t="s">
        <v>228</v>
      </c>
      <c r="BI756" s="0" t="s">
        <v>228</v>
      </c>
      <c r="BJ756" s="0" t="s">
        <v>228</v>
      </c>
      <c r="BK756" s="0" t="s">
        <v>228</v>
      </c>
      <c r="BL756" s="0" t="s">
        <v>228</v>
      </c>
      <c r="BM756" s="0" t="s">
        <v>228</v>
      </c>
      <c r="BN756" s="0" t="s">
        <v>228</v>
      </c>
      <c r="BO756" s="0" t="s">
        <v>228</v>
      </c>
      <c r="BP756" s="0" t="s">
        <v>228</v>
      </c>
      <c r="BQ756" s="0" t="s">
        <v>228</v>
      </c>
      <c r="BR756" s="0" t="s">
        <v>228</v>
      </c>
      <c r="BS756" s="0" t="s">
        <v>228</v>
      </c>
      <c r="BT756" s="0" t="s">
        <v>228</v>
      </c>
      <c r="CS756" s="0" t="s">
        <v>228</v>
      </c>
      <c r="CT756" s="0" t="s">
        <v>3568</v>
      </c>
      <c r="CU756" s="0" t="s">
        <v>5128</v>
      </c>
      <c r="CV756" s="0" t="s">
        <v>4649</v>
      </c>
      <c r="CW756" s="0" t="s">
        <v>5554</v>
      </c>
      <c r="CX756" s="0" t="s">
        <v>3603</v>
      </c>
      <c r="CY756" s="0" t="s">
        <v>5322</v>
      </c>
      <c r="CZ756" s="0" t="s">
        <v>5555</v>
      </c>
      <c r="DA756" s="0" t="s">
        <v>5320</v>
      </c>
      <c r="DB756" s="0" t="s">
        <v>5554</v>
      </c>
      <c r="DC756" s="0" t="s">
        <v>362</v>
      </c>
      <c r="DD756" s="0" t="s">
        <v>282</v>
      </c>
      <c r="DE756" s="0" t="s">
        <v>5556</v>
      </c>
    </row>
    <row customHeight="1" ht="11.25">
      <c r="A757" s="1353" t="s">
        <v>228</v>
      </c>
      <c r="B757" s="0" t="s">
        <v>228</v>
      </c>
      <c r="C757" s="0" t="s">
        <v>228</v>
      </c>
      <c r="D757" s="0" t="s">
        <v>228</v>
      </c>
      <c r="E757" s="0" t="s">
        <v>228</v>
      </c>
      <c r="F757" s="0" t="s">
        <v>228</v>
      </c>
      <c r="G757" s="0" t="s">
        <v>228</v>
      </c>
      <c r="H757" s="0" t="s">
        <v>228</v>
      </c>
      <c r="I757" s="0" t="s">
        <v>5119</v>
      </c>
      <c r="J757" s="0" t="s">
        <v>228</v>
      </c>
      <c r="K757" s="0" t="s">
        <v>228</v>
      </c>
      <c r="L757" s="0" t="s">
        <v>228</v>
      </c>
      <c r="M757" s="0" t="s">
        <v>228</v>
      </c>
      <c r="N757" s="0" t="s">
        <v>228</v>
      </c>
      <c r="O757" s="0" t="s">
        <v>228</v>
      </c>
      <c r="P757" s="0" t="s">
        <v>228</v>
      </c>
      <c r="Q757" s="0" t="s">
        <v>228</v>
      </c>
      <c r="R757" s="0" t="s">
        <v>5557</v>
      </c>
      <c r="S757" s="0" t="s">
        <v>228</v>
      </c>
      <c r="T757" s="0" t="s">
        <v>228</v>
      </c>
      <c r="U757" s="0" t="s">
        <v>101</v>
      </c>
      <c r="V757" s="0" t="s">
        <v>228</v>
      </c>
      <c r="W757" s="0" t="s">
        <v>228</v>
      </c>
      <c r="X757" s="0" t="s">
        <v>5121</v>
      </c>
      <c r="Y757" s="0" t="s">
        <v>228</v>
      </c>
      <c r="Z757" s="0" t="s">
        <v>160</v>
      </c>
      <c r="AA757" s="0" t="s">
        <v>151</v>
      </c>
      <c r="AB757" s="0" t="s">
        <v>151</v>
      </c>
      <c r="AC757" s="0" t="s">
        <v>2290</v>
      </c>
      <c r="AD757" s="0" t="s">
        <v>2290</v>
      </c>
      <c r="AE757" s="0" t="s">
        <v>2292</v>
      </c>
      <c r="AF757" s="0" t="s">
        <v>3558</v>
      </c>
      <c r="AG757" s="0" t="s">
        <v>3559</v>
      </c>
      <c r="AH757" s="0" t="s">
        <v>5558</v>
      </c>
      <c r="AI757" s="0" t="s">
        <v>1688</v>
      </c>
      <c r="AJ757" s="0" t="s">
        <v>3899</v>
      </c>
      <c r="AK757" s="0" t="s">
        <v>3619</v>
      </c>
      <c r="AL757" s="0" t="s">
        <v>5125</v>
      </c>
      <c r="AN757" s="0" t="s">
        <v>3833</v>
      </c>
      <c r="AO757" s="0" t="s">
        <v>4574</v>
      </c>
      <c r="AP757" s="0" t="s">
        <v>228</v>
      </c>
      <c r="AQ757" s="0" t="s">
        <v>228</v>
      </c>
      <c r="AR757" s="0" t="s">
        <v>228</v>
      </c>
      <c r="AS757" s="0" t="s">
        <v>228</v>
      </c>
      <c r="AT757" s="0" t="s">
        <v>228</v>
      </c>
      <c r="AU757" s="0" t="s">
        <v>228</v>
      </c>
      <c r="AV757" s="0" t="s">
        <v>228</v>
      </c>
      <c r="AW757" s="0" t="s">
        <v>228</v>
      </c>
      <c r="AX757" s="0" t="s">
        <v>228</v>
      </c>
      <c r="AY757" s="0" t="s">
        <v>228</v>
      </c>
      <c r="AZ757" s="0" t="s">
        <v>228</v>
      </c>
      <c r="BA757" s="0" t="s">
        <v>228</v>
      </c>
      <c r="BB757" s="0" t="s">
        <v>228</v>
      </c>
      <c r="BC757" s="0" t="s">
        <v>228</v>
      </c>
      <c r="BD757" s="0" t="s">
        <v>228</v>
      </c>
      <c r="BE757" s="0" t="s">
        <v>228</v>
      </c>
      <c r="BF757" s="0" t="s">
        <v>228</v>
      </c>
      <c r="BG757" s="0" t="s">
        <v>228</v>
      </c>
      <c r="BH757" s="0" t="s">
        <v>228</v>
      </c>
      <c r="BI757" s="0" t="s">
        <v>228</v>
      </c>
      <c r="BJ757" s="0" t="s">
        <v>228</v>
      </c>
      <c r="BK757" s="0" t="s">
        <v>228</v>
      </c>
      <c r="BL757" s="0" t="s">
        <v>228</v>
      </c>
      <c r="BM757" s="0" t="s">
        <v>228</v>
      </c>
      <c r="BN757" s="0" t="s">
        <v>228</v>
      </c>
      <c r="BO757" s="0" t="s">
        <v>228</v>
      </c>
      <c r="BP757" s="0" t="s">
        <v>228</v>
      </c>
      <c r="BQ757" s="0" t="s">
        <v>228</v>
      </c>
      <c r="BR757" s="0" t="s">
        <v>228</v>
      </c>
      <c r="BS757" s="0" t="s">
        <v>228</v>
      </c>
      <c r="BT757" s="0" t="s">
        <v>228</v>
      </c>
      <c r="CS757" s="0" t="s">
        <v>228</v>
      </c>
      <c r="CT757" s="0" t="s">
        <v>3568</v>
      </c>
      <c r="CU757" s="0" t="s">
        <v>3569</v>
      </c>
      <c r="CV757" s="0" t="s">
        <v>418</v>
      </c>
      <c r="CW757" s="0" t="s">
        <v>3570</v>
      </c>
      <c r="CX757" s="0" t="s">
        <v>419</v>
      </c>
      <c r="CY757" s="0" t="s">
        <v>418</v>
      </c>
      <c r="CZ757" s="0" t="s">
        <v>3571</v>
      </c>
      <c r="DA757" s="0" t="s">
        <v>420</v>
      </c>
      <c r="DB757" s="0" t="s">
        <v>3570</v>
      </c>
      <c r="DC757" s="0" t="s">
        <v>362</v>
      </c>
      <c r="DD757" s="0" t="s">
        <v>282</v>
      </c>
      <c r="DE757" s="0" t="s">
        <v>5559</v>
      </c>
    </row>
    <row customHeight="1" ht="11.25">
      <c r="A758" s="1353" t="s">
        <v>228</v>
      </c>
      <c r="B758" s="0" t="s">
        <v>228</v>
      </c>
      <c r="C758" s="0" t="s">
        <v>228</v>
      </c>
      <c r="D758" s="0" t="s">
        <v>228</v>
      </c>
      <c r="E758" s="0" t="s">
        <v>228</v>
      </c>
      <c r="F758" s="0" t="s">
        <v>228</v>
      </c>
      <c r="G758" s="0" t="s">
        <v>228</v>
      </c>
      <c r="H758" s="0" t="s">
        <v>228</v>
      </c>
      <c r="I758" s="0" t="s">
        <v>5119</v>
      </c>
      <c r="J758" s="0" t="s">
        <v>228</v>
      </c>
      <c r="K758" s="0" t="s">
        <v>228</v>
      </c>
      <c r="L758" s="0" t="s">
        <v>228</v>
      </c>
      <c r="M758" s="0" t="s">
        <v>228</v>
      </c>
      <c r="N758" s="0" t="s">
        <v>228</v>
      </c>
      <c r="O758" s="0" t="s">
        <v>228</v>
      </c>
      <c r="P758" s="0" t="s">
        <v>228</v>
      </c>
      <c r="Q758" s="0" t="s">
        <v>228</v>
      </c>
      <c r="R758" s="0" t="s">
        <v>5560</v>
      </c>
      <c r="S758" s="0" t="s">
        <v>228</v>
      </c>
      <c r="T758" s="0" t="s">
        <v>228</v>
      </c>
      <c r="U758" s="0" t="s">
        <v>101</v>
      </c>
      <c r="V758" s="0" t="s">
        <v>228</v>
      </c>
      <c r="W758" s="0" t="s">
        <v>228</v>
      </c>
      <c r="X758" s="0" t="s">
        <v>5121</v>
      </c>
      <c r="Y758" s="0" t="s">
        <v>228</v>
      </c>
      <c r="Z758" s="0" t="s">
        <v>160</v>
      </c>
      <c r="AA758" s="0" t="s">
        <v>151</v>
      </c>
      <c r="AB758" s="0" t="s">
        <v>151</v>
      </c>
      <c r="AC758" s="0" t="s">
        <v>2290</v>
      </c>
      <c r="AD758" s="0" t="s">
        <v>2290</v>
      </c>
      <c r="AE758" s="0" t="s">
        <v>2292</v>
      </c>
      <c r="AF758" s="0" t="s">
        <v>3558</v>
      </c>
      <c r="AG758" s="0" t="s">
        <v>3559</v>
      </c>
      <c r="AH758" s="0" t="s">
        <v>5561</v>
      </c>
      <c r="AI758" s="0" t="s">
        <v>5562</v>
      </c>
      <c r="AJ758" s="0" t="s">
        <v>5236</v>
      </c>
      <c r="AK758" s="0" t="s">
        <v>4075</v>
      </c>
      <c r="AL758" s="0" t="s">
        <v>5125</v>
      </c>
      <c r="AN758" s="0" t="s">
        <v>3734</v>
      </c>
      <c r="AO758" s="0" t="s">
        <v>3655</v>
      </c>
      <c r="AP758" s="0" t="s">
        <v>228</v>
      </c>
      <c r="AQ758" s="0" t="s">
        <v>228</v>
      </c>
      <c r="AR758" s="0" t="s">
        <v>228</v>
      </c>
      <c r="AS758" s="0" t="s">
        <v>228</v>
      </c>
      <c r="AT758" s="0" t="s">
        <v>228</v>
      </c>
      <c r="AU758" s="0" t="s">
        <v>228</v>
      </c>
      <c r="AV758" s="0" t="s">
        <v>228</v>
      </c>
      <c r="AW758" s="0" t="s">
        <v>228</v>
      </c>
      <c r="AX758" s="0" t="s">
        <v>228</v>
      </c>
      <c r="AY758" s="0" t="s">
        <v>228</v>
      </c>
      <c r="AZ758" s="0" t="s">
        <v>228</v>
      </c>
      <c r="BA758" s="0" t="s">
        <v>228</v>
      </c>
      <c r="BB758" s="0" t="s">
        <v>228</v>
      </c>
      <c r="BC758" s="0" t="s">
        <v>228</v>
      </c>
      <c r="BD758" s="0" t="s">
        <v>228</v>
      </c>
      <c r="BE758" s="0" t="s">
        <v>228</v>
      </c>
      <c r="BF758" s="0" t="s">
        <v>228</v>
      </c>
      <c r="BG758" s="0" t="s">
        <v>228</v>
      </c>
      <c r="BH758" s="0" t="s">
        <v>228</v>
      </c>
      <c r="BI758" s="0" t="s">
        <v>228</v>
      </c>
      <c r="BJ758" s="0" t="s">
        <v>228</v>
      </c>
      <c r="BK758" s="0" t="s">
        <v>228</v>
      </c>
      <c r="BL758" s="0" t="s">
        <v>228</v>
      </c>
      <c r="BM758" s="0" t="s">
        <v>228</v>
      </c>
      <c r="BN758" s="0" t="s">
        <v>228</v>
      </c>
      <c r="BO758" s="0" t="s">
        <v>228</v>
      </c>
      <c r="BP758" s="0" t="s">
        <v>228</v>
      </c>
      <c r="BQ758" s="0" t="s">
        <v>228</v>
      </c>
      <c r="BR758" s="0" t="s">
        <v>228</v>
      </c>
      <c r="BS758" s="0" t="s">
        <v>228</v>
      </c>
      <c r="BT758" s="0" t="s">
        <v>228</v>
      </c>
      <c r="CS758" s="0" t="s">
        <v>228</v>
      </c>
      <c r="CT758" s="0" t="s">
        <v>3568</v>
      </c>
      <c r="CU758" s="0" t="s">
        <v>3569</v>
      </c>
      <c r="CV758" s="0" t="s">
        <v>418</v>
      </c>
      <c r="CW758" s="0" t="s">
        <v>3570</v>
      </c>
      <c r="CX758" s="0" t="s">
        <v>419</v>
      </c>
      <c r="CY758" s="0" t="s">
        <v>418</v>
      </c>
      <c r="CZ758" s="0" t="s">
        <v>3571</v>
      </c>
      <c r="DA758" s="0" t="s">
        <v>420</v>
      </c>
      <c r="DB758" s="0" t="s">
        <v>3570</v>
      </c>
      <c r="DC758" s="0" t="s">
        <v>362</v>
      </c>
      <c r="DD758" s="0" t="s">
        <v>282</v>
      </c>
      <c r="DE758" s="0" t="s">
        <v>5563</v>
      </c>
    </row>
    <row customHeight="1" ht="11.25">
      <c r="A759" s="1353" t="s">
        <v>228</v>
      </c>
      <c r="B759" s="0" t="s">
        <v>228</v>
      </c>
      <c r="C759" s="0" t="s">
        <v>228</v>
      </c>
      <c r="D759" s="0" t="s">
        <v>228</v>
      </c>
      <c r="E759" s="0" t="s">
        <v>228</v>
      </c>
      <c r="F759" s="0" t="s">
        <v>228</v>
      </c>
      <c r="G759" s="0" t="s">
        <v>228</v>
      </c>
      <c r="H759" s="0" t="s">
        <v>228</v>
      </c>
      <c r="I759" s="0" t="s">
        <v>5119</v>
      </c>
      <c r="J759" s="0" t="s">
        <v>228</v>
      </c>
      <c r="K759" s="0" t="s">
        <v>228</v>
      </c>
      <c r="L759" s="0" t="s">
        <v>228</v>
      </c>
      <c r="M759" s="0" t="s">
        <v>228</v>
      </c>
      <c r="N759" s="0" t="s">
        <v>228</v>
      </c>
      <c r="O759" s="0" t="s">
        <v>228</v>
      </c>
      <c r="P759" s="0" t="s">
        <v>228</v>
      </c>
      <c r="Q759" s="0" t="s">
        <v>228</v>
      </c>
      <c r="R759" s="0" t="s">
        <v>5564</v>
      </c>
      <c r="S759" s="0" t="s">
        <v>228</v>
      </c>
      <c r="T759" s="0" t="s">
        <v>228</v>
      </c>
      <c r="U759" s="0" t="s">
        <v>101</v>
      </c>
      <c r="V759" s="0" t="s">
        <v>228</v>
      </c>
      <c r="W759" s="0" t="s">
        <v>228</v>
      </c>
      <c r="X759" s="0" t="s">
        <v>5121</v>
      </c>
      <c r="Y759" s="0" t="s">
        <v>228</v>
      </c>
      <c r="Z759" s="0" t="s">
        <v>160</v>
      </c>
      <c r="AA759" s="0" t="s">
        <v>151</v>
      </c>
      <c r="AB759" s="0" t="s">
        <v>151</v>
      </c>
      <c r="AC759" s="0" t="s">
        <v>2290</v>
      </c>
      <c r="AD759" s="0" t="s">
        <v>2290</v>
      </c>
      <c r="AE759" s="0" t="s">
        <v>2292</v>
      </c>
      <c r="AF759" s="0" t="s">
        <v>3558</v>
      </c>
      <c r="AG759" s="0" t="s">
        <v>3559</v>
      </c>
      <c r="AH759" s="0" t="s">
        <v>5565</v>
      </c>
      <c r="AI759" s="0" t="s">
        <v>3578</v>
      </c>
      <c r="AJ759" s="0" t="s">
        <v>5279</v>
      </c>
      <c r="AK759" s="0" t="s">
        <v>5566</v>
      </c>
      <c r="AL759" s="0" t="s">
        <v>5125</v>
      </c>
      <c r="AN759" s="0" t="s">
        <v>4293</v>
      </c>
      <c r="AO759" s="0" t="s">
        <v>5266</v>
      </c>
      <c r="AP759" s="0" t="s">
        <v>228</v>
      </c>
      <c r="AQ759" s="0" t="s">
        <v>228</v>
      </c>
      <c r="AR759" s="0" t="s">
        <v>228</v>
      </c>
      <c r="AS759" s="0" t="s">
        <v>228</v>
      </c>
      <c r="AT759" s="0" t="s">
        <v>228</v>
      </c>
      <c r="AU759" s="0" t="s">
        <v>228</v>
      </c>
      <c r="AV759" s="0" t="s">
        <v>228</v>
      </c>
      <c r="AW759" s="0" t="s">
        <v>228</v>
      </c>
      <c r="AX759" s="0" t="s">
        <v>228</v>
      </c>
      <c r="AY759" s="0" t="s">
        <v>228</v>
      </c>
      <c r="AZ759" s="0" t="s">
        <v>228</v>
      </c>
      <c r="BA759" s="0" t="s">
        <v>228</v>
      </c>
      <c r="BB759" s="0" t="s">
        <v>228</v>
      </c>
      <c r="BC759" s="0" t="s">
        <v>228</v>
      </c>
      <c r="BD759" s="0" t="s">
        <v>228</v>
      </c>
      <c r="BE759" s="0" t="s">
        <v>228</v>
      </c>
      <c r="BF759" s="0" t="s">
        <v>228</v>
      </c>
      <c r="BG759" s="0" t="s">
        <v>228</v>
      </c>
      <c r="BH759" s="0" t="s">
        <v>228</v>
      </c>
      <c r="BI759" s="0" t="s">
        <v>228</v>
      </c>
      <c r="BJ759" s="0" t="s">
        <v>228</v>
      </c>
      <c r="BK759" s="0" t="s">
        <v>228</v>
      </c>
      <c r="BL759" s="0" t="s">
        <v>228</v>
      </c>
      <c r="BM759" s="0" t="s">
        <v>228</v>
      </c>
      <c r="BN759" s="0" t="s">
        <v>228</v>
      </c>
      <c r="BO759" s="0" t="s">
        <v>228</v>
      </c>
      <c r="BP759" s="0" t="s">
        <v>228</v>
      </c>
      <c r="BQ759" s="0" t="s">
        <v>228</v>
      </c>
      <c r="BR759" s="0" t="s">
        <v>228</v>
      </c>
      <c r="BS759" s="0" t="s">
        <v>228</v>
      </c>
      <c r="BT759" s="0" t="s">
        <v>228</v>
      </c>
      <c r="CS759" s="0" t="s">
        <v>228</v>
      </c>
      <c r="CT759" s="0" t="s">
        <v>3568</v>
      </c>
      <c r="CU759" s="0" t="s">
        <v>3569</v>
      </c>
      <c r="CV759" s="0" t="s">
        <v>418</v>
      </c>
      <c r="CW759" s="0" t="s">
        <v>3570</v>
      </c>
      <c r="CX759" s="0" t="s">
        <v>419</v>
      </c>
      <c r="CY759" s="0" t="s">
        <v>418</v>
      </c>
      <c r="CZ759" s="0" t="s">
        <v>3571</v>
      </c>
      <c r="DA759" s="0" t="s">
        <v>420</v>
      </c>
      <c r="DB759" s="0" t="s">
        <v>3570</v>
      </c>
      <c r="DC759" s="0" t="s">
        <v>362</v>
      </c>
      <c r="DD759" s="0" t="s">
        <v>282</v>
      </c>
      <c r="DE759" s="0" t="s">
        <v>5567</v>
      </c>
    </row>
    <row customHeight="1" ht="11.25">
      <c r="A760" s="1353" t="s">
        <v>228</v>
      </c>
      <c r="B760" s="0" t="s">
        <v>228</v>
      </c>
      <c r="C760" s="0" t="s">
        <v>228</v>
      </c>
      <c r="D760" s="0" t="s">
        <v>228</v>
      </c>
      <c r="E760" s="0" t="s">
        <v>228</v>
      </c>
      <c r="F760" s="0" t="s">
        <v>228</v>
      </c>
      <c r="G760" s="0" t="s">
        <v>228</v>
      </c>
      <c r="H760" s="0" t="s">
        <v>228</v>
      </c>
      <c r="I760" s="0" t="s">
        <v>5119</v>
      </c>
      <c r="J760" s="0" t="s">
        <v>228</v>
      </c>
      <c r="K760" s="0" t="s">
        <v>228</v>
      </c>
      <c r="L760" s="0" t="s">
        <v>228</v>
      </c>
      <c r="M760" s="0" t="s">
        <v>228</v>
      </c>
      <c r="N760" s="0" t="s">
        <v>228</v>
      </c>
      <c r="O760" s="0" t="s">
        <v>228</v>
      </c>
      <c r="P760" s="0" t="s">
        <v>228</v>
      </c>
      <c r="Q760" s="0" t="s">
        <v>228</v>
      </c>
      <c r="R760" s="0" t="s">
        <v>5523</v>
      </c>
      <c r="S760" s="0" t="s">
        <v>228</v>
      </c>
      <c r="T760" s="0" t="s">
        <v>228</v>
      </c>
      <c r="U760" s="0" t="s">
        <v>101</v>
      </c>
      <c r="V760" s="0" t="s">
        <v>228</v>
      </c>
      <c r="W760" s="0" t="s">
        <v>228</v>
      </c>
      <c r="X760" s="0" t="s">
        <v>5121</v>
      </c>
      <c r="Y760" s="0" t="s">
        <v>228</v>
      </c>
      <c r="Z760" s="0" t="s">
        <v>160</v>
      </c>
      <c r="AA760" s="0" t="s">
        <v>151</v>
      </c>
      <c r="AB760" s="0" t="s">
        <v>151</v>
      </c>
      <c r="AC760" s="0" t="s">
        <v>2715</v>
      </c>
      <c r="AD760" s="0" t="s">
        <v>2715</v>
      </c>
      <c r="AE760" s="0" t="s">
        <v>2716</v>
      </c>
      <c r="AF760" s="0" t="s">
        <v>3594</v>
      </c>
      <c r="AG760" s="0" t="s">
        <v>3595</v>
      </c>
      <c r="AH760" s="0" t="s">
        <v>3837</v>
      </c>
      <c r="AI760" s="0" t="s">
        <v>3608</v>
      </c>
      <c r="AJ760" s="0" t="s">
        <v>3985</v>
      </c>
      <c r="AK760" s="0" t="s">
        <v>5524</v>
      </c>
      <c r="AL760" s="0" t="s">
        <v>5125</v>
      </c>
      <c r="AN760" s="0" t="s">
        <v>5525</v>
      </c>
      <c r="AO760" s="0" t="s">
        <v>5526</v>
      </c>
      <c r="AP760" s="0" t="s">
        <v>228</v>
      </c>
      <c r="AQ760" s="0" t="s">
        <v>228</v>
      </c>
      <c r="AR760" s="0" t="s">
        <v>228</v>
      </c>
      <c r="AS760" s="0" t="s">
        <v>228</v>
      </c>
      <c r="AT760" s="0" t="s">
        <v>228</v>
      </c>
      <c r="AU760" s="0" t="s">
        <v>228</v>
      </c>
      <c r="AV760" s="0" t="s">
        <v>228</v>
      </c>
      <c r="AW760" s="0" t="s">
        <v>228</v>
      </c>
      <c r="AX760" s="0" t="s">
        <v>228</v>
      </c>
      <c r="AY760" s="0" t="s">
        <v>228</v>
      </c>
      <c r="AZ760" s="0" t="s">
        <v>228</v>
      </c>
      <c r="BA760" s="0" t="s">
        <v>228</v>
      </c>
      <c r="BB760" s="0" t="s">
        <v>228</v>
      </c>
      <c r="BC760" s="0" t="s">
        <v>228</v>
      </c>
      <c r="BD760" s="0" t="s">
        <v>228</v>
      </c>
      <c r="BE760" s="0" t="s">
        <v>228</v>
      </c>
      <c r="BF760" s="0" t="s">
        <v>228</v>
      </c>
      <c r="BG760" s="0" t="s">
        <v>228</v>
      </c>
      <c r="BH760" s="0" t="s">
        <v>228</v>
      </c>
      <c r="BI760" s="0" t="s">
        <v>228</v>
      </c>
      <c r="BJ760" s="0" t="s">
        <v>228</v>
      </c>
      <c r="BK760" s="0" t="s">
        <v>228</v>
      </c>
      <c r="BL760" s="0" t="s">
        <v>228</v>
      </c>
      <c r="BM760" s="0" t="s">
        <v>228</v>
      </c>
      <c r="BN760" s="0" t="s">
        <v>228</v>
      </c>
      <c r="BO760" s="0" t="s">
        <v>228</v>
      </c>
      <c r="BP760" s="0" t="s">
        <v>228</v>
      </c>
      <c r="BQ760" s="0" t="s">
        <v>228</v>
      </c>
      <c r="BR760" s="0" t="s">
        <v>228</v>
      </c>
      <c r="BS760" s="0" t="s">
        <v>228</v>
      </c>
      <c r="BT760" s="0" t="s">
        <v>228</v>
      </c>
      <c r="CS760" s="0" t="s">
        <v>228</v>
      </c>
      <c r="CT760" s="0" t="s">
        <v>3568</v>
      </c>
      <c r="CU760" s="0" t="s">
        <v>3569</v>
      </c>
      <c r="CV760" s="0" t="s">
        <v>418</v>
      </c>
      <c r="CW760" s="0" t="s">
        <v>3602</v>
      </c>
      <c r="CX760" s="0" t="s">
        <v>3603</v>
      </c>
      <c r="CY760" s="0" t="s">
        <v>418</v>
      </c>
      <c r="CZ760" s="0" t="s">
        <v>504</v>
      </c>
      <c r="DA760" s="0" t="s">
        <v>3604</v>
      </c>
      <c r="DB760" s="0" t="s">
        <v>3602</v>
      </c>
      <c r="DC760" s="0" t="s">
        <v>362</v>
      </c>
      <c r="DD760" s="0" t="s">
        <v>282</v>
      </c>
      <c r="DE760" s="0" t="s">
        <v>3842</v>
      </c>
    </row>
    <row customHeight="1" ht="11.25">
      <c r="A761" s="1353" t="s">
        <v>228</v>
      </c>
      <c r="B761" s="0" t="s">
        <v>228</v>
      </c>
      <c r="C761" s="0" t="s">
        <v>228</v>
      </c>
      <c r="D761" s="0" t="s">
        <v>228</v>
      </c>
      <c r="E761" s="0" t="s">
        <v>228</v>
      </c>
      <c r="F761" s="0" t="s">
        <v>228</v>
      </c>
      <c r="G761" s="0" t="s">
        <v>228</v>
      </c>
      <c r="H761" s="0" t="s">
        <v>228</v>
      </c>
      <c r="I761" s="0" t="s">
        <v>5119</v>
      </c>
      <c r="J761" s="0" t="s">
        <v>228</v>
      </c>
      <c r="K761" s="0" t="s">
        <v>228</v>
      </c>
      <c r="L761" s="0" t="s">
        <v>228</v>
      </c>
      <c r="M761" s="0" t="s">
        <v>228</v>
      </c>
      <c r="N761" s="0" t="s">
        <v>228</v>
      </c>
      <c r="O761" s="0" t="s">
        <v>228</v>
      </c>
      <c r="P761" s="0" t="s">
        <v>228</v>
      </c>
      <c r="Q761" s="0" t="s">
        <v>228</v>
      </c>
      <c r="R761" s="0" t="s">
        <v>5120</v>
      </c>
      <c r="S761" s="0" t="s">
        <v>228</v>
      </c>
      <c r="T761" s="0" t="s">
        <v>228</v>
      </c>
      <c r="U761" s="0" t="s">
        <v>101</v>
      </c>
      <c r="V761" s="0" t="s">
        <v>228</v>
      </c>
      <c r="W761" s="0" t="s">
        <v>228</v>
      </c>
      <c r="X761" s="0" t="s">
        <v>5121</v>
      </c>
      <c r="Y761" s="0" t="s">
        <v>228</v>
      </c>
      <c r="Z761" s="0" t="s">
        <v>160</v>
      </c>
      <c r="AA761" s="0" t="s">
        <v>151</v>
      </c>
      <c r="AB761" s="0" t="s">
        <v>151</v>
      </c>
      <c r="AC761" s="0" t="s">
        <v>2715</v>
      </c>
      <c r="AD761" s="0" t="s">
        <v>2715</v>
      </c>
      <c r="AE761" s="0" t="s">
        <v>2716</v>
      </c>
      <c r="AF761" s="0" t="s">
        <v>3594</v>
      </c>
      <c r="AG761" s="0" t="s">
        <v>3595</v>
      </c>
      <c r="AH761" s="0" t="s">
        <v>5122</v>
      </c>
      <c r="AI761" s="0" t="s">
        <v>3608</v>
      </c>
      <c r="AJ761" s="0" t="s">
        <v>5123</v>
      </c>
      <c r="AK761" s="0" t="s">
        <v>5124</v>
      </c>
      <c r="AL761" s="0" t="s">
        <v>5125</v>
      </c>
      <c r="AN761" s="0" t="s">
        <v>5126</v>
      </c>
      <c r="AO761" s="0" t="s">
        <v>5127</v>
      </c>
      <c r="AP761" s="0" t="s">
        <v>228</v>
      </c>
      <c r="AQ761" s="0" t="s">
        <v>228</v>
      </c>
      <c r="AR761" s="0" t="s">
        <v>228</v>
      </c>
      <c r="AS761" s="0" t="s">
        <v>228</v>
      </c>
      <c r="AT761" s="0" t="s">
        <v>228</v>
      </c>
      <c r="AU761" s="0" t="s">
        <v>228</v>
      </c>
      <c r="AV761" s="0" t="s">
        <v>228</v>
      </c>
      <c r="AW761" s="0" t="s">
        <v>228</v>
      </c>
      <c r="AX761" s="0" t="s">
        <v>228</v>
      </c>
      <c r="AY761" s="0" t="s">
        <v>228</v>
      </c>
      <c r="AZ761" s="0" t="s">
        <v>228</v>
      </c>
      <c r="BA761" s="0" t="s">
        <v>228</v>
      </c>
      <c r="BB761" s="0" t="s">
        <v>228</v>
      </c>
      <c r="BC761" s="0" t="s">
        <v>228</v>
      </c>
      <c r="BD761" s="0" t="s">
        <v>228</v>
      </c>
      <c r="BE761" s="0" t="s">
        <v>228</v>
      </c>
      <c r="BF761" s="0" t="s">
        <v>228</v>
      </c>
      <c r="BG761" s="0" t="s">
        <v>228</v>
      </c>
      <c r="BH761" s="0" t="s">
        <v>228</v>
      </c>
      <c r="BI761" s="0" t="s">
        <v>228</v>
      </c>
      <c r="BJ761" s="0" t="s">
        <v>228</v>
      </c>
      <c r="BK761" s="0" t="s">
        <v>228</v>
      </c>
      <c r="BL761" s="0" t="s">
        <v>228</v>
      </c>
      <c r="BM761" s="0" t="s">
        <v>228</v>
      </c>
      <c r="BN761" s="0" t="s">
        <v>228</v>
      </c>
      <c r="BO761" s="0" t="s">
        <v>228</v>
      </c>
      <c r="BP761" s="0" t="s">
        <v>228</v>
      </c>
      <c r="BQ761" s="0" t="s">
        <v>228</v>
      </c>
      <c r="BR761" s="0" t="s">
        <v>228</v>
      </c>
      <c r="BS761" s="0" t="s">
        <v>228</v>
      </c>
      <c r="BT761" s="0" t="s">
        <v>228</v>
      </c>
      <c r="CS761" s="0" t="s">
        <v>228</v>
      </c>
      <c r="CT761" s="0" t="s">
        <v>3568</v>
      </c>
      <c r="CU761" s="0" t="s">
        <v>5128</v>
      </c>
      <c r="CV761" s="0" t="s">
        <v>4030</v>
      </c>
      <c r="CW761" s="0" t="s">
        <v>5129</v>
      </c>
      <c r="CX761" s="0" t="s">
        <v>3603</v>
      </c>
      <c r="CY761" s="0" t="s">
        <v>4030</v>
      </c>
      <c r="CZ761" s="0" t="s">
        <v>5130</v>
      </c>
      <c r="DA761" s="0" t="s">
        <v>5131</v>
      </c>
      <c r="DB761" s="0" t="s">
        <v>5129</v>
      </c>
      <c r="DC761" s="0" t="s">
        <v>362</v>
      </c>
      <c r="DD761" s="0" t="s">
        <v>282</v>
      </c>
      <c r="DE761" s="0" t="s">
        <v>5132</v>
      </c>
    </row>
    <row customHeight="1" ht="11.25">
      <c r="A762" s="1353" t="s">
        <v>228</v>
      </c>
      <c r="B762" s="0" t="s">
        <v>228</v>
      </c>
      <c r="C762" s="0" t="s">
        <v>228</v>
      </c>
      <c r="D762" s="0" t="s">
        <v>228</v>
      </c>
      <c r="E762" s="0" t="s">
        <v>228</v>
      </c>
      <c r="F762" s="0" t="s">
        <v>228</v>
      </c>
      <c r="G762" s="0" t="s">
        <v>228</v>
      </c>
      <c r="H762" s="0" t="s">
        <v>228</v>
      </c>
      <c r="I762" s="0" t="s">
        <v>5119</v>
      </c>
      <c r="J762" s="0" t="s">
        <v>228</v>
      </c>
      <c r="K762" s="0" t="s">
        <v>228</v>
      </c>
      <c r="L762" s="0" t="s">
        <v>228</v>
      </c>
      <c r="M762" s="0" t="s">
        <v>228</v>
      </c>
      <c r="N762" s="0" t="s">
        <v>228</v>
      </c>
      <c r="O762" s="0" t="s">
        <v>228</v>
      </c>
      <c r="P762" s="0" t="s">
        <v>228</v>
      </c>
      <c r="Q762" s="0" t="s">
        <v>228</v>
      </c>
      <c r="R762" s="0" t="s">
        <v>5237</v>
      </c>
      <c r="S762" s="0" t="s">
        <v>228</v>
      </c>
      <c r="T762" s="0" t="s">
        <v>228</v>
      </c>
      <c r="U762" s="0" t="s">
        <v>101</v>
      </c>
      <c r="V762" s="0" t="s">
        <v>228</v>
      </c>
      <c r="W762" s="0" t="s">
        <v>228</v>
      </c>
      <c r="X762" s="0" t="s">
        <v>5121</v>
      </c>
      <c r="Y762" s="0" t="s">
        <v>228</v>
      </c>
      <c r="Z762" s="0" t="s">
        <v>160</v>
      </c>
      <c r="AA762" s="0" t="s">
        <v>151</v>
      </c>
      <c r="AB762" s="0" t="s">
        <v>151</v>
      </c>
      <c r="AC762" s="0" t="s">
        <v>2311</v>
      </c>
      <c r="AD762" s="0" t="s">
        <v>2311</v>
      </c>
      <c r="AE762" s="0" t="s">
        <v>2312</v>
      </c>
      <c r="AF762" s="0" t="s">
        <v>4034</v>
      </c>
      <c r="AG762" s="0" t="s">
        <v>4035</v>
      </c>
      <c r="AH762" s="0" t="s">
        <v>5238</v>
      </c>
      <c r="AI762" s="0" t="s">
        <v>3608</v>
      </c>
      <c r="AJ762" s="0" t="s">
        <v>5265</v>
      </c>
      <c r="AK762" s="0" t="s">
        <v>3563</v>
      </c>
      <c r="AL762" s="0" t="s">
        <v>5125</v>
      </c>
      <c r="AN762" s="0" t="s">
        <v>3582</v>
      </c>
      <c r="AO762" s="0" t="s">
        <v>5266</v>
      </c>
      <c r="AP762" s="0" t="s">
        <v>228</v>
      </c>
      <c r="AQ762" s="0" t="s">
        <v>228</v>
      </c>
      <c r="AR762" s="0" t="s">
        <v>228</v>
      </c>
      <c r="AS762" s="0" t="s">
        <v>228</v>
      </c>
      <c r="AT762" s="0" t="s">
        <v>228</v>
      </c>
      <c r="AU762" s="0" t="s">
        <v>228</v>
      </c>
      <c r="AV762" s="0" t="s">
        <v>228</v>
      </c>
      <c r="AW762" s="0" t="s">
        <v>228</v>
      </c>
      <c r="AX762" s="0" t="s">
        <v>228</v>
      </c>
      <c r="AY762" s="0" t="s">
        <v>228</v>
      </c>
      <c r="AZ762" s="0" t="s">
        <v>228</v>
      </c>
      <c r="BA762" s="0" t="s">
        <v>228</v>
      </c>
      <c r="BB762" s="0" t="s">
        <v>228</v>
      </c>
      <c r="BC762" s="0" t="s">
        <v>228</v>
      </c>
      <c r="BD762" s="0" t="s">
        <v>228</v>
      </c>
      <c r="BE762" s="0" t="s">
        <v>228</v>
      </c>
      <c r="BF762" s="0" t="s">
        <v>228</v>
      </c>
      <c r="BG762" s="0" t="s">
        <v>228</v>
      </c>
      <c r="BH762" s="0" t="s">
        <v>228</v>
      </c>
      <c r="BI762" s="0" t="s">
        <v>228</v>
      </c>
      <c r="BJ762" s="0" t="s">
        <v>228</v>
      </c>
      <c r="BK762" s="0" t="s">
        <v>228</v>
      </c>
      <c r="BL762" s="0" t="s">
        <v>228</v>
      </c>
      <c r="BM762" s="0" t="s">
        <v>228</v>
      </c>
      <c r="BN762" s="0" t="s">
        <v>228</v>
      </c>
      <c r="BO762" s="0" t="s">
        <v>228</v>
      </c>
      <c r="BP762" s="0" t="s">
        <v>228</v>
      </c>
      <c r="BQ762" s="0" t="s">
        <v>228</v>
      </c>
      <c r="BR762" s="0" t="s">
        <v>228</v>
      </c>
      <c r="BS762" s="0" t="s">
        <v>228</v>
      </c>
      <c r="BT762" s="0" t="s">
        <v>228</v>
      </c>
      <c r="CS762" s="0" t="s">
        <v>228</v>
      </c>
      <c r="CT762" s="0" t="s">
        <v>3568</v>
      </c>
      <c r="CU762" s="0" t="s">
        <v>3569</v>
      </c>
      <c r="CV762" s="0" t="s">
        <v>418</v>
      </c>
      <c r="CW762" s="0" t="s">
        <v>3584</v>
      </c>
      <c r="CX762" s="0" t="s">
        <v>419</v>
      </c>
      <c r="CY762" s="0" t="s">
        <v>418</v>
      </c>
      <c r="CZ762" s="0" t="s">
        <v>3585</v>
      </c>
      <c r="DA762" s="0" t="s">
        <v>3586</v>
      </c>
      <c r="DB762" s="0" t="s">
        <v>3584</v>
      </c>
      <c r="DC762" s="0" t="s">
        <v>362</v>
      </c>
      <c r="DD762" s="0" t="s">
        <v>282</v>
      </c>
      <c r="DE762" s="0" t="s">
        <v>5267</v>
      </c>
    </row>
    <row customHeight="1" ht="11.25">
      <c r="A763" s="1353" t="s">
        <v>228</v>
      </c>
      <c r="B763" s="0" t="s">
        <v>228</v>
      </c>
      <c r="C763" s="0" t="s">
        <v>228</v>
      </c>
      <c r="D763" s="0" t="s">
        <v>228</v>
      </c>
      <c r="E763" s="0" t="s">
        <v>228</v>
      </c>
      <c r="F763" s="0" t="s">
        <v>228</v>
      </c>
      <c r="G763" s="0" t="s">
        <v>228</v>
      </c>
      <c r="H763" s="0" t="s">
        <v>228</v>
      </c>
      <c r="I763" s="0" t="s">
        <v>5119</v>
      </c>
      <c r="J763" s="0" t="s">
        <v>228</v>
      </c>
      <c r="K763" s="0" t="s">
        <v>228</v>
      </c>
      <c r="L763" s="0" t="s">
        <v>228</v>
      </c>
      <c r="M763" s="0" t="s">
        <v>228</v>
      </c>
      <c r="N763" s="0" t="s">
        <v>228</v>
      </c>
      <c r="O763" s="0" t="s">
        <v>228</v>
      </c>
      <c r="P763" s="0" t="s">
        <v>228</v>
      </c>
      <c r="Q763" s="0" t="s">
        <v>228</v>
      </c>
      <c r="R763" s="0" t="s">
        <v>5407</v>
      </c>
      <c r="S763" s="0" t="s">
        <v>228</v>
      </c>
      <c r="T763" s="0" t="s">
        <v>228</v>
      </c>
      <c r="U763" s="0" t="s">
        <v>101</v>
      </c>
      <c r="V763" s="0" t="s">
        <v>228</v>
      </c>
      <c r="W763" s="0" t="s">
        <v>228</v>
      </c>
      <c r="X763" s="0" t="s">
        <v>5408</v>
      </c>
      <c r="Y763" s="0" t="s">
        <v>228</v>
      </c>
      <c r="Z763" s="0" t="s">
        <v>160</v>
      </c>
      <c r="AA763" s="0" t="s">
        <v>151</v>
      </c>
      <c r="AB763" s="0" t="s">
        <v>160</v>
      </c>
      <c r="AC763" s="0" t="s">
        <v>2715</v>
      </c>
      <c r="AD763" s="0" t="s">
        <v>2715</v>
      </c>
      <c r="AE763" s="0" t="s">
        <v>2716</v>
      </c>
      <c r="AF763" s="0" t="s">
        <v>3594</v>
      </c>
      <c r="AG763" s="0" t="s">
        <v>3595</v>
      </c>
      <c r="AH763" s="0" t="s">
        <v>5409</v>
      </c>
      <c r="AI763" s="0" t="s">
        <v>4215</v>
      </c>
      <c r="AJ763" s="0" t="s">
        <v>5203</v>
      </c>
      <c r="AK763" s="0" t="s">
        <v>3562</v>
      </c>
      <c r="AL763" s="0" t="s">
        <v>5144</v>
      </c>
      <c r="AN763" s="0" t="s">
        <v>3582</v>
      </c>
      <c r="AO763" s="0" t="s">
        <v>5410</v>
      </c>
      <c r="AP763" s="0" t="s">
        <v>228</v>
      </c>
      <c r="AQ763" s="0" t="s">
        <v>228</v>
      </c>
      <c r="AR763" s="0" t="s">
        <v>228</v>
      </c>
      <c r="AS763" s="0" t="s">
        <v>228</v>
      </c>
      <c r="AT763" s="0" t="s">
        <v>228</v>
      </c>
      <c r="AU763" s="0" t="s">
        <v>228</v>
      </c>
      <c r="AV763" s="0" t="s">
        <v>228</v>
      </c>
      <c r="AW763" s="0" t="s">
        <v>228</v>
      </c>
      <c r="AX763" s="0" t="s">
        <v>228</v>
      </c>
      <c r="AY763" s="0" t="s">
        <v>228</v>
      </c>
      <c r="AZ763" s="0" t="s">
        <v>228</v>
      </c>
      <c r="BA763" s="0" t="s">
        <v>228</v>
      </c>
      <c r="BB763" s="0" t="s">
        <v>228</v>
      </c>
      <c r="BC763" s="0" t="s">
        <v>228</v>
      </c>
      <c r="BD763" s="0" t="s">
        <v>228</v>
      </c>
      <c r="BE763" s="0" t="s">
        <v>5203</v>
      </c>
      <c r="BF763" s="0" t="s">
        <v>3562</v>
      </c>
      <c r="BG763" s="0" t="s">
        <v>228</v>
      </c>
      <c r="BH763" s="0" t="s">
        <v>228</v>
      </c>
      <c r="BI763" s="0" t="s">
        <v>228</v>
      </c>
      <c r="BJ763" s="0" t="s">
        <v>228</v>
      </c>
      <c r="BK763" s="0" t="s">
        <v>228</v>
      </c>
      <c r="BL763" s="0" t="s">
        <v>228</v>
      </c>
      <c r="BM763" s="0" t="s">
        <v>228</v>
      </c>
      <c r="BN763" s="0" t="s">
        <v>228</v>
      </c>
      <c r="BO763" s="0" t="s">
        <v>228</v>
      </c>
      <c r="BP763" s="0" t="s">
        <v>228</v>
      </c>
      <c r="BQ763" s="0" t="s">
        <v>228</v>
      </c>
      <c r="BR763" s="0" t="s">
        <v>228</v>
      </c>
      <c r="BS763" s="0" t="s">
        <v>228</v>
      </c>
      <c r="BT763" s="0" t="s">
        <v>3670</v>
      </c>
      <c r="CS763" s="0" t="s">
        <v>5411</v>
      </c>
      <c r="CT763" s="0" t="s">
        <v>3568</v>
      </c>
      <c r="CU763" s="0" t="s">
        <v>3569</v>
      </c>
      <c r="CV763" s="0" t="s">
        <v>418</v>
      </c>
      <c r="CW763" s="0" t="s">
        <v>3602</v>
      </c>
      <c r="CX763" s="0" t="s">
        <v>419</v>
      </c>
      <c r="CY763" s="0" t="s">
        <v>418</v>
      </c>
      <c r="CZ763" s="0" t="s">
        <v>504</v>
      </c>
      <c r="DA763" s="0" t="s">
        <v>3604</v>
      </c>
      <c r="DB763" s="0" t="s">
        <v>3602</v>
      </c>
      <c r="DC763" s="0" t="s">
        <v>362</v>
      </c>
      <c r="DD763" s="0" t="s">
        <v>282</v>
      </c>
      <c r="DE763" s="0" t="s">
        <v>5412</v>
      </c>
    </row>
    <row customHeight="1" ht="11.25">
      <c r="A764" s="1353" t="s">
        <v>228</v>
      </c>
      <c r="B764" s="0" t="s">
        <v>228</v>
      </c>
      <c r="C764" s="0" t="s">
        <v>228</v>
      </c>
      <c r="D764" s="0" t="s">
        <v>228</v>
      </c>
      <c r="E764" s="0" t="s">
        <v>228</v>
      </c>
      <c r="F764" s="0" t="s">
        <v>228</v>
      </c>
      <c r="G764" s="0" t="s">
        <v>228</v>
      </c>
      <c r="H764" s="0" t="s">
        <v>228</v>
      </c>
      <c r="I764" s="0" t="s">
        <v>5119</v>
      </c>
      <c r="J764" s="0" t="s">
        <v>228</v>
      </c>
      <c r="K764" s="0" t="s">
        <v>228</v>
      </c>
      <c r="L764" s="0" t="s">
        <v>228</v>
      </c>
      <c r="M764" s="0" t="s">
        <v>228</v>
      </c>
      <c r="N764" s="0" t="s">
        <v>228</v>
      </c>
      <c r="O764" s="0" t="s">
        <v>228</v>
      </c>
      <c r="P764" s="0" t="s">
        <v>228</v>
      </c>
      <c r="Q764" s="0" t="s">
        <v>228</v>
      </c>
      <c r="R764" s="0" t="s">
        <v>5401</v>
      </c>
      <c r="S764" s="0" t="s">
        <v>228</v>
      </c>
      <c r="T764" s="0" t="s">
        <v>228</v>
      </c>
      <c r="U764" s="0" t="s">
        <v>101</v>
      </c>
      <c r="V764" s="0" t="s">
        <v>228</v>
      </c>
      <c r="W764" s="0" t="s">
        <v>228</v>
      </c>
      <c r="X764" s="0" t="s">
        <v>3988</v>
      </c>
      <c r="Y764" s="0" t="s">
        <v>228</v>
      </c>
      <c r="Z764" s="0" t="s">
        <v>151</v>
      </c>
      <c r="AA764" s="0" t="s">
        <v>160</v>
      </c>
      <c r="AB764" s="0" t="s">
        <v>151</v>
      </c>
      <c r="AC764" s="0" t="s">
        <v>2715</v>
      </c>
      <c r="AD764" s="0" t="s">
        <v>2715</v>
      </c>
      <c r="AE764" s="0" t="s">
        <v>2716</v>
      </c>
      <c r="AF764" s="0" t="s">
        <v>3594</v>
      </c>
      <c r="AG764" s="0" t="s">
        <v>3595</v>
      </c>
      <c r="AH764" s="0" t="s">
        <v>5402</v>
      </c>
      <c r="AI764" s="0" t="s">
        <v>3608</v>
      </c>
      <c r="AJ764" s="0" t="s">
        <v>228</v>
      </c>
      <c r="AK764" s="0" t="s">
        <v>228</v>
      </c>
      <c r="AL764" s="0" t="s">
        <v>228</v>
      </c>
      <c r="AN764" s="0" t="s">
        <v>228</v>
      </c>
      <c r="AO764" s="0" t="s">
        <v>228</v>
      </c>
      <c r="AP764" s="0" t="s">
        <v>3793</v>
      </c>
      <c r="AQ764" s="0" t="s">
        <v>5403</v>
      </c>
      <c r="AR764" s="0" t="s">
        <v>111</v>
      </c>
      <c r="AS764" s="0" t="s">
        <v>3665</v>
      </c>
      <c r="AT764" s="0" t="s">
        <v>122</v>
      </c>
      <c r="AU764" s="0" t="s">
        <v>228</v>
      </c>
      <c r="AV764" s="0" t="s">
        <v>5401</v>
      </c>
      <c r="AW764" s="0" t="s">
        <v>2715</v>
      </c>
      <c r="AX764" s="0" t="s">
        <v>2715</v>
      </c>
      <c r="AY764" s="0" t="s">
        <v>3667</v>
      </c>
      <c r="AZ764" s="0" t="s">
        <v>3594</v>
      </c>
      <c r="BA764" s="0" t="s">
        <v>3668</v>
      </c>
      <c r="BB764" s="0" t="s">
        <v>5402</v>
      </c>
      <c r="BC764" s="0" t="s">
        <v>3608</v>
      </c>
      <c r="BD764" s="0" t="s">
        <v>5406</v>
      </c>
      <c r="BE764" s="0" t="s">
        <v>228</v>
      </c>
      <c r="BF764" s="0" t="s">
        <v>228</v>
      </c>
      <c r="BG764" s="0" t="s">
        <v>228</v>
      </c>
      <c r="BH764" s="0" t="s">
        <v>228</v>
      </c>
      <c r="BI764" s="0" t="s">
        <v>228</v>
      </c>
      <c r="BJ764" s="0" t="s">
        <v>228</v>
      </c>
      <c r="BK764" s="0" t="s">
        <v>228</v>
      </c>
      <c r="BL764" s="0" t="s">
        <v>228</v>
      </c>
      <c r="BM764" s="0" t="s">
        <v>228</v>
      </c>
      <c r="BN764" s="0" t="s">
        <v>228</v>
      </c>
      <c r="BO764" s="0" t="s">
        <v>228</v>
      </c>
      <c r="BP764" s="0" t="s">
        <v>228</v>
      </c>
      <c r="BQ764" s="0" t="s">
        <v>228</v>
      </c>
      <c r="BR764" s="0" t="s">
        <v>228</v>
      </c>
      <c r="BS764" s="0" t="s">
        <v>228</v>
      </c>
      <c r="BT764" s="0" t="s">
        <v>228</v>
      </c>
      <c r="CS764" s="0" t="s">
        <v>228</v>
      </c>
      <c r="CT764" s="0" t="s">
        <v>3568</v>
      </c>
      <c r="CU764" s="0" t="s">
        <v>3569</v>
      </c>
      <c r="CV764" s="0" t="s">
        <v>418</v>
      </c>
      <c r="CW764" s="0" t="s">
        <v>3602</v>
      </c>
      <c r="CX764" s="0" t="s">
        <v>3603</v>
      </c>
      <c r="CY764" s="0" t="s">
        <v>418</v>
      </c>
      <c r="CZ764" s="0" t="s">
        <v>504</v>
      </c>
      <c r="DA764" s="0" t="s">
        <v>3604</v>
      </c>
      <c r="DB764" s="0" t="s">
        <v>3602</v>
      </c>
      <c r="DC764" s="0" t="s">
        <v>362</v>
      </c>
      <c r="DD764" s="0" t="s">
        <v>282</v>
      </c>
      <c r="DE764" s="0" t="s">
        <v>5405</v>
      </c>
    </row>
    <row customHeight="1" ht="11.25">
      <c r="A765" s="1353" t="s">
        <v>228</v>
      </c>
      <c r="B765" s="0" t="s">
        <v>228</v>
      </c>
      <c r="C765" s="0" t="s">
        <v>228</v>
      </c>
      <c r="D765" s="0" t="s">
        <v>228</v>
      </c>
      <c r="E765" s="0" t="s">
        <v>228</v>
      </c>
      <c r="F765" s="0" t="s">
        <v>228</v>
      </c>
      <c r="G765" s="0" t="s">
        <v>228</v>
      </c>
      <c r="H765" s="0" t="s">
        <v>228</v>
      </c>
      <c r="I765" s="0" t="s">
        <v>5119</v>
      </c>
      <c r="J765" s="0" t="s">
        <v>228</v>
      </c>
      <c r="K765" s="0" t="s">
        <v>228</v>
      </c>
      <c r="L765" s="0" t="s">
        <v>228</v>
      </c>
      <c r="M765" s="0" t="s">
        <v>228</v>
      </c>
      <c r="N765" s="0" t="s">
        <v>228</v>
      </c>
      <c r="O765" s="0" t="s">
        <v>228</v>
      </c>
      <c r="P765" s="0" t="s">
        <v>228</v>
      </c>
      <c r="Q765" s="0" t="s">
        <v>228</v>
      </c>
      <c r="R765" s="0" t="s">
        <v>5413</v>
      </c>
      <c r="S765" s="0" t="s">
        <v>228</v>
      </c>
      <c r="T765" s="0" t="s">
        <v>228</v>
      </c>
      <c r="U765" s="0" t="s">
        <v>101</v>
      </c>
      <c r="V765" s="0" t="s">
        <v>228</v>
      </c>
      <c r="W765" s="0" t="s">
        <v>228</v>
      </c>
      <c r="X765" s="0" t="s">
        <v>3661</v>
      </c>
      <c r="Y765" s="0" t="s">
        <v>228</v>
      </c>
      <c r="Z765" s="0" t="s">
        <v>151</v>
      </c>
      <c r="AA765" s="0" t="s">
        <v>151</v>
      </c>
      <c r="AB765" s="0" t="s">
        <v>160</v>
      </c>
      <c r="AC765" s="0" t="s">
        <v>2715</v>
      </c>
      <c r="AD765" s="0" t="s">
        <v>2715</v>
      </c>
      <c r="AE765" s="0" t="s">
        <v>2716</v>
      </c>
      <c r="AF765" s="0" t="s">
        <v>3594</v>
      </c>
      <c r="AG765" s="0" t="s">
        <v>3595</v>
      </c>
      <c r="AH765" s="0" t="s">
        <v>4548</v>
      </c>
      <c r="AI765" s="0" t="s">
        <v>5414</v>
      </c>
      <c r="AJ765" s="0" t="s">
        <v>228</v>
      </c>
      <c r="AK765" s="0" t="s">
        <v>228</v>
      </c>
      <c r="AL765" s="0" t="s">
        <v>228</v>
      </c>
      <c r="AN765" s="0" t="s">
        <v>228</v>
      </c>
      <c r="AO765" s="0" t="s">
        <v>228</v>
      </c>
      <c r="AP765" s="0" t="s">
        <v>228</v>
      </c>
      <c r="AQ765" s="0" t="s">
        <v>228</v>
      </c>
      <c r="AR765" s="0" t="s">
        <v>228</v>
      </c>
      <c r="AS765" s="0" t="s">
        <v>228</v>
      </c>
      <c r="AT765" s="0" t="s">
        <v>228</v>
      </c>
      <c r="AU765" s="0" t="s">
        <v>228</v>
      </c>
      <c r="AV765" s="0" t="s">
        <v>228</v>
      </c>
      <c r="AW765" s="0" t="s">
        <v>228</v>
      </c>
      <c r="AX765" s="0" t="s">
        <v>228</v>
      </c>
      <c r="AY765" s="0" t="s">
        <v>228</v>
      </c>
      <c r="AZ765" s="0" t="s">
        <v>228</v>
      </c>
      <c r="BA765" s="0" t="s">
        <v>228</v>
      </c>
      <c r="BB765" s="0" t="s">
        <v>228</v>
      </c>
      <c r="BC765" s="0" t="s">
        <v>228</v>
      </c>
      <c r="BD765" s="0" t="s">
        <v>228</v>
      </c>
      <c r="BE765" s="0" t="s">
        <v>5415</v>
      </c>
      <c r="BF765" s="0" t="s">
        <v>5415</v>
      </c>
      <c r="BG765" s="0" t="s">
        <v>111</v>
      </c>
      <c r="BH765" s="0" t="s">
        <v>3665</v>
      </c>
      <c r="BI765" s="0" t="s">
        <v>122</v>
      </c>
      <c r="BJ765" s="0" t="s">
        <v>228</v>
      </c>
      <c r="BK765" s="0" t="s">
        <v>5140</v>
      </c>
      <c r="BL765" s="0" t="s">
        <v>2715</v>
      </c>
      <c r="BM765" s="0" t="s">
        <v>2715</v>
      </c>
      <c r="BN765" s="0" t="s">
        <v>3667</v>
      </c>
      <c r="BO765" s="0" t="s">
        <v>3594</v>
      </c>
      <c r="BP765" s="0" t="s">
        <v>3668</v>
      </c>
      <c r="BQ765" s="0" t="s">
        <v>4548</v>
      </c>
      <c r="BR765" s="0" t="s">
        <v>5414</v>
      </c>
      <c r="BS765" s="0" t="s">
        <v>228</v>
      </c>
      <c r="BT765" s="0" t="s">
        <v>3670</v>
      </c>
      <c r="CS765" s="0" t="s">
        <v>5396</v>
      </c>
      <c r="CT765" s="0" t="s">
        <v>3568</v>
      </c>
      <c r="CU765" s="0" t="s">
        <v>3569</v>
      </c>
      <c r="CV765" s="0" t="s">
        <v>418</v>
      </c>
      <c r="CW765" s="0" t="s">
        <v>3602</v>
      </c>
      <c r="CX765" s="0" t="s">
        <v>419</v>
      </c>
      <c r="CY765" s="0" t="s">
        <v>418</v>
      </c>
      <c r="CZ765" s="0" t="s">
        <v>504</v>
      </c>
      <c r="DA765" s="0" t="s">
        <v>3604</v>
      </c>
      <c r="DB765" s="0" t="s">
        <v>3602</v>
      </c>
      <c r="DC765" s="0" t="s">
        <v>362</v>
      </c>
      <c r="DD765" s="0" t="s">
        <v>282</v>
      </c>
      <c r="DE765" s="0" t="s">
        <v>5416</v>
      </c>
    </row>
    <row customHeight="1" ht="11.25">
      <c r="A766" s="1353" t="s">
        <v>228</v>
      </c>
      <c r="B766" s="0" t="s">
        <v>228</v>
      </c>
      <c r="C766" s="0" t="s">
        <v>228</v>
      </c>
      <c r="D766" s="0" t="s">
        <v>228</v>
      </c>
      <c r="E766" s="0" t="s">
        <v>228</v>
      </c>
      <c r="F766" s="0" t="s">
        <v>228</v>
      </c>
      <c r="G766" s="0" t="s">
        <v>228</v>
      </c>
      <c r="H766" s="0" t="s">
        <v>228</v>
      </c>
      <c r="I766" s="0" t="s">
        <v>5119</v>
      </c>
      <c r="J766" s="0" t="s">
        <v>228</v>
      </c>
      <c r="K766" s="0" t="s">
        <v>228</v>
      </c>
      <c r="L766" s="0" t="s">
        <v>228</v>
      </c>
      <c r="M766" s="0" t="s">
        <v>228</v>
      </c>
      <c r="N766" s="0" t="s">
        <v>228</v>
      </c>
      <c r="O766" s="0" t="s">
        <v>228</v>
      </c>
      <c r="P766" s="0" t="s">
        <v>228</v>
      </c>
      <c r="Q766" s="0" t="s">
        <v>228</v>
      </c>
      <c r="R766" s="0" t="s">
        <v>5171</v>
      </c>
      <c r="S766" s="0" t="s">
        <v>228</v>
      </c>
      <c r="T766" s="0" t="s">
        <v>228</v>
      </c>
      <c r="U766" s="0" t="s">
        <v>101</v>
      </c>
      <c r="V766" s="0" t="s">
        <v>228</v>
      </c>
      <c r="W766" s="0" t="s">
        <v>228</v>
      </c>
      <c r="X766" s="0" t="s">
        <v>3661</v>
      </c>
      <c r="Y766" s="0" t="s">
        <v>228</v>
      </c>
      <c r="Z766" s="0" t="s">
        <v>151</v>
      </c>
      <c r="AA766" s="0" t="s">
        <v>151</v>
      </c>
      <c r="AB766" s="0" t="s">
        <v>160</v>
      </c>
      <c r="AC766" s="0" t="s">
        <v>2311</v>
      </c>
      <c r="AD766" s="0" t="s">
        <v>2311</v>
      </c>
      <c r="AE766" s="0" t="s">
        <v>2312</v>
      </c>
      <c r="AF766" s="0" t="s">
        <v>4034</v>
      </c>
      <c r="AG766" s="0" t="s">
        <v>4035</v>
      </c>
      <c r="AH766" s="0" t="s">
        <v>4034</v>
      </c>
      <c r="AI766" s="0" t="s">
        <v>3608</v>
      </c>
      <c r="AJ766" s="0" t="s">
        <v>228</v>
      </c>
      <c r="AK766" s="0" t="s">
        <v>228</v>
      </c>
      <c r="AL766" s="0" t="s">
        <v>228</v>
      </c>
      <c r="AN766" s="0" t="s">
        <v>228</v>
      </c>
      <c r="AO766" s="0" t="s">
        <v>228</v>
      </c>
      <c r="AP766" s="0" t="s">
        <v>228</v>
      </c>
      <c r="AQ766" s="0" t="s">
        <v>228</v>
      </c>
      <c r="AR766" s="0" t="s">
        <v>228</v>
      </c>
      <c r="AS766" s="0" t="s">
        <v>228</v>
      </c>
      <c r="AT766" s="0" t="s">
        <v>228</v>
      </c>
      <c r="AU766" s="0" t="s">
        <v>228</v>
      </c>
      <c r="AV766" s="0" t="s">
        <v>228</v>
      </c>
      <c r="AW766" s="0" t="s">
        <v>228</v>
      </c>
      <c r="AX766" s="0" t="s">
        <v>228</v>
      </c>
      <c r="AY766" s="0" t="s">
        <v>228</v>
      </c>
      <c r="AZ766" s="0" t="s">
        <v>228</v>
      </c>
      <c r="BA766" s="0" t="s">
        <v>228</v>
      </c>
      <c r="BB766" s="0" t="s">
        <v>228</v>
      </c>
      <c r="BC766" s="0" t="s">
        <v>228</v>
      </c>
      <c r="BD766" s="0" t="s">
        <v>228</v>
      </c>
      <c r="BE766" s="0" t="s">
        <v>5235</v>
      </c>
      <c r="BF766" s="0" t="s">
        <v>5236</v>
      </c>
      <c r="BG766" s="0" t="s">
        <v>111</v>
      </c>
      <c r="BH766" s="0" t="s">
        <v>3665</v>
      </c>
      <c r="BI766" s="0" t="s">
        <v>122</v>
      </c>
      <c r="BJ766" s="0" t="s">
        <v>228</v>
      </c>
      <c r="BK766" s="0" t="s">
        <v>5237</v>
      </c>
      <c r="BL766" s="0" t="s">
        <v>2311</v>
      </c>
      <c r="BM766" s="0" t="s">
        <v>2311</v>
      </c>
      <c r="BN766" s="0" t="s">
        <v>3723</v>
      </c>
      <c r="BO766" s="0" t="s">
        <v>4034</v>
      </c>
      <c r="BP766" s="0" t="s">
        <v>4038</v>
      </c>
      <c r="BQ766" s="0" t="s">
        <v>5238</v>
      </c>
      <c r="BR766" s="0" t="s">
        <v>3608</v>
      </c>
      <c r="BS766" s="0" t="s">
        <v>228</v>
      </c>
      <c r="BT766" s="0" t="s">
        <v>3727</v>
      </c>
      <c r="CS766" s="0" t="s">
        <v>3582</v>
      </c>
      <c r="CT766" s="0" t="s">
        <v>3568</v>
      </c>
      <c r="CU766" s="0" t="s">
        <v>3569</v>
      </c>
      <c r="CV766" s="0" t="s">
        <v>418</v>
      </c>
      <c r="CW766" s="0" t="s">
        <v>3584</v>
      </c>
      <c r="CX766" s="0" t="s">
        <v>419</v>
      </c>
      <c r="CY766" s="0" t="s">
        <v>418</v>
      </c>
      <c r="CZ766" s="0" t="s">
        <v>3585</v>
      </c>
      <c r="DA766" s="0" t="s">
        <v>3586</v>
      </c>
      <c r="DB766" s="0" t="s">
        <v>3584</v>
      </c>
      <c r="DC766" s="0" t="s">
        <v>362</v>
      </c>
      <c r="DD766" s="0" t="s">
        <v>282</v>
      </c>
      <c r="DE766" s="0" t="s">
        <v>5239</v>
      </c>
    </row>
    <row customHeight="1" ht="11.25">
      <c r="A767" s="1353" t="s">
        <v>228</v>
      </c>
      <c r="B767" s="0" t="s">
        <v>228</v>
      </c>
      <c r="C767" s="0" t="s">
        <v>228</v>
      </c>
      <c r="D767" s="0" t="s">
        <v>228</v>
      </c>
      <c r="E767" s="0" t="s">
        <v>228</v>
      </c>
      <c r="F767" s="0" t="s">
        <v>228</v>
      </c>
      <c r="G767" s="0" t="s">
        <v>228</v>
      </c>
      <c r="H767" s="0" t="s">
        <v>228</v>
      </c>
      <c r="I767" s="0" t="s">
        <v>5119</v>
      </c>
      <c r="J767" s="0" t="s">
        <v>228</v>
      </c>
      <c r="K767" s="0" t="s">
        <v>228</v>
      </c>
      <c r="L767" s="0" t="s">
        <v>228</v>
      </c>
      <c r="M767" s="0" t="s">
        <v>228</v>
      </c>
      <c r="N767" s="0" t="s">
        <v>228</v>
      </c>
      <c r="O767" s="0" t="s">
        <v>228</v>
      </c>
      <c r="P767" s="0" t="s">
        <v>228</v>
      </c>
      <c r="Q767" s="0" t="s">
        <v>228</v>
      </c>
      <c r="R767" s="0" t="s">
        <v>5148</v>
      </c>
      <c r="S767" s="0" t="s">
        <v>228</v>
      </c>
      <c r="T767" s="0" t="s">
        <v>228</v>
      </c>
      <c r="U767" s="0" t="s">
        <v>101</v>
      </c>
      <c r="V767" s="0" t="s">
        <v>228</v>
      </c>
      <c r="W767" s="0" t="s">
        <v>228</v>
      </c>
      <c r="X767" s="0" t="s">
        <v>5121</v>
      </c>
      <c r="Y767" s="0" t="s">
        <v>228</v>
      </c>
      <c r="Z767" s="0" t="s">
        <v>160</v>
      </c>
      <c r="AA767" s="0" t="s">
        <v>151</v>
      </c>
      <c r="AB767" s="0" t="s">
        <v>151</v>
      </c>
      <c r="AC767" s="0" t="s">
        <v>2715</v>
      </c>
      <c r="AD767" s="0" t="s">
        <v>2715</v>
      </c>
      <c r="AE767" s="0" t="s">
        <v>2716</v>
      </c>
      <c r="AF767" s="0" t="s">
        <v>3594</v>
      </c>
      <c r="AG767" s="0" t="s">
        <v>3595</v>
      </c>
      <c r="AH767" s="0" t="s">
        <v>5149</v>
      </c>
      <c r="AI767" s="0" t="s">
        <v>3608</v>
      </c>
      <c r="AJ767" s="0" t="s">
        <v>3984</v>
      </c>
      <c r="AK767" s="0" t="s">
        <v>5150</v>
      </c>
      <c r="AL767" s="0" t="s">
        <v>5125</v>
      </c>
      <c r="AN767" s="0" t="s">
        <v>3972</v>
      </c>
      <c r="AO767" s="0" t="s">
        <v>5151</v>
      </c>
      <c r="AP767" s="0" t="s">
        <v>228</v>
      </c>
      <c r="AQ767" s="0" t="s">
        <v>228</v>
      </c>
      <c r="AR767" s="0" t="s">
        <v>228</v>
      </c>
      <c r="AS767" s="0" t="s">
        <v>228</v>
      </c>
      <c r="AT767" s="0" t="s">
        <v>228</v>
      </c>
      <c r="AU767" s="0" t="s">
        <v>228</v>
      </c>
      <c r="AV767" s="0" t="s">
        <v>228</v>
      </c>
      <c r="AW767" s="0" t="s">
        <v>228</v>
      </c>
      <c r="AX767" s="0" t="s">
        <v>228</v>
      </c>
      <c r="AY767" s="0" t="s">
        <v>228</v>
      </c>
      <c r="AZ767" s="0" t="s">
        <v>228</v>
      </c>
      <c r="BA767" s="0" t="s">
        <v>228</v>
      </c>
      <c r="BB767" s="0" t="s">
        <v>228</v>
      </c>
      <c r="BC767" s="0" t="s">
        <v>228</v>
      </c>
      <c r="BD767" s="0" t="s">
        <v>228</v>
      </c>
      <c r="BE767" s="0" t="s">
        <v>228</v>
      </c>
      <c r="BF767" s="0" t="s">
        <v>228</v>
      </c>
      <c r="BG767" s="0" t="s">
        <v>228</v>
      </c>
      <c r="BH767" s="0" t="s">
        <v>228</v>
      </c>
      <c r="BI767" s="0" t="s">
        <v>228</v>
      </c>
      <c r="BJ767" s="0" t="s">
        <v>228</v>
      </c>
      <c r="BK767" s="0" t="s">
        <v>228</v>
      </c>
      <c r="BL767" s="0" t="s">
        <v>228</v>
      </c>
      <c r="BM767" s="0" t="s">
        <v>228</v>
      </c>
      <c r="BN767" s="0" t="s">
        <v>228</v>
      </c>
      <c r="BO767" s="0" t="s">
        <v>228</v>
      </c>
      <c r="BP767" s="0" t="s">
        <v>228</v>
      </c>
      <c r="BQ767" s="0" t="s">
        <v>228</v>
      </c>
      <c r="BR767" s="0" t="s">
        <v>228</v>
      </c>
      <c r="BS767" s="0" t="s">
        <v>228</v>
      </c>
      <c r="BT767" s="0" t="s">
        <v>228</v>
      </c>
      <c r="CS767" s="0" t="s">
        <v>228</v>
      </c>
      <c r="CT767" s="0" t="s">
        <v>3568</v>
      </c>
      <c r="CU767" s="0" t="s">
        <v>3569</v>
      </c>
      <c r="CV767" s="0" t="s">
        <v>418</v>
      </c>
      <c r="CW767" s="0" t="s">
        <v>3602</v>
      </c>
      <c r="CX767" s="0" t="s">
        <v>3603</v>
      </c>
      <c r="CY767" s="0" t="s">
        <v>418</v>
      </c>
      <c r="CZ767" s="0" t="s">
        <v>504</v>
      </c>
      <c r="DA767" s="0" t="s">
        <v>3604</v>
      </c>
      <c r="DB767" s="0" t="s">
        <v>3602</v>
      </c>
      <c r="DC767" s="0" t="s">
        <v>362</v>
      </c>
      <c r="DD767" s="0" t="s">
        <v>282</v>
      </c>
      <c r="DE767" s="0" t="s">
        <v>5152</v>
      </c>
    </row>
    <row customHeight="1" ht="11.25">
      <c r="A768" s="1353" t="s">
        <v>228</v>
      </c>
      <c r="B768" s="0" t="s">
        <v>228</v>
      </c>
      <c r="C768" s="0" t="s">
        <v>228</v>
      </c>
      <c r="D768" s="0" t="s">
        <v>228</v>
      </c>
      <c r="E768" s="0" t="s">
        <v>228</v>
      </c>
      <c r="F768" s="0" t="s">
        <v>228</v>
      </c>
      <c r="G768" s="0" t="s">
        <v>228</v>
      </c>
      <c r="H768" s="0" t="s">
        <v>228</v>
      </c>
      <c r="I768" s="0" t="s">
        <v>5119</v>
      </c>
      <c r="J768" s="0" t="s">
        <v>228</v>
      </c>
      <c r="K768" s="0" t="s">
        <v>228</v>
      </c>
      <c r="L768" s="0" t="s">
        <v>228</v>
      </c>
      <c r="M768" s="0" t="s">
        <v>228</v>
      </c>
      <c r="N768" s="0" t="s">
        <v>228</v>
      </c>
      <c r="O768" s="0" t="s">
        <v>228</v>
      </c>
      <c r="P768" s="0" t="s">
        <v>228</v>
      </c>
      <c r="Q768" s="0" t="s">
        <v>228</v>
      </c>
      <c r="R768" s="0" t="s">
        <v>5391</v>
      </c>
      <c r="S768" s="0" t="s">
        <v>228</v>
      </c>
      <c r="T768" s="0" t="s">
        <v>228</v>
      </c>
      <c r="U768" s="0" t="s">
        <v>101</v>
      </c>
      <c r="V768" s="0" t="s">
        <v>228</v>
      </c>
      <c r="W768" s="0" t="s">
        <v>228</v>
      </c>
      <c r="X768" s="0" t="s">
        <v>3988</v>
      </c>
      <c r="Y768" s="0" t="s">
        <v>228</v>
      </c>
      <c r="Z768" s="0" t="s">
        <v>151</v>
      </c>
      <c r="AA768" s="0" t="s">
        <v>160</v>
      </c>
      <c r="AB768" s="0" t="s">
        <v>151</v>
      </c>
      <c r="AC768" s="0" t="s">
        <v>2715</v>
      </c>
      <c r="AD768" s="0" t="s">
        <v>2715</v>
      </c>
      <c r="AE768" s="0" t="s">
        <v>2716</v>
      </c>
      <c r="AF768" s="0" t="s">
        <v>3594</v>
      </c>
      <c r="AG768" s="0" t="s">
        <v>3595</v>
      </c>
      <c r="AH768" s="0" t="s">
        <v>5392</v>
      </c>
      <c r="AI768" s="0" t="s">
        <v>3608</v>
      </c>
      <c r="AJ768" s="0" t="s">
        <v>228</v>
      </c>
      <c r="AK768" s="0" t="s">
        <v>228</v>
      </c>
      <c r="AL768" s="0" t="s">
        <v>228</v>
      </c>
      <c r="AN768" s="0" t="s">
        <v>228</v>
      </c>
      <c r="AO768" s="0" t="s">
        <v>228</v>
      </c>
      <c r="AP768" s="0" t="s">
        <v>5460</v>
      </c>
      <c r="AQ768" s="0" t="s">
        <v>5394</v>
      </c>
      <c r="AR768" s="0" t="s">
        <v>111</v>
      </c>
      <c r="AS768" s="0" t="s">
        <v>3665</v>
      </c>
      <c r="AT768" s="0" t="s">
        <v>122</v>
      </c>
      <c r="AU768" s="0" t="s">
        <v>228</v>
      </c>
      <c r="AV768" s="0" t="s">
        <v>5391</v>
      </c>
      <c r="AW768" s="0" t="s">
        <v>2715</v>
      </c>
      <c r="AX768" s="0" t="s">
        <v>2715</v>
      </c>
      <c r="AY768" s="0" t="s">
        <v>3667</v>
      </c>
      <c r="AZ768" s="0" t="s">
        <v>3594</v>
      </c>
      <c r="BA768" s="0" t="s">
        <v>3668</v>
      </c>
      <c r="BB768" s="0" t="s">
        <v>5392</v>
      </c>
      <c r="BC768" s="0" t="s">
        <v>3608</v>
      </c>
      <c r="BD768" s="0" t="s">
        <v>5461</v>
      </c>
      <c r="BE768" s="0" t="s">
        <v>228</v>
      </c>
      <c r="BF768" s="0" t="s">
        <v>228</v>
      </c>
      <c r="BG768" s="0" t="s">
        <v>228</v>
      </c>
      <c r="BH768" s="0" t="s">
        <v>228</v>
      </c>
      <c r="BI768" s="0" t="s">
        <v>228</v>
      </c>
      <c r="BJ768" s="0" t="s">
        <v>228</v>
      </c>
      <c r="BK768" s="0" t="s">
        <v>228</v>
      </c>
      <c r="BL768" s="0" t="s">
        <v>228</v>
      </c>
      <c r="BM768" s="0" t="s">
        <v>228</v>
      </c>
      <c r="BN768" s="0" t="s">
        <v>228</v>
      </c>
      <c r="BO768" s="0" t="s">
        <v>228</v>
      </c>
      <c r="BP768" s="0" t="s">
        <v>228</v>
      </c>
      <c r="BQ768" s="0" t="s">
        <v>228</v>
      </c>
      <c r="BR768" s="0" t="s">
        <v>228</v>
      </c>
      <c r="BS768" s="0" t="s">
        <v>228</v>
      </c>
      <c r="BT768" s="0" t="s">
        <v>228</v>
      </c>
      <c r="CS768" s="0" t="s">
        <v>228</v>
      </c>
      <c r="CT768" s="0" t="s">
        <v>3568</v>
      </c>
      <c r="CU768" s="0" t="s">
        <v>5128</v>
      </c>
      <c r="CV768" s="0" t="s">
        <v>4030</v>
      </c>
      <c r="CW768" s="0" t="s">
        <v>3676</v>
      </c>
      <c r="CX768" s="0" t="s">
        <v>3603</v>
      </c>
      <c r="CY768" s="0" t="s">
        <v>4030</v>
      </c>
      <c r="CZ768" s="0" t="s">
        <v>5130</v>
      </c>
      <c r="DA768" s="0" t="s">
        <v>5131</v>
      </c>
      <c r="DB768" s="0" t="s">
        <v>3676</v>
      </c>
      <c r="DC768" s="0" t="s">
        <v>362</v>
      </c>
      <c r="DD768" s="0" t="s">
        <v>282</v>
      </c>
      <c r="DE768" s="0" t="s">
        <v>5397</v>
      </c>
    </row>
    <row customHeight="1" ht="11.25">
      <c r="A769" s="1353" t="s">
        <v>228</v>
      </c>
      <c r="B769" s="0" t="s">
        <v>228</v>
      </c>
      <c r="C769" s="0" t="s">
        <v>228</v>
      </c>
      <c r="D769" s="0" t="s">
        <v>228</v>
      </c>
      <c r="E769" s="0" t="s">
        <v>228</v>
      </c>
      <c r="F769" s="0" t="s">
        <v>228</v>
      </c>
      <c r="G769" s="0" t="s">
        <v>228</v>
      </c>
      <c r="H769" s="0" t="s">
        <v>228</v>
      </c>
      <c r="I769" s="0" t="s">
        <v>5119</v>
      </c>
      <c r="J769" s="0" t="s">
        <v>228</v>
      </c>
      <c r="K769" s="0" t="s">
        <v>228</v>
      </c>
      <c r="L769" s="0" t="s">
        <v>228</v>
      </c>
      <c r="M769" s="0" t="s">
        <v>228</v>
      </c>
      <c r="N769" s="0" t="s">
        <v>228</v>
      </c>
      <c r="O769" s="0" t="s">
        <v>228</v>
      </c>
      <c r="P769" s="0" t="s">
        <v>228</v>
      </c>
      <c r="Q769" s="0" t="s">
        <v>228</v>
      </c>
      <c r="R769" s="0" t="s">
        <v>5268</v>
      </c>
      <c r="S769" s="0" t="s">
        <v>228</v>
      </c>
      <c r="T769" s="0" t="s">
        <v>228</v>
      </c>
      <c r="U769" s="0" t="s">
        <v>101</v>
      </c>
      <c r="V769" s="0" t="s">
        <v>228</v>
      </c>
      <c r="W769" s="0" t="s">
        <v>228</v>
      </c>
      <c r="X769" s="0" t="s">
        <v>5121</v>
      </c>
      <c r="Y769" s="0" t="s">
        <v>228</v>
      </c>
      <c r="Z769" s="0" t="s">
        <v>160</v>
      </c>
      <c r="AA769" s="0" t="s">
        <v>151</v>
      </c>
      <c r="AB769" s="0" t="s">
        <v>151</v>
      </c>
      <c r="AC769" s="0" t="s">
        <v>2311</v>
      </c>
      <c r="AD769" s="0" t="s">
        <v>2311</v>
      </c>
      <c r="AE769" s="0" t="s">
        <v>2312</v>
      </c>
      <c r="AF769" s="0" t="s">
        <v>4034</v>
      </c>
      <c r="AG769" s="0" t="s">
        <v>4035</v>
      </c>
      <c r="AH769" s="0" t="s">
        <v>5269</v>
      </c>
      <c r="AI769" s="0" t="s">
        <v>3608</v>
      </c>
      <c r="AJ769" s="0" t="s">
        <v>4028</v>
      </c>
      <c r="AK769" s="0" t="s">
        <v>5270</v>
      </c>
      <c r="AL769" s="0" t="s">
        <v>5125</v>
      </c>
      <c r="AN769" s="0" t="s">
        <v>3582</v>
      </c>
      <c r="AO769" s="0" t="s">
        <v>5271</v>
      </c>
      <c r="AP769" s="0" t="s">
        <v>228</v>
      </c>
      <c r="AQ769" s="0" t="s">
        <v>228</v>
      </c>
      <c r="AR769" s="0" t="s">
        <v>228</v>
      </c>
      <c r="AS769" s="0" t="s">
        <v>228</v>
      </c>
      <c r="AT769" s="0" t="s">
        <v>228</v>
      </c>
      <c r="AU769" s="0" t="s">
        <v>228</v>
      </c>
      <c r="AV769" s="0" t="s">
        <v>228</v>
      </c>
      <c r="AW769" s="0" t="s">
        <v>228</v>
      </c>
      <c r="AX769" s="0" t="s">
        <v>228</v>
      </c>
      <c r="AY769" s="0" t="s">
        <v>228</v>
      </c>
      <c r="AZ769" s="0" t="s">
        <v>228</v>
      </c>
      <c r="BA769" s="0" t="s">
        <v>228</v>
      </c>
      <c r="BB769" s="0" t="s">
        <v>228</v>
      </c>
      <c r="BC769" s="0" t="s">
        <v>228</v>
      </c>
      <c r="BD769" s="0" t="s">
        <v>228</v>
      </c>
      <c r="BE769" s="0" t="s">
        <v>228</v>
      </c>
      <c r="BF769" s="0" t="s">
        <v>228</v>
      </c>
      <c r="BG769" s="0" t="s">
        <v>228</v>
      </c>
      <c r="BH769" s="0" t="s">
        <v>228</v>
      </c>
      <c r="BI769" s="0" t="s">
        <v>228</v>
      </c>
      <c r="BJ769" s="0" t="s">
        <v>228</v>
      </c>
      <c r="BK769" s="0" t="s">
        <v>228</v>
      </c>
      <c r="BL769" s="0" t="s">
        <v>228</v>
      </c>
      <c r="BM769" s="0" t="s">
        <v>228</v>
      </c>
      <c r="BN769" s="0" t="s">
        <v>228</v>
      </c>
      <c r="BO769" s="0" t="s">
        <v>228</v>
      </c>
      <c r="BP769" s="0" t="s">
        <v>228</v>
      </c>
      <c r="BQ769" s="0" t="s">
        <v>228</v>
      </c>
      <c r="BR769" s="0" t="s">
        <v>228</v>
      </c>
      <c r="BS769" s="0" t="s">
        <v>228</v>
      </c>
      <c r="BT769" s="0" t="s">
        <v>228</v>
      </c>
      <c r="CS769" s="0" t="s">
        <v>228</v>
      </c>
      <c r="CT769" s="0" t="s">
        <v>3568</v>
      </c>
      <c r="CU769" s="0" t="s">
        <v>3569</v>
      </c>
      <c r="CV769" s="0" t="s">
        <v>418</v>
      </c>
      <c r="CW769" s="0" t="s">
        <v>3584</v>
      </c>
      <c r="CX769" s="0" t="s">
        <v>419</v>
      </c>
      <c r="CY769" s="0" t="s">
        <v>418</v>
      </c>
      <c r="CZ769" s="0" t="s">
        <v>3585</v>
      </c>
      <c r="DA769" s="0" t="s">
        <v>3586</v>
      </c>
      <c r="DB769" s="0" t="s">
        <v>3584</v>
      </c>
      <c r="DC769" s="0" t="s">
        <v>362</v>
      </c>
      <c r="DD769" s="0" t="s">
        <v>282</v>
      </c>
      <c r="DE769" s="0" t="s">
        <v>5272</v>
      </c>
    </row>
    <row customHeight="1" ht="11.25">
      <c r="A770" s="1353" t="s">
        <v>228</v>
      </c>
      <c r="B770" s="0" t="s">
        <v>228</v>
      </c>
      <c r="C770" s="0" t="s">
        <v>228</v>
      </c>
      <c r="D770" s="0" t="s">
        <v>228</v>
      </c>
      <c r="E770" s="0" t="s">
        <v>228</v>
      </c>
      <c r="F770" s="0" t="s">
        <v>228</v>
      </c>
      <c r="G770" s="0" t="s">
        <v>228</v>
      </c>
      <c r="H770" s="0" t="s">
        <v>228</v>
      </c>
      <c r="I770" s="0" t="s">
        <v>5119</v>
      </c>
      <c r="J770" s="0" t="s">
        <v>228</v>
      </c>
      <c r="K770" s="0" t="s">
        <v>228</v>
      </c>
      <c r="L770" s="0" t="s">
        <v>228</v>
      </c>
      <c r="M770" s="0" t="s">
        <v>228</v>
      </c>
      <c r="N770" s="0" t="s">
        <v>228</v>
      </c>
      <c r="O770" s="0" t="s">
        <v>228</v>
      </c>
      <c r="P770" s="0" t="s">
        <v>228</v>
      </c>
      <c r="Q770" s="0" t="s">
        <v>228</v>
      </c>
      <c r="R770" s="0" t="s">
        <v>5439</v>
      </c>
      <c r="S770" s="0" t="s">
        <v>228</v>
      </c>
      <c r="T770" s="0" t="s">
        <v>228</v>
      </c>
      <c r="U770" s="0" t="s">
        <v>101</v>
      </c>
      <c r="V770" s="0" t="s">
        <v>228</v>
      </c>
      <c r="W770" s="0" t="s">
        <v>228</v>
      </c>
      <c r="X770" s="0" t="s">
        <v>3988</v>
      </c>
      <c r="Y770" s="0" t="s">
        <v>228</v>
      </c>
      <c r="Z770" s="0" t="s">
        <v>151</v>
      </c>
      <c r="AA770" s="0" t="s">
        <v>160</v>
      </c>
      <c r="AB770" s="0" t="s">
        <v>151</v>
      </c>
      <c r="AC770" s="0" t="s">
        <v>2311</v>
      </c>
      <c r="AD770" s="0" t="s">
        <v>2311</v>
      </c>
      <c r="AE770" s="0" t="s">
        <v>2312</v>
      </c>
      <c r="AF770" s="0" t="s">
        <v>4034</v>
      </c>
      <c r="AG770" s="0" t="s">
        <v>4035</v>
      </c>
      <c r="AH770" s="0" t="s">
        <v>5238</v>
      </c>
      <c r="AI770" s="0" t="s">
        <v>3608</v>
      </c>
      <c r="AJ770" s="0" t="s">
        <v>228</v>
      </c>
      <c r="AK770" s="0" t="s">
        <v>228</v>
      </c>
      <c r="AL770" s="0" t="s">
        <v>228</v>
      </c>
      <c r="AN770" s="0" t="s">
        <v>228</v>
      </c>
      <c r="AO770" s="0" t="s">
        <v>228</v>
      </c>
      <c r="AP770" s="0" t="s">
        <v>5235</v>
      </c>
      <c r="AQ770" s="0" t="s">
        <v>5236</v>
      </c>
      <c r="AR770" s="0" t="s">
        <v>111</v>
      </c>
      <c r="AS770" s="0" t="s">
        <v>3665</v>
      </c>
      <c r="AT770" s="0" t="s">
        <v>122</v>
      </c>
      <c r="AU770" s="0" t="s">
        <v>228</v>
      </c>
      <c r="AV770" s="0" t="s">
        <v>5439</v>
      </c>
      <c r="AW770" s="0" t="s">
        <v>2311</v>
      </c>
      <c r="AX770" s="0" t="s">
        <v>2311</v>
      </c>
      <c r="AY770" s="0" t="s">
        <v>3723</v>
      </c>
      <c r="AZ770" s="0" t="s">
        <v>4034</v>
      </c>
      <c r="BA770" s="0" t="s">
        <v>4038</v>
      </c>
      <c r="BB770" s="0" t="s">
        <v>5238</v>
      </c>
      <c r="BC770" s="0" t="s">
        <v>3608</v>
      </c>
      <c r="BD770" s="0" t="s">
        <v>3582</v>
      </c>
      <c r="BE770" s="0" t="s">
        <v>228</v>
      </c>
      <c r="BF770" s="0" t="s">
        <v>228</v>
      </c>
      <c r="BG770" s="0" t="s">
        <v>228</v>
      </c>
      <c r="BH770" s="0" t="s">
        <v>228</v>
      </c>
      <c r="BI770" s="0" t="s">
        <v>228</v>
      </c>
      <c r="BJ770" s="0" t="s">
        <v>228</v>
      </c>
      <c r="BK770" s="0" t="s">
        <v>228</v>
      </c>
      <c r="BL770" s="0" t="s">
        <v>228</v>
      </c>
      <c r="BM770" s="0" t="s">
        <v>228</v>
      </c>
      <c r="BN770" s="0" t="s">
        <v>228</v>
      </c>
      <c r="BO770" s="0" t="s">
        <v>228</v>
      </c>
      <c r="BP770" s="0" t="s">
        <v>228</v>
      </c>
      <c r="BQ770" s="0" t="s">
        <v>228</v>
      </c>
      <c r="BR770" s="0" t="s">
        <v>228</v>
      </c>
      <c r="BS770" s="0" t="s">
        <v>228</v>
      </c>
      <c r="BT770" s="0" t="s">
        <v>228</v>
      </c>
      <c r="CS770" s="0" t="s">
        <v>228</v>
      </c>
      <c r="CT770" s="0" t="s">
        <v>3568</v>
      </c>
      <c r="CU770" s="0" t="s">
        <v>3569</v>
      </c>
      <c r="CV770" s="0" t="s">
        <v>418</v>
      </c>
      <c r="CW770" s="0" t="s">
        <v>3584</v>
      </c>
      <c r="CX770" s="0" t="s">
        <v>419</v>
      </c>
      <c r="CY770" s="0" t="s">
        <v>418</v>
      </c>
      <c r="CZ770" s="0" t="s">
        <v>3585</v>
      </c>
      <c r="DA770" s="0" t="s">
        <v>3586</v>
      </c>
      <c r="DB770" s="0" t="s">
        <v>3584</v>
      </c>
      <c r="DC770" s="0" t="s">
        <v>362</v>
      </c>
      <c r="DD770" s="0" t="s">
        <v>282</v>
      </c>
      <c r="DE770" s="0" t="s">
        <v>5267</v>
      </c>
    </row>
    <row customHeight="1" ht="11.25">
      <c r="A771" s="1353" t="s">
        <v>228</v>
      </c>
      <c r="B771" s="0" t="s">
        <v>228</v>
      </c>
      <c r="C771" s="0" t="s">
        <v>228</v>
      </c>
      <c r="D771" s="0" t="s">
        <v>228</v>
      </c>
      <c r="E771" s="0" t="s">
        <v>228</v>
      </c>
      <c r="F771" s="0" t="s">
        <v>228</v>
      </c>
      <c r="G771" s="0" t="s">
        <v>228</v>
      </c>
      <c r="H771" s="0" t="s">
        <v>228</v>
      </c>
      <c r="I771" s="0" t="s">
        <v>5119</v>
      </c>
      <c r="J771" s="0" t="s">
        <v>228</v>
      </c>
      <c r="K771" s="0" t="s">
        <v>228</v>
      </c>
      <c r="L771" s="0" t="s">
        <v>228</v>
      </c>
      <c r="M771" s="0" t="s">
        <v>228</v>
      </c>
      <c r="N771" s="0" t="s">
        <v>228</v>
      </c>
      <c r="O771" s="0" t="s">
        <v>228</v>
      </c>
      <c r="P771" s="0" t="s">
        <v>228</v>
      </c>
      <c r="Q771" s="0" t="s">
        <v>228</v>
      </c>
      <c r="R771" s="0" t="s">
        <v>5417</v>
      </c>
      <c r="S771" s="0" t="s">
        <v>228</v>
      </c>
      <c r="T771" s="0" t="s">
        <v>228</v>
      </c>
      <c r="U771" s="0" t="s">
        <v>101</v>
      </c>
      <c r="V771" s="0" t="s">
        <v>228</v>
      </c>
      <c r="W771" s="0" t="s">
        <v>228</v>
      </c>
      <c r="X771" s="0" t="s">
        <v>5121</v>
      </c>
      <c r="Y771" s="0" t="s">
        <v>228</v>
      </c>
      <c r="Z771" s="0" t="s">
        <v>160</v>
      </c>
      <c r="AA771" s="0" t="s">
        <v>151</v>
      </c>
      <c r="AB771" s="0" t="s">
        <v>151</v>
      </c>
      <c r="AC771" s="0" t="s">
        <v>2317</v>
      </c>
      <c r="AD771" s="0" t="s">
        <v>2317</v>
      </c>
      <c r="AE771" s="0" t="s">
        <v>2318</v>
      </c>
      <c r="AF771" s="0" t="s">
        <v>3849</v>
      </c>
      <c r="AG771" s="0" t="s">
        <v>3850</v>
      </c>
      <c r="AH771" s="0" t="s">
        <v>3651</v>
      </c>
      <c r="AI771" s="0" t="s">
        <v>3651</v>
      </c>
      <c r="AJ771" s="0" t="s">
        <v>5029</v>
      </c>
      <c r="AK771" s="0" t="s">
        <v>5328</v>
      </c>
      <c r="AL771" s="0" t="s">
        <v>5125</v>
      </c>
      <c r="AN771" s="0" t="s">
        <v>3582</v>
      </c>
      <c r="AO771" s="0" t="s">
        <v>4184</v>
      </c>
      <c r="AP771" s="0" t="s">
        <v>228</v>
      </c>
      <c r="AQ771" s="0" t="s">
        <v>228</v>
      </c>
      <c r="AR771" s="0" t="s">
        <v>228</v>
      </c>
      <c r="AS771" s="0" t="s">
        <v>228</v>
      </c>
      <c r="AT771" s="0" t="s">
        <v>228</v>
      </c>
      <c r="AU771" s="0" t="s">
        <v>228</v>
      </c>
      <c r="AV771" s="0" t="s">
        <v>228</v>
      </c>
      <c r="AW771" s="0" t="s">
        <v>228</v>
      </c>
      <c r="AX771" s="0" t="s">
        <v>228</v>
      </c>
      <c r="AY771" s="0" t="s">
        <v>228</v>
      </c>
      <c r="AZ771" s="0" t="s">
        <v>228</v>
      </c>
      <c r="BA771" s="0" t="s">
        <v>228</v>
      </c>
      <c r="BB771" s="0" t="s">
        <v>228</v>
      </c>
      <c r="BC771" s="0" t="s">
        <v>228</v>
      </c>
      <c r="BD771" s="0" t="s">
        <v>228</v>
      </c>
      <c r="BE771" s="0" t="s">
        <v>228</v>
      </c>
      <c r="BF771" s="0" t="s">
        <v>228</v>
      </c>
      <c r="BG771" s="0" t="s">
        <v>228</v>
      </c>
      <c r="BH771" s="0" t="s">
        <v>228</v>
      </c>
      <c r="BI771" s="0" t="s">
        <v>228</v>
      </c>
      <c r="BJ771" s="0" t="s">
        <v>228</v>
      </c>
      <c r="BK771" s="0" t="s">
        <v>228</v>
      </c>
      <c r="BL771" s="0" t="s">
        <v>228</v>
      </c>
      <c r="BM771" s="0" t="s">
        <v>228</v>
      </c>
      <c r="BN771" s="0" t="s">
        <v>228</v>
      </c>
      <c r="BO771" s="0" t="s">
        <v>228</v>
      </c>
      <c r="BP771" s="0" t="s">
        <v>228</v>
      </c>
      <c r="BQ771" s="0" t="s">
        <v>228</v>
      </c>
      <c r="BR771" s="0" t="s">
        <v>228</v>
      </c>
      <c r="BS771" s="0" t="s">
        <v>228</v>
      </c>
      <c r="BT771" s="0" t="s">
        <v>228</v>
      </c>
      <c r="CS771" s="0" t="s">
        <v>228</v>
      </c>
      <c r="CT771" s="0" t="s">
        <v>3568</v>
      </c>
      <c r="CU771" s="0" t="s">
        <v>3569</v>
      </c>
      <c r="CV771" s="0" t="s">
        <v>418</v>
      </c>
      <c r="CW771" s="0" t="s">
        <v>3622</v>
      </c>
      <c r="CX771" s="0" t="s">
        <v>419</v>
      </c>
      <c r="CY771" s="0" t="s">
        <v>418</v>
      </c>
      <c r="CZ771" s="0" t="s">
        <v>3623</v>
      </c>
      <c r="DA771" s="0" t="s">
        <v>3624</v>
      </c>
      <c r="DB771" s="0" t="s">
        <v>3622</v>
      </c>
      <c r="DC771" s="0" t="s">
        <v>362</v>
      </c>
      <c r="DD771" s="0" t="s">
        <v>282</v>
      </c>
      <c r="DE771" s="0" t="s">
        <v>4236</v>
      </c>
    </row>
    <row customHeight="1" ht="11.25">
      <c r="A772" s="1353" t="s">
        <v>228</v>
      </c>
      <c r="B772" s="0" t="s">
        <v>228</v>
      </c>
      <c r="C772" s="0" t="s">
        <v>228</v>
      </c>
      <c r="D772" s="0" t="s">
        <v>228</v>
      </c>
      <c r="E772" s="0" t="s">
        <v>228</v>
      </c>
      <c r="F772" s="0" t="s">
        <v>228</v>
      </c>
      <c r="G772" s="0" t="s">
        <v>228</v>
      </c>
      <c r="H772" s="0" t="s">
        <v>228</v>
      </c>
      <c r="I772" s="0" t="s">
        <v>5119</v>
      </c>
      <c r="J772" s="0" t="s">
        <v>228</v>
      </c>
      <c r="K772" s="0" t="s">
        <v>228</v>
      </c>
      <c r="L772" s="0" t="s">
        <v>228</v>
      </c>
      <c r="M772" s="0" t="s">
        <v>228</v>
      </c>
      <c r="N772" s="0" t="s">
        <v>228</v>
      </c>
      <c r="O772" s="0" t="s">
        <v>228</v>
      </c>
      <c r="P772" s="0" t="s">
        <v>228</v>
      </c>
      <c r="Q772" s="0" t="s">
        <v>228</v>
      </c>
      <c r="R772" s="0" t="s">
        <v>5430</v>
      </c>
      <c r="S772" s="0" t="s">
        <v>228</v>
      </c>
      <c r="T772" s="0" t="s">
        <v>228</v>
      </c>
      <c r="U772" s="0" t="s">
        <v>101</v>
      </c>
      <c r="V772" s="0" t="s">
        <v>228</v>
      </c>
      <c r="W772" s="0" t="s">
        <v>228</v>
      </c>
      <c r="X772" s="0" t="s">
        <v>5121</v>
      </c>
      <c r="Y772" s="0" t="s">
        <v>228</v>
      </c>
      <c r="Z772" s="0" t="s">
        <v>160</v>
      </c>
      <c r="AA772" s="0" t="s">
        <v>151</v>
      </c>
      <c r="AB772" s="0" t="s">
        <v>151</v>
      </c>
      <c r="AC772" s="0" t="s">
        <v>2715</v>
      </c>
      <c r="AD772" s="0" t="s">
        <v>2715</v>
      </c>
      <c r="AE772" s="0" t="s">
        <v>2716</v>
      </c>
      <c r="AF772" s="0" t="s">
        <v>3594</v>
      </c>
      <c r="AG772" s="0" t="s">
        <v>3595</v>
      </c>
      <c r="AH772" s="0" t="s">
        <v>5431</v>
      </c>
      <c r="AI772" s="0" t="s">
        <v>3608</v>
      </c>
      <c r="AJ772" s="0" t="s">
        <v>3858</v>
      </c>
      <c r="AK772" s="0" t="s">
        <v>5432</v>
      </c>
      <c r="AL772" s="0" t="s">
        <v>5125</v>
      </c>
      <c r="AN772" s="0" t="s">
        <v>5433</v>
      </c>
      <c r="AO772" s="0" t="s">
        <v>5434</v>
      </c>
      <c r="AP772" s="0" t="s">
        <v>228</v>
      </c>
      <c r="AQ772" s="0" t="s">
        <v>228</v>
      </c>
      <c r="AR772" s="0" t="s">
        <v>228</v>
      </c>
      <c r="AS772" s="0" t="s">
        <v>228</v>
      </c>
      <c r="AT772" s="0" t="s">
        <v>228</v>
      </c>
      <c r="AU772" s="0" t="s">
        <v>228</v>
      </c>
      <c r="AV772" s="0" t="s">
        <v>228</v>
      </c>
      <c r="AW772" s="0" t="s">
        <v>228</v>
      </c>
      <c r="AX772" s="0" t="s">
        <v>228</v>
      </c>
      <c r="AY772" s="0" t="s">
        <v>228</v>
      </c>
      <c r="AZ772" s="0" t="s">
        <v>228</v>
      </c>
      <c r="BA772" s="0" t="s">
        <v>228</v>
      </c>
      <c r="BB772" s="0" t="s">
        <v>228</v>
      </c>
      <c r="BC772" s="0" t="s">
        <v>228</v>
      </c>
      <c r="BD772" s="0" t="s">
        <v>228</v>
      </c>
      <c r="BE772" s="0" t="s">
        <v>228</v>
      </c>
      <c r="BF772" s="0" t="s">
        <v>228</v>
      </c>
      <c r="BG772" s="0" t="s">
        <v>228</v>
      </c>
      <c r="BH772" s="0" t="s">
        <v>228</v>
      </c>
      <c r="BI772" s="0" t="s">
        <v>228</v>
      </c>
      <c r="BJ772" s="0" t="s">
        <v>228</v>
      </c>
      <c r="BK772" s="0" t="s">
        <v>228</v>
      </c>
      <c r="BL772" s="0" t="s">
        <v>228</v>
      </c>
      <c r="BM772" s="0" t="s">
        <v>228</v>
      </c>
      <c r="BN772" s="0" t="s">
        <v>228</v>
      </c>
      <c r="BO772" s="0" t="s">
        <v>228</v>
      </c>
      <c r="BP772" s="0" t="s">
        <v>228</v>
      </c>
      <c r="BQ772" s="0" t="s">
        <v>228</v>
      </c>
      <c r="BR772" s="0" t="s">
        <v>228</v>
      </c>
      <c r="BS772" s="0" t="s">
        <v>228</v>
      </c>
      <c r="BT772" s="0" t="s">
        <v>228</v>
      </c>
      <c r="CS772" s="0" t="s">
        <v>228</v>
      </c>
      <c r="CT772" s="0" t="s">
        <v>3568</v>
      </c>
      <c r="CU772" s="0" t="s">
        <v>3569</v>
      </c>
      <c r="CV772" s="0" t="s">
        <v>418</v>
      </c>
      <c r="CW772" s="0" t="s">
        <v>3602</v>
      </c>
      <c r="CX772" s="0" t="s">
        <v>3603</v>
      </c>
      <c r="CY772" s="0" t="s">
        <v>418</v>
      </c>
      <c r="CZ772" s="0" t="s">
        <v>504</v>
      </c>
      <c r="DA772" s="0" t="s">
        <v>3604</v>
      </c>
      <c r="DB772" s="0" t="s">
        <v>3602</v>
      </c>
      <c r="DC772" s="0" t="s">
        <v>362</v>
      </c>
      <c r="DD772" s="0" t="s">
        <v>282</v>
      </c>
      <c r="DE772" s="0" t="s">
        <v>5435</v>
      </c>
    </row>
    <row customHeight="1" ht="11.25">
      <c r="A773" s="1353" t="s">
        <v>228</v>
      </c>
      <c r="B773" s="0" t="s">
        <v>228</v>
      </c>
      <c r="C773" s="0" t="s">
        <v>228</v>
      </c>
      <c r="D773" s="0" t="s">
        <v>228</v>
      </c>
      <c r="E773" s="0" t="s">
        <v>228</v>
      </c>
      <c r="F773" s="0" t="s">
        <v>228</v>
      </c>
      <c r="G773" s="0" t="s">
        <v>228</v>
      </c>
      <c r="H773" s="0" t="s">
        <v>228</v>
      </c>
      <c r="I773" s="0" t="s">
        <v>5119</v>
      </c>
      <c r="J773" s="0" t="s">
        <v>228</v>
      </c>
      <c r="K773" s="0" t="s">
        <v>228</v>
      </c>
      <c r="L773" s="0" t="s">
        <v>228</v>
      </c>
      <c r="M773" s="0" t="s">
        <v>228</v>
      </c>
      <c r="N773" s="0" t="s">
        <v>228</v>
      </c>
      <c r="O773" s="0" t="s">
        <v>228</v>
      </c>
      <c r="P773" s="0" t="s">
        <v>228</v>
      </c>
      <c r="Q773" s="0" t="s">
        <v>228</v>
      </c>
      <c r="R773" s="0" t="s">
        <v>5418</v>
      </c>
      <c r="S773" s="0" t="s">
        <v>228</v>
      </c>
      <c r="T773" s="0" t="s">
        <v>228</v>
      </c>
      <c r="U773" s="0" t="s">
        <v>101</v>
      </c>
      <c r="V773" s="0" t="s">
        <v>228</v>
      </c>
      <c r="W773" s="0" t="s">
        <v>228</v>
      </c>
      <c r="X773" s="0" t="s">
        <v>3661</v>
      </c>
      <c r="Y773" s="0" t="s">
        <v>228</v>
      </c>
      <c r="Z773" s="0" t="s">
        <v>151</v>
      </c>
      <c r="AA773" s="0" t="s">
        <v>151</v>
      </c>
      <c r="AB773" s="0" t="s">
        <v>160</v>
      </c>
      <c r="AC773" s="0" t="s">
        <v>2317</v>
      </c>
      <c r="AD773" s="0" t="s">
        <v>2317</v>
      </c>
      <c r="AE773" s="0" t="s">
        <v>2318</v>
      </c>
      <c r="AF773" s="0" t="s">
        <v>4053</v>
      </c>
      <c r="AG773" s="0" t="s">
        <v>4054</v>
      </c>
      <c r="AH773" s="0" t="s">
        <v>3651</v>
      </c>
      <c r="AI773" s="0" t="s">
        <v>3651</v>
      </c>
      <c r="AJ773" s="0" t="s">
        <v>228</v>
      </c>
      <c r="AK773" s="0" t="s">
        <v>228</v>
      </c>
      <c r="AL773" s="0" t="s">
        <v>228</v>
      </c>
      <c r="AN773" s="0" t="s">
        <v>228</v>
      </c>
      <c r="AO773" s="0" t="s">
        <v>228</v>
      </c>
      <c r="AP773" s="0" t="s">
        <v>228</v>
      </c>
      <c r="AQ773" s="0" t="s">
        <v>228</v>
      </c>
      <c r="AR773" s="0" t="s">
        <v>228</v>
      </c>
      <c r="AS773" s="0" t="s">
        <v>228</v>
      </c>
      <c r="AT773" s="0" t="s">
        <v>228</v>
      </c>
      <c r="AU773" s="0" t="s">
        <v>228</v>
      </c>
      <c r="AV773" s="0" t="s">
        <v>228</v>
      </c>
      <c r="AW773" s="0" t="s">
        <v>228</v>
      </c>
      <c r="AX773" s="0" t="s">
        <v>228</v>
      </c>
      <c r="AY773" s="0" t="s">
        <v>228</v>
      </c>
      <c r="AZ773" s="0" t="s">
        <v>228</v>
      </c>
      <c r="BA773" s="0" t="s">
        <v>228</v>
      </c>
      <c r="BB773" s="0" t="s">
        <v>228</v>
      </c>
      <c r="BC773" s="0" t="s">
        <v>228</v>
      </c>
      <c r="BD773" s="0" t="s">
        <v>228</v>
      </c>
      <c r="BE773" s="0" t="s">
        <v>3627</v>
      </c>
      <c r="BF773" s="0" t="s">
        <v>3808</v>
      </c>
      <c r="BG773" s="0" t="s">
        <v>111</v>
      </c>
      <c r="BH773" s="0" t="s">
        <v>3665</v>
      </c>
      <c r="BI773" s="0" t="s">
        <v>122</v>
      </c>
      <c r="BJ773" s="0" t="s">
        <v>228</v>
      </c>
      <c r="BK773" s="0" t="s">
        <v>228</v>
      </c>
      <c r="BL773" s="0" t="s">
        <v>2317</v>
      </c>
      <c r="BM773" s="0" t="s">
        <v>2317</v>
      </c>
      <c r="BN773" s="0" t="s">
        <v>3740</v>
      </c>
      <c r="BO773" s="0" t="s">
        <v>4053</v>
      </c>
      <c r="BP773" s="0" t="s">
        <v>4503</v>
      </c>
      <c r="BQ773" s="0" t="s">
        <v>3651</v>
      </c>
      <c r="BR773" s="0" t="s">
        <v>3651</v>
      </c>
      <c r="BS773" s="0" t="s">
        <v>228</v>
      </c>
      <c r="BT773" s="0" t="s">
        <v>3727</v>
      </c>
      <c r="CS773" s="0" t="s">
        <v>5243</v>
      </c>
      <c r="CT773" s="0" t="s">
        <v>3568</v>
      </c>
      <c r="CU773" s="0" t="s">
        <v>3569</v>
      </c>
      <c r="CV773" s="0" t="s">
        <v>418</v>
      </c>
      <c r="CW773" s="0" t="s">
        <v>3622</v>
      </c>
      <c r="CX773" s="0" t="s">
        <v>419</v>
      </c>
      <c r="CY773" s="0" t="s">
        <v>418</v>
      </c>
      <c r="CZ773" s="0" t="s">
        <v>3623</v>
      </c>
      <c r="DA773" s="0" t="s">
        <v>3624</v>
      </c>
      <c r="DB773" s="0" t="s">
        <v>3622</v>
      </c>
      <c r="DC773" s="0" t="s">
        <v>362</v>
      </c>
      <c r="DD773" s="0" t="s">
        <v>282</v>
      </c>
      <c r="DE773" s="0" t="s">
        <v>4505</v>
      </c>
    </row>
    <row customHeight="1" ht="11.25">
      <c r="A774" s="1353" t="s">
        <v>228</v>
      </c>
      <c r="B774" s="0" t="s">
        <v>228</v>
      </c>
      <c r="C774" s="0" t="s">
        <v>228</v>
      </c>
      <c r="D774" s="0" t="s">
        <v>228</v>
      </c>
      <c r="E774" s="0" t="s">
        <v>228</v>
      </c>
      <c r="F774" s="0" t="s">
        <v>228</v>
      </c>
      <c r="G774" s="0" t="s">
        <v>228</v>
      </c>
      <c r="H774" s="0" t="s">
        <v>228</v>
      </c>
      <c r="I774" s="0" t="s">
        <v>5119</v>
      </c>
      <c r="J774" s="0" t="s">
        <v>228</v>
      </c>
      <c r="K774" s="0" t="s">
        <v>228</v>
      </c>
      <c r="L774" s="0" t="s">
        <v>228</v>
      </c>
      <c r="M774" s="0" t="s">
        <v>228</v>
      </c>
      <c r="N774" s="0" t="s">
        <v>228</v>
      </c>
      <c r="O774" s="0" t="s">
        <v>228</v>
      </c>
      <c r="P774" s="0" t="s">
        <v>228</v>
      </c>
      <c r="Q774" s="0" t="s">
        <v>228</v>
      </c>
      <c r="R774" s="0" t="s">
        <v>5429</v>
      </c>
      <c r="S774" s="0" t="s">
        <v>228</v>
      </c>
      <c r="T774" s="0" t="s">
        <v>228</v>
      </c>
      <c r="U774" s="0" t="s">
        <v>101</v>
      </c>
      <c r="V774" s="0" t="s">
        <v>228</v>
      </c>
      <c r="W774" s="0" t="s">
        <v>228</v>
      </c>
      <c r="X774" s="0" t="s">
        <v>3661</v>
      </c>
      <c r="Y774" s="0" t="s">
        <v>228</v>
      </c>
      <c r="Z774" s="0" t="s">
        <v>151</v>
      </c>
      <c r="AA774" s="0" t="s">
        <v>151</v>
      </c>
      <c r="AB774" s="0" t="s">
        <v>160</v>
      </c>
      <c r="AC774" s="0" t="s">
        <v>2317</v>
      </c>
      <c r="AD774" s="0" t="s">
        <v>2317</v>
      </c>
      <c r="AE774" s="0" t="s">
        <v>2318</v>
      </c>
      <c r="AF774" s="0" t="s">
        <v>4544</v>
      </c>
      <c r="AG774" s="0" t="s">
        <v>4545</v>
      </c>
      <c r="AH774" s="0" t="s">
        <v>3651</v>
      </c>
      <c r="AI774" s="0" t="s">
        <v>3651</v>
      </c>
      <c r="AJ774" s="0" t="s">
        <v>228</v>
      </c>
      <c r="AK774" s="0" t="s">
        <v>228</v>
      </c>
      <c r="AL774" s="0" t="s">
        <v>228</v>
      </c>
      <c r="AN774" s="0" t="s">
        <v>228</v>
      </c>
      <c r="AO774" s="0" t="s">
        <v>228</v>
      </c>
      <c r="AP774" s="0" t="s">
        <v>228</v>
      </c>
      <c r="AQ774" s="0" t="s">
        <v>228</v>
      </c>
      <c r="AR774" s="0" t="s">
        <v>228</v>
      </c>
      <c r="AS774" s="0" t="s">
        <v>228</v>
      </c>
      <c r="AT774" s="0" t="s">
        <v>228</v>
      </c>
      <c r="AU774" s="0" t="s">
        <v>228</v>
      </c>
      <c r="AV774" s="0" t="s">
        <v>228</v>
      </c>
      <c r="AW774" s="0" t="s">
        <v>228</v>
      </c>
      <c r="AX774" s="0" t="s">
        <v>228</v>
      </c>
      <c r="AY774" s="0" t="s">
        <v>228</v>
      </c>
      <c r="AZ774" s="0" t="s">
        <v>228</v>
      </c>
      <c r="BA774" s="0" t="s">
        <v>228</v>
      </c>
      <c r="BB774" s="0" t="s">
        <v>228</v>
      </c>
      <c r="BC774" s="0" t="s">
        <v>228</v>
      </c>
      <c r="BD774" s="0" t="s">
        <v>228</v>
      </c>
      <c r="BE774" s="0" t="s">
        <v>3627</v>
      </c>
      <c r="BF774" s="0" t="s">
        <v>3808</v>
      </c>
      <c r="BG774" s="0" t="s">
        <v>111</v>
      </c>
      <c r="BH774" s="0" t="s">
        <v>3665</v>
      </c>
      <c r="BI774" s="0" t="s">
        <v>122</v>
      </c>
      <c r="BJ774" s="0" t="s">
        <v>228</v>
      </c>
      <c r="BK774" s="0" t="s">
        <v>228</v>
      </c>
      <c r="BL774" s="0" t="s">
        <v>2317</v>
      </c>
      <c r="BM774" s="0" t="s">
        <v>2317</v>
      </c>
      <c r="BN774" s="0" t="s">
        <v>3740</v>
      </c>
      <c r="BO774" s="0" t="s">
        <v>4544</v>
      </c>
      <c r="BP774" s="0" t="s">
        <v>4812</v>
      </c>
      <c r="BQ774" s="0" t="s">
        <v>3651</v>
      </c>
      <c r="BR774" s="0" t="s">
        <v>3651</v>
      </c>
      <c r="BS774" s="0" t="s">
        <v>228</v>
      </c>
      <c r="BT774" s="0" t="s">
        <v>3727</v>
      </c>
      <c r="CS774" s="0" t="s">
        <v>5243</v>
      </c>
      <c r="CT774" s="0" t="s">
        <v>3568</v>
      </c>
      <c r="CU774" s="0" t="s">
        <v>3569</v>
      </c>
      <c r="CV774" s="0" t="s">
        <v>418</v>
      </c>
      <c r="CW774" s="0" t="s">
        <v>3622</v>
      </c>
      <c r="CX774" s="0" t="s">
        <v>419</v>
      </c>
      <c r="CY774" s="0" t="s">
        <v>418</v>
      </c>
      <c r="CZ774" s="0" t="s">
        <v>3623</v>
      </c>
      <c r="DA774" s="0" t="s">
        <v>3624</v>
      </c>
      <c r="DB774" s="0" t="s">
        <v>3622</v>
      </c>
      <c r="DC774" s="0" t="s">
        <v>362</v>
      </c>
      <c r="DD774" s="0" t="s">
        <v>282</v>
      </c>
      <c r="DE774" s="0" t="s">
        <v>4814</v>
      </c>
    </row>
    <row customHeight="1" ht="11.25">
      <c r="A775" s="1353" t="s">
        <v>228</v>
      </c>
      <c r="B775" s="0" t="s">
        <v>228</v>
      </c>
      <c r="C775" s="0" t="s">
        <v>228</v>
      </c>
      <c r="D775" s="0" t="s">
        <v>228</v>
      </c>
      <c r="E775" s="0" t="s">
        <v>228</v>
      </c>
      <c r="F775" s="0" t="s">
        <v>228</v>
      </c>
      <c r="G775" s="0" t="s">
        <v>228</v>
      </c>
      <c r="H775" s="0" t="s">
        <v>228</v>
      </c>
      <c r="I775" s="0" t="s">
        <v>5119</v>
      </c>
      <c r="J775" s="0" t="s">
        <v>228</v>
      </c>
      <c r="K775" s="0" t="s">
        <v>228</v>
      </c>
      <c r="L775" s="0" t="s">
        <v>228</v>
      </c>
      <c r="M775" s="0" t="s">
        <v>228</v>
      </c>
      <c r="N775" s="0" t="s">
        <v>228</v>
      </c>
      <c r="O775" s="0" t="s">
        <v>228</v>
      </c>
      <c r="P775" s="0" t="s">
        <v>228</v>
      </c>
      <c r="Q775" s="0" t="s">
        <v>228</v>
      </c>
      <c r="R775" s="0" t="s">
        <v>5133</v>
      </c>
      <c r="S775" s="0" t="s">
        <v>228</v>
      </c>
      <c r="T775" s="0" t="s">
        <v>228</v>
      </c>
      <c r="U775" s="0" t="s">
        <v>101</v>
      </c>
      <c r="V775" s="0" t="s">
        <v>228</v>
      </c>
      <c r="W775" s="0" t="s">
        <v>228</v>
      </c>
      <c r="X775" s="0" t="s">
        <v>5121</v>
      </c>
      <c r="Y775" s="0" t="s">
        <v>228</v>
      </c>
      <c r="Z775" s="0" t="s">
        <v>160</v>
      </c>
      <c r="AA775" s="0" t="s">
        <v>151</v>
      </c>
      <c r="AB775" s="0" t="s">
        <v>151</v>
      </c>
      <c r="AC775" s="0" t="s">
        <v>2721</v>
      </c>
      <c r="AD775" s="0" t="s">
        <v>2721</v>
      </c>
      <c r="AE775" s="0" t="s">
        <v>2722</v>
      </c>
      <c r="AF775" s="0" t="s">
        <v>4024</v>
      </c>
      <c r="AG775" s="0" t="s">
        <v>4025</v>
      </c>
      <c r="AH775" s="0" t="s">
        <v>5134</v>
      </c>
      <c r="AI775" s="0" t="s">
        <v>5135</v>
      </c>
      <c r="AJ775" s="0" t="s">
        <v>4993</v>
      </c>
      <c r="AK775" s="0" t="s">
        <v>5136</v>
      </c>
      <c r="AL775" s="0" t="s">
        <v>5125</v>
      </c>
      <c r="AN775" s="0" t="s">
        <v>3628</v>
      </c>
      <c r="AO775" s="0" t="s">
        <v>5137</v>
      </c>
      <c r="AP775" s="0" t="s">
        <v>228</v>
      </c>
      <c r="AQ775" s="0" t="s">
        <v>228</v>
      </c>
      <c r="AR775" s="0" t="s">
        <v>228</v>
      </c>
      <c r="AS775" s="0" t="s">
        <v>228</v>
      </c>
      <c r="AT775" s="0" t="s">
        <v>228</v>
      </c>
      <c r="AU775" s="0" t="s">
        <v>228</v>
      </c>
      <c r="AV775" s="0" t="s">
        <v>228</v>
      </c>
      <c r="AW775" s="0" t="s">
        <v>228</v>
      </c>
      <c r="AX775" s="0" t="s">
        <v>228</v>
      </c>
      <c r="AY775" s="0" t="s">
        <v>228</v>
      </c>
      <c r="AZ775" s="0" t="s">
        <v>228</v>
      </c>
      <c r="BA775" s="0" t="s">
        <v>228</v>
      </c>
      <c r="BB775" s="0" t="s">
        <v>228</v>
      </c>
      <c r="BC775" s="0" t="s">
        <v>228</v>
      </c>
      <c r="BD775" s="0" t="s">
        <v>228</v>
      </c>
      <c r="BE775" s="0" t="s">
        <v>228</v>
      </c>
      <c r="BF775" s="0" t="s">
        <v>228</v>
      </c>
      <c r="BG775" s="0" t="s">
        <v>228</v>
      </c>
      <c r="BH775" s="0" t="s">
        <v>228</v>
      </c>
      <c r="BI775" s="0" t="s">
        <v>228</v>
      </c>
      <c r="BJ775" s="0" t="s">
        <v>228</v>
      </c>
      <c r="BK775" s="0" t="s">
        <v>228</v>
      </c>
      <c r="BL775" s="0" t="s">
        <v>228</v>
      </c>
      <c r="BM775" s="0" t="s">
        <v>228</v>
      </c>
      <c r="BN775" s="0" t="s">
        <v>228</v>
      </c>
      <c r="BO775" s="0" t="s">
        <v>228</v>
      </c>
      <c r="BP775" s="0" t="s">
        <v>228</v>
      </c>
      <c r="BQ775" s="0" t="s">
        <v>228</v>
      </c>
      <c r="BR775" s="0" t="s">
        <v>228</v>
      </c>
      <c r="BS775" s="0" t="s">
        <v>228</v>
      </c>
      <c r="BT775" s="0" t="s">
        <v>228</v>
      </c>
      <c r="CS775" s="0" t="s">
        <v>228</v>
      </c>
      <c r="CT775" s="0" t="s">
        <v>3568</v>
      </c>
      <c r="CU775" s="0" t="s">
        <v>3569</v>
      </c>
      <c r="CV775" s="0" t="s">
        <v>4030</v>
      </c>
      <c r="CW775" s="0" t="s">
        <v>4031</v>
      </c>
      <c r="CX775" s="0" t="s">
        <v>3603</v>
      </c>
      <c r="CY775" s="0" t="s">
        <v>4030</v>
      </c>
      <c r="CZ775" s="0" t="s">
        <v>5138</v>
      </c>
      <c r="DA775" s="0" t="s">
        <v>4032</v>
      </c>
      <c r="DB775" s="0" t="s">
        <v>4031</v>
      </c>
      <c r="DC775" s="0" t="s">
        <v>362</v>
      </c>
      <c r="DD775" s="0" t="s">
        <v>282</v>
      </c>
      <c r="DE775" s="0" t="s">
        <v>5139</v>
      </c>
    </row>
    <row customHeight="1" ht="11.25">
      <c r="A776" s="1353" t="s">
        <v>228</v>
      </c>
      <c r="B776" s="0" t="s">
        <v>228</v>
      </c>
      <c r="C776" s="0" t="s">
        <v>228</v>
      </c>
      <c r="D776" s="0" t="s">
        <v>228</v>
      </c>
      <c r="E776" s="0" t="s">
        <v>228</v>
      </c>
      <c r="F776" s="0" t="s">
        <v>228</v>
      </c>
      <c r="G776" s="0" t="s">
        <v>228</v>
      </c>
      <c r="H776" s="0" t="s">
        <v>228</v>
      </c>
      <c r="I776" s="0" t="s">
        <v>5119</v>
      </c>
      <c r="J776" s="0" t="s">
        <v>228</v>
      </c>
      <c r="K776" s="0" t="s">
        <v>228</v>
      </c>
      <c r="L776" s="0" t="s">
        <v>228</v>
      </c>
      <c r="M776" s="0" t="s">
        <v>228</v>
      </c>
      <c r="N776" s="0" t="s">
        <v>228</v>
      </c>
      <c r="O776" s="0" t="s">
        <v>228</v>
      </c>
      <c r="P776" s="0" t="s">
        <v>228</v>
      </c>
      <c r="Q776" s="0" t="s">
        <v>228</v>
      </c>
      <c r="R776" s="0" t="s">
        <v>5419</v>
      </c>
      <c r="S776" s="0" t="s">
        <v>228</v>
      </c>
      <c r="T776" s="0" t="s">
        <v>228</v>
      </c>
      <c r="U776" s="0" t="s">
        <v>101</v>
      </c>
      <c r="V776" s="0" t="s">
        <v>228</v>
      </c>
      <c r="W776" s="0" t="s">
        <v>228</v>
      </c>
      <c r="X776" s="0" t="s">
        <v>5121</v>
      </c>
      <c r="Y776" s="0" t="s">
        <v>228</v>
      </c>
      <c r="Z776" s="0" t="s">
        <v>160</v>
      </c>
      <c r="AA776" s="0" t="s">
        <v>151</v>
      </c>
      <c r="AB776" s="0" t="s">
        <v>151</v>
      </c>
      <c r="AC776" s="0" t="s">
        <v>2721</v>
      </c>
      <c r="AD776" s="0" t="s">
        <v>2721</v>
      </c>
      <c r="AE776" s="0" t="s">
        <v>2722</v>
      </c>
      <c r="AF776" s="0" t="s">
        <v>4024</v>
      </c>
      <c r="AG776" s="0" t="s">
        <v>4025</v>
      </c>
      <c r="AH776" s="0" t="s">
        <v>5420</v>
      </c>
      <c r="AI776" s="0" t="s">
        <v>717</v>
      </c>
      <c r="AJ776" s="0" t="s">
        <v>5029</v>
      </c>
      <c r="AK776" s="0" t="s">
        <v>5421</v>
      </c>
      <c r="AL776" s="0" t="s">
        <v>5125</v>
      </c>
      <c r="AN776" s="0" t="s">
        <v>3628</v>
      </c>
      <c r="AO776" s="0" t="s">
        <v>5422</v>
      </c>
      <c r="AP776" s="0" t="s">
        <v>228</v>
      </c>
      <c r="AQ776" s="0" t="s">
        <v>228</v>
      </c>
      <c r="AR776" s="0" t="s">
        <v>228</v>
      </c>
      <c r="AS776" s="0" t="s">
        <v>228</v>
      </c>
      <c r="AT776" s="0" t="s">
        <v>228</v>
      </c>
      <c r="AU776" s="0" t="s">
        <v>228</v>
      </c>
      <c r="AV776" s="0" t="s">
        <v>228</v>
      </c>
      <c r="AW776" s="0" t="s">
        <v>228</v>
      </c>
      <c r="AX776" s="0" t="s">
        <v>228</v>
      </c>
      <c r="AY776" s="0" t="s">
        <v>228</v>
      </c>
      <c r="AZ776" s="0" t="s">
        <v>228</v>
      </c>
      <c r="BA776" s="0" t="s">
        <v>228</v>
      </c>
      <c r="BB776" s="0" t="s">
        <v>228</v>
      </c>
      <c r="BC776" s="0" t="s">
        <v>228</v>
      </c>
      <c r="BD776" s="0" t="s">
        <v>228</v>
      </c>
      <c r="BE776" s="0" t="s">
        <v>228</v>
      </c>
      <c r="BF776" s="0" t="s">
        <v>228</v>
      </c>
      <c r="BG776" s="0" t="s">
        <v>228</v>
      </c>
      <c r="BH776" s="0" t="s">
        <v>228</v>
      </c>
      <c r="BI776" s="0" t="s">
        <v>228</v>
      </c>
      <c r="BJ776" s="0" t="s">
        <v>228</v>
      </c>
      <c r="BK776" s="0" t="s">
        <v>228</v>
      </c>
      <c r="BL776" s="0" t="s">
        <v>228</v>
      </c>
      <c r="BM776" s="0" t="s">
        <v>228</v>
      </c>
      <c r="BN776" s="0" t="s">
        <v>228</v>
      </c>
      <c r="BO776" s="0" t="s">
        <v>228</v>
      </c>
      <c r="BP776" s="0" t="s">
        <v>228</v>
      </c>
      <c r="BQ776" s="0" t="s">
        <v>228</v>
      </c>
      <c r="BR776" s="0" t="s">
        <v>228</v>
      </c>
      <c r="BS776" s="0" t="s">
        <v>228</v>
      </c>
      <c r="BT776" s="0" t="s">
        <v>228</v>
      </c>
      <c r="CS776" s="0" t="s">
        <v>228</v>
      </c>
      <c r="CT776" s="0" t="s">
        <v>3568</v>
      </c>
      <c r="CU776" s="0" t="s">
        <v>3569</v>
      </c>
      <c r="CV776" s="0" t="s">
        <v>4030</v>
      </c>
      <c r="CW776" s="0" t="s">
        <v>4031</v>
      </c>
      <c r="CX776" s="0" t="s">
        <v>3603</v>
      </c>
      <c r="CY776" s="0" t="s">
        <v>4030</v>
      </c>
      <c r="CZ776" s="0" t="s">
        <v>5138</v>
      </c>
      <c r="DA776" s="0" t="s">
        <v>4032</v>
      </c>
      <c r="DB776" s="0" t="s">
        <v>4031</v>
      </c>
      <c r="DC776" s="0" t="s">
        <v>362</v>
      </c>
      <c r="DD776" s="0" t="s">
        <v>282</v>
      </c>
      <c r="DE776" s="0" t="s">
        <v>5423</v>
      </c>
    </row>
    <row customHeight="1" ht="11.25">
      <c r="A777" s="1353" t="s">
        <v>228</v>
      </c>
      <c r="B777" s="0" t="s">
        <v>228</v>
      </c>
      <c r="C777" s="0" t="s">
        <v>228</v>
      </c>
      <c r="D777" s="0" t="s">
        <v>228</v>
      </c>
      <c r="E777" s="0" t="s">
        <v>228</v>
      </c>
      <c r="F777" s="0" t="s">
        <v>228</v>
      </c>
      <c r="G777" s="0" t="s">
        <v>228</v>
      </c>
      <c r="H777" s="0" t="s">
        <v>228</v>
      </c>
      <c r="I777" s="0" t="s">
        <v>5119</v>
      </c>
      <c r="J777" s="0" t="s">
        <v>228</v>
      </c>
      <c r="K777" s="0" t="s">
        <v>228</v>
      </c>
      <c r="L777" s="0" t="s">
        <v>228</v>
      </c>
      <c r="M777" s="0" t="s">
        <v>228</v>
      </c>
      <c r="N777" s="0" t="s">
        <v>228</v>
      </c>
      <c r="O777" s="0" t="s">
        <v>228</v>
      </c>
      <c r="P777" s="0" t="s">
        <v>228</v>
      </c>
      <c r="Q777" s="0" t="s">
        <v>228</v>
      </c>
      <c r="R777" s="0" t="s">
        <v>5424</v>
      </c>
      <c r="S777" s="0" t="s">
        <v>228</v>
      </c>
      <c r="T777" s="0" t="s">
        <v>228</v>
      </c>
      <c r="U777" s="0" t="s">
        <v>101</v>
      </c>
      <c r="V777" s="0" t="s">
        <v>228</v>
      </c>
      <c r="W777" s="0" t="s">
        <v>228</v>
      </c>
      <c r="X777" s="0" t="s">
        <v>5121</v>
      </c>
      <c r="Y777" s="0" t="s">
        <v>228</v>
      </c>
      <c r="Z777" s="0" t="s">
        <v>160</v>
      </c>
      <c r="AA777" s="0" t="s">
        <v>151</v>
      </c>
      <c r="AB777" s="0" t="s">
        <v>151</v>
      </c>
      <c r="AC777" s="0" t="s">
        <v>2721</v>
      </c>
      <c r="AD777" s="0" t="s">
        <v>2721</v>
      </c>
      <c r="AE777" s="0" t="s">
        <v>2722</v>
      </c>
      <c r="AF777" s="0" t="s">
        <v>4024</v>
      </c>
      <c r="AG777" s="0" t="s">
        <v>4025</v>
      </c>
      <c r="AH777" s="0" t="s">
        <v>5425</v>
      </c>
      <c r="AI777" s="0" t="s">
        <v>971</v>
      </c>
      <c r="AJ777" s="0" t="s">
        <v>4993</v>
      </c>
      <c r="AK777" s="0" t="s">
        <v>5426</v>
      </c>
      <c r="AL777" s="0" t="s">
        <v>5125</v>
      </c>
      <c r="AN777" s="0" t="s">
        <v>3628</v>
      </c>
      <c r="AO777" s="0" t="s">
        <v>5427</v>
      </c>
      <c r="AP777" s="0" t="s">
        <v>228</v>
      </c>
      <c r="AQ777" s="0" t="s">
        <v>228</v>
      </c>
      <c r="AR777" s="0" t="s">
        <v>228</v>
      </c>
      <c r="AS777" s="0" t="s">
        <v>228</v>
      </c>
      <c r="AT777" s="0" t="s">
        <v>228</v>
      </c>
      <c r="AU777" s="0" t="s">
        <v>228</v>
      </c>
      <c r="AV777" s="0" t="s">
        <v>228</v>
      </c>
      <c r="AW777" s="0" t="s">
        <v>228</v>
      </c>
      <c r="AX777" s="0" t="s">
        <v>228</v>
      </c>
      <c r="AY777" s="0" t="s">
        <v>228</v>
      </c>
      <c r="AZ777" s="0" t="s">
        <v>228</v>
      </c>
      <c r="BA777" s="0" t="s">
        <v>228</v>
      </c>
      <c r="BB777" s="0" t="s">
        <v>228</v>
      </c>
      <c r="BC777" s="0" t="s">
        <v>228</v>
      </c>
      <c r="BD777" s="0" t="s">
        <v>228</v>
      </c>
      <c r="BE777" s="0" t="s">
        <v>228</v>
      </c>
      <c r="BF777" s="0" t="s">
        <v>228</v>
      </c>
      <c r="BG777" s="0" t="s">
        <v>228</v>
      </c>
      <c r="BH777" s="0" t="s">
        <v>228</v>
      </c>
      <c r="BI777" s="0" t="s">
        <v>228</v>
      </c>
      <c r="BJ777" s="0" t="s">
        <v>228</v>
      </c>
      <c r="BK777" s="0" t="s">
        <v>228</v>
      </c>
      <c r="BL777" s="0" t="s">
        <v>228</v>
      </c>
      <c r="BM777" s="0" t="s">
        <v>228</v>
      </c>
      <c r="BN777" s="0" t="s">
        <v>228</v>
      </c>
      <c r="BO777" s="0" t="s">
        <v>228</v>
      </c>
      <c r="BP777" s="0" t="s">
        <v>228</v>
      </c>
      <c r="BQ777" s="0" t="s">
        <v>228</v>
      </c>
      <c r="BR777" s="0" t="s">
        <v>228</v>
      </c>
      <c r="BS777" s="0" t="s">
        <v>228</v>
      </c>
      <c r="BT777" s="0" t="s">
        <v>228</v>
      </c>
      <c r="CS777" s="0" t="s">
        <v>228</v>
      </c>
      <c r="CT777" s="0" t="s">
        <v>3568</v>
      </c>
      <c r="CU777" s="0" t="s">
        <v>3569</v>
      </c>
      <c r="CV777" s="0" t="s">
        <v>4030</v>
      </c>
      <c r="CW777" s="0" t="s">
        <v>4031</v>
      </c>
      <c r="CX777" s="0" t="s">
        <v>3603</v>
      </c>
      <c r="CY777" s="0" t="s">
        <v>4030</v>
      </c>
      <c r="CZ777" s="0" t="s">
        <v>5138</v>
      </c>
      <c r="DA777" s="0" t="s">
        <v>4032</v>
      </c>
      <c r="DB777" s="0" t="s">
        <v>4031</v>
      </c>
      <c r="DC777" s="0" t="s">
        <v>362</v>
      </c>
      <c r="DD777" s="0" t="s">
        <v>282</v>
      </c>
      <c r="DE777" s="0" t="s">
        <v>5428</v>
      </c>
    </row>
    <row customHeight="1" ht="11.25">
      <c r="A778" s="1353" t="s">
        <v>228</v>
      </c>
      <c r="B778" s="0" t="s">
        <v>228</v>
      </c>
      <c r="C778" s="0" t="s">
        <v>228</v>
      </c>
      <c r="D778" s="0" t="s">
        <v>228</v>
      </c>
      <c r="E778" s="0" t="s">
        <v>228</v>
      </c>
      <c r="F778" s="0" t="s">
        <v>228</v>
      </c>
      <c r="G778" s="0" t="s">
        <v>228</v>
      </c>
      <c r="H778" s="0" t="s">
        <v>228</v>
      </c>
      <c r="I778" s="0" t="s">
        <v>5119</v>
      </c>
      <c r="J778" s="0" t="s">
        <v>228</v>
      </c>
      <c r="K778" s="0" t="s">
        <v>228</v>
      </c>
      <c r="L778" s="0" t="s">
        <v>228</v>
      </c>
      <c r="M778" s="0" t="s">
        <v>228</v>
      </c>
      <c r="N778" s="0" t="s">
        <v>228</v>
      </c>
      <c r="O778" s="0" t="s">
        <v>228</v>
      </c>
      <c r="P778" s="0" t="s">
        <v>228</v>
      </c>
      <c r="Q778" s="0" t="s">
        <v>228</v>
      </c>
      <c r="R778" s="0" t="s">
        <v>5360</v>
      </c>
      <c r="S778" s="0" t="s">
        <v>228</v>
      </c>
      <c r="T778" s="0" t="s">
        <v>228</v>
      </c>
      <c r="U778" s="0" t="s">
        <v>101</v>
      </c>
      <c r="V778" s="0" t="s">
        <v>228</v>
      </c>
      <c r="W778" s="0" t="s">
        <v>228</v>
      </c>
      <c r="X778" s="0" t="s">
        <v>5121</v>
      </c>
      <c r="Y778" s="0" t="s">
        <v>228</v>
      </c>
      <c r="Z778" s="0" t="s">
        <v>160</v>
      </c>
      <c r="AA778" s="0" t="s">
        <v>151</v>
      </c>
      <c r="AB778" s="0" t="s">
        <v>151</v>
      </c>
      <c r="AC778" s="0" t="s">
        <v>2721</v>
      </c>
      <c r="AD778" s="0" t="s">
        <v>2721</v>
      </c>
      <c r="AE778" s="0" t="s">
        <v>2722</v>
      </c>
      <c r="AF778" s="0" t="s">
        <v>4024</v>
      </c>
      <c r="AG778" s="0" t="s">
        <v>4025</v>
      </c>
      <c r="AH778" s="0" t="s">
        <v>5361</v>
      </c>
      <c r="AI778" s="0" t="s">
        <v>3608</v>
      </c>
      <c r="AJ778" s="0" t="s">
        <v>4028</v>
      </c>
      <c r="AK778" s="0" t="s">
        <v>5246</v>
      </c>
      <c r="AL778" s="0" t="s">
        <v>5125</v>
      </c>
      <c r="AN778" s="0" t="s">
        <v>3628</v>
      </c>
      <c r="AO778" s="0" t="s">
        <v>5362</v>
      </c>
      <c r="AP778" s="0" t="s">
        <v>228</v>
      </c>
      <c r="AQ778" s="0" t="s">
        <v>228</v>
      </c>
      <c r="AR778" s="0" t="s">
        <v>228</v>
      </c>
      <c r="AS778" s="0" t="s">
        <v>228</v>
      </c>
      <c r="AT778" s="0" t="s">
        <v>228</v>
      </c>
      <c r="AU778" s="0" t="s">
        <v>228</v>
      </c>
      <c r="AV778" s="0" t="s">
        <v>228</v>
      </c>
      <c r="AW778" s="0" t="s">
        <v>228</v>
      </c>
      <c r="AX778" s="0" t="s">
        <v>228</v>
      </c>
      <c r="AY778" s="0" t="s">
        <v>228</v>
      </c>
      <c r="AZ778" s="0" t="s">
        <v>228</v>
      </c>
      <c r="BA778" s="0" t="s">
        <v>228</v>
      </c>
      <c r="BB778" s="0" t="s">
        <v>228</v>
      </c>
      <c r="BC778" s="0" t="s">
        <v>228</v>
      </c>
      <c r="BD778" s="0" t="s">
        <v>228</v>
      </c>
      <c r="BE778" s="0" t="s">
        <v>228</v>
      </c>
      <c r="BF778" s="0" t="s">
        <v>228</v>
      </c>
      <c r="BG778" s="0" t="s">
        <v>228</v>
      </c>
      <c r="BH778" s="0" t="s">
        <v>228</v>
      </c>
      <c r="BI778" s="0" t="s">
        <v>228</v>
      </c>
      <c r="BJ778" s="0" t="s">
        <v>228</v>
      </c>
      <c r="BK778" s="0" t="s">
        <v>228</v>
      </c>
      <c r="BL778" s="0" t="s">
        <v>228</v>
      </c>
      <c r="BM778" s="0" t="s">
        <v>228</v>
      </c>
      <c r="BN778" s="0" t="s">
        <v>228</v>
      </c>
      <c r="BO778" s="0" t="s">
        <v>228</v>
      </c>
      <c r="BP778" s="0" t="s">
        <v>228</v>
      </c>
      <c r="BQ778" s="0" t="s">
        <v>228</v>
      </c>
      <c r="BR778" s="0" t="s">
        <v>228</v>
      </c>
      <c r="BS778" s="0" t="s">
        <v>228</v>
      </c>
      <c r="BT778" s="0" t="s">
        <v>228</v>
      </c>
      <c r="CS778" s="0" t="s">
        <v>228</v>
      </c>
      <c r="CT778" s="0" t="s">
        <v>3568</v>
      </c>
      <c r="CU778" s="0" t="s">
        <v>3569</v>
      </c>
      <c r="CV778" s="0" t="s">
        <v>4030</v>
      </c>
      <c r="CW778" s="0" t="s">
        <v>4031</v>
      </c>
      <c r="CX778" s="0" t="s">
        <v>3603</v>
      </c>
      <c r="CY778" s="0" t="s">
        <v>4030</v>
      </c>
      <c r="CZ778" s="0" t="s">
        <v>5138</v>
      </c>
      <c r="DA778" s="0" t="s">
        <v>4032</v>
      </c>
      <c r="DB778" s="0" t="s">
        <v>4031</v>
      </c>
      <c r="DC778" s="0" t="s">
        <v>362</v>
      </c>
      <c r="DD778" s="0" t="s">
        <v>282</v>
      </c>
      <c r="DE778" s="0" t="s">
        <v>5363</v>
      </c>
    </row>
    <row customHeight="1" ht="11.25">
      <c r="A779" s="1353" t="s">
        <v>228</v>
      </c>
      <c r="B779" s="0" t="s">
        <v>228</v>
      </c>
      <c r="C779" s="0" t="s">
        <v>228</v>
      </c>
      <c r="D779" s="0" t="s">
        <v>228</v>
      </c>
      <c r="E779" s="0" t="s">
        <v>228</v>
      </c>
      <c r="F779" s="0" t="s">
        <v>228</v>
      </c>
      <c r="G779" s="0" t="s">
        <v>228</v>
      </c>
      <c r="H779" s="0" t="s">
        <v>228</v>
      </c>
      <c r="I779" s="0" t="s">
        <v>5119</v>
      </c>
      <c r="J779" s="0" t="s">
        <v>228</v>
      </c>
      <c r="K779" s="0" t="s">
        <v>228</v>
      </c>
      <c r="L779" s="0" t="s">
        <v>228</v>
      </c>
      <c r="M779" s="0" t="s">
        <v>228</v>
      </c>
      <c r="N779" s="0" t="s">
        <v>228</v>
      </c>
      <c r="O779" s="0" t="s">
        <v>228</v>
      </c>
      <c r="P779" s="0" t="s">
        <v>228</v>
      </c>
      <c r="Q779" s="0" t="s">
        <v>228</v>
      </c>
      <c r="R779" s="0" t="s">
        <v>5140</v>
      </c>
      <c r="S779" s="0" t="s">
        <v>228</v>
      </c>
      <c r="T779" s="0" t="s">
        <v>228</v>
      </c>
      <c r="U779" s="0" t="s">
        <v>101</v>
      </c>
      <c r="V779" s="0" t="s">
        <v>228</v>
      </c>
      <c r="W779" s="0" t="s">
        <v>228</v>
      </c>
      <c r="X779" s="0" t="s">
        <v>5121</v>
      </c>
      <c r="Y779" s="0" t="s">
        <v>228</v>
      </c>
      <c r="Z779" s="0" t="s">
        <v>160</v>
      </c>
      <c r="AA779" s="0" t="s">
        <v>151</v>
      </c>
      <c r="AB779" s="0" t="s">
        <v>151</v>
      </c>
      <c r="AC779" s="0" t="s">
        <v>2290</v>
      </c>
      <c r="AD779" s="0" t="s">
        <v>2290</v>
      </c>
      <c r="AE779" s="0" t="s">
        <v>2292</v>
      </c>
      <c r="AF779" s="0" t="s">
        <v>4912</v>
      </c>
      <c r="AG779" s="0" t="s">
        <v>4913</v>
      </c>
      <c r="AH779" s="0" t="s">
        <v>5530</v>
      </c>
      <c r="AI779" s="0" t="s">
        <v>5008</v>
      </c>
      <c r="AJ779" s="0" t="s">
        <v>5531</v>
      </c>
      <c r="AK779" s="0" t="s">
        <v>4993</v>
      </c>
      <c r="AL779" s="0" t="s">
        <v>5125</v>
      </c>
      <c r="AN779" s="0" t="s">
        <v>3654</v>
      </c>
      <c r="AO779" s="0" t="s">
        <v>3712</v>
      </c>
      <c r="AP779" s="0" t="s">
        <v>228</v>
      </c>
      <c r="AQ779" s="0" t="s">
        <v>228</v>
      </c>
      <c r="AR779" s="0" t="s">
        <v>228</v>
      </c>
      <c r="AS779" s="0" t="s">
        <v>228</v>
      </c>
      <c r="AT779" s="0" t="s">
        <v>228</v>
      </c>
      <c r="AU779" s="0" t="s">
        <v>228</v>
      </c>
      <c r="AV779" s="0" t="s">
        <v>228</v>
      </c>
      <c r="AW779" s="0" t="s">
        <v>228</v>
      </c>
      <c r="AX779" s="0" t="s">
        <v>228</v>
      </c>
      <c r="AY779" s="0" t="s">
        <v>228</v>
      </c>
      <c r="AZ779" s="0" t="s">
        <v>228</v>
      </c>
      <c r="BA779" s="0" t="s">
        <v>228</v>
      </c>
      <c r="BB779" s="0" t="s">
        <v>228</v>
      </c>
      <c r="BC779" s="0" t="s">
        <v>228</v>
      </c>
      <c r="BD779" s="0" t="s">
        <v>228</v>
      </c>
      <c r="BE779" s="0" t="s">
        <v>228</v>
      </c>
      <c r="BF779" s="0" t="s">
        <v>228</v>
      </c>
      <c r="BG779" s="0" t="s">
        <v>228</v>
      </c>
      <c r="BH779" s="0" t="s">
        <v>228</v>
      </c>
      <c r="BI779" s="0" t="s">
        <v>228</v>
      </c>
      <c r="BJ779" s="0" t="s">
        <v>228</v>
      </c>
      <c r="BK779" s="0" t="s">
        <v>228</v>
      </c>
      <c r="BL779" s="0" t="s">
        <v>228</v>
      </c>
      <c r="BM779" s="0" t="s">
        <v>228</v>
      </c>
      <c r="BN779" s="0" t="s">
        <v>228</v>
      </c>
      <c r="BO779" s="0" t="s">
        <v>228</v>
      </c>
      <c r="BP779" s="0" t="s">
        <v>228</v>
      </c>
      <c r="BQ779" s="0" t="s">
        <v>228</v>
      </c>
      <c r="BR779" s="0" t="s">
        <v>228</v>
      </c>
      <c r="BS779" s="0" t="s">
        <v>228</v>
      </c>
      <c r="BT779" s="0" t="s">
        <v>228</v>
      </c>
      <c r="CS779" s="0" t="s">
        <v>228</v>
      </c>
      <c r="CT779" s="0" t="s">
        <v>3568</v>
      </c>
      <c r="CU779" s="0" t="s">
        <v>3569</v>
      </c>
      <c r="CV779" s="0" t="s">
        <v>418</v>
      </c>
      <c r="CW779" s="0" t="s">
        <v>4924</v>
      </c>
      <c r="CX779" s="0" t="s">
        <v>419</v>
      </c>
      <c r="CY779" s="0" t="s">
        <v>418</v>
      </c>
      <c r="CZ779" s="0" t="s">
        <v>319</v>
      </c>
      <c r="DA779" s="0" t="s">
        <v>420</v>
      </c>
      <c r="DB779" s="0" t="s">
        <v>4924</v>
      </c>
      <c r="DC779" s="0" t="s">
        <v>362</v>
      </c>
      <c r="DD779" s="0" t="s">
        <v>282</v>
      </c>
      <c r="DE779" s="0" t="s">
        <v>5532</v>
      </c>
    </row>
    <row customHeight="1" ht="11.25">
      <c r="A780" s="1353" t="s">
        <v>228</v>
      </c>
      <c r="B780" s="0" t="s">
        <v>228</v>
      </c>
      <c r="C780" s="0" t="s">
        <v>228</v>
      </c>
      <c r="D780" s="0" t="s">
        <v>228</v>
      </c>
      <c r="E780" s="0" t="s">
        <v>228</v>
      </c>
      <c r="F780" s="0" t="s">
        <v>228</v>
      </c>
      <c r="G780" s="0" t="s">
        <v>228</v>
      </c>
      <c r="H780" s="0" t="s">
        <v>228</v>
      </c>
      <c r="I780" s="0" t="s">
        <v>5119</v>
      </c>
      <c r="J780" s="0" t="s">
        <v>228</v>
      </c>
      <c r="K780" s="0" t="s">
        <v>228</v>
      </c>
      <c r="L780" s="0" t="s">
        <v>228</v>
      </c>
      <c r="M780" s="0" t="s">
        <v>228</v>
      </c>
      <c r="N780" s="0" t="s">
        <v>228</v>
      </c>
      <c r="O780" s="0" t="s">
        <v>228</v>
      </c>
      <c r="P780" s="0" t="s">
        <v>228</v>
      </c>
      <c r="Q780" s="0" t="s">
        <v>228</v>
      </c>
      <c r="R780" s="0" t="s">
        <v>5547</v>
      </c>
      <c r="S780" s="0" t="s">
        <v>228</v>
      </c>
      <c r="T780" s="0" t="s">
        <v>228</v>
      </c>
      <c r="U780" s="0" t="s">
        <v>101</v>
      </c>
      <c r="V780" s="0" t="s">
        <v>228</v>
      </c>
      <c r="W780" s="0" t="s">
        <v>228</v>
      </c>
      <c r="X780" s="0" t="s">
        <v>5121</v>
      </c>
      <c r="Y780" s="0" t="s">
        <v>228</v>
      </c>
      <c r="Z780" s="0" t="s">
        <v>160</v>
      </c>
      <c r="AA780" s="0" t="s">
        <v>151</v>
      </c>
      <c r="AB780" s="0" t="s">
        <v>151</v>
      </c>
      <c r="AC780" s="0" t="s">
        <v>2290</v>
      </c>
      <c r="AD780" s="0" t="s">
        <v>2290</v>
      </c>
      <c r="AE780" s="0" t="s">
        <v>2292</v>
      </c>
      <c r="AF780" s="0" t="s">
        <v>4912</v>
      </c>
      <c r="AG780" s="0" t="s">
        <v>4913</v>
      </c>
      <c r="AH780" s="0" t="s">
        <v>5548</v>
      </c>
      <c r="AI780" s="0" t="s">
        <v>3608</v>
      </c>
      <c r="AJ780" s="0" t="s">
        <v>5549</v>
      </c>
      <c r="AK780" s="0" t="s">
        <v>5232</v>
      </c>
      <c r="AL780" s="0" t="s">
        <v>5125</v>
      </c>
      <c r="AN780" s="0" t="s">
        <v>3628</v>
      </c>
      <c r="AO780" s="0" t="s">
        <v>5291</v>
      </c>
      <c r="AP780" s="0" t="s">
        <v>228</v>
      </c>
      <c r="AQ780" s="0" t="s">
        <v>228</v>
      </c>
      <c r="AR780" s="0" t="s">
        <v>228</v>
      </c>
      <c r="AS780" s="0" t="s">
        <v>228</v>
      </c>
      <c r="AT780" s="0" t="s">
        <v>228</v>
      </c>
      <c r="AU780" s="0" t="s">
        <v>228</v>
      </c>
      <c r="AV780" s="0" t="s">
        <v>228</v>
      </c>
      <c r="AW780" s="0" t="s">
        <v>228</v>
      </c>
      <c r="AX780" s="0" t="s">
        <v>228</v>
      </c>
      <c r="AY780" s="0" t="s">
        <v>228</v>
      </c>
      <c r="AZ780" s="0" t="s">
        <v>228</v>
      </c>
      <c r="BA780" s="0" t="s">
        <v>228</v>
      </c>
      <c r="BB780" s="0" t="s">
        <v>228</v>
      </c>
      <c r="BC780" s="0" t="s">
        <v>228</v>
      </c>
      <c r="BD780" s="0" t="s">
        <v>228</v>
      </c>
      <c r="BE780" s="0" t="s">
        <v>228</v>
      </c>
      <c r="BF780" s="0" t="s">
        <v>228</v>
      </c>
      <c r="BG780" s="0" t="s">
        <v>228</v>
      </c>
      <c r="BH780" s="0" t="s">
        <v>228</v>
      </c>
      <c r="BI780" s="0" t="s">
        <v>228</v>
      </c>
      <c r="BJ780" s="0" t="s">
        <v>228</v>
      </c>
      <c r="BK780" s="0" t="s">
        <v>228</v>
      </c>
      <c r="BL780" s="0" t="s">
        <v>228</v>
      </c>
      <c r="BM780" s="0" t="s">
        <v>228</v>
      </c>
      <c r="BN780" s="0" t="s">
        <v>228</v>
      </c>
      <c r="BO780" s="0" t="s">
        <v>228</v>
      </c>
      <c r="BP780" s="0" t="s">
        <v>228</v>
      </c>
      <c r="BQ780" s="0" t="s">
        <v>228</v>
      </c>
      <c r="BR780" s="0" t="s">
        <v>228</v>
      </c>
      <c r="BS780" s="0" t="s">
        <v>228</v>
      </c>
      <c r="BT780" s="0" t="s">
        <v>228</v>
      </c>
      <c r="CS780" s="0" t="s">
        <v>228</v>
      </c>
      <c r="CT780" s="0" t="s">
        <v>3568</v>
      </c>
      <c r="CU780" s="0" t="s">
        <v>3569</v>
      </c>
      <c r="CV780" s="0" t="s">
        <v>418</v>
      </c>
      <c r="CW780" s="0" t="s">
        <v>4924</v>
      </c>
      <c r="CX780" s="0" t="s">
        <v>419</v>
      </c>
      <c r="CY780" s="0" t="s">
        <v>418</v>
      </c>
      <c r="CZ780" s="0" t="s">
        <v>319</v>
      </c>
      <c r="DA780" s="0" t="s">
        <v>420</v>
      </c>
      <c r="DB780" s="0" t="s">
        <v>4924</v>
      </c>
      <c r="DC780" s="0" t="s">
        <v>362</v>
      </c>
      <c r="DD780" s="0" t="s">
        <v>282</v>
      </c>
      <c r="DE780" s="0" t="s">
        <v>5550</v>
      </c>
    </row>
    <row customHeight="1" ht="11.25">
      <c r="A781" s="1353" t="s">
        <v>228</v>
      </c>
      <c r="B781" s="0" t="s">
        <v>228</v>
      </c>
      <c r="C781" s="0" t="s">
        <v>228</v>
      </c>
      <c r="D781" s="0" t="s">
        <v>228</v>
      </c>
      <c r="E781" s="0" t="s">
        <v>228</v>
      </c>
      <c r="F781" s="0" t="s">
        <v>228</v>
      </c>
      <c r="G781" s="0" t="s">
        <v>228</v>
      </c>
      <c r="H781" s="0" t="s">
        <v>228</v>
      </c>
      <c r="I781" s="0" t="s">
        <v>5119</v>
      </c>
      <c r="J781" s="0" t="s">
        <v>228</v>
      </c>
      <c r="K781" s="0" t="s">
        <v>228</v>
      </c>
      <c r="L781" s="0" t="s">
        <v>228</v>
      </c>
      <c r="M781" s="0" t="s">
        <v>228</v>
      </c>
      <c r="N781" s="0" t="s">
        <v>228</v>
      </c>
      <c r="O781" s="0" t="s">
        <v>228</v>
      </c>
      <c r="P781" s="0" t="s">
        <v>228</v>
      </c>
      <c r="Q781" s="0" t="s">
        <v>228</v>
      </c>
      <c r="R781" s="0" t="s">
        <v>5436</v>
      </c>
      <c r="S781" s="0" t="s">
        <v>228</v>
      </c>
      <c r="T781" s="0" t="s">
        <v>228</v>
      </c>
      <c r="U781" s="0" t="s">
        <v>101</v>
      </c>
      <c r="V781" s="0" t="s">
        <v>228</v>
      </c>
      <c r="W781" s="0" t="s">
        <v>228</v>
      </c>
      <c r="X781" s="0" t="s">
        <v>3661</v>
      </c>
      <c r="Y781" s="0" t="s">
        <v>228</v>
      </c>
      <c r="Z781" s="0" t="s">
        <v>151</v>
      </c>
      <c r="AA781" s="0" t="s">
        <v>151</v>
      </c>
      <c r="AB781" s="0" t="s">
        <v>160</v>
      </c>
      <c r="AC781" s="0" t="s">
        <v>2317</v>
      </c>
      <c r="AD781" s="0" t="s">
        <v>2317</v>
      </c>
      <c r="AE781" s="0" t="s">
        <v>2318</v>
      </c>
      <c r="AF781" s="0" t="s">
        <v>3963</v>
      </c>
      <c r="AG781" s="0" t="s">
        <v>3964</v>
      </c>
      <c r="AH781" s="0" t="s">
        <v>3651</v>
      </c>
      <c r="AI781" s="0" t="s">
        <v>3651</v>
      </c>
      <c r="AJ781" s="0" t="s">
        <v>228</v>
      </c>
      <c r="AK781" s="0" t="s">
        <v>228</v>
      </c>
      <c r="AL781" s="0" t="s">
        <v>228</v>
      </c>
      <c r="AN781" s="0" t="s">
        <v>228</v>
      </c>
      <c r="AO781" s="0" t="s">
        <v>228</v>
      </c>
      <c r="AP781" s="0" t="s">
        <v>228</v>
      </c>
      <c r="AQ781" s="0" t="s">
        <v>228</v>
      </c>
      <c r="AR781" s="0" t="s">
        <v>228</v>
      </c>
      <c r="AS781" s="0" t="s">
        <v>228</v>
      </c>
      <c r="AT781" s="0" t="s">
        <v>228</v>
      </c>
      <c r="AU781" s="0" t="s">
        <v>228</v>
      </c>
      <c r="AV781" s="0" t="s">
        <v>228</v>
      </c>
      <c r="AW781" s="0" t="s">
        <v>228</v>
      </c>
      <c r="AX781" s="0" t="s">
        <v>228</v>
      </c>
      <c r="AY781" s="0" t="s">
        <v>228</v>
      </c>
      <c r="AZ781" s="0" t="s">
        <v>228</v>
      </c>
      <c r="BA781" s="0" t="s">
        <v>228</v>
      </c>
      <c r="BB781" s="0" t="s">
        <v>228</v>
      </c>
      <c r="BC781" s="0" t="s">
        <v>228</v>
      </c>
      <c r="BD781" s="0" t="s">
        <v>228</v>
      </c>
      <c r="BE781" s="0" t="s">
        <v>3579</v>
      </c>
      <c r="BF781" s="0" t="s">
        <v>3853</v>
      </c>
      <c r="BG781" s="0" t="s">
        <v>111</v>
      </c>
      <c r="BH781" s="0" t="s">
        <v>3665</v>
      </c>
      <c r="BI781" s="0" t="s">
        <v>122</v>
      </c>
      <c r="BJ781" s="0" t="s">
        <v>228</v>
      </c>
      <c r="BK781" s="0" t="s">
        <v>228</v>
      </c>
      <c r="BL781" s="0" t="s">
        <v>2317</v>
      </c>
      <c r="BM781" s="0" t="s">
        <v>2317</v>
      </c>
      <c r="BN781" s="0" t="s">
        <v>3740</v>
      </c>
      <c r="BO781" s="0" t="s">
        <v>3963</v>
      </c>
      <c r="BP781" s="0" t="s">
        <v>4927</v>
      </c>
      <c r="BQ781" s="0" t="s">
        <v>3651</v>
      </c>
      <c r="BR781" s="0" t="s">
        <v>3651</v>
      </c>
      <c r="BS781" s="0" t="s">
        <v>228</v>
      </c>
      <c r="BT781" s="0" t="s">
        <v>3727</v>
      </c>
      <c r="CS781" s="0" t="s">
        <v>5243</v>
      </c>
      <c r="CT781" s="0" t="s">
        <v>3568</v>
      </c>
      <c r="CU781" s="0" t="s">
        <v>3569</v>
      </c>
      <c r="CV781" s="0" t="s">
        <v>418</v>
      </c>
      <c r="CW781" s="0" t="s">
        <v>3622</v>
      </c>
      <c r="CX781" s="0" t="s">
        <v>419</v>
      </c>
      <c r="CY781" s="0" t="s">
        <v>418</v>
      </c>
      <c r="CZ781" s="0" t="s">
        <v>3623</v>
      </c>
      <c r="DA781" s="0" t="s">
        <v>3624</v>
      </c>
      <c r="DB781" s="0" t="s">
        <v>3622</v>
      </c>
      <c r="DC781" s="0" t="s">
        <v>362</v>
      </c>
      <c r="DD781" s="0" t="s">
        <v>282</v>
      </c>
      <c r="DE781" s="0" t="s">
        <v>4929</v>
      </c>
    </row>
    <row customHeight="1" ht="11.25">
      <c r="A782" s="1353" t="s">
        <v>228</v>
      </c>
      <c r="B782" s="0" t="s">
        <v>228</v>
      </c>
      <c r="C782" s="0" t="s">
        <v>228</v>
      </c>
      <c r="D782" s="0" t="s">
        <v>228</v>
      </c>
      <c r="E782" s="0" t="s">
        <v>228</v>
      </c>
      <c r="F782" s="0" t="s">
        <v>228</v>
      </c>
      <c r="G782" s="0" t="s">
        <v>228</v>
      </c>
      <c r="H782" s="0" t="s">
        <v>228</v>
      </c>
      <c r="I782" s="0" t="s">
        <v>5119</v>
      </c>
      <c r="J782" s="0" t="s">
        <v>228</v>
      </c>
      <c r="K782" s="0" t="s">
        <v>228</v>
      </c>
      <c r="L782" s="0" t="s">
        <v>228</v>
      </c>
      <c r="M782" s="0" t="s">
        <v>228</v>
      </c>
      <c r="N782" s="0" t="s">
        <v>228</v>
      </c>
      <c r="O782" s="0" t="s">
        <v>228</v>
      </c>
      <c r="P782" s="0" t="s">
        <v>228</v>
      </c>
      <c r="Q782" s="0" t="s">
        <v>228</v>
      </c>
      <c r="R782" s="0" t="s">
        <v>5538</v>
      </c>
      <c r="S782" s="0" t="s">
        <v>228</v>
      </c>
      <c r="T782" s="0" t="s">
        <v>228</v>
      </c>
      <c r="U782" s="0" t="s">
        <v>101</v>
      </c>
      <c r="V782" s="0" t="s">
        <v>228</v>
      </c>
      <c r="W782" s="0" t="s">
        <v>228</v>
      </c>
      <c r="X782" s="0" t="s">
        <v>3661</v>
      </c>
      <c r="Y782" s="0" t="s">
        <v>228</v>
      </c>
      <c r="Z782" s="0" t="s">
        <v>151</v>
      </c>
      <c r="AA782" s="0" t="s">
        <v>151</v>
      </c>
      <c r="AB782" s="0" t="s">
        <v>160</v>
      </c>
      <c r="AC782" s="0" t="s">
        <v>2317</v>
      </c>
      <c r="AD782" s="0" t="s">
        <v>2317</v>
      </c>
      <c r="AE782" s="0" t="s">
        <v>2318</v>
      </c>
      <c r="AF782" s="0" t="s">
        <v>4487</v>
      </c>
      <c r="AG782" s="0" t="s">
        <v>4488</v>
      </c>
      <c r="AH782" s="0" t="s">
        <v>3651</v>
      </c>
      <c r="AI782" s="0" t="s">
        <v>3651</v>
      </c>
      <c r="AJ782" s="0" t="s">
        <v>228</v>
      </c>
      <c r="AK782" s="0" t="s">
        <v>228</v>
      </c>
      <c r="AL782" s="0" t="s">
        <v>228</v>
      </c>
      <c r="AN782" s="0" t="s">
        <v>228</v>
      </c>
      <c r="AO782" s="0" t="s">
        <v>228</v>
      </c>
      <c r="AP782" s="0" t="s">
        <v>228</v>
      </c>
      <c r="AQ782" s="0" t="s">
        <v>228</v>
      </c>
      <c r="AR782" s="0" t="s">
        <v>228</v>
      </c>
      <c r="AS782" s="0" t="s">
        <v>228</v>
      </c>
      <c r="AT782" s="0" t="s">
        <v>228</v>
      </c>
      <c r="AU782" s="0" t="s">
        <v>228</v>
      </c>
      <c r="AV782" s="0" t="s">
        <v>228</v>
      </c>
      <c r="AW782" s="0" t="s">
        <v>228</v>
      </c>
      <c r="AX782" s="0" t="s">
        <v>228</v>
      </c>
      <c r="AY782" s="0" t="s">
        <v>228</v>
      </c>
      <c r="AZ782" s="0" t="s">
        <v>228</v>
      </c>
      <c r="BA782" s="0" t="s">
        <v>228</v>
      </c>
      <c r="BB782" s="0" t="s">
        <v>228</v>
      </c>
      <c r="BC782" s="0" t="s">
        <v>228</v>
      </c>
      <c r="BD782" s="0" t="s">
        <v>228</v>
      </c>
      <c r="BE782" s="0" t="s">
        <v>3619</v>
      </c>
      <c r="BF782" s="0" t="s">
        <v>3749</v>
      </c>
      <c r="BG782" s="0" t="s">
        <v>111</v>
      </c>
      <c r="BH782" s="0" t="s">
        <v>3665</v>
      </c>
      <c r="BI782" s="0" t="s">
        <v>122</v>
      </c>
      <c r="BJ782" s="0" t="s">
        <v>228</v>
      </c>
      <c r="BK782" s="0" t="s">
        <v>228</v>
      </c>
      <c r="BL782" s="0" t="s">
        <v>2317</v>
      </c>
      <c r="BM782" s="0" t="s">
        <v>2317</v>
      </c>
      <c r="BN782" s="0" t="s">
        <v>3740</v>
      </c>
      <c r="BO782" s="0" t="s">
        <v>4487</v>
      </c>
      <c r="BP782" s="0" t="s">
        <v>4966</v>
      </c>
      <c r="BQ782" s="0" t="s">
        <v>3651</v>
      </c>
      <c r="BR782" s="0" t="s">
        <v>3651</v>
      </c>
      <c r="BS782" s="0" t="s">
        <v>228</v>
      </c>
      <c r="BT782" s="0" t="s">
        <v>3727</v>
      </c>
      <c r="CS782" s="0" t="s">
        <v>5243</v>
      </c>
      <c r="CT782" s="0" t="s">
        <v>3568</v>
      </c>
      <c r="CU782" s="0" t="s">
        <v>3569</v>
      </c>
      <c r="CV782" s="0" t="s">
        <v>418</v>
      </c>
      <c r="CW782" s="0" t="s">
        <v>3622</v>
      </c>
      <c r="CX782" s="0" t="s">
        <v>419</v>
      </c>
      <c r="CY782" s="0" t="s">
        <v>418</v>
      </c>
      <c r="CZ782" s="0" t="s">
        <v>3623</v>
      </c>
      <c r="DA782" s="0" t="s">
        <v>3624</v>
      </c>
      <c r="DB782" s="0" t="s">
        <v>3622</v>
      </c>
      <c r="DC782" s="0" t="s">
        <v>362</v>
      </c>
      <c r="DD782" s="0" t="s">
        <v>282</v>
      </c>
      <c r="DE782" s="0" t="s">
        <v>4968</v>
      </c>
    </row>
    <row customHeight="1" ht="11.25">
      <c r="A783" s="1353" t="s">
        <v>228</v>
      </c>
      <c r="B783" s="0" t="s">
        <v>228</v>
      </c>
      <c r="C783" s="0" t="s">
        <v>228</v>
      </c>
      <c r="D783" s="0" t="s">
        <v>228</v>
      </c>
      <c r="E783" s="0" t="s">
        <v>228</v>
      </c>
      <c r="F783" s="0" t="s">
        <v>228</v>
      </c>
      <c r="G783" s="0" t="s">
        <v>228</v>
      </c>
      <c r="H783" s="0" t="s">
        <v>228</v>
      </c>
      <c r="I783" s="0" t="s">
        <v>5119</v>
      </c>
      <c r="J783" s="0" t="s">
        <v>228</v>
      </c>
      <c r="K783" s="0" t="s">
        <v>228</v>
      </c>
      <c r="L783" s="0" t="s">
        <v>228</v>
      </c>
      <c r="M783" s="0" t="s">
        <v>228</v>
      </c>
      <c r="N783" s="0" t="s">
        <v>228</v>
      </c>
      <c r="O783" s="0" t="s">
        <v>228</v>
      </c>
      <c r="P783" s="0" t="s">
        <v>228</v>
      </c>
      <c r="Q783" s="0" t="s">
        <v>228</v>
      </c>
      <c r="R783" s="0" t="s">
        <v>5536</v>
      </c>
      <c r="S783" s="0" t="s">
        <v>228</v>
      </c>
      <c r="T783" s="0" t="s">
        <v>228</v>
      </c>
      <c r="U783" s="0" t="s">
        <v>101</v>
      </c>
      <c r="V783" s="0" t="s">
        <v>228</v>
      </c>
      <c r="W783" s="0" t="s">
        <v>228</v>
      </c>
      <c r="X783" s="0" t="s">
        <v>5121</v>
      </c>
      <c r="Y783" s="0" t="s">
        <v>228</v>
      </c>
      <c r="Z783" s="0" t="s">
        <v>160</v>
      </c>
      <c r="AA783" s="0" t="s">
        <v>151</v>
      </c>
      <c r="AB783" s="0" t="s">
        <v>151</v>
      </c>
      <c r="AC783" s="0" t="s">
        <v>2721</v>
      </c>
      <c r="AD783" s="0" t="s">
        <v>2721</v>
      </c>
      <c r="AE783" s="0" t="s">
        <v>2722</v>
      </c>
      <c r="AF783" s="0" t="s">
        <v>4024</v>
      </c>
      <c r="AG783" s="0" t="s">
        <v>4025</v>
      </c>
      <c r="AH783" s="0" t="s">
        <v>4775</v>
      </c>
      <c r="AI783" s="0" t="s">
        <v>489</v>
      </c>
      <c r="AJ783" s="0" t="s">
        <v>3654</v>
      </c>
      <c r="AK783" s="0" t="s">
        <v>3654</v>
      </c>
      <c r="AL783" s="0" t="s">
        <v>5125</v>
      </c>
      <c r="AN783" s="0" t="s">
        <v>3628</v>
      </c>
      <c r="AO783" s="0" t="s">
        <v>5537</v>
      </c>
      <c r="AP783" s="0" t="s">
        <v>228</v>
      </c>
      <c r="AQ783" s="0" t="s">
        <v>228</v>
      </c>
      <c r="AR783" s="0" t="s">
        <v>228</v>
      </c>
      <c r="AS783" s="0" t="s">
        <v>228</v>
      </c>
      <c r="AT783" s="0" t="s">
        <v>228</v>
      </c>
      <c r="AU783" s="0" t="s">
        <v>228</v>
      </c>
      <c r="AV783" s="0" t="s">
        <v>228</v>
      </c>
      <c r="AW783" s="0" t="s">
        <v>228</v>
      </c>
      <c r="AX783" s="0" t="s">
        <v>228</v>
      </c>
      <c r="AY783" s="0" t="s">
        <v>228</v>
      </c>
      <c r="AZ783" s="0" t="s">
        <v>228</v>
      </c>
      <c r="BA783" s="0" t="s">
        <v>228</v>
      </c>
      <c r="BB783" s="0" t="s">
        <v>228</v>
      </c>
      <c r="BC783" s="0" t="s">
        <v>228</v>
      </c>
      <c r="BD783" s="0" t="s">
        <v>228</v>
      </c>
      <c r="BE783" s="0" t="s">
        <v>228</v>
      </c>
      <c r="BF783" s="0" t="s">
        <v>228</v>
      </c>
      <c r="BG783" s="0" t="s">
        <v>228</v>
      </c>
      <c r="BH783" s="0" t="s">
        <v>228</v>
      </c>
      <c r="BI783" s="0" t="s">
        <v>228</v>
      </c>
      <c r="BJ783" s="0" t="s">
        <v>228</v>
      </c>
      <c r="BK783" s="0" t="s">
        <v>228</v>
      </c>
      <c r="BL783" s="0" t="s">
        <v>228</v>
      </c>
      <c r="BM783" s="0" t="s">
        <v>228</v>
      </c>
      <c r="BN783" s="0" t="s">
        <v>228</v>
      </c>
      <c r="BO783" s="0" t="s">
        <v>228</v>
      </c>
      <c r="BP783" s="0" t="s">
        <v>228</v>
      </c>
      <c r="BQ783" s="0" t="s">
        <v>228</v>
      </c>
      <c r="BR783" s="0" t="s">
        <v>228</v>
      </c>
      <c r="BS783" s="0" t="s">
        <v>228</v>
      </c>
      <c r="BT783" s="0" t="s">
        <v>228</v>
      </c>
      <c r="CS783" s="0" t="s">
        <v>228</v>
      </c>
      <c r="CT783" s="0" t="s">
        <v>3568</v>
      </c>
      <c r="CU783" s="0" t="s">
        <v>3569</v>
      </c>
      <c r="CV783" s="0" t="s">
        <v>4030</v>
      </c>
      <c r="CW783" s="0" t="s">
        <v>4031</v>
      </c>
      <c r="CX783" s="0" t="s">
        <v>3603</v>
      </c>
      <c r="CY783" s="0" t="s">
        <v>4030</v>
      </c>
      <c r="CZ783" s="0" t="s">
        <v>5138</v>
      </c>
      <c r="DA783" s="0" t="s">
        <v>4032</v>
      </c>
      <c r="DB783" s="0" t="s">
        <v>4031</v>
      </c>
      <c r="DC783" s="0" t="s">
        <v>362</v>
      </c>
      <c r="DD783" s="0" t="s">
        <v>282</v>
      </c>
      <c r="DE783" s="0" t="s">
        <v>4779</v>
      </c>
    </row>
    <row customHeight="1" ht="11.25">
      <c r="A784" s="1353" t="s">
        <v>228</v>
      </c>
      <c r="B784" s="0" t="s">
        <v>228</v>
      </c>
      <c r="C784" s="0" t="s">
        <v>228</v>
      </c>
      <c r="D784" s="0" t="s">
        <v>228</v>
      </c>
      <c r="E784" s="0" t="s">
        <v>228</v>
      </c>
      <c r="F784" s="0" t="s">
        <v>228</v>
      </c>
      <c r="G784" s="0" t="s">
        <v>228</v>
      </c>
      <c r="H784" s="0" t="s">
        <v>228</v>
      </c>
      <c r="I784" s="0" t="s">
        <v>5119</v>
      </c>
      <c r="J784" s="0" t="s">
        <v>228</v>
      </c>
      <c r="K784" s="0" t="s">
        <v>228</v>
      </c>
      <c r="L784" s="0" t="s">
        <v>228</v>
      </c>
      <c r="M784" s="0" t="s">
        <v>228</v>
      </c>
      <c r="N784" s="0" t="s">
        <v>228</v>
      </c>
      <c r="O784" s="0" t="s">
        <v>228</v>
      </c>
      <c r="P784" s="0" t="s">
        <v>228</v>
      </c>
      <c r="Q784" s="0" t="s">
        <v>228</v>
      </c>
      <c r="R784" s="0" t="s">
        <v>5533</v>
      </c>
      <c r="S784" s="0" t="s">
        <v>228</v>
      </c>
      <c r="T784" s="0" t="s">
        <v>228</v>
      </c>
      <c r="U784" s="0" t="s">
        <v>101</v>
      </c>
      <c r="V784" s="0" t="s">
        <v>228</v>
      </c>
      <c r="W784" s="0" t="s">
        <v>228</v>
      </c>
      <c r="X784" s="0" t="s">
        <v>5121</v>
      </c>
      <c r="Y784" s="0" t="s">
        <v>228</v>
      </c>
      <c r="Z784" s="0" t="s">
        <v>160</v>
      </c>
      <c r="AA784" s="0" t="s">
        <v>151</v>
      </c>
      <c r="AB784" s="0" t="s">
        <v>151</v>
      </c>
      <c r="AC784" s="0" t="s">
        <v>2721</v>
      </c>
      <c r="AD784" s="0" t="s">
        <v>2721</v>
      </c>
      <c r="AE784" s="0" t="s">
        <v>2722</v>
      </c>
      <c r="AF784" s="0" t="s">
        <v>4024</v>
      </c>
      <c r="AG784" s="0" t="s">
        <v>4025</v>
      </c>
      <c r="AH784" s="0" t="s">
        <v>4310</v>
      </c>
      <c r="AI784" s="0" t="s">
        <v>4657</v>
      </c>
      <c r="AJ784" s="0" t="s">
        <v>3900</v>
      </c>
      <c r="AK784" s="0" t="s">
        <v>3900</v>
      </c>
      <c r="AL784" s="0" t="s">
        <v>5125</v>
      </c>
      <c r="AN784" s="0" t="s">
        <v>3628</v>
      </c>
      <c r="AO784" s="0" t="s">
        <v>5534</v>
      </c>
      <c r="AP784" s="0" t="s">
        <v>228</v>
      </c>
      <c r="AQ784" s="0" t="s">
        <v>228</v>
      </c>
      <c r="AR784" s="0" t="s">
        <v>228</v>
      </c>
      <c r="AS784" s="0" t="s">
        <v>228</v>
      </c>
      <c r="AT784" s="0" t="s">
        <v>228</v>
      </c>
      <c r="AU784" s="0" t="s">
        <v>228</v>
      </c>
      <c r="AV784" s="0" t="s">
        <v>228</v>
      </c>
      <c r="AW784" s="0" t="s">
        <v>228</v>
      </c>
      <c r="AX784" s="0" t="s">
        <v>228</v>
      </c>
      <c r="AY784" s="0" t="s">
        <v>228</v>
      </c>
      <c r="AZ784" s="0" t="s">
        <v>228</v>
      </c>
      <c r="BA784" s="0" t="s">
        <v>228</v>
      </c>
      <c r="BB784" s="0" t="s">
        <v>228</v>
      </c>
      <c r="BC784" s="0" t="s">
        <v>228</v>
      </c>
      <c r="BD784" s="0" t="s">
        <v>228</v>
      </c>
      <c r="BE784" s="0" t="s">
        <v>228</v>
      </c>
      <c r="BF784" s="0" t="s">
        <v>228</v>
      </c>
      <c r="BG784" s="0" t="s">
        <v>228</v>
      </c>
      <c r="BH784" s="0" t="s">
        <v>228</v>
      </c>
      <c r="BI784" s="0" t="s">
        <v>228</v>
      </c>
      <c r="BJ784" s="0" t="s">
        <v>228</v>
      </c>
      <c r="BK784" s="0" t="s">
        <v>228</v>
      </c>
      <c r="BL784" s="0" t="s">
        <v>228</v>
      </c>
      <c r="BM784" s="0" t="s">
        <v>228</v>
      </c>
      <c r="BN784" s="0" t="s">
        <v>228</v>
      </c>
      <c r="BO784" s="0" t="s">
        <v>228</v>
      </c>
      <c r="BP784" s="0" t="s">
        <v>228</v>
      </c>
      <c r="BQ784" s="0" t="s">
        <v>228</v>
      </c>
      <c r="BR784" s="0" t="s">
        <v>228</v>
      </c>
      <c r="BS784" s="0" t="s">
        <v>228</v>
      </c>
      <c r="BT784" s="0" t="s">
        <v>228</v>
      </c>
      <c r="CS784" s="0" t="s">
        <v>228</v>
      </c>
      <c r="CT784" s="0" t="s">
        <v>3568</v>
      </c>
      <c r="CU784" s="0" t="s">
        <v>3569</v>
      </c>
      <c r="CV784" s="0" t="s">
        <v>4030</v>
      </c>
      <c r="CW784" s="0" t="s">
        <v>4031</v>
      </c>
      <c r="CX784" s="0" t="s">
        <v>3603</v>
      </c>
      <c r="CY784" s="0" t="s">
        <v>4030</v>
      </c>
      <c r="CZ784" s="0" t="s">
        <v>5138</v>
      </c>
      <c r="DA784" s="0" t="s">
        <v>4032</v>
      </c>
      <c r="DB784" s="0" t="s">
        <v>4031</v>
      </c>
      <c r="DC784" s="0" t="s">
        <v>362</v>
      </c>
      <c r="DD784" s="0" t="s">
        <v>282</v>
      </c>
      <c r="DE784" s="0" t="s">
        <v>5535</v>
      </c>
    </row>
    <row customHeight="1" ht="11.25">
      <c r="A785" s="1353" t="s">
        <v>228</v>
      </c>
      <c r="B785" s="0" t="s">
        <v>228</v>
      </c>
      <c r="C785" s="0" t="s">
        <v>228</v>
      </c>
      <c r="D785" s="0" t="s">
        <v>228</v>
      </c>
      <c r="E785" s="0" t="s">
        <v>228</v>
      </c>
      <c r="F785" s="0" t="s">
        <v>228</v>
      </c>
      <c r="G785" s="0" t="s">
        <v>228</v>
      </c>
      <c r="H785" s="0" t="s">
        <v>228</v>
      </c>
      <c r="I785" s="0" t="s">
        <v>5119</v>
      </c>
      <c r="J785" s="0" t="s">
        <v>228</v>
      </c>
      <c r="K785" s="0" t="s">
        <v>228</v>
      </c>
      <c r="L785" s="0" t="s">
        <v>228</v>
      </c>
      <c r="M785" s="0" t="s">
        <v>228</v>
      </c>
      <c r="N785" s="0" t="s">
        <v>228</v>
      </c>
      <c r="O785" s="0" t="s">
        <v>228</v>
      </c>
      <c r="P785" s="0" t="s">
        <v>228</v>
      </c>
      <c r="Q785" s="0" t="s">
        <v>228</v>
      </c>
      <c r="R785" s="0" t="s">
        <v>5153</v>
      </c>
      <c r="S785" s="0" t="s">
        <v>228</v>
      </c>
      <c r="T785" s="0" t="s">
        <v>228</v>
      </c>
      <c r="U785" s="0" t="s">
        <v>101</v>
      </c>
      <c r="V785" s="0" t="s">
        <v>228</v>
      </c>
      <c r="W785" s="0" t="s">
        <v>228</v>
      </c>
      <c r="X785" s="0" t="s">
        <v>5121</v>
      </c>
      <c r="Y785" s="0" t="s">
        <v>228</v>
      </c>
      <c r="Z785" s="0" t="s">
        <v>160</v>
      </c>
      <c r="AA785" s="0" t="s">
        <v>151</v>
      </c>
      <c r="AB785" s="0" t="s">
        <v>151</v>
      </c>
      <c r="AC785" s="0" t="s">
        <v>2721</v>
      </c>
      <c r="AD785" s="0" t="s">
        <v>2721</v>
      </c>
      <c r="AE785" s="0" t="s">
        <v>2722</v>
      </c>
      <c r="AF785" s="0" t="s">
        <v>4024</v>
      </c>
      <c r="AG785" s="0" t="s">
        <v>4025</v>
      </c>
      <c r="AH785" s="0" t="s">
        <v>3693</v>
      </c>
      <c r="AI785" s="0" t="s">
        <v>3608</v>
      </c>
      <c r="AJ785" s="0" t="s">
        <v>3900</v>
      </c>
      <c r="AK785" s="0" t="s">
        <v>3620</v>
      </c>
      <c r="AL785" s="0" t="s">
        <v>5125</v>
      </c>
      <c r="AN785" s="0" t="s">
        <v>3628</v>
      </c>
      <c r="AO785" s="0" t="s">
        <v>5154</v>
      </c>
      <c r="AP785" s="0" t="s">
        <v>228</v>
      </c>
      <c r="AQ785" s="0" t="s">
        <v>228</v>
      </c>
      <c r="AR785" s="0" t="s">
        <v>228</v>
      </c>
      <c r="AS785" s="0" t="s">
        <v>228</v>
      </c>
      <c r="AT785" s="0" t="s">
        <v>228</v>
      </c>
      <c r="AU785" s="0" t="s">
        <v>228</v>
      </c>
      <c r="AV785" s="0" t="s">
        <v>228</v>
      </c>
      <c r="AW785" s="0" t="s">
        <v>228</v>
      </c>
      <c r="AX785" s="0" t="s">
        <v>228</v>
      </c>
      <c r="AY785" s="0" t="s">
        <v>228</v>
      </c>
      <c r="AZ785" s="0" t="s">
        <v>228</v>
      </c>
      <c r="BA785" s="0" t="s">
        <v>228</v>
      </c>
      <c r="BB785" s="0" t="s">
        <v>228</v>
      </c>
      <c r="BC785" s="0" t="s">
        <v>228</v>
      </c>
      <c r="BD785" s="0" t="s">
        <v>228</v>
      </c>
      <c r="BE785" s="0" t="s">
        <v>228</v>
      </c>
      <c r="BF785" s="0" t="s">
        <v>228</v>
      </c>
      <c r="BG785" s="0" t="s">
        <v>228</v>
      </c>
      <c r="BH785" s="0" t="s">
        <v>228</v>
      </c>
      <c r="BI785" s="0" t="s">
        <v>228</v>
      </c>
      <c r="BJ785" s="0" t="s">
        <v>228</v>
      </c>
      <c r="BK785" s="0" t="s">
        <v>228</v>
      </c>
      <c r="BL785" s="0" t="s">
        <v>228</v>
      </c>
      <c r="BM785" s="0" t="s">
        <v>228</v>
      </c>
      <c r="BN785" s="0" t="s">
        <v>228</v>
      </c>
      <c r="BO785" s="0" t="s">
        <v>228</v>
      </c>
      <c r="BP785" s="0" t="s">
        <v>228</v>
      </c>
      <c r="BQ785" s="0" t="s">
        <v>228</v>
      </c>
      <c r="BR785" s="0" t="s">
        <v>228</v>
      </c>
      <c r="BS785" s="0" t="s">
        <v>228</v>
      </c>
      <c r="BT785" s="0" t="s">
        <v>228</v>
      </c>
      <c r="CS785" s="0" t="s">
        <v>228</v>
      </c>
      <c r="CT785" s="0" t="s">
        <v>3568</v>
      </c>
      <c r="CU785" s="0" t="s">
        <v>3569</v>
      </c>
      <c r="CV785" s="0" t="s">
        <v>4030</v>
      </c>
      <c r="CW785" s="0" t="s">
        <v>4031</v>
      </c>
      <c r="CX785" s="0" t="s">
        <v>3603</v>
      </c>
      <c r="CY785" s="0" t="s">
        <v>4030</v>
      </c>
      <c r="CZ785" s="0" t="s">
        <v>5138</v>
      </c>
      <c r="DA785" s="0" t="s">
        <v>4032</v>
      </c>
      <c r="DB785" s="0" t="s">
        <v>4031</v>
      </c>
      <c r="DC785" s="0" t="s">
        <v>362</v>
      </c>
      <c r="DD785" s="0" t="s">
        <v>282</v>
      </c>
      <c r="DE785" s="0" t="s">
        <v>5155</v>
      </c>
    </row>
    <row customHeight="1" ht="11.25">
      <c r="A786" s="1353" t="s">
        <v>228</v>
      </c>
      <c r="B786" s="0" t="s">
        <v>228</v>
      </c>
      <c r="C786" s="0" t="s">
        <v>228</v>
      </c>
      <c r="D786" s="0" t="s">
        <v>228</v>
      </c>
      <c r="E786" s="0" t="s">
        <v>228</v>
      </c>
      <c r="F786" s="0" t="s">
        <v>228</v>
      </c>
      <c r="G786" s="0" t="s">
        <v>228</v>
      </c>
      <c r="H786" s="0" t="s">
        <v>228</v>
      </c>
      <c r="I786" s="0" t="s">
        <v>5119</v>
      </c>
      <c r="J786" s="0" t="s">
        <v>228</v>
      </c>
      <c r="K786" s="0" t="s">
        <v>228</v>
      </c>
      <c r="L786" s="0" t="s">
        <v>228</v>
      </c>
      <c r="M786" s="0" t="s">
        <v>228</v>
      </c>
      <c r="N786" s="0" t="s">
        <v>228</v>
      </c>
      <c r="O786" s="0" t="s">
        <v>228</v>
      </c>
      <c r="P786" s="0" t="s">
        <v>228</v>
      </c>
      <c r="Q786" s="0" t="s">
        <v>228</v>
      </c>
      <c r="R786" s="0" t="s">
        <v>5551</v>
      </c>
      <c r="S786" s="0" t="s">
        <v>228</v>
      </c>
      <c r="T786" s="0" t="s">
        <v>228</v>
      </c>
      <c r="U786" s="0" t="s">
        <v>101</v>
      </c>
      <c r="V786" s="0" t="s">
        <v>228</v>
      </c>
      <c r="W786" s="0" t="s">
        <v>228</v>
      </c>
      <c r="X786" s="0" t="s">
        <v>5121</v>
      </c>
      <c r="Y786" s="0" t="s">
        <v>228</v>
      </c>
      <c r="Z786" s="0" t="s">
        <v>160</v>
      </c>
      <c r="AA786" s="0" t="s">
        <v>151</v>
      </c>
      <c r="AB786" s="0" t="s">
        <v>151</v>
      </c>
      <c r="AC786" s="0" t="s">
        <v>2715</v>
      </c>
      <c r="AD786" s="0" t="s">
        <v>2715</v>
      </c>
      <c r="AE786" s="0" t="s">
        <v>2716</v>
      </c>
      <c r="AF786" s="0" t="s">
        <v>3594</v>
      </c>
      <c r="AG786" s="0" t="s">
        <v>3595</v>
      </c>
      <c r="AH786" s="0" t="s">
        <v>5317</v>
      </c>
      <c r="AI786" s="0" t="s">
        <v>5552</v>
      </c>
      <c r="AJ786" s="0" t="s">
        <v>4342</v>
      </c>
      <c r="AK786" s="0" t="s">
        <v>5553</v>
      </c>
      <c r="AL786" s="0" t="s">
        <v>5125</v>
      </c>
      <c r="AN786" s="0" t="s">
        <v>3566</v>
      </c>
      <c r="AO786" s="0" t="s">
        <v>5320</v>
      </c>
      <c r="AP786" s="0" t="s">
        <v>228</v>
      </c>
      <c r="AQ786" s="0" t="s">
        <v>228</v>
      </c>
      <c r="AR786" s="0" t="s">
        <v>228</v>
      </c>
      <c r="AS786" s="0" t="s">
        <v>228</v>
      </c>
      <c r="AT786" s="0" t="s">
        <v>228</v>
      </c>
      <c r="AU786" s="0" t="s">
        <v>228</v>
      </c>
      <c r="AV786" s="0" t="s">
        <v>228</v>
      </c>
      <c r="AW786" s="0" t="s">
        <v>228</v>
      </c>
      <c r="AX786" s="0" t="s">
        <v>228</v>
      </c>
      <c r="AY786" s="0" t="s">
        <v>228</v>
      </c>
      <c r="AZ786" s="0" t="s">
        <v>228</v>
      </c>
      <c r="BA786" s="0" t="s">
        <v>228</v>
      </c>
      <c r="BB786" s="0" t="s">
        <v>228</v>
      </c>
      <c r="BC786" s="0" t="s">
        <v>228</v>
      </c>
      <c r="BD786" s="0" t="s">
        <v>228</v>
      </c>
      <c r="BE786" s="0" t="s">
        <v>228</v>
      </c>
      <c r="BF786" s="0" t="s">
        <v>228</v>
      </c>
      <c r="BG786" s="0" t="s">
        <v>228</v>
      </c>
      <c r="BH786" s="0" t="s">
        <v>228</v>
      </c>
      <c r="BI786" s="0" t="s">
        <v>228</v>
      </c>
      <c r="BJ786" s="0" t="s">
        <v>228</v>
      </c>
      <c r="BK786" s="0" t="s">
        <v>228</v>
      </c>
      <c r="BL786" s="0" t="s">
        <v>228</v>
      </c>
      <c r="BM786" s="0" t="s">
        <v>228</v>
      </c>
      <c r="BN786" s="0" t="s">
        <v>228</v>
      </c>
      <c r="BO786" s="0" t="s">
        <v>228</v>
      </c>
      <c r="BP786" s="0" t="s">
        <v>228</v>
      </c>
      <c r="BQ786" s="0" t="s">
        <v>228</v>
      </c>
      <c r="BR786" s="0" t="s">
        <v>228</v>
      </c>
      <c r="BS786" s="0" t="s">
        <v>228</v>
      </c>
      <c r="BT786" s="0" t="s">
        <v>228</v>
      </c>
      <c r="CS786" s="0" t="s">
        <v>228</v>
      </c>
      <c r="CT786" s="0" t="s">
        <v>3568</v>
      </c>
      <c r="CU786" s="0" t="s">
        <v>5128</v>
      </c>
      <c r="CV786" s="0" t="s">
        <v>4649</v>
      </c>
      <c r="CW786" s="0" t="s">
        <v>5554</v>
      </c>
      <c r="CX786" s="0" t="s">
        <v>3603</v>
      </c>
      <c r="CY786" s="0" t="s">
        <v>5322</v>
      </c>
      <c r="CZ786" s="0" t="s">
        <v>5555</v>
      </c>
      <c r="DA786" s="0" t="s">
        <v>5320</v>
      </c>
      <c r="DB786" s="0" t="s">
        <v>5554</v>
      </c>
      <c r="DC786" s="0" t="s">
        <v>362</v>
      </c>
      <c r="DD786" s="0" t="s">
        <v>282</v>
      </c>
      <c r="DE786" s="0" t="s">
        <v>5556</v>
      </c>
    </row>
    <row customHeight="1" ht="11.25">
      <c r="A787" s="1353" t="s">
        <v>228</v>
      </c>
      <c r="B787" s="0" t="s">
        <v>228</v>
      </c>
      <c r="C787" s="0" t="s">
        <v>228</v>
      </c>
      <c r="D787" s="0" t="s">
        <v>228</v>
      </c>
      <c r="E787" s="0" t="s">
        <v>228</v>
      </c>
      <c r="F787" s="0" t="s">
        <v>228</v>
      </c>
      <c r="G787" s="0" t="s">
        <v>228</v>
      </c>
      <c r="H787" s="0" t="s">
        <v>228</v>
      </c>
      <c r="I787" s="0" t="s">
        <v>5119</v>
      </c>
      <c r="J787" s="0" t="s">
        <v>228</v>
      </c>
      <c r="K787" s="0" t="s">
        <v>228</v>
      </c>
      <c r="L787" s="0" t="s">
        <v>228</v>
      </c>
      <c r="M787" s="0" t="s">
        <v>228</v>
      </c>
      <c r="N787" s="0" t="s">
        <v>228</v>
      </c>
      <c r="O787" s="0" t="s">
        <v>228</v>
      </c>
      <c r="P787" s="0" t="s">
        <v>228</v>
      </c>
      <c r="Q787" s="0" t="s">
        <v>228</v>
      </c>
      <c r="R787" s="0" t="s">
        <v>5316</v>
      </c>
      <c r="S787" s="0" t="s">
        <v>228</v>
      </c>
      <c r="T787" s="0" t="s">
        <v>228</v>
      </c>
      <c r="U787" s="0" t="s">
        <v>101</v>
      </c>
      <c r="V787" s="0" t="s">
        <v>228</v>
      </c>
      <c r="W787" s="0" t="s">
        <v>228</v>
      </c>
      <c r="X787" s="0" t="s">
        <v>5121</v>
      </c>
      <c r="Y787" s="0" t="s">
        <v>228</v>
      </c>
      <c r="Z787" s="0" t="s">
        <v>160</v>
      </c>
      <c r="AA787" s="0" t="s">
        <v>151</v>
      </c>
      <c r="AB787" s="0" t="s">
        <v>151</v>
      </c>
      <c r="AC787" s="0" t="s">
        <v>2715</v>
      </c>
      <c r="AD787" s="0" t="s">
        <v>2715</v>
      </c>
      <c r="AE787" s="0" t="s">
        <v>2716</v>
      </c>
      <c r="AF787" s="0" t="s">
        <v>3594</v>
      </c>
      <c r="AG787" s="0" t="s">
        <v>3595</v>
      </c>
      <c r="AH787" s="0" t="s">
        <v>5317</v>
      </c>
      <c r="AI787" s="0" t="s">
        <v>5318</v>
      </c>
      <c r="AJ787" s="0" t="s">
        <v>3899</v>
      </c>
      <c r="AK787" s="0" t="s">
        <v>5319</v>
      </c>
      <c r="AL787" s="0" t="s">
        <v>5125</v>
      </c>
      <c r="AN787" s="0" t="s">
        <v>3566</v>
      </c>
      <c r="AO787" s="0" t="s">
        <v>5320</v>
      </c>
      <c r="AP787" s="0" t="s">
        <v>228</v>
      </c>
      <c r="AQ787" s="0" t="s">
        <v>228</v>
      </c>
      <c r="AR787" s="0" t="s">
        <v>228</v>
      </c>
      <c r="AS787" s="0" t="s">
        <v>228</v>
      </c>
      <c r="AT787" s="0" t="s">
        <v>228</v>
      </c>
      <c r="AU787" s="0" t="s">
        <v>228</v>
      </c>
      <c r="AV787" s="0" t="s">
        <v>228</v>
      </c>
      <c r="AW787" s="0" t="s">
        <v>228</v>
      </c>
      <c r="AX787" s="0" t="s">
        <v>228</v>
      </c>
      <c r="AY787" s="0" t="s">
        <v>228</v>
      </c>
      <c r="AZ787" s="0" t="s">
        <v>228</v>
      </c>
      <c r="BA787" s="0" t="s">
        <v>228</v>
      </c>
      <c r="BB787" s="0" t="s">
        <v>228</v>
      </c>
      <c r="BC787" s="0" t="s">
        <v>228</v>
      </c>
      <c r="BD787" s="0" t="s">
        <v>228</v>
      </c>
      <c r="BE787" s="0" t="s">
        <v>228</v>
      </c>
      <c r="BF787" s="0" t="s">
        <v>228</v>
      </c>
      <c r="BG787" s="0" t="s">
        <v>228</v>
      </c>
      <c r="BH787" s="0" t="s">
        <v>228</v>
      </c>
      <c r="BI787" s="0" t="s">
        <v>228</v>
      </c>
      <c r="BJ787" s="0" t="s">
        <v>228</v>
      </c>
      <c r="BK787" s="0" t="s">
        <v>228</v>
      </c>
      <c r="BL787" s="0" t="s">
        <v>228</v>
      </c>
      <c r="BM787" s="0" t="s">
        <v>228</v>
      </c>
      <c r="BN787" s="0" t="s">
        <v>228</v>
      </c>
      <c r="BO787" s="0" t="s">
        <v>228</v>
      </c>
      <c r="BP787" s="0" t="s">
        <v>228</v>
      </c>
      <c r="BQ787" s="0" t="s">
        <v>228</v>
      </c>
      <c r="BR787" s="0" t="s">
        <v>228</v>
      </c>
      <c r="BS787" s="0" t="s">
        <v>228</v>
      </c>
      <c r="BT787" s="0" t="s">
        <v>228</v>
      </c>
      <c r="CS787" s="0" t="s">
        <v>228</v>
      </c>
      <c r="CT787" s="0" t="s">
        <v>3568</v>
      </c>
      <c r="CU787" s="0" t="s">
        <v>5128</v>
      </c>
      <c r="CV787" s="0" t="s">
        <v>4649</v>
      </c>
      <c r="CW787" s="0" t="s">
        <v>5321</v>
      </c>
      <c r="CX787" s="0" t="s">
        <v>3603</v>
      </c>
      <c r="CY787" s="0" t="s">
        <v>5322</v>
      </c>
      <c r="CZ787" s="0" t="s">
        <v>5323</v>
      </c>
      <c r="DA787" s="0" t="s">
        <v>5320</v>
      </c>
      <c r="DB787" s="0" t="s">
        <v>5321</v>
      </c>
      <c r="DC787" s="0" t="s">
        <v>362</v>
      </c>
      <c r="DD787" s="0" t="s">
        <v>282</v>
      </c>
      <c r="DE787" s="0" t="s">
        <v>5324</v>
      </c>
    </row>
    <row customHeight="1" ht="11.25">
      <c r="A788" s="1353" t="s">
        <v>228</v>
      </c>
      <c r="B788" s="0" t="s">
        <v>228</v>
      </c>
      <c r="C788" s="0" t="s">
        <v>228</v>
      </c>
      <c r="D788" s="0" t="s">
        <v>228</v>
      </c>
      <c r="E788" s="0" t="s">
        <v>228</v>
      </c>
      <c r="F788" s="0" t="s">
        <v>228</v>
      </c>
      <c r="G788" s="0" t="s">
        <v>228</v>
      </c>
      <c r="H788" s="0" t="s">
        <v>228</v>
      </c>
      <c r="I788" s="0" t="s">
        <v>5119</v>
      </c>
      <c r="J788" s="0" t="s">
        <v>228</v>
      </c>
      <c r="K788" s="0" t="s">
        <v>228</v>
      </c>
      <c r="L788" s="0" t="s">
        <v>228</v>
      </c>
      <c r="M788" s="0" t="s">
        <v>228</v>
      </c>
      <c r="N788" s="0" t="s">
        <v>228</v>
      </c>
      <c r="O788" s="0" t="s">
        <v>228</v>
      </c>
      <c r="P788" s="0" t="s">
        <v>228</v>
      </c>
      <c r="Q788" s="0" t="s">
        <v>228</v>
      </c>
      <c r="R788" s="0" t="s">
        <v>5482</v>
      </c>
      <c r="S788" s="0" t="s">
        <v>228</v>
      </c>
      <c r="T788" s="0" t="s">
        <v>228</v>
      </c>
      <c r="U788" s="0" t="s">
        <v>101</v>
      </c>
      <c r="V788" s="0" t="s">
        <v>228</v>
      </c>
      <c r="W788" s="0" t="s">
        <v>228</v>
      </c>
      <c r="X788" s="0" t="s">
        <v>5121</v>
      </c>
      <c r="Y788" s="0" t="s">
        <v>228</v>
      </c>
      <c r="Z788" s="0" t="s">
        <v>160</v>
      </c>
      <c r="AA788" s="0" t="s">
        <v>151</v>
      </c>
      <c r="AB788" s="0" t="s">
        <v>151</v>
      </c>
      <c r="AC788" s="0" t="s">
        <v>2715</v>
      </c>
      <c r="AD788" s="0" t="s">
        <v>2715</v>
      </c>
      <c r="AE788" s="0" t="s">
        <v>2716</v>
      </c>
      <c r="AF788" s="0" t="s">
        <v>3594</v>
      </c>
      <c r="AG788" s="0" t="s">
        <v>3595</v>
      </c>
      <c r="AH788" s="0" t="s">
        <v>5483</v>
      </c>
      <c r="AI788" s="0" t="s">
        <v>5484</v>
      </c>
      <c r="AJ788" s="0" t="s">
        <v>3858</v>
      </c>
      <c r="AK788" s="0" t="s">
        <v>5485</v>
      </c>
      <c r="AL788" s="0" t="s">
        <v>5125</v>
      </c>
      <c r="AN788" s="0" t="s">
        <v>5486</v>
      </c>
      <c r="AO788" s="0" t="s">
        <v>5434</v>
      </c>
      <c r="AP788" s="0" t="s">
        <v>228</v>
      </c>
      <c r="AQ788" s="0" t="s">
        <v>228</v>
      </c>
      <c r="AR788" s="0" t="s">
        <v>228</v>
      </c>
      <c r="AS788" s="0" t="s">
        <v>228</v>
      </c>
      <c r="AT788" s="0" t="s">
        <v>228</v>
      </c>
      <c r="AU788" s="0" t="s">
        <v>228</v>
      </c>
      <c r="AV788" s="0" t="s">
        <v>228</v>
      </c>
      <c r="AW788" s="0" t="s">
        <v>228</v>
      </c>
      <c r="AX788" s="0" t="s">
        <v>228</v>
      </c>
      <c r="AY788" s="0" t="s">
        <v>228</v>
      </c>
      <c r="AZ788" s="0" t="s">
        <v>228</v>
      </c>
      <c r="BA788" s="0" t="s">
        <v>228</v>
      </c>
      <c r="BB788" s="0" t="s">
        <v>228</v>
      </c>
      <c r="BC788" s="0" t="s">
        <v>228</v>
      </c>
      <c r="BD788" s="0" t="s">
        <v>228</v>
      </c>
      <c r="BE788" s="0" t="s">
        <v>228</v>
      </c>
      <c r="BF788" s="0" t="s">
        <v>228</v>
      </c>
      <c r="BG788" s="0" t="s">
        <v>228</v>
      </c>
      <c r="BH788" s="0" t="s">
        <v>228</v>
      </c>
      <c r="BI788" s="0" t="s">
        <v>228</v>
      </c>
      <c r="BJ788" s="0" t="s">
        <v>228</v>
      </c>
      <c r="BK788" s="0" t="s">
        <v>228</v>
      </c>
      <c r="BL788" s="0" t="s">
        <v>228</v>
      </c>
      <c r="BM788" s="0" t="s">
        <v>228</v>
      </c>
      <c r="BN788" s="0" t="s">
        <v>228</v>
      </c>
      <c r="BO788" s="0" t="s">
        <v>228</v>
      </c>
      <c r="BP788" s="0" t="s">
        <v>228</v>
      </c>
      <c r="BQ788" s="0" t="s">
        <v>228</v>
      </c>
      <c r="BR788" s="0" t="s">
        <v>228</v>
      </c>
      <c r="BS788" s="0" t="s">
        <v>228</v>
      </c>
      <c r="BT788" s="0" t="s">
        <v>228</v>
      </c>
      <c r="CS788" s="0" t="s">
        <v>228</v>
      </c>
      <c r="CT788" s="0" t="s">
        <v>3568</v>
      </c>
      <c r="CU788" s="0" t="s">
        <v>3569</v>
      </c>
      <c r="CV788" s="0" t="s">
        <v>418</v>
      </c>
      <c r="CW788" s="0" t="s">
        <v>3602</v>
      </c>
      <c r="CX788" s="0" t="s">
        <v>3603</v>
      </c>
      <c r="CY788" s="0" t="s">
        <v>418</v>
      </c>
      <c r="CZ788" s="0" t="s">
        <v>504</v>
      </c>
      <c r="DA788" s="0" t="s">
        <v>3604</v>
      </c>
      <c r="DB788" s="0" t="s">
        <v>3602</v>
      </c>
      <c r="DC788" s="0" t="s">
        <v>362</v>
      </c>
      <c r="DD788" s="0" t="s">
        <v>282</v>
      </c>
      <c r="DE788" s="0" t="s">
        <v>5487</v>
      </c>
    </row>
    <row customHeight="1" ht="11.25">
      <c r="A789" s="1353" t="s">
        <v>228</v>
      </c>
      <c r="B789" s="0" t="s">
        <v>228</v>
      </c>
      <c r="C789" s="0" t="s">
        <v>228</v>
      </c>
      <c r="D789" s="0" t="s">
        <v>228</v>
      </c>
      <c r="E789" s="0" t="s">
        <v>228</v>
      </c>
      <c r="F789" s="0" t="s">
        <v>228</v>
      </c>
      <c r="G789" s="0" t="s">
        <v>228</v>
      </c>
      <c r="H789" s="0" t="s">
        <v>228</v>
      </c>
      <c r="I789" s="0" t="s">
        <v>5119</v>
      </c>
      <c r="J789" s="0" t="s">
        <v>228</v>
      </c>
      <c r="K789" s="0" t="s">
        <v>228</v>
      </c>
      <c r="L789" s="0" t="s">
        <v>228</v>
      </c>
      <c r="M789" s="0" t="s">
        <v>228</v>
      </c>
      <c r="N789" s="0" t="s">
        <v>228</v>
      </c>
      <c r="O789" s="0" t="s">
        <v>228</v>
      </c>
      <c r="P789" s="0" t="s">
        <v>228</v>
      </c>
      <c r="Q789" s="0" t="s">
        <v>228</v>
      </c>
      <c r="R789" s="0" t="s">
        <v>5325</v>
      </c>
      <c r="S789" s="0" t="s">
        <v>228</v>
      </c>
      <c r="T789" s="0" t="s">
        <v>228</v>
      </c>
      <c r="U789" s="0" t="s">
        <v>101</v>
      </c>
      <c r="V789" s="0" t="s">
        <v>228</v>
      </c>
      <c r="W789" s="0" t="s">
        <v>228</v>
      </c>
      <c r="X789" s="0" t="s">
        <v>5121</v>
      </c>
      <c r="Y789" s="0" t="s">
        <v>228</v>
      </c>
      <c r="Z789" s="0" t="s">
        <v>160</v>
      </c>
      <c r="AA789" s="0" t="s">
        <v>151</v>
      </c>
      <c r="AB789" s="0" t="s">
        <v>151</v>
      </c>
      <c r="AC789" s="0" t="s">
        <v>2317</v>
      </c>
      <c r="AD789" s="0" t="s">
        <v>2317</v>
      </c>
      <c r="AE789" s="0" t="s">
        <v>2318</v>
      </c>
      <c r="AF789" s="0" t="s">
        <v>3826</v>
      </c>
      <c r="AG789" s="0" t="s">
        <v>3827</v>
      </c>
      <c r="AH789" s="0" t="s">
        <v>5326</v>
      </c>
      <c r="AI789" s="0" t="s">
        <v>5327</v>
      </c>
      <c r="AJ789" s="0" t="s">
        <v>5029</v>
      </c>
      <c r="AK789" s="0" t="s">
        <v>5328</v>
      </c>
      <c r="AL789" s="0" t="s">
        <v>5125</v>
      </c>
      <c r="AN789" s="0" t="s">
        <v>3582</v>
      </c>
      <c r="AO789" s="0" t="s">
        <v>3701</v>
      </c>
      <c r="AP789" s="0" t="s">
        <v>228</v>
      </c>
      <c r="AQ789" s="0" t="s">
        <v>228</v>
      </c>
      <c r="AR789" s="0" t="s">
        <v>228</v>
      </c>
      <c r="AS789" s="0" t="s">
        <v>228</v>
      </c>
      <c r="AT789" s="0" t="s">
        <v>228</v>
      </c>
      <c r="AU789" s="0" t="s">
        <v>228</v>
      </c>
      <c r="AV789" s="0" t="s">
        <v>228</v>
      </c>
      <c r="AW789" s="0" t="s">
        <v>228</v>
      </c>
      <c r="AX789" s="0" t="s">
        <v>228</v>
      </c>
      <c r="AY789" s="0" t="s">
        <v>228</v>
      </c>
      <c r="AZ789" s="0" t="s">
        <v>228</v>
      </c>
      <c r="BA789" s="0" t="s">
        <v>228</v>
      </c>
      <c r="BB789" s="0" t="s">
        <v>228</v>
      </c>
      <c r="BC789" s="0" t="s">
        <v>228</v>
      </c>
      <c r="BD789" s="0" t="s">
        <v>228</v>
      </c>
      <c r="BE789" s="0" t="s">
        <v>228</v>
      </c>
      <c r="BF789" s="0" t="s">
        <v>228</v>
      </c>
      <c r="BG789" s="0" t="s">
        <v>228</v>
      </c>
      <c r="BH789" s="0" t="s">
        <v>228</v>
      </c>
      <c r="BI789" s="0" t="s">
        <v>228</v>
      </c>
      <c r="BJ789" s="0" t="s">
        <v>228</v>
      </c>
      <c r="BK789" s="0" t="s">
        <v>228</v>
      </c>
      <c r="BL789" s="0" t="s">
        <v>228</v>
      </c>
      <c r="BM789" s="0" t="s">
        <v>228</v>
      </c>
      <c r="BN789" s="0" t="s">
        <v>228</v>
      </c>
      <c r="BO789" s="0" t="s">
        <v>228</v>
      </c>
      <c r="BP789" s="0" t="s">
        <v>228</v>
      </c>
      <c r="BQ789" s="0" t="s">
        <v>228</v>
      </c>
      <c r="BR789" s="0" t="s">
        <v>228</v>
      </c>
      <c r="BS789" s="0" t="s">
        <v>228</v>
      </c>
      <c r="BT789" s="0" t="s">
        <v>228</v>
      </c>
      <c r="CS789" s="0" t="s">
        <v>228</v>
      </c>
      <c r="CT789" s="0" t="s">
        <v>3568</v>
      </c>
      <c r="CU789" s="0" t="s">
        <v>3569</v>
      </c>
      <c r="CV789" s="0" t="s">
        <v>418</v>
      </c>
      <c r="CW789" s="0" t="s">
        <v>3622</v>
      </c>
      <c r="CX789" s="0" t="s">
        <v>419</v>
      </c>
      <c r="CY789" s="0" t="s">
        <v>418</v>
      </c>
      <c r="CZ789" s="0" t="s">
        <v>3623</v>
      </c>
      <c r="DA789" s="0" t="s">
        <v>3624</v>
      </c>
      <c r="DB789" s="0" t="s">
        <v>3622</v>
      </c>
      <c r="DC789" s="0" t="s">
        <v>362</v>
      </c>
      <c r="DD789" s="0" t="s">
        <v>282</v>
      </c>
      <c r="DE789" s="0" t="s">
        <v>5329</v>
      </c>
    </row>
    <row customHeight="1" ht="11.25">
      <c r="A790" s="1353" t="s">
        <v>228</v>
      </c>
      <c r="B790" s="0" t="s">
        <v>228</v>
      </c>
      <c r="C790" s="0" t="s">
        <v>228</v>
      </c>
      <c r="D790" s="0" t="s">
        <v>228</v>
      </c>
      <c r="E790" s="0" t="s">
        <v>228</v>
      </c>
      <c r="F790" s="0" t="s">
        <v>228</v>
      </c>
      <c r="G790" s="0" t="s">
        <v>228</v>
      </c>
      <c r="H790" s="0" t="s">
        <v>228</v>
      </c>
      <c r="I790" s="0" t="s">
        <v>5119</v>
      </c>
      <c r="J790" s="0" t="s">
        <v>228</v>
      </c>
      <c r="K790" s="0" t="s">
        <v>228</v>
      </c>
      <c r="L790" s="0" t="s">
        <v>228</v>
      </c>
      <c r="M790" s="0" t="s">
        <v>228</v>
      </c>
      <c r="N790" s="0" t="s">
        <v>228</v>
      </c>
      <c r="O790" s="0" t="s">
        <v>228</v>
      </c>
      <c r="P790" s="0" t="s">
        <v>228</v>
      </c>
      <c r="Q790" s="0" t="s">
        <v>228</v>
      </c>
      <c r="R790" s="0" t="s">
        <v>5330</v>
      </c>
      <c r="S790" s="0" t="s">
        <v>228</v>
      </c>
      <c r="T790" s="0" t="s">
        <v>228</v>
      </c>
      <c r="U790" s="0" t="s">
        <v>101</v>
      </c>
      <c r="V790" s="0" t="s">
        <v>228</v>
      </c>
      <c r="W790" s="0" t="s">
        <v>228</v>
      </c>
      <c r="X790" s="0" t="s">
        <v>5121</v>
      </c>
      <c r="Y790" s="0" t="s">
        <v>228</v>
      </c>
      <c r="Z790" s="0" t="s">
        <v>160</v>
      </c>
      <c r="AA790" s="0" t="s">
        <v>151</v>
      </c>
      <c r="AB790" s="0" t="s">
        <v>151</v>
      </c>
      <c r="AC790" s="0" t="s">
        <v>2317</v>
      </c>
      <c r="AD790" s="0" t="s">
        <v>2317</v>
      </c>
      <c r="AE790" s="0" t="s">
        <v>2318</v>
      </c>
      <c r="AF790" s="0" t="s">
        <v>3826</v>
      </c>
      <c r="AG790" s="0" t="s">
        <v>3827</v>
      </c>
      <c r="AH790" s="0" t="s">
        <v>5331</v>
      </c>
      <c r="AI790" s="0" t="s">
        <v>3651</v>
      </c>
      <c r="AJ790" s="0" t="s">
        <v>5029</v>
      </c>
      <c r="AK790" s="0" t="s">
        <v>5328</v>
      </c>
      <c r="AL790" s="0" t="s">
        <v>5125</v>
      </c>
      <c r="AN790" s="0" t="s">
        <v>3582</v>
      </c>
      <c r="AO790" s="0" t="s">
        <v>3701</v>
      </c>
      <c r="AP790" s="0" t="s">
        <v>228</v>
      </c>
      <c r="AQ790" s="0" t="s">
        <v>228</v>
      </c>
      <c r="AR790" s="0" t="s">
        <v>228</v>
      </c>
      <c r="AS790" s="0" t="s">
        <v>228</v>
      </c>
      <c r="AT790" s="0" t="s">
        <v>228</v>
      </c>
      <c r="AU790" s="0" t="s">
        <v>228</v>
      </c>
      <c r="AV790" s="0" t="s">
        <v>228</v>
      </c>
      <c r="AW790" s="0" t="s">
        <v>228</v>
      </c>
      <c r="AX790" s="0" t="s">
        <v>228</v>
      </c>
      <c r="AY790" s="0" t="s">
        <v>228</v>
      </c>
      <c r="AZ790" s="0" t="s">
        <v>228</v>
      </c>
      <c r="BA790" s="0" t="s">
        <v>228</v>
      </c>
      <c r="BB790" s="0" t="s">
        <v>228</v>
      </c>
      <c r="BC790" s="0" t="s">
        <v>228</v>
      </c>
      <c r="BD790" s="0" t="s">
        <v>228</v>
      </c>
      <c r="BE790" s="0" t="s">
        <v>228</v>
      </c>
      <c r="BF790" s="0" t="s">
        <v>228</v>
      </c>
      <c r="BG790" s="0" t="s">
        <v>228</v>
      </c>
      <c r="BH790" s="0" t="s">
        <v>228</v>
      </c>
      <c r="BI790" s="0" t="s">
        <v>228</v>
      </c>
      <c r="BJ790" s="0" t="s">
        <v>228</v>
      </c>
      <c r="BK790" s="0" t="s">
        <v>228</v>
      </c>
      <c r="BL790" s="0" t="s">
        <v>228</v>
      </c>
      <c r="BM790" s="0" t="s">
        <v>228</v>
      </c>
      <c r="BN790" s="0" t="s">
        <v>228</v>
      </c>
      <c r="BO790" s="0" t="s">
        <v>228</v>
      </c>
      <c r="BP790" s="0" t="s">
        <v>228</v>
      </c>
      <c r="BQ790" s="0" t="s">
        <v>228</v>
      </c>
      <c r="BR790" s="0" t="s">
        <v>228</v>
      </c>
      <c r="BS790" s="0" t="s">
        <v>228</v>
      </c>
      <c r="BT790" s="0" t="s">
        <v>228</v>
      </c>
      <c r="CS790" s="0" t="s">
        <v>228</v>
      </c>
      <c r="CT790" s="0" t="s">
        <v>3568</v>
      </c>
      <c r="CU790" s="0" t="s">
        <v>3569</v>
      </c>
      <c r="CV790" s="0" t="s">
        <v>418</v>
      </c>
      <c r="CW790" s="0" t="s">
        <v>3622</v>
      </c>
      <c r="CX790" s="0" t="s">
        <v>419</v>
      </c>
      <c r="CY790" s="0" t="s">
        <v>418</v>
      </c>
      <c r="CZ790" s="0" t="s">
        <v>3623</v>
      </c>
      <c r="DA790" s="0" t="s">
        <v>3624</v>
      </c>
      <c r="DB790" s="0" t="s">
        <v>3622</v>
      </c>
      <c r="DC790" s="0" t="s">
        <v>362</v>
      </c>
      <c r="DD790" s="0" t="s">
        <v>282</v>
      </c>
      <c r="DE790" s="0" t="s">
        <v>5332</v>
      </c>
    </row>
    <row customHeight="1" ht="11.25">
      <c r="A791" s="1353" t="s">
        <v>228</v>
      </c>
      <c r="B791" s="0" t="s">
        <v>228</v>
      </c>
      <c r="C791" s="0" t="s">
        <v>228</v>
      </c>
      <c r="D791" s="0" t="s">
        <v>228</v>
      </c>
      <c r="E791" s="0" t="s">
        <v>228</v>
      </c>
      <c r="F791" s="0" t="s">
        <v>228</v>
      </c>
      <c r="G791" s="0" t="s">
        <v>228</v>
      </c>
      <c r="H791" s="0" t="s">
        <v>228</v>
      </c>
      <c r="I791" s="0" t="s">
        <v>5119</v>
      </c>
      <c r="J791" s="0" t="s">
        <v>228</v>
      </c>
      <c r="K791" s="0" t="s">
        <v>228</v>
      </c>
      <c r="L791" s="0" t="s">
        <v>228</v>
      </c>
      <c r="M791" s="0" t="s">
        <v>228</v>
      </c>
      <c r="N791" s="0" t="s">
        <v>228</v>
      </c>
      <c r="O791" s="0" t="s">
        <v>228</v>
      </c>
      <c r="P791" s="0" t="s">
        <v>228</v>
      </c>
      <c r="Q791" s="0" t="s">
        <v>228</v>
      </c>
      <c r="R791" s="0" t="s">
        <v>5539</v>
      </c>
      <c r="S791" s="0" t="s">
        <v>228</v>
      </c>
      <c r="T791" s="0" t="s">
        <v>228</v>
      </c>
      <c r="U791" s="0" t="s">
        <v>101</v>
      </c>
      <c r="V791" s="0" t="s">
        <v>228</v>
      </c>
      <c r="W791" s="0" t="s">
        <v>228</v>
      </c>
      <c r="X791" s="0" t="s">
        <v>5121</v>
      </c>
      <c r="Y791" s="0" t="s">
        <v>228</v>
      </c>
      <c r="Z791" s="0" t="s">
        <v>160</v>
      </c>
      <c r="AA791" s="0" t="s">
        <v>151</v>
      </c>
      <c r="AB791" s="0" t="s">
        <v>151</v>
      </c>
      <c r="AC791" s="0" t="s">
        <v>2715</v>
      </c>
      <c r="AD791" s="0" t="s">
        <v>2715</v>
      </c>
      <c r="AE791" s="0" t="s">
        <v>2716</v>
      </c>
      <c r="AF791" s="0" t="s">
        <v>3594</v>
      </c>
      <c r="AG791" s="0" t="s">
        <v>3595</v>
      </c>
      <c r="AH791" s="0" t="s">
        <v>5540</v>
      </c>
      <c r="AI791" s="0" t="s">
        <v>5541</v>
      </c>
      <c r="AJ791" s="0" t="s">
        <v>3858</v>
      </c>
      <c r="AK791" s="0" t="s">
        <v>5542</v>
      </c>
      <c r="AL791" s="0" t="s">
        <v>5125</v>
      </c>
      <c r="AN791" s="0" t="s">
        <v>5543</v>
      </c>
      <c r="AO791" s="0" t="s">
        <v>5434</v>
      </c>
      <c r="AP791" s="0" t="s">
        <v>228</v>
      </c>
      <c r="AQ791" s="0" t="s">
        <v>228</v>
      </c>
      <c r="AR791" s="0" t="s">
        <v>228</v>
      </c>
      <c r="AS791" s="0" t="s">
        <v>228</v>
      </c>
      <c r="AT791" s="0" t="s">
        <v>228</v>
      </c>
      <c r="AU791" s="0" t="s">
        <v>228</v>
      </c>
      <c r="AV791" s="0" t="s">
        <v>228</v>
      </c>
      <c r="AW791" s="0" t="s">
        <v>228</v>
      </c>
      <c r="AX791" s="0" t="s">
        <v>228</v>
      </c>
      <c r="AY791" s="0" t="s">
        <v>228</v>
      </c>
      <c r="AZ791" s="0" t="s">
        <v>228</v>
      </c>
      <c r="BA791" s="0" t="s">
        <v>228</v>
      </c>
      <c r="BB791" s="0" t="s">
        <v>228</v>
      </c>
      <c r="BC791" s="0" t="s">
        <v>228</v>
      </c>
      <c r="BD791" s="0" t="s">
        <v>228</v>
      </c>
      <c r="BE791" s="0" t="s">
        <v>228</v>
      </c>
      <c r="BF791" s="0" t="s">
        <v>228</v>
      </c>
      <c r="BG791" s="0" t="s">
        <v>228</v>
      </c>
      <c r="BH791" s="0" t="s">
        <v>228</v>
      </c>
      <c r="BI791" s="0" t="s">
        <v>228</v>
      </c>
      <c r="BJ791" s="0" t="s">
        <v>228</v>
      </c>
      <c r="BK791" s="0" t="s">
        <v>228</v>
      </c>
      <c r="BL791" s="0" t="s">
        <v>228</v>
      </c>
      <c r="BM791" s="0" t="s">
        <v>228</v>
      </c>
      <c r="BN791" s="0" t="s">
        <v>228</v>
      </c>
      <c r="BO791" s="0" t="s">
        <v>228</v>
      </c>
      <c r="BP791" s="0" t="s">
        <v>228</v>
      </c>
      <c r="BQ791" s="0" t="s">
        <v>228</v>
      </c>
      <c r="BR791" s="0" t="s">
        <v>228</v>
      </c>
      <c r="BS791" s="0" t="s">
        <v>228</v>
      </c>
      <c r="BT791" s="0" t="s">
        <v>228</v>
      </c>
      <c r="CS791" s="0" t="s">
        <v>228</v>
      </c>
      <c r="CT791" s="0" t="s">
        <v>3568</v>
      </c>
      <c r="CU791" s="0" t="s">
        <v>3569</v>
      </c>
      <c r="CV791" s="0" t="s">
        <v>418</v>
      </c>
      <c r="CW791" s="0" t="s">
        <v>3602</v>
      </c>
      <c r="CX791" s="0" t="s">
        <v>3603</v>
      </c>
      <c r="CY791" s="0" t="s">
        <v>418</v>
      </c>
      <c r="CZ791" s="0" t="s">
        <v>504</v>
      </c>
      <c r="DA791" s="0" t="s">
        <v>3604</v>
      </c>
      <c r="DB791" s="0" t="s">
        <v>3602</v>
      </c>
      <c r="DC791" s="0" t="s">
        <v>362</v>
      </c>
      <c r="DD791" s="0" t="s">
        <v>282</v>
      </c>
      <c r="DE791" s="0" t="s">
        <v>5544</v>
      </c>
    </row>
    <row customHeight="1" ht="11.25">
      <c r="A792" s="1353" t="s">
        <v>228</v>
      </c>
      <c r="B792" s="0" t="s">
        <v>228</v>
      </c>
      <c r="C792" s="0" t="s">
        <v>228</v>
      </c>
      <c r="D792" s="0" t="s">
        <v>228</v>
      </c>
      <c r="E792" s="0" t="s">
        <v>228</v>
      </c>
      <c r="F792" s="0" t="s">
        <v>228</v>
      </c>
      <c r="G792" s="0" t="s">
        <v>228</v>
      </c>
      <c r="H792" s="0" t="s">
        <v>228</v>
      </c>
      <c r="I792" s="0" t="s">
        <v>5119</v>
      </c>
      <c r="J792" s="0" t="s">
        <v>228</v>
      </c>
      <c r="K792" s="0" t="s">
        <v>228</v>
      </c>
      <c r="L792" s="0" t="s">
        <v>228</v>
      </c>
      <c r="M792" s="0" t="s">
        <v>228</v>
      </c>
      <c r="N792" s="0" t="s">
        <v>228</v>
      </c>
      <c r="O792" s="0" t="s">
        <v>228</v>
      </c>
      <c r="P792" s="0" t="s">
        <v>228</v>
      </c>
      <c r="Q792" s="0" t="s">
        <v>228</v>
      </c>
      <c r="R792" s="0" t="s">
        <v>5450</v>
      </c>
      <c r="S792" s="0" t="s">
        <v>228</v>
      </c>
      <c r="T792" s="0" t="s">
        <v>228</v>
      </c>
      <c r="U792" s="0" t="s">
        <v>101</v>
      </c>
      <c r="V792" s="0" t="s">
        <v>228</v>
      </c>
      <c r="W792" s="0" t="s">
        <v>228</v>
      </c>
      <c r="X792" s="0" t="s">
        <v>3661</v>
      </c>
      <c r="Y792" s="0" t="s">
        <v>228</v>
      </c>
      <c r="Z792" s="0" t="s">
        <v>151</v>
      </c>
      <c r="AA792" s="0" t="s">
        <v>151</v>
      </c>
      <c r="AB792" s="0" t="s">
        <v>160</v>
      </c>
      <c r="AC792" s="0" t="s">
        <v>2317</v>
      </c>
      <c r="AD792" s="0" t="s">
        <v>2317</v>
      </c>
      <c r="AE792" s="0" t="s">
        <v>2318</v>
      </c>
      <c r="AF792" s="0" t="s">
        <v>3768</v>
      </c>
      <c r="AG792" s="0" t="s">
        <v>3769</v>
      </c>
      <c r="AH792" s="0" t="s">
        <v>3651</v>
      </c>
      <c r="AI792" s="0" t="s">
        <v>3651</v>
      </c>
      <c r="AJ792" s="0" t="s">
        <v>228</v>
      </c>
      <c r="AK792" s="0" t="s">
        <v>228</v>
      </c>
      <c r="AL792" s="0" t="s">
        <v>228</v>
      </c>
      <c r="AN792" s="0" t="s">
        <v>228</v>
      </c>
      <c r="AO792" s="0" t="s">
        <v>228</v>
      </c>
      <c r="AP792" s="0" t="s">
        <v>228</v>
      </c>
      <c r="AQ792" s="0" t="s">
        <v>228</v>
      </c>
      <c r="AR792" s="0" t="s">
        <v>228</v>
      </c>
      <c r="AS792" s="0" t="s">
        <v>228</v>
      </c>
      <c r="AT792" s="0" t="s">
        <v>228</v>
      </c>
      <c r="AU792" s="0" t="s">
        <v>228</v>
      </c>
      <c r="AV792" s="0" t="s">
        <v>228</v>
      </c>
      <c r="AW792" s="0" t="s">
        <v>228</v>
      </c>
      <c r="AX792" s="0" t="s">
        <v>228</v>
      </c>
      <c r="AY792" s="0" t="s">
        <v>228</v>
      </c>
      <c r="AZ792" s="0" t="s">
        <v>228</v>
      </c>
      <c r="BA792" s="0" t="s">
        <v>228</v>
      </c>
      <c r="BB792" s="0" t="s">
        <v>228</v>
      </c>
      <c r="BC792" s="0" t="s">
        <v>228</v>
      </c>
      <c r="BD792" s="0" t="s">
        <v>228</v>
      </c>
      <c r="BE792" s="0" t="s">
        <v>3619</v>
      </c>
      <c r="BF792" s="0" t="s">
        <v>3749</v>
      </c>
      <c r="BG792" s="0" t="s">
        <v>111</v>
      </c>
      <c r="BH792" s="0" t="s">
        <v>3665</v>
      </c>
      <c r="BI792" s="0" t="s">
        <v>122</v>
      </c>
      <c r="BJ792" s="0" t="s">
        <v>228</v>
      </c>
      <c r="BK792" s="0" t="s">
        <v>228</v>
      </c>
      <c r="BL792" s="0" t="s">
        <v>2317</v>
      </c>
      <c r="BM792" s="0" t="s">
        <v>2317</v>
      </c>
      <c r="BN792" s="0" t="s">
        <v>3740</v>
      </c>
      <c r="BO792" s="0" t="s">
        <v>3768</v>
      </c>
      <c r="BP792" s="0" t="s">
        <v>4103</v>
      </c>
      <c r="BQ792" s="0" t="s">
        <v>3651</v>
      </c>
      <c r="BR792" s="0" t="s">
        <v>3651</v>
      </c>
      <c r="BS792" s="0" t="s">
        <v>228</v>
      </c>
      <c r="BT792" s="0" t="s">
        <v>3727</v>
      </c>
      <c r="CS792" s="0" t="s">
        <v>5243</v>
      </c>
      <c r="CT792" s="0" t="s">
        <v>3568</v>
      </c>
      <c r="CU792" s="0" t="s">
        <v>3569</v>
      </c>
      <c r="CV792" s="0" t="s">
        <v>418</v>
      </c>
      <c r="CW792" s="0" t="s">
        <v>3622</v>
      </c>
      <c r="CX792" s="0" t="s">
        <v>419</v>
      </c>
      <c r="CY792" s="0" t="s">
        <v>418</v>
      </c>
      <c r="CZ792" s="0" t="s">
        <v>3623</v>
      </c>
      <c r="DA792" s="0" t="s">
        <v>3624</v>
      </c>
      <c r="DB792" s="0" t="s">
        <v>3622</v>
      </c>
      <c r="DC792" s="0" t="s">
        <v>362</v>
      </c>
      <c r="DD792" s="0" t="s">
        <v>282</v>
      </c>
      <c r="DE792" s="0" t="s">
        <v>4105</v>
      </c>
    </row>
    <row customHeight="1" ht="11.25">
      <c r="A793" s="1353" t="s">
        <v>228</v>
      </c>
      <c r="B793" s="0" t="s">
        <v>228</v>
      </c>
      <c r="C793" s="0" t="s">
        <v>228</v>
      </c>
      <c r="D793" s="0" t="s">
        <v>228</v>
      </c>
      <c r="E793" s="0" t="s">
        <v>228</v>
      </c>
      <c r="F793" s="0" t="s">
        <v>228</v>
      </c>
      <c r="G793" s="0" t="s">
        <v>228</v>
      </c>
      <c r="H793" s="0" t="s">
        <v>228</v>
      </c>
      <c r="I793" s="0" t="s">
        <v>5119</v>
      </c>
      <c r="J793" s="0" t="s">
        <v>228</v>
      </c>
      <c r="K793" s="0" t="s">
        <v>228</v>
      </c>
      <c r="L793" s="0" t="s">
        <v>228</v>
      </c>
      <c r="M793" s="0" t="s">
        <v>228</v>
      </c>
      <c r="N793" s="0" t="s">
        <v>228</v>
      </c>
      <c r="O793" s="0" t="s">
        <v>228</v>
      </c>
      <c r="P793" s="0" t="s">
        <v>228</v>
      </c>
      <c r="Q793" s="0" t="s">
        <v>228</v>
      </c>
      <c r="R793" s="0" t="s">
        <v>5451</v>
      </c>
      <c r="S793" s="0" t="s">
        <v>228</v>
      </c>
      <c r="T793" s="0" t="s">
        <v>228</v>
      </c>
      <c r="U793" s="0" t="s">
        <v>101</v>
      </c>
      <c r="V793" s="0" t="s">
        <v>228</v>
      </c>
      <c r="W793" s="0" t="s">
        <v>228</v>
      </c>
      <c r="X793" s="0" t="s">
        <v>3661</v>
      </c>
      <c r="Y793" s="0" t="s">
        <v>228</v>
      </c>
      <c r="Z793" s="0" t="s">
        <v>151</v>
      </c>
      <c r="AA793" s="0" t="s">
        <v>151</v>
      </c>
      <c r="AB793" s="0" t="s">
        <v>160</v>
      </c>
      <c r="AC793" s="0" t="s">
        <v>2317</v>
      </c>
      <c r="AD793" s="0" t="s">
        <v>2317</v>
      </c>
      <c r="AE793" s="0" t="s">
        <v>2318</v>
      </c>
      <c r="AF793" s="0" t="s">
        <v>3826</v>
      </c>
      <c r="AG793" s="0" t="s">
        <v>3827</v>
      </c>
      <c r="AH793" s="0" t="s">
        <v>3651</v>
      </c>
      <c r="AI793" s="0" t="s">
        <v>3651</v>
      </c>
      <c r="AJ793" s="0" t="s">
        <v>228</v>
      </c>
      <c r="AK793" s="0" t="s">
        <v>228</v>
      </c>
      <c r="AL793" s="0" t="s">
        <v>228</v>
      </c>
      <c r="AN793" s="0" t="s">
        <v>228</v>
      </c>
      <c r="AO793" s="0" t="s">
        <v>228</v>
      </c>
      <c r="AP793" s="0" t="s">
        <v>228</v>
      </c>
      <c r="AQ793" s="0" t="s">
        <v>228</v>
      </c>
      <c r="AR793" s="0" t="s">
        <v>228</v>
      </c>
      <c r="AS793" s="0" t="s">
        <v>228</v>
      </c>
      <c r="AT793" s="0" t="s">
        <v>228</v>
      </c>
      <c r="AU793" s="0" t="s">
        <v>228</v>
      </c>
      <c r="AV793" s="0" t="s">
        <v>228</v>
      </c>
      <c r="AW793" s="0" t="s">
        <v>228</v>
      </c>
      <c r="AX793" s="0" t="s">
        <v>228</v>
      </c>
      <c r="AY793" s="0" t="s">
        <v>228</v>
      </c>
      <c r="AZ793" s="0" t="s">
        <v>228</v>
      </c>
      <c r="BA793" s="0" t="s">
        <v>228</v>
      </c>
      <c r="BB793" s="0" t="s">
        <v>228</v>
      </c>
      <c r="BC793" s="0" t="s">
        <v>228</v>
      </c>
      <c r="BD793" s="0" t="s">
        <v>228</v>
      </c>
      <c r="BE793" s="0" t="s">
        <v>5029</v>
      </c>
      <c r="BF793" s="0" t="s">
        <v>5328</v>
      </c>
      <c r="BG793" s="0" t="s">
        <v>111</v>
      </c>
      <c r="BH793" s="0" t="s">
        <v>3665</v>
      </c>
      <c r="BI793" s="0" t="s">
        <v>122</v>
      </c>
      <c r="BJ793" s="0" t="s">
        <v>228</v>
      </c>
      <c r="BK793" s="0" t="s">
        <v>228</v>
      </c>
      <c r="BL793" s="0" t="s">
        <v>2317</v>
      </c>
      <c r="BM793" s="0" t="s">
        <v>2317</v>
      </c>
      <c r="BN793" s="0" t="s">
        <v>3740</v>
      </c>
      <c r="BO793" s="0" t="s">
        <v>3826</v>
      </c>
      <c r="BP793" s="0" t="s">
        <v>4953</v>
      </c>
      <c r="BQ793" s="0" t="s">
        <v>3651</v>
      </c>
      <c r="BR793" s="0" t="s">
        <v>3651</v>
      </c>
      <c r="BS793" s="0" t="s">
        <v>228</v>
      </c>
      <c r="BT793" s="0" t="s">
        <v>3727</v>
      </c>
      <c r="CS793" s="0" t="s">
        <v>5243</v>
      </c>
      <c r="CT793" s="0" t="s">
        <v>3568</v>
      </c>
      <c r="CU793" s="0" t="s">
        <v>3569</v>
      </c>
      <c r="CV793" s="0" t="s">
        <v>418</v>
      </c>
      <c r="CW793" s="0" t="s">
        <v>3622</v>
      </c>
      <c r="CX793" s="0" t="s">
        <v>419</v>
      </c>
      <c r="CY793" s="0" t="s">
        <v>418</v>
      </c>
      <c r="CZ793" s="0" t="s">
        <v>3623</v>
      </c>
      <c r="DA793" s="0" t="s">
        <v>3624</v>
      </c>
      <c r="DB793" s="0" t="s">
        <v>3656</v>
      </c>
      <c r="DC793" s="0" t="s">
        <v>362</v>
      </c>
      <c r="DD793" s="0" t="s">
        <v>282</v>
      </c>
      <c r="DE793" s="0" t="s">
        <v>4955</v>
      </c>
    </row>
    <row customHeight="1" ht="11.25">
      <c r="A794" s="1353" t="s">
        <v>228</v>
      </c>
      <c r="B794" s="0" t="s">
        <v>228</v>
      </c>
      <c r="C794" s="0" t="s">
        <v>228</v>
      </c>
      <c r="D794" s="0" t="s">
        <v>228</v>
      </c>
      <c r="E794" s="0" t="s">
        <v>228</v>
      </c>
      <c r="F794" s="0" t="s">
        <v>228</v>
      </c>
      <c r="G794" s="0" t="s">
        <v>228</v>
      </c>
      <c r="H794" s="0" t="s">
        <v>228</v>
      </c>
      <c r="I794" s="0" t="s">
        <v>5119</v>
      </c>
      <c r="J794" s="0" t="s">
        <v>228</v>
      </c>
      <c r="K794" s="0" t="s">
        <v>228</v>
      </c>
      <c r="L794" s="0" t="s">
        <v>228</v>
      </c>
      <c r="M794" s="0" t="s">
        <v>228</v>
      </c>
      <c r="N794" s="0" t="s">
        <v>228</v>
      </c>
      <c r="O794" s="0" t="s">
        <v>228</v>
      </c>
      <c r="P794" s="0" t="s">
        <v>228</v>
      </c>
      <c r="Q794" s="0" t="s">
        <v>228</v>
      </c>
      <c r="R794" s="0" t="s">
        <v>5277</v>
      </c>
      <c r="S794" s="0" t="s">
        <v>228</v>
      </c>
      <c r="T794" s="0" t="s">
        <v>228</v>
      </c>
      <c r="U794" s="0" t="s">
        <v>101</v>
      </c>
      <c r="V794" s="0" t="s">
        <v>228</v>
      </c>
      <c r="W794" s="0" t="s">
        <v>228</v>
      </c>
      <c r="X794" s="0" t="s">
        <v>5121</v>
      </c>
      <c r="Y794" s="0" t="s">
        <v>228</v>
      </c>
      <c r="Z794" s="0" t="s">
        <v>160</v>
      </c>
      <c r="AA794" s="0" t="s">
        <v>151</v>
      </c>
      <c r="AB794" s="0" t="s">
        <v>151</v>
      </c>
      <c r="AC794" s="0" t="s">
        <v>2721</v>
      </c>
      <c r="AD794" s="0" t="s">
        <v>2721</v>
      </c>
      <c r="AE794" s="0" t="s">
        <v>2722</v>
      </c>
      <c r="AF794" s="0" t="s">
        <v>4024</v>
      </c>
      <c r="AG794" s="0" t="s">
        <v>4025</v>
      </c>
      <c r="AH794" s="0" t="s">
        <v>5278</v>
      </c>
      <c r="AI794" s="0" t="s">
        <v>3608</v>
      </c>
      <c r="AJ794" s="0" t="s">
        <v>5279</v>
      </c>
      <c r="AK794" s="0" t="s">
        <v>5279</v>
      </c>
      <c r="AL794" s="0" t="s">
        <v>5125</v>
      </c>
      <c r="AN794" s="0" t="s">
        <v>3628</v>
      </c>
      <c r="AO794" s="0" t="s">
        <v>5280</v>
      </c>
      <c r="AP794" s="0" t="s">
        <v>228</v>
      </c>
      <c r="AQ794" s="0" t="s">
        <v>228</v>
      </c>
      <c r="AR794" s="0" t="s">
        <v>228</v>
      </c>
      <c r="AS794" s="0" t="s">
        <v>228</v>
      </c>
      <c r="AT794" s="0" t="s">
        <v>228</v>
      </c>
      <c r="AU794" s="0" t="s">
        <v>228</v>
      </c>
      <c r="AV794" s="0" t="s">
        <v>228</v>
      </c>
      <c r="AW794" s="0" t="s">
        <v>228</v>
      </c>
      <c r="AX794" s="0" t="s">
        <v>228</v>
      </c>
      <c r="AY794" s="0" t="s">
        <v>228</v>
      </c>
      <c r="AZ794" s="0" t="s">
        <v>228</v>
      </c>
      <c r="BA794" s="0" t="s">
        <v>228</v>
      </c>
      <c r="BB794" s="0" t="s">
        <v>228</v>
      </c>
      <c r="BC794" s="0" t="s">
        <v>228</v>
      </c>
      <c r="BD794" s="0" t="s">
        <v>228</v>
      </c>
      <c r="BE794" s="0" t="s">
        <v>228</v>
      </c>
      <c r="BF794" s="0" t="s">
        <v>228</v>
      </c>
      <c r="BG794" s="0" t="s">
        <v>228</v>
      </c>
      <c r="BH794" s="0" t="s">
        <v>228</v>
      </c>
      <c r="BI794" s="0" t="s">
        <v>228</v>
      </c>
      <c r="BJ794" s="0" t="s">
        <v>228</v>
      </c>
      <c r="BK794" s="0" t="s">
        <v>228</v>
      </c>
      <c r="BL794" s="0" t="s">
        <v>228</v>
      </c>
      <c r="BM794" s="0" t="s">
        <v>228</v>
      </c>
      <c r="BN794" s="0" t="s">
        <v>228</v>
      </c>
      <c r="BO794" s="0" t="s">
        <v>228</v>
      </c>
      <c r="BP794" s="0" t="s">
        <v>228</v>
      </c>
      <c r="BQ794" s="0" t="s">
        <v>228</v>
      </c>
      <c r="BR794" s="0" t="s">
        <v>228</v>
      </c>
      <c r="BS794" s="0" t="s">
        <v>228</v>
      </c>
      <c r="BT794" s="0" t="s">
        <v>228</v>
      </c>
      <c r="CS794" s="0" t="s">
        <v>228</v>
      </c>
      <c r="CT794" s="0" t="s">
        <v>3568</v>
      </c>
      <c r="CU794" s="0" t="s">
        <v>3569</v>
      </c>
      <c r="CV794" s="0" t="s">
        <v>4030</v>
      </c>
      <c r="CW794" s="0" t="s">
        <v>4031</v>
      </c>
      <c r="CX794" s="0" t="s">
        <v>3603</v>
      </c>
      <c r="CY794" s="0" t="s">
        <v>4030</v>
      </c>
      <c r="CZ794" s="0" t="s">
        <v>5138</v>
      </c>
      <c r="DA794" s="0" t="s">
        <v>4032</v>
      </c>
      <c r="DB794" s="0" t="s">
        <v>4031</v>
      </c>
      <c r="DC794" s="0" t="s">
        <v>362</v>
      </c>
      <c r="DD794" s="0" t="s">
        <v>282</v>
      </c>
      <c r="DE794" s="0" t="s">
        <v>5281</v>
      </c>
    </row>
    <row customHeight="1" ht="11.25">
      <c r="A795" s="1353" t="s">
        <v>228</v>
      </c>
      <c r="B795" s="0" t="s">
        <v>228</v>
      </c>
      <c r="C795" s="0" t="s">
        <v>228</v>
      </c>
      <c r="D795" s="0" t="s">
        <v>228</v>
      </c>
      <c r="E795" s="0" t="s">
        <v>228</v>
      </c>
      <c r="F795" s="0" t="s">
        <v>228</v>
      </c>
      <c r="G795" s="0" t="s">
        <v>228</v>
      </c>
      <c r="H795" s="0" t="s">
        <v>228</v>
      </c>
      <c r="I795" s="0" t="s">
        <v>5119</v>
      </c>
      <c r="J795" s="0" t="s">
        <v>228</v>
      </c>
      <c r="K795" s="0" t="s">
        <v>228</v>
      </c>
      <c r="L795" s="0" t="s">
        <v>228</v>
      </c>
      <c r="M795" s="0" t="s">
        <v>228</v>
      </c>
      <c r="N795" s="0" t="s">
        <v>228</v>
      </c>
      <c r="O795" s="0" t="s">
        <v>228</v>
      </c>
      <c r="P795" s="0" t="s">
        <v>228</v>
      </c>
      <c r="Q795" s="0" t="s">
        <v>228</v>
      </c>
      <c r="R795" s="0" t="s">
        <v>5545</v>
      </c>
      <c r="S795" s="0" t="s">
        <v>228</v>
      </c>
      <c r="T795" s="0" t="s">
        <v>228</v>
      </c>
      <c r="U795" s="0" t="s">
        <v>101</v>
      </c>
      <c r="V795" s="0" t="s">
        <v>228</v>
      </c>
      <c r="W795" s="0" t="s">
        <v>228</v>
      </c>
      <c r="X795" s="0" t="s">
        <v>3988</v>
      </c>
      <c r="Y795" s="0" t="s">
        <v>228</v>
      </c>
      <c r="Z795" s="0" t="s">
        <v>151</v>
      </c>
      <c r="AA795" s="0" t="s">
        <v>160</v>
      </c>
      <c r="AB795" s="0" t="s">
        <v>151</v>
      </c>
      <c r="AC795" s="0" t="s">
        <v>2721</v>
      </c>
      <c r="AD795" s="0" t="s">
        <v>2721</v>
      </c>
      <c r="AE795" s="0" t="s">
        <v>2722</v>
      </c>
      <c r="AF795" s="0" t="s">
        <v>4024</v>
      </c>
      <c r="AG795" s="0" t="s">
        <v>4025</v>
      </c>
      <c r="AH795" s="0" t="s">
        <v>4310</v>
      </c>
      <c r="AI795" s="0" t="s">
        <v>3608</v>
      </c>
      <c r="AJ795" s="0" t="s">
        <v>228</v>
      </c>
      <c r="AK795" s="0" t="s">
        <v>228</v>
      </c>
      <c r="AL795" s="0" t="s">
        <v>228</v>
      </c>
      <c r="AN795" s="0" t="s">
        <v>228</v>
      </c>
      <c r="AO795" s="0" t="s">
        <v>228</v>
      </c>
      <c r="AP795" s="0" t="s">
        <v>5253</v>
      </c>
      <c r="AQ795" s="0" t="s">
        <v>5254</v>
      </c>
      <c r="AR795" s="0" t="s">
        <v>111</v>
      </c>
      <c r="AS795" s="0" t="s">
        <v>3665</v>
      </c>
      <c r="AT795" s="0" t="s">
        <v>122</v>
      </c>
      <c r="AU795" s="0" t="s">
        <v>228</v>
      </c>
      <c r="AV795" s="0" t="s">
        <v>5439</v>
      </c>
      <c r="AW795" s="0" t="s">
        <v>2721</v>
      </c>
      <c r="AX795" s="0" t="s">
        <v>2721</v>
      </c>
      <c r="AY795" s="0" t="s">
        <v>4149</v>
      </c>
      <c r="AZ795" s="0" t="s">
        <v>4024</v>
      </c>
      <c r="BA795" s="0" t="s">
        <v>4150</v>
      </c>
      <c r="BB795" s="0" t="s">
        <v>4310</v>
      </c>
      <c r="BC795" s="0" t="s">
        <v>3608</v>
      </c>
      <c r="BD795" s="0" t="s">
        <v>3628</v>
      </c>
      <c r="BE795" s="0" t="s">
        <v>228</v>
      </c>
      <c r="BF795" s="0" t="s">
        <v>228</v>
      </c>
      <c r="BG795" s="0" t="s">
        <v>228</v>
      </c>
      <c r="BH795" s="0" t="s">
        <v>228</v>
      </c>
      <c r="BI795" s="0" t="s">
        <v>228</v>
      </c>
      <c r="BJ795" s="0" t="s">
        <v>228</v>
      </c>
      <c r="BK795" s="0" t="s">
        <v>228</v>
      </c>
      <c r="BL795" s="0" t="s">
        <v>228</v>
      </c>
      <c r="BM795" s="0" t="s">
        <v>228</v>
      </c>
      <c r="BN795" s="0" t="s">
        <v>228</v>
      </c>
      <c r="BO795" s="0" t="s">
        <v>228</v>
      </c>
      <c r="BP795" s="0" t="s">
        <v>228</v>
      </c>
      <c r="BQ795" s="0" t="s">
        <v>228</v>
      </c>
      <c r="BR795" s="0" t="s">
        <v>228</v>
      </c>
      <c r="BS795" s="0" t="s">
        <v>228</v>
      </c>
      <c r="BT795" s="0" t="s">
        <v>228</v>
      </c>
      <c r="CS795" s="0" t="s">
        <v>228</v>
      </c>
      <c r="CT795" s="0" t="s">
        <v>3568</v>
      </c>
      <c r="CU795" s="0" t="s">
        <v>3569</v>
      </c>
      <c r="CV795" s="0" t="s">
        <v>4030</v>
      </c>
      <c r="CW795" s="0" t="s">
        <v>4031</v>
      </c>
      <c r="CX795" s="0" t="s">
        <v>3603</v>
      </c>
      <c r="CY795" s="0" t="s">
        <v>4030</v>
      </c>
      <c r="CZ795" s="0" t="s">
        <v>5138</v>
      </c>
      <c r="DA795" s="0" t="s">
        <v>4032</v>
      </c>
      <c r="DB795" s="0" t="s">
        <v>4031</v>
      </c>
      <c r="DC795" s="0" t="s">
        <v>362</v>
      </c>
      <c r="DD795" s="0" t="s">
        <v>282</v>
      </c>
      <c r="DE795" s="0" t="s">
        <v>5546</v>
      </c>
    </row>
    <row customHeight="1" ht="11.25">
      <c r="A796" s="1353" t="s">
        <v>228</v>
      </c>
      <c r="B796" s="0" t="s">
        <v>228</v>
      </c>
      <c r="C796" s="0" t="s">
        <v>228</v>
      </c>
      <c r="D796" s="0" t="s">
        <v>228</v>
      </c>
      <c r="E796" s="0" t="s">
        <v>228</v>
      </c>
      <c r="F796" s="0" t="s">
        <v>228</v>
      </c>
      <c r="G796" s="0" t="s">
        <v>228</v>
      </c>
      <c r="H796" s="0" t="s">
        <v>228</v>
      </c>
      <c r="I796" s="0" t="s">
        <v>5119</v>
      </c>
      <c r="J796" s="0" t="s">
        <v>228</v>
      </c>
      <c r="K796" s="0" t="s">
        <v>228</v>
      </c>
      <c r="L796" s="0" t="s">
        <v>228</v>
      </c>
      <c r="M796" s="0" t="s">
        <v>228</v>
      </c>
      <c r="N796" s="0" t="s">
        <v>228</v>
      </c>
      <c r="O796" s="0" t="s">
        <v>228</v>
      </c>
      <c r="P796" s="0" t="s">
        <v>228</v>
      </c>
      <c r="Q796" s="0" t="s">
        <v>228</v>
      </c>
      <c r="R796" s="0" t="s">
        <v>5256</v>
      </c>
      <c r="S796" s="0" t="s">
        <v>228</v>
      </c>
      <c r="T796" s="0" t="s">
        <v>228</v>
      </c>
      <c r="U796" s="0" t="s">
        <v>101</v>
      </c>
      <c r="V796" s="0" t="s">
        <v>228</v>
      </c>
      <c r="W796" s="0" t="s">
        <v>228</v>
      </c>
      <c r="X796" s="0" t="s">
        <v>5121</v>
      </c>
      <c r="Y796" s="0" t="s">
        <v>228</v>
      </c>
      <c r="Z796" s="0" t="s">
        <v>160</v>
      </c>
      <c r="AA796" s="0" t="s">
        <v>151</v>
      </c>
      <c r="AB796" s="0" t="s">
        <v>151</v>
      </c>
      <c r="AC796" s="0" t="s">
        <v>2715</v>
      </c>
      <c r="AD796" s="0" t="s">
        <v>2715</v>
      </c>
      <c r="AE796" s="0" t="s">
        <v>2716</v>
      </c>
      <c r="AF796" s="0" t="s">
        <v>3594</v>
      </c>
      <c r="AG796" s="0" t="s">
        <v>3595</v>
      </c>
      <c r="AH796" s="0" t="s">
        <v>5257</v>
      </c>
      <c r="AI796" s="0" t="s">
        <v>3608</v>
      </c>
      <c r="AJ796" s="0" t="s">
        <v>5258</v>
      </c>
      <c r="AK796" s="0" t="s">
        <v>5259</v>
      </c>
      <c r="AL796" s="0" t="s">
        <v>5125</v>
      </c>
      <c r="AN796" s="0" t="s">
        <v>5260</v>
      </c>
      <c r="AO796" s="0" t="s">
        <v>5261</v>
      </c>
      <c r="AP796" s="0" t="s">
        <v>228</v>
      </c>
      <c r="AQ796" s="0" t="s">
        <v>228</v>
      </c>
      <c r="AR796" s="0" t="s">
        <v>228</v>
      </c>
      <c r="AS796" s="0" t="s">
        <v>228</v>
      </c>
      <c r="AT796" s="0" t="s">
        <v>228</v>
      </c>
      <c r="AU796" s="0" t="s">
        <v>228</v>
      </c>
      <c r="AV796" s="0" t="s">
        <v>228</v>
      </c>
      <c r="AW796" s="0" t="s">
        <v>228</v>
      </c>
      <c r="AX796" s="0" t="s">
        <v>228</v>
      </c>
      <c r="AY796" s="0" t="s">
        <v>228</v>
      </c>
      <c r="AZ796" s="0" t="s">
        <v>228</v>
      </c>
      <c r="BA796" s="0" t="s">
        <v>228</v>
      </c>
      <c r="BB796" s="0" t="s">
        <v>228</v>
      </c>
      <c r="BC796" s="0" t="s">
        <v>228</v>
      </c>
      <c r="BD796" s="0" t="s">
        <v>228</v>
      </c>
      <c r="BE796" s="0" t="s">
        <v>228</v>
      </c>
      <c r="BF796" s="0" t="s">
        <v>228</v>
      </c>
      <c r="BG796" s="0" t="s">
        <v>228</v>
      </c>
      <c r="BH796" s="0" t="s">
        <v>228</v>
      </c>
      <c r="BI796" s="0" t="s">
        <v>228</v>
      </c>
      <c r="BJ796" s="0" t="s">
        <v>228</v>
      </c>
      <c r="BK796" s="0" t="s">
        <v>228</v>
      </c>
      <c r="BL796" s="0" t="s">
        <v>228</v>
      </c>
      <c r="BM796" s="0" t="s">
        <v>228</v>
      </c>
      <c r="BN796" s="0" t="s">
        <v>228</v>
      </c>
      <c r="BO796" s="0" t="s">
        <v>228</v>
      </c>
      <c r="BP796" s="0" t="s">
        <v>228</v>
      </c>
      <c r="BQ796" s="0" t="s">
        <v>228</v>
      </c>
      <c r="BR796" s="0" t="s">
        <v>228</v>
      </c>
      <c r="BS796" s="0" t="s">
        <v>228</v>
      </c>
      <c r="BT796" s="0" t="s">
        <v>228</v>
      </c>
      <c r="CS796" s="0" t="s">
        <v>228</v>
      </c>
      <c r="CT796" s="0" t="s">
        <v>3568</v>
      </c>
      <c r="CU796" s="0" t="s">
        <v>3569</v>
      </c>
      <c r="CV796" s="0" t="s">
        <v>418</v>
      </c>
      <c r="CW796" s="0" t="s">
        <v>3602</v>
      </c>
      <c r="CX796" s="0" t="s">
        <v>3603</v>
      </c>
      <c r="CY796" s="0" t="s">
        <v>418</v>
      </c>
      <c r="CZ796" s="0" t="s">
        <v>504</v>
      </c>
      <c r="DA796" s="0" t="s">
        <v>3604</v>
      </c>
      <c r="DB796" s="0" t="s">
        <v>3602</v>
      </c>
      <c r="DC796" s="0" t="s">
        <v>362</v>
      </c>
      <c r="DD796" s="0" t="s">
        <v>282</v>
      </c>
      <c r="DE796" s="0" t="s">
        <v>5262</v>
      </c>
    </row>
    <row customHeight="1" ht="11.25">
      <c r="A797" s="1353" t="s">
        <v>228</v>
      </c>
      <c r="B797" s="0" t="s">
        <v>228</v>
      </c>
      <c r="C797" s="0" t="s">
        <v>228</v>
      </c>
      <c r="D797" s="0" t="s">
        <v>228</v>
      </c>
      <c r="E797" s="0" t="s">
        <v>228</v>
      </c>
      <c r="F797" s="0" t="s">
        <v>228</v>
      </c>
      <c r="G797" s="0" t="s">
        <v>228</v>
      </c>
      <c r="H797" s="0" t="s">
        <v>228</v>
      </c>
      <c r="I797" s="0" t="s">
        <v>5119</v>
      </c>
      <c r="J797" s="0" t="s">
        <v>228</v>
      </c>
      <c r="K797" s="0" t="s">
        <v>228</v>
      </c>
      <c r="L797" s="0" t="s">
        <v>228</v>
      </c>
      <c r="M797" s="0" t="s">
        <v>228</v>
      </c>
      <c r="N797" s="0" t="s">
        <v>228</v>
      </c>
      <c r="O797" s="0" t="s">
        <v>228</v>
      </c>
      <c r="P797" s="0" t="s">
        <v>228</v>
      </c>
      <c r="Q797" s="0" t="s">
        <v>228</v>
      </c>
      <c r="R797" s="0" t="s">
        <v>5437</v>
      </c>
      <c r="S797" s="0" t="s">
        <v>228</v>
      </c>
      <c r="T797" s="0" t="s">
        <v>228</v>
      </c>
      <c r="U797" s="0" t="s">
        <v>101</v>
      </c>
      <c r="V797" s="0" t="s">
        <v>228</v>
      </c>
      <c r="W797" s="0" t="s">
        <v>228</v>
      </c>
      <c r="X797" s="0" t="s">
        <v>3988</v>
      </c>
      <c r="Y797" s="0" t="s">
        <v>228</v>
      </c>
      <c r="Z797" s="0" t="s">
        <v>151</v>
      </c>
      <c r="AA797" s="0" t="s">
        <v>160</v>
      </c>
      <c r="AB797" s="0" t="s">
        <v>151</v>
      </c>
      <c r="AC797" s="0" t="s">
        <v>2721</v>
      </c>
      <c r="AD797" s="0" t="s">
        <v>2721</v>
      </c>
      <c r="AE797" s="0" t="s">
        <v>2722</v>
      </c>
      <c r="AF797" s="0" t="s">
        <v>4024</v>
      </c>
      <c r="AG797" s="0" t="s">
        <v>4025</v>
      </c>
      <c r="AH797" s="0" t="s">
        <v>5438</v>
      </c>
      <c r="AI797" s="0" t="s">
        <v>3608</v>
      </c>
      <c r="AJ797" s="0" t="s">
        <v>228</v>
      </c>
      <c r="AK797" s="0" t="s">
        <v>228</v>
      </c>
      <c r="AL797" s="0" t="s">
        <v>228</v>
      </c>
      <c r="AN797" s="0" t="s">
        <v>228</v>
      </c>
      <c r="AO797" s="0" t="s">
        <v>228</v>
      </c>
      <c r="AP797" s="0" t="s">
        <v>5263</v>
      </c>
      <c r="AQ797" s="0" t="s">
        <v>5264</v>
      </c>
      <c r="AR797" s="0" t="s">
        <v>111</v>
      </c>
      <c r="AS797" s="0" t="s">
        <v>3665</v>
      </c>
      <c r="AT797" s="0" t="s">
        <v>122</v>
      </c>
      <c r="AU797" s="0" t="s">
        <v>228</v>
      </c>
      <c r="AV797" s="0" t="s">
        <v>5439</v>
      </c>
      <c r="AW797" s="0" t="s">
        <v>2721</v>
      </c>
      <c r="AX797" s="0" t="s">
        <v>2721</v>
      </c>
      <c r="AY797" s="0" t="s">
        <v>4149</v>
      </c>
      <c r="AZ797" s="0" t="s">
        <v>4024</v>
      </c>
      <c r="BA797" s="0" t="s">
        <v>4150</v>
      </c>
      <c r="BB797" s="0" t="s">
        <v>5438</v>
      </c>
      <c r="BC797" s="0" t="s">
        <v>3608</v>
      </c>
      <c r="BD797" s="0" t="s">
        <v>3628</v>
      </c>
      <c r="BE797" s="0" t="s">
        <v>228</v>
      </c>
      <c r="BF797" s="0" t="s">
        <v>228</v>
      </c>
      <c r="BG797" s="0" t="s">
        <v>228</v>
      </c>
      <c r="BH797" s="0" t="s">
        <v>228</v>
      </c>
      <c r="BI797" s="0" t="s">
        <v>228</v>
      </c>
      <c r="BJ797" s="0" t="s">
        <v>228</v>
      </c>
      <c r="BK797" s="0" t="s">
        <v>228</v>
      </c>
      <c r="BL797" s="0" t="s">
        <v>228</v>
      </c>
      <c r="BM797" s="0" t="s">
        <v>228</v>
      </c>
      <c r="BN797" s="0" t="s">
        <v>228</v>
      </c>
      <c r="BO797" s="0" t="s">
        <v>228</v>
      </c>
      <c r="BP797" s="0" t="s">
        <v>228</v>
      </c>
      <c r="BQ797" s="0" t="s">
        <v>228</v>
      </c>
      <c r="BR797" s="0" t="s">
        <v>228</v>
      </c>
      <c r="BS797" s="0" t="s">
        <v>228</v>
      </c>
      <c r="BT797" s="0" t="s">
        <v>228</v>
      </c>
      <c r="CS797" s="0" t="s">
        <v>228</v>
      </c>
      <c r="CT797" s="0" t="s">
        <v>3568</v>
      </c>
      <c r="CU797" s="0" t="s">
        <v>3569</v>
      </c>
      <c r="CV797" s="0" t="s">
        <v>4030</v>
      </c>
      <c r="CW797" s="0" t="s">
        <v>4031</v>
      </c>
      <c r="CX797" s="0" t="s">
        <v>3603</v>
      </c>
      <c r="CY797" s="0" t="s">
        <v>4030</v>
      </c>
      <c r="CZ797" s="0" t="s">
        <v>5138</v>
      </c>
      <c r="DA797" s="0" t="s">
        <v>4032</v>
      </c>
      <c r="DB797" s="0" t="s">
        <v>4031</v>
      </c>
      <c r="DC797" s="0" t="s">
        <v>362</v>
      </c>
      <c r="DD797" s="0" t="s">
        <v>282</v>
      </c>
      <c r="DE797" s="0" t="s">
        <v>5440</v>
      </c>
    </row>
    <row customHeight="1" ht="11.25">
      <c r="A798" s="1353" t="s">
        <v>228</v>
      </c>
      <c r="B798" s="0" t="s">
        <v>228</v>
      </c>
      <c r="C798" s="0" t="s">
        <v>228</v>
      </c>
      <c r="D798" s="0" t="s">
        <v>228</v>
      </c>
      <c r="E798" s="0" t="s">
        <v>228</v>
      </c>
      <c r="F798" s="0" t="s">
        <v>228</v>
      </c>
      <c r="G798" s="0" t="s">
        <v>228</v>
      </c>
      <c r="H798" s="0" t="s">
        <v>228</v>
      </c>
      <c r="I798" s="0" t="s">
        <v>5119</v>
      </c>
      <c r="J798" s="0" t="s">
        <v>228</v>
      </c>
      <c r="K798" s="0" t="s">
        <v>228</v>
      </c>
      <c r="L798" s="0" t="s">
        <v>228</v>
      </c>
      <c r="M798" s="0" t="s">
        <v>228</v>
      </c>
      <c r="N798" s="0" t="s">
        <v>228</v>
      </c>
      <c r="O798" s="0" t="s">
        <v>228</v>
      </c>
      <c r="P798" s="0" t="s">
        <v>228</v>
      </c>
      <c r="Q798" s="0" t="s">
        <v>228</v>
      </c>
      <c r="R798" s="0" t="s">
        <v>5368</v>
      </c>
      <c r="S798" s="0" t="s">
        <v>228</v>
      </c>
      <c r="T798" s="0" t="s">
        <v>228</v>
      </c>
      <c r="U798" s="0" t="s">
        <v>101</v>
      </c>
      <c r="V798" s="0" t="s">
        <v>228</v>
      </c>
      <c r="W798" s="0" t="s">
        <v>228</v>
      </c>
      <c r="X798" s="0" t="s">
        <v>5121</v>
      </c>
      <c r="Y798" s="0" t="s">
        <v>228</v>
      </c>
      <c r="Z798" s="0" t="s">
        <v>160</v>
      </c>
      <c r="AA798" s="0" t="s">
        <v>151</v>
      </c>
      <c r="AB798" s="0" t="s">
        <v>151</v>
      </c>
      <c r="AC798" s="0" t="s">
        <v>2317</v>
      </c>
      <c r="AD798" s="0" t="s">
        <v>2317</v>
      </c>
      <c r="AE798" s="0" t="s">
        <v>2318</v>
      </c>
      <c r="AF798" s="0" t="s">
        <v>3826</v>
      </c>
      <c r="AG798" s="0" t="s">
        <v>3827</v>
      </c>
      <c r="AH798" s="0" t="s">
        <v>5369</v>
      </c>
      <c r="AI798" s="0" t="s">
        <v>3700</v>
      </c>
      <c r="AJ798" s="0" t="s">
        <v>5029</v>
      </c>
      <c r="AK798" s="0" t="s">
        <v>5328</v>
      </c>
      <c r="AL798" s="0" t="s">
        <v>5125</v>
      </c>
      <c r="AN798" s="0" t="s">
        <v>3582</v>
      </c>
      <c r="AO798" s="0" t="s">
        <v>3701</v>
      </c>
      <c r="AP798" s="0" t="s">
        <v>228</v>
      </c>
      <c r="AQ798" s="0" t="s">
        <v>228</v>
      </c>
      <c r="AR798" s="0" t="s">
        <v>228</v>
      </c>
      <c r="AS798" s="0" t="s">
        <v>228</v>
      </c>
      <c r="AT798" s="0" t="s">
        <v>228</v>
      </c>
      <c r="AU798" s="0" t="s">
        <v>228</v>
      </c>
      <c r="AV798" s="0" t="s">
        <v>228</v>
      </c>
      <c r="AW798" s="0" t="s">
        <v>228</v>
      </c>
      <c r="AX798" s="0" t="s">
        <v>228</v>
      </c>
      <c r="AY798" s="0" t="s">
        <v>228</v>
      </c>
      <c r="AZ798" s="0" t="s">
        <v>228</v>
      </c>
      <c r="BA798" s="0" t="s">
        <v>228</v>
      </c>
      <c r="BB798" s="0" t="s">
        <v>228</v>
      </c>
      <c r="BC798" s="0" t="s">
        <v>228</v>
      </c>
      <c r="BD798" s="0" t="s">
        <v>228</v>
      </c>
      <c r="BE798" s="0" t="s">
        <v>228</v>
      </c>
      <c r="BF798" s="0" t="s">
        <v>228</v>
      </c>
      <c r="BG798" s="0" t="s">
        <v>228</v>
      </c>
      <c r="BH798" s="0" t="s">
        <v>228</v>
      </c>
      <c r="BI798" s="0" t="s">
        <v>228</v>
      </c>
      <c r="BJ798" s="0" t="s">
        <v>228</v>
      </c>
      <c r="BK798" s="0" t="s">
        <v>228</v>
      </c>
      <c r="BL798" s="0" t="s">
        <v>228</v>
      </c>
      <c r="BM798" s="0" t="s">
        <v>228</v>
      </c>
      <c r="BN798" s="0" t="s">
        <v>228</v>
      </c>
      <c r="BO798" s="0" t="s">
        <v>228</v>
      </c>
      <c r="BP798" s="0" t="s">
        <v>228</v>
      </c>
      <c r="BQ798" s="0" t="s">
        <v>228</v>
      </c>
      <c r="BR798" s="0" t="s">
        <v>228</v>
      </c>
      <c r="BS798" s="0" t="s">
        <v>228</v>
      </c>
      <c r="BT798" s="0" t="s">
        <v>228</v>
      </c>
      <c r="CS798" s="0" t="s">
        <v>228</v>
      </c>
      <c r="CT798" s="0" t="s">
        <v>3568</v>
      </c>
      <c r="CU798" s="0" t="s">
        <v>3569</v>
      </c>
      <c r="CV798" s="0" t="s">
        <v>418</v>
      </c>
      <c r="CW798" s="0" t="s">
        <v>3622</v>
      </c>
      <c r="CX798" s="0" t="s">
        <v>419</v>
      </c>
      <c r="CY798" s="0" t="s">
        <v>418</v>
      </c>
      <c r="CZ798" s="0" t="s">
        <v>3623</v>
      </c>
      <c r="DA798" s="0" t="s">
        <v>3624</v>
      </c>
      <c r="DB798" s="0" t="s">
        <v>3622</v>
      </c>
      <c r="DC798" s="0" t="s">
        <v>362</v>
      </c>
      <c r="DD798" s="0" t="s">
        <v>282</v>
      </c>
      <c r="DE798" s="0" t="s">
        <v>5370</v>
      </c>
    </row>
    <row customHeight="1" ht="11.25">
      <c r="A799" s="1353" t="s">
        <v>228</v>
      </c>
      <c r="B799" s="0" t="s">
        <v>228</v>
      </c>
      <c r="C799" s="0" t="s">
        <v>228</v>
      </c>
      <c r="D799" s="0" t="s">
        <v>228</v>
      </c>
      <c r="E799" s="0" t="s">
        <v>228</v>
      </c>
      <c r="F799" s="0" t="s">
        <v>228</v>
      </c>
      <c r="G799" s="0" t="s">
        <v>228</v>
      </c>
      <c r="H799" s="0" t="s">
        <v>228</v>
      </c>
      <c r="I799" s="0" t="s">
        <v>5119</v>
      </c>
      <c r="J799" s="0" t="s">
        <v>228</v>
      </c>
      <c r="K799" s="0" t="s">
        <v>228</v>
      </c>
      <c r="L799" s="0" t="s">
        <v>228</v>
      </c>
      <c r="M799" s="0" t="s">
        <v>228</v>
      </c>
      <c r="N799" s="0" t="s">
        <v>228</v>
      </c>
      <c r="O799" s="0" t="s">
        <v>228</v>
      </c>
      <c r="P799" s="0" t="s">
        <v>228</v>
      </c>
      <c r="Q799" s="0" t="s">
        <v>228</v>
      </c>
      <c r="R799" s="0" t="s">
        <v>5371</v>
      </c>
      <c r="S799" s="0" t="s">
        <v>228</v>
      </c>
      <c r="T799" s="0" t="s">
        <v>228</v>
      </c>
      <c r="U799" s="0" t="s">
        <v>101</v>
      </c>
      <c r="V799" s="0" t="s">
        <v>228</v>
      </c>
      <c r="W799" s="0" t="s">
        <v>228</v>
      </c>
      <c r="X799" s="0" t="s">
        <v>5121</v>
      </c>
      <c r="Y799" s="0" t="s">
        <v>228</v>
      </c>
      <c r="Z799" s="0" t="s">
        <v>160</v>
      </c>
      <c r="AA799" s="0" t="s">
        <v>151</v>
      </c>
      <c r="AB799" s="0" t="s">
        <v>151</v>
      </c>
      <c r="AC799" s="0" t="s">
        <v>2317</v>
      </c>
      <c r="AD799" s="0" t="s">
        <v>2317</v>
      </c>
      <c r="AE799" s="0" t="s">
        <v>2318</v>
      </c>
      <c r="AF799" s="0" t="s">
        <v>3826</v>
      </c>
      <c r="AG799" s="0" t="s">
        <v>3827</v>
      </c>
      <c r="AH799" s="0" t="s">
        <v>5372</v>
      </c>
      <c r="AI799" s="0" t="s">
        <v>3651</v>
      </c>
      <c r="AJ799" s="0" t="s">
        <v>5029</v>
      </c>
      <c r="AK799" s="0" t="s">
        <v>5328</v>
      </c>
      <c r="AL799" s="0" t="s">
        <v>5125</v>
      </c>
      <c r="AN799" s="0" t="s">
        <v>3582</v>
      </c>
      <c r="AO799" s="0" t="s">
        <v>5131</v>
      </c>
      <c r="AP799" s="0" t="s">
        <v>228</v>
      </c>
      <c r="AQ799" s="0" t="s">
        <v>228</v>
      </c>
      <c r="AR799" s="0" t="s">
        <v>228</v>
      </c>
      <c r="AS799" s="0" t="s">
        <v>228</v>
      </c>
      <c r="AT799" s="0" t="s">
        <v>228</v>
      </c>
      <c r="AU799" s="0" t="s">
        <v>228</v>
      </c>
      <c r="AV799" s="0" t="s">
        <v>228</v>
      </c>
      <c r="AW799" s="0" t="s">
        <v>228</v>
      </c>
      <c r="AX799" s="0" t="s">
        <v>228</v>
      </c>
      <c r="AY799" s="0" t="s">
        <v>228</v>
      </c>
      <c r="AZ799" s="0" t="s">
        <v>228</v>
      </c>
      <c r="BA799" s="0" t="s">
        <v>228</v>
      </c>
      <c r="BB799" s="0" t="s">
        <v>228</v>
      </c>
      <c r="BC799" s="0" t="s">
        <v>228</v>
      </c>
      <c r="BD799" s="0" t="s">
        <v>228</v>
      </c>
      <c r="BE799" s="0" t="s">
        <v>228</v>
      </c>
      <c r="BF799" s="0" t="s">
        <v>228</v>
      </c>
      <c r="BG799" s="0" t="s">
        <v>228</v>
      </c>
      <c r="BH799" s="0" t="s">
        <v>228</v>
      </c>
      <c r="BI799" s="0" t="s">
        <v>228</v>
      </c>
      <c r="BJ799" s="0" t="s">
        <v>228</v>
      </c>
      <c r="BK799" s="0" t="s">
        <v>228</v>
      </c>
      <c r="BL799" s="0" t="s">
        <v>228</v>
      </c>
      <c r="BM799" s="0" t="s">
        <v>228</v>
      </c>
      <c r="BN799" s="0" t="s">
        <v>228</v>
      </c>
      <c r="BO799" s="0" t="s">
        <v>228</v>
      </c>
      <c r="BP799" s="0" t="s">
        <v>228</v>
      </c>
      <c r="BQ799" s="0" t="s">
        <v>228</v>
      </c>
      <c r="BR799" s="0" t="s">
        <v>228</v>
      </c>
      <c r="BS799" s="0" t="s">
        <v>228</v>
      </c>
      <c r="BT799" s="0" t="s">
        <v>228</v>
      </c>
      <c r="CS799" s="0" t="s">
        <v>228</v>
      </c>
      <c r="CT799" s="0" t="s">
        <v>3568</v>
      </c>
      <c r="CU799" s="0" t="s">
        <v>3569</v>
      </c>
      <c r="CV799" s="0" t="s">
        <v>418</v>
      </c>
      <c r="CW799" s="0" t="s">
        <v>3622</v>
      </c>
      <c r="CX799" s="0" t="s">
        <v>419</v>
      </c>
      <c r="CY799" s="0" t="s">
        <v>418</v>
      </c>
      <c r="CZ799" s="0" t="s">
        <v>3623</v>
      </c>
      <c r="DA799" s="0" t="s">
        <v>3624</v>
      </c>
      <c r="DB799" s="0" t="s">
        <v>3622</v>
      </c>
      <c r="DC799" s="0" t="s">
        <v>362</v>
      </c>
      <c r="DD799" s="0" t="s">
        <v>282</v>
      </c>
      <c r="DE799" s="0" t="s">
        <v>5373</v>
      </c>
    </row>
    <row customHeight="1" ht="11.25">
      <c r="A800" s="1353" t="s">
        <v>228</v>
      </c>
      <c r="B800" s="0" t="s">
        <v>228</v>
      </c>
      <c r="C800" s="0" t="s">
        <v>228</v>
      </c>
      <c r="D800" s="0" t="s">
        <v>228</v>
      </c>
      <c r="E800" s="0" t="s">
        <v>228</v>
      </c>
      <c r="F800" s="0" t="s">
        <v>228</v>
      </c>
      <c r="G800" s="0" t="s">
        <v>228</v>
      </c>
      <c r="H800" s="0" t="s">
        <v>228</v>
      </c>
      <c r="I800" s="0" t="s">
        <v>5119</v>
      </c>
      <c r="J800" s="0" t="s">
        <v>228</v>
      </c>
      <c r="K800" s="0" t="s">
        <v>228</v>
      </c>
      <c r="L800" s="0" t="s">
        <v>228</v>
      </c>
      <c r="M800" s="0" t="s">
        <v>228</v>
      </c>
      <c r="N800" s="0" t="s">
        <v>228</v>
      </c>
      <c r="O800" s="0" t="s">
        <v>228</v>
      </c>
      <c r="P800" s="0" t="s">
        <v>228</v>
      </c>
      <c r="Q800" s="0" t="s">
        <v>228</v>
      </c>
      <c r="R800" s="0" t="s">
        <v>5374</v>
      </c>
      <c r="S800" s="0" t="s">
        <v>228</v>
      </c>
      <c r="T800" s="0" t="s">
        <v>228</v>
      </c>
      <c r="U800" s="0" t="s">
        <v>101</v>
      </c>
      <c r="V800" s="0" t="s">
        <v>228</v>
      </c>
      <c r="W800" s="0" t="s">
        <v>228</v>
      </c>
      <c r="X800" s="0" t="s">
        <v>3661</v>
      </c>
      <c r="Y800" s="0" t="s">
        <v>228</v>
      </c>
      <c r="Z800" s="0" t="s">
        <v>151</v>
      </c>
      <c r="AA800" s="0" t="s">
        <v>151</v>
      </c>
      <c r="AB800" s="0" t="s">
        <v>160</v>
      </c>
      <c r="AC800" s="0" t="s">
        <v>2317</v>
      </c>
      <c r="AD800" s="0" t="s">
        <v>2317</v>
      </c>
      <c r="AE800" s="0" t="s">
        <v>2318</v>
      </c>
      <c r="AF800" s="0" t="s">
        <v>3615</v>
      </c>
      <c r="AG800" s="0" t="s">
        <v>3616</v>
      </c>
      <c r="AH800" s="0" t="s">
        <v>3651</v>
      </c>
      <c r="AI800" s="0" t="s">
        <v>3651</v>
      </c>
      <c r="AJ800" s="0" t="s">
        <v>228</v>
      </c>
      <c r="AK800" s="0" t="s">
        <v>228</v>
      </c>
      <c r="AL800" s="0" t="s">
        <v>228</v>
      </c>
      <c r="AN800" s="0" t="s">
        <v>228</v>
      </c>
      <c r="AO800" s="0" t="s">
        <v>228</v>
      </c>
      <c r="AP800" s="0" t="s">
        <v>228</v>
      </c>
      <c r="AQ800" s="0" t="s">
        <v>228</v>
      </c>
      <c r="AR800" s="0" t="s">
        <v>228</v>
      </c>
      <c r="AS800" s="0" t="s">
        <v>228</v>
      </c>
      <c r="AT800" s="0" t="s">
        <v>228</v>
      </c>
      <c r="AU800" s="0" t="s">
        <v>228</v>
      </c>
      <c r="AV800" s="0" t="s">
        <v>228</v>
      </c>
      <c r="AW800" s="0" t="s">
        <v>228</v>
      </c>
      <c r="AX800" s="0" t="s">
        <v>228</v>
      </c>
      <c r="AY800" s="0" t="s">
        <v>228</v>
      </c>
      <c r="AZ800" s="0" t="s">
        <v>228</v>
      </c>
      <c r="BA800" s="0" t="s">
        <v>228</v>
      </c>
      <c r="BB800" s="0" t="s">
        <v>228</v>
      </c>
      <c r="BC800" s="0" t="s">
        <v>228</v>
      </c>
      <c r="BD800" s="0" t="s">
        <v>228</v>
      </c>
      <c r="BE800" s="0" t="s">
        <v>3580</v>
      </c>
      <c r="BF800" s="0" t="s">
        <v>3853</v>
      </c>
      <c r="BG800" s="0" t="s">
        <v>111</v>
      </c>
      <c r="BH800" s="0" t="s">
        <v>3665</v>
      </c>
      <c r="BI800" s="0" t="s">
        <v>122</v>
      </c>
      <c r="BJ800" s="0" t="s">
        <v>228</v>
      </c>
      <c r="BK800" s="0" t="s">
        <v>228</v>
      </c>
      <c r="BL800" s="0" t="s">
        <v>2317</v>
      </c>
      <c r="BM800" s="0" t="s">
        <v>2317</v>
      </c>
      <c r="BN800" s="0" t="s">
        <v>3740</v>
      </c>
      <c r="BO800" s="0" t="s">
        <v>3615</v>
      </c>
      <c r="BP800" s="0" t="s">
        <v>4267</v>
      </c>
      <c r="BQ800" s="0" t="s">
        <v>3651</v>
      </c>
      <c r="BR800" s="0" t="s">
        <v>3651</v>
      </c>
      <c r="BS800" s="0" t="s">
        <v>228</v>
      </c>
      <c r="BT800" s="0" t="s">
        <v>3727</v>
      </c>
      <c r="CS800" s="0" t="s">
        <v>5243</v>
      </c>
      <c r="CT800" s="0" t="s">
        <v>3568</v>
      </c>
      <c r="CU800" s="0" t="s">
        <v>3569</v>
      </c>
      <c r="CV800" s="0" t="s">
        <v>418</v>
      </c>
      <c r="CW800" s="0" t="s">
        <v>3622</v>
      </c>
      <c r="CX800" s="0" t="s">
        <v>419</v>
      </c>
      <c r="CY800" s="0" t="s">
        <v>418</v>
      </c>
      <c r="CZ800" s="0" t="s">
        <v>3623</v>
      </c>
      <c r="DA800" s="0" t="s">
        <v>3624</v>
      </c>
      <c r="DB800" s="0" t="s">
        <v>3622</v>
      </c>
      <c r="DC800" s="0" t="s">
        <v>362</v>
      </c>
      <c r="DD800" s="0" t="s">
        <v>282</v>
      </c>
      <c r="DE800" s="0" t="s">
        <v>4269</v>
      </c>
    </row>
    <row customHeight="1" ht="11.25">
      <c r="A801" s="1353" t="s">
        <v>228</v>
      </c>
      <c r="B801" s="0" t="s">
        <v>228</v>
      </c>
      <c r="C801" s="0" t="s">
        <v>228</v>
      </c>
      <c r="D801" s="0" t="s">
        <v>228</v>
      </c>
      <c r="E801" s="0" t="s">
        <v>228</v>
      </c>
      <c r="F801" s="0" t="s">
        <v>228</v>
      </c>
      <c r="G801" s="0" t="s">
        <v>228</v>
      </c>
      <c r="H801" s="0" t="s">
        <v>228</v>
      </c>
      <c r="I801" s="0" t="s">
        <v>5119</v>
      </c>
      <c r="J801" s="0" t="s">
        <v>228</v>
      </c>
      <c r="K801" s="0" t="s">
        <v>228</v>
      </c>
      <c r="L801" s="0" t="s">
        <v>228</v>
      </c>
      <c r="M801" s="0" t="s">
        <v>228</v>
      </c>
      <c r="N801" s="0" t="s">
        <v>228</v>
      </c>
      <c r="O801" s="0" t="s">
        <v>228</v>
      </c>
      <c r="P801" s="0" t="s">
        <v>228</v>
      </c>
      <c r="Q801" s="0" t="s">
        <v>228</v>
      </c>
      <c r="R801" s="0" t="s">
        <v>5240</v>
      </c>
      <c r="S801" s="0" t="s">
        <v>228</v>
      </c>
      <c r="T801" s="0" t="s">
        <v>228</v>
      </c>
      <c r="U801" s="0" t="s">
        <v>101</v>
      </c>
      <c r="V801" s="0" t="s">
        <v>228</v>
      </c>
      <c r="W801" s="0" t="s">
        <v>228</v>
      </c>
      <c r="X801" s="0" t="s">
        <v>3661</v>
      </c>
      <c r="Y801" s="0" t="s">
        <v>228</v>
      </c>
      <c r="Z801" s="0" t="s">
        <v>151</v>
      </c>
      <c r="AA801" s="0" t="s">
        <v>151</v>
      </c>
      <c r="AB801" s="0" t="s">
        <v>160</v>
      </c>
      <c r="AC801" s="0" t="s">
        <v>2315</v>
      </c>
      <c r="AD801" s="0" t="s">
        <v>2315</v>
      </c>
      <c r="AE801" s="0" t="s">
        <v>2316</v>
      </c>
      <c r="AF801" s="0" t="s">
        <v>4058</v>
      </c>
      <c r="AG801" s="0" t="s">
        <v>4059</v>
      </c>
      <c r="AH801" s="0" t="s">
        <v>3651</v>
      </c>
      <c r="AI801" s="0" t="s">
        <v>3651</v>
      </c>
      <c r="AJ801" s="0" t="s">
        <v>228</v>
      </c>
      <c r="AK801" s="0" t="s">
        <v>228</v>
      </c>
      <c r="AL801" s="0" t="s">
        <v>228</v>
      </c>
      <c r="AN801" s="0" t="s">
        <v>228</v>
      </c>
      <c r="AO801" s="0" t="s">
        <v>228</v>
      </c>
      <c r="AP801" s="0" t="s">
        <v>228</v>
      </c>
      <c r="AQ801" s="0" t="s">
        <v>228</v>
      </c>
      <c r="AR801" s="0" t="s">
        <v>228</v>
      </c>
      <c r="AS801" s="0" t="s">
        <v>228</v>
      </c>
      <c r="AT801" s="0" t="s">
        <v>228</v>
      </c>
      <c r="AU801" s="0" t="s">
        <v>228</v>
      </c>
      <c r="AV801" s="0" t="s">
        <v>228</v>
      </c>
      <c r="AW801" s="0" t="s">
        <v>228</v>
      </c>
      <c r="AX801" s="0" t="s">
        <v>228</v>
      </c>
      <c r="AY801" s="0" t="s">
        <v>228</v>
      </c>
      <c r="AZ801" s="0" t="s">
        <v>228</v>
      </c>
      <c r="BA801" s="0" t="s">
        <v>228</v>
      </c>
      <c r="BB801" s="0" t="s">
        <v>228</v>
      </c>
      <c r="BC801" s="0" t="s">
        <v>228</v>
      </c>
      <c r="BD801" s="0" t="s">
        <v>228</v>
      </c>
      <c r="BE801" s="0" t="s">
        <v>5241</v>
      </c>
      <c r="BF801" s="0" t="s">
        <v>5242</v>
      </c>
      <c r="BG801" s="0" t="s">
        <v>111</v>
      </c>
      <c r="BH801" s="0" t="s">
        <v>3665</v>
      </c>
      <c r="BI801" s="0" t="s">
        <v>122</v>
      </c>
      <c r="BJ801" s="0" t="s">
        <v>228</v>
      </c>
      <c r="BK801" s="0" t="s">
        <v>228</v>
      </c>
      <c r="BL801" s="0" t="s">
        <v>2315</v>
      </c>
      <c r="BM801" s="0" t="s">
        <v>2315</v>
      </c>
      <c r="BN801" s="0" t="s">
        <v>3875</v>
      </c>
      <c r="BO801" s="0" t="s">
        <v>4058</v>
      </c>
      <c r="BP801" s="0" t="s">
        <v>4249</v>
      </c>
      <c r="BQ801" s="0" t="s">
        <v>3651</v>
      </c>
      <c r="BR801" s="0" t="s">
        <v>3651</v>
      </c>
      <c r="BS801" s="0" t="s">
        <v>228</v>
      </c>
      <c r="BT801" s="0" t="s">
        <v>3727</v>
      </c>
      <c r="CS801" s="0" t="s">
        <v>5243</v>
      </c>
      <c r="CT801" s="0" t="s">
        <v>3568</v>
      </c>
      <c r="CU801" s="0" t="s">
        <v>3569</v>
      </c>
      <c r="CV801" s="0" t="s">
        <v>418</v>
      </c>
      <c r="CW801" s="0" t="s">
        <v>3656</v>
      </c>
      <c r="CX801" s="0" t="s">
        <v>419</v>
      </c>
      <c r="CY801" s="0" t="s">
        <v>418</v>
      </c>
      <c r="CZ801" s="0" t="s">
        <v>3657</v>
      </c>
      <c r="DA801" s="0" t="s">
        <v>3658</v>
      </c>
      <c r="DB801" s="0" t="s">
        <v>3656</v>
      </c>
      <c r="DC801" s="0" t="s">
        <v>362</v>
      </c>
      <c r="DD801" s="0" t="s">
        <v>282</v>
      </c>
      <c r="DE801" s="0" t="s">
        <v>4323</v>
      </c>
    </row>
    <row customHeight="1" ht="11.25">
      <c r="A802" s="1353" t="s">
        <v>228</v>
      </c>
      <c r="B802" s="0" t="s">
        <v>228</v>
      </c>
      <c r="C802" s="0" t="s">
        <v>228</v>
      </c>
      <c r="D802" s="0" t="s">
        <v>228</v>
      </c>
      <c r="E802" s="0" t="s">
        <v>228</v>
      </c>
      <c r="F802" s="0" t="s">
        <v>228</v>
      </c>
      <c r="G802" s="0" t="s">
        <v>228</v>
      </c>
      <c r="H802" s="0" t="s">
        <v>228</v>
      </c>
      <c r="I802" s="0" t="s">
        <v>5119</v>
      </c>
      <c r="J802" s="0" t="s">
        <v>228</v>
      </c>
      <c r="K802" s="0" t="s">
        <v>228</v>
      </c>
      <c r="L802" s="0" t="s">
        <v>228</v>
      </c>
      <c r="M802" s="0" t="s">
        <v>228</v>
      </c>
      <c r="N802" s="0" t="s">
        <v>228</v>
      </c>
      <c r="O802" s="0" t="s">
        <v>228</v>
      </c>
      <c r="P802" s="0" t="s">
        <v>228</v>
      </c>
      <c r="Q802" s="0" t="s">
        <v>228</v>
      </c>
      <c r="R802" s="0" t="s">
        <v>5452</v>
      </c>
      <c r="S802" s="0" t="s">
        <v>228</v>
      </c>
      <c r="T802" s="0" t="s">
        <v>228</v>
      </c>
      <c r="U802" s="0" t="s">
        <v>101</v>
      </c>
      <c r="V802" s="0" t="s">
        <v>228</v>
      </c>
      <c r="W802" s="0" t="s">
        <v>228</v>
      </c>
      <c r="X802" s="0" t="s">
        <v>3988</v>
      </c>
      <c r="Y802" s="0" t="s">
        <v>228</v>
      </c>
      <c r="Z802" s="0" t="s">
        <v>151</v>
      </c>
      <c r="AA802" s="0" t="s">
        <v>160</v>
      </c>
      <c r="AB802" s="0" t="s">
        <v>151</v>
      </c>
      <c r="AC802" s="0" t="s">
        <v>2721</v>
      </c>
      <c r="AD802" s="0" t="s">
        <v>2721</v>
      </c>
      <c r="AE802" s="0" t="s">
        <v>2722</v>
      </c>
      <c r="AF802" s="0" t="s">
        <v>4024</v>
      </c>
      <c r="AG802" s="0" t="s">
        <v>4025</v>
      </c>
      <c r="AH802" s="0" t="s">
        <v>5453</v>
      </c>
      <c r="AI802" s="0" t="s">
        <v>3608</v>
      </c>
      <c r="AJ802" s="0" t="s">
        <v>228</v>
      </c>
      <c r="AK802" s="0" t="s">
        <v>228</v>
      </c>
      <c r="AL802" s="0" t="s">
        <v>228</v>
      </c>
      <c r="AN802" s="0" t="s">
        <v>228</v>
      </c>
      <c r="AO802" s="0" t="s">
        <v>228</v>
      </c>
      <c r="AP802" s="0" t="s">
        <v>5213</v>
      </c>
      <c r="AQ802" s="0" t="s">
        <v>5214</v>
      </c>
      <c r="AR802" s="0" t="s">
        <v>111</v>
      </c>
      <c r="AS802" s="0" t="s">
        <v>3665</v>
      </c>
      <c r="AT802" s="0" t="s">
        <v>122</v>
      </c>
      <c r="AU802" s="0" t="s">
        <v>228</v>
      </c>
      <c r="AV802" s="0" t="s">
        <v>5439</v>
      </c>
      <c r="AW802" s="0" t="s">
        <v>2721</v>
      </c>
      <c r="AX802" s="0" t="s">
        <v>2721</v>
      </c>
      <c r="AY802" s="0" t="s">
        <v>4149</v>
      </c>
      <c r="AZ802" s="0" t="s">
        <v>4024</v>
      </c>
      <c r="BA802" s="0" t="s">
        <v>4150</v>
      </c>
      <c r="BB802" s="0" t="s">
        <v>5454</v>
      </c>
      <c r="BC802" s="0" t="s">
        <v>3608</v>
      </c>
      <c r="BD802" s="0" t="s">
        <v>3628</v>
      </c>
      <c r="BE802" s="0" t="s">
        <v>228</v>
      </c>
      <c r="BF802" s="0" t="s">
        <v>228</v>
      </c>
      <c r="BG802" s="0" t="s">
        <v>228</v>
      </c>
      <c r="BH802" s="0" t="s">
        <v>228</v>
      </c>
      <c r="BI802" s="0" t="s">
        <v>228</v>
      </c>
      <c r="BJ802" s="0" t="s">
        <v>228</v>
      </c>
      <c r="BK802" s="0" t="s">
        <v>228</v>
      </c>
      <c r="BL802" s="0" t="s">
        <v>228</v>
      </c>
      <c r="BM802" s="0" t="s">
        <v>228</v>
      </c>
      <c r="BN802" s="0" t="s">
        <v>228</v>
      </c>
      <c r="BO802" s="0" t="s">
        <v>228</v>
      </c>
      <c r="BP802" s="0" t="s">
        <v>228</v>
      </c>
      <c r="BQ802" s="0" t="s">
        <v>228</v>
      </c>
      <c r="BR802" s="0" t="s">
        <v>228</v>
      </c>
      <c r="BS802" s="0" t="s">
        <v>228</v>
      </c>
      <c r="BT802" s="0" t="s">
        <v>228</v>
      </c>
      <c r="CS802" s="0" t="s">
        <v>228</v>
      </c>
      <c r="CT802" s="0" t="s">
        <v>3568</v>
      </c>
      <c r="CU802" s="0" t="s">
        <v>3569</v>
      </c>
      <c r="CV802" s="0" t="s">
        <v>4030</v>
      </c>
      <c r="CW802" s="0" t="s">
        <v>4031</v>
      </c>
      <c r="CX802" s="0" t="s">
        <v>3603</v>
      </c>
      <c r="CY802" s="0" t="s">
        <v>4030</v>
      </c>
      <c r="CZ802" s="0" t="s">
        <v>5138</v>
      </c>
      <c r="DA802" s="0" t="s">
        <v>4032</v>
      </c>
      <c r="DB802" s="0" t="s">
        <v>4031</v>
      </c>
      <c r="DC802" s="0" t="s">
        <v>362</v>
      </c>
      <c r="DD802" s="0" t="s">
        <v>282</v>
      </c>
      <c r="DE802" s="0" t="s">
        <v>5455</v>
      </c>
    </row>
    <row customHeight="1" ht="11.25">
      <c r="A803" s="1353" t="s">
        <v>228</v>
      </c>
      <c r="B803" s="0" t="s">
        <v>228</v>
      </c>
      <c r="C803" s="0" t="s">
        <v>228</v>
      </c>
      <c r="D803" s="0" t="s">
        <v>228</v>
      </c>
      <c r="E803" s="0" t="s">
        <v>228</v>
      </c>
      <c r="F803" s="0" t="s">
        <v>228</v>
      </c>
      <c r="G803" s="0" t="s">
        <v>228</v>
      </c>
      <c r="H803" s="0" t="s">
        <v>228</v>
      </c>
      <c r="I803" s="0" t="s">
        <v>5119</v>
      </c>
      <c r="J803" s="0" t="s">
        <v>228</v>
      </c>
      <c r="K803" s="0" t="s">
        <v>228</v>
      </c>
      <c r="L803" s="0" t="s">
        <v>228</v>
      </c>
      <c r="M803" s="0" t="s">
        <v>228</v>
      </c>
      <c r="N803" s="0" t="s">
        <v>228</v>
      </c>
      <c r="O803" s="0" t="s">
        <v>228</v>
      </c>
      <c r="P803" s="0" t="s">
        <v>228</v>
      </c>
      <c r="Q803" s="0" t="s">
        <v>228</v>
      </c>
      <c r="R803" s="0" t="s">
        <v>5520</v>
      </c>
      <c r="S803" s="0" t="s">
        <v>228</v>
      </c>
      <c r="T803" s="0" t="s">
        <v>228</v>
      </c>
      <c r="U803" s="0" t="s">
        <v>101</v>
      </c>
      <c r="V803" s="0" t="s">
        <v>228</v>
      </c>
      <c r="W803" s="0" t="s">
        <v>228</v>
      </c>
      <c r="X803" s="0" t="s">
        <v>5121</v>
      </c>
      <c r="Y803" s="0" t="s">
        <v>228</v>
      </c>
      <c r="Z803" s="0" t="s">
        <v>160</v>
      </c>
      <c r="AA803" s="0" t="s">
        <v>151</v>
      </c>
      <c r="AB803" s="0" t="s">
        <v>151</v>
      </c>
      <c r="AC803" s="0" t="s">
        <v>2315</v>
      </c>
      <c r="AD803" s="0" t="s">
        <v>2315</v>
      </c>
      <c r="AE803" s="0" t="s">
        <v>2316</v>
      </c>
      <c r="AF803" s="0" t="s">
        <v>4058</v>
      </c>
      <c r="AG803" s="0" t="s">
        <v>4059</v>
      </c>
      <c r="AH803" s="0" t="s">
        <v>3693</v>
      </c>
      <c r="AI803" s="0" t="s">
        <v>3651</v>
      </c>
      <c r="AJ803" s="0" t="s">
        <v>5250</v>
      </c>
      <c r="AK803" s="0" t="s">
        <v>5521</v>
      </c>
      <c r="AL803" s="0" t="s">
        <v>5125</v>
      </c>
      <c r="AN803" s="0" t="s">
        <v>3563</v>
      </c>
      <c r="AO803" s="0" t="s">
        <v>5275</v>
      </c>
      <c r="AP803" s="0" t="s">
        <v>228</v>
      </c>
      <c r="AQ803" s="0" t="s">
        <v>228</v>
      </c>
      <c r="AR803" s="0" t="s">
        <v>228</v>
      </c>
      <c r="AS803" s="0" t="s">
        <v>228</v>
      </c>
      <c r="AT803" s="0" t="s">
        <v>228</v>
      </c>
      <c r="AU803" s="0" t="s">
        <v>228</v>
      </c>
      <c r="AV803" s="0" t="s">
        <v>228</v>
      </c>
      <c r="AW803" s="0" t="s">
        <v>228</v>
      </c>
      <c r="AX803" s="0" t="s">
        <v>228</v>
      </c>
      <c r="AY803" s="0" t="s">
        <v>228</v>
      </c>
      <c r="AZ803" s="0" t="s">
        <v>228</v>
      </c>
      <c r="BA803" s="0" t="s">
        <v>228</v>
      </c>
      <c r="BB803" s="0" t="s">
        <v>228</v>
      </c>
      <c r="BC803" s="0" t="s">
        <v>228</v>
      </c>
      <c r="BD803" s="0" t="s">
        <v>228</v>
      </c>
      <c r="BE803" s="0" t="s">
        <v>228</v>
      </c>
      <c r="BF803" s="0" t="s">
        <v>228</v>
      </c>
      <c r="BG803" s="0" t="s">
        <v>228</v>
      </c>
      <c r="BH803" s="0" t="s">
        <v>228</v>
      </c>
      <c r="BI803" s="0" t="s">
        <v>228</v>
      </c>
      <c r="BJ803" s="0" t="s">
        <v>228</v>
      </c>
      <c r="BK803" s="0" t="s">
        <v>228</v>
      </c>
      <c r="BL803" s="0" t="s">
        <v>228</v>
      </c>
      <c r="BM803" s="0" t="s">
        <v>228</v>
      </c>
      <c r="BN803" s="0" t="s">
        <v>228</v>
      </c>
      <c r="BO803" s="0" t="s">
        <v>228</v>
      </c>
      <c r="BP803" s="0" t="s">
        <v>228</v>
      </c>
      <c r="BQ803" s="0" t="s">
        <v>228</v>
      </c>
      <c r="BR803" s="0" t="s">
        <v>228</v>
      </c>
      <c r="BS803" s="0" t="s">
        <v>228</v>
      </c>
      <c r="BT803" s="0" t="s">
        <v>228</v>
      </c>
      <c r="CS803" s="0" t="s">
        <v>228</v>
      </c>
      <c r="CT803" s="0" t="s">
        <v>3568</v>
      </c>
      <c r="CU803" s="0" t="s">
        <v>3569</v>
      </c>
      <c r="CV803" s="0" t="s">
        <v>418</v>
      </c>
      <c r="CW803" s="0" t="s">
        <v>3656</v>
      </c>
      <c r="CX803" s="0" t="s">
        <v>419</v>
      </c>
      <c r="CY803" s="0" t="s">
        <v>418</v>
      </c>
      <c r="CZ803" s="0" t="s">
        <v>3657</v>
      </c>
      <c r="DA803" s="0" t="s">
        <v>3658</v>
      </c>
      <c r="DB803" s="0" t="s">
        <v>3656</v>
      </c>
      <c r="DC803" s="0" t="s">
        <v>362</v>
      </c>
      <c r="DD803" s="0" t="s">
        <v>282</v>
      </c>
      <c r="DE803" s="0" t="s">
        <v>5522</v>
      </c>
    </row>
    <row customHeight="1" ht="11.25">
      <c r="A804" s="1353" t="s">
        <v>228</v>
      </c>
      <c r="B804" s="0" t="s">
        <v>228</v>
      </c>
      <c r="C804" s="0" t="s">
        <v>228</v>
      </c>
      <c r="D804" s="0" t="s">
        <v>228</v>
      </c>
      <c r="E804" s="0" t="s">
        <v>228</v>
      </c>
      <c r="F804" s="0" t="s">
        <v>228</v>
      </c>
      <c r="G804" s="0" t="s">
        <v>228</v>
      </c>
      <c r="H804" s="0" t="s">
        <v>228</v>
      </c>
      <c r="I804" s="0" t="s">
        <v>5119</v>
      </c>
      <c r="J804" s="0" t="s">
        <v>228</v>
      </c>
      <c r="K804" s="0" t="s">
        <v>228</v>
      </c>
      <c r="L804" s="0" t="s">
        <v>228</v>
      </c>
      <c r="M804" s="0" t="s">
        <v>228</v>
      </c>
      <c r="N804" s="0" t="s">
        <v>228</v>
      </c>
      <c r="O804" s="0" t="s">
        <v>228</v>
      </c>
      <c r="P804" s="0" t="s">
        <v>228</v>
      </c>
      <c r="Q804" s="0" t="s">
        <v>228</v>
      </c>
      <c r="R804" s="0" t="s">
        <v>4936</v>
      </c>
      <c r="S804" s="0" t="s">
        <v>228</v>
      </c>
      <c r="T804" s="0" t="s">
        <v>228</v>
      </c>
      <c r="U804" s="0" t="s">
        <v>101</v>
      </c>
      <c r="V804" s="0" t="s">
        <v>228</v>
      </c>
      <c r="W804" s="0" t="s">
        <v>228</v>
      </c>
      <c r="X804" s="0" t="s">
        <v>3661</v>
      </c>
      <c r="Y804" s="0" t="s">
        <v>228</v>
      </c>
      <c r="Z804" s="0" t="s">
        <v>151</v>
      </c>
      <c r="AA804" s="0" t="s">
        <v>151</v>
      </c>
      <c r="AB804" s="0" t="s">
        <v>160</v>
      </c>
      <c r="AC804" s="0" t="s">
        <v>2721</v>
      </c>
      <c r="AD804" s="0" t="s">
        <v>2721</v>
      </c>
      <c r="AE804" s="0" t="s">
        <v>2722</v>
      </c>
      <c r="AF804" s="0" t="s">
        <v>4024</v>
      </c>
      <c r="AG804" s="0" t="s">
        <v>4025</v>
      </c>
      <c r="AH804" s="0" t="s">
        <v>4146</v>
      </c>
      <c r="AI804" s="0" t="s">
        <v>3608</v>
      </c>
      <c r="AJ804" s="0" t="s">
        <v>228</v>
      </c>
      <c r="AK804" s="0" t="s">
        <v>228</v>
      </c>
      <c r="AL804" s="0" t="s">
        <v>228</v>
      </c>
      <c r="AN804" s="0" t="s">
        <v>228</v>
      </c>
      <c r="AO804" s="0" t="s">
        <v>228</v>
      </c>
      <c r="AP804" s="0" t="s">
        <v>228</v>
      </c>
      <c r="AQ804" s="0" t="s">
        <v>228</v>
      </c>
      <c r="AR804" s="0" t="s">
        <v>228</v>
      </c>
      <c r="AS804" s="0" t="s">
        <v>228</v>
      </c>
      <c r="AT804" s="0" t="s">
        <v>228</v>
      </c>
      <c r="AU804" s="0" t="s">
        <v>228</v>
      </c>
      <c r="AV804" s="0" t="s">
        <v>228</v>
      </c>
      <c r="AW804" s="0" t="s">
        <v>228</v>
      </c>
      <c r="AX804" s="0" t="s">
        <v>228</v>
      </c>
      <c r="AY804" s="0" t="s">
        <v>228</v>
      </c>
      <c r="AZ804" s="0" t="s">
        <v>228</v>
      </c>
      <c r="BA804" s="0" t="s">
        <v>228</v>
      </c>
      <c r="BB804" s="0" t="s">
        <v>228</v>
      </c>
      <c r="BC804" s="0" t="s">
        <v>228</v>
      </c>
      <c r="BD804" s="0" t="s">
        <v>228</v>
      </c>
      <c r="BE804" s="0" t="s">
        <v>5213</v>
      </c>
      <c r="BF804" s="0" t="s">
        <v>5214</v>
      </c>
      <c r="BG804" s="0" t="s">
        <v>111</v>
      </c>
      <c r="BH804" s="0" t="s">
        <v>3665</v>
      </c>
      <c r="BI804" s="0" t="s">
        <v>122</v>
      </c>
      <c r="BJ804" s="0" t="s">
        <v>228</v>
      </c>
      <c r="BK804" s="0" t="s">
        <v>5215</v>
      </c>
      <c r="BL804" s="0" t="s">
        <v>2721</v>
      </c>
      <c r="BM804" s="0" t="s">
        <v>2721</v>
      </c>
      <c r="BN804" s="0" t="s">
        <v>4149</v>
      </c>
      <c r="BO804" s="0" t="s">
        <v>4024</v>
      </c>
      <c r="BP804" s="0" t="s">
        <v>4150</v>
      </c>
      <c r="BQ804" s="0" t="s">
        <v>4146</v>
      </c>
      <c r="BR804" s="0" t="s">
        <v>3608</v>
      </c>
      <c r="BS804" s="0" t="s">
        <v>228</v>
      </c>
      <c r="BT804" s="0" t="s">
        <v>3670</v>
      </c>
      <c r="CS804" s="0" t="s">
        <v>3628</v>
      </c>
      <c r="CT804" s="0" t="s">
        <v>3568</v>
      </c>
      <c r="CU804" s="0" t="s">
        <v>3569</v>
      </c>
      <c r="CV804" s="0" t="s">
        <v>4030</v>
      </c>
      <c r="CW804" s="0" t="s">
        <v>4031</v>
      </c>
      <c r="CX804" s="0" t="s">
        <v>3603</v>
      </c>
      <c r="CY804" s="0" t="s">
        <v>4030</v>
      </c>
      <c r="CZ804" s="0" t="s">
        <v>5138</v>
      </c>
      <c r="DA804" s="0" t="s">
        <v>4032</v>
      </c>
      <c r="DB804" s="0" t="s">
        <v>4031</v>
      </c>
      <c r="DC804" s="0" t="s">
        <v>362</v>
      </c>
      <c r="DD804" s="0" t="s">
        <v>282</v>
      </c>
      <c r="DE804" s="0" t="s">
        <v>5216</v>
      </c>
    </row>
    <row customHeight="1" ht="11.25">
      <c r="A805" s="1353" t="s">
        <v>228</v>
      </c>
      <c r="B805" s="0" t="s">
        <v>228</v>
      </c>
      <c r="C805" s="0" t="s">
        <v>228</v>
      </c>
      <c r="D805" s="0" t="s">
        <v>228</v>
      </c>
      <c r="E805" s="0" t="s">
        <v>228</v>
      </c>
      <c r="F805" s="0" t="s">
        <v>228</v>
      </c>
      <c r="G805" s="0" t="s">
        <v>228</v>
      </c>
      <c r="H805" s="0" t="s">
        <v>228</v>
      </c>
      <c r="I805" s="0" t="s">
        <v>5119</v>
      </c>
      <c r="J805" s="0" t="s">
        <v>228</v>
      </c>
      <c r="K805" s="0" t="s">
        <v>228</v>
      </c>
      <c r="L805" s="0" t="s">
        <v>228</v>
      </c>
      <c r="M805" s="0" t="s">
        <v>228</v>
      </c>
      <c r="N805" s="0" t="s">
        <v>228</v>
      </c>
      <c r="O805" s="0" t="s">
        <v>228</v>
      </c>
      <c r="P805" s="0" t="s">
        <v>228</v>
      </c>
      <c r="Q805" s="0" t="s">
        <v>228</v>
      </c>
      <c r="R805" s="0" t="s">
        <v>5488</v>
      </c>
      <c r="S805" s="0" t="s">
        <v>228</v>
      </c>
      <c r="T805" s="0" t="s">
        <v>228</v>
      </c>
      <c r="U805" s="0" t="s">
        <v>101</v>
      </c>
      <c r="V805" s="0" t="s">
        <v>228</v>
      </c>
      <c r="W805" s="0" t="s">
        <v>228</v>
      </c>
      <c r="X805" s="0" t="s">
        <v>3661</v>
      </c>
      <c r="Y805" s="0" t="s">
        <v>228</v>
      </c>
      <c r="Z805" s="0" t="s">
        <v>151</v>
      </c>
      <c r="AA805" s="0" t="s">
        <v>151</v>
      </c>
      <c r="AB805" s="0" t="s">
        <v>160</v>
      </c>
      <c r="AC805" s="0" t="s">
        <v>2317</v>
      </c>
      <c r="AD805" s="0" t="s">
        <v>2317</v>
      </c>
      <c r="AE805" s="0" t="s">
        <v>2318</v>
      </c>
      <c r="AF805" s="0" t="s">
        <v>3804</v>
      </c>
      <c r="AG805" s="0" t="s">
        <v>3805</v>
      </c>
      <c r="AH805" s="0" t="s">
        <v>3651</v>
      </c>
      <c r="AI805" s="0" t="s">
        <v>3651</v>
      </c>
      <c r="AJ805" s="0" t="s">
        <v>228</v>
      </c>
      <c r="AK805" s="0" t="s">
        <v>228</v>
      </c>
      <c r="AL805" s="0" t="s">
        <v>228</v>
      </c>
      <c r="AN805" s="0" t="s">
        <v>228</v>
      </c>
      <c r="AO805" s="0" t="s">
        <v>228</v>
      </c>
      <c r="AP805" s="0" t="s">
        <v>228</v>
      </c>
      <c r="AQ805" s="0" t="s">
        <v>228</v>
      </c>
      <c r="AR805" s="0" t="s">
        <v>228</v>
      </c>
      <c r="AS805" s="0" t="s">
        <v>228</v>
      </c>
      <c r="AT805" s="0" t="s">
        <v>228</v>
      </c>
      <c r="AU805" s="0" t="s">
        <v>228</v>
      </c>
      <c r="AV805" s="0" t="s">
        <v>228</v>
      </c>
      <c r="AW805" s="0" t="s">
        <v>228</v>
      </c>
      <c r="AX805" s="0" t="s">
        <v>228</v>
      </c>
      <c r="AY805" s="0" t="s">
        <v>228</v>
      </c>
      <c r="AZ805" s="0" t="s">
        <v>228</v>
      </c>
      <c r="BA805" s="0" t="s">
        <v>228</v>
      </c>
      <c r="BB805" s="0" t="s">
        <v>228</v>
      </c>
      <c r="BC805" s="0" t="s">
        <v>228</v>
      </c>
      <c r="BD805" s="0" t="s">
        <v>228</v>
      </c>
      <c r="BE805" s="0" t="s">
        <v>3580</v>
      </c>
      <c r="BF805" s="0" t="s">
        <v>3853</v>
      </c>
      <c r="BG805" s="0" t="s">
        <v>111</v>
      </c>
      <c r="BH805" s="0" t="s">
        <v>3665</v>
      </c>
      <c r="BI805" s="0" t="s">
        <v>122</v>
      </c>
      <c r="BJ805" s="0" t="s">
        <v>228</v>
      </c>
      <c r="BK805" s="0" t="s">
        <v>228</v>
      </c>
      <c r="BL805" s="0" t="s">
        <v>2317</v>
      </c>
      <c r="BM805" s="0" t="s">
        <v>2317</v>
      </c>
      <c r="BN805" s="0" t="s">
        <v>3740</v>
      </c>
      <c r="BO805" s="0" t="s">
        <v>3804</v>
      </c>
      <c r="BP805" s="0" t="s">
        <v>4125</v>
      </c>
      <c r="BQ805" s="0" t="s">
        <v>3651</v>
      </c>
      <c r="BR805" s="0" t="s">
        <v>3651</v>
      </c>
      <c r="BS805" s="0" t="s">
        <v>228</v>
      </c>
      <c r="BT805" s="0" t="s">
        <v>3727</v>
      </c>
      <c r="CS805" s="0" t="s">
        <v>5243</v>
      </c>
      <c r="CT805" s="0" t="s">
        <v>3568</v>
      </c>
      <c r="CU805" s="0" t="s">
        <v>3569</v>
      </c>
      <c r="CV805" s="0" t="s">
        <v>418</v>
      </c>
      <c r="CW805" s="0" t="s">
        <v>3622</v>
      </c>
      <c r="CX805" s="0" t="s">
        <v>419</v>
      </c>
      <c r="CY805" s="0" t="s">
        <v>418</v>
      </c>
      <c r="CZ805" s="0" t="s">
        <v>3623</v>
      </c>
      <c r="DA805" s="0" t="s">
        <v>3624</v>
      </c>
      <c r="DB805" s="0" t="s">
        <v>3622</v>
      </c>
      <c r="DC805" s="0" t="s">
        <v>362</v>
      </c>
      <c r="DD805" s="0" t="s">
        <v>282</v>
      </c>
      <c r="DE805" s="0" t="s">
        <v>4127</v>
      </c>
    </row>
    <row customHeight="1" ht="11.25">
      <c r="A806" s="1353" t="s">
        <v>228</v>
      </c>
      <c r="B806" s="0" t="s">
        <v>228</v>
      </c>
      <c r="C806" s="0" t="s">
        <v>228</v>
      </c>
      <c r="D806" s="0" t="s">
        <v>228</v>
      </c>
      <c r="E806" s="0" t="s">
        <v>228</v>
      </c>
      <c r="F806" s="0" t="s">
        <v>228</v>
      </c>
      <c r="G806" s="0" t="s">
        <v>228</v>
      </c>
      <c r="H806" s="0" t="s">
        <v>228</v>
      </c>
      <c r="I806" s="0" t="s">
        <v>5119</v>
      </c>
      <c r="J806" s="0" t="s">
        <v>228</v>
      </c>
      <c r="K806" s="0" t="s">
        <v>228</v>
      </c>
      <c r="L806" s="0" t="s">
        <v>228</v>
      </c>
      <c r="M806" s="0" t="s">
        <v>228</v>
      </c>
      <c r="N806" s="0" t="s">
        <v>228</v>
      </c>
      <c r="O806" s="0" t="s">
        <v>228</v>
      </c>
      <c r="P806" s="0" t="s">
        <v>228</v>
      </c>
      <c r="Q806" s="0" t="s">
        <v>228</v>
      </c>
      <c r="R806" s="0" t="s">
        <v>5489</v>
      </c>
      <c r="S806" s="0" t="s">
        <v>228</v>
      </c>
      <c r="T806" s="0" t="s">
        <v>228</v>
      </c>
      <c r="U806" s="0" t="s">
        <v>101</v>
      </c>
      <c r="V806" s="0" t="s">
        <v>228</v>
      </c>
      <c r="W806" s="0" t="s">
        <v>228</v>
      </c>
      <c r="X806" s="0" t="s">
        <v>3661</v>
      </c>
      <c r="Y806" s="0" t="s">
        <v>228</v>
      </c>
      <c r="Z806" s="0" t="s">
        <v>151</v>
      </c>
      <c r="AA806" s="0" t="s">
        <v>151</v>
      </c>
      <c r="AB806" s="0" t="s">
        <v>160</v>
      </c>
      <c r="AC806" s="0" t="s">
        <v>2317</v>
      </c>
      <c r="AD806" s="0" t="s">
        <v>2317</v>
      </c>
      <c r="AE806" s="0" t="s">
        <v>2318</v>
      </c>
      <c r="AF806" s="0" t="s">
        <v>3923</v>
      </c>
      <c r="AG806" s="0" t="s">
        <v>3924</v>
      </c>
      <c r="AH806" s="0" t="s">
        <v>3651</v>
      </c>
      <c r="AI806" s="0" t="s">
        <v>3651</v>
      </c>
      <c r="AJ806" s="0" t="s">
        <v>228</v>
      </c>
      <c r="AK806" s="0" t="s">
        <v>228</v>
      </c>
      <c r="AL806" s="0" t="s">
        <v>228</v>
      </c>
      <c r="AN806" s="0" t="s">
        <v>228</v>
      </c>
      <c r="AO806" s="0" t="s">
        <v>228</v>
      </c>
      <c r="AP806" s="0" t="s">
        <v>228</v>
      </c>
      <c r="AQ806" s="0" t="s">
        <v>228</v>
      </c>
      <c r="AR806" s="0" t="s">
        <v>228</v>
      </c>
      <c r="AS806" s="0" t="s">
        <v>228</v>
      </c>
      <c r="AT806" s="0" t="s">
        <v>228</v>
      </c>
      <c r="AU806" s="0" t="s">
        <v>228</v>
      </c>
      <c r="AV806" s="0" t="s">
        <v>228</v>
      </c>
      <c r="AW806" s="0" t="s">
        <v>228</v>
      </c>
      <c r="AX806" s="0" t="s">
        <v>228</v>
      </c>
      <c r="AY806" s="0" t="s">
        <v>228</v>
      </c>
      <c r="AZ806" s="0" t="s">
        <v>228</v>
      </c>
      <c r="BA806" s="0" t="s">
        <v>228</v>
      </c>
      <c r="BB806" s="0" t="s">
        <v>228</v>
      </c>
      <c r="BC806" s="0" t="s">
        <v>228</v>
      </c>
      <c r="BD806" s="0" t="s">
        <v>228</v>
      </c>
      <c r="BE806" s="0" t="s">
        <v>3619</v>
      </c>
      <c r="BF806" s="0" t="s">
        <v>3749</v>
      </c>
      <c r="BG806" s="0" t="s">
        <v>111</v>
      </c>
      <c r="BH806" s="0" t="s">
        <v>3665</v>
      </c>
      <c r="BI806" s="0" t="s">
        <v>122</v>
      </c>
      <c r="BJ806" s="0" t="s">
        <v>228</v>
      </c>
      <c r="BK806" s="0" t="s">
        <v>228</v>
      </c>
      <c r="BL806" s="0" t="s">
        <v>2317</v>
      </c>
      <c r="BM806" s="0" t="s">
        <v>2317</v>
      </c>
      <c r="BN806" s="0" t="s">
        <v>3740</v>
      </c>
      <c r="BO806" s="0" t="s">
        <v>3923</v>
      </c>
      <c r="BP806" s="0" t="s">
        <v>4397</v>
      </c>
      <c r="BQ806" s="0" t="s">
        <v>3651</v>
      </c>
      <c r="BR806" s="0" t="s">
        <v>3651</v>
      </c>
      <c r="BS806" s="0" t="s">
        <v>228</v>
      </c>
      <c r="BT806" s="0" t="s">
        <v>3727</v>
      </c>
      <c r="CS806" s="0" t="s">
        <v>5243</v>
      </c>
      <c r="CT806" s="0" t="s">
        <v>3568</v>
      </c>
      <c r="CU806" s="0" t="s">
        <v>3569</v>
      </c>
      <c r="CV806" s="0" t="s">
        <v>418</v>
      </c>
      <c r="CW806" s="0" t="s">
        <v>3622</v>
      </c>
      <c r="CX806" s="0" t="s">
        <v>419</v>
      </c>
      <c r="CY806" s="0" t="s">
        <v>418</v>
      </c>
      <c r="CZ806" s="0" t="s">
        <v>3623</v>
      </c>
      <c r="DA806" s="0" t="s">
        <v>3624</v>
      </c>
      <c r="DB806" s="0" t="s">
        <v>3622</v>
      </c>
      <c r="DC806" s="0" t="s">
        <v>362</v>
      </c>
      <c r="DD806" s="0" t="s">
        <v>282</v>
      </c>
      <c r="DE806" s="0" t="s">
        <v>4399</v>
      </c>
    </row>
    <row customHeight="1" ht="11.25">
      <c r="A807" s="1353" t="s">
        <v>228</v>
      </c>
      <c r="B807" s="0" t="s">
        <v>228</v>
      </c>
      <c r="C807" s="0" t="s">
        <v>228</v>
      </c>
      <c r="D807" s="0" t="s">
        <v>228</v>
      </c>
      <c r="E807" s="0" t="s">
        <v>228</v>
      </c>
      <c r="F807" s="0" t="s">
        <v>228</v>
      </c>
      <c r="G807" s="0" t="s">
        <v>228</v>
      </c>
      <c r="H807" s="0" t="s">
        <v>228</v>
      </c>
      <c r="I807" s="0" t="s">
        <v>5119</v>
      </c>
      <c r="J807" s="0" t="s">
        <v>228</v>
      </c>
      <c r="K807" s="0" t="s">
        <v>228</v>
      </c>
      <c r="L807" s="0" t="s">
        <v>228</v>
      </c>
      <c r="M807" s="0" t="s">
        <v>228</v>
      </c>
      <c r="N807" s="0" t="s">
        <v>228</v>
      </c>
      <c r="O807" s="0" t="s">
        <v>228</v>
      </c>
      <c r="P807" s="0" t="s">
        <v>228</v>
      </c>
      <c r="Q807" s="0" t="s">
        <v>228</v>
      </c>
      <c r="R807" s="0" t="s">
        <v>5244</v>
      </c>
      <c r="S807" s="0" t="s">
        <v>228</v>
      </c>
      <c r="T807" s="0" t="s">
        <v>228</v>
      </c>
      <c r="U807" s="0" t="s">
        <v>101</v>
      </c>
      <c r="V807" s="0" t="s">
        <v>228</v>
      </c>
      <c r="W807" s="0" t="s">
        <v>228</v>
      </c>
      <c r="X807" s="0" t="s">
        <v>5121</v>
      </c>
      <c r="Y807" s="0" t="s">
        <v>228</v>
      </c>
      <c r="Z807" s="0" t="s">
        <v>160</v>
      </c>
      <c r="AA807" s="0" t="s">
        <v>151</v>
      </c>
      <c r="AB807" s="0" t="s">
        <v>151</v>
      </c>
      <c r="AC807" s="0" t="s">
        <v>2315</v>
      </c>
      <c r="AD807" s="0" t="s">
        <v>2315</v>
      </c>
      <c r="AE807" s="0" t="s">
        <v>2316</v>
      </c>
      <c r="AF807" s="0" t="s">
        <v>4058</v>
      </c>
      <c r="AG807" s="0" t="s">
        <v>4059</v>
      </c>
      <c r="AH807" s="0" t="s">
        <v>5245</v>
      </c>
      <c r="AI807" s="0" t="s">
        <v>3651</v>
      </c>
      <c r="AJ807" s="0" t="s">
        <v>5243</v>
      </c>
      <c r="AK807" s="0" t="s">
        <v>5246</v>
      </c>
      <c r="AL807" s="0" t="s">
        <v>5125</v>
      </c>
      <c r="AN807" s="0" t="s">
        <v>3563</v>
      </c>
      <c r="AO807" s="0" t="s">
        <v>5247</v>
      </c>
      <c r="AP807" s="0" t="s">
        <v>228</v>
      </c>
      <c r="AQ807" s="0" t="s">
        <v>228</v>
      </c>
      <c r="AR807" s="0" t="s">
        <v>228</v>
      </c>
      <c r="AS807" s="0" t="s">
        <v>228</v>
      </c>
      <c r="AT807" s="0" t="s">
        <v>228</v>
      </c>
      <c r="AU807" s="0" t="s">
        <v>228</v>
      </c>
      <c r="AV807" s="0" t="s">
        <v>228</v>
      </c>
      <c r="AW807" s="0" t="s">
        <v>228</v>
      </c>
      <c r="AX807" s="0" t="s">
        <v>228</v>
      </c>
      <c r="AY807" s="0" t="s">
        <v>228</v>
      </c>
      <c r="AZ807" s="0" t="s">
        <v>228</v>
      </c>
      <c r="BA807" s="0" t="s">
        <v>228</v>
      </c>
      <c r="BB807" s="0" t="s">
        <v>228</v>
      </c>
      <c r="BC807" s="0" t="s">
        <v>228</v>
      </c>
      <c r="BD807" s="0" t="s">
        <v>228</v>
      </c>
      <c r="BE807" s="0" t="s">
        <v>228</v>
      </c>
      <c r="BF807" s="0" t="s">
        <v>228</v>
      </c>
      <c r="BG807" s="0" t="s">
        <v>228</v>
      </c>
      <c r="BH807" s="0" t="s">
        <v>228</v>
      </c>
      <c r="BI807" s="0" t="s">
        <v>228</v>
      </c>
      <c r="BJ807" s="0" t="s">
        <v>228</v>
      </c>
      <c r="BK807" s="0" t="s">
        <v>228</v>
      </c>
      <c r="BL807" s="0" t="s">
        <v>228</v>
      </c>
      <c r="BM807" s="0" t="s">
        <v>228</v>
      </c>
      <c r="BN807" s="0" t="s">
        <v>228</v>
      </c>
      <c r="BO807" s="0" t="s">
        <v>228</v>
      </c>
      <c r="BP807" s="0" t="s">
        <v>228</v>
      </c>
      <c r="BQ807" s="0" t="s">
        <v>228</v>
      </c>
      <c r="BR807" s="0" t="s">
        <v>228</v>
      </c>
      <c r="BS807" s="0" t="s">
        <v>228</v>
      </c>
      <c r="BT807" s="0" t="s">
        <v>228</v>
      </c>
      <c r="CS807" s="0" t="s">
        <v>228</v>
      </c>
      <c r="CT807" s="0" t="s">
        <v>3568</v>
      </c>
      <c r="CU807" s="0" t="s">
        <v>3569</v>
      </c>
      <c r="CV807" s="0" t="s">
        <v>418</v>
      </c>
      <c r="CW807" s="0" t="s">
        <v>3656</v>
      </c>
      <c r="CX807" s="0" t="s">
        <v>419</v>
      </c>
      <c r="CY807" s="0" t="s">
        <v>418</v>
      </c>
      <c r="CZ807" s="0" t="s">
        <v>3657</v>
      </c>
      <c r="DA807" s="0" t="s">
        <v>3658</v>
      </c>
      <c r="DB807" s="0" t="s">
        <v>3656</v>
      </c>
      <c r="DC807" s="0" t="s">
        <v>362</v>
      </c>
      <c r="DD807" s="0" t="s">
        <v>282</v>
      </c>
      <c r="DE807" s="0" t="s">
        <v>5248</v>
      </c>
    </row>
    <row customHeight="1" ht="11.25">
      <c r="A808" s="1353" t="s">
        <v>228</v>
      </c>
      <c r="B808" s="0" t="s">
        <v>228</v>
      </c>
      <c r="C808" s="0" t="s">
        <v>228</v>
      </c>
      <c r="D808" s="0" t="s">
        <v>228</v>
      </c>
      <c r="E808" s="0" t="s">
        <v>228</v>
      </c>
      <c r="F808" s="0" t="s">
        <v>228</v>
      </c>
      <c r="G808" s="0" t="s">
        <v>228</v>
      </c>
      <c r="H808" s="0" t="s">
        <v>228</v>
      </c>
      <c r="I808" s="0" t="s">
        <v>5119</v>
      </c>
      <c r="J808" s="0" t="s">
        <v>228</v>
      </c>
      <c r="K808" s="0" t="s">
        <v>228</v>
      </c>
      <c r="L808" s="0" t="s">
        <v>228</v>
      </c>
      <c r="M808" s="0" t="s">
        <v>228</v>
      </c>
      <c r="N808" s="0" t="s">
        <v>228</v>
      </c>
      <c r="O808" s="0" t="s">
        <v>228</v>
      </c>
      <c r="P808" s="0" t="s">
        <v>228</v>
      </c>
      <c r="Q808" s="0" t="s">
        <v>228</v>
      </c>
      <c r="R808" s="0" t="s">
        <v>5249</v>
      </c>
      <c r="S808" s="0" t="s">
        <v>228</v>
      </c>
      <c r="T808" s="0" t="s">
        <v>228</v>
      </c>
      <c r="U808" s="0" t="s">
        <v>101</v>
      </c>
      <c r="V808" s="0" t="s">
        <v>228</v>
      </c>
      <c r="W808" s="0" t="s">
        <v>228</v>
      </c>
      <c r="X808" s="0" t="s">
        <v>5121</v>
      </c>
      <c r="Y808" s="0" t="s">
        <v>228</v>
      </c>
      <c r="Z808" s="0" t="s">
        <v>160</v>
      </c>
      <c r="AA808" s="0" t="s">
        <v>151</v>
      </c>
      <c r="AB808" s="0" t="s">
        <v>151</v>
      </c>
      <c r="AC808" s="0" t="s">
        <v>2315</v>
      </c>
      <c r="AD808" s="0" t="s">
        <v>2315</v>
      </c>
      <c r="AE808" s="0" t="s">
        <v>2316</v>
      </c>
      <c r="AF808" s="0" t="s">
        <v>4058</v>
      </c>
      <c r="AG808" s="0" t="s">
        <v>4059</v>
      </c>
      <c r="AH808" s="0" t="s">
        <v>5238</v>
      </c>
      <c r="AI808" s="0" t="s">
        <v>3651</v>
      </c>
      <c r="AJ808" s="0" t="s">
        <v>5250</v>
      </c>
      <c r="AK808" s="0" t="s">
        <v>3808</v>
      </c>
      <c r="AL808" s="0" t="s">
        <v>5125</v>
      </c>
      <c r="AN808" s="0" t="s">
        <v>3563</v>
      </c>
      <c r="AO808" s="0" t="s">
        <v>5251</v>
      </c>
      <c r="AP808" s="0" t="s">
        <v>228</v>
      </c>
      <c r="AQ808" s="0" t="s">
        <v>228</v>
      </c>
      <c r="AR808" s="0" t="s">
        <v>228</v>
      </c>
      <c r="AS808" s="0" t="s">
        <v>228</v>
      </c>
      <c r="AT808" s="0" t="s">
        <v>228</v>
      </c>
      <c r="AU808" s="0" t="s">
        <v>228</v>
      </c>
      <c r="AV808" s="0" t="s">
        <v>228</v>
      </c>
      <c r="AW808" s="0" t="s">
        <v>228</v>
      </c>
      <c r="AX808" s="0" t="s">
        <v>228</v>
      </c>
      <c r="AY808" s="0" t="s">
        <v>228</v>
      </c>
      <c r="AZ808" s="0" t="s">
        <v>228</v>
      </c>
      <c r="BA808" s="0" t="s">
        <v>228</v>
      </c>
      <c r="BB808" s="0" t="s">
        <v>228</v>
      </c>
      <c r="BC808" s="0" t="s">
        <v>228</v>
      </c>
      <c r="BD808" s="0" t="s">
        <v>228</v>
      </c>
      <c r="BE808" s="0" t="s">
        <v>228</v>
      </c>
      <c r="BF808" s="0" t="s">
        <v>228</v>
      </c>
      <c r="BG808" s="0" t="s">
        <v>228</v>
      </c>
      <c r="BH808" s="0" t="s">
        <v>228</v>
      </c>
      <c r="BI808" s="0" t="s">
        <v>228</v>
      </c>
      <c r="BJ808" s="0" t="s">
        <v>228</v>
      </c>
      <c r="BK808" s="0" t="s">
        <v>228</v>
      </c>
      <c r="BL808" s="0" t="s">
        <v>228</v>
      </c>
      <c r="BM808" s="0" t="s">
        <v>228</v>
      </c>
      <c r="BN808" s="0" t="s">
        <v>228</v>
      </c>
      <c r="BO808" s="0" t="s">
        <v>228</v>
      </c>
      <c r="BP808" s="0" t="s">
        <v>228</v>
      </c>
      <c r="BQ808" s="0" t="s">
        <v>228</v>
      </c>
      <c r="BR808" s="0" t="s">
        <v>228</v>
      </c>
      <c r="BS808" s="0" t="s">
        <v>228</v>
      </c>
      <c r="BT808" s="0" t="s">
        <v>228</v>
      </c>
      <c r="CS808" s="0" t="s">
        <v>228</v>
      </c>
      <c r="CT808" s="0" t="s">
        <v>3568</v>
      </c>
      <c r="CU808" s="0" t="s">
        <v>3569</v>
      </c>
      <c r="CV808" s="0" t="s">
        <v>418</v>
      </c>
      <c r="CW808" s="0" t="s">
        <v>3656</v>
      </c>
      <c r="CX808" s="0" t="s">
        <v>419</v>
      </c>
      <c r="CY808" s="0" t="s">
        <v>418</v>
      </c>
      <c r="CZ808" s="0" t="s">
        <v>3657</v>
      </c>
      <c r="DA808" s="0" t="s">
        <v>3658</v>
      </c>
      <c r="DB808" s="0" t="s">
        <v>3656</v>
      </c>
      <c r="DC808" s="0" t="s">
        <v>362</v>
      </c>
      <c r="DD808" s="0" t="s">
        <v>282</v>
      </c>
      <c r="DE808" s="0" t="s">
        <v>5252</v>
      </c>
    </row>
    <row customHeight="1" ht="11.25">
      <c r="A809" s="1353" t="s">
        <v>228</v>
      </c>
      <c r="B809" s="0" t="s">
        <v>228</v>
      </c>
      <c r="C809" s="0" t="s">
        <v>228</v>
      </c>
      <c r="D809" s="0" t="s">
        <v>228</v>
      </c>
      <c r="E809" s="0" t="s">
        <v>228</v>
      </c>
      <c r="F809" s="0" t="s">
        <v>228</v>
      </c>
      <c r="G809" s="0" t="s">
        <v>228</v>
      </c>
      <c r="H809" s="0" t="s">
        <v>228</v>
      </c>
      <c r="I809" s="0" t="s">
        <v>5119</v>
      </c>
      <c r="J809" s="0" t="s">
        <v>228</v>
      </c>
      <c r="K809" s="0" t="s">
        <v>228</v>
      </c>
      <c r="L809" s="0" t="s">
        <v>228</v>
      </c>
      <c r="M809" s="0" t="s">
        <v>228</v>
      </c>
      <c r="N809" s="0" t="s">
        <v>228</v>
      </c>
      <c r="O809" s="0" t="s">
        <v>228</v>
      </c>
      <c r="P809" s="0" t="s">
        <v>228</v>
      </c>
      <c r="Q809" s="0" t="s">
        <v>228</v>
      </c>
      <c r="R809" s="0" t="s">
        <v>5273</v>
      </c>
      <c r="S809" s="0" t="s">
        <v>228</v>
      </c>
      <c r="T809" s="0" t="s">
        <v>228</v>
      </c>
      <c r="U809" s="0" t="s">
        <v>101</v>
      </c>
      <c r="V809" s="0" t="s">
        <v>228</v>
      </c>
      <c r="W809" s="0" t="s">
        <v>228</v>
      </c>
      <c r="X809" s="0" t="s">
        <v>5121</v>
      </c>
      <c r="Y809" s="0" t="s">
        <v>228</v>
      </c>
      <c r="Z809" s="0" t="s">
        <v>160</v>
      </c>
      <c r="AA809" s="0" t="s">
        <v>151</v>
      </c>
      <c r="AB809" s="0" t="s">
        <v>151</v>
      </c>
      <c r="AC809" s="0" t="s">
        <v>2315</v>
      </c>
      <c r="AD809" s="0" t="s">
        <v>2315</v>
      </c>
      <c r="AE809" s="0" t="s">
        <v>2316</v>
      </c>
      <c r="AF809" s="0" t="s">
        <v>4058</v>
      </c>
      <c r="AG809" s="0" t="s">
        <v>4059</v>
      </c>
      <c r="AH809" s="0" t="s">
        <v>5274</v>
      </c>
      <c r="AI809" s="0" t="s">
        <v>3651</v>
      </c>
      <c r="AJ809" s="0" t="s">
        <v>5250</v>
      </c>
      <c r="AK809" s="0" t="s">
        <v>5270</v>
      </c>
      <c r="AL809" s="0" t="s">
        <v>5125</v>
      </c>
      <c r="AN809" s="0" t="s">
        <v>3582</v>
      </c>
      <c r="AO809" s="0" t="s">
        <v>5275</v>
      </c>
      <c r="AP809" s="0" t="s">
        <v>228</v>
      </c>
      <c r="AQ809" s="0" t="s">
        <v>228</v>
      </c>
      <c r="AR809" s="0" t="s">
        <v>228</v>
      </c>
      <c r="AS809" s="0" t="s">
        <v>228</v>
      </c>
      <c r="AT809" s="0" t="s">
        <v>228</v>
      </c>
      <c r="AU809" s="0" t="s">
        <v>228</v>
      </c>
      <c r="AV809" s="0" t="s">
        <v>228</v>
      </c>
      <c r="AW809" s="0" t="s">
        <v>228</v>
      </c>
      <c r="AX809" s="0" t="s">
        <v>228</v>
      </c>
      <c r="AY809" s="0" t="s">
        <v>228</v>
      </c>
      <c r="AZ809" s="0" t="s">
        <v>228</v>
      </c>
      <c r="BA809" s="0" t="s">
        <v>228</v>
      </c>
      <c r="BB809" s="0" t="s">
        <v>228</v>
      </c>
      <c r="BC809" s="0" t="s">
        <v>228</v>
      </c>
      <c r="BD809" s="0" t="s">
        <v>228</v>
      </c>
      <c r="BE809" s="0" t="s">
        <v>228</v>
      </c>
      <c r="BF809" s="0" t="s">
        <v>228</v>
      </c>
      <c r="BG809" s="0" t="s">
        <v>228</v>
      </c>
      <c r="BH809" s="0" t="s">
        <v>228</v>
      </c>
      <c r="BI809" s="0" t="s">
        <v>228</v>
      </c>
      <c r="BJ809" s="0" t="s">
        <v>228</v>
      </c>
      <c r="BK809" s="0" t="s">
        <v>228</v>
      </c>
      <c r="BL809" s="0" t="s">
        <v>228</v>
      </c>
      <c r="BM809" s="0" t="s">
        <v>228</v>
      </c>
      <c r="BN809" s="0" t="s">
        <v>228</v>
      </c>
      <c r="BO809" s="0" t="s">
        <v>228</v>
      </c>
      <c r="BP809" s="0" t="s">
        <v>228</v>
      </c>
      <c r="BQ809" s="0" t="s">
        <v>228</v>
      </c>
      <c r="BR809" s="0" t="s">
        <v>228</v>
      </c>
      <c r="BS809" s="0" t="s">
        <v>228</v>
      </c>
      <c r="BT809" s="0" t="s">
        <v>228</v>
      </c>
      <c r="CS809" s="0" t="s">
        <v>228</v>
      </c>
      <c r="CT809" s="0" t="s">
        <v>3568</v>
      </c>
      <c r="CU809" s="0" t="s">
        <v>3569</v>
      </c>
      <c r="CV809" s="0" t="s">
        <v>418</v>
      </c>
      <c r="CW809" s="0" t="s">
        <v>3656</v>
      </c>
      <c r="CX809" s="0" t="s">
        <v>419</v>
      </c>
      <c r="CY809" s="0" t="s">
        <v>418</v>
      </c>
      <c r="CZ809" s="0" t="s">
        <v>3657</v>
      </c>
      <c r="DA809" s="0" t="s">
        <v>3658</v>
      </c>
      <c r="DB809" s="0" t="s">
        <v>3656</v>
      </c>
      <c r="DC809" s="0" t="s">
        <v>362</v>
      </c>
      <c r="DD809" s="0" t="s">
        <v>282</v>
      </c>
      <c r="DE809" s="0" t="s">
        <v>5276</v>
      </c>
    </row>
    <row customHeight="1" ht="11.25">
      <c r="A810" s="1353" t="s">
        <v>228</v>
      </c>
      <c r="B810" s="0" t="s">
        <v>228</v>
      </c>
      <c r="C810" s="0" t="s">
        <v>228</v>
      </c>
      <c r="D810" s="0" t="s">
        <v>228</v>
      </c>
      <c r="E810" s="0" t="s">
        <v>228</v>
      </c>
      <c r="F810" s="0" t="s">
        <v>228</v>
      </c>
      <c r="G810" s="0" t="s">
        <v>228</v>
      </c>
      <c r="H810" s="0" t="s">
        <v>228</v>
      </c>
      <c r="I810" s="0" t="s">
        <v>5119</v>
      </c>
      <c r="J810" s="0" t="s">
        <v>228</v>
      </c>
      <c r="K810" s="0" t="s">
        <v>228</v>
      </c>
      <c r="L810" s="0" t="s">
        <v>228</v>
      </c>
      <c r="M810" s="0" t="s">
        <v>228</v>
      </c>
      <c r="N810" s="0" t="s">
        <v>228</v>
      </c>
      <c r="O810" s="0" t="s">
        <v>228</v>
      </c>
      <c r="P810" s="0" t="s">
        <v>228</v>
      </c>
      <c r="Q810" s="0" t="s">
        <v>228</v>
      </c>
      <c r="R810" s="0" t="s">
        <v>4945</v>
      </c>
      <c r="S810" s="0" t="s">
        <v>228</v>
      </c>
      <c r="T810" s="0" t="s">
        <v>228</v>
      </c>
      <c r="U810" s="0" t="s">
        <v>101</v>
      </c>
      <c r="V810" s="0" t="s">
        <v>228</v>
      </c>
      <c r="W810" s="0" t="s">
        <v>228</v>
      </c>
      <c r="X810" s="0" t="s">
        <v>3661</v>
      </c>
      <c r="Y810" s="0" t="s">
        <v>228</v>
      </c>
      <c r="Z810" s="0" t="s">
        <v>151</v>
      </c>
      <c r="AA810" s="0" t="s">
        <v>151</v>
      </c>
      <c r="AB810" s="0" t="s">
        <v>160</v>
      </c>
      <c r="AC810" s="0" t="s">
        <v>2721</v>
      </c>
      <c r="AD810" s="0" t="s">
        <v>2721</v>
      </c>
      <c r="AE810" s="0" t="s">
        <v>2722</v>
      </c>
      <c r="AF810" s="0" t="s">
        <v>4024</v>
      </c>
      <c r="AG810" s="0" t="s">
        <v>4025</v>
      </c>
      <c r="AH810" s="0" t="s">
        <v>4146</v>
      </c>
      <c r="AI810" s="0" t="s">
        <v>3608</v>
      </c>
      <c r="AJ810" s="0" t="s">
        <v>228</v>
      </c>
      <c r="AK810" s="0" t="s">
        <v>228</v>
      </c>
      <c r="AL810" s="0" t="s">
        <v>228</v>
      </c>
      <c r="AN810" s="0" t="s">
        <v>228</v>
      </c>
      <c r="AO810" s="0" t="s">
        <v>228</v>
      </c>
      <c r="AP810" s="0" t="s">
        <v>228</v>
      </c>
      <c r="AQ810" s="0" t="s">
        <v>228</v>
      </c>
      <c r="AR810" s="0" t="s">
        <v>228</v>
      </c>
      <c r="AS810" s="0" t="s">
        <v>228</v>
      </c>
      <c r="AT810" s="0" t="s">
        <v>228</v>
      </c>
      <c r="AU810" s="0" t="s">
        <v>228</v>
      </c>
      <c r="AV810" s="0" t="s">
        <v>228</v>
      </c>
      <c r="AW810" s="0" t="s">
        <v>228</v>
      </c>
      <c r="AX810" s="0" t="s">
        <v>228</v>
      </c>
      <c r="AY810" s="0" t="s">
        <v>228</v>
      </c>
      <c r="AZ810" s="0" t="s">
        <v>228</v>
      </c>
      <c r="BA810" s="0" t="s">
        <v>228</v>
      </c>
      <c r="BB810" s="0" t="s">
        <v>228</v>
      </c>
      <c r="BC810" s="0" t="s">
        <v>228</v>
      </c>
      <c r="BD810" s="0" t="s">
        <v>228</v>
      </c>
      <c r="BE810" s="0" t="s">
        <v>5253</v>
      </c>
      <c r="BF810" s="0" t="s">
        <v>5254</v>
      </c>
      <c r="BG810" s="0" t="s">
        <v>111</v>
      </c>
      <c r="BH810" s="0" t="s">
        <v>3665</v>
      </c>
      <c r="BI810" s="0" t="s">
        <v>122</v>
      </c>
      <c r="BJ810" s="0" t="s">
        <v>228</v>
      </c>
      <c r="BK810" s="0" t="s">
        <v>5255</v>
      </c>
      <c r="BL810" s="0" t="s">
        <v>2721</v>
      </c>
      <c r="BM810" s="0" t="s">
        <v>2721</v>
      </c>
      <c r="BN810" s="0" t="s">
        <v>4149</v>
      </c>
      <c r="BO810" s="0" t="s">
        <v>4024</v>
      </c>
      <c r="BP810" s="0" t="s">
        <v>4150</v>
      </c>
      <c r="BQ810" s="0" t="s">
        <v>4146</v>
      </c>
      <c r="BR810" s="0" t="s">
        <v>3608</v>
      </c>
      <c r="BS810" s="0" t="s">
        <v>228</v>
      </c>
      <c r="BT810" s="0" t="s">
        <v>3670</v>
      </c>
      <c r="CS810" s="0" t="s">
        <v>3628</v>
      </c>
      <c r="CT810" s="0" t="s">
        <v>3568</v>
      </c>
      <c r="CU810" s="0" t="s">
        <v>3569</v>
      </c>
      <c r="CV810" s="0" t="s">
        <v>4030</v>
      </c>
      <c r="CW810" s="0" t="s">
        <v>4031</v>
      </c>
      <c r="CX810" s="0" t="s">
        <v>3603</v>
      </c>
      <c r="CY810" s="0" t="s">
        <v>4030</v>
      </c>
      <c r="CZ810" s="0" t="s">
        <v>5138</v>
      </c>
      <c r="DA810" s="0" t="s">
        <v>4032</v>
      </c>
      <c r="DB810" s="0" t="s">
        <v>4031</v>
      </c>
      <c r="DC810" s="0" t="s">
        <v>362</v>
      </c>
      <c r="DD810" s="0" t="s">
        <v>282</v>
      </c>
      <c r="DE810" s="0" t="s">
        <v>5216</v>
      </c>
    </row>
    <row customHeight="1" ht="11.25">
      <c r="A811" s="1353" t="s">
        <v>228</v>
      </c>
      <c r="B811" s="0" t="s">
        <v>228</v>
      </c>
      <c r="C811" s="0" t="s">
        <v>228</v>
      </c>
      <c r="D811" s="0" t="s">
        <v>228</v>
      </c>
      <c r="E811" s="0" t="s">
        <v>228</v>
      </c>
      <c r="F811" s="0" t="s">
        <v>228</v>
      </c>
      <c r="G811" s="0" t="s">
        <v>228</v>
      </c>
      <c r="H811" s="0" t="s">
        <v>228</v>
      </c>
      <c r="I811" s="0" t="s">
        <v>5119</v>
      </c>
      <c r="J811" s="0" t="s">
        <v>228</v>
      </c>
      <c r="K811" s="0" t="s">
        <v>228</v>
      </c>
      <c r="L811" s="0" t="s">
        <v>228</v>
      </c>
      <c r="M811" s="0" t="s">
        <v>228</v>
      </c>
      <c r="N811" s="0" t="s">
        <v>228</v>
      </c>
      <c r="O811" s="0" t="s">
        <v>228</v>
      </c>
      <c r="P811" s="0" t="s">
        <v>228</v>
      </c>
      <c r="Q811" s="0" t="s">
        <v>228</v>
      </c>
      <c r="R811" s="0" t="s">
        <v>5516</v>
      </c>
      <c r="S811" s="0" t="s">
        <v>228</v>
      </c>
      <c r="T811" s="0" t="s">
        <v>228</v>
      </c>
      <c r="U811" s="0" t="s">
        <v>101</v>
      </c>
      <c r="V811" s="0" t="s">
        <v>228</v>
      </c>
      <c r="W811" s="0" t="s">
        <v>228</v>
      </c>
      <c r="X811" s="0" t="s">
        <v>3661</v>
      </c>
      <c r="Y811" s="0" t="s">
        <v>228</v>
      </c>
      <c r="Z811" s="0" t="s">
        <v>151</v>
      </c>
      <c r="AA811" s="0" t="s">
        <v>151</v>
      </c>
      <c r="AB811" s="0" t="s">
        <v>160</v>
      </c>
      <c r="AC811" s="0" t="s">
        <v>2317</v>
      </c>
      <c r="AD811" s="0" t="s">
        <v>2317</v>
      </c>
      <c r="AE811" s="0" t="s">
        <v>2318</v>
      </c>
      <c r="AF811" s="0" t="s">
        <v>4401</v>
      </c>
      <c r="AG811" s="0" t="s">
        <v>4402</v>
      </c>
      <c r="AH811" s="0" t="s">
        <v>3651</v>
      </c>
      <c r="AI811" s="0" t="s">
        <v>3651</v>
      </c>
      <c r="AJ811" s="0" t="s">
        <v>228</v>
      </c>
      <c r="AK811" s="0" t="s">
        <v>228</v>
      </c>
      <c r="AL811" s="0" t="s">
        <v>228</v>
      </c>
      <c r="AN811" s="0" t="s">
        <v>228</v>
      </c>
      <c r="AO811" s="0" t="s">
        <v>228</v>
      </c>
      <c r="AP811" s="0" t="s">
        <v>228</v>
      </c>
      <c r="AQ811" s="0" t="s">
        <v>228</v>
      </c>
      <c r="AR811" s="0" t="s">
        <v>228</v>
      </c>
      <c r="AS811" s="0" t="s">
        <v>228</v>
      </c>
      <c r="AT811" s="0" t="s">
        <v>228</v>
      </c>
      <c r="AU811" s="0" t="s">
        <v>228</v>
      </c>
      <c r="AV811" s="0" t="s">
        <v>228</v>
      </c>
      <c r="AW811" s="0" t="s">
        <v>228</v>
      </c>
      <c r="AX811" s="0" t="s">
        <v>228</v>
      </c>
      <c r="AY811" s="0" t="s">
        <v>228</v>
      </c>
      <c r="AZ811" s="0" t="s">
        <v>228</v>
      </c>
      <c r="BA811" s="0" t="s">
        <v>228</v>
      </c>
      <c r="BB811" s="0" t="s">
        <v>228</v>
      </c>
      <c r="BC811" s="0" t="s">
        <v>228</v>
      </c>
      <c r="BD811" s="0" t="s">
        <v>228</v>
      </c>
      <c r="BE811" s="0" t="s">
        <v>3853</v>
      </c>
      <c r="BF811" s="0" t="s">
        <v>3619</v>
      </c>
      <c r="BG811" s="0" t="s">
        <v>111</v>
      </c>
      <c r="BH811" s="0" t="s">
        <v>3665</v>
      </c>
      <c r="BI811" s="0" t="s">
        <v>122</v>
      </c>
      <c r="BJ811" s="0" t="s">
        <v>228</v>
      </c>
      <c r="BK811" s="0" t="s">
        <v>228</v>
      </c>
      <c r="BL811" s="0" t="s">
        <v>2317</v>
      </c>
      <c r="BM811" s="0" t="s">
        <v>2317</v>
      </c>
      <c r="BN811" s="0" t="s">
        <v>3740</v>
      </c>
      <c r="BO811" s="0" t="s">
        <v>4401</v>
      </c>
      <c r="BP811" s="0" t="s">
        <v>4660</v>
      </c>
      <c r="BQ811" s="0" t="s">
        <v>3651</v>
      </c>
      <c r="BR811" s="0" t="s">
        <v>3651</v>
      </c>
      <c r="BS811" s="0" t="s">
        <v>228</v>
      </c>
      <c r="BT811" s="0" t="s">
        <v>3727</v>
      </c>
      <c r="CS811" s="0" t="s">
        <v>5243</v>
      </c>
      <c r="CT811" s="0" t="s">
        <v>3568</v>
      </c>
      <c r="CU811" s="0" t="s">
        <v>3569</v>
      </c>
      <c r="CV811" s="0" t="s">
        <v>418</v>
      </c>
      <c r="CW811" s="0" t="s">
        <v>3622</v>
      </c>
      <c r="CX811" s="0" t="s">
        <v>419</v>
      </c>
      <c r="CY811" s="0" t="s">
        <v>418</v>
      </c>
      <c r="CZ811" s="0" t="s">
        <v>3623</v>
      </c>
      <c r="DA811" s="0" t="s">
        <v>3624</v>
      </c>
      <c r="DB811" s="0" t="s">
        <v>3622</v>
      </c>
      <c r="DC811" s="0" t="s">
        <v>362</v>
      </c>
      <c r="DD811" s="0" t="s">
        <v>282</v>
      </c>
      <c r="DE811" s="0" t="s">
        <v>4662</v>
      </c>
    </row>
    <row customHeight="1" ht="11.25">
      <c r="A812" s="1353" t="s">
        <v>228</v>
      </c>
      <c r="B812" s="0" t="s">
        <v>228</v>
      </c>
      <c r="C812" s="0" t="s">
        <v>228</v>
      </c>
      <c r="D812" s="0" t="s">
        <v>228</v>
      </c>
      <c r="E812" s="0" t="s">
        <v>228</v>
      </c>
      <c r="F812" s="0" t="s">
        <v>228</v>
      </c>
      <c r="G812" s="0" t="s">
        <v>228</v>
      </c>
      <c r="H812" s="0" t="s">
        <v>228</v>
      </c>
      <c r="I812" s="0" t="s">
        <v>5119</v>
      </c>
      <c r="J812" s="0" t="s">
        <v>228</v>
      </c>
      <c r="K812" s="0" t="s">
        <v>228</v>
      </c>
      <c r="L812" s="0" t="s">
        <v>228</v>
      </c>
      <c r="M812" s="0" t="s">
        <v>228</v>
      </c>
      <c r="N812" s="0" t="s">
        <v>228</v>
      </c>
      <c r="O812" s="0" t="s">
        <v>228</v>
      </c>
      <c r="P812" s="0" t="s">
        <v>228</v>
      </c>
      <c r="Q812" s="0" t="s">
        <v>228</v>
      </c>
      <c r="R812" s="0" t="s">
        <v>5527</v>
      </c>
      <c r="S812" s="0" t="s">
        <v>228</v>
      </c>
      <c r="T812" s="0" t="s">
        <v>228</v>
      </c>
      <c r="U812" s="0" t="s">
        <v>101</v>
      </c>
      <c r="V812" s="0" t="s">
        <v>228</v>
      </c>
      <c r="W812" s="0" t="s">
        <v>228</v>
      </c>
      <c r="X812" s="0" t="s">
        <v>3988</v>
      </c>
      <c r="Y812" s="0" t="s">
        <v>228</v>
      </c>
      <c r="Z812" s="0" t="s">
        <v>151</v>
      </c>
      <c r="AA812" s="0" t="s">
        <v>160</v>
      </c>
      <c r="AB812" s="0" t="s">
        <v>151</v>
      </c>
      <c r="AC812" s="0" t="s">
        <v>2315</v>
      </c>
      <c r="AD812" s="0" t="s">
        <v>2315</v>
      </c>
      <c r="AE812" s="0" t="s">
        <v>2316</v>
      </c>
      <c r="AF812" s="0" t="s">
        <v>4058</v>
      </c>
      <c r="AG812" s="0" t="s">
        <v>4059</v>
      </c>
      <c r="AH812" s="0" t="s">
        <v>3651</v>
      </c>
      <c r="AI812" s="0" t="s">
        <v>3651</v>
      </c>
      <c r="AJ812" s="0" t="s">
        <v>228</v>
      </c>
      <c r="AK812" s="0" t="s">
        <v>228</v>
      </c>
      <c r="AL812" s="0" t="s">
        <v>228</v>
      </c>
      <c r="AN812" s="0" t="s">
        <v>228</v>
      </c>
      <c r="AO812" s="0" t="s">
        <v>228</v>
      </c>
      <c r="AP812" s="0" t="s">
        <v>5241</v>
      </c>
      <c r="AQ812" s="0" t="s">
        <v>5242</v>
      </c>
      <c r="AR812" s="0" t="s">
        <v>111</v>
      </c>
      <c r="AS812" s="0" t="s">
        <v>3665</v>
      </c>
      <c r="AT812" s="0" t="s">
        <v>122</v>
      </c>
      <c r="AU812" s="0" t="s">
        <v>228</v>
      </c>
      <c r="AV812" s="0" t="s">
        <v>5527</v>
      </c>
      <c r="AW812" s="0" t="s">
        <v>2315</v>
      </c>
      <c r="AX812" s="0" t="s">
        <v>2315</v>
      </c>
      <c r="AY812" s="0" t="s">
        <v>3875</v>
      </c>
      <c r="AZ812" s="0" t="s">
        <v>4058</v>
      </c>
      <c r="BA812" s="0" t="s">
        <v>4249</v>
      </c>
      <c r="BB812" s="0" t="s">
        <v>228</v>
      </c>
      <c r="BC812" s="0" t="s">
        <v>228</v>
      </c>
      <c r="BD812" s="0" t="s">
        <v>3582</v>
      </c>
      <c r="BE812" s="0" t="s">
        <v>228</v>
      </c>
      <c r="BF812" s="0" t="s">
        <v>228</v>
      </c>
      <c r="BG812" s="0" t="s">
        <v>228</v>
      </c>
      <c r="BH812" s="0" t="s">
        <v>228</v>
      </c>
      <c r="BI812" s="0" t="s">
        <v>228</v>
      </c>
      <c r="BJ812" s="0" t="s">
        <v>228</v>
      </c>
      <c r="BK812" s="0" t="s">
        <v>228</v>
      </c>
      <c r="BL812" s="0" t="s">
        <v>228</v>
      </c>
      <c r="BM812" s="0" t="s">
        <v>228</v>
      </c>
      <c r="BN812" s="0" t="s">
        <v>228</v>
      </c>
      <c r="BO812" s="0" t="s">
        <v>228</v>
      </c>
      <c r="BP812" s="0" t="s">
        <v>228</v>
      </c>
      <c r="BQ812" s="0" t="s">
        <v>228</v>
      </c>
      <c r="BR812" s="0" t="s">
        <v>228</v>
      </c>
      <c r="BS812" s="0" t="s">
        <v>228</v>
      </c>
      <c r="BT812" s="0" t="s">
        <v>228</v>
      </c>
      <c r="CS812" s="0" t="s">
        <v>228</v>
      </c>
      <c r="CT812" s="0" t="s">
        <v>3568</v>
      </c>
      <c r="CU812" s="0" t="s">
        <v>3569</v>
      </c>
      <c r="CV812" s="0" t="s">
        <v>418</v>
      </c>
      <c r="CW812" s="0" t="s">
        <v>3656</v>
      </c>
      <c r="CX812" s="0" t="s">
        <v>419</v>
      </c>
      <c r="CY812" s="0" t="s">
        <v>418</v>
      </c>
      <c r="CZ812" s="0" t="s">
        <v>3657</v>
      </c>
      <c r="DA812" s="0" t="s">
        <v>3658</v>
      </c>
      <c r="DB812" s="0" t="s">
        <v>3656</v>
      </c>
      <c r="DC812" s="0" t="s">
        <v>362</v>
      </c>
      <c r="DD812" s="0" t="s">
        <v>282</v>
      </c>
      <c r="DE812" s="0" t="s">
        <v>4323</v>
      </c>
    </row>
    <row customHeight="1" ht="11.25">
      <c r="A813" s="1353" t="s">
        <v>228</v>
      </c>
      <c r="B813" s="0" t="s">
        <v>228</v>
      </c>
      <c r="C813" s="0" t="s">
        <v>228</v>
      </c>
      <c r="D813" s="0" t="s">
        <v>228</v>
      </c>
      <c r="E813" s="0" t="s">
        <v>228</v>
      </c>
      <c r="F813" s="0" t="s">
        <v>228</v>
      </c>
      <c r="G813" s="0" t="s">
        <v>228</v>
      </c>
      <c r="H813" s="0" t="s">
        <v>228</v>
      </c>
      <c r="I813" s="0" t="s">
        <v>5119</v>
      </c>
      <c r="J813" s="0" t="s">
        <v>228</v>
      </c>
      <c r="K813" s="0" t="s">
        <v>228</v>
      </c>
      <c r="L813" s="0" t="s">
        <v>228</v>
      </c>
      <c r="M813" s="0" t="s">
        <v>228</v>
      </c>
      <c r="N813" s="0" t="s">
        <v>228</v>
      </c>
      <c r="O813" s="0" t="s">
        <v>228</v>
      </c>
      <c r="P813" s="0" t="s">
        <v>228</v>
      </c>
      <c r="Q813" s="0" t="s">
        <v>228</v>
      </c>
      <c r="R813" s="0" t="s">
        <v>5282</v>
      </c>
      <c r="S813" s="0" t="s">
        <v>228</v>
      </c>
      <c r="T813" s="0" t="s">
        <v>228</v>
      </c>
      <c r="U813" s="0" t="s">
        <v>101</v>
      </c>
      <c r="V813" s="0" t="s">
        <v>228</v>
      </c>
      <c r="W813" s="0" t="s">
        <v>228</v>
      </c>
      <c r="X813" s="0" t="s">
        <v>5121</v>
      </c>
      <c r="Y813" s="0" t="s">
        <v>228</v>
      </c>
      <c r="Z813" s="0" t="s">
        <v>160</v>
      </c>
      <c r="AA813" s="0" t="s">
        <v>151</v>
      </c>
      <c r="AB813" s="0" t="s">
        <v>151</v>
      </c>
      <c r="AC813" s="0" t="s">
        <v>2715</v>
      </c>
      <c r="AD813" s="0" t="s">
        <v>2715</v>
      </c>
      <c r="AE813" s="0" t="s">
        <v>2716</v>
      </c>
      <c r="AF813" s="0" t="s">
        <v>3594</v>
      </c>
      <c r="AG813" s="0" t="s">
        <v>3595</v>
      </c>
      <c r="AH813" s="0" t="s">
        <v>5283</v>
      </c>
      <c r="AI813" s="0" t="s">
        <v>3651</v>
      </c>
      <c r="AJ813" s="0" t="s">
        <v>3985</v>
      </c>
      <c r="AK813" s="0" t="s">
        <v>5284</v>
      </c>
      <c r="AL813" s="0" t="s">
        <v>5125</v>
      </c>
      <c r="AN813" s="0" t="s">
        <v>3563</v>
      </c>
      <c r="AO813" s="0" t="s">
        <v>5285</v>
      </c>
      <c r="AP813" s="0" t="s">
        <v>228</v>
      </c>
      <c r="AQ813" s="0" t="s">
        <v>228</v>
      </c>
      <c r="AR813" s="0" t="s">
        <v>228</v>
      </c>
      <c r="AS813" s="0" t="s">
        <v>228</v>
      </c>
      <c r="AT813" s="0" t="s">
        <v>228</v>
      </c>
      <c r="AU813" s="0" t="s">
        <v>228</v>
      </c>
      <c r="AV813" s="0" t="s">
        <v>228</v>
      </c>
      <c r="AW813" s="0" t="s">
        <v>228</v>
      </c>
      <c r="AX813" s="0" t="s">
        <v>228</v>
      </c>
      <c r="AY813" s="0" t="s">
        <v>228</v>
      </c>
      <c r="AZ813" s="0" t="s">
        <v>228</v>
      </c>
      <c r="BA813" s="0" t="s">
        <v>228</v>
      </c>
      <c r="BB813" s="0" t="s">
        <v>228</v>
      </c>
      <c r="BC813" s="0" t="s">
        <v>228</v>
      </c>
      <c r="BD813" s="0" t="s">
        <v>228</v>
      </c>
      <c r="BE813" s="0" t="s">
        <v>228</v>
      </c>
      <c r="BF813" s="0" t="s">
        <v>228</v>
      </c>
      <c r="BG813" s="0" t="s">
        <v>228</v>
      </c>
      <c r="BH813" s="0" t="s">
        <v>228</v>
      </c>
      <c r="BI813" s="0" t="s">
        <v>228</v>
      </c>
      <c r="BJ813" s="0" t="s">
        <v>228</v>
      </c>
      <c r="BK813" s="0" t="s">
        <v>228</v>
      </c>
      <c r="BL813" s="0" t="s">
        <v>228</v>
      </c>
      <c r="BM813" s="0" t="s">
        <v>228</v>
      </c>
      <c r="BN813" s="0" t="s">
        <v>228</v>
      </c>
      <c r="BO813" s="0" t="s">
        <v>228</v>
      </c>
      <c r="BP813" s="0" t="s">
        <v>228</v>
      </c>
      <c r="BQ813" s="0" t="s">
        <v>228</v>
      </c>
      <c r="BR813" s="0" t="s">
        <v>228</v>
      </c>
      <c r="BS813" s="0" t="s">
        <v>228</v>
      </c>
      <c r="BT813" s="0" t="s">
        <v>228</v>
      </c>
      <c r="CS813" s="0" t="s">
        <v>228</v>
      </c>
      <c r="CT813" s="0" t="s">
        <v>3568</v>
      </c>
      <c r="CU813" s="0" t="s">
        <v>3569</v>
      </c>
      <c r="CV813" s="0" t="s">
        <v>418</v>
      </c>
      <c r="CW813" s="0" t="s">
        <v>3602</v>
      </c>
      <c r="CX813" s="0" t="s">
        <v>419</v>
      </c>
      <c r="CY813" s="0" t="s">
        <v>418</v>
      </c>
      <c r="CZ813" s="0" t="s">
        <v>504</v>
      </c>
      <c r="DA813" s="0" t="s">
        <v>3604</v>
      </c>
      <c r="DB813" s="0" t="s">
        <v>3602</v>
      </c>
      <c r="DC813" s="0" t="s">
        <v>362</v>
      </c>
      <c r="DD813" s="0" t="s">
        <v>282</v>
      </c>
      <c r="DE813" s="0" t="s">
        <v>5286</v>
      </c>
    </row>
    <row customHeight="1" ht="11.25">
      <c r="A814" s="1353" t="s">
        <v>228</v>
      </c>
      <c r="B814" s="0" t="s">
        <v>228</v>
      </c>
      <c r="C814" s="0" t="s">
        <v>228</v>
      </c>
      <c r="D814" s="0" t="s">
        <v>228</v>
      </c>
      <c r="E814" s="0" t="s">
        <v>228</v>
      </c>
      <c r="F814" s="0" t="s">
        <v>228</v>
      </c>
      <c r="G814" s="0" t="s">
        <v>228</v>
      </c>
      <c r="H814" s="0" t="s">
        <v>228</v>
      </c>
      <c r="I814" s="0" t="s">
        <v>5119</v>
      </c>
      <c r="J814" s="0" t="s">
        <v>228</v>
      </c>
      <c r="K814" s="0" t="s">
        <v>228</v>
      </c>
      <c r="L814" s="0" t="s">
        <v>228</v>
      </c>
      <c r="M814" s="0" t="s">
        <v>228</v>
      </c>
      <c r="N814" s="0" t="s">
        <v>228</v>
      </c>
      <c r="O814" s="0" t="s">
        <v>228</v>
      </c>
      <c r="P814" s="0" t="s">
        <v>228</v>
      </c>
      <c r="Q814" s="0" t="s">
        <v>228</v>
      </c>
      <c r="R814" s="0" t="s">
        <v>5287</v>
      </c>
      <c r="S814" s="0" t="s">
        <v>228</v>
      </c>
      <c r="T814" s="0" t="s">
        <v>228</v>
      </c>
      <c r="U814" s="0" t="s">
        <v>101</v>
      </c>
      <c r="V814" s="0" t="s">
        <v>228</v>
      </c>
      <c r="W814" s="0" t="s">
        <v>228</v>
      </c>
      <c r="X814" s="0" t="s">
        <v>5121</v>
      </c>
      <c r="Y814" s="0" t="s">
        <v>228</v>
      </c>
      <c r="Z814" s="0" t="s">
        <v>160</v>
      </c>
      <c r="AA814" s="0" t="s">
        <v>151</v>
      </c>
      <c r="AB814" s="0" t="s">
        <v>151</v>
      </c>
      <c r="AC814" s="0" t="s">
        <v>2715</v>
      </c>
      <c r="AD814" s="0" t="s">
        <v>2715</v>
      </c>
      <c r="AE814" s="0" t="s">
        <v>2716</v>
      </c>
      <c r="AF814" s="0" t="s">
        <v>3594</v>
      </c>
      <c r="AG814" s="0" t="s">
        <v>3595</v>
      </c>
      <c r="AH814" s="0" t="s">
        <v>5288</v>
      </c>
      <c r="AI814" s="0" t="s">
        <v>3651</v>
      </c>
      <c r="AJ814" s="0" t="s">
        <v>5289</v>
      </c>
      <c r="AK814" s="0" t="s">
        <v>5290</v>
      </c>
      <c r="AL814" s="0" t="s">
        <v>5125</v>
      </c>
      <c r="AN814" s="0" t="s">
        <v>4827</v>
      </c>
      <c r="AO814" s="0" t="s">
        <v>5291</v>
      </c>
      <c r="AP814" s="0" t="s">
        <v>228</v>
      </c>
      <c r="AQ814" s="0" t="s">
        <v>228</v>
      </c>
      <c r="AR814" s="0" t="s">
        <v>228</v>
      </c>
      <c r="AS814" s="0" t="s">
        <v>228</v>
      </c>
      <c r="AT814" s="0" t="s">
        <v>228</v>
      </c>
      <c r="AU814" s="0" t="s">
        <v>228</v>
      </c>
      <c r="AV814" s="0" t="s">
        <v>228</v>
      </c>
      <c r="AW814" s="0" t="s">
        <v>228</v>
      </c>
      <c r="AX814" s="0" t="s">
        <v>228</v>
      </c>
      <c r="AY814" s="0" t="s">
        <v>228</v>
      </c>
      <c r="AZ814" s="0" t="s">
        <v>228</v>
      </c>
      <c r="BA814" s="0" t="s">
        <v>228</v>
      </c>
      <c r="BB814" s="0" t="s">
        <v>228</v>
      </c>
      <c r="BC814" s="0" t="s">
        <v>228</v>
      </c>
      <c r="BD814" s="0" t="s">
        <v>228</v>
      </c>
      <c r="BE814" s="0" t="s">
        <v>228</v>
      </c>
      <c r="BF814" s="0" t="s">
        <v>228</v>
      </c>
      <c r="BG814" s="0" t="s">
        <v>228</v>
      </c>
      <c r="BH814" s="0" t="s">
        <v>228</v>
      </c>
      <c r="BI814" s="0" t="s">
        <v>228</v>
      </c>
      <c r="BJ814" s="0" t="s">
        <v>228</v>
      </c>
      <c r="BK814" s="0" t="s">
        <v>228</v>
      </c>
      <c r="BL814" s="0" t="s">
        <v>228</v>
      </c>
      <c r="BM814" s="0" t="s">
        <v>228</v>
      </c>
      <c r="BN814" s="0" t="s">
        <v>228</v>
      </c>
      <c r="BO814" s="0" t="s">
        <v>228</v>
      </c>
      <c r="BP814" s="0" t="s">
        <v>228</v>
      </c>
      <c r="BQ814" s="0" t="s">
        <v>228</v>
      </c>
      <c r="BR814" s="0" t="s">
        <v>228</v>
      </c>
      <c r="BS814" s="0" t="s">
        <v>228</v>
      </c>
      <c r="BT814" s="0" t="s">
        <v>228</v>
      </c>
      <c r="CS814" s="0" t="s">
        <v>228</v>
      </c>
      <c r="CT814" s="0" t="s">
        <v>3568</v>
      </c>
      <c r="CU814" s="0" t="s">
        <v>3569</v>
      </c>
      <c r="CV814" s="0" t="s">
        <v>418</v>
      </c>
      <c r="CW814" s="0" t="s">
        <v>3602</v>
      </c>
      <c r="CX814" s="0" t="s">
        <v>419</v>
      </c>
      <c r="CY814" s="0" t="s">
        <v>418</v>
      </c>
      <c r="CZ814" s="0" t="s">
        <v>504</v>
      </c>
      <c r="DA814" s="0" t="s">
        <v>3604</v>
      </c>
      <c r="DB814" s="0" t="s">
        <v>3602</v>
      </c>
      <c r="DC814" s="0" t="s">
        <v>362</v>
      </c>
      <c r="DD814" s="0" t="s">
        <v>282</v>
      </c>
      <c r="DE814" s="0" t="s">
        <v>5292</v>
      </c>
    </row>
    <row customHeight="1" ht="11.25">
      <c r="A815" s="1353" t="s">
        <v>228</v>
      </c>
      <c r="B815" s="0" t="s">
        <v>228</v>
      </c>
      <c r="C815" s="0" t="s">
        <v>228</v>
      </c>
      <c r="D815" s="0" t="s">
        <v>228</v>
      </c>
      <c r="E815" s="0" t="s">
        <v>228</v>
      </c>
      <c r="F815" s="0" t="s">
        <v>228</v>
      </c>
      <c r="G815" s="0" t="s">
        <v>228</v>
      </c>
      <c r="H815" s="0" t="s">
        <v>228</v>
      </c>
      <c r="I815" s="0" t="s">
        <v>5119</v>
      </c>
      <c r="J815" s="0" t="s">
        <v>228</v>
      </c>
      <c r="K815" s="0" t="s">
        <v>228</v>
      </c>
      <c r="L815" s="0" t="s">
        <v>228</v>
      </c>
      <c r="M815" s="0" t="s">
        <v>228</v>
      </c>
      <c r="N815" s="0" t="s">
        <v>228</v>
      </c>
      <c r="O815" s="0" t="s">
        <v>228</v>
      </c>
      <c r="P815" s="0" t="s">
        <v>228</v>
      </c>
      <c r="Q815" s="0" t="s">
        <v>228</v>
      </c>
      <c r="R815" s="0" t="s">
        <v>4145</v>
      </c>
      <c r="S815" s="0" t="s">
        <v>228</v>
      </c>
      <c r="T815" s="0" t="s">
        <v>228</v>
      </c>
      <c r="U815" s="0" t="s">
        <v>101</v>
      </c>
      <c r="V815" s="0" t="s">
        <v>228</v>
      </c>
      <c r="W815" s="0" t="s">
        <v>228</v>
      </c>
      <c r="X815" s="0" t="s">
        <v>3661</v>
      </c>
      <c r="Y815" s="0" t="s">
        <v>228</v>
      </c>
      <c r="Z815" s="0" t="s">
        <v>151</v>
      </c>
      <c r="AA815" s="0" t="s">
        <v>151</v>
      </c>
      <c r="AB815" s="0" t="s">
        <v>160</v>
      </c>
      <c r="AC815" s="0" t="s">
        <v>2721</v>
      </c>
      <c r="AD815" s="0" t="s">
        <v>2721</v>
      </c>
      <c r="AE815" s="0" t="s">
        <v>2722</v>
      </c>
      <c r="AF815" s="0" t="s">
        <v>4024</v>
      </c>
      <c r="AG815" s="0" t="s">
        <v>4025</v>
      </c>
      <c r="AH815" s="0" t="s">
        <v>4146</v>
      </c>
      <c r="AI815" s="0" t="s">
        <v>3608</v>
      </c>
      <c r="AJ815" s="0" t="s">
        <v>228</v>
      </c>
      <c r="AK815" s="0" t="s">
        <v>228</v>
      </c>
      <c r="AL815" s="0" t="s">
        <v>228</v>
      </c>
      <c r="AN815" s="0" t="s">
        <v>228</v>
      </c>
      <c r="AO815" s="0" t="s">
        <v>228</v>
      </c>
      <c r="AP815" s="0" t="s">
        <v>228</v>
      </c>
      <c r="AQ815" s="0" t="s">
        <v>228</v>
      </c>
      <c r="AR815" s="0" t="s">
        <v>228</v>
      </c>
      <c r="AS815" s="0" t="s">
        <v>228</v>
      </c>
      <c r="AT815" s="0" t="s">
        <v>228</v>
      </c>
      <c r="AU815" s="0" t="s">
        <v>228</v>
      </c>
      <c r="AV815" s="0" t="s">
        <v>228</v>
      </c>
      <c r="AW815" s="0" t="s">
        <v>228</v>
      </c>
      <c r="AX815" s="0" t="s">
        <v>228</v>
      </c>
      <c r="AY815" s="0" t="s">
        <v>228</v>
      </c>
      <c r="AZ815" s="0" t="s">
        <v>228</v>
      </c>
      <c r="BA815" s="0" t="s">
        <v>228</v>
      </c>
      <c r="BB815" s="0" t="s">
        <v>228</v>
      </c>
      <c r="BC815" s="0" t="s">
        <v>228</v>
      </c>
      <c r="BD815" s="0" t="s">
        <v>228</v>
      </c>
      <c r="BE815" s="0" t="s">
        <v>5263</v>
      </c>
      <c r="BF815" s="0" t="s">
        <v>5264</v>
      </c>
      <c r="BG815" s="0" t="s">
        <v>111</v>
      </c>
      <c r="BH815" s="0" t="s">
        <v>3665</v>
      </c>
      <c r="BI815" s="0" t="s">
        <v>122</v>
      </c>
      <c r="BJ815" s="0" t="s">
        <v>228</v>
      </c>
      <c r="BK815" s="0" t="s">
        <v>151</v>
      </c>
      <c r="BL815" s="0" t="s">
        <v>2721</v>
      </c>
      <c r="BM815" s="0" t="s">
        <v>2721</v>
      </c>
      <c r="BN815" s="0" t="s">
        <v>4149</v>
      </c>
      <c r="BO815" s="0" t="s">
        <v>4024</v>
      </c>
      <c r="BP815" s="0" t="s">
        <v>4150</v>
      </c>
      <c r="BQ815" s="0" t="s">
        <v>4146</v>
      </c>
      <c r="BR815" s="0" t="s">
        <v>3608</v>
      </c>
      <c r="BS815" s="0" t="s">
        <v>228</v>
      </c>
      <c r="BT815" s="0" t="s">
        <v>3670</v>
      </c>
      <c r="CS815" s="0" t="s">
        <v>3628</v>
      </c>
      <c r="CT815" s="0" t="s">
        <v>3568</v>
      </c>
      <c r="CU815" s="0" t="s">
        <v>3569</v>
      </c>
      <c r="CV815" s="0" t="s">
        <v>4030</v>
      </c>
      <c r="CW815" s="0" t="s">
        <v>4031</v>
      </c>
      <c r="CX815" s="0" t="s">
        <v>3603</v>
      </c>
      <c r="CY815" s="0" t="s">
        <v>4030</v>
      </c>
      <c r="CZ815" s="0" t="s">
        <v>5138</v>
      </c>
      <c r="DA815" s="0" t="s">
        <v>4032</v>
      </c>
      <c r="DB815" s="0" t="s">
        <v>4031</v>
      </c>
      <c r="DC815" s="0" t="s">
        <v>362</v>
      </c>
      <c r="DD815" s="0" t="s">
        <v>282</v>
      </c>
      <c r="DE815" s="0" t="s">
        <v>5216</v>
      </c>
    </row>
    <row customHeight="1" ht="11.25">
      <c r="A816" s="1353" t="s">
        <v>228</v>
      </c>
      <c r="B816" s="0" t="s">
        <v>228</v>
      </c>
      <c r="C816" s="0" t="s">
        <v>228</v>
      </c>
      <c r="D816" s="0" t="s">
        <v>228</v>
      </c>
      <c r="E816" s="0" t="s">
        <v>228</v>
      </c>
      <c r="F816" s="0" t="s">
        <v>228</v>
      </c>
      <c r="G816" s="0" t="s">
        <v>228</v>
      </c>
      <c r="H816" s="0" t="s">
        <v>228</v>
      </c>
      <c r="I816" s="0" t="s">
        <v>5119</v>
      </c>
      <c r="J816" s="0" t="s">
        <v>228</v>
      </c>
      <c r="K816" s="0" t="s">
        <v>228</v>
      </c>
      <c r="L816" s="0" t="s">
        <v>228</v>
      </c>
      <c r="M816" s="0" t="s">
        <v>228</v>
      </c>
      <c r="N816" s="0" t="s">
        <v>228</v>
      </c>
      <c r="O816" s="0" t="s">
        <v>228</v>
      </c>
      <c r="P816" s="0" t="s">
        <v>228</v>
      </c>
      <c r="Q816" s="0" t="s">
        <v>228</v>
      </c>
      <c r="R816" s="0" t="s">
        <v>5237</v>
      </c>
      <c r="S816" s="0" t="s">
        <v>228</v>
      </c>
      <c r="T816" s="0" t="s">
        <v>228</v>
      </c>
      <c r="U816" s="0" t="s">
        <v>101</v>
      </c>
      <c r="V816" s="0" t="s">
        <v>228</v>
      </c>
      <c r="W816" s="0" t="s">
        <v>228</v>
      </c>
      <c r="X816" s="0" t="s">
        <v>5121</v>
      </c>
      <c r="Y816" s="0" t="s">
        <v>228</v>
      </c>
      <c r="Z816" s="0" t="s">
        <v>160</v>
      </c>
      <c r="AA816" s="0" t="s">
        <v>151</v>
      </c>
      <c r="AB816" s="0" t="s">
        <v>151</v>
      </c>
      <c r="AC816" s="0" t="s">
        <v>2290</v>
      </c>
      <c r="AD816" s="0" t="s">
        <v>2290</v>
      </c>
      <c r="AE816" s="0" t="s">
        <v>2292</v>
      </c>
      <c r="AF816" s="0" t="s">
        <v>3558</v>
      </c>
      <c r="AG816" s="0" t="s">
        <v>3559</v>
      </c>
      <c r="AH816" s="0" t="s">
        <v>5528</v>
      </c>
      <c r="AI816" s="0" t="s">
        <v>4051</v>
      </c>
      <c r="AJ816" s="0" t="s">
        <v>4993</v>
      </c>
      <c r="AK816" s="0" t="s">
        <v>3566</v>
      </c>
      <c r="AL816" s="0" t="s">
        <v>5125</v>
      </c>
      <c r="AN816" s="0" t="s">
        <v>4293</v>
      </c>
      <c r="AO816" s="0" t="s">
        <v>3655</v>
      </c>
      <c r="AP816" s="0" t="s">
        <v>228</v>
      </c>
      <c r="AQ816" s="0" t="s">
        <v>228</v>
      </c>
      <c r="AR816" s="0" t="s">
        <v>228</v>
      </c>
      <c r="AS816" s="0" t="s">
        <v>228</v>
      </c>
      <c r="AT816" s="0" t="s">
        <v>228</v>
      </c>
      <c r="AU816" s="0" t="s">
        <v>228</v>
      </c>
      <c r="AV816" s="0" t="s">
        <v>228</v>
      </c>
      <c r="AW816" s="0" t="s">
        <v>228</v>
      </c>
      <c r="AX816" s="0" t="s">
        <v>228</v>
      </c>
      <c r="AY816" s="0" t="s">
        <v>228</v>
      </c>
      <c r="AZ816" s="0" t="s">
        <v>228</v>
      </c>
      <c r="BA816" s="0" t="s">
        <v>228</v>
      </c>
      <c r="BB816" s="0" t="s">
        <v>228</v>
      </c>
      <c r="BC816" s="0" t="s">
        <v>228</v>
      </c>
      <c r="BD816" s="0" t="s">
        <v>228</v>
      </c>
      <c r="BE816" s="0" t="s">
        <v>228</v>
      </c>
      <c r="BF816" s="0" t="s">
        <v>228</v>
      </c>
      <c r="BG816" s="0" t="s">
        <v>228</v>
      </c>
      <c r="BH816" s="0" t="s">
        <v>228</v>
      </c>
      <c r="BI816" s="0" t="s">
        <v>228</v>
      </c>
      <c r="BJ816" s="0" t="s">
        <v>228</v>
      </c>
      <c r="BK816" s="0" t="s">
        <v>228</v>
      </c>
      <c r="BL816" s="0" t="s">
        <v>228</v>
      </c>
      <c r="BM816" s="0" t="s">
        <v>228</v>
      </c>
      <c r="BN816" s="0" t="s">
        <v>228</v>
      </c>
      <c r="BO816" s="0" t="s">
        <v>228</v>
      </c>
      <c r="BP816" s="0" t="s">
        <v>228</v>
      </c>
      <c r="BQ816" s="0" t="s">
        <v>228</v>
      </c>
      <c r="BR816" s="0" t="s">
        <v>228</v>
      </c>
      <c r="BS816" s="0" t="s">
        <v>228</v>
      </c>
      <c r="BT816" s="0" t="s">
        <v>228</v>
      </c>
      <c r="CS816" s="0" t="s">
        <v>228</v>
      </c>
      <c r="CT816" s="0" t="s">
        <v>3568</v>
      </c>
      <c r="CU816" s="0" t="s">
        <v>3569</v>
      </c>
      <c r="CV816" s="0" t="s">
        <v>418</v>
      </c>
      <c r="CW816" s="0" t="s">
        <v>3570</v>
      </c>
      <c r="CX816" s="0" t="s">
        <v>419</v>
      </c>
      <c r="CY816" s="0" t="s">
        <v>418</v>
      </c>
      <c r="CZ816" s="0" t="s">
        <v>3571</v>
      </c>
      <c r="DA816" s="0" t="s">
        <v>420</v>
      </c>
      <c r="DB816" s="0" t="s">
        <v>3570</v>
      </c>
      <c r="DC816" s="0" t="s">
        <v>362</v>
      </c>
      <c r="DD816" s="0" t="s">
        <v>282</v>
      </c>
      <c r="DE816" s="0" t="s">
        <v>5529</v>
      </c>
    </row>
    <row customHeight="1" ht="11.25">
      <c r="A817" s="1353" t="s">
        <v>228</v>
      </c>
      <c r="B817" s="0" t="s">
        <v>228</v>
      </c>
      <c r="C817" s="0" t="s">
        <v>228</v>
      </c>
      <c r="D817" s="0" t="s">
        <v>228</v>
      </c>
      <c r="E817" s="0" t="s">
        <v>228</v>
      </c>
      <c r="F817" s="0" t="s">
        <v>228</v>
      </c>
      <c r="G817" s="0" t="s">
        <v>228</v>
      </c>
      <c r="H817" s="0" t="s">
        <v>228</v>
      </c>
      <c r="I817" s="0" t="s">
        <v>5119</v>
      </c>
      <c r="J817" s="0" t="s">
        <v>228</v>
      </c>
      <c r="K817" s="0" t="s">
        <v>228</v>
      </c>
      <c r="L817" s="0" t="s">
        <v>228</v>
      </c>
      <c r="M817" s="0" t="s">
        <v>228</v>
      </c>
      <c r="N817" s="0" t="s">
        <v>228</v>
      </c>
      <c r="O817" s="0" t="s">
        <v>228</v>
      </c>
      <c r="P817" s="0" t="s">
        <v>228</v>
      </c>
      <c r="Q817" s="0" t="s">
        <v>228</v>
      </c>
      <c r="R817" s="0" t="s">
        <v>5517</v>
      </c>
      <c r="S817" s="0" t="s">
        <v>228</v>
      </c>
      <c r="T817" s="0" t="s">
        <v>228</v>
      </c>
      <c r="U817" s="0" t="s">
        <v>101</v>
      </c>
      <c r="V817" s="0" t="s">
        <v>228</v>
      </c>
      <c r="W817" s="0" t="s">
        <v>228</v>
      </c>
      <c r="X817" s="0" t="s">
        <v>3661</v>
      </c>
      <c r="Y817" s="0" t="s">
        <v>228</v>
      </c>
      <c r="Z817" s="0" t="s">
        <v>151</v>
      </c>
      <c r="AA817" s="0" t="s">
        <v>151</v>
      </c>
      <c r="AB817" s="0" t="s">
        <v>160</v>
      </c>
      <c r="AC817" s="0" t="s">
        <v>2317</v>
      </c>
      <c r="AD817" s="0" t="s">
        <v>2317</v>
      </c>
      <c r="AE817" s="0" t="s">
        <v>2318</v>
      </c>
      <c r="AF817" s="0" t="s">
        <v>3849</v>
      </c>
      <c r="AG817" s="0" t="s">
        <v>3850</v>
      </c>
      <c r="AH817" s="0" t="s">
        <v>3651</v>
      </c>
      <c r="AI817" s="0" t="s">
        <v>3651</v>
      </c>
      <c r="AJ817" s="0" t="s">
        <v>228</v>
      </c>
      <c r="AK817" s="0" t="s">
        <v>228</v>
      </c>
      <c r="AL817" s="0" t="s">
        <v>228</v>
      </c>
      <c r="AN817" s="0" t="s">
        <v>228</v>
      </c>
      <c r="AO817" s="0" t="s">
        <v>228</v>
      </c>
      <c r="AP817" s="0" t="s">
        <v>228</v>
      </c>
      <c r="AQ817" s="0" t="s">
        <v>228</v>
      </c>
      <c r="AR817" s="0" t="s">
        <v>228</v>
      </c>
      <c r="AS817" s="0" t="s">
        <v>228</v>
      </c>
      <c r="AT817" s="0" t="s">
        <v>228</v>
      </c>
      <c r="AU817" s="0" t="s">
        <v>228</v>
      </c>
      <c r="AV817" s="0" t="s">
        <v>228</v>
      </c>
      <c r="AW817" s="0" t="s">
        <v>228</v>
      </c>
      <c r="AX817" s="0" t="s">
        <v>228</v>
      </c>
      <c r="AY817" s="0" t="s">
        <v>228</v>
      </c>
      <c r="AZ817" s="0" t="s">
        <v>228</v>
      </c>
      <c r="BA817" s="0" t="s">
        <v>228</v>
      </c>
      <c r="BB817" s="0" t="s">
        <v>228</v>
      </c>
      <c r="BC817" s="0" t="s">
        <v>228</v>
      </c>
      <c r="BD817" s="0" t="s">
        <v>228</v>
      </c>
      <c r="BE817" s="0" t="s">
        <v>5458</v>
      </c>
      <c r="BF817" s="0" t="s">
        <v>3833</v>
      </c>
      <c r="BG817" s="0" t="s">
        <v>111</v>
      </c>
      <c r="BH817" s="0" t="s">
        <v>3665</v>
      </c>
      <c r="BI817" s="0" t="s">
        <v>122</v>
      </c>
      <c r="BJ817" s="0" t="s">
        <v>228</v>
      </c>
      <c r="BK817" s="0" t="s">
        <v>228</v>
      </c>
      <c r="BL817" s="0" t="s">
        <v>2317</v>
      </c>
      <c r="BM817" s="0" t="s">
        <v>2317</v>
      </c>
      <c r="BN817" s="0" t="s">
        <v>3740</v>
      </c>
      <c r="BO817" s="0" t="s">
        <v>3849</v>
      </c>
      <c r="BP817" s="0" t="s">
        <v>4234</v>
      </c>
      <c r="BQ817" s="0" t="s">
        <v>3651</v>
      </c>
      <c r="BR817" s="0" t="s">
        <v>3651</v>
      </c>
      <c r="BS817" s="0" t="s">
        <v>228</v>
      </c>
      <c r="BT817" s="0" t="s">
        <v>3727</v>
      </c>
      <c r="CS817" s="0" t="s">
        <v>5243</v>
      </c>
      <c r="CT817" s="0" t="s">
        <v>3568</v>
      </c>
      <c r="CU817" s="0" t="s">
        <v>3569</v>
      </c>
      <c r="CV817" s="0" t="s">
        <v>418</v>
      </c>
      <c r="CW817" s="0" t="s">
        <v>3622</v>
      </c>
      <c r="CX817" s="0" t="s">
        <v>419</v>
      </c>
      <c r="CY817" s="0" t="s">
        <v>418</v>
      </c>
      <c r="CZ817" s="0" t="s">
        <v>3623</v>
      </c>
      <c r="DA817" s="0" t="s">
        <v>3624</v>
      </c>
      <c r="DB817" s="0" t="s">
        <v>3622</v>
      </c>
      <c r="DC817" s="0" t="s">
        <v>362</v>
      </c>
      <c r="DD817" s="0" t="s">
        <v>282</v>
      </c>
      <c r="DE817" s="0" t="s">
        <v>4236</v>
      </c>
    </row>
    <row customHeight="1" ht="11.25">
      <c r="A818" s="1353" t="s">
        <v>228</v>
      </c>
      <c r="B818" s="0" t="s">
        <v>228</v>
      </c>
      <c r="C818" s="0" t="s">
        <v>228</v>
      </c>
      <c r="D818" s="0" t="s">
        <v>228</v>
      </c>
      <c r="E818" s="0" t="s">
        <v>228</v>
      </c>
      <c r="F818" s="0" t="s">
        <v>228</v>
      </c>
      <c r="G818" s="0" t="s">
        <v>228</v>
      </c>
      <c r="H818" s="0" t="s">
        <v>228</v>
      </c>
      <c r="I818" s="0" t="s">
        <v>5119</v>
      </c>
      <c r="J818" s="0" t="s">
        <v>228</v>
      </c>
      <c r="K818" s="0" t="s">
        <v>228</v>
      </c>
      <c r="L818" s="0" t="s">
        <v>228</v>
      </c>
      <c r="M818" s="0" t="s">
        <v>228</v>
      </c>
      <c r="N818" s="0" t="s">
        <v>228</v>
      </c>
      <c r="O818" s="0" t="s">
        <v>228</v>
      </c>
      <c r="P818" s="0" t="s">
        <v>228</v>
      </c>
      <c r="Q818" s="0" t="s">
        <v>228</v>
      </c>
      <c r="R818" s="0" t="s">
        <v>5293</v>
      </c>
      <c r="S818" s="0" t="s">
        <v>228</v>
      </c>
      <c r="T818" s="0" t="s">
        <v>228</v>
      </c>
      <c r="U818" s="0" t="s">
        <v>101</v>
      </c>
      <c r="V818" s="0" t="s">
        <v>228</v>
      </c>
      <c r="W818" s="0" t="s">
        <v>228</v>
      </c>
      <c r="X818" s="0" t="s">
        <v>5121</v>
      </c>
      <c r="Y818" s="0" t="s">
        <v>228</v>
      </c>
      <c r="Z818" s="0" t="s">
        <v>160</v>
      </c>
      <c r="AA818" s="0" t="s">
        <v>151</v>
      </c>
      <c r="AB818" s="0" t="s">
        <v>151</v>
      </c>
      <c r="AC818" s="0" t="s">
        <v>2715</v>
      </c>
      <c r="AD818" s="0" t="s">
        <v>2715</v>
      </c>
      <c r="AE818" s="0" t="s">
        <v>2716</v>
      </c>
      <c r="AF818" s="0" t="s">
        <v>3594</v>
      </c>
      <c r="AG818" s="0" t="s">
        <v>3595</v>
      </c>
      <c r="AH818" s="0" t="s">
        <v>5294</v>
      </c>
      <c r="AI818" s="0" t="s">
        <v>1688</v>
      </c>
      <c r="AJ818" s="0" t="s">
        <v>4287</v>
      </c>
      <c r="AK818" s="0" t="s">
        <v>5295</v>
      </c>
      <c r="AL818" s="0" t="s">
        <v>5125</v>
      </c>
      <c r="AN818" s="0" t="s">
        <v>3579</v>
      </c>
      <c r="AO818" s="0" t="s">
        <v>4473</v>
      </c>
      <c r="AP818" s="0" t="s">
        <v>228</v>
      </c>
      <c r="AQ818" s="0" t="s">
        <v>228</v>
      </c>
      <c r="AR818" s="0" t="s">
        <v>228</v>
      </c>
      <c r="AS818" s="0" t="s">
        <v>228</v>
      </c>
      <c r="AT818" s="0" t="s">
        <v>228</v>
      </c>
      <c r="AU818" s="0" t="s">
        <v>228</v>
      </c>
      <c r="AV818" s="0" t="s">
        <v>228</v>
      </c>
      <c r="AW818" s="0" t="s">
        <v>228</v>
      </c>
      <c r="AX818" s="0" t="s">
        <v>228</v>
      </c>
      <c r="AY818" s="0" t="s">
        <v>228</v>
      </c>
      <c r="AZ818" s="0" t="s">
        <v>228</v>
      </c>
      <c r="BA818" s="0" t="s">
        <v>228</v>
      </c>
      <c r="BB818" s="0" t="s">
        <v>228</v>
      </c>
      <c r="BC818" s="0" t="s">
        <v>228</v>
      </c>
      <c r="BD818" s="0" t="s">
        <v>228</v>
      </c>
      <c r="BE818" s="0" t="s">
        <v>228</v>
      </c>
      <c r="BF818" s="0" t="s">
        <v>228</v>
      </c>
      <c r="BG818" s="0" t="s">
        <v>228</v>
      </c>
      <c r="BH818" s="0" t="s">
        <v>228</v>
      </c>
      <c r="BI818" s="0" t="s">
        <v>228</v>
      </c>
      <c r="BJ818" s="0" t="s">
        <v>228</v>
      </c>
      <c r="BK818" s="0" t="s">
        <v>228</v>
      </c>
      <c r="BL818" s="0" t="s">
        <v>228</v>
      </c>
      <c r="BM818" s="0" t="s">
        <v>228</v>
      </c>
      <c r="BN818" s="0" t="s">
        <v>228</v>
      </c>
      <c r="BO818" s="0" t="s">
        <v>228</v>
      </c>
      <c r="BP818" s="0" t="s">
        <v>228</v>
      </c>
      <c r="BQ818" s="0" t="s">
        <v>228</v>
      </c>
      <c r="BR818" s="0" t="s">
        <v>228</v>
      </c>
      <c r="BS818" s="0" t="s">
        <v>228</v>
      </c>
      <c r="BT818" s="0" t="s">
        <v>228</v>
      </c>
      <c r="CS818" s="0" t="s">
        <v>228</v>
      </c>
      <c r="CT818" s="0" t="s">
        <v>3568</v>
      </c>
      <c r="CU818" s="0" t="s">
        <v>3569</v>
      </c>
      <c r="CV818" s="0" t="s">
        <v>418</v>
      </c>
      <c r="CW818" s="0" t="s">
        <v>3602</v>
      </c>
      <c r="CX818" s="0" t="s">
        <v>419</v>
      </c>
      <c r="CY818" s="0" t="s">
        <v>418</v>
      </c>
      <c r="CZ818" s="0" t="s">
        <v>504</v>
      </c>
      <c r="DA818" s="0" t="s">
        <v>3604</v>
      </c>
      <c r="DB818" s="0" t="s">
        <v>3602</v>
      </c>
      <c r="DC818" s="0" t="s">
        <v>362</v>
      </c>
      <c r="DD818" s="0" t="s">
        <v>282</v>
      </c>
      <c r="DE818" s="0" t="s">
        <v>5296</v>
      </c>
    </row>
    <row customHeight="1" ht="11.25">
      <c r="A819" s="1353" t="s">
        <v>228</v>
      </c>
      <c r="B819" s="0" t="s">
        <v>228</v>
      </c>
      <c r="C819" s="0" t="s">
        <v>228</v>
      </c>
      <c r="D819" s="0" t="s">
        <v>228</v>
      </c>
      <c r="E819" s="0" t="s">
        <v>228</v>
      </c>
      <c r="F819" s="0" t="s">
        <v>228</v>
      </c>
      <c r="G819" s="0" t="s">
        <v>228</v>
      </c>
      <c r="H819" s="0" t="s">
        <v>228</v>
      </c>
      <c r="I819" s="0" t="s">
        <v>5119</v>
      </c>
      <c r="J819" s="0" t="s">
        <v>228</v>
      </c>
      <c r="K819" s="0" t="s">
        <v>228</v>
      </c>
      <c r="L819" s="0" t="s">
        <v>228</v>
      </c>
      <c r="M819" s="0" t="s">
        <v>228</v>
      </c>
      <c r="N819" s="0" t="s">
        <v>228</v>
      </c>
      <c r="O819" s="0" t="s">
        <v>228</v>
      </c>
      <c r="P819" s="0" t="s">
        <v>228</v>
      </c>
      <c r="Q819" s="0" t="s">
        <v>228</v>
      </c>
      <c r="R819" s="0" t="s">
        <v>5333</v>
      </c>
      <c r="S819" s="0" t="s">
        <v>228</v>
      </c>
      <c r="T819" s="0" t="s">
        <v>228</v>
      </c>
      <c r="U819" s="0" t="s">
        <v>101</v>
      </c>
      <c r="V819" s="0" t="s">
        <v>228</v>
      </c>
      <c r="W819" s="0" t="s">
        <v>228</v>
      </c>
      <c r="X819" s="0" t="s">
        <v>5121</v>
      </c>
      <c r="Y819" s="0" t="s">
        <v>228</v>
      </c>
      <c r="Z819" s="0" t="s">
        <v>160</v>
      </c>
      <c r="AA819" s="0" t="s">
        <v>151</v>
      </c>
      <c r="AB819" s="0" t="s">
        <v>151</v>
      </c>
      <c r="AC819" s="0" t="s">
        <v>2715</v>
      </c>
      <c r="AD819" s="0" t="s">
        <v>2715</v>
      </c>
      <c r="AE819" s="0" t="s">
        <v>2716</v>
      </c>
      <c r="AF819" s="0" t="s">
        <v>3594</v>
      </c>
      <c r="AG819" s="0" t="s">
        <v>3595</v>
      </c>
      <c r="AH819" s="0" t="s">
        <v>5334</v>
      </c>
      <c r="AI819" s="0" t="s">
        <v>489</v>
      </c>
      <c r="AJ819" s="0" t="s">
        <v>4993</v>
      </c>
      <c r="AK819" s="0" t="s">
        <v>5335</v>
      </c>
      <c r="AL819" s="0" t="s">
        <v>5125</v>
      </c>
      <c r="AN819" s="0" t="s">
        <v>3563</v>
      </c>
      <c r="AO819" s="0" t="s">
        <v>5233</v>
      </c>
      <c r="AP819" s="0" t="s">
        <v>228</v>
      </c>
      <c r="AQ819" s="0" t="s">
        <v>228</v>
      </c>
      <c r="AR819" s="0" t="s">
        <v>228</v>
      </c>
      <c r="AS819" s="0" t="s">
        <v>228</v>
      </c>
      <c r="AT819" s="0" t="s">
        <v>228</v>
      </c>
      <c r="AU819" s="0" t="s">
        <v>228</v>
      </c>
      <c r="AV819" s="0" t="s">
        <v>228</v>
      </c>
      <c r="AW819" s="0" t="s">
        <v>228</v>
      </c>
      <c r="AX819" s="0" t="s">
        <v>228</v>
      </c>
      <c r="AY819" s="0" t="s">
        <v>228</v>
      </c>
      <c r="AZ819" s="0" t="s">
        <v>228</v>
      </c>
      <c r="BA819" s="0" t="s">
        <v>228</v>
      </c>
      <c r="BB819" s="0" t="s">
        <v>228</v>
      </c>
      <c r="BC819" s="0" t="s">
        <v>228</v>
      </c>
      <c r="BD819" s="0" t="s">
        <v>228</v>
      </c>
      <c r="BE819" s="0" t="s">
        <v>228</v>
      </c>
      <c r="BF819" s="0" t="s">
        <v>228</v>
      </c>
      <c r="BG819" s="0" t="s">
        <v>228</v>
      </c>
      <c r="BH819" s="0" t="s">
        <v>228</v>
      </c>
      <c r="BI819" s="0" t="s">
        <v>228</v>
      </c>
      <c r="BJ819" s="0" t="s">
        <v>228</v>
      </c>
      <c r="BK819" s="0" t="s">
        <v>228</v>
      </c>
      <c r="BL819" s="0" t="s">
        <v>228</v>
      </c>
      <c r="BM819" s="0" t="s">
        <v>228</v>
      </c>
      <c r="BN819" s="0" t="s">
        <v>228</v>
      </c>
      <c r="BO819" s="0" t="s">
        <v>228</v>
      </c>
      <c r="BP819" s="0" t="s">
        <v>228</v>
      </c>
      <c r="BQ819" s="0" t="s">
        <v>228</v>
      </c>
      <c r="BR819" s="0" t="s">
        <v>228</v>
      </c>
      <c r="BS819" s="0" t="s">
        <v>228</v>
      </c>
      <c r="BT819" s="0" t="s">
        <v>228</v>
      </c>
      <c r="CS819" s="0" t="s">
        <v>228</v>
      </c>
      <c r="CT819" s="0" t="s">
        <v>3568</v>
      </c>
      <c r="CU819" s="0" t="s">
        <v>3569</v>
      </c>
      <c r="CV819" s="0" t="s">
        <v>418</v>
      </c>
      <c r="CW819" s="0" t="s">
        <v>3602</v>
      </c>
      <c r="CX819" s="0" t="s">
        <v>419</v>
      </c>
      <c r="CY819" s="0" t="s">
        <v>418</v>
      </c>
      <c r="CZ819" s="0" t="s">
        <v>504</v>
      </c>
      <c r="DA819" s="0" t="s">
        <v>3604</v>
      </c>
      <c r="DB819" s="0" t="s">
        <v>3602</v>
      </c>
      <c r="DC819" s="0" t="s">
        <v>362</v>
      </c>
      <c r="DD819" s="0" t="s">
        <v>282</v>
      </c>
      <c r="DE819" s="0" t="s">
        <v>5336</v>
      </c>
    </row>
    <row customHeight="1" ht="11.25">
      <c r="A820" s="1353" t="s">
        <v>228</v>
      </c>
      <c r="B820" s="0" t="s">
        <v>228</v>
      </c>
      <c r="C820" s="0" t="s">
        <v>228</v>
      </c>
      <c r="D820" s="0" t="s">
        <v>228</v>
      </c>
      <c r="E820" s="0" t="s">
        <v>228</v>
      </c>
      <c r="F820" s="0" t="s">
        <v>228</v>
      </c>
      <c r="G820" s="0" t="s">
        <v>228</v>
      </c>
      <c r="H820" s="0" t="s">
        <v>228</v>
      </c>
      <c r="I820" s="0" t="s">
        <v>5119</v>
      </c>
      <c r="J820" s="0" t="s">
        <v>228</v>
      </c>
      <c r="K820" s="0" t="s">
        <v>228</v>
      </c>
      <c r="L820" s="0" t="s">
        <v>228</v>
      </c>
      <c r="M820" s="0" t="s">
        <v>228</v>
      </c>
      <c r="N820" s="0" t="s">
        <v>228</v>
      </c>
      <c r="O820" s="0" t="s">
        <v>228</v>
      </c>
      <c r="P820" s="0" t="s">
        <v>228</v>
      </c>
      <c r="Q820" s="0" t="s">
        <v>228</v>
      </c>
      <c r="R820" s="0" t="s">
        <v>5337</v>
      </c>
      <c r="S820" s="0" t="s">
        <v>228</v>
      </c>
      <c r="T820" s="0" t="s">
        <v>228</v>
      </c>
      <c r="U820" s="0" t="s">
        <v>101</v>
      </c>
      <c r="V820" s="0" t="s">
        <v>228</v>
      </c>
      <c r="W820" s="0" t="s">
        <v>228</v>
      </c>
      <c r="X820" s="0" t="s">
        <v>5121</v>
      </c>
      <c r="Y820" s="0" t="s">
        <v>228</v>
      </c>
      <c r="Z820" s="0" t="s">
        <v>160</v>
      </c>
      <c r="AA820" s="0" t="s">
        <v>151</v>
      </c>
      <c r="AB820" s="0" t="s">
        <v>151</v>
      </c>
      <c r="AC820" s="0" t="s">
        <v>2715</v>
      </c>
      <c r="AD820" s="0" t="s">
        <v>2715</v>
      </c>
      <c r="AE820" s="0" t="s">
        <v>2716</v>
      </c>
      <c r="AF820" s="0" t="s">
        <v>3594</v>
      </c>
      <c r="AG820" s="0" t="s">
        <v>3595</v>
      </c>
      <c r="AH820" s="0" t="s">
        <v>5338</v>
      </c>
      <c r="AI820" s="0" t="s">
        <v>3651</v>
      </c>
      <c r="AJ820" s="0" t="s">
        <v>4993</v>
      </c>
      <c r="AK820" s="0" t="s">
        <v>3579</v>
      </c>
      <c r="AL820" s="0" t="s">
        <v>5125</v>
      </c>
      <c r="AN820" s="0" t="s">
        <v>3899</v>
      </c>
      <c r="AO820" s="0" t="s">
        <v>5339</v>
      </c>
      <c r="AP820" s="0" t="s">
        <v>228</v>
      </c>
      <c r="AQ820" s="0" t="s">
        <v>228</v>
      </c>
      <c r="AR820" s="0" t="s">
        <v>228</v>
      </c>
      <c r="AS820" s="0" t="s">
        <v>228</v>
      </c>
      <c r="AT820" s="0" t="s">
        <v>228</v>
      </c>
      <c r="AU820" s="0" t="s">
        <v>228</v>
      </c>
      <c r="AV820" s="0" t="s">
        <v>228</v>
      </c>
      <c r="AW820" s="0" t="s">
        <v>228</v>
      </c>
      <c r="AX820" s="0" t="s">
        <v>228</v>
      </c>
      <c r="AY820" s="0" t="s">
        <v>228</v>
      </c>
      <c r="AZ820" s="0" t="s">
        <v>228</v>
      </c>
      <c r="BA820" s="0" t="s">
        <v>228</v>
      </c>
      <c r="BB820" s="0" t="s">
        <v>228</v>
      </c>
      <c r="BC820" s="0" t="s">
        <v>228</v>
      </c>
      <c r="BD820" s="0" t="s">
        <v>228</v>
      </c>
      <c r="BE820" s="0" t="s">
        <v>228</v>
      </c>
      <c r="BF820" s="0" t="s">
        <v>228</v>
      </c>
      <c r="BG820" s="0" t="s">
        <v>228</v>
      </c>
      <c r="BH820" s="0" t="s">
        <v>228</v>
      </c>
      <c r="BI820" s="0" t="s">
        <v>228</v>
      </c>
      <c r="BJ820" s="0" t="s">
        <v>228</v>
      </c>
      <c r="BK820" s="0" t="s">
        <v>228</v>
      </c>
      <c r="BL820" s="0" t="s">
        <v>228</v>
      </c>
      <c r="BM820" s="0" t="s">
        <v>228</v>
      </c>
      <c r="BN820" s="0" t="s">
        <v>228</v>
      </c>
      <c r="BO820" s="0" t="s">
        <v>228</v>
      </c>
      <c r="BP820" s="0" t="s">
        <v>228</v>
      </c>
      <c r="BQ820" s="0" t="s">
        <v>228</v>
      </c>
      <c r="BR820" s="0" t="s">
        <v>228</v>
      </c>
      <c r="BS820" s="0" t="s">
        <v>228</v>
      </c>
      <c r="BT820" s="0" t="s">
        <v>228</v>
      </c>
      <c r="CS820" s="0" t="s">
        <v>228</v>
      </c>
      <c r="CT820" s="0" t="s">
        <v>3568</v>
      </c>
      <c r="CU820" s="0" t="s">
        <v>5128</v>
      </c>
      <c r="CV820" s="0" t="s">
        <v>5340</v>
      </c>
      <c r="CW820" s="0" t="s">
        <v>5341</v>
      </c>
      <c r="CX820" s="0" t="s">
        <v>5342</v>
      </c>
      <c r="CY820" s="0" t="s">
        <v>5322</v>
      </c>
      <c r="CZ820" s="0" t="s">
        <v>5343</v>
      </c>
      <c r="DA820" s="0" t="s">
        <v>5339</v>
      </c>
      <c r="DB820" s="0" t="s">
        <v>5341</v>
      </c>
      <c r="DC820" s="0" t="s">
        <v>362</v>
      </c>
      <c r="DD820" s="0" t="s">
        <v>282</v>
      </c>
      <c r="DE820" s="0" t="s">
        <v>5344</v>
      </c>
    </row>
    <row customHeight="1" ht="11.25">
      <c r="A821" s="1353" t="s">
        <v>228</v>
      </c>
      <c r="B821" s="0" t="s">
        <v>228</v>
      </c>
      <c r="C821" s="0" t="s">
        <v>228</v>
      </c>
      <c r="D821" s="0" t="s">
        <v>228</v>
      </c>
      <c r="E821" s="0" t="s">
        <v>228</v>
      </c>
      <c r="F821" s="0" t="s">
        <v>228</v>
      </c>
      <c r="G821" s="0" t="s">
        <v>228</v>
      </c>
      <c r="H821" s="0" t="s">
        <v>228</v>
      </c>
      <c r="I821" s="0" t="s">
        <v>5119</v>
      </c>
      <c r="J821" s="0" t="s">
        <v>228</v>
      </c>
      <c r="K821" s="0" t="s">
        <v>228</v>
      </c>
      <c r="L821" s="0" t="s">
        <v>228</v>
      </c>
      <c r="M821" s="0" t="s">
        <v>228</v>
      </c>
      <c r="N821" s="0" t="s">
        <v>228</v>
      </c>
      <c r="O821" s="0" t="s">
        <v>228</v>
      </c>
      <c r="P821" s="0" t="s">
        <v>228</v>
      </c>
      <c r="Q821" s="0" t="s">
        <v>228</v>
      </c>
      <c r="R821" s="0" t="s">
        <v>5297</v>
      </c>
      <c r="S821" s="0" t="s">
        <v>228</v>
      </c>
      <c r="T821" s="0" t="s">
        <v>228</v>
      </c>
      <c r="U821" s="0" t="s">
        <v>101</v>
      </c>
      <c r="V821" s="0" t="s">
        <v>228</v>
      </c>
      <c r="W821" s="0" t="s">
        <v>228</v>
      </c>
      <c r="X821" s="0" t="s">
        <v>5121</v>
      </c>
      <c r="Y821" s="0" t="s">
        <v>228</v>
      </c>
      <c r="Z821" s="0" t="s">
        <v>160</v>
      </c>
      <c r="AA821" s="0" t="s">
        <v>151</v>
      </c>
      <c r="AB821" s="0" t="s">
        <v>151</v>
      </c>
      <c r="AC821" s="0" t="s">
        <v>2290</v>
      </c>
      <c r="AD821" s="0" t="s">
        <v>2290</v>
      </c>
      <c r="AE821" s="0" t="s">
        <v>2292</v>
      </c>
      <c r="AF821" s="0" t="s">
        <v>3558</v>
      </c>
      <c r="AG821" s="0" t="s">
        <v>3559</v>
      </c>
      <c r="AH821" s="0" t="s">
        <v>5298</v>
      </c>
      <c r="AI821" s="0" t="s">
        <v>5299</v>
      </c>
      <c r="AJ821" s="0" t="s">
        <v>3654</v>
      </c>
      <c r="AK821" s="0" t="s">
        <v>3873</v>
      </c>
      <c r="AL821" s="0" t="s">
        <v>5125</v>
      </c>
      <c r="AN821" s="0" t="s">
        <v>5300</v>
      </c>
      <c r="AO821" s="0" t="s">
        <v>3695</v>
      </c>
      <c r="AP821" s="0" t="s">
        <v>228</v>
      </c>
      <c r="AQ821" s="0" t="s">
        <v>228</v>
      </c>
      <c r="AR821" s="0" t="s">
        <v>228</v>
      </c>
      <c r="AS821" s="0" t="s">
        <v>228</v>
      </c>
      <c r="AT821" s="0" t="s">
        <v>228</v>
      </c>
      <c r="AU821" s="0" t="s">
        <v>228</v>
      </c>
      <c r="AV821" s="0" t="s">
        <v>228</v>
      </c>
      <c r="AW821" s="0" t="s">
        <v>228</v>
      </c>
      <c r="AX821" s="0" t="s">
        <v>228</v>
      </c>
      <c r="AY821" s="0" t="s">
        <v>228</v>
      </c>
      <c r="AZ821" s="0" t="s">
        <v>228</v>
      </c>
      <c r="BA821" s="0" t="s">
        <v>228</v>
      </c>
      <c r="BB821" s="0" t="s">
        <v>228</v>
      </c>
      <c r="BC821" s="0" t="s">
        <v>228</v>
      </c>
      <c r="BD821" s="0" t="s">
        <v>228</v>
      </c>
      <c r="BE821" s="0" t="s">
        <v>228</v>
      </c>
      <c r="BF821" s="0" t="s">
        <v>228</v>
      </c>
      <c r="BG821" s="0" t="s">
        <v>228</v>
      </c>
      <c r="BH821" s="0" t="s">
        <v>228</v>
      </c>
      <c r="BI821" s="0" t="s">
        <v>228</v>
      </c>
      <c r="BJ821" s="0" t="s">
        <v>228</v>
      </c>
      <c r="BK821" s="0" t="s">
        <v>228</v>
      </c>
      <c r="BL821" s="0" t="s">
        <v>228</v>
      </c>
      <c r="BM821" s="0" t="s">
        <v>228</v>
      </c>
      <c r="BN821" s="0" t="s">
        <v>228</v>
      </c>
      <c r="BO821" s="0" t="s">
        <v>228</v>
      </c>
      <c r="BP821" s="0" t="s">
        <v>228</v>
      </c>
      <c r="BQ821" s="0" t="s">
        <v>228</v>
      </c>
      <c r="BR821" s="0" t="s">
        <v>228</v>
      </c>
      <c r="BS821" s="0" t="s">
        <v>228</v>
      </c>
      <c r="BT821" s="0" t="s">
        <v>228</v>
      </c>
      <c r="CS821" s="0" t="s">
        <v>228</v>
      </c>
      <c r="CT821" s="0" t="s">
        <v>3568</v>
      </c>
      <c r="CU821" s="0" t="s">
        <v>3569</v>
      </c>
      <c r="CV821" s="0" t="s">
        <v>418</v>
      </c>
      <c r="CW821" s="0" t="s">
        <v>3570</v>
      </c>
      <c r="CX821" s="0" t="s">
        <v>419</v>
      </c>
      <c r="CY821" s="0" t="s">
        <v>418</v>
      </c>
      <c r="CZ821" s="0" t="s">
        <v>3571</v>
      </c>
      <c r="DA821" s="0" t="s">
        <v>420</v>
      </c>
      <c r="DB821" s="0" t="s">
        <v>3570</v>
      </c>
      <c r="DC821" s="0" t="s">
        <v>362</v>
      </c>
      <c r="DD821" s="0" t="s">
        <v>282</v>
      </c>
      <c r="DE821" s="0" t="s">
        <v>5301</v>
      </c>
    </row>
    <row customHeight="1" ht="11.25">
      <c r="A822" s="1353" t="s">
        <v>228</v>
      </c>
      <c r="B822" s="0" t="s">
        <v>228</v>
      </c>
      <c r="C822" s="0" t="s">
        <v>228</v>
      </c>
      <c r="D822" s="0" t="s">
        <v>228</v>
      </c>
      <c r="E822" s="0" t="s">
        <v>228</v>
      </c>
      <c r="F822" s="0" t="s">
        <v>228</v>
      </c>
      <c r="G822" s="0" t="s">
        <v>228</v>
      </c>
      <c r="H822" s="0" t="s">
        <v>228</v>
      </c>
      <c r="I822" s="0" t="s">
        <v>5119</v>
      </c>
      <c r="J822" s="0" t="s">
        <v>228</v>
      </c>
      <c r="K822" s="0" t="s">
        <v>228</v>
      </c>
      <c r="L822" s="0" t="s">
        <v>228</v>
      </c>
      <c r="M822" s="0" t="s">
        <v>228</v>
      </c>
      <c r="N822" s="0" t="s">
        <v>228</v>
      </c>
      <c r="O822" s="0" t="s">
        <v>228</v>
      </c>
      <c r="P822" s="0" t="s">
        <v>228</v>
      </c>
      <c r="Q822" s="0" t="s">
        <v>228</v>
      </c>
      <c r="R822" s="0" t="s">
        <v>5302</v>
      </c>
      <c r="S822" s="0" t="s">
        <v>228</v>
      </c>
      <c r="T822" s="0" t="s">
        <v>228</v>
      </c>
      <c r="U822" s="0" t="s">
        <v>101</v>
      </c>
      <c r="V822" s="0" t="s">
        <v>228</v>
      </c>
      <c r="W822" s="0" t="s">
        <v>228</v>
      </c>
      <c r="X822" s="0" t="s">
        <v>5121</v>
      </c>
      <c r="Y822" s="0" t="s">
        <v>228</v>
      </c>
      <c r="Z822" s="0" t="s">
        <v>160</v>
      </c>
      <c r="AA822" s="0" t="s">
        <v>151</v>
      </c>
      <c r="AB822" s="0" t="s">
        <v>151</v>
      </c>
      <c r="AC822" s="0" t="s">
        <v>2290</v>
      </c>
      <c r="AD822" s="0" t="s">
        <v>2290</v>
      </c>
      <c r="AE822" s="0" t="s">
        <v>2292</v>
      </c>
      <c r="AF822" s="0" t="s">
        <v>3558</v>
      </c>
      <c r="AG822" s="0" t="s">
        <v>3559</v>
      </c>
      <c r="AH822" s="0" t="s">
        <v>5303</v>
      </c>
      <c r="AI822" s="0" t="s">
        <v>5304</v>
      </c>
      <c r="AJ822" s="0" t="s">
        <v>5305</v>
      </c>
      <c r="AK822" s="0" t="s">
        <v>4297</v>
      </c>
      <c r="AL822" s="0" t="s">
        <v>5125</v>
      </c>
      <c r="AN822" s="0" t="s">
        <v>5306</v>
      </c>
      <c r="AO822" s="0" t="s">
        <v>3712</v>
      </c>
      <c r="AP822" s="0" t="s">
        <v>228</v>
      </c>
      <c r="AQ822" s="0" t="s">
        <v>228</v>
      </c>
      <c r="AR822" s="0" t="s">
        <v>228</v>
      </c>
      <c r="AS822" s="0" t="s">
        <v>228</v>
      </c>
      <c r="AT822" s="0" t="s">
        <v>228</v>
      </c>
      <c r="AU822" s="0" t="s">
        <v>228</v>
      </c>
      <c r="AV822" s="0" t="s">
        <v>228</v>
      </c>
      <c r="AW822" s="0" t="s">
        <v>228</v>
      </c>
      <c r="AX822" s="0" t="s">
        <v>228</v>
      </c>
      <c r="AY822" s="0" t="s">
        <v>228</v>
      </c>
      <c r="AZ822" s="0" t="s">
        <v>228</v>
      </c>
      <c r="BA822" s="0" t="s">
        <v>228</v>
      </c>
      <c r="BB822" s="0" t="s">
        <v>228</v>
      </c>
      <c r="BC822" s="0" t="s">
        <v>228</v>
      </c>
      <c r="BD822" s="0" t="s">
        <v>228</v>
      </c>
      <c r="BE822" s="0" t="s">
        <v>228</v>
      </c>
      <c r="BF822" s="0" t="s">
        <v>228</v>
      </c>
      <c r="BG822" s="0" t="s">
        <v>228</v>
      </c>
      <c r="BH822" s="0" t="s">
        <v>228</v>
      </c>
      <c r="BI822" s="0" t="s">
        <v>228</v>
      </c>
      <c r="BJ822" s="0" t="s">
        <v>228</v>
      </c>
      <c r="BK822" s="0" t="s">
        <v>228</v>
      </c>
      <c r="BL822" s="0" t="s">
        <v>228</v>
      </c>
      <c r="BM822" s="0" t="s">
        <v>228</v>
      </c>
      <c r="BN822" s="0" t="s">
        <v>228</v>
      </c>
      <c r="BO822" s="0" t="s">
        <v>228</v>
      </c>
      <c r="BP822" s="0" t="s">
        <v>228</v>
      </c>
      <c r="BQ822" s="0" t="s">
        <v>228</v>
      </c>
      <c r="BR822" s="0" t="s">
        <v>228</v>
      </c>
      <c r="BS822" s="0" t="s">
        <v>228</v>
      </c>
      <c r="BT822" s="0" t="s">
        <v>228</v>
      </c>
      <c r="CS822" s="0" t="s">
        <v>228</v>
      </c>
      <c r="CT822" s="0" t="s">
        <v>3568</v>
      </c>
      <c r="CU822" s="0" t="s">
        <v>3569</v>
      </c>
      <c r="CV822" s="0" t="s">
        <v>418</v>
      </c>
      <c r="CW822" s="0" t="s">
        <v>3570</v>
      </c>
      <c r="CX822" s="0" t="s">
        <v>419</v>
      </c>
      <c r="CY822" s="0" t="s">
        <v>418</v>
      </c>
      <c r="CZ822" s="0" t="s">
        <v>3571</v>
      </c>
      <c r="DA822" s="0" t="s">
        <v>420</v>
      </c>
      <c r="DB822" s="0" t="s">
        <v>3570</v>
      </c>
      <c r="DC822" s="0" t="s">
        <v>362</v>
      </c>
      <c r="DD822" s="0" t="s">
        <v>282</v>
      </c>
      <c r="DE822" s="0" t="s">
        <v>5307</v>
      </c>
    </row>
    <row customHeight="1" ht="11.25">
      <c r="A823" s="1353" t="s">
        <v>228</v>
      </c>
      <c r="B823" s="0" t="s">
        <v>228</v>
      </c>
      <c r="C823" s="0" t="s">
        <v>228</v>
      </c>
      <c r="D823" s="0" t="s">
        <v>228</v>
      </c>
      <c r="E823" s="0" t="s">
        <v>228</v>
      </c>
      <c r="F823" s="0" t="s">
        <v>228</v>
      </c>
      <c r="G823" s="0" t="s">
        <v>228</v>
      </c>
      <c r="H823" s="0" t="s">
        <v>228</v>
      </c>
      <c r="I823" s="0" t="s">
        <v>5119</v>
      </c>
      <c r="J823" s="0" t="s">
        <v>228</v>
      </c>
      <c r="K823" s="0" t="s">
        <v>228</v>
      </c>
      <c r="L823" s="0" t="s">
        <v>228</v>
      </c>
      <c r="M823" s="0" t="s">
        <v>228</v>
      </c>
      <c r="N823" s="0" t="s">
        <v>228</v>
      </c>
      <c r="O823" s="0" t="s">
        <v>228</v>
      </c>
      <c r="P823" s="0" t="s">
        <v>228</v>
      </c>
      <c r="Q823" s="0" t="s">
        <v>228</v>
      </c>
      <c r="R823" s="0" t="s">
        <v>5308</v>
      </c>
      <c r="S823" s="0" t="s">
        <v>228</v>
      </c>
      <c r="T823" s="0" t="s">
        <v>228</v>
      </c>
      <c r="U823" s="0" t="s">
        <v>101</v>
      </c>
      <c r="V823" s="0" t="s">
        <v>228</v>
      </c>
      <c r="W823" s="0" t="s">
        <v>228</v>
      </c>
      <c r="X823" s="0" t="s">
        <v>5121</v>
      </c>
      <c r="Y823" s="0" t="s">
        <v>228</v>
      </c>
      <c r="Z823" s="0" t="s">
        <v>160</v>
      </c>
      <c r="AA823" s="0" t="s">
        <v>151</v>
      </c>
      <c r="AB823" s="0" t="s">
        <v>151</v>
      </c>
      <c r="AC823" s="0" t="s">
        <v>2290</v>
      </c>
      <c r="AD823" s="0" t="s">
        <v>2290</v>
      </c>
      <c r="AE823" s="0" t="s">
        <v>2292</v>
      </c>
      <c r="AF823" s="0" t="s">
        <v>3558</v>
      </c>
      <c r="AG823" s="0" t="s">
        <v>3559</v>
      </c>
      <c r="AH823" s="0" t="s">
        <v>5309</v>
      </c>
      <c r="AI823" s="0" t="s">
        <v>5304</v>
      </c>
      <c r="AJ823" s="0" t="s">
        <v>5279</v>
      </c>
      <c r="AK823" s="0" t="s">
        <v>4075</v>
      </c>
      <c r="AL823" s="0" t="s">
        <v>5125</v>
      </c>
      <c r="AN823" s="0" t="s">
        <v>5310</v>
      </c>
      <c r="AO823" s="0" t="s">
        <v>3621</v>
      </c>
      <c r="AP823" s="0" t="s">
        <v>228</v>
      </c>
      <c r="AQ823" s="0" t="s">
        <v>228</v>
      </c>
      <c r="AR823" s="0" t="s">
        <v>228</v>
      </c>
      <c r="AS823" s="0" t="s">
        <v>228</v>
      </c>
      <c r="AT823" s="0" t="s">
        <v>228</v>
      </c>
      <c r="AU823" s="0" t="s">
        <v>228</v>
      </c>
      <c r="AV823" s="0" t="s">
        <v>228</v>
      </c>
      <c r="AW823" s="0" t="s">
        <v>228</v>
      </c>
      <c r="AX823" s="0" t="s">
        <v>228</v>
      </c>
      <c r="AY823" s="0" t="s">
        <v>228</v>
      </c>
      <c r="AZ823" s="0" t="s">
        <v>228</v>
      </c>
      <c r="BA823" s="0" t="s">
        <v>228</v>
      </c>
      <c r="BB823" s="0" t="s">
        <v>228</v>
      </c>
      <c r="BC823" s="0" t="s">
        <v>228</v>
      </c>
      <c r="BD823" s="0" t="s">
        <v>228</v>
      </c>
      <c r="BE823" s="0" t="s">
        <v>228</v>
      </c>
      <c r="BF823" s="0" t="s">
        <v>228</v>
      </c>
      <c r="BG823" s="0" t="s">
        <v>228</v>
      </c>
      <c r="BH823" s="0" t="s">
        <v>228</v>
      </c>
      <c r="BI823" s="0" t="s">
        <v>228</v>
      </c>
      <c r="BJ823" s="0" t="s">
        <v>228</v>
      </c>
      <c r="BK823" s="0" t="s">
        <v>228</v>
      </c>
      <c r="BL823" s="0" t="s">
        <v>228</v>
      </c>
      <c r="BM823" s="0" t="s">
        <v>228</v>
      </c>
      <c r="BN823" s="0" t="s">
        <v>228</v>
      </c>
      <c r="BO823" s="0" t="s">
        <v>228</v>
      </c>
      <c r="BP823" s="0" t="s">
        <v>228</v>
      </c>
      <c r="BQ823" s="0" t="s">
        <v>228</v>
      </c>
      <c r="BR823" s="0" t="s">
        <v>228</v>
      </c>
      <c r="BS823" s="0" t="s">
        <v>228</v>
      </c>
      <c r="BT823" s="0" t="s">
        <v>228</v>
      </c>
      <c r="CS823" s="0" t="s">
        <v>228</v>
      </c>
      <c r="CT823" s="0" t="s">
        <v>3568</v>
      </c>
      <c r="CU823" s="0" t="s">
        <v>3569</v>
      </c>
      <c r="CV823" s="0" t="s">
        <v>418</v>
      </c>
      <c r="CW823" s="0" t="s">
        <v>3570</v>
      </c>
      <c r="CX823" s="0" t="s">
        <v>419</v>
      </c>
      <c r="CY823" s="0" t="s">
        <v>418</v>
      </c>
      <c r="CZ823" s="0" t="s">
        <v>3571</v>
      </c>
      <c r="DA823" s="0" t="s">
        <v>420</v>
      </c>
      <c r="DB823" s="0" t="s">
        <v>3570</v>
      </c>
      <c r="DC823" s="0" t="s">
        <v>362</v>
      </c>
      <c r="DD823" s="0" t="s">
        <v>282</v>
      </c>
      <c r="DE823" s="0" t="s">
        <v>5311</v>
      </c>
    </row>
    <row customHeight="1" ht="11.25">
      <c r="A824" s="1353" t="s">
        <v>228</v>
      </c>
      <c r="B824" s="0" t="s">
        <v>228</v>
      </c>
      <c r="C824" s="0" t="s">
        <v>228</v>
      </c>
      <c r="D824" s="0" t="s">
        <v>228</v>
      </c>
      <c r="E824" s="0" t="s">
        <v>228</v>
      </c>
      <c r="F824" s="0" t="s">
        <v>228</v>
      </c>
      <c r="G824" s="0" t="s">
        <v>228</v>
      </c>
      <c r="H824" s="0" t="s">
        <v>228</v>
      </c>
      <c r="I824" s="0" t="s">
        <v>5119</v>
      </c>
      <c r="J824" s="0" t="s">
        <v>228</v>
      </c>
      <c r="K824" s="0" t="s">
        <v>228</v>
      </c>
      <c r="L824" s="0" t="s">
        <v>228</v>
      </c>
      <c r="M824" s="0" t="s">
        <v>228</v>
      </c>
      <c r="N824" s="0" t="s">
        <v>228</v>
      </c>
      <c r="O824" s="0" t="s">
        <v>228</v>
      </c>
      <c r="P824" s="0" t="s">
        <v>228</v>
      </c>
      <c r="Q824" s="0" t="s">
        <v>228</v>
      </c>
      <c r="R824" s="0" t="s">
        <v>5312</v>
      </c>
      <c r="S824" s="0" t="s">
        <v>228</v>
      </c>
      <c r="T824" s="0" t="s">
        <v>228</v>
      </c>
      <c r="U824" s="0" t="s">
        <v>101</v>
      </c>
      <c r="V824" s="0" t="s">
        <v>228</v>
      </c>
      <c r="W824" s="0" t="s">
        <v>228</v>
      </c>
      <c r="X824" s="0" t="s">
        <v>5121</v>
      </c>
      <c r="Y824" s="0" t="s">
        <v>228</v>
      </c>
      <c r="Z824" s="0" t="s">
        <v>160</v>
      </c>
      <c r="AA824" s="0" t="s">
        <v>151</v>
      </c>
      <c r="AB824" s="0" t="s">
        <v>151</v>
      </c>
      <c r="AC824" s="0" t="s">
        <v>2290</v>
      </c>
      <c r="AD824" s="0" t="s">
        <v>2290</v>
      </c>
      <c r="AE824" s="0" t="s">
        <v>2292</v>
      </c>
      <c r="AF824" s="0" t="s">
        <v>3558</v>
      </c>
      <c r="AG824" s="0" t="s">
        <v>3559</v>
      </c>
      <c r="AH824" s="0" t="s">
        <v>5313</v>
      </c>
      <c r="AI824" s="0" t="s">
        <v>5314</v>
      </c>
      <c r="AJ824" s="0" t="s">
        <v>5279</v>
      </c>
      <c r="AK824" s="0" t="s">
        <v>4075</v>
      </c>
      <c r="AL824" s="0" t="s">
        <v>5125</v>
      </c>
      <c r="AN824" s="0" t="s">
        <v>4188</v>
      </c>
      <c r="AO824" s="0" t="s">
        <v>3621</v>
      </c>
      <c r="AP824" s="0" t="s">
        <v>228</v>
      </c>
      <c r="AQ824" s="0" t="s">
        <v>228</v>
      </c>
      <c r="AR824" s="0" t="s">
        <v>228</v>
      </c>
      <c r="AS824" s="0" t="s">
        <v>228</v>
      </c>
      <c r="AT824" s="0" t="s">
        <v>228</v>
      </c>
      <c r="AU824" s="0" t="s">
        <v>228</v>
      </c>
      <c r="AV824" s="0" t="s">
        <v>228</v>
      </c>
      <c r="AW824" s="0" t="s">
        <v>228</v>
      </c>
      <c r="AX824" s="0" t="s">
        <v>228</v>
      </c>
      <c r="AY824" s="0" t="s">
        <v>228</v>
      </c>
      <c r="AZ824" s="0" t="s">
        <v>228</v>
      </c>
      <c r="BA824" s="0" t="s">
        <v>228</v>
      </c>
      <c r="BB824" s="0" t="s">
        <v>228</v>
      </c>
      <c r="BC824" s="0" t="s">
        <v>228</v>
      </c>
      <c r="BD824" s="0" t="s">
        <v>228</v>
      </c>
      <c r="BE824" s="0" t="s">
        <v>228</v>
      </c>
      <c r="BF824" s="0" t="s">
        <v>228</v>
      </c>
      <c r="BG824" s="0" t="s">
        <v>228</v>
      </c>
      <c r="BH824" s="0" t="s">
        <v>228</v>
      </c>
      <c r="BI824" s="0" t="s">
        <v>228</v>
      </c>
      <c r="BJ824" s="0" t="s">
        <v>228</v>
      </c>
      <c r="BK824" s="0" t="s">
        <v>228</v>
      </c>
      <c r="BL824" s="0" t="s">
        <v>228</v>
      </c>
      <c r="BM824" s="0" t="s">
        <v>228</v>
      </c>
      <c r="BN824" s="0" t="s">
        <v>228</v>
      </c>
      <c r="BO824" s="0" t="s">
        <v>228</v>
      </c>
      <c r="BP824" s="0" t="s">
        <v>228</v>
      </c>
      <c r="BQ824" s="0" t="s">
        <v>228</v>
      </c>
      <c r="BR824" s="0" t="s">
        <v>228</v>
      </c>
      <c r="BS824" s="0" t="s">
        <v>228</v>
      </c>
      <c r="BT824" s="0" t="s">
        <v>228</v>
      </c>
      <c r="CS824" s="0" t="s">
        <v>228</v>
      </c>
      <c r="CT824" s="0" t="s">
        <v>3568</v>
      </c>
      <c r="CU824" s="0" t="s">
        <v>3569</v>
      </c>
      <c r="CV824" s="0" t="s">
        <v>418</v>
      </c>
      <c r="CW824" s="0" t="s">
        <v>3570</v>
      </c>
      <c r="CX824" s="0" t="s">
        <v>419</v>
      </c>
      <c r="CY824" s="0" t="s">
        <v>418</v>
      </c>
      <c r="CZ824" s="0" t="s">
        <v>3571</v>
      </c>
      <c r="DA824" s="0" t="s">
        <v>420</v>
      </c>
      <c r="DB824" s="0" t="s">
        <v>3570</v>
      </c>
      <c r="DC824" s="0" t="s">
        <v>362</v>
      </c>
      <c r="DD824" s="0" t="s">
        <v>282</v>
      </c>
      <c r="DE824" s="0" t="s">
        <v>5315</v>
      </c>
    </row>
    <row customHeight="1" ht="11.25">
      <c r="A825" s="1353" t="s">
        <v>228</v>
      </c>
      <c r="B825" s="0" t="s">
        <v>228</v>
      </c>
      <c r="C825" s="0" t="s">
        <v>228</v>
      </c>
      <c r="D825" s="0" t="s">
        <v>228</v>
      </c>
      <c r="E825" s="0" t="s">
        <v>228</v>
      </c>
      <c r="F825" s="0" t="s">
        <v>228</v>
      </c>
      <c r="G825" s="0" t="s">
        <v>228</v>
      </c>
      <c r="H825" s="0" t="s">
        <v>228</v>
      </c>
      <c r="I825" s="0" t="s">
        <v>5119</v>
      </c>
      <c r="J825" s="0" t="s">
        <v>228</v>
      </c>
      <c r="K825" s="0" t="s">
        <v>228</v>
      </c>
      <c r="L825" s="0" t="s">
        <v>228</v>
      </c>
      <c r="M825" s="0" t="s">
        <v>228</v>
      </c>
      <c r="N825" s="0" t="s">
        <v>228</v>
      </c>
      <c r="O825" s="0" t="s">
        <v>228</v>
      </c>
      <c r="P825" s="0" t="s">
        <v>228</v>
      </c>
      <c r="Q825" s="0" t="s">
        <v>228</v>
      </c>
      <c r="R825" s="0" t="s">
        <v>5345</v>
      </c>
      <c r="S825" s="0" t="s">
        <v>228</v>
      </c>
      <c r="T825" s="0" t="s">
        <v>228</v>
      </c>
      <c r="U825" s="0" t="s">
        <v>101</v>
      </c>
      <c r="V825" s="0" t="s">
        <v>228</v>
      </c>
      <c r="W825" s="0" t="s">
        <v>228</v>
      </c>
      <c r="X825" s="0" t="s">
        <v>5121</v>
      </c>
      <c r="Y825" s="0" t="s">
        <v>228</v>
      </c>
      <c r="Z825" s="0" t="s">
        <v>160</v>
      </c>
      <c r="AA825" s="0" t="s">
        <v>151</v>
      </c>
      <c r="AB825" s="0" t="s">
        <v>151</v>
      </c>
      <c r="AC825" s="0" t="s">
        <v>2715</v>
      </c>
      <c r="AD825" s="0" t="s">
        <v>2715</v>
      </c>
      <c r="AE825" s="0" t="s">
        <v>2716</v>
      </c>
      <c r="AF825" s="0" t="s">
        <v>3594</v>
      </c>
      <c r="AG825" s="0" t="s">
        <v>3595</v>
      </c>
      <c r="AH825" s="0" t="s">
        <v>5346</v>
      </c>
      <c r="AI825" s="0" t="s">
        <v>5347</v>
      </c>
      <c r="AJ825" s="0" t="s">
        <v>5348</v>
      </c>
      <c r="AK825" s="0" t="s">
        <v>5349</v>
      </c>
      <c r="AL825" s="0" t="s">
        <v>5125</v>
      </c>
      <c r="AN825" s="0" t="s">
        <v>3563</v>
      </c>
      <c r="AO825" s="0" t="s">
        <v>5233</v>
      </c>
      <c r="AP825" s="0" t="s">
        <v>228</v>
      </c>
      <c r="AQ825" s="0" t="s">
        <v>228</v>
      </c>
      <c r="AR825" s="0" t="s">
        <v>228</v>
      </c>
      <c r="AS825" s="0" t="s">
        <v>228</v>
      </c>
      <c r="AT825" s="0" t="s">
        <v>228</v>
      </c>
      <c r="AU825" s="0" t="s">
        <v>228</v>
      </c>
      <c r="AV825" s="0" t="s">
        <v>228</v>
      </c>
      <c r="AW825" s="0" t="s">
        <v>228</v>
      </c>
      <c r="AX825" s="0" t="s">
        <v>228</v>
      </c>
      <c r="AY825" s="0" t="s">
        <v>228</v>
      </c>
      <c r="AZ825" s="0" t="s">
        <v>228</v>
      </c>
      <c r="BA825" s="0" t="s">
        <v>228</v>
      </c>
      <c r="BB825" s="0" t="s">
        <v>228</v>
      </c>
      <c r="BC825" s="0" t="s">
        <v>228</v>
      </c>
      <c r="BD825" s="0" t="s">
        <v>228</v>
      </c>
      <c r="BE825" s="0" t="s">
        <v>228</v>
      </c>
      <c r="BF825" s="0" t="s">
        <v>228</v>
      </c>
      <c r="BG825" s="0" t="s">
        <v>228</v>
      </c>
      <c r="BH825" s="0" t="s">
        <v>228</v>
      </c>
      <c r="BI825" s="0" t="s">
        <v>228</v>
      </c>
      <c r="BJ825" s="0" t="s">
        <v>228</v>
      </c>
      <c r="BK825" s="0" t="s">
        <v>228</v>
      </c>
      <c r="BL825" s="0" t="s">
        <v>228</v>
      </c>
      <c r="BM825" s="0" t="s">
        <v>228</v>
      </c>
      <c r="BN825" s="0" t="s">
        <v>228</v>
      </c>
      <c r="BO825" s="0" t="s">
        <v>228</v>
      </c>
      <c r="BP825" s="0" t="s">
        <v>228</v>
      </c>
      <c r="BQ825" s="0" t="s">
        <v>228</v>
      </c>
      <c r="BR825" s="0" t="s">
        <v>228</v>
      </c>
      <c r="BS825" s="0" t="s">
        <v>228</v>
      </c>
      <c r="BT825" s="0" t="s">
        <v>228</v>
      </c>
      <c r="CS825" s="0" t="s">
        <v>228</v>
      </c>
      <c r="CT825" s="0" t="s">
        <v>3568</v>
      </c>
      <c r="CU825" s="0" t="s">
        <v>3569</v>
      </c>
      <c r="CV825" s="0" t="s">
        <v>418</v>
      </c>
      <c r="CW825" s="0" t="s">
        <v>3602</v>
      </c>
      <c r="CX825" s="0" t="s">
        <v>419</v>
      </c>
      <c r="CY825" s="0" t="s">
        <v>418</v>
      </c>
      <c r="CZ825" s="0" t="s">
        <v>504</v>
      </c>
      <c r="DA825" s="0" t="s">
        <v>3604</v>
      </c>
      <c r="DB825" s="0" t="s">
        <v>5350</v>
      </c>
      <c r="DC825" s="0" t="s">
        <v>362</v>
      </c>
      <c r="DD825" s="0" t="s">
        <v>282</v>
      </c>
      <c r="DE825" s="0" t="s">
        <v>5351</v>
      </c>
    </row>
    <row customHeight="1" ht="11.25">
      <c r="A826" s="1353" t="s">
        <v>228</v>
      </c>
      <c r="B826" s="0" t="s">
        <v>228</v>
      </c>
      <c r="C826" s="0" t="s">
        <v>228</v>
      </c>
      <c r="D826" s="0" t="s">
        <v>228</v>
      </c>
      <c r="E826" s="0" t="s">
        <v>228</v>
      </c>
      <c r="F826" s="0" t="s">
        <v>228</v>
      </c>
      <c r="G826" s="0" t="s">
        <v>228</v>
      </c>
      <c r="H826" s="0" t="s">
        <v>228</v>
      </c>
      <c r="I826" s="0" t="s">
        <v>5119</v>
      </c>
      <c r="J826" s="0" t="s">
        <v>228</v>
      </c>
      <c r="K826" s="0" t="s">
        <v>228</v>
      </c>
      <c r="L826" s="0" t="s">
        <v>228</v>
      </c>
      <c r="M826" s="0" t="s">
        <v>228</v>
      </c>
      <c r="N826" s="0" t="s">
        <v>228</v>
      </c>
      <c r="O826" s="0" t="s">
        <v>228</v>
      </c>
      <c r="P826" s="0" t="s">
        <v>228</v>
      </c>
      <c r="Q826" s="0" t="s">
        <v>228</v>
      </c>
      <c r="R826" s="0" t="s">
        <v>5375</v>
      </c>
      <c r="S826" s="0" t="s">
        <v>228</v>
      </c>
      <c r="T826" s="0" t="s">
        <v>228</v>
      </c>
      <c r="U826" s="0" t="s">
        <v>101</v>
      </c>
      <c r="V826" s="0" t="s">
        <v>228</v>
      </c>
      <c r="W826" s="0" t="s">
        <v>228</v>
      </c>
      <c r="X826" s="0" t="s">
        <v>5121</v>
      </c>
      <c r="Y826" s="0" t="s">
        <v>228</v>
      </c>
      <c r="Z826" s="0" t="s">
        <v>160</v>
      </c>
      <c r="AA826" s="0" t="s">
        <v>151</v>
      </c>
      <c r="AB826" s="0" t="s">
        <v>151</v>
      </c>
      <c r="AC826" s="0" t="s">
        <v>2715</v>
      </c>
      <c r="AD826" s="0" t="s">
        <v>2715</v>
      </c>
      <c r="AE826" s="0" t="s">
        <v>2716</v>
      </c>
      <c r="AF826" s="0" t="s">
        <v>3594</v>
      </c>
      <c r="AG826" s="0" t="s">
        <v>3595</v>
      </c>
      <c r="AH826" s="0" t="s">
        <v>5376</v>
      </c>
      <c r="AI826" s="0" t="s">
        <v>5377</v>
      </c>
      <c r="AJ826" s="0" t="s">
        <v>3579</v>
      </c>
      <c r="AK826" s="0" t="s">
        <v>3674</v>
      </c>
      <c r="AL826" s="0" t="s">
        <v>5125</v>
      </c>
      <c r="AN826" s="0" t="s">
        <v>3566</v>
      </c>
      <c r="AO826" s="0" t="s">
        <v>5378</v>
      </c>
      <c r="AP826" s="0" t="s">
        <v>228</v>
      </c>
      <c r="AQ826" s="0" t="s">
        <v>228</v>
      </c>
      <c r="AR826" s="0" t="s">
        <v>228</v>
      </c>
      <c r="AS826" s="0" t="s">
        <v>228</v>
      </c>
      <c r="AT826" s="0" t="s">
        <v>228</v>
      </c>
      <c r="AU826" s="0" t="s">
        <v>228</v>
      </c>
      <c r="AV826" s="0" t="s">
        <v>228</v>
      </c>
      <c r="AW826" s="0" t="s">
        <v>228</v>
      </c>
      <c r="AX826" s="0" t="s">
        <v>228</v>
      </c>
      <c r="AY826" s="0" t="s">
        <v>228</v>
      </c>
      <c r="AZ826" s="0" t="s">
        <v>228</v>
      </c>
      <c r="BA826" s="0" t="s">
        <v>228</v>
      </c>
      <c r="BB826" s="0" t="s">
        <v>228</v>
      </c>
      <c r="BC826" s="0" t="s">
        <v>228</v>
      </c>
      <c r="BD826" s="0" t="s">
        <v>228</v>
      </c>
      <c r="BE826" s="0" t="s">
        <v>228</v>
      </c>
      <c r="BF826" s="0" t="s">
        <v>228</v>
      </c>
      <c r="BG826" s="0" t="s">
        <v>228</v>
      </c>
      <c r="BH826" s="0" t="s">
        <v>228</v>
      </c>
      <c r="BI826" s="0" t="s">
        <v>228</v>
      </c>
      <c r="BJ826" s="0" t="s">
        <v>228</v>
      </c>
      <c r="BK826" s="0" t="s">
        <v>228</v>
      </c>
      <c r="BL826" s="0" t="s">
        <v>228</v>
      </c>
      <c r="BM826" s="0" t="s">
        <v>228</v>
      </c>
      <c r="BN826" s="0" t="s">
        <v>228</v>
      </c>
      <c r="BO826" s="0" t="s">
        <v>228</v>
      </c>
      <c r="BP826" s="0" t="s">
        <v>228</v>
      </c>
      <c r="BQ826" s="0" t="s">
        <v>228</v>
      </c>
      <c r="BR826" s="0" t="s">
        <v>228</v>
      </c>
      <c r="BS826" s="0" t="s">
        <v>228</v>
      </c>
      <c r="BT826" s="0" t="s">
        <v>228</v>
      </c>
      <c r="CS826" s="0" t="s">
        <v>228</v>
      </c>
      <c r="CT826" s="0" t="s">
        <v>3568</v>
      </c>
      <c r="CU826" s="0" t="s">
        <v>3569</v>
      </c>
      <c r="CV826" s="0" t="s">
        <v>418</v>
      </c>
      <c r="CW826" s="0" t="s">
        <v>3602</v>
      </c>
      <c r="CX826" s="0" t="s">
        <v>419</v>
      </c>
      <c r="CY826" s="0" t="s">
        <v>418</v>
      </c>
      <c r="CZ826" s="0" t="s">
        <v>504</v>
      </c>
      <c r="DA826" s="0" t="s">
        <v>3604</v>
      </c>
      <c r="DB826" s="0" t="s">
        <v>5379</v>
      </c>
      <c r="DC826" s="0" t="s">
        <v>362</v>
      </c>
      <c r="DD826" s="0" t="s">
        <v>282</v>
      </c>
      <c r="DE826" s="0" t="s">
        <v>5380</v>
      </c>
    </row>
    <row customHeight="1" ht="11.25">
      <c r="A827" s="1353" t="s">
        <v>228</v>
      </c>
      <c r="B827" s="0" t="s">
        <v>228</v>
      </c>
      <c r="C827" s="0" t="s">
        <v>228</v>
      </c>
      <c r="D827" s="0" t="s">
        <v>228</v>
      </c>
      <c r="E827" s="0" t="s">
        <v>228</v>
      </c>
      <c r="F827" s="0" t="s">
        <v>228</v>
      </c>
      <c r="G827" s="0" t="s">
        <v>228</v>
      </c>
      <c r="H827" s="0" t="s">
        <v>228</v>
      </c>
      <c r="I827" s="0" t="s">
        <v>5119</v>
      </c>
      <c r="J827" s="0" t="s">
        <v>228</v>
      </c>
      <c r="K827" s="0" t="s">
        <v>228</v>
      </c>
      <c r="L827" s="0" t="s">
        <v>228</v>
      </c>
      <c r="M827" s="0" t="s">
        <v>228</v>
      </c>
      <c r="N827" s="0" t="s">
        <v>228</v>
      </c>
      <c r="O827" s="0" t="s">
        <v>228</v>
      </c>
      <c r="P827" s="0" t="s">
        <v>228</v>
      </c>
      <c r="Q827" s="0" t="s">
        <v>228</v>
      </c>
      <c r="R827" s="0" t="s">
        <v>5381</v>
      </c>
      <c r="S827" s="0" t="s">
        <v>228</v>
      </c>
      <c r="T827" s="0" t="s">
        <v>228</v>
      </c>
      <c r="U827" s="0" t="s">
        <v>101</v>
      </c>
      <c r="V827" s="0" t="s">
        <v>228</v>
      </c>
      <c r="W827" s="0" t="s">
        <v>228</v>
      </c>
      <c r="X827" s="0" t="s">
        <v>5121</v>
      </c>
      <c r="Y827" s="0" t="s">
        <v>228</v>
      </c>
      <c r="Z827" s="0" t="s">
        <v>160</v>
      </c>
      <c r="AA827" s="0" t="s">
        <v>151</v>
      </c>
      <c r="AB827" s="0" t="s">
        <v>151</v>
      </c>
      <c r="AC827" s="0" t="s">
        <v>2715</v>
      </c>
      <c r="AD827" s="0" t="s">
        <v>2715</v>
      </c>
      <c r="AE827" s="0" t="s">
        <v>2716</v>
      </c>
      <c r="AF827" s="0" t="s">
        <v>3594</v>
      </c>
      <c r="AG827" s="0" t="s">
        <v>3595</v>
      </c>
      <c r="AH827" s="0" t="s">
        <v>5376</v>
      </c>
      <c r="AI827" s="0" t="s">
        <v>319</v>
      </c>
      <c r="AJ827" s="0" t="s">
        <v>5382</v>
      </c>
      <c r="AK827" s="0" t="s">
        <v>5383</v>
      </c>
      <c r="AL827" s="0" t="s">
        <v>5125</v>
      </c>
      <c r="AN827" s="0" t="s">
        <v>3566</v>
      </c>
      <c r="AO827" s="0" t="s">
        <v>5378</v>
      </c>
      <c r="AP827" s="0" t="s">
        <v>228</v>
      </c>
      <c r="AQ827" s="0" t="s">
        <v>228</v>
      </c>
      <c r="AR827" s="0" t="s">
        <v>228</v>
      </c>
      <c r="AS827" s="0" t="s">
        <v>228</v>
      </c>
      <c r="AT827" s="0" t="s">
        <v>228</v>
      </c>
      <c r="AU827" s="0" t="s">
        <v>228</v>
      </c>
      <c r="AV827" s="0" t="s">
        <v>228</v>
      </c>
      <c r="AW827" s="0" t="s">
        <v>228</v>
      </c>
      <c r="AX827" s="0" t="s">
        <v>228</v>
      </c>
      <c r="AY827" s="0" t="s">
        <v>228</v>
      </c>
      <c r="AZ827" s="0" t="s">
        <v>228</v>
      </c>
      <c r="BA827" s="0" t="s">
        <v>228</v>
      </c>
      <c r="BB827" s="0" t="s">
        <v>228</v>
      </c>
      <c r="BC827" s="0" t="s">
        <v>228</v>
      </c>
      <c r="BD827" s="0" t="s">
        <v>228</v>
      </c>
      <c r="BE827" s="0" t="s">
        <v>228</v>
      </c>
      <c r="BF827" s="0" t="s">
        <v>228</v>
      </c>
      <c r="BG827" s="0" t="s">
        <v>228</v>
      </c>
      <c r="BH827" s="0" t="s">
        <v>228</v>
      </c>
      <c r="BI827" s="0" t="s">
        <v>228</v>
      </c>
      <c r="BJ827" s="0" t="s">
        <v>228</v>
      </c>
      <c r="BK827" s="0" t="s">
        <v>228</v>
      </c>
      <c r="BL827" s="0" t="s">
        <v>228</v>
      </c>
      <c r="BM827" s="0" t="s">
        <v>228</v>
      </c>
      <c r="BN827" s="0" t="s">
        <v>228</v>
      </c>
      <c r="BO827" s="0" t="s">
        <v>228</v>
      </c>
      <c r="BP827" s="0" t="s">
        <v>228</v>
      </c>
      <c r="BQ827" s="0" t="s">
        <v>228</v>
      </c>
      <c r="BR827" s="0" t="s">
        <v>228</v>
      </c>
      <c r="BS827" s="0" t="s">
        <v>228</v>
      </c>
      <c r="BT827" s="0" t="s">
        <v>228</v>
      </c>
      <c r="CS827" s="0" t="s">
        <v>228</v>
      </c>
      <c r="CT827" s="0" t="s">
        <v>3568</v>
      </c>
      <c r="CU827" s="0" t="s">
        <v>3569</v>
      </c>
      <c r="CV827" s="0" t="s">
        <v>418</v>
      </c>
      <c r="CW827" s="0" t="s">
        <v>3602</v>
      </c>
      <c r="CX827" s="0" t="s">
        <v>419</v>
      </c>
      <c r="CY827" s="0" t="s">
        <v>418</v>
      </c>
      <c r="CZ827" s="0" t="s">
        <v>504</v>
      </c>
      <c r="DA827" s="0" t="s">
        <v>3604</v>
      </c>
      <c r="DB827" s="0" t="s">
        <v>5379</v>
      </c>
      <c r="DC827" s="0" t="s">
        <v>362</v>
      </c>
      <c r="DD827" s="0" t="s">
        <v>282</v>
      </c>
      <c r="DE827" s="0" t="s">
        <v>5384</v>
      </c>
    </row>
    <row customHeight="1" ht="11.25">
      <c r="A828" s="1353" t="s">
        <v>228</v>
      </c>
      <c r="B828" s="0" t="s">
        <v>228</v>
      </c>
      <c r="C828" s="0" t="s">
        <v>228</v>
      </c>
      <c r="D828" s="0" t="s">
        <v>228</v>
      </c>
      <c r="E828" s="0" t="s">
        <v>228</v>
      </c>
      <c r="F828" s="0" t="s">
        <v>228</v>
      </c>
      <c r="G828" s="0" t="s">
        <v>228</v>
      </c>
      <c r="H828" s="0" t="s">
        <v>228</v>
      </c>
      <c r="I828" s="0" t="s">
        <v>5119</v>
      </c>
      <c r="J828" s="0" t="s">
        <v>228</v>
      </c>
      <c r="K828" s="0" t="s">
        <v>228</v>
      </c>
      <c r="L828" s="0" t="s">
        <v>228</v>
      </c>
      <c r="M828" s="0" t="s">
        <v>228</v>
      </c>
      <c r="N828" s="0" t="s">
        <v>228</v>
      </c>
      <c r="O828" s="0" t="s">
        <v>228</v>
      </c>
      <c r="P828" s="0" t="s">
        <v>228</v>
      </c>
      <c r="Q828" s="0" t="s">
        <v>228</v>
      </c>
      <c r="R828" s="0" t="s">
        <v>5352</v>
      </c>
      <c r="S828" s="0" t="s">
        <v>228</v>
      </c>
      <c r="T828" s="0" t="s">
        <v>228</v>
      </c>
      <c r="U828" s="0" t="s">
        <v>101</v>
      </c>
      <c r="V828" s="0" t="s">
        <v>228</v>
      </c>
      <c r="W828" s="0" t="s">
        <v>228</v>
      </c>
      <c r="X828" s="0" t="s">
        <v>5121</v>
      </c>
      <c r="Y828" s="0" t="s">
        <v>228</v>
      </c>
      <c r="Z828" s="0" t="s">
        <v>160</v>
      </c>
      <c r="AA828" s="0" t="s">
        <v>151</v>
      </c>
      <c r="AB828" s="0" t="s">
        <v>151</v>
      </c>
      <c r="AC828" s="0" t="s">
        <v>2290</v>
      </c>
      <c r="AD828" s="0" t="s">
        <v>2290</v>
      </c>
      <c r="AE828" s="0" t="s">
        <v>2292</v>
      </c>
      <c r="AF828" s="0" t="s">
        <v>3558</v>
      </c>
      <c r="AG828" s="0" t="s">
        <v>3559</v>
      </c>
      <c r="AH828" s="0" t="s">
        <v>3560</v>
      </c>
      <c r="AI828" s="0" t="s">
        <v>5353</v>
      </c>
      <c r="AJ828" s="0" t="s">
        <v>3654</v>
      </c>
      <c r="AK828" s="0" t="s">
        <v>3853</v>
      </c>
      <c r="AL828" s="0" t="s">
        <v>5125</v>
      </c>
      <c r="AN828" s="0" t="s">
        <v>5354</v>
      </c>
      <c r="AO828" s="0" t="s">
        <v>3712</v>
      </c>
      <c r="AP828" s="0" t="s">
        <v>228</v>
      </c>
      <c r="AQ828" s="0" t="s">
        <v>228</v>
      </c>
      <c r="AR828" s="0" t="s">
        <v>228</v>
      </c>
      <c r="AS828" s="0" t="s">
        <v>228</v>
      </c>
      <c r="AT828" s="0" t="s">
        <v>228</v>
      </c>
      <c r="AU828" s="0" t="s">
        <v>228</v>
      </c>
      <c r="AV828" s="0" t="s">
        <v>228</v>
      </c>
      <c r="AW828" s="0" t="s">
        <v>228</v>
      </c>
      <c r="AX828" s="0" t="s">
        <v>228</v>
      </c>
      <c r="AY828" s="0" t="s">
        <v>228</v>
      </c>
      <c r="AZ828" s="0" t="s">
        <v>228</v>
      </c>
      <c r="BA828" s="0" t="s">
        <v>228</v>
      </c>
      <c r="BB828" s="0" t="s">
        <v>228</v>
      </c>
      <c r="BC828" s="0" t="s">
        <v>228</v>
      </c>
      <c r="BD828" s="0" t="s">
        <v>228</v>
      </c>
      <c r="BE828" s="0" t="s">
        <v>228</v>
      </c>
      <c r="BF828" s="0" t="s">
        <v>228</v>
      </c>
      <c r="BG828" s="0" t="s">
        <v>228</v>
      </c>
      <c r="BH828" s="0" t="s">
        <v>228</v>
      </c>
      <c r="BI828" s="0" t="s">
        <v>228</v>
      </c>
      <c r="BJ828" s="0" t="s">
        <v>228</v>
      </c>
      <c r="BK828" s="0" t="s">
        <v>228</v>
      </c>
      <c r="BL828" s="0" t="s">
        <v>228</v>
      </c>
      <c r="BM828" s="0" t="s">
        <v>228</v>
      </c>
      <c r="BN828" s="0" t="s">
        <v>228</v>
      </c>
      <c r="BO828" s="0" t="s">
        <v>228</v>
      </c>
      <c r="BP828" s="0" t="s">
        <v>228</v>
      </c>
      <c r="BQ828" s="0" t="s">
        <v>228</v>
      </c>
      <c r="BR828" s="0" t="s">
        <v>228</v>
      </c>
      <c r="BS828" s="0" t="s">
        <v>228</v>
      </c>
      <c r="BT828" s="0" t="s">
        <v>228</v>
      </c>
      <c r="CS828" s="0" t="s">
        <v>228</v>
      </c>
      <c r="CT828" s="0" t="s">
        <v>3568</v>
      </c>
      <c r="CU828" s="0" t="s">
        <v>3569</v>
      </c>
      <c r="CV828" s="0" t="s">
        <v>418</v>
      </c>
      <c r="CW828" s="0" t="s">
        <v>3570</v>
      </c>
      <c r="CX828" s="0" t="s">
        <v>419</v>
      </c>
      <c r="CY828" s="0" t="s">
        <v>418</v>
      </c>
      <c r="CZ828" s="0" t="s">
        <v>3571</v>
      </c>
      <c r="DA828" s="0" t="s">
        <v>420</v>
      </c>
      <c r="DB828" s="0" t="s">
        <v>3570</v>
      </c>
      <c r="DC828" s="0" t="s">
        <v>362</v>
      </c>
      <c r="DD828" s="0" t="s">
        <v>282</v>
      </c>
      <c r="DE828" s="0" t="s">
        <v>5355</v>
      </c>
    </row>
    <row customHeight="1" ht="11.25">
      <c r="A829" s="1353" t="s">
        <v>228</v>
      </c>
      <c r="B829" s="0" t="s">
        <v>228</v>
      </c>
      <c r="C829" s="0" t="s">
        <v>228</v>
      </c>
      <c r="D829" s="0" t="s">
        <v>228</v>
      </c>
      <c r="E829" s="0" t="s">
        <v>228</v>
      </c>
      <c r="F829" s="0" t="s">
        <v>228</v>
      </c>
      <c r="G829" s="0" t="s">
        <v>228</v>
      </c>
      <c r="H829" s="0" t="s">
        <v>228</v>
      </c>
      <c r="I829" s="0" t="s">
        <v>5119</v>
      </c>
      <c r="J829" s="0" t="s">
        <v>228</v>
      </c>
      <c r="K829" s="0" t="s">
        <v>228</v>
      </c>
      <c r="L829" s="0" t="s">
        <v>228</v>
      </c>
      <c r="M829" s="0" t="s">
        <v>228</v>
      </c>
      <c r="N829" s="0" t="s">
        <v>228</v>
      </c>
      <c r="O829" s="0" t="s">
        <v>228</v>
      </c>
      <c r="P829" s="0" t="s">
        <v>228</v>
      </c>
      <c r="Q829" s="0" t="s">
        <v>228</v>
      </c>
      <c r="R829" s="0" t="s">
        <v>5356</v>
      </c>
      <c r="S829" s="0" t="s">
        <v>228</v>
      </c>
      <c r="T829" s="0" t="s">
        <v>228</v>
      </c>
      <c r="U829" s="0" t="s">
        <v>101</v>
      </c>
      <c r="V829" s="0" t="s">
        <v>228</v>
      </c>
      <c r="W829" s="0" t="s">
        <v>228</v>
      </c>
      <c r="X829" s="0" t="s">
        <v>5121</v>
      </c>
      <c r="Y829" s="0" t="s">
        <v>228</v>
      </c>
      <c r="Z829" s="0" t="s">
        <v>160</v>
      </c>
      <c r="AA829" s="0" t="s">
        <v>151</v>
      </c>
      <c r="AB829" s="0" t="s">
        <v>151</v>
      </c>
      <c r="AC829" s="0" t="s">
        <v>2290</v>
      </c>
      <c r="AD829" s="0" t="s">
        <v>2290</v>
      </c>
      <c r="AE829" s="0" t="s">
        <v>2292</v>
      </c>
      <c r="AF829" s="0" t="s">
        <v>3558</v>
      </c>
      <c r="AG829" s="0" t="s">
        <v>3559</v>
      </c>
      <c r="AH829" s="0" t="s">
        <v>5357</v>
      </c>
      <c r="AI829" s="0" t="s">
        <v>5358</v>
      </c>
      <c r="AJ829" s="0" t="s">
        <v>3654</v>
      </c>
      <c r="AK829" s="0" t="s">
        <v>3853</v>
      </c>
      <c r="AL829" s="0" t="s">
        <v>5125</v>
      </c>
      <c r="AN829" s="0" t="s">
        <v>3743</v>
      </c>
      <c r="AO829" s="0" t="s">
        <v>3845</v>
      </c>
      <c r="AP829" s="0" t="s">
        <v>228</v>
      </c>
      <c r="AQ829" s="0" t="s">
        <v>228</v>
      </c>
      <c r="AR829" s="0" t="s">
        <v>228</v>
      </c>
      <c r="AS829" s="0" t="s">
        <v>228</v>
      </c>
      <c r="AT829" s="0" t="s">
        <v>228</v>
      </c>
      <c r="AU829" s="0" t="s">
        <v>228</v>
      </c>
      <c r="AV829" s="0" t="s">
        <v>228</v>
      </c>
      <c r="AW829" s="0" t="s">
        <v>228</v>
      </c>
      <c r="AX829" s="0" t="s">
        <v>228</v>
      </c>
      <c r="AY829" s="0" t="s">
        <v>228</v>
      </c>
      <c r="AZ829" s="0" t="s">
        <v>228</v>
      </c>
      <c r="BA829" s="0" t="s">
        <v>228</v>
      </c>
      <c r="BB829" s="0" t="s">
        <v>228</v>
      </c>
      <c r="BC829" s="0" t="s">
        <v>228</v>
      </c>
      <c r="BD829" s="0" t="s">
        <v>228</v>
      </c>
      <c r="BE829" s="0" t="s">
        <v>228</v>
      </c>
      <c r="BF829" s="0" t="s">
        <v>228</v>
      </c>
      <c r="BG829" s="0" t="s">
        <v>228</v>
      </c>
      <c r="BH829" s="0" t="s">
        <v>228</v>
      </c>
      <c r="BI829" s="0" t="s">
        <v>228</v>
      </c>
      <c r="BJ829" s="0" t="s">
        <v>228</v>
      </c>
      <c r="BK829" s="0" t="s">
        <v>228</v>
      </c>
      <c r="BL829" s="0" t="s">
        <v>228</v>
      </c>
      <c r="BM829" s="0" t="s">
        <v>228</v>
      </c>
      <c r="BN829" s="0" t="s">
        <v>228</v>
      </c>
      <c r="BO829" s="0" t="s">
        <v>228</v>
      </c>
      <c r="BP829" s="0" t="s">
        <v>228</v>
      </c>
      <c r="BQ829" s="0" t="s">
        <v>228</v>
      </c>
      <c r="BR829" s="0" t="s">
        <v>228</v>
      </c>
      <c r="BS829" s="0" t="s">
        <v>228</v>
      </c>
      <c r="BT829" s="0" t="s">
        <v>228</v>
      </c>
      <c r="CS829" s="0" t="s">
        <v>228</v>
      </c>
      <c r="CT829" s="0" t="s">
        <v>3568</v>
      </c>
      <c r="CU829" s="0" t="s">
        <v>3569</v>
      </c>
      <c r="CV829" s="0" t="s">
        <v>418</v>
      </c>
      <c r="CW829" s="0" t="s">
        <v>3570</v>
      </c>
      <c r="CX829" s="0" t="s">
        <v>419</v>
      </c>
      <c r="CY829" s="0" t="s">
        <v>418</v>
      </c>
      <c r="CZ829" s="0" t="s">
        <v>3571</v>
      </c>
      <c r="DA829" s="0" t="s">
        <v>420</v>
      </c>
      <c r="DB829" s="0" t="s">
        <v>3570</v>
      </c>
      <c r="DC829" s="0" t="s">
        <v>362</v>
      </c>
      <c r="DD829" s="0" t="s">
        <v>282</v>
      </c>
      <c r="DE829" s="0" t="s">
        <v>5359</v>
      </c>
    </row>
    <row customHeight="1" ht="11.25">
      <c r="A830" s="1353" t="s">
        <v>228</v>
      </c>
      <c r="B830" s="0" t="s">
        <v>228</v>
      </c>
      <c r="C830" s="0" t="s">
        <v>228</v>
      </c>
      <c r="D830" s="0" t="s">
        <v>228</v>
      </c>
      <c r="E830" s="0" t="s">
        <v>228</v>
      </c>
      <c r="F830" s="0" t="s">
        <v>228</v>
      </c>
      <c r="G830" s="0" t="s">
        <v>228</v>
      </c>
      <c r="H830" s="0" t="s">
        <v>228</v>
      </c>
      <c r="I830" s="0" t="s">
        <v>5119</v>
      </c>
      <c r="J830" s="0" t="s">
        <v>228</v>
      </c>
      <c r="K830" s="0" t="s">
        <v>228</v>
      </c>
      <c r="L830" s="0" t="s">
        <v>228</v>
      </c>
      <c r="M830" s="0" t="s">
        <v>228</v>
      </c>
      <c r="N830" s="0" t="s">
        <v>228</v>
      </c>
      <c r="O830" s="0" t="s">
        <v>228</v>
      </c>
      <c r="P830" s="0" t="s">
        <v>228</v>
      </c>
      <c r="Q830" s="0" t="s">
        <v>228</v>
      </c>
      <c r="R830" s="0" t="s">
        <v>5364</v>
      </c>
      <c r="S830" s="0" t="s">
        <v>228</v>
      </c>
      <c r="T830" s="0" t="s">
        <v>228</v>
      </c>
      <c r="U830" s="0" t="s">
        <v>101</v>
      </c>
      <c r="V830" s="0" t="s">
        <v>228</v>
      </c>
      <c r="W830" s="0" t="s">
        <v>228</v>
      </c>
      <c r="X830" s="0" t="s">
        <v>5121</v>
      </c>
      <c r="Y830" s="0" t="s">
        <v>228</v>
      </c>
      <c r="Z830" s="0" t="s">
        <v>160</v>
      </c>
      <c r="AA830" s="0" t="s">
        <v>151</v>
      </c>
      <c r="AB830" s="0" t="s">
        <v>151</v>
      </c>
      <c r="AC830" s="0" t="s">
        <v>2290</v>
      </c>
      <c r="AD830" s="0" t="s">
        <v>2290</v>
      </c>
      <c r="AE830" s="0" t="s">
        <v>2292</v>
      </c>
      <c r="AF830" s="0" t="s">
        <v>3558</v>
      </c>
      <c r="AG830" s="0" t="s">
        <v>3559</v>
      </c>
      <c r="AH830" s="0" t="s">
        <v>5365</v>
      </c>
      <c r="AI830" s="0" t="s">
        <v>4717</v>
      </c>
      <c r="AJ830" s="0" t="s">
        <v>3563</v>
      </c>
      <c r="AK830" s="0" t="s">
        <v>5270</v>
      </c>
      <c r="AL830" s="0" t="s">
        <v>5125</v>
      </c>
      <c r="AN830" s="0" t="s">
        <v>3984</v>
      </c>
      <c r="AO830" s="0" t="s">
        <v>5366</v>
      </c>
      <c r="AP830" s="0" t="s">
        <v>228</v>
      </c>
      <c r="AQ830" s="0" t="s">
        <v>228</v>
      </c>
      <c r="AR830" s="0" t="s">
        <v>228</v>
      </c>
      <c r="AS830" s="0" t="s">
        <v>228</v>
      </c>
      <c r="AT830" s="0" t="s">
        <v>228</v>
      </c>
      <c r="AU830" s="0" t="s">
        <v>228</v>
      </c>
      <c r="AV830" s="0" t="s">
        <v>228</v>
      </c>
      <c r="AW830" s="0" t="s">
        <v>228</v>
      </c>
      <c r="AX830" s="0" t="s">
        <v>228</v>
      </c>
      <c r="AY830" s="0" t="s">
        <v>228</v>
      </c>
      <c r="AZ830" s="0" t="s">
        <v>228</v>
      </c>
      <c r="BA830" s="0" t="s">
        <v>228</v>
      </c>
      <c r="BB830" s="0" t="s">
        <v>228</v>
      </c>
      <c r="BC830" s="0" t="s">
        <v>228</v>
      </c>
      <c r="BD830" s="0" t="s">
        <v>228</v>
      </c>
      <c r="BE830" s="0" t="s">
        <v>228</v>
      </c>
      <c r="BF830" s="0" t="s">
        <v>228</v>
      </c>
      <c r="BG830" s="0" t="s">
        <v>228</v>
      </c>
      <c r="BH830" s="0" t="s">
        <v>228</v>
      </c>
      <c r="BI830" s="0" t="s">
        <v>228</v>
      </c>
      <c r="BJ830" s="0" t="s">
        <v>228</v>
      </c>
      <c r="BK830" s="0" t="s">
        <v>228</v>
      </c>
      <c r="BL830" s="0" t="s">
        <v>228</v>
      </c>
      <c r="BM830" s="0" t="s">
        <v>228</v>
      </c>
      <c r="BN830" s="0" t="s">
        <v>228</v>
      </c>
      <c r="BO830" s="0" t="s">
        <v>228</v>
      </c>
      <c r="BP830" s="0" t="s">
        <v>228</v>
      </c>
      <c r="BQ830" s="0" t="s">
        <v>228</v>
      </c>
      <c r="BR830" s="0" t="s">
        <v>228</v>
      </c>
      <c r="BS830" s="0" t="s">
        <v>228</v>
      </c>
      <c r="BT830" s="0" t="s">
        <v>228</v>
      </c>
      <c r="CS830" s="0" t="s">
        <v>228</v>
      </c>
      <c r="CT830" s="0" t="s">
        <v>3568</v>
      </c>
      <c r="CU830" s="0" t="s">
        <v>3569</v>
      </c>
      <c r="CV830" s="0" t="s">
        <v>418</v>
      </c>
      <c r="CW830" s="0" t="s">
        <v>3570</v>
      </c>
      <c r="CX830" s="0" t="s">
        <v>419</v>
      </c>
      <c r="CY830" s="0" t="s">
        <v>418</v>
      </c>
      <c r="CZ830" s="0" t="s">
        <v>3571</v>
      </c>
      <c r="DA830" s="0" t="s">
        <v>420</v>
      </c>
      <c r="DB830" s="0" t="s">
        <v>3570</v>
      </c>
      <c r="DC830" s="0" t="s">
        <v>362</v>
      </c>
      <c r="DD830" s="0" t="s">
        <v>282</v>
      </c>
      <c r="DE830" s="0" t="s">
        <v>5367</v>
      </c>
    </row>
    <row customHeight="1" ht="11.25">
      <c r="A831" s="1353" t="s">
        <v>228</v>
      </c>
      <c r="B831" s="0" t="s">
        <v>228</v>
      </c>
      <c r="C831" s="0" t="s">
        <v>228</v>
      </c>
      <c r="D831" s="0" t="s">
        <v>228</v>
      </c>
      <c r="E831" s="0" t="s">
        <v>228</v>
      </c>
      <c r="F831" s="0" t="s">
        <v>228</v>
      </c>
      <c r="G831" s="0" t="s">
        <v>228</v>
      </c>
      <c r="H831" s="0" t="s">
        <v>228</v>
      </c>
      <c r="I831" s="0" t="s">
        <v>5119</v>
      </c>
      <c r="J831" s="0" t="s">
        <v>228</v>
      </c>
      <c r="K831" s="0" t="s">
        <v>228</v>
      </c>
      <c r="L831" s="0" t="s">
        <v>228</v>
      </c>
      <c r="M831" s="0" t="s">
        <v>228</v>
      </c>
      <c r="N831" s="0" t="s">
        <v>228</v>
      </c>
      <c r="O831" s="0" t="s">
        <v>228</v>
      </c>
      <c r="P831" s="0" t="s">
        <v>228</v>
      </c>
      <c r="Q831" s="0" t="s">
        <v>228</v>
      </c>
      <c r="R831" s="0" t="s">
        <v>5490</v>
      </c>
      <c r="S831" s="0" t="s">
        <v>228</v>
      </c>
      <c r="T831" s="0" t="s">
        <v>228</v>
      </c>
      <c r="U831" s="0" t="s">
        <v>101</v>
      </c>
      <c r="V831" s="0" t="s">
        <v>228</v>
      </c>
      <c r="W831" s="0" t="s">
        <v>228</v>
      </c>
      <c r="X831" s="0" t="s">
        <v>5121</v>
      </c>
      <c r="Y831" s="0" t="s">
        <v>228</v>
      </c>
      <c r="Z831" s="0" t="s">
        <v>160</v>
      </c>
      <c r="AA831" s="0" t="s">
        <v>151</v>
      </c>
      <c r="AB831" s="0" t="s">
        <v>151</v>
      </c>
      <c r="AC831" s="0" t="s">
        <v>2715</v>
      </c>
      <c r="AD831" s="0" t="s">
        <v>2715</v>
      </c>
      <c r="AE831" s="0" t="s">
        <v>2716</v>
      </c>
      <c r="AF831" s="0" t="s">
        <v>3594</v>
      </c>
      <c r="AG831" s="0" t="s">
        <v>3595</v>
      </c>
      <c r="AH831" s="0" t="s">
        <v>5491</v>
      </c>
      <c r="AI831" s="0" t="s">
        <v>5492</v>
      </c>
      <c r="AJ831" s="0" t="s">
        <v>3777</v>
      </c>
      <c r="AK831" s="0" t="s">
        <v>5493</v>
      </c>
      <c r="AL831" s="0" t="s">
        <v>5125</v>
      </c>
      <c r="AN831" s="0" t="s">
        <v>4364</v>
      </c>
      <c r="AO831" s="0" t="s">
        <v>4365</v>
      </c>
      <c r="AP831" s="0" t="s">
        <v>228</v>
      </c>
      <c r="AQ831" s="0" t="s">
        <v>228</v>
      </c>
      <c r="AR831" s="0" t="s">
        <v>228</v>
      </c>
      <c r="AS831" s="0" t="s">
        <v>228</v>
      </c>
      <c r="AT831" s="0" t="s">
        <v>228</v>
      </c>
      <c r="AU831" s="0" t="s">
        <v>228</v>
      </c>
      <c r="AV831" s="0" t="s">
        <v>228</v>
      </c>
      <c r="AW831" s="0" t="s">
        <v>228</v>
      </c>
      <c r="AX831" s="0" t="s">
        <v>228</v>
      </c>
      <c r="AY831" s="0" t="s">
        <v>228</v>
      </c>
      <c r="AZ831" s="0" t="s">
        <v>228</v>
      </c>
      <c r="BA831" s="0" t="s">
        <v>228</v>
      </c>
      <c r="BB831" s="0" t="s">
        <v>228</v>
      </c>
      <c r="BC831" s="0" t="s">
        <v>228</v>
      </c>
      <c r="BD831" s="0" t="s">
        <v>228</v>
      </c>
      <c r="BE831" s="0" t="s">
        <v>228</v>
      </c>
      <c r="BF831" s="0" t="s">
        <v>228</v>
      </c>
      <c r="BG831" s="0" t="s">
        <v>228</v>
      </c>
      <c r="BH831" s="0" t="s">
        <v>228</v>
      </c>
      <c r="BI831" s="0" t="s">
        <v>228</v>
      </c>
      <c r="BJ831" s="0" t="s">
        <v>228</v>
      </c>
      <c r="BK831" s="0" t="s">
        <v>228</v>
      </c>
      <c r="BL831" s="0" t="s">
        <v>228</v>
      </c>
      <c r="BM831" s="0" t="s">
        <v>228</v>
      </c>
      <c r="BN831" s="0" t="s">
        <v>228</v>
      </c>
      <c r="BO831" s="0" t="s">
        <v>228</v>
      </c>
      <c r="BP831" s="0" t="s">
        <v>228</v>
      </c>
      <c r="BQ831" s="0" t="s">
        <v>228</v>
      </c>
      <c r="BR831" s="0" t="s">
        <v>228</v>
      </c>
      <c r="BS831" s="0" t="s">
        <v>228</v>
      </c>
      <c r="BT831" s="0" t="s">
        <v>228</v>
      </c>
      <c r="CS831" s="0" t="s">
        <v>228</v>
      </c>
      <c r="CT831" s="0" t="s">
        <v>3568</v>
      </c>
      <c r="CU831" s="0" t="s">
        <v>3569</v>
      </c>
      <c r="CV831" s="0" t="s">
        <v>418</v>
      </c>
      <c r="CW831" s="0" t="s">
        <v>3602</v>
      </c>
      <c r="CX831" s="0" t="s">
        <v>3603</v>
      </c>
      <c r="CY831" s="0" t="s">
        <v>418</v>
      </c>
      <c r="CZ831" s="0" t="s">
        <v>504</v>
      </c>
      <c r="DA831" s="0" t="s">
        <v>3604</v>
      </c>
      <c r="DB831" s="0" t="s">
        <v>3602</v>
      </c>
      <c r="DC831" s="0" t="s">
        <v>362</v>
      </c>
      <c r="DD831" s="0" t="s">
        <v>282</v>
      </c>
      <c r="DE831" s="0" t="s">
        <v>5494</v>
      </c>
    </row>
    <row customHeight="1" ht="11.25">
      <c r="A832" s="1353" t="s">
        <v>228</v>
      </c>
      <c r="B832" s="0" t="s">
        <v>228</v>
      </c>
      <c r="C832" s="0" t="s">
        <v>228</v>
      </c>
      <c r="D832" s="0" t="s">
        <v>228</v>
      </c>
      <c r="E832" s="0" t="s">
        <v>228</v>
      </c>
      <c r="F832" s="0" t="s">
        <v>228</v>
      </c>
      <c r="G832" s="0" t="s">
        <v>228</v>
      </c>
      <c r="H832" s="0" t="s">
        <v>228</v>
      </c>
      <c r="I832" s="0" t="s">
        <v>5119</v>
      </c>
      <c r="J832" s="0" t="s">
        <v>228</v>
      </c>
      <c r="K832" s="0" t="s">
        <v>228</v>
      </c>
      <c r="L832" s="0" t="s">
        <v>228</v>
      </c>
      <c r="M832" s="0" t="s">
        <v>228</v>
      </c>
      <c r="N832" s="0" t="s">
        <v>228</v>
      </c>
      <c r="O832" s="0" t="s">
        <v>228</v>
      </c>
      <c r="P832" s="0" t="s">
        <v>228</v>
      </c>
      <c r="Q832" s="0" t="s">
        <v>228</v>
      </c>
      <c r="R832" s="0" t="s">
        <v>5385</v>
      </c>
      <c r="S832" s="0" t="s">
        <v>228</v>
      </c>
      <c r="T832" s="0" t="s">
        <v>228</v>
      </c>
      <c r="U832" s="0" t="s">
        <v>101</v>
      </c>
      <c r="V832" s="0" t="s">
        <v>228</v>
      </c>
      <c r="W832" s="0" t="s">
        <v>228</v>
      </c>
      <c r="X832" s="0" t="s">
        <v>5121</v>
      </c>
      <c r="Y832" s="0" t="s">
        <v>228</v>
      </c>
      <c r="Z832" s="0" t="s">
        <v>160</v>
      </c>
      <c r="AA832" s="0" t="s">
        <v>151</v>
      </c>
      <c r="AB832" s="0" t="s">
        <v>151</v>
      </c>
      <c r="AC832" s="0" t="s">
        <v>2715</v>
      </c>
      <c r="AD832" s="0" t="s">
        <v>2715</v>
      </c>
      <c r="AE832" s="0" t="s">
        <v>2716</v>
      </c>
      <c r="AF832" s="0" t="s">
        <v>3594</v>
      </c>
      <c r="AG832" s="0" t="s">
        <v>3595</v>
      </c>
      <c r="AH832" s="0" t="s">
        <v>5386</v>
      </c>
      <c r="AI832" s="0" t="s">
        <v>3651</v>
      </c>
      <c r="AJ832" s="0" t="s">
        <v>5387</v>
      </c>
      <c r="AK832" s="0" t="s">
        <v>5388</v>
      </c>
      <c r="AL832" s="0" t="s">
        <v>5125</v>
      </c>
      <c r="AN832" s="0" t="s">
        <v>3566</v>
      </c>
      <c r="AO832" s="0" t="s">
        <v>5389</v>
      </c>
      <c r="AP832" s="0" t="s">
        <v>228</v>
      </c>
      <c r="AQ832" s="0" t="s">
        <v>228</v>
      </c>
      <c r="AR832" s="0" t="s">
        <v>228</v>
      </c>
      <c r="AS832" s="0" t="s">
        <v>228</v>
      </c>
      <c r="AT832" s="0" t="s">
        <v>228</v>
      </c>
      <c r="AU832" s="0" t="s">
        <v>228</v>
      </c>
      <c r="AV832" s="0" t="s">
        <v>228</v>
      </c>
      <c r="AW832" s="0" t="s">
        <v>228</v>
      </c>
      <c r="AX832" s="0" t="s">
        <v>228</v>
      </c>
      <c r="AY832" s="0" t="s">
        <v>228</v>
      </c>
      <c r="AZ832" s="0" t="s">
        <v>228</v>
      </c>
      <c r="BA832" s="0" t="s">
        <v>228</v>
      </c>
      <c r="BB832" s="0" t="s">
        <v>228</v>
      </c>
      <c r="BC832" s="0" t="s">
        <v>228</v>
      </c>
      <c r="BD832" s="0" t="s">
        <v>228</v>
      </c>
      <c r="BE832" s="0" t="s">
        <v>228</v>
      </c>
      <c r="BF832" s="0" t="s">
        <v>228</v>
      </c>
      <c r="BG832" s="0" t="s">
        <v>228</v>
      </c>
      <c r="BH832" s="0" t="s">
        <v>228</v>
      </c>
      <c r="BI832" s="0" t="s">
        <v>228</v>
      </c>
      <c r="BJ832" s="0" t="s">
        <v>228</v>
      </c>
      <c r="BK832" s="0" t="s">
        <v>228</v>
      </c>
      <c r="BL832" s="0" t="s">
        <v>228</v>
      </c>
      <c r="BM832" s="0" t="s">
        <v>228</v>
      </c>
      <c r="BN832" s="0" t="s">
        <v>228</v>
      </c>
      <c r="BO832" s="0" t="s">
        <v>228</v>
      </c>
      <c r="BP832" s="0" t="s">
        <v>228</v>
      </c>
      <c r="BQ832" s="0" t="s">
        <v>228</v>
      </c>
      <c r="BR832" s="0" t="s">
        <v>228</v>
      </c>
      <c r="BS832" s="0" t="s">
        <v>228</v>
      </c>
      <c r="BT832" s="0" t="s">
        <v>228</v>
      </c>
      <c r="CS832" s="0" t="s">
        <v>228</v>
      </c>
      <c r="CT832" s="0" t="s">
        <v>3568</v>
      </c>
      <c r="CU832" s="0" t="s">
        <v>3569</v>
      </c>
      <c r="CV832" s="0" t="s">
        <v>418</v>
      </c>
      <c r="CW832" s="0" t="s">
        <v>3602</v>
      </c>
      <c r="CX832" s="0" t="s">
        <v>419</v>
      </c>
      <c r="CY832" s="0" t="s">
        <v>418</v>
      </c>
      <c r="CZ832" s="0" t="s">
        <v>504</v>
      </c>
      <c r="DA832" s="0" t="s">
        <v>3604</v>
      </c>
      <c r="DB832" s="0" t="s">
        <v>5379</v>
      </c>
      <c r="DC832" s="0" t="s">
        <v>362</v>
      </c>
      <c r="DD832" s="0" t="s">
        <v>282</v>
      </c>
      <c r="DE832" s="0" t="s">
        <v>5390</v>
      </c>
    </row>
    <row customHeight="1" ht="11.25">
      <c r="A833" s="1353" t="s">
        <v>228</v>
      </c>
      <c r="B833" s="0" t="s">
        <v>228</v>
      </c>
      <c r="C833" s="0" t="s">
        <v>228</v>
      </c>
      <c r="D833" s="0" t="s">
        <v>228</v>
      </c>
      <c r="E833" s="0" t="s">
        <v>228</v>
      </c>
      <c r="F833" s="0" t="s">
        <v>228</v>
      </c>
      <c r="G833" s="0" t="s">
        <v>228</v>
      </c>
      <c r="H833" s="0" t="s">
        <v>228</v>
      </c>
      <c r="I833" s="0" t="s">
        <v>5119</v>
      </c>
      <c r="J833" s="0" t="s">
        <v>228</v>
      </c>
      <c r="K833" s="0" t="s">
        <v>228</v>
      </c>
      <c r="L833" s="0" t="s">
        <v>228</v>
      </c>
      <c r="M833" s="0" t="s">
        <v>228</v>
      </c>
      <c r="N833" s="0" t="s">
        <v>228</v>
      </c>
      <c r="O833" s="0" t="s">
        <v>228</v>
      </c>
      <c r="P833" s="0" t="s">
        <v>228</v>
      </c>
      <c r="Q833" s="0" t="s">
        <v>228</v>
      </c>
      <c r="R833" s="0" t="s">
        <v>5568</v>
      </c>
      <c r="S833" s="0" t="s">
        <v>228</v>
      </c>
      <c r="T833" s="0" t="s">
        <v>228</v>
      </c>
      <c r="U833" s="0" t="s">
        <v>101</v>
      </c>
      <c r="V833" s="0" t="s">
        <v>228</v>
      </c>
      <c r="W833" s="0" t="s">
        <v>228</v>
      </c>
      <c r="X833" s="0" t="s">
        <v>3988</v>
      </c>
      <c r="Y833" s="0" t="s">
        <v>228</v>
      </c>
      <c r="Z833" s="0" t="s">
        <v>151</v>
      </c>
      <c r="AA833" s="0" t="s">
        <v>160</v>
      </c>
      <c r="AB833" s="0" t="s">
        <v>151</v>
      </c>
      <c r="AC833" s="0" t="s">
        <v>2715</v>
      </c>
      <c r="AD833" s="0" t="s">
        <v>2715</v>
      </c>
      <c r="AE833" s="0" t="s">
        <v>2716</v>
      </c>
      <c r="AF833" s="0" t="s">
        <v>3594</v>
      </c>
      <c r="AG833" s="0" t="s">
        <v>3595</v>
      </c>
      <c r="AH833" s="0" t="s">
        <v>5392</v>
      </c>
      <c r="AI833" s="0" t="s">
        <v>3608</v>
      </c>
      <c r="AJ833" s="0" t="s">
        <v>228</v>
      </c>
      <c r="AK833" s="0" t="s">
        <v>228</v>
      </c>
      <c r="AL833" s="0" t="s">
        <v>228</v>
      </c>
      <c r="AN833" s="0" t="s">
        <v>228</v>
      </c>
      <c r="AO833" s="0" t="s">
        <v>228</v>
      </c>
      <c r="AP833" s="0" t="s">
        <v>3654</v>
      </c>
      <c r="AQ833" s="0" t="s">
        <v>3674</v>
      </c>
      <c r="AR833" s="0" t="s">
        <v>111</v>
      </c>
      <c r="AS833" s="0" t="s">
        <v>3665</v>
      </c>
      <c r="AT833" s="0" t="s">
        <v>122</v>
      </c>
      <c r="AU833" s="0" t="s">
        <v>228</v>
      </c>
      <c r="AV833" s="0" t="s">
        <v>5568</v>
      </c>
      <c r="AW833" s="0" t="s">
        <v>2715</v>
      </c>
      <c r="AX833" s="0" t="s">
        <v>2715</v>
      </c>
      <c r="AY833" s="0" t="s">
        <v>3667</v>
      </c>
      <c r="AZ833" s="0" t="s">
        <v>3594</v>
      </c>
      <c r="BA833" s="0" t="s">
        <v>3668</v>
      </c>
      <c r="BB833" s="0" t="s">
        <v>5392</v>
      </c>
      <c r="BC833" s="0" t="s">
        <v>3608</v>
      </c>
      <c r="BD833" s="0" t="s">
        <v>3674</v>
      </c>
      <c r="BE833" s="0" t="s">
        <v>228</v>
      </c>
      <c r="BF833" s="0" t="s">
        <v>228</v>
      </c>
      <c r="BG833" s="0" t="s">
        <v>228</v>
      </c>
      <c r="BH833" s="0" t="s">
        <v>228</v>
      </c>
      <c r="BI833" s="0" t="s">
        <v>228</v>
      </c>
      <c r="BJ833" s="0" t="s">
        <v>228</v>
      </c>
      <c r="BK833" s="0" t="s">
        <v>228</v>
      </c>
      <c r="BL833" s="0" t="s">
        <v>228</v>
      </c>
      <c r="BM833" s="0" t="s">
        <v>228</v>
      </c>
      <c r="BN833" s="0" t="s">
        <v>228</v>
      </c>
      <c r="BO833" s="0" t="s">
        <v>228</v>
      </c>
      <c r="BP833" s="0" t="s">
        <v>228</v>
      </c>
      <c r="BQ833" s="0" t="s">
        <v>228</v>
      </c>
      <c r="BR833" s="0" t="s">
        <v>228</v>
      </c>
      <c r="BS833" s="0" t="s">
        <v>228</v>
      </c>
      <c r="BT833" s="0" t="s">
        <v>228</v>
      </c>
      <c r="CS833" s="0" t="s">
        <v>228</v>
      </c>
      <c r="CT833" s="0" t="s">
        <v>3568</v>
      </c>
      <c r="CU833" s="0" t="s">
        <v>5128</v>
      </c>
      <c r="CV833" s="0" t="s">
        <v>5569</v>
      </c>
      <c r="CW833" s="0" t="s">
        <v>5570</v>
      </c>
      <c r="CX833" s="0" t="s">
        <v>5571</v>
      </c>
      <c r="CY833" s="0" t="s">
        <v>5569</v>
      </c>
      <c r="CZ833" s="0" t="s">
        <v>5572</v>
      </c>
      <c r="DA833" s="0" t="s">
        <v>5573</v>
      </c>
      <c r="DB833" s="0" t="s">
        <v>5570</v>
      </c>
      <c r="DC833" s="0" t="s">
        <v>362</v>
      </c>
      <c r="DD833" s="0" t="s">
        <v>282</v>
      </c>
      <c r="DE833" s="0" t="s">
        <v>5397</v>
      </c>
    </row>
    <row customHeight="1" ht="11.25">
      <c r="A834" s="1353" t="s">
        <v>228</v>
      </c>
      <c r="B834" s="0" t="s">
        <v>228</v>
      </c>
      <c r="C834" s="0" t="s">
        <v>228</v>
      </c>
      <c r="D834" s="0" t="s">
        <v>228</v>
      </c>
      <c r="E834" s="0" t="s">
        <v>228</v>
      </c>
      <c r="F834" s="0" t="s">
        <v>228</v>
      </c>
      <c r="G834" s="0" t="s">
        <v>228</v>
      </c>
      <c r="H834" s="0" t="s">
        <v>228</v>
      </c>
      <c r="I834" s="0" t="s">
        <v>5119</v>
      </c>
      <c r="J834" s="0" t="s">
        <v>228</v>
      </c>
      <c r="K834" s="0" t="s">
        <v>228</v>
      </c>
      <c r="L834" s="0" t="s">
        <v>228</v>
      </c>
      <c r="M834" s="0" t="s">
        <v>228</v>
      </c>
      <c r="N834" s="0" t="s">
        <v>228</v>
      </c>
      <c r="O834" s="0" t="s">
        <v>228</v>
      </c>
      <c r="P834" s="0" t="s">
        <v>228</v>
      </c>
      <c r="Q834" s="0" t="s">
        <v>228</v>
      </c>
      <c r="R834" s="0" t="s">
        <v>5439</v>
      </c>
      <c r="S834" s="0" t="s">
        <v>228</v>
      </c>
      <c r="T834" s="0" t="s">
        <v>228</v>
      </c>
      <c r="U834" s="0" t="s">
        <v>101</v>
      </c>
      <c r="V834" s="0" t="s">
        <v>228</v>
      </c>
      <c r="W834" s="0" t="s">
        <v>228</v>
      </c>
      <c r="X834" s="0" t="s">
        <v>3988</v>
      </c>
      <c r="Y834" s="0" t="s">
        <v>228</v>
      </c>
      <c r="Z834" s="0" t="s">
        <v>151</v>
      </c>
      <c r="AA834" s="0" t="s">
        <v>160</v>
      </c>
      <c r="AB834" s="0" t="s">
        <v>151</v>
      </c>
      <c r="AC834" s="0" t="s">
        <v>2317</v>
      </c>
      <c r="AD834" s="0" t="s">
        <v>2317</v>
      </c>
      <c r="AE834" s="0" t="s">
        <v>2318</v>
      </c>
      <c r="AF834" s="0" t="s">
        <v>3826</v>
      </c>
      <c r="AG834" s="0" t="s">
        <v>3827</v>
      </c>
      <c r="AH834" s="0" t="s">
        <v>3721</v>
      </c>
      <c r="AI834" s="0" t="s">
        <v>3721</v>
      </c>
      <c r="AJ834" s="0" t="s">
        <v>228</v>
      </c>
      <c r="AK834" s="0" t="s">
        <v>228</v>
      </c>
      <c r="AL834" s="0" t="s">
        <v>228</v>
      </c>
      <c r="AN834" s="0" t="s">
        <v>228</v>
      </c>
      <c r="AO834" s="0" t="s">
        <v>228</v>
      </c>
      <c r="AP834" s="0" t="s">
        <v>5574</v>
      </c>
      <c r="AQ834" s="0" t="s">
        <v>3654</v>
      </c>
      <c r="AR834" s="0" t="s">
        <v>111</v>
      </c>
      <c r="AS834" s="0" t="s">
        <v>3665</v>
      </c>
      <c r="AT834" s="0" t="s">
        <v>122</v>
      </c>
      <c r="AU834" s="0" t="s">
        <v>228</v>
      </c>
      <c r="AV834" s="0" t="s">
        <v>5439</v>
      </c>
      <c r="AW834" s="0" t="s">
        <v>2317</v>
      </c>
      <c r="AX834" s="0" t="s">
        <v>2317</v>
      </c>
      <c r="AY834" s="0" t="s">
        <v>3740</v>
      </c>
      <c r="AZ834" s="0" t="s">
        <v>3826</v>
      </c>
      <c r="BA834" s="0" t="s">
        <v>4953</v>
      </c>
      <c r="BB834" s="0" t="s">
        <v>3721</v>
      </c>
      <c r="BC834" s="0" t="s">
        <v>3721</v>
      </c>
      <c r="BD834" s="0" t="s">
        <v>3654</v>
      </c>
      <c r="BE834" s="0" t="s">
        <v>228</v>
      </c>
      <c r="BF834" s="0" t="s">
        <v>228</v>
      </c>
      <c r="BG834" s="0" t="s">
        <v>228</v>
      </c>
      <c r="BH834" s="0" t="s">
        <v>228</v>
      </c>
      <c r="BI834" s="0" t="s">
        <v>228</v>
      </c>
      <c r="BJ834" s="0" t="s">
        <v>228</v>
      </c>
      <c r="BK834" s="0" t="s">
        <v>228</v>
      </c>
      <c r="BL834" s="0" t="s">
        <v>228</v>
      </c>
      <c r="BM834" s="0" t="s">
        <v>228</v>
      </c>
      <c r="BN834" s="0" t="s">
        <v>228</v>
      </c>
      <c r="BO834" s="0" t="s">
        <v>228</v>
      </c>
      <c r="BP834" s="0" t="s">
        <v>228</v>
      </c>
      <c r="BQ834" s="0" t="s">
        <v>228</v>
      </c>
      <c r="BR834" s="0" t="s">
        <v>228</v>
      </c>
      <c r="BS834" s="0" t="s">
        <v>228</v>
      </c>
      <c r="BT834" s="0" t="s">
        <v>228</v>
      </c>
      <c r="CS834" s="0" t="s">
        <v>228</v>
      </c>
      <c r="CT834" s="0" t="s">
        <v>3568</v>
      </c>
      <c r="CU834" s="0" t="s">
        <v>3569</v>
      </c>
      <c r="CV834" s="0" t="s">
        <v>418</v>
      </c>
      <c r="CW834" s="0" t="s">
        <v>3622</v>
      </c>
      <c r="CX834" s="0" t="s">
        <v>419</v>
      </c>
      <c r="CY834" s="0" t="s">
        <v>418</v>
      </c>
      <c r="CZ834" s="0" t="s">
        <v>3623</v>
      </c>
      <c r="DA834" s="0" t="s">
        <v>3624</v>
      </c>
      <c r="DB834" s="0" t="s">
        <v>3622</v>
      </c>
      <c r="DC834" s="0" t="s">
        <v>362</v>
      </c>
      <c r="DD834" s="0" t="s">
        <v>282</v>
      </c>
      <c r="DE834" s="0" t="s">
        <v>5575</v>
      </c>
    </row>
    <row customHeight="1" ht="11.25">
      <c r="A835" s="1353" t="s">
        <v>228</v>
      </c>
      <c r="B835" s="0" t="s">
        <v>228</v>
      </c>
      <c r="C835" s="0" t="s">
        <v>228</v>
      </c>
      <c r="D835" s="0" t="s">
        <v>228</v>
      </c>
      <c r="E835" s="0" t="s">
        <v>228</v>
      </c>
      <c r="F835" s="0" t="s">
        <v>228</v>
      </c>
      <c r="G835" s="0" t="s">
        <v>228</v>
      </c>
      <c r="H835" s="0" t="s">
        <v>228</v>
      </c>
      <c r="I835" s="0" t="s">
        <v>5119</v>
      </c>
      <c r="J835" s="0" t="s">
        <v>228</v>
      </c>
      <c r="K835" s="0" t="s">
        <v>228</v>
      </c>
      <c r="L835" s="0" t="s">
        <v>228</v>
      </c>
      <c r="M835" s="0" t="s">
        <v>228</v>
      </c>
      <c r="N835" s="0" t="s">
        <v>228</v>
      </c>
      <c r="O835" s="0" t="s">
        <v>228</v>
      </c>
      <c r="P835" s="0" t="s">
        <v>228</v>
      </c>
      <c r="Q835" s="0" t="s">
        <v>228</v>
      </c>
      <c r="R835" s="0" t="s">
        <v>5560</v>
      </c>
      <c r="S835" s="0" t="s">
        <v>228</v>
      </c>
      <c r="T835" s="0" t="s">
        <v>228</v>
      </c>
      <c r="U835" s="0" t="s">
        <v>101</v>
      </c>
      <c r="V835" s="0" t="s">
        <v>228</v>
      </c>
      <c r="W835" s="0" t="s">
        <v>228</v>
      </c>
      <c r="X835" s="0" t="s">
        <v>5121</v>
      </c>
      <c r="Y835" s="0" t="s">
        <v>228</v>
      </c>
      <c r="Z835" s="0" t="s">
        <v>160</v>
      </c>
      <c r="AA835" s="0" t="s">
        <v>151</v>
      </c>
      <c r="AB835" s="0" t="s">
        <v>151</v>
      </c>
      <c r="AC835" s="0" t="s">
        <v>2290</v>
      </c>
      <c r="AD835" s="0" t="s">
        <v>2290</v>
      </c>
      <c r="AE835" s="0" t="s">
        <v>2292</v>
      </c>
      <c r="AF835" s="0" t="s">
        <v>3558</v>
      </c>
      <c r="AG835" s="0" t="s">
        <v>3559</v>
      </c>
      <c r="AH835" s="0" t="s">
        <v>5561</v>
      </c>
      <c r="AI835" s="0" t="s">
        <v>5562</v>
      </c>
      <c r="AJ835" s="0" t="s">
        <v>5236</v>
      </c>
      <c r="AK835" s="0" t="s">
        <v>4075</v>
      </c>
      <c r="AL835" s="0" t="s">
        <v>5125</v>
      </c>
      <c r="AN835" s="0" t="s">
        <v>3734</v>
      </c>
      <c r="AO835" s="0" t="s">
        <v>3655</v>
      </c>
      <c r="AP835" s="0" t="s">
        <v>228</v>
      </c>
      <c r="AQ835" s="0" t="s">
        <v>228</v>
      </c>
      <c r="AR835" s="0" t="s">
        <v>228</v>
      </c>
      <c r="AS835" s="0" t="s">
        <v>228</v>
      </c>
      <c r="AT835" s="0" t="s">
        <v>228</v>
      </c>
      <c r="AU835" s="0" t="s">
        <v>228</v>
      </c>
      <c r="AV835" s="0" t="s">
        <v>228</v>
      </c>
      <c r="AW835" s="0" t="s">
        <v>228</v>
      </c>
      <c r="AX835" s="0" t="s">
        <v>228</v>
      </c>
      <c r="AY835" s="0" t="s">
        <v>228</v>
      </c>
      <c r="AZ835" s="0" t="s">
        <v>228</v>
      </c>
      <c r="BA835" s="0" t="s">
        <v>228</v>
      </c>
      <c r="BB835" s="0" t="s">
        <v>228</v>
      </c>
      <c r="BC835" s="0" t="s">
        <v>228</v>
      </c>
      <c r="BD835" s="0" t="s">
        <v>228</v>
      </c>
      <c r="BE835" s="0" t="s">
        <v>228</v>
      </c>
      <c r="BF835" s="0" t="s">
        <v>228</v>
      </c>
      <c r="BG835" s="0" t="s">
        <v>228</v>
      </c>
      <c r="BH835" s="0" t="s">
        <v>228</v>
      </c>
      <c r="BI835" s="0" t="s">
        <v>228</v>
      </c>
      <c r="BJ835" s="0" t="s">
        <v>228</v>
      </c>
      <c r="BK835" s="0" t="s">
        <v>228</v>
      </c>
      <c r="BL835" s="0" t="s">
        <v>228</v>
      </c>
      <c r="BM835" s="0" t="s">
        <v>228</v>
      </c>
      <c r="BN835" s="0" t="s">
        <v>228</v>
      </c>
      <c r="BO835" s="0" t="s">
        <v>228</v>
      </c>
      <c r="BP835" s="0" t="s">
        <v>228</v>
      </c>
      <c r="BQ835" s="0" t="s">
        <v>228</v>
      </c>
      <c r="BR835" s="0" t="s">
        <v>228</v>
      </c>
      <c r="BS835" s="0" t="s">
        <v>228</v>
      </c>
      <c r="BT835" s="0" t="s">
        <v>228</v>
      </c>
      <c r="CS835" s="0" t="s">
        <v>228</v>
      </c>
      <c r="CT835" s="0" t="s">
        <v>3568</v>
      </c>
      <c r="CU835" s="0" t="s">
        <v>3569</v>
      </c>
      <c r="CV835" s="0" t="s">
        <v>418</v>
      </c>
      <c r="CW835" s="0" t="s">
        <v>3570</v>
      </c>
      <c r="CX835" s="0" t="s">
        <v>419</v>
      </c>
      <c r="CY835" s="0" t="s">
        <v>418</v>
      </c>
      <c r="CZ835" s="0" t="s">
        <v>3571</v>
      </c>
      <c r="DA835" s="0" t="s">
        <v>420</v>
      </c>
      <c r="DB835" s="0" t="s">
        <v>3570</v>
      </c>
      <c r="DC835" s="0" t="s">
        <v>362</v>
      </c>
      <c r="DD835" s="0" t="s">
        <v>282</v>
      </c>
      <c r="DE835" s="0" t="s">
        <v>5563</v>
      </c>
    </row>
    <row customHeight="1" ht="11.25">
      <c r="A836" s="1353" t="s">
        <v>228</v>
      </c>
      <c r="B836" s="0" t="s">
        <v>228</v>
      </c>
      <c r="C836" s="0" t="s">
        <v>228</v>
      </c>
      <c r="D836" s="0" t="s">
        <v>228</v>
      </c>
      <c r="E836" s="0" t="s">
        <v>228</v>
      </c>
      <c r="F836" s="0" t="s">
        <v>228</v>
      </c>
      <c r="G836" s="0" t="s">
        <v>228</v>
      </c>
      <c r="H836" s="0" t="s">
        <v>228</v>
      </c>
      <c r="I836" s="0" t="s">
        <v>5119</v>
      </c>
      <c r="J836" s="0" t="s">
        <v>228</v>
      </c>
      <c r="K836" s="0" t="s">
        <v>228</v>
      </c>
      <c r="L836" s="0" t="s">
        <v>228</v>
      </c>
      <c r="M836" s="0" t="s">
        <v>228</v>
      </c>
      <c r="N836" s="0" t="s">
        <v>228</v>
      </c>
      <c r="O836" s="0" t="s">
        <v>228</v>
      </c>
      <c r="P836" s="0" t="s">
        <v>228</v>
      </c>
      <c r="Q836" s="0" t="s">
        <v>228</v>
      </c>
      <c r="R836" s="0" t="s">
        <v>5140</v>
      </c>
      <c r="S836" s="0" t="s">
        <v>228</v>
      </c>
      <c r="T836" s="0" t="s">
        <v>228</v>
      </c>
      <c r="U836" s="0" t="s">
        <v>101</v>
      </c>
      <c r="V836" s="0" t="s">
        <v>228</v>
      </c>
      <c r="W836" s="0" t="s">
        <v>228</v>
      </c>
      <c r="X836" s="0" t="s">
        <v>5121</v>
      </c>
      <c r="Y836" s="0" t="s">
        <v>228</v>
      </c>
      <c r="Z836" s="0" t="s">
        <v>160</v>
      </c>
      <c r="AA836" s="0" t="s">
        <v>151</v>
      </c>
      <c r="AB836" s="0" t="s">
        <v>151</v>
      </c>
      <c r="AC836" s="0" t="s">
        <v>2715</v>
      </c>
      <c r="AD836" s="0" t="s">
        <v>2715</v>
      </c>
      <c r="AE836" s="0" t="s">
        <v>2716</v>
      </c>
      <c r="AF836" s="0" t="s">
        <v>3594</v>
      </c>
      <c r="AG836" s="0" t="s">
        <v>3595</v>
      </c>
      <c r="AH836" s="0" t="s">
        <v>5141</v>
      </c>
      <c r="AI836" s="0" t="s">
        <v>5142</v>
      </c>
      <c r="AJ836" s="0" t="s">
        <v>3644</v>
      </c>
      <c r="AK836" s="0" t="s">
        <v>5143</v>
      </c>
      <c r="AL836" s="0" t="s">
        <v>5144</v>
      </c>
      <c r="AN836" s="0" t="s">
        <v>5145</v>
      </c>
      <c r="AO836" s="0" t="s">
        <v>5146</v>
      </c>
      <c r="AP836" s="0" t="s">
        <v>228</v>
      </c>
      <c r="AQ836" s="0" t="s">
        <v>228</v>
      </c>
      <c r="AR836" s="0" t="s">
        <v>228</v>
      </c>
      <c r="AS836" s="0" t="s">
        <v>228</v>
      </c>
      <c r="AT836" s="0" t="s">
        <v>228</v>
      </c>
      <c r="AU836" s="0" t="s">
        <v>228</v>
      </c>
      <c r="AV836" s="0" t="s">
        <v>228</v>
      </c>
      <c r="AW836" s="0" t="s">
        <v>228</v>
      </c>
      <c r="AX836" s="0" t="s">
        <v>228</v>
      </c>
      <c r="AY836" s="0" t="s">
        <v>228</v>
      </c>
      <c r="AZ836" s="0" t="s">
        <v>228</v>
      </c>
      <c r="BA836" s="0" t="s">
        <v>228</v>
      </c>
      <c r="BB836" s="0" t="s">
        <v>228</v>
      </c>
      <c r="BC836" s="0" t="s">
        <v>228</v>
      </c>
      <c r="BD836" s="0" t="s">
        <v>228</v>
      </c>
      <c r="BE836" s="0" t="s">
        <v>228</v>
      </c>
      <c r="BF836" s="0" t="s">
        <v>228</v>
      </c>
      <c r="BG836" s="0" t="s">
        <v>228</v>
      </c>
      <c r="BH836" s="0" t="s">
        <v>228</v>
      </c>
      <c r="BI836" s="0" t="s">
        <v>228</v>
      </c>
      <c r="BJ836" s="0" t="s">
        <v>228</v>
      </c>
      <c r="BK836" s="0" t="s">
        <v>228</v>
      </c>
      <c r="BL836" s="0" t="s">
        <v>228</v>
      </c>
      <c r="BM836" s="0" t="s">
        <v>228</v>
      </c>
      <c r="BN836" s="0" t="s">
        <v>228</v>
      </c>
      <c r="BO836" s="0" t="s">
        <v>228</v>
      </c>
      <c r="BP836" s="0" t="s">
        <v>228</v>
      </c>
      <c r="BQ836" s="0" t="s">
        <v>228</v>
      </c>
      <c r="BR836" s="0" t="s">
        <v>228</v>
      </c>
      <c r="BS836" s="0" t="s">
        <v>228</v>
      </c>
      <c r="BT836" s="0" t="s">
        <v>228</v>
      </c>
      <c r="CS836" s="0" t="s">
        <v>228</v>
      </c>
      <c r="CT836" s="0" t="s">
        <v>3568</v>
      </c>
      <c r="CU836" s="0" t="s">
        <v>5128</v>
      </c>
      <c r="CV836" s="0" t="s">
        <v>4030</v>
      </c>
      <c r="CW836" s="0" t="s">
        <v>5129</v>
      </c>
      <c r="CX836" s="0" t="s">
        <v>3603</v>
      </c>
      <c r="CY836" s="0" t="s">
        <v>4030</v>
      </c>
      <c r="CZ836" s="0" t="s">
        <v>5130</v>
      </c>
      <c r="DA836" s="0" t="s">
        <v>5131</v>
      </c>
      <c r="DB836" s="0" t="s">
        <v>5129</v>
      </c>
      <c r="DC836" s="0" t="s">
        <v>362</v>
      </c>
      <c r="DD836" s="0" t="s">
        <v>282</v>
      </c>
      <c r="DE836" s="0" t="s">
        <v>5147</v>
      </c>
    </row>
    <row customHeight="1" ht="11.25">
      <c r="A837" s="1353" t="s">
        <v>228</v>
      </c>
      <c r="B837" s="0" t="s">
        <v>228</v>
      </c>
      <c r="C837" s="0" t="s">
        <v>228</v>
      </c>
      <c r="D837" s="0" t="s">
        <v>228</v>
      </c>
      <c r="E837" s="0" t="s">
        <v>228</v>
      </c>
      <c r="F837" s="0" t="s">
        <v>228</v>
      </c>
      <c r="G837" s="0" t="s">
        <v>228</v>
      </c>
      <c r="H837" s="0" t="s">
        <v>228</v>
      </c>
      <c r="I837" s="0" t="s">
        <v>5119</v>
      </c>
      <c r="J837" s="0" t="s">
        <v>228</v>
      </c>
      <c r="K837" s="0" t="s">
        <v>228</v>
      </c>
      <c r="L837" s="0" t="s">
        <v>228</v>
      </c>
      <c r="M837" s="0" t="s">
        <v>228</v>
      </c>
      <c r="N837" s="0" t="s">
        <v>228</v>
      </c>
      <c r="O837" s="0" t="s">
        <v>228</v>
      </c>
      <c r="P837" s="0" t="s">
        <v>228</v>
      </c>
      <c r="Q837" s="0" t="s">
        <v>228</v>
      </c>
      <c r="R837" s="0" t="s">
        <v>5564</v>
      </c>
      <c r="S837" s="0" t="s">
        <v>228</v>
      </c>
      <c r="T837" s="0" t="s">
        <v>228</v>
      </c>
      <c r="U837" s="0" t="s">
        <v>101</v>
      </c>
      <c r="V837" s="0" t="s">
        <v>228</v>
      </c>
      <c r="W837" s="0" t="s">
        <v>228</v>
      </c>
      <c r="X837" s="0" t="s">
        <v>5121</v>
      </c>
      <c r="Y837" s="0" t="s">
        <v>228</v>
      </c>
      <c r="Z837" s="0" t="s">
        <v>160</v>
      </c>
      <c r="AA837" s="0" t="s">
        <v>151</v>
      </c>
      <c r="AB837" s="0" t="s">
        <v>151</v>
      </c>
      <c r="AC837" s="0" t="s">
        <v>2290</v>
      </c>
      <c r="AD837" s="0" t="s">
        <v>2290</v>
      </c>
      <c r="AE837" s="0" t="s">
        <v>2292</v>
      </c>
      <c r="AF837" s="0" t="s">
        <v>3558</v>
      </c>
      <c r="AG837" s="0" t="s">
        <v>3559</v>
      </c>
      <c r="AH837" s="0" t="s">
        <v>5565</v>
      </c>
      <c r="AI837" s="0" t="s">
        <v>3578</v>
      </c>
      <c r="AJ837" s="0" t="s">
        <v>5279</v>
      </c>
      <c r="AK837" s="0" t="s">
        <v>5566</v>
      </c>
      <c r="AL837" s="0" t="s">
        <v>5125</v>
      </c>
      <c r="AN837" s="0" t="s">
        <v>4293</v>
      </c>
      <c r="AO837" s="0" t="s">
        <v>5266</v>
      </c>
      <c r="AP837" s="0" t="s">
        <v>228</v>
      </c>
      <c r="AQ837" s="0" t="s">
        <v>228</v>
      </c>
      <c r="AR837" s="0" t="s">
        <v>228</v>
      </c>
      <c r="AS837" s="0" t="s">
        <v>228</v>
      </c>
      <c r="AT837" s="0" t="s">
        <v>228</v>
      </c>
      <c r="AU837" s="0" t="s">
        <v>228</v>
      </c>
      <c r="AV837" s="0" t="s">
        <v>228</v>
      </c>
      <c r="AW837" s="0" t="s">
        <v>228</v>
      </c>
      <c r="AX837" s="0" t="s">
        <v>228</v>
      </c>
      <c r="AY837" s="0" t="s">
        <v>228</v>
      </c>
      <c r="AZ837" s="0" t="s">
        <v>228</v>
      </c>
      <c r="BA837" s="0" t="s">
        <v>228</v>
      </c>
      <c r="BB837" s="0" t="s">
        <v>228</v>
      </c>
      <c r="BC837" s="0" t="s">
        <v>228</v>
      </c>
      <c r="BD837" s="0" t="s">
        <v>228</v>
      </c>
      <c r="BE837" s="0" t="s">
        <v>228</v>
      </c>
      <c r="BF837" s="0" t="s">
        <v>228</v>
      </c>
      <c r="BG837" s="0" t="s">
        <v>228</v>
      </c>
      <c r="BH837" s="0" t="s">
        <v>228</v>
      </c>
      <c r="BI837" s="0" t="s">
        <v>228</v>
      </c>
      <c r="BJ837" s="0" t="s">
        <v>228</v>
      </c>
      <c r="BK837" s="0" t="s">
        <v>228</v>
      </c>
      <c r="BL837" s="0" t="s">
        <v>228</v>
      </c>
      <c r="BM837" s="0" t="s">
        <v>228</v>
      </c>
      <c r="BN837" s="0" t="s">
        <v>228</v>
      </c>
      <c r="BO837" s="0" t="s">
        <v>228</v>
      </c>
      <c r="BP837" s="0" t="s">
        <v>228</v>
      </c>
      <c r="BQ837" s="0" t="s">
        <v>228</v>
      </c>
      <c r="BR837" s="0" t="s">
        <v>228</v>
      </c>
      <c r="BS837" s="0" t="s">
        <v>228</v>
      </c>
      <c r="BT837" s="0" t="s">
        <v>228</v>
      </c>
      <c r="CS837" s="0" t="s">
        <v>228</v>
      </c>
      <c r="CT837" s="0" t="s">
        <v>3568</v>
      </c>
      <c r="CU837" s="0" t="s">
        <v>3569</v>
      </c>
      <c r="CV837" s="0" t="s">
        <v>418</v>
      </c>
      <c r="CW837" s="0" t="s">
        <v>3570</v>
      </c>
      <c r="CX837" s="0" t="s">
        <v>419</v>
      </c>
      <c r="CY837" s="0" t="s">
        <v>418</v>
      </c>
      <c r="CZ837" s="0" t="s">
        <v>3571</v>
      </c>
      <c r="DA837" s="0" t="s">
        <v>420</v>
      </c>
      <c r="DB837" s="0" t="s">
        <v>3570</v>
      </c>
      <c r="DC837" s="0" t="s">
        <v>362</v>
      </c>
      <c r="DD837" s="0" t="s">
        <v>282</v>
      </c>
      <c r="DE837" s="0" t="s">
        <v>5567</v>
      </c>
    </row>
    <row customHeight="1" ht="11.25">
      <c r="A838" s="1353" t="s">
        <v>228</v>
      </c>
      <c r="B838" s="0" t="s">
        <v>228</v>
      </c>
      <c r="C838" s="0" t="s">
        <v>228</v>
      </c>
      <c r="D838" s="0" t="s">
        <v>228</v>
      </c>
      <c r="E838" s="0" t="s">
        <v>228</v>
      </c>
      <c r="F838" s="0" t="s">
        <v>228</v>
      </c>
      <c r="G838" s="0" t="s">
        <v>228</v>
      </c>
      <c r="H838" s="0" t="s">
        <v>228</v>
      </c>
      <c r="I838" s="0" t="s">
        <v>5119</v>
      </c>
      <c r="J838" s="0" t="s">
        <v>228</v>
      </c>
      <c r="K838" s="0" t="s">
        <v>228</v>
      </c>
      <c r="L838" s="0" t="s">
        <v>228</v>
      </c>
      <c r="M838" s="0" t="s">
        <v>228</v>
      </c>
      <c r="N838" s="0" t="s">
        <v>228</v>
      </c>
      <c r="O838" s="0" t="s">
        <v>228</v>
      </c>
      <c r="P838" s="0" t="s">
        <v>228</v>
      </c>
      <c r="Q838" s="0" t="s">
        <v>228</v>
      </c>
      <c r="R838" s="0" t="s">
        <v>5557</v>
      </c>
      <c r="S838" s="0" t="s">
        <v>228</v>
      </c>
      <c r="T838" s="0" t="s">
        <v>228</v>
      </c>
      <c r="U838" s="0" t="s">
        <v>101</v>
      </c>
      <c r="V838" s="0" t="s">
        <v>228</v>
      </c>
      <c r="W838" s="0" t="s">
        <v>228</v>
      </c>
      <c r="X838" s="0" t="s">
        <v>5121</v>
      </c>
      <c r="Y838" s="0" t="s">
        <v>228</v>
      </c>
      <c r="Z838" s="0" t="s">
        <v>160</v>
      </c>
      <c r="AA838" s="0" t="s">
        <v>151</v>
      </c>
      <c r="AB838" s="0" t="s">
        <v>151</v>
      </c>
      <c r="AC838" s="0" t="s">
        <v>2290</v>
      </c>
      <c r="AD838" s="0" t="s">
        <v>2290</v>
      </c>
      <c r="AE838" s="0" t="s">
        <v>2292</v>
      </c>
      <c r="AF838" s="0" t="s">
        <v>3558</v>
      </c>
      <c r="AG838" s="0" t="s">
        <v>3559</v>
      </c>
      <c r="AH838" s="0" t="s">
        <v>5558</v>
      </c>
      <c r="AI838" s="0" t="s">
        <v>1688</v>
      </c>
      <c r="AJ838" s="0" t="s">
        <v>3899</v>
      </c>
      <c r="AK838" s="0" t="s">
        <v>3619</v>
      </c>
      <c r="AL838" s="0" t="s">
        <v>5125</v>
      </c>
      <c r="AN838" s="0" t="s">
        <v>3833</v>
      </c>
      <c r="AO838" s="0" t="s">
        <v>4574</v>
      </c>
      <c r="AP838" s="0" t="s">
        <v>228</v>
      </c>
      <c r="AQ838" s="0" t="s">
        <v>228</v>
      </c>
      <c r="AR838" s="0" t="s">
        <v>228</v>
      </c>
      <c r="AS838" s="0" t="s">
        <v>228</v>
      </c>
      <c r="AT838" s="0" t="s">
        <v>228</v>
      </c>
      <c r="AU838" s="0" t="s">
        <v>228</v>
      </c>
      <c r="AV838" s="0" t="s">
        <v>228</v>
      </c>
      <c r="AW838" s="0" t="s">
        <v>228</v>
      </c>
      <c r="AX838" s="0" t="s">
        <v>228</v>
      </c>
      <c r="AY838" s="0" t="s">
        <v>228</v>
      </c>
      <c r="AZ838" s="0" t="s">
        <v>228</v>
      </c>
      <c r="BA838" s="0" t="s">
        <v>228</v>
      </c>
      <c r="BB838" s="0" t="s">
        <v>228</v>
      </c>
      <c r="BC838" s="0" t="s">
        <v>228</v>
      </c>
      <c r="BD838" s="0" t="s">
        <v>228</v>
      </c>
      <c r="BE838" s="0" t="s">
        <v>228</v>
      </c>
      <c r="BF838" s="0" t="s">
        <v>228</v>
      </c>
      <c r="BG838" s="0" t="s">
        <v>228</v>
      </c>
      <c r="BH838" s="0" t="s">
        <v>228</v>
      </c>
      <c r="BI838" s="0" t="s">
        <v>228</v>
      </c>
      <c r="BJ838" s="0" t="s">
        <v>228</v>
      </c>
      <c r="BK838" s="0" t="s">
        <v>228</v>
      </c>
      <c r="BL838" s="0" t="s">
        <v>228</v>
      </c>
      <c r="BM838" s="0" t="s">
        <v>228</v>
      </c>
      <c r="BN838" s="0" t="s">
        <v>228</v>
      </c>
      <c r="BO838" s="0" t="s">
        <v>228</v>
      </c>
      <c r="BP838" s="0" t="s">
        <v>228</v>
      </c>
      <c r="BQ838" s="0" t="s">
        <v>228</v>
      </c>
      <c r="BR838" s="0" t="s">
        <v>228</v>
      </c>
      <c r="BS838" s="0" t="s">
        <v>228</v>
      </c>
      <c r="BT838" s="0" t="s">
        <v>228</v>
      </c>
      <c r="CS838" s="0" t="s">
        <v>228</v>
      </c>
      <c r="CT838" s="0" t="s">
        <v>3568</v>
      </c>
      <c r="CU838" s="0" t="s">
        <v>3569</v>
      </c>
      <c r="CV838" s="0" t="s">
        <v>418</v>
      </c>
      <c r="CW838" s="0" t="s">
        <v>3570</v>
      </c>
      <c r="CX838" s="0" t="s">
        <v>419</v>
      </c>
      <c r="CY838" s="0" t="s">
        <v>418</v>
      </c>
      <c r="CZ838" s="0" t="s">
        <v>3571</v>
      </c>
      <c r="DA838" s="0" t="s">
        <v>420</v>
      </c>
      <c r="DB838" s="0" t="s">
        <v>3570</v>
      </c>
      <c r="DC838" s="0" t="s">
        <v>362</v>
      </c>
      <c r="DD838" s="0" t="s">
        <v>282</v>
      </c>
      <c r="DE838" s="0" t="s">
        <v>5559</v>
      </c>
    </row>
    <row customHeight="1" ht="11.25">
      <c r="A839" s="1353" t="s">
        <v>228</v>
      </c>
      <c r="B839" s="0" t="s">
        <v>228</v>
      </c>
      <c r="C839" s="0" t="s">
        <v>228</v>
      </c>
      <c r="D839" s="0" t="s">
        <v>228</v>
      </c>
      <c r="E839" s="0" t="s">
        <v>228</v>
      </c>
      <c r="F839" s="0" t="s">
        <v>228</v>
      </c>
      <c r="G839" s="0" t="s">
        <v>228</v>
      </c>
      <c r="H839" s="0" t="s">
        <v>228</v>
      </c>
      <c r="I839" s="0" t="s">
        <v>5119</v>
      </c>
      <c r="J839" s="0" t="s">
        <v>228</v>
      </c>
      <c r="K839" s="0" t="s">
        <v>228</v>
      </c>
      <c r="L839" s="0" t="s">
        <v>228</v>
      </c>
      <c r="M839" s="0" t="s">
        <v>228</v>
      </c>
      <c r="N839" s="0" t="s">
        <v>228</v>
      </c>
      <c r="O839" s="0" t="s">
        <v>228</v>
      </c>
      <c r="P839" s="0" t="s">
        <v>228</v>
      </c>
      <c r="Q839" s="0" t="s">
        <v>228</v>
      </c>
      <c r="R839" s="0" t="s">
        <v>5468</v>
      </c>
      <c r="S839" s="0" t="s">
        <v>228</v>
      </c>
      <c r="T839" s="0" t="s">
        <v>228</v>
      </c>
      <c r="U839" s="0" t="s">
        <v>101</v>
      </c>
      <c r="V839" s="0" t="s">
        <v>228</v>
      </c>
      <c r="W839" s="0" t="s">
        <v>228</v>
      </c>
      <c r="X839" s="0" t="s">
        <v>5121</v>
      </c>
      <c r="Y839" s="0" t="s">
        <v>228</v>
      </c>
      <c r="Z839" s="0" t="s">
        <v>160</v>
      </c>
      <c r="AA839" s="0" t="s">
        <v>151</v>
      </c>
      <c r="AB839" s="0" t="s">
        <v>151</v>
      </c>
      <c r="AC839" s="0" t="s">
        <v>2715</v>
      </c>
      <c r="AD839" s="0" t="s">
        <v>2715</v>
      </c>
      <c r="AE839" s="0" t="s">
        <v>2716</v>
      </c>
      <c r="AF839" s="0" t="s">
        <v>3594</v>
      </c>
      <c r="AG839" s="0" t="s">
        <v>3595</v>
      </c>
      <c r="AH839" s="0" t="s">
        <v>5469</v>
      </c>
      <c r="AI839" s="0" t="s">
        <v>3608</v>
      </c>
      <c r="AJ839" s="0" t="s">
        <v>5470</v>
      </c>
      <c r="AK839" s="0" t="s">
        <v>5471</v>
      </c>
      <c r="AL839" s="0" t="s">
        <v>5125</v>
      </c>
      <c r="AN839" s="0" t="s">
        <v>5472</v>
      </c>
      <c r="AO839" s="0" t="s">
        <v>5473</v>
      </c>
      <c r="AP839" s="0" t="s">
        <v>228</v>
      </c>
      <c r="AQ839" s="0" t="s">
        <v>228</v>
      </c>
      <c r="AR839" s="0" t="s">
        <v>228</v>
      </c>
      <c r="AS839" s="0" t="s">
        <v>228</v>
      </c>
      <c r="AT839" s="0" t="s">
        <v>228</v>
      </c>
      <c r="AU839" s="0" t="s">
        <v>228</v>
      </c>
      <c r="AV839" s="0" t="s">
        <v>228</v>
      </c>
      <c r="AW839" s="0" t="s">
        <v>228</v>
      </c>
      <c r="AX839" s="0" t="s">
        <v>228</v>
      </c>
      <c r="AY839" s="0" t="s">
        <v>228</v>
      </c>
      <c r="AZ839" s="0" t="s">
        <v>228</v>
      </c>
      <c r="BA839" s="0" t="s">
        <v>228</v>
      </c>
      <c r="BB839" s="0" t="s">
        <v>228</v>
      </c>
      <c r="BC839" s="0" t="s">
        <v>228</v>
      </c>
      <c r="BD839" s="0" t="s">
        <v>228</v>
      </c>
      <c r="BE839" s="0" t="s">
        <v>228</v>
      </c>
      <c r="BF839" s="0" t="s">
        <v>228</v>
      </c>
      <c r="BG839" s="0" t="s">
        <v>228</v>
      </c>
      <c r="BH839" s="0" t="s">
        <v>228</v>
      </c>
      <c r="BI839" s="0" t="s">
        <v>228</v>
      </c>
      <c r="BJ839" s="0" t="s">
        <v>228</v>
      </c>
      <c r="BK839" s="0" t="s">
        <v>228</v>
      </c>
      <c r="BL839" s="0" t="s">
        <v>228</v>
      </c>
      <c r="BM839" s="0" t="s">
        <v>228</v>
      </c>
      <c r="BN839" s="0" t="s">
        <v>228</v>
      </c>
      <c r="BO839" s="0" t="s">
        <v>228</v>
      </c>
      <c r="BP839" s="0" t="s">
        <v>228</v>
      </c>
      <c r="BQ839" s="0" t="s">
        <v>228</v>
      </c>
      <c r="BR839" s="0" t="s">
        <v>228</v>
      </c>
      <c r="BS839" s="0" t="s">
        <v>228</v>
      </c>
      <c r="BT839" s="0" t="s">
        <v>228</v>
      </c>
      <c r="CS839" s="0" t="s">
        <v>228</v>
      </c>
      <c r="CT839" s="0" t="s">
        <v>3568</v>
      </c>
      <c r="CU839" s="0" t="s">
        <v>3569</v>
      </c>
      <c r="CV839" s="0" t="s">
        <v>418</v>
      </c>
      <c r="CW839" s="0" t="s">
        <v>3602</v>
      </c>
      <c r="CX839" s="0" t="s">
        <v>3603</v>
      </c>
      <c r="CY839" s="0" t="s">
        <v>418</v>
      </c>
      <c r="CZ839" s="0" t="s">
        <v>504</v>
      </c>
      <c r="DA839" s="0" t="s">
        <v>3604</v>
      </c>
      <c r="DB839" s="0" t="s">
        <v>3602</v>
      </c>
      <c r="DC839" s="0" t="s">
        <v>362</v>
      </c>
      <c r="DD839" s="0" t="s">
        <v>282</v>
      </c>
      <c r="DE839" s="0" t="s">
        <v>5474</v>
      </c>
    </row>
    <row customHeight="1" ht="11.25">
      <c r="A840" s="1353" t="s">
        <v>228</v>
      </c>
      <c r="B840" s="0" t="s">
        <v>228</v>
      </c>
      <c r="C840" s="0" t="s">
        <v>228</v>
      </c>
      <c r="D840" s="0" t="s">
        <v>228</v>
      </c>
      <c r="E840" s="0" t="s">
        <v>228</v>
      </c>
      <c r="F840" s="0" t="s">
        <v>228</v>
      </c>
      <c r="G840" s="0" t="s">
        <v>228</v>
      </c>
      <c r="H840" s="0" t="s">
        <v>228</v>
      </c>
      <c r="I840" s="0" t="s">
        <v>5119</v>
      </c>
      <c r="J840" s="0" t="s">
        <v>228</v>
      </c>
      <c r="K840" s="0" t="s">
        <v>228</v>
      </c>
      <c r="L840" s="0" t="s">
        <v>228</v>
      </c>
      <c r="M840" s="0" t="s">
        <v>228</v>
      </c>
      <c r="N840" s="0" t="s">
        <v>228</v>
      </c>
      <c r="O840" s="0" t="s">
        <v>228</v>
      </c>
      <c r="P840" s="0" t="s">
        <v>228</v>
      </c>
      <c r="Q840" s="0" t="s">
        <v>228</v>
      </c>
      <c r="R840" s="0" t="s">
        <v>5495</v>
      </c>
      <c r="S840" s="0" t="s">
        <v>228</v>
      </c>
      <c r="T840" s="0" t="s">
        <v>228</v>
      </c>
      <c r="U840" s="0" t="s">
        <v>101</v>
      </c>
      <c r="V840" s="0" t="s">
        <v>228</v>
      </c>
      <c r="W840" s="0" t="s">
        <v>228</v>
      </c>
      <c r="X840" s="0" t="s">
        <v>5121</v>
      </c>
      <c r="Y840" s="0" t="s">
        <v>228</v>
      </c>
      <c r="Z840" s="0" t="s">
        <v>160</v>
      </c>
      <c r="AA840" s="0" t="s">
        <v>151</v>
      </c>
      <c r="AB840" s="0" t="s">
        <v>151</v>
      </c>
      <c r="AC840" s="0" t="s">
        <v>2715</v>
      </c>
      <c r="AD840" s="0" t="s">
        <v>2715</v>
      </c>
      <c r="AE840" s="0" t="s">
        <v>2716</v>
      </c>
      <c r="AF840" s="0" t="s">
        <v>3594</v>
      </c>
      <c r="AG840" s="0" t="s">
        <v>3595</v>
      </c>
      <c r="AH840" s="0" t="s">
        <v>5496</v>
      </c>
      <c r="AI840" s="0" t="s">
        <v>3608</v>
      </c>
      <c r="AJ840" s="0" t="s">
        <v>5497</v>
      </c>
      <c r="AK840" s="0" t="s">
        <v>3674</v>
      </c>
      <c r="AL840" s="0" t="s">
        <v>5125</v>
      </c>
      <c r="AN840" s="0" t="s">
        <v>5472</v>
      </c>
      <c r="AO840" s="0" t="s">
        <v>5473</v>
      </c>
      <c r="AP840" s="0" t="s">
        <v>228</v>
      </c>
      <c r="AQ840" s="0" t="s">
        <v>228</v>
      </c>
      <c r="AR840" s="0" t="s">
        <v>228</v>
      </c>
      <c r="AS840" s="0" t="s">
        <v>228</v>
      </c>
      <c r="AT840" s="0" t="s">
        <v>228</v>
      </c>
      <c r="AU840" s="0" t="s">
        <v>228</v>
      </c>
      <c r="AV840" s="0" t="s">
        <v>228</v>
      </c>
      <c r="AW840" s="0" t="s">
        <v>228</v>
      </c>
      <c r="AX840" s="0" t="s">
        <v>228</v>
      </c>
      <c r="AY840" s="0" t="s">
        <v>228</v>
      </c>
      <c r="AZ840" s="0" t="s">
        <v>228</v>
      </c>
      <c r="BA840" s="0" t="s">
        <v>228</v>
      </c>
      <c r="BB840" s="0" t="s">
        <v>228</v>
      </c>
      <c r="BC840" s="0" t="s">
        <v>228</v>
      </c>
      <c r="BD840" s="0" t="s">
        <v>228</v>
      </c>
      <c r="BE840" s="0" t="s">
        <v>228</v>
      </c>
      <c r="BF840" s="0" t="s">
        <v>228</v>
      </c>
      <c r="BG840" s="0" t="s">
        <v>228</v>
      </c>
      <c r="BH840" s="0" t="s">
        <v>228</v>
      </c>
      <c r="BI840" s="0" t="s">
        <v>228</v>
      </c>
      <c r="BJ840" s="0" t="s">
        <v>228</v>
      </c>
      <c r="BK840" s="0" t="s">
        <v>228</v>
      </c>
      <c r="BL840" s="0" t="s">
        <v>228</v>
      </c>
      <c r="BM840" s="0" t="s">
        <v>228</v>
      </c>
      <c r="BN840" s="0" t="s">
        <v>228</v>
      </c>
      <c r="BO840" s="0" t="s">
        <v>228</v>
      </c>
      <c r="BP840" s="0" t="s">
        <v>228</v>
      </c>
      <c r="BQ840" s="0" t="s">
        <v>228</v>
      </c>
      <c r="BR840" s="0" t="s">
        <v>228</v>
      </c>
      <c r="BS840" s="0" t="s">
        <v>228</v>
      </c>
      <c r="BT840" s="0" t="s">
        <v>228</v>
      </c>
      <c r="CS840" s="0" t="s">
        <v>228</v>
      </c>
      <c r="CT840" s="0" t="s">
        <v>3568</v>
      </c>
      <c r="CU840" s="0" t="s">
        <v>3569</v>
      </c>
      <c r="CV840" s="0" t="s">
        <v>418</v>
      </c>
      <c r="CW840" s="0" t="s">
        <v>3602</v>
      </c>
      <c r="CX840" s="0" t="s">
        <v>3603</v>
      </c>
      <c r="CY840" s="0" t="s">
        <v>418</v>
      </c>
      <c r="CZ840" s="0" t="s">
        <v>504</v>
      </c>
      <c r="DA840" s="0" t="s">
        <v>3604</v>
      </c>
      <c r="DB840" s="0" t="s">
        <v>3602</v>
      </c>
      <c r="DC840" s="0" t="s">
        <v>362</v>
      </c>
      <c r="DD840" s="0" t="s">
        <v>282</v>
      </c>
      <c r="DE840" s="0" t="s">
        <v>5498</v>
      </c>
    </row>
    <row customHeight="1" ht="11.25">
      <c r="A841" s="1353" t="s">
        <v>228</v>
      </c>
      <c r="B841" s="0" t="s">
        <v>228</v>
      </c>
      <c r="C841" s="0" t="s">
        <v>228</v>
      </c>
      <c r="D841" s="0" t="s">
        <v>228</v>
      </c>
      <c r="E841" s="0" t="s">
        <v>228</v>
      </c>
      <c r="F841" s="0" t="s">
        <v>228</v>
      </c>
      <c r="G841" s="0" t="s">
        <v>228</v>
      </c>
      <c r="H841" s="0" t="s">
        <v>228</v>
      </c>
      <c r="I841" s="0" t="s">
        <v>5119</v>
      </c>
      <c r="J841" s="0" t="s">
        <v>228</v>
      </c>
      <c r="K841" s="0" t="s">
        <v>228</v>
      </c>
      <c r="L841" s="0" t="s">
        <v>228</v>
      </c>
      <c r="M841" s="0" t="s">
        <v>228</v>
      </c>
      <c r="N841" s="0" t="s">
        <v>228</v>
      </c>
      <c r="O841" s="0" t="s">
        <v>228</v>
      </c>
      <c r="P841" s="0" t="s">
        <v>228</v>
      </c>
      <c r="Q841" s="0" t="s">
        <v>228</v>
      </c>
      <c r="R841" s="0" t="s">
        <v>5456</v>
      </c>
      <c r="S841" s="0" t="s">
        <v>228</v>
      </c>
      <c r="T841" s="0" t="s">
        <v>228</v>
      </c>
      <c r="U841" s="0" t="s">
        <v>101</v>
      </c>
      <c r="V841" s="0" t="s">
        <v>228</v>
      </c>
      <c r="W841" s="0" t="s">
        <v>228</v>
      </c>
      <c r="X841" s="0" t="s">
        <v>5121</v>
      </c>
      <c r="Y841" s="0" t="s">
        <v>228</v>
      </c>
      <c r="Z841" s="0" t="s">
        <v>160</v>
      </c>
      <c r="AA841" s="0" t="s">
        <v>151</v>
      </c>
      <c r="AB841" s="0" t="s">
        <v>151</v>
      </c>
      <c r="AC841" s="0" t="s">
        <v>2290</v>
      </c>
      <c r="AD841" s="0" t="s">
        <v>2290</v>
      </c>
      <c r="AE841" s="0" t="s">
        <v>2292</v>
      </c>
      <c r="AF841" s="0" t="s">
        <v>3558</v>
      </c>
      <c r="AG841" s="0" t="s">
        <v>3559</v>
      </c>
      <c r="AH841" s="0" t="s">
        <v>5457</v>
      </c>
      <c r="AI841" s="0" t="s">
        <v>3608</v>
      </c>
      <c r="AJ841" s="0" t="s">
        <v>4287</v>
      </c>
      <c r="AK841" s="0" t="s">
        <v>5458</v>
      </c>
      <c r="AL841" s="0" t="s">
        <v>5125</v>
      </c>
      <c r="AN841" s="0" t="s">
        <v>3833</v>
      </c>
      <c r="AO841" s="0" t="s">
        <v>4574</v>
      </c>
      <c r="AP841" s="0" t="s">
        <v>228</v>
      </c>
      <c r="AQ841" s="0" t="s">
        <v>228</v>
      </c>
      <c r="AR841" s="0" t="s">
        <v>228</v>
      </c>
      <c r="AS841" s="0" t="s">
        <v>228</v>
      </c>
      <c r="AT841" s="0" t="s">
        <v>228</v>
      </c>
      <c r="AU841" s="0" t="s">
        <v>228</v>
      </c>
      <c r="AV841" s="0" t="s">
        <v>228</v>
      </c>
      <c r="AW841" s="0" t="s">
        <v>228</v>
      </c>
      <c r="AX841" s="0" t="s">
        <v>228</v>
      </c>
      <c r="AY841" s="0" t="s">
        <v>228</v>
      </c>
      <c r="AZ841" s="0" t="s">
        <v>228</v>
      </c>
      <c r="BA841" s="0" t="s">
        <v>228</v>
      </c>
      <c r="BB841" s="0" t="s">
        <v>228</v>
      </c>
      <c r="BC841" s="0" t="s">
        <v>228</v>
      </c>
      <c r="BD841" s="0" t="s">
        <v>228</v>
      </c>
      <c r="BE841" s="0" t="s">
        <v>228</v>
      </c>
      <c r="BF841" s="0" t="s">
        <v>228</v>
      </c>
      <c r="BG841" s="0" t="s">
        <v>228</v>
      </c>
      <c r="BH841" s="0" t="s">
        <v>228</v>
      </c>
      <c r="BI841" s="0" t="s">
        <v>228</v>
      </c>
      <c r="BJ841" s="0" t="s">
        <v>228</v>
      </c>
      <c r="BK841" s="0" t="s">
        <v>228</v>
      </c>
      <c r="BL841" s="0" t="s">
        <v>228</v>
      </c>
      <c r="BM841" s="0" t="s">
        <v>228</v>
      </c>
      <c r="BN841" s="0" t="s">
        <v>228</v>
      </c>
      <c r="BO841" s="0" t="s">
        <v>228</v>
      </c>
      <c r="BP841" s="0" t="s">
        <v>228</v>
      </c>
      <c r="BQ841" s="0" t="s">
        <v>228</v>
      </c>
      <c r="BR841" s="0" t="s">
        <v>228</v>
      </c>
      <c r="BS841" s="0" t="s">
        <v>228</v>
      </c>
      <c r="BT841" s="0" t="s">
        <v>228</v>
      </c>
      <c r="CS841" s="0" t="s">
        <v>228</v>
      </c>
      <c r="CT841" s="0" t="s">
        <v>3568</v>
      </c>
      <c r="CU841" s="0" t="s">
        <v>3569</v>
      </c>
      <c r="CV841" s="0" t="s">
        <v>418</v>
      </c>
      <c r="CW841" s="0" t="s">
        <v>3570</v>
      </c>
      <c r="CX841" s="0" t="s">
        <v>419</v>
      </c>
      <c r="CY841" s="0" t="s">
        <v>418</v>
      </c>
      <c r="CZ841" s="0" t="s">
        <v>3571</v>
      </c>
      <c r="DA841" s="0" t="s">
        <v>420</v>
      </c>
      <c r="DB841" s="0" t="s">
        <v>3570</v>
      </c>
      <c r="DC841" s="0" t="s">
        <v>362</v>
      </c>
      <c r="DD841" s="0" t="s">
        <v>282</v>
      </c>
      <c r="DE841" s="0" t="s">
        <v>5459</v>
      </c>
    </row>
    <row customHeight="1" ht="11.25">
      <c r="A842" s="1353" t="s">
        <v>228</v>
      </c>
      <c r="B842" s="0" t="s">
        <v>228</v>
      </c>
      <c r="C842" s="0" t="s">
        <v>228</v>
      </c>
      <c r="D842" s="0" t="s">
        <v>228</v>
      </c>
      <c r="E842" s="0" t="s">
        <v>228</v>
      </c>
      <c r="F842" s="0" t="s">
        <v>228</v>
      </c>
      <c r="G842" s="0" t="s">
        <v>228</v>
      </c>
      <c r="H842" s="0" t="s">
        <v>228</v>
      </c>
      <c r="I842" s="0" t="s">
        <v>5119</v>
      </c>
      <c r="J842" s="0" t="s">
        <v>228</v>
      </c>
      <c r="K842" s="0" t="s">
        <v>228</v>
      </c>
      <c r="L842" s="0" t="s">
        <v>228</v>
      </c>
      <c r="M842" s="0" t="s">
        <v>228</v>
      </c>
      <c r="N842" s="0" t="s">
        <v>228</v>
      </c>
      <c r="O842" s="0" t="s">
        <v>228</v>
      </c>
      <c r="P842" s="0" t="s">
        <v>228</v>
      </c>
      <c r="Q842" s="0" t="s">
        <v>228</v>
      </c>
      <c r="R842" s="0" t="s">
        <v>5462</v>
      </c>
      <c r="S842" s="0" t="s">
        <v>228</v>
      </c>
      <c r="T842" s="0" t="s">
        <v>228</v>
      </c>
      <c r="U842" s="0" t="s">
        <v>101</v>
      </c>
      <c r="V842" s="0" t="s">
        <v>228</v>
      </c>
      <c r="W842" s="0" t="s">
        <v>228</v>
      </c>
      <c r="X842" s="0" t="s">
        <v>5121</v>
      </c>
      <c r="Y842" s="0" t="s">
        <v>228</v>
      </c>
      <c r="Z842" s="0" t="s">
        <v>160</v>
      </c>
      <c r="AA842" s="0" t="s">
        <v>151</v>
      </c>
      <c r="AB842" s="0" t="s">
        <v>151</v>
      </c>
      <c r="AC842" s="0" t="s">
        <v>2290</v>
      </c>
      <c r="AD842" s="0" t="s">
        <v>2290</v>
      </c>
      <c r="AE842" s="0" t="s">
        <v>2292</v>
      </c>
      <c r="AF842" s="0" t="s">
        <v>3558</v>
      </c>
      <c r="AG842" s="0" t="s">
        <v>3559</v>
      </c>
      <c r="AH842" s="0" t="s">
        <v>5463</v>
      </c>
      <c r="AI842" s="0" t="s">
        <v>5464</v>
      </c>
      <c r="AJ842" s="0" t="s">
        <v>5172</v>
      </c>
      <c r="AK842" s="0" t="s">
        <v>5465</v>
      </c>
      <c r="AL842" s="0" t="s">
        <v>5144</v>
      </c>
      <c r="AN842" s="0" t="s">
        <v>5466</v>
      </c>
      <c r="AO842" s="0" t="s">
        <v>3823</v>
      </c>
      <c r="AP842" s="0" t="s">
        <v>228</v>
      </c>
      <c r="AQ842" s="0" t="s">
        <v>228</v>
      </c>
      <c r="AR842" s="0" t="s">
        <v>228</v>
      </c>
      <c r="AS842" s="0" t="s">
        <v>228</v>
      </c>
      <c r="AT842" s="0" t="s">
        <v>228</v>
      </c>
      <c r="AU842" s="0" t="s">
        <v>228</v>
      </c>
      <c r="AV842" s="0" t="s">
        <v>228</v>
      </c>
      <c r="AW842" s="0" t="s">
        <v>228</v>
      </c>
      <c r="AX842" s="0" t="s">
        <v>228</v>
      </c>
      <c r="AY842" s="0" t="s">
        <v>228</v>
      </c>
      <c r="AZ842" s="0" t="s">
        <v>228</v>
      </c>
      <c r="BA842" s="0" t="s">
        <v>228</v>
      </c>
      <c r="BB842" s="0" t="s">
        <v>228</v>
      </c>
      <c r="BC842" s="0" t="s">
        <v>228</v>
      </c>
      <c r="BD842" s="0" t="s">
        <v>228</v>
      </c>
      <c r="BE842" s="0" t="s">
        <v>228</v>
      </c>
      <c r="BF842" s="0" t="s">
        <v>228</v>
      </c>
      <c r="BG842" s="0" t="s">
        <v>228</v>
      </c>
      <c r="BH842" s="0" t="s">
        <v>228</v>
      </c>
      <c r="BI842" s="0" t="s">
        <v>228</v>
      </c>
      <c r="BJ842" s="0" t="s">
        <v>228</v>
      </c>
      <c r="BK842" s="0" t="s">
        <v>228</v>
      </c>
      <c r="BL842" s="0" t="s">
        <v>228</v>
      </c>
      <c r="BM842" s="0" t="s">
        <v>228</v>
      </c>
      <c r="BN842" s="0" t="s">
        <v>228</v>
      </c>
      <c r="BO842" s="0" t="s">
        <v>228</v>
      </c>
      <c r="BP842" s="0" t="s">
        <v>228</v>
      </c>
      <c r="BQ842" s="0" t="s">
        <v>228</v>
      </c>
      <c r="BR842" s="0" t="s">
        <v>228</v>
      </c>
      <c r="BS842" s="0" t="s">
        <v>228</v>
      </c>
      <c r="BT842" s="0" t="s">
        <v>228</v>
      </c>
      <c r="CS842" s="0" t="s">
        <v>228</v>
      </c>
      <c r="CT842" s="0" t="s">
        <v>3568</v>
      </c>
      <c r="CU842" s="0" t="s">
        <v>3569</v>
      </c>
      <c r="CV842" s="0" t="s">
        <v>418</v>
      </c>
      <c r="CW842" s="0" t="s">
        <v>3570</v>
      </c>
      <c r="CX842" s="0" t="s">
        <v>419</v>
      </c>
      <c r="CY842" s="0" t="s">
        <v>418</v>
      </c>
      <c r="CZ842" s="0" t="s">
        <v>3571</v>
      </c>
      <c r="DA842" s="0" t="s">
        <v>420</v>
      </c>
      <c r="DB842" s="0" t="s">
        <v>3570</v>
      </c>
      <c r="DC842" s="0" t="s">
        <v>362</v>
      </c>
      <c r="DD842" s="0" t="s">
        <v>282</v>
      </c>
      <c r="DE842" s="0" t="s">
        <v>5467</v>
      </c>
    </row>
    <row customHeight="1" ht="11.25">
      <c r="A843" s="1353" t="s">
        <v>228</v>
      </c>
      <c r="B843" s="0" t="s">
        <v>228</v>
      </c>
      <c r="C843" s="0" t="s">
        <v>228</v>
      </c>
      <c r="D843" s="0" t="s">
        <v>228</v>
      </c>
      <c r="E843" s="0" t="s">
        <v>228</v>
      </c>
      <c r="F843" s="0" t="s">
        <v>228</v>
      </c>
      <c r="G843" s="0" t="s">
        <v>228</v>
      </c>
      <c r="H843" s="0" t="s">
        <v>228</v>
      </c>
      <c r="I843" s="0" t="s">
        <v>5119</v>
      </c>
      <c r="J843" s="0" t="s">
        <v>228</v>
      </c>
      <c r="K843" s="0" t="s">
        <v>228</v>
      </c>
      <c r="L843" s="0" t="s">
        <v>228</v>
      </c>
      <c r="M843" s="0" t="s">
        <v>228</v>
      </c>
      <c r="N843" s="0" t="s">
        <v>228</v>
      </c>
      <c r="O843" s="0" t="s">
        <v>228</v>
      </c>
      <c r="P843" s="0" t="s">
        <v>228</v>
      </c>
      <c r="Q843" s="0" t="s">
        <v>228</v>
      </c>
      <c r="R843" s="0" t="s">
        <v>5475</v>
      </c>
      <c r="S843" s="0" t="s">
        <v>228</v>
      </c>
      <c r="T843" s="0" t="s">
        <v>228</v>
      </c>
      <c r="U843" s="0" t="s">
        <v>101</v>
      </c>
      <c r="V843" s="0" t="s">
        <v>228</v>
      </c>
      <c r="W843" s="0" t="s">
        <v>228</v>
      </c>
      <c r="X843" s="0" t="s">
        <v>5121</v>
      </c>
      <c r="Y843" s="0" t="s">
        <v>228</v>
      </c>
      <c r="Z843" s="0" t="s">
        <v>160</v>
      </c>
      <c r="AA843" s="0" t="s">
        <v>151</v>
      </c>
      <c r="AB843" s="0" t="s">
        <v>151</v>
      </c>
      <c r="AC843" s="0" t="s">
        <v>2290</v>
      </c>
      <c r="AD843" s="0" t="s">
        <v>2290</v>
      </c>
      <c r="AE843" s="0" t="s">
        <v>2292</v>
      </c>
      <c r="AF843" s="0" t="s">
        <v>3558</v>
      </c>
      <c r="AG843" s="0" t="s">
        <v>3559</v>
      </c>
      <c r="AH843" s="0" t="s">
        <v>5476</v>
      </c>
      <c r="AI843" s="0" t="s">
        <v>5477</v>
      </c>
      <c r="AJ843" s="0" t="s">
        <v>4287</v>
      </c>
      <c r="AK843" s="0" t="s">
        <v>3579</v>
      </c>
      <c r="AL843" s="0" t="s">
        <v>5125</v>
      </c>
      <c r="AN843" s="0" t="s">
        <v>3833</v>
      </c>
      <c r="AO843" s="0" t="s">
        <v>5251</v>
      </c>
      <c r="AP843" s="0" t="s">
        <v>228</v>
      </c>
      <c r="AQ843" s="0" t="s">
        <v>228</v>
      </c>
      <c r="AR843" s="0" t="s">
        <v>228</v>
      </c>
      <c r="AS843" s="0" t="s">
        <v>228</v>
      </c>
      <c r="AT843" s="0" t="s">
        <v>228</v>
      </c>
      <c r="AU843" s="0" t="s">
        <v>228</v>
      </c>
      <c r="AV843" s="0" t="s">
        <v>228</v>
      </c>
      <c r="AW843" s="0" t="s">
        <v>228</v>
      </c>
      <c r="AX843" s="0" t="s">
        <v>228</v>
      </c>
      <c r="AY843" s="0" t="s">
        <v>228</v>
      </c>
      <c r="AZ843" s="0" t="s">
        <v>228</v>
      </c>
      <c r="BA843" s="0" t="s">
        <v>228</v>
      </c>
      <c r="BB843" s="0" t="s">
        <v>228</v>
      </c>
      <c r="BC843" s="0" t="s">
        <v>228</v>
      </c>
      <c r="BD843" s="0" t="s">
        <v>228</v>
      </c>
      <c r="BE843" s="0" t="s">
        <v>228</v>
      </c>
      <c r="BF843" s="0" t="s">
        <v>228</v>
      </c>
      <c r="BG843" s="0" t="s">
        <v>228</v>
      </c>
      <c r="BH843" s="0" t="s">
        <v>228</v>
      </c>
      <c r="BI843" s="0" t="s">
        <v>228</v>
      </c>
      <c r="BJ843" s="0" t="s">
        <v>228</v>
      </c>
      <c r="BK843" s="0" t="s">
        <v>228</v>
      </c>
      <c r="BL843" s="0" t="s">
        <v>228</v>
      </c>
      <c r="BM843" s="0" t="s">
        <v>228</v>
      </c>
      <c r="BN843" s="0" t="s">
        <v>228</v>
      </c>
      <c r="BO843" s="0" t="s">
        <v>228</v>
      </c>
      <c r="BP843" s="0" t="s">
        <v>228</v>
      </c>
      <c r="BQ843" s="0" t="s">
        <v>228</v>
      </c>
      <c r="BR843" s="0" t="s">
        <v>228</v>
      </c>
      <c r="BS843" s="0" t="s">
        <v>228</v>
      </c>
      <c r="BT843" s="0" t="s">
        <v>228</v>
      </c>
      <c r="CS843" s="0" t="s">
        <v>228</v>
      </c>
      <c r="CT843" s="0" t="s">
        <v>3568</v>
      </c>
      <c r="CU843" s="0" t="s">
        <v>3569</v>
      </c>
      <c r="CV843" s="0" t="s">
        <v>418</v>
      </c>
      <c r="CW843" s="0" t="s">
        <v>3570</v>
      </c>
      <c r="CX843" s="0" t="s">
        <v>419</v>
      </c>
      <c r="CY843" s="0" t="s">
        <v>418</v>
      </c>
      <c r="CZ843" s="0" t="s">
        <v>3571</v>
      </c>
      <c r="DA843" s="0" t="s">
        <v>420</v>
      </c>
      <c r="DB843" s="0" t="s">
        <v>3570</v>
      </c>
      <c r="DC843" s="0" t="s">
        <v>362</v>
      </c>
      <c r="DD843" s="0" t="s">
        <v>282</v>
      </c>
      <c r="DE843" s="0" t="s">
        <v>5478</v>
      </c>
    </row>
    <row customHeight="1" ht="11.25">
      <c r="A844" s="1353" t="s">
        <v>228</v>
      </c>
      <c r="B844" s="0" t="s">
        <v>228</v>
      </c>
      <c r="C844" s="0" t="s">
        <v>228</v>
      </c>
      <c r="D844" s="0" t="s">
        <v>228</v>
      </c>
      <c r="E844" s="0" t="s">
        <v>228</v>
      </c>
      <c r="F844" s="0" t="s">
        <v>228</v>
      </c>
      <c r="G844" s="0" t="s">
        <v>228</v>
      </c>
      <c r="H844" s="0" t="s">
        <v>228</v>
      </c>
      <c r="I844" s="0" t="s">
        <v>5119</v>
      </c>
      <c r="J844" s="0" t="s">
        <v>228</v>
      </c>
      <c r="K844" s="0" t="s">
        <v>228</v>
      </c>
      <c r="L844" s="0" t="s">
        <v>228</v>
      </c>
      <c r="M844" s="0" t="s">
        <v>228</v>
      </c>
      <c r="N844" s="0" t="s">
        <v>228</v>
      </c>
      <c r="O844" s="0" t="s">
        <v>228</v>
      </c>
      <c r="P844" s="0" t="s">
        <v>228</v>
      </c>
      <c r="Q844" s="0" t="s">
        <v>228</v>
      </c>
      <c r="R844" s="0" t="s">
        <v>5499</v>
      </c>
      <c r="S844" s="0" t="s">
        <v>228</v>
      </c>
      <c r="T844" s="0" t="s">
        <v>228</v>
      </c>
      <c r="U844" s="0" t="s">
        <v>101</v>
      </c>
      <c r="V844" s="0" t="s">
        <v>228</v>
      </c>
      <c r="W844" s="0" t="s">
        <v>228</v>
      </c>
      <c r="X844" s="0" t="s">
        <v>5121</v>
      </c>
      <c r="Y844" s="0" t="s">
        <v>228</v>
      </c>
      <c r="Z844" s="0" t="s">
        <v>160</v>
      </c>
      <c r="AA844" s="0" t="s">
        <v>151</v>
      </c>
      <c r="AB844" s="0" t="s">
        <v>151</v>
      </c>
      <c r="AC844" s="0" t="s">
        <v>2715</v>
      </c>
      <c r="AD844" s="0" t="s">
        <v>2715</v>
      </c>
      <c r="AE844" s="0" t="s">
        <v>2716</v>
      </c>
      <c r="AF844" s="0" t="s">
        <v>3594</v>
      </c>
      <c r="AG844" s="0" t="s">
        <v>3595</v>
      </c>
      <c r="AH844" s="0" t="s">
        <v>5500</v>
      </c>
      <c r="AI844" s="0" t="s">
        <v>5501</v>
      </c>
      <c r="AJ844" s="0" t="s">
        <v>5502</v>
      </c>
      <c r="AK844" s="0" t="s">
        <v>5503</v>
      </c>
      <c r="AL844" s="0" t="s">
        <v>5125</v>
      </c>
      <c r="AN844" s="0" t="s">
        <v>3675</v>
      </c>
      <c r="AO844" s="0" t="s">
        <v>5504</v>
      </c>
      <c r="AP844" s="0" t="s">
        <v>228</v>
      </c>
      <c r="AQ844" s="0" t="s">
        <v>228</v>
      </c>
      <c r="AR844" s="0" t="s">
        <v>228</v>
      </c>
      <c r="AS844" s="0" t="s">
        <v>228</v>
      </c>
      <c r="AT844" s="0" t="s">
        <v>228</v>
      </c>
      <c r="AU844" s="0" t="s">
        <v>228</v>
      </c>
      <c r="AV844" s="0" t="s">
        <v>228</v>
      </c>
      <c r="AW844" s="0" t="s">
        <v>228</v>
      </c>
      <c r="AX844" s="0" t="s">
        <v>228</v>
      </c>
      <c r="AY844" s="0" t="s">
        <v>228</v>
      </c>
      <c r="AZ844" s="0" t="s">
        <v>228</v>
      </c>
      <c r="BA844" s="0" t="s">
        <v>228</v>
      </c>
      <c r="BB844" s="0" t="s">
        <v>228</v>
      </c>
      <c r="BC844" s="0" t="s">
        <v>228</v>
      </c>
      <c r="BD844" s="0" t="s">
        <v>228</v>
      </c>
      <c r="BE844" s="0" t="s">
        <v>228</v>
      </c>
      <c r="BF844" s="0" t="s">
        <v>228</v>
      </c>
      <c r="BG844" s="0" t="s">
        <v>228</v>
      </c>
      <c r="BH844" s="0" t="s">
        <v>228</v>
      </c>
      <c r="BI844" s="0" t="s">
        <v>228</v>
      </c>
      <c r="BJ844" s="0" t="s">
        <v>228</v>
      </c>
      <c r="BK844" s="0" t="s">
        <v>228</v>
      </c>
      <c r="BL844" s="0" t="s">
        <v>228</v>
      </c>
      <c r="BM844" s="0" t="s">
        <v>228</v>
      </c>
      <c r="BN844" s="0" t="s">
        <v>228</v>
      </c>
      <c r="BO844" s="0" t="s">
        <v>228</v>
      </c>
      <c r="BP844" s="0" t="s">
        <v>228</v>
      </c>
      <c r="BQ844" s="0" t="s">
        <v>228</v>
      </c>
      <c r="BR844" s="0" t="s">
        <v>228</v>
      </c>
      <c r="BS844" s="0" t="s">
        <v>228</v>
      </c>
      <c r="BT844" s="0" t="s">
        <v>228</v>
      </c>
      <c r="CS844" s="0" t="s">
        <v>228</v>
      </c>
      <c r="CT844" s="0" t="s">
        <v>3568</v>
      </c>
      <c r="CU844" s="0" t="s">
        <v>3569</v>
      </c>
      <c r="CV844" s="0" t="s">
        <v>418</v>
      </c>
      <c r="CW844" s="0" t="s">
        <v>3602</v>
      </c>
      <c r="CX844" s="0" t="s">
        <v>3603</v>
      </c>
      <c r="CY844" s="0" t="s">
        <v>418</v>
      </c>
      <c r="CZ844" s="0" t="s">
        <v>504</v>
      </c>
      <c r="DA844" s="0" t="s">
        <v>3604</v>
      </c>
      <c r="DB844" s="0" t="s">
        <v>3602</v>
      </c>
      <c r="DC844" s="0" t="s">
        <v>362</v>
      </c>
      <c r="DD844" s="0" t="s">
        <v>282</v>
      </c>
      <c r="DE844" s="0" t="s">
        <v>5505</v>
      </c>
    </row>
    <row customHeight="1" ht="11.25">
      <c r="A845" s="1353" t="s">
        <v>228</v>
      </c>
      <c r="B845" s="0" t="s">
        <v>228</v>
      </c>
      <c r="C845" s="0" t="s">
        <v>228</v>
      </c>
      <c r="D845" s="0" t="s">
        <v>228</v>
      </c>
      <c r="E845" s="0" t="s">
        <v>228</v>
      </c>
      <c r="F845" s="0" t="s">
        <v>228</v>
      </c>
      <c r="G845" s="0" t="s">
        <v>228</v>
      </c>
      <c r="H845" s="0" t="s">
        <v>228</v>
      </c>
      <c r="I845" s="0" t="s">
        <v>5119</v>
      </c>
      <c r="J845" s="0" t="s">
        <v>228</v>
      </c>
      <c r="K845" s="0" t="s">
        <v>228</v>
      </c>
      <c r="L845" s="0" t="s">
        <v>228</v>
      </c>
      <c r="M845" s="0" t="s">
        <v>228</v>
      </c>
      <c r="N845" s="0" t="s">
        <v>228</v>
      </c>
      <c r="O845" s="0" t="s">
        <v>228</v>
      </c>
      <c r="P845" s="0" t="s">
        <v>228</v>
      </c>
      <c r="Q845" s="0" t="s">
        <v>228</v>
      </c>
      <c r="R845" s="0" t="s">
        <v>5518</v>
      </c>
      <c r="S845" s="0" t="s">
        <v>228</v>
      </c>
      <c r="T845" s="0" t="s">
        <v>228</v>
      </c>
      <c r="U845" s="0" t="s">
        <v>101</v>
      </c>
      <c r="V845" s="0" t="s">
        <v>228</v>
      </c>
      <c r="W845" s="0" t="s">
        <v>228</v>
      </c>
      <c r="X845" s="0" t="s">
        <v>5121</v>
      </c>
      <c r="Y845" s="0" t="s">
        <v>228</v>
      </c>
      <c r="Z845" s="0" t="s">
        <v>160</v>
      </c>
      <c r="AA845" s="0" t="s">
        <v>151</v>
      </c>
      <c r="AB845" s="0" t="s">
        <v>151</v>
      </c>
      <c r="AC845" s="0" t="s">
        <v>2715</v>
      </c>
      <c r="AD845" s="0" t="s">
        <v>2715</v>
      </c>
      <c r="AE845" s="0" t="s">
        <v>2716</v>
      </c>
      <c r="AF845" s="0" t="s">
        <v>3594</v>
      </c>
      <c r="AG845" s="0" t="s">
        <v>3595</v>
      </c>
      <c r="AH845" s="0" t="s">
        <v>5157</v>
      </c>
      <c r="AI845" s="0" t="s">
        <v>3608</v>
      </c>
      <c r="AJ845" s="0" t="s">
        <v>5168</v>
      </c>
      <c r="AK845" s="0" t="s">
        <v>5519</v>
      </c>
      <c r="AL845" s="0" t="s">
        <v>5144</v>
      </c>
      <c r="AN845" s="0" t="s">
        <v>4563</v>
      </c>
      <c r="AO845" s="0" t="s">
        <v>5170</v>
      </c>
      <c r="AP845" s="0" t="s">
        <v>228</v>
      </c>
      <c r="AQ845" s="0" t="s">
        <v>228</v>
      </c>
      <c r="AR845" s="0" t="s">
        <v>228</v>
      </c>
      <c r="AS845" s="0" t="s">
        <v>228</v>
      </c>
      <c r="AT845" s="0" t="s">
        <v>228</v>
      </c>
      <c r="AU845" s="0" t="s">
        <v>228</v>
      </c>
      <c r="AV845" s="0" t="s">
        <v>228</v>
      </c>
      <c r="AW845" s="0" t="s">
        <v>228</v>
      </c>
      <c r="AX845" s="0" t="s">
        <v>228</v>
      </c>
      <c r="AY845" s="0" t="s">
        <v>228</v>
      </c>
      <c r="AZ845" s="0" t="s">
        <v>228</v>
      </c>
      <c r="BA845" s="0" t="s">
        <v>228</v>
      </c>
      <c r="BB845" s="0" t="s">
        <v>228</v>
      </c>
      <c r="BC845" s="0" t="s">
        <v>228</v>
      </c>
      <c r="BD845" s="0" t="s">
        <v>228</v>
      </c>
      <c r="BE845" s="0" t="s">
        <v>228</v>
      </c>
      <c r="BF845" s="0" t="s">
        <v>228</v>
      </c>
      <c r="BG845" s="0" t="s">
        <v>228</v>
      </c>
      <c r="BH845" s="0" t="s">
        <v>228</v>
      </c>
      <c r="BI845" s="0" t="s">
        <v>228</v>
      </c>
      <c r="BJ845" s="0" t="s">
        <v>228</v>
      </c>
      <c r="BK845" s="0" t="s">
        <v>228</v>
      </c>
      <c r="BL845" s="0" t="s">
        <v>228</v>
      </c>
      <c r="BM845" s="0" t="s">
        <v>228</v>
      </c>
      <c r="BN845" s="0" t="s">
        <v>228</v>
      </c>
      <c r="BO845" s="0" t="s">
        <v>228</v>
      </c>
      <c r="BP845" s="0" t="s">
        <v>228</v>
      </c>
      <c r="BQ845" s="0" t="s">
        <v>228</v>
      </c>
      <c r="BR845" s="0" t="s">
        <v>228</v>
      </c>
      <c r="BS845" s="0" t="s">
        <v>228</v>
      </c>
      <c r="BT845" s="0" t="s">
        <v>228</v>
      </c>
      <c r="CS845" s="0" t="s">
        <v>228</v>
      </c>
      <c r="CT845" s="0" t="s">
        <v>3568</v>
      </c>
      <c r="CU845" s="0" t="s">
        <v>3569</v>
      </c>
      <c r="CV845" s="0" t="s">
        <v>418</v>
      </c>
      <c r="CW845" s="0" t="s">
        <v>3602</v>
      </c>
      <c r="CX845" s="0" t="s">
        <v>419</v>
      </c>
      <c r="CY845" s="0" t="s">
        <v>418</v>
      </c>
      <c r="CZ845" s="0" t="s">
        <v>504</v>
      </c>
      <c r="DA845" s="0" t="s">
        <v>3604</v>
      </c>
      <c r="DB845" s="0" t="s">
        <v>3602</v>
      </c>
      <c r="DC845" s="0" t="s">
        <v>362</v>
      </c>
      <c r="DD845" s="0" t="s">
        <v>282</v>
      </c>
      <c r="DE845" s="0" t="s">
        <v>5161</v>
      </c>
    </row>
    <row customHeight="1" ht="11.25">
      <c r="A846" s="1353" t="s">
        <v>228</v>
      </c>
      <c r="B846" s="0" t="s">
        <v>228</v>
      </c>
      <c r="C846" s="0" t="s">
        <v>228</v>
      </c>
      <c r="D846" s="0" t="s">
        <v>228</v>
      </c>
      <c r="E846" s="0" t="s">
        <v>228</v>
      </c>
      <c r="F846" s="0" t="s">
        <v>228</v>
      </c>
      <c r="G846" s="0" t="s">
        <v>228</v>
      </c>
      <c r="H846" s="0" t="s">
        <v>228</v>
      </c>
      <c r="I846" s="0" t="s">
        <v>5119</v>
      </c>
      <c r="J846" s="0" t="s">
        <v>228</v>
      </c>
      <c r="K846" s="0" t="s">
        <v>228</v>
      </c>
      <c r="L846" s="0" t="s">
        <v>228</v>
      </c>
      <c r="M846" s="0" t="s">
        <v>228</v>
      </c>
      <c r="N846" s="0" t="s">
        <v>228</v>
      </c>
      <c r="O846" s="0" t="s">
        <v>228</v>
      </c>
      <c r="P846" s="0" t="s">
        <v>228</v>
      </c>
      <c r="Q846" s="0" t="s">
        <v>228</v>
      </c>
      <c r="R846" s="0" t="s">
        <v>5162</v>
      </c>
      <c r="S846" s="0" t="s">
        <v>228</v>
      </c>
      <c r="T846" s="0" t="s">
        <v>228</v>
      </c>
      <c r="U846" s="0" t="s">
        <v>101</v>
      </c>
      <c r="V846" s="0" t="s">
        <v>228</v>
      </c>
      <c r="W846" s="0" t="s">
        <v>228</v>
      </c>
      <c r="X846" s="0" t="s">
        <v>3988</v>
      </c>
      <c r="Y846" s="0" t="s">
        <v>228</v>
      </c>
      <c r="Z846" s="0" t="s">
        <v>151</v>
      </c>
      <c r="AA846" s="0" t="s">
        <v>160</v>
      </c>
      <c r="AB846" s="0" t="s">
        <v>151</v>
      </c>
      <c r="AC846" s="0" t="s">
        <v>2715</v>
      </c>
      <c r="AD846" s="0" t="s">
        <v>2715</v>
      </c>
      <c r="AE846" s="0" t="s">
        <v>2716</v>
      </c>
      <c r="AF846" s="0" t="s">
        <v>3594</v>
      </c>
      <c r="AG846" s="0" t="s">
        <v>3595</v>
      </c>
      <c r="AH846" s="0" t="s">
        <v>5163</v>
      </c>
      <c r="AI846" s="0" t="s">
        <v>3608</v>
      </c>
      <c r="AJ846" s="0" t="s">
        <v>228</v>
      </c>
      <c r="AK846" s="0" t="s">
        <v>228</v>
      </c>
      <c r="AL846" s="0" t="s">
        <v>228</v>
      </c>
      <c r="AN846" s="0" t="s">
        <v>228</v>
      </c>
      <c r="AO846" s="0" t="s">
        <v>228</v>
      </c>
      <c r="AP846" s="0" t="s">
        <v>5164</v>
      </c>
      <c r="AQ846" s="0" t="s">
        <v>5165</v>
      </c>
      <c r="AR846" s="0" t="s">
        <v>111</v>
      </c>
      <c r="AS846" s="0" t="s">
        <v>3665</v>
      </c>
      <c r="AT846" s="0" t="s">
        <v>122</v>
      </c>
      <c r="AU846" s="0" t="s">
        <v>228</v>
      </c>
      <c r="AV846" s="0" t="s">
        <v>5162</v>
      </c>
      <c r="AW846" s="0" t="s">
        <v>2715</v>
      </c>
      <c r="AX846" s="0" t="s">
        <v>2715</v>
      </c>
      <c r="AY846" s="0" t="s">
        <v>3667</v>
      </c>
      <c r="AZ846" s="0" t="s">
        <v>3594</v>
      </c>
      <c r="BA846" s="0" t="s">
        <v>3668</v>
      </c>
      <c r="BB846" s="0" t="s">
        <v>5163</v>
      </c>
      <c r="BC846" s="0" t="s">
        <v>3608</v>
      </c>
      <c r="BD846" s="0" t="s">
        <v>3563</v>
      </c>
      <c r="BE846" s="0" t="s">
        <v>228</v>
      </c>
      <c r="BF846" s="0" t="s">
        <v>228</v>
      </c>
      <c r="BG846" s="0" t="s">
        <v>228</v>
      </c>
      <c r="BH846" s="0" t="s">
        <v>228</v>
      </c>
      <c r="BI846" s="0" t="s">
        <v>228</v>
      </c>
      <c r="BJ846" s="0" t="s">
        <v>228</v>
      </c>
      <c r="BK846" s="0" t="s">
        <v>228</v>
      </c>
      <c r="BL846" s="0" t="s">
        <v>228</v>
      </c>
      <c r="BM846" s="0" t="s">
        <v>228</v>
      </c>
      <c r="BN846" s="0" t="s">
        <v>228</v>
      </c>
      <c r="BO846" s="0" t="s">
        <v>228</v>
      </c>
      <c r="BP846" s="0" t="s">
        <v>228</v>
      </c>
      <c r="BQ846" s="0" t="s">
        <v>228</v>
      </c>
      <c r="BR846" s="0" t="s">
        <v>228</v>
      </c>
      <c r="BS846" s="0" t="s">
        <v>228</v>
      </c>
      <c r="BT846" s="0" t="s">
        <v>228</v>
      </c>
      <c r="CS846" s="0" t="s">
        <v>228</v>
      </c>
      <c r="CT846" s="0" t="s">
        <v>3568</v>
      </c>
      <c r="CU846" s="0" t="s">
        <v>3569</v>
      </c>
      <c r="CV846" s="0" t="s">
        <v>418</v>
      </c>
      <c r="CW846" s="0" t="s">
        <v>3602</v>
      </c>
      <c r="CX846" s="0" t="s">
        <v>3603</v>
      </c>
      <c r="CY846" s="0" t="s">
        <v>418</v>
      </c>
      <c r="CZ846" s="0" t="s">
        <v>504</v>
      </c>
      <c r="DA846" s="0" t="s">
        <v>3604</v>
      </c>
      <c r="DB846" s="0" t="s">
        <v>3602</v>
      </c>
      <c r="DC846" s="0" t="s">
        <v>362</v>
      </c>
      <c r="DD846" s="0" t="s">
        <v>282</v>
      </c>
      <c r="DE846" s="0" t="s">
        <v>5166</v>
      </c>
    </row>
    <row customHeight="1" ht="11.25">
      <c r="A847" s="1353" t="s">
        <v>228</v>
      </c>
      <c r="B847" s="0" t="s">
        <v>228</v>
      </c>
      <c r="C847" s="0" t="s">
        <v>228</v>
      </c>
      <c r="D847" s="0" t="s">
        <v>228</v>
      </c>
      <c r="E847" s="0" t="s">
        <v>228</v>
      </c>
      <c r="F847" s="0" t="s">
        <v>228</v>
      </c>
      <c r="G847" s="0" t="s">
        <v>228</v>
      </c>
      <c r="H847" s="0" t="s">
        <v>228</v>
      </c>
      <c r="I847" s="0" t="s">
        <v>5119</v>
      </c>
      <c r="J847" s="0" t="s">
        <v>228</v>
      </c>
      <c r="K847" s="0" t="s">
        <v>228</v>
      </c>
      <c r="L847" s="0" t="s">
        <v>228</v>
      </c>
      <c r="M847" s="0" t="s">
        <v>228</v>
      </c>
      <c r="N847" s="0" t="s">
        <v>228</v>
      </c>
      <c r="O847" s="0" t="s">
        <v>228</v>
      </c>
      <c r="P847" s="0" t="s">
        <v>228</v>
      </c>
      <c r="Q847" s="0" t="s">
        <v>228</v>
      </c>
      <c r="R847" s="0" t="s">
        <v>5167</v>
      </c>
      <c r="S847" s="0" t="s">
        <v>228</v>
      </c>
      <c r="T847" s="0" t="s">
        <v>228</v>
      </c>
      <c r="U847" s="0" t="s">
        <v>101</v>
      </c>
      <c r="V847" s="0" t="s">
        <v>228</v>
      </c>
      <c r="W847" s="0" t="s">
        <v>228</v>
      </c>
      <c r="X847" s="0" t="s">
        <v>5121</v>
      </c>
      <c r="Y847" s="0" t="s">
        <v>228</v>
      </c>
      <c r="Z847" s="0" t="s">
        <v>160</v>
      </c>
      <c r="AA847" s="0" t="s">
        <v>151</v>
      </c>
      <c r="AB847" s="0" t="s">
        <v>151</v>
      </c>
      <c r="AC847" s="0" t="s">
        <v>2715</v>
      </c>
      <c r="AD847" s="0" t="s">
        <v>2715</v>
      </c>
      <c r="AE847" s="0" t="s">
        <v>2716</v>
      </c>
      <c r="AF847" s="0" t="s">
        <v>3594</v>
      </c>
      <c r="AG847" s="0" t="s">
        <v>3595</v>
      </c>
      <c r="AH847" s="0" t="s">
        <v>5157</v>
      </c>
      <c r="AI847" s="0" t="s">
        <v>3608</v>
      </c>
      <c r="AJ847" s="0" t="s">
        <v>5168</v>
      </c>
      <c r="AK847" s="0" t="s">
        <v>5169</v>
      </c>
      <c r="AL847" s="0" t="s">
        <v>5144</v>
      </c>
      <c r="AN847" s="0" t="s">
        <v>4563</v>
      </c>
      <c r="AO847" s="0" t="s">
        <v>5170</v>
      </c>
      <c r="AP847" s="0" t="s">
        <v>228</v>
      </c>
      <c r="AQ847" s="0" t="s">
        <v>228</v>
      </c>
      <c r="AR847" s="0" t="s">
        <v>228</v>
      </c>
      <c r="AS847" s="0" t="s">
        <v>228</v>
      </c>
      <c r="AT847" s="0" t="s">
        <v>228</v>
      </c>
      <c r="AU847" s="0" t="s">
        <v>228</v>
      </c>
      <c r="AV847" s="0" t="s">
        <v>228</v>
      </c>
      <c r="AW847" s="0" t="s">
        <v>228</v>
      </c>
      <c r="AX847" s="0" t="s">
        <v>228</v>
      </c>
      <c r="AY847" s="0" t="s">
        <v>228</v>
      </c>
      <c r="AZ847" s="0" t="s">
        <v>228</v>
      </c>
      <c r="BA847" s="0" t="s">
        <v>228</v>
      </c>
      <c r="BB847" s="0" t="s">
        <v>228</v>
      </c>
      <c r="BC847" s="0" t="s">
        <v>228</v>
      </c>
      <c r="BD847" s="0" t="s">
        <v>228</v>
      </c>
      <c r="BE847" s="0" t="s">
        <v>228</v>
      </c>
      <c r="BF847" s="0" t="s">
        <v>228</v>
      </c>
      <c r="BG847" s="0" t="s">
        <v>228</v>
      </c>
      <c r="BH847" s="0" t="s">
        <v>228</v>
      </c>
      <c r="BI847" s="0" t="s">
        <v>228</v>
      </c>
      <c r="BJ847" s="0" t="s">
        <v>228</v>
      </c>
      <c r="BK847" s="0" t="s">
        <v>228</v>
      </c>
      <c r="BL847" s="0" t="s">
        <v>228</v>
      </c>
      <c r="BM847" s="0" t="s">
        <v>228</v>
      </c>
      <c r="BN847" s="0" t="s">
        <v>228</v>
      </c>
      <c r="BO847" s="0" t="s">
        <v>228</v>
      </c>
      <c r="BP847" s="0" t="s">
        <v>228</v>
      </c>
      <c r="BQ847" s="0" t="s">
        <v>228</v>
      </c>
      <c r="BR847" s="0" t="s">
        <v>228</v>
      </c>
      <c r="BS847" s="0" t="s">
        <v>228</v>
      </c>
      <c r="BT847" s="0" t="s">
        <v>228</v>
      </c>
      <c r="CS847" s="0" t="s">
        <v>228</v>
      </c>
      <c r="CT847" s="0" t="s">
        <v>3568</v>
      </c>
      <c r="CU847" s="0" t="s">
        <v>3569</v>
      </c>
      <c r="CV847" s="0" t="s">
        <v>418</v>
      </c>
      <c r="CW847" s="0" t="s">
        <v>3602</v>
      </c>
      <c r="CX847" s="0" t="s">
        <v>419</v>
      </c>
      <c r="CY847" s="0" t="s">
        <v>418</v>
      </c>
      <c r="CZ847" s="0" t="s">
        <v>504</v>
      </c>
      <c r="DA847" s="0" t="s">
        <v>3604</v>
      </c>
      <c r="DB847" s="0" t="s">
        <v>3602</v>
      </c>
      <c r="DC847" s="0" t="s">
        <v>362</v>
      </c>
      <c r="DD847" s="0" t="s">
        <v>282</v>
      </c>
      <c r="DE847" s="0" t="s">
        <v>5161</v>
      </c>
    </row>
    <row customHeight="1" ht="11.25">
      <c r="A848" s="1353" t="s">
        <v>228</v>
      </c>
      <c r="B848" s="0" t="s">
        <v>228</v>
      </c>
      <c r="C848" s="0" t="s">
        <v>228</v>
      </c>
      <c r="D848" s="0" t="s">
        <v>228</v>
      </c>
      <c r="E848" s="0" t="s">
        <v>228</v>
      </c>
      <c r="F848" s="0" t="s">
        <v>228</v>
      </c>
      <c r="G848" s="0" t="s">
        <v>228</v>
      </c>
      <c r="H848" s="0" t="s">
        <v>228</v>
      </c>
      <c r="I848" s="0" t="s">
        <v>5119</v>
      </c>
      <c r="J848" s="0" t="s">
        <v>228</v>
      </c>
      <c r="K848" s="0" t="s">
        <v>228</v>
      </c>
      <c r="L848" s="0" t="s">
        <v>228</v>
      </c>
      <c r="M848" s="0" t="s">
        <v>228</v>
      </c>
      <c r="N848" s="0" t="s">
        <v>228</v>
      </c>
      <c r="O848" s="0" t="s">
        <v>228</v>
      </c>
      <c r="P848" s="0" t="s">
        <v>228</v>
      </c>
      <c r="Q848" s="0" t="s">
        <v>228</v>
      </c>
      <c r="R848" s="0" t="s">
        <v>5156</v>
      </c>
      <c r="S848" s="0" t="s">
        <v>228</v>
      </c>
      <c r="T848" s="0" t="s">
        <v>228</v>
      </c>
      <c r="U848" s="0" t="s">
        <v>101</v>
      </c>
      <c r="V848" s="0" t="s">
        <v>228</v>
      </c>
      <c r="W848" s="0" t="s">
        <v>228</v>
      </c>
      <c r="X848" s="0" t="s">
        <v>5121</v>
      </c>
      <c r="Y848" s="0" t="s">
        <v>228</v>
      </c>
      <c r="Z848" s="0" t="s">
        <v>160</v>
      </c>
      <c r="AA848" s="0" t="s">
        <v>151</v>
      </c>
      <c r="AB848" s="0" t="s">
        <v>151</v>
      </c>
      <c r="AC848" s="0" t="s">
        <v>2715</v>
      </c>
      <c r="AD848" s="0" t="s">
        <v>2715</v>
      </c>
      <c r="AE848" s="0" t="s">
        <v>2716</v>
      </c>
      <c r="AF848" s="0" t="s">
        <v>3594</v>
      </c>
      <c r="AG848" s="0" t="s">
        <v>3595</v>
      </c>
      <c r="AH848" s="0" t="s">
        <v>5157</v>
      </c>
      <c r="AI848" s="0" t="s">
        <v>3608</v>
      </c>
      <c r="AJ848" s="0" t="s">
        <v>3858</v>
      </c>
      <c r="AK848" s="0" t="s">
        <v>5158</v>
      </c>
      <c r="AL848" s="0" t="s">
        <v>5144</v>
      </c>
      <c r="AN848" s="0" t="s">
        <v>5159</v>
      </c>
      <c r="AO848" s="0" t="s">
        <v>5160</v>
      </c>
      <c r="AP848" s="0" t="s">
        <v>228</v>
      </c>
      <c r="AQ848" s="0" t="s">
        <v>228</v>
      </c>
      <c r="AR848" s="0" t="s">
        <v>228</v>
      </c>
      <c r="AS848" s="0" t="s">
        <v>228</v>
      </c>
      <c r="AT848" s="0" t="s">
        <v>228</v>
      </c>
      <c r="AU848" s="0" t="s">
        <v>228</v>
      </c>
      <c r="AV848" s="0" t="s">
        <v>228</v>
      </c>
      <c r="AW848" s="0" t="s">
        <v>228</v>
      </c>
      <c r="AX848" s="0" t="s">
        <v>228</v>
      </c>
      <c r="AY848" s="0" t="s">
        <v>228</v>
      </c>
      <c r="AZ848" s="0" t="s">
        <v>228</v>
      </c>
      <c r="BA848" s="0" t="s">
        <v>228</v>
      </c>
      <c r="BB848" s="0" t="s">
        <v>228</v>
      </c>
      <c r="BC848" s="0" t="s">
        <v>228</v>
      </c>
      <c r="BD848" s="0" t="s">
        <v>228</v>
      </c>
      <c r="BE848" s="0" t="s">
        <v>228</v>
      </c>
      <c r="BF848" s="0" t="s">
        <v>228</v>
      </c>
      <c r="BG848" s="0" t="s">
        <v>228</v>
      </c>
      <c r="BH848" s="0" t="s">
        <v>228</v>
      </c>
      <c r="BI848" s="0" t="s">
        <v>228</v>
      </c>
      <c r="BJ848" s="0" t="s">
        <v>228</v>
      </c>
      <c r="BK848" s="0" t="s">
        <v>228</v>
      </c>
      <c r="BL848" s="0" t="s">
        <v>228</v>
      </c>
      <c r="BM848" s="0" t="s">
        <v>228</v>
      </c>
      <c r="BN848" s="0" t="s">
        <v>228</v>
      </c>
      <c r="BO848" s="0" t="s">
        <v>228</v>
      </c>
      <c r="BP848" s="0" t="s">
        <v>228</v>
      </c>
      <c r="BQ848" s="0" t="s">
        <v>228</v>
      </c>
      <c r="BR848" s="0" t="s">
        <v>228</v>
      </c>
      <c r="BS848" s="0" t="s">
        <v>228</v>
      </c>
      <c r="BT848" s="0" t="s">
        <v>228</v>
      </c>
      <c r="CS848" s="0" t="s">
        <v>228</v>
      </c>
      <c r="CT848" s="0" t="s">
        <v>3568</v>
      </c>
      <c r="CU848" s="0" t="s">
        <v>3569</v>
      </c>
      <c r="CV848" s="0" t="s">
        <v>418</v>
      </c>
      <c r="CW848" s="0" t="s">
        <v>3602</v>
      </c>
      <c r="CX848" s="0" t="s">
        <v>419</v>
      </c>
      <c r="CY848" s="0" t="s">
        <v>418</v>
      </c>
      <c r="CZ848" s="0" t="s">
        <v>504</v>
      </c>
      <c r="DA848" s="0" t="s">
        <v>3604</v>
      </c>
      <c r="DB848" s="0" t="s">
        <v>3602</v>
      </c>
      <c r="DC848" s="0" t="s">
        <v>362</v>
      </c>
      <c r="DD848" s="0" t="s">
        <v>282</v>
      </c>
      <c r="DE848" s="0" t="s">
        <v>5161</v>
      </c>
    </row>
    <row customHeight="1" ht="11.25">
      <c r="A849" s="1353" t="s">
        <v>228</v>
      </c>
      <c r="B849" s="0" t="s">
        <v>228</v>
      </c>
      <c r="C849" s="0" t="s">
        <v>228</v>
      </c>
      <c r="D849" s="0" t="s">
        <v>228</v>
      </c>
      <c r="E849" s="0" t="s">
        <v>228</v>
      </c>
      <c r="F849" s="0" t="s">
        <v>228</v>
      </c>
      <c r="G849" s="0" t="s">
        <v>228</v>
      </c>
      <c r="H849" s="0" t="s">
        <v>228</v>
      </c>
      <c r="I849" s="0" t="s">
        <v>5119</v>
      </c>
      <c r="J849" s="0" t="s">
        <v>228</v>
      </c>
      <c r="K849" s="0" t="s">
        <v>228</v>
      </c>
      <c r="L849" s="0" t="s">
        <v>228</v>
      </c>
      <c r="M849" s="0" t="s">
        <v>228</v>
      </c>
      <c r="N849" s="0" t="s">
        <v>228</v>
      </c>
      <c r="O849" s="0" t="s">
        <v>228</v>
      </c>
      <c r="P849" s="0" t="s">
        <v>228</v>
      </c>
      <c r="Q849" s="0" t="s">
        <v>228</v>
      </c>
      <c r="R849" s="0" t="s">
        <v>5140</v>
      </c>
      <c r="S849" s="0" t="s">
        <v>228</v>
      </c>
      <c r="T849" s="0" t="s">
        <v>228</v>
      </c>
      <c r="U849" s="0" t="s">
        <v>101</v>
      </c>
      <c r="V849" s="0" t="s">
        <v>228</v>
      </c>
      <c r="W849" s="0" t="s">
        <v>228</v>
      </c>
      <c r="X849" s="0" t="s">
        <v>5121</v>
      </c>
      <c r="Y849" s="0" t="s">
        <v>228</v>
      </c>
      <c r="Z849" s="0" t="s">
        <v>160</v>
      </c>
      <c r="AA849" s="0" t="s">
        <v>151</v>
      </c>
      <c r="AB849" s="0" t="s">
        <v>151</v>
      </c>
      <c r="AC849" s="0" t="s">
        <v>2290</v>
      </c>
      <c r="AD849" s="0" t="s">
        <v>2290</v>
      </c>
      <c r="AE849" s="0" t="s">
        <v>2292</v>
      </c>
      <c r="AF849" s="0" t="s">
        <v>3558</v>
      </c>
      <c r="AG849" s="0" t="s">
        <v>3559</v>
      </c>
      <c r="AH849" s="0" t="s">
        <v>5479</v>
      </c>
      <c r="AI849" s="0" t="s">
        <v>5480</v>
      </c>
      <c r="AJ849" s="0" t="s">
        <v>5172</v>
      </c>
      <c r="AK849" s="0" t="s">
        <v>5173</v>
      </c>
      <c r="AL849" s="0" t="s">
        <v>5125</v>
      </c>
      <c r="AN849" s="0" t="s">
        <v>5466</v>
      </c>
      <c r="AO849" s="0" t="s">
        <v>5146</v>
      </c>
      <c r="AP849" s="0" t="s">
        <v>228</v>
      </c>
      <c r="AQ849" s="0" t="s">
        <v>228</v>
      </c>
      <c r="AR849" s="0" t="s">
        <v>228</v>
      </c>
      <c r="AS849" s="0" t="s">
        <v>228</v>
      </c>
      <c r="AT849" s="0" t="s">
        <v>228</v>
      </c>
      <c r="AU849" s="0" t="s">
        <v>228</v>
      </c>
      <c r="AV849" s="0" t="s">
        <v>228</v>
      </c>
      <c r="AW849" s="0" t="s">
        <v>228</v>
      </c>
      <c r="AX849" s="0" t="s">
        <v>228</v>
      </c>
      <c r="AY849" s="0" t="s">
        <v>228</v>
      </c>
      <c r="AZ849" s="0" t="s">
        <v>228</v>
      </c>
      <c r="BA849" s="0" t="s">
        <v>228</v>
      </c>
      <c r="BB849" s="0" t="s">
        <v>228</v>
      </c>
      <c r="BC849" s="0" t="s">
        <v>228</v>
      </c>
      <c r="BD849" s="0" t="s">
        <v>228</v>
      </c>
      <c r="BE849" s="0" t="s">
        <v>228</v>
      </c>
      <c r="BF849" s="0" t="s">
        <v>228</v>
      </c>
      <c r="BG849" s="0" t="s">
        <v>228</v>
      </c>
      <c r="BH849" s="0" t="s">
        <v>228</v>
      </c>
      <c r="BI849" s="0" t="s">
        <v>228</v>
      </c>
      <c r="BJ849" s="0" t="s">
        <v>228</v>
      </c>
      <c r="BK849" s="0" t="s">
        <v>228</v>
      </c>
      <c r="BL849" s="0" t="s">
        <v>228</v>
      </c>
      <c r="BM849" s="0" t="s">
        <v>228</v>
      </c>
      <c r="BN849" s="0" t="s">
        <v>228</v>
      </c>
      <c r="BO849" s="0" t="s">
        <v>228</v>
      </c>
      <c r="BP849" s="0" t="s">
        <v>228</v>
      </c>
      <c r="BQ849" s="0" t="s">
        <v>228</v>
      </c>
      <c r="BR849" s="0" t="s">
        <v>228</v>
      </c>
      <c r="BS849" s="0" t="s">
        <v>228</v>
      </c>
      <c r="BT849" s="0" t="s">
        <v>228</v>
      </c>
      <c r="CS849" s="0" t="s">
        <v>228</v>
      </c>
      <c r="CT849" s="0" t="s">
        <v>3568</v>
      </c>
      <c r="CU849" s="0" t="s">
        <v>3569</v>
      </c>
      <c r="CV849" s="0" t="s">
        <v>418</v>
      </c>
      <c r="CW849" s="0" t="s">
        <v>3570</v>
      </c>
      <c r="CX849" s="0" t="s">
        <v>419</v>
      </c>
      <c r="CY849" s="0" t="s">
        <v>418</v>
      </c>
      <c r="CZ849" s="0" t="s">
        <v>3571</v>
      </c>
      <c r="DA849" s="0" t="s">
        <v>420</v>
      </c>
      <c r="DB849" s="0" t="s">
        <v>3570</v>
      </c>
      <c r="DC849" s="0" t="s">
        <v>362</v>
      </c>
      <c r="DD849" s="0" t="s">
        <v>282</v>
      </c>
      <c r="DE849" s="0" t="s">
        <v>5481</v>
      </c>
    </row>
    <row customHeight="1" ht="11.25">
      <c r="A850" s="1353" t="s">
        <v>228</v>
      </c>
      <c r="B850" s="0" t="s">
        <v>228</v>
      </c>
      <c r="C850" s="0" t="s">
        <v>228</v>
      </c>
      <c r="D850" s="0" t="s">
        <v>228</v>
      </c>
      <c r="E850" s="0" t="s">
        <v>228</v>
      </c>
      <c r="F850" s="0" t="s">
        <v>228</v>
      </c>
      <c r="G850" s="0" t="s">
        <v>228</v>
      </c>
      <c r="H850" s="0" t="s">
        <v>228</v>
      </c>
      <c r="I850" s="0" t="s">
        <v>5119</v>
      </c>
      <c r="J850" s="0" t="s">
        <v>228</v>
      </c>
      <c r="K850" s="0" t="s">
        <v>228</v>
      </c>
      <c r="L850" s="0" t="s">
        <v>228</v>
      </c>
      <c r="M850" s="0" t="s">
        <v>228</v>
      </c>
      <c r="N850" s="0" t="s">
        <v>228</v>
      </c>
      <c r="O850" s="0" t="s">
        <v>228</v>
      </c>
      <c r="P850" s="0" t="s">
        <v>228</v>
      </c>
      <c r="Q850" s="0" t="s">
        <v>228</v>
      </c>
      <c r="R850" s="0" t="s">
        <v>5506</v>
      </c>
      <c r="S850" s="0" t="s">
        <v>228</v>
      </c>
      <c r="T850" s="0" t="s">
        <v>228</v>
      </c>
      <c r="U850" s="0" t="s">
        <v>101</v>
      </c>
      <c r="V850" s="0" t="s">
        <v>228</v>
      </c>
      <c r="W850" s="0" t="s">
        <v>228</v>
      </c>
      <c r="X850" s="0" t="s">
        <v>3988</v>
      </c>
      <c r="Y850" s="0" t="s">
        <v>228</v>
      </c>
      <c r="Z850" s="0" t="s">
        <v>151</v>
      </c>
      <c r="AA850" s="0" t="s">
        <v>160</v>
      </c>
      <c r="AB850" s="0" t="s">
        <v>151</v>
      </c>
      <c r="AC850" s="0" t="s">
        <v>2290</v>
      </c>
      <c r="AD850" s="0" t="s">
        <v>2290</v>
      </c>
      <c r="AE850" s="0" t="s">
        <v>2292</v>
      </c>
      <c r="AF850" s="0" t="s">
        <v>3558</v>
      </c>
      <c r="AG850" s="0" t="s">
        <v>3559</v>
      </c>
      <c r="AH850" s="0" t="s">
        <v>5479</v>
      </c>
      <c r="AI850" s="0" t="s">
        <v>5507</v>
      </c>
      <c r="AJ850" s="0" t="s">
        <v>228</v>
      </c>
      <c r="AK850" s="0" t="s">
        <v>228</v>
      </c>
      <c r="AL850" s="0" t="s">
        <v>228</v>
      </c>
      <c r="AN850" s="0" t="s">
        <v>228</v>
      </c>
      <c r="AO850" s="0" t="s">
        <v>228</v>
      </c>
      <c r="AP850" s="0" t="s">
        <v>5508</v>
      </c>
      <c r="AQ850" s="0" t="s">
        <v>5173</v>
      </c>
      <c r="AR850" s="0" t="s">
        <v>111</v>
      </c>
      <c r="AS850" s="0" t="s">
        <v>3665</v>
      </c>
      <c r="AT850" s="0" t="s">
        <v>122</v>
      </c>
      <c r="AU850" s="0" t="s">
        <v>228</v>
      </c>
      <c r="AV850" s="0" t="s">
        <v>5439</v>
      </c>
      <c r="AW850" s="0" t="s">
        <v>2290</v>
      </c>
      <c r="AX850" s="0" t="s">
        <v>2290</v>
      </c>
      <c r="AY850" s="0" t="s">
        <v>4917</v>
      </c>
      <c r="AZ850" s="0" t="s">
        <v>3558</v>
      </c>
      <c r="BA850" s="0" t="s">
        <v>5175</v>
      </c>
      <c r="BB850" s="0" t="s">
        <v>5479</v>
      </c>
      <c r="BC850" s="0" t="s">
        <v>5507</v>
      </c>
      <c r="BD850" s="0" t="s">
        <v>3566</v>
      </c>
      <c r="BE850" s="0" t="s">
        <v>228</v>
      </c>
      <c r="BF850" s="0" t="s">
        <v>228</v>
      </c>
      <c r="BG850" s="0" t="s">
        <v>228</v>
      </c>
      <c r="BH850" s="0" t="s">
        <v>228</v>
      </c>
      <c r="BI850" s="0" t="s">
        <v>228</v>
      </c>
      <c r="BJ850" s="0" t="s">
        <v>228</v>
      </c>
      <c r="BK850" s="0" t="s">
        <v>228</v>
      </c>
      <c r="BL850" s="0" t="s">
        <v>228</v>
      </c>
      <c r="BM850" s="0" t="s">
        <v>228</v>
      </c>
      <c r="BN850" s="0" t="s">
        <v>228</v>
      </c>
      <c r="BO850" s="0" t="s">
        <v>228</v>
      </c>
      <c r="BP850" s="0" t="s">
        <v>228</v>
      </c>
      <c r="BQ850" s="0" t="s">
        <v>228</v>
      </c>
      <c r="BR850" s="0" t="s">
        <v>228</v>
      </c>
      <c r="BS850" s="0" t="s">
        <v>228</v>
      </c>
      <c r="BT850" s="0" t="s">
        <v>228</v>
      </c>
      <c r="CS850" s="0" t="s">
        <v>228</v>
      </c>
      <c r="CT850" s="0" t="s">
        <v>3568</v>
      </c>
      <c r="CU850" s="0" t="s">
        <v>3569</v>
      </c>
      <c r="CV850" s="0" t="s">
        <v>418</v>
      </c>
      <c r="CW850" s="0" t="s">
        <v>3570</v>
      </c>
      <c r="CX850" s="0" t="s">
        <v>419</v>
      </c>
      <c r="CY850" s="0" t="s">
        <v>418</v>
      </c>
      <c r="CZ850" s="0" t="s">
        <v>3571</v>
      </c>
      <c r="DA850" s="0" t="s">
        <v>420</v>
      </c>
      <c r="DB850" s="0" t="s">
        <v>3570</v>
      </c>
      <c r="DC850" s="0" t="s">
        <v>362</v>
      </c>
      <c r="DD850" s="0" t="s">
        <v>282</v>
      </c>
      <c r="DE850" s="0" t="s">
        <v>5509</v>
      </c>
    </row>
    <row customHeight="1" ht="11.25">
      <c r="A851" s="1353" t="s">
        <v>228</v>
      </c>
      <c r="B851" s="0" t="s">
        <v>228</v>
      </c>
      <c r="C851" s="0" t="s">
        <v>228</v>
      </c>
      <c r="D851" s="0" t="s">
        <v>228</v>
      </c>
      <c r="E851" s="0" t="s">
        <v>228</v>
      </c>
      <c r="F851" s="0" t="s">
        <v>228</v>
      </c>
      <c r="G851" s="0" t="s">
        <v>228</v>
      </c>
      <c r="H851" s="0" t="s">
        <v>228</v>
      </c>
      <c r="I851" s="0" t="s">
        <v>5119</v>
      </c>
      <c r="J851" s="0" t="s">
        <v>228</v>
      </c>
      <c r="K851" s="0" t="s">
        <v>228</v>
      </c>
      <c r="L851" s="0" t="s">
        <v>228</v>
      </c>
      <c r="M851" s="0" t="s">
        <v>228</v>
      </c>
      <c r="N851" s="0" t="s">
        <v>228</v>
      </c>
      <c r="O851" s="0" t="s">
        <v>228</v>
      </c>
      <c r="P851" s="0" t="s">
        <v>228</v>
      </c>
      <c r="Q851" s="0" t="s">
        <v>228</v>
      </c>
      <c r="R851" s="0" t="s">
        <v>5217</v>
      </c>
      <c r="S851" s="0" t="s">
        <v>228</v>
      </c>
      <c r="T851" s="0" t="s">
        <v>228</v>
      </c>
      <c r="U851" s="0" t="s">
        <v>101</v>
      </c>
      <c r="V851" s="0" t="s">
        <v>228</v>
      </c>
      <c r="W851" s="0" t="s">
        <v>228</v>
      </c>
      <c r="X851" s="0" t="s">
        <v>5121</v>
      </c>
      <c r="Y851" s="0" t="s">
        <v>228</v>
      </c>
      <c r="Z851" s="0" t="s">
        <v>160</v>
      </c>
      <c r="AA851" s="0" t="s">
        <v>151</v>
      </c>
      <c r="AB851" s="0" t="s">
        <v>151</v>
      </c>
      <c r="AC851" s="0" t="s">
        <v>2290</v>
      </c>
      <c r="AD851" s="0" t="s">
        <v>2290</v>
      </c>
      <c r="AE851" s="0" t="s">
        <v>2292</v>
      </c>
      <c r="AF851" s="0" t="s">
        <v>4912</v>
      </c>
      <c r="AG851" s="0" t="s">
        <v>4913</v>
      </c>
      <c r="AH851" s="0" t="s">
        <v>5218</v>
      </c>
      <c r="AI851" s="0" t="s">
        <v>3608</v>
      </c>
      <c r="AJ851" s="0" t="s">
        <v>3563</v>
      </c>
      <c r="AK851" s="0" t="s">
        <v>5219</v>
      </c>
      <c r="AL851" s="0" t="s">
        <v>5125</v>
      </c>
      <c r="AN851" s="0" t="s">
        <v>3654</v>
      </c>
      <c r="AO851" s="0" t="s">
        <v>4578</v>
      </c>
      <c r="AP851" s="0" t="s">
        <v>228</v>
      </c>
      <c r="AQ851" s="0" t="s">
        <v>228</v>
      </c>
      <c r="AR851" s="0" t="s">
        <v>228</v>
      </c>
      <c r="AS851" s="0" t="s">
        <v>228</v>
      </c>
      <c r="AT851" s="0" t="s">
        <v>228</v>
      </c>
      <c r="AU851" s="0" t="s">
        <v>228</v>
      </c>
      <c r="AV851" s="0" t="s">
        <v>228</v>
      </c>
      <c r="AW851" s="0" t="s">
        <v>228</v>
      </c>
      <c r="AX851" s="0" t="s">
        <v>228</v>
      </c>
      <c r="AY851" s="0" t="s">
        <v>228</v>
      </c>
      <c r="AZ851" s="0" t="s">
        <v>228</v>
      </c>
      <c r="BA851" s="0" t="s">
        <v>228</v>
      </c>
      <c r="BB851" s="0" t="s">
        <v>228</v>
      </c>
      <c r="BC851" s="0" t="s">
        <v>228</v>
      </c>
      <c r="BD851" s="0" t="s">
        <v>228</v>
      </c>
      <c r="BE851" s="0" t="s">
        <v>228</v>
      </c>
      <c r="BF851" s="0" t="s">
        <v>228</v>
      </c>
      <c r="BG851" s="0" t="s">
        <v>228</v>
      </c>
      <c r="BH851" s="0" t="s">
        <v>228</v>
      </c>
      <c r="BI851" s="0" t="s">
        <v>228</v>
      </c>
      <c r="BJ851" s="0" t="s">
        <v>228</v>
      </c>
      <c r="BK851" s="0" t="s">
        <v>228</v>
      </c>
      <c r="BL851" s="0" t="s">
        <v>228</v>
      </c>
      <c r="BM851" s="0" t="s">
        <v>228</v>
      </c>
      <c r="BN851" s="0" t="s">
        <v>228</v>
      </c>
      <c r="BO851" s="0" t="s">
        <v>228</v>
      </c>
      <c r="BP851" s="0" t="s">
        <v>228</v>
      </c>
      <c r="BQ851" s="0" t="s">
        <v>228</v>
      </c>
      <c r="BR851" s="0" t="s">
        <v>228</v>
      </c>
      <c r="BS851" s="0" t="s">
        <v>228</v>
      </c>
      <c r="BT851" s="0" t="s">
        <v>228</v>
      </c>
      <c r="CS851" s="0" t="s">
        <v>228</v>
      </c>
      <c r="CT851" s="0" t="s">
        <v>3568</v>
      </c>
      <c r="CU851" s="0" t="s">
        <v>3569</v>
      </c>
      <c r="CV851" s="0" t="s">
        <v>418</v>
      </c>
      <c r="CW851" s="0" t="s">
        <v>4924</v>
      </c>
      <c r="CX851" s="0" t="s">
        <v>419</v>
      </c>
      <c r="CY851" s="0" t="s">
        <v>418</v>
      </c>
      <c r="CZ851" s="0" t="s">
        <v>319</v>
      </c>
      <c r="DA851" s="0" t="s">
        <v>420</v>
      </c>
      <c r="DB851" s="0" t="s">
        <v>4924</v>
      </c>
      <c r="DC851" s="0" t="s">
        <v>362</v>
      </c>
      <c r="DD851" s="0" t="s">
        <v>282</v>
      </c>
      <c r="DE851" s="0" t="s">
        <v>5220</v>
      </c>
    </row>
    <row customHeight="1" ht="11.25">
      <c r="A852" s="1353" t="s">
        <v>228</v>
      </c>
      <c r="B852" s="0" t="s">
        <v>228</v>
      </c>
      <c r="C852" s="0" t="s">
        <v>228</v>
      </c>
      <c r="D852" s="0" t="s">
        <v>228</v>
      </c>
      <c r="E852" s="0" t="s">
        <v>228</v>
      </c>
      <c r="F852" s="0" t="s">
        <v>228</v>
      </c>
      <c r="G852" s="0" t="s">
        <v>228</v>
      </c>
      <c r="H852" s="0" t="s">
        <v>228</v>
      </c>
      <c r="I852" s="0" t="s">
        <v>5119</v>
      </c>
      <c r="J852" s="0" t="s">
        <v>228</v>
      </c>
      <c r="K852" s="0" t="s">
        <v>228</v>
      </c>
      <c r="L852" s="0" t="s">
        <v>228</v>
      </c>
      <c r="M852" s="0" t="s">
        <v>228</v>
      </c>
      <c r="N852" s="0" t="s">
        <v>228</v>
      </c>
      <c r="O852" s="0" t="s">
        <v>228</v>
      </c>
      <c r="P852" s="0" t="s">
        <v>228</v>
      </c>
      <c r="Q852" s="0" t="s">
        <v>228</v>
      </c>
      <c r="R852" s="0" t="s">
        <v>5510</v>
      </c>
      <c r="S852" s="0" t="s">
        <v>228</v>
      </c>
      <c r="T852" s="0" t="s">
        <v>228</v>
      </c>
      <c r="U852" s="0" t="s">
        <v>101</v>
      </c>
      <c r="V852" s="0" t="s">
        <v>228</v>
      </c>
      <c r="W852" s="0" t="s">
        <v>228</v>
      </c>
      <c r="X852" s="0" t="s">
        <v>3988</v>
      </c>
      <c r="Y852" s="0" t="s">
        <v>228</v>
      </c>
      <c r="Z852" s="0" t="s">
        <v>151</v>
      </c>
      <c r="AA852" s="0" t="s">
        <v>160</v>
      </c>
      <c r="AB852" s="0" t="s">
        <v>151</v>
      </c>
      <c r="AC852" s="0" t="s">
        <v>2290</v>
      </c>
      <c r="AD852" s="0" t="s">
        <v>2290</v>
      </c>
      <c r="AE852" s="0" t="s">
        <v>2292</v>
      </c>
      <c r="AF852" s="0" t="s">
        <v>4453</v>
      </c>
      <c r="AG852" s="0" t="s">
        <v>4454</v>
      </c>
      <c r="AH852" s="0" t="s">
        <v>5511</v>
      </c>
      <c r="AI852" s="0" t="s">
        <v>5512</v>
      </c>
      <c r="AJ852" s="0" t="s">
        <v>228</v>
      </c>
      <c r="AK852" s="0" t="s">
        <v>228</v>
      </c>
      <c r="AL852" s="0" t="s">
        <v>228</v>
      </c>
      <c r="AN852" s="0" t="s">
        <v>228</v>
      </c>
      <c r="AO852" s="0" t="s">
        <v>228</v>
      </c>
      <c r="AP852" s="0" t="s">
        <v>4993</v>
      </c>
      <c r="AQ852" s="0" t="s">
        <v>5513</v>
      </c>
      <c r="AR852" s="0" t="s">
        <v>111</v>
      </c>
      <c r="AS852" s="0" t="s">
        <v>3665</v>
      </c>
      <c r="AT852" s="0" t="s">
        <v>122</v>
      </c>
      <c r="AU852" s="0" t="s">
        <v>228</v>
      </c>
      <c r="AV852" s="0" t="s">
        <v>5439</v>
      </c>
      <c r="AW852" s="0" t="s">
        <v>2290</v>
      </c>
      <c r="AX852" s="0" t="s">
        <v>2290</v>
      </c>
      <c r="AY852" s="0" t="s">
        <v>4917</v>
      </c>
      <c r="AZ852" s="0" t="s">
        <v>4453</v>
      </c>
      <c r="BA852" s="0" t="s">
        <v>5514</v>
      </c>
      <c r="BB852" s="0" t="s">
        <v>4455</v>
      </c>
      <c r="BC852" s="0" t="s">
        <v>3608</v>
      </c>
      <c r="BD852" s="0" t="s">
        <v>3566</v>
      </c>
      <c r="BE852" s="0" t="s">
        <v>228</v>
      </c>
      <c r="BF852" s="0" t="s">
        <v>228</v>
      </c>
      <c r="BG852" s="0" t="s">
        <v>228</v>
      </c>
      <c r="BH852" s="0" t="s">
        <v>228</v>
      </c>
      <c r="BI852" s="0" t="s">
        <v>228</v>
      </c>
      <c r="BJ852" s="0" t="s">
        <v>228</v>
      </c>
      <c r="BK852" s="0" t="s">
        <v>228</v>
      </c>
      <c r="BL852" s="0" t="s">
        <v>228</v>
      </c>
      <c r="BM852" s="0" t="s">
        <v>228</v>
      </c>
      <c r="BN852" s="0" t="s">
        <v>228</v>
      </c>
      <c r="BO852" s="0" t="s">
        <v>228</v>
      </c>
      <c r="BP852" s="0" t="s">
        <v>228</v>
      </c>
      <c r="BQ852" s="0" t="s">
        <v>228</v>
      </c>
      <c r="BR852" s="0" t="s">
        <v>228</v>
      </c>
      <c r="BS852" s="0" t="s">
        <v>228</v>
      </c>
      <c r="BT852" s="0" t="s">
        <v>228</v>
      </c>
      <c r="CS852" s="0" t="s">
        <v>228</v>
      </c>
      <c r="CT852" s="0" t="s">
        <v>3568</v>
      </c>
      <c r="CU852" s="0" t="s">
        <v>3569</v>
      </c>
      <c r="CV852" s="0" t="s">
        <v>418</v>
      </c>
      <c r="CW852" s="0" t="s">
        <v>3570</v>
      </c>
      <c r="CX852" s="0" t="s">
        <v>419</v>
      </c>
      <c r="CY852" s="0" t="s">
        <v>418</v>
      </c>
      <c r="CZ852" s="0" t="s">
        <v>3571</v>
      </c>
      <c r="DA852" s="0" t="s">
        <v>420</v>
      </c>
      <c r="DB852" s="0" t="s">
        <v>3570</v>
      </c>
      <c r="DC852" s="0" t="s">
        <v>362</v>
      </c>
      <c r="DD852" s="0" t="s">
        <v>282</v>
      </c>
      <c r="DE852" s="0" t="s">
        <v>5576</v>
      </c>
    </row>
    <row customHeight="1" ht="11.25">
      <c r="A853" s="1353" t="s">
        <v>228</v>
      </c>
      <c r="B853" s="0" t="s">
        <v>228</v>
      </c>
      <c r="C853" s="0" t="s">
        <v>228</v>
      </c>
      <c r="D853" s="0" t="s">
        <v>228</v>
      </c>
      <c r="E853" s="0" t="s">
        <v>228</v>
      </c>
      <c r="F853" s="0" t="s">
        <v>228</v>
      </c>
      <c r="G853" s="0" t="s">
        <v>228</v>
      </c>
      <c r="H853" s="0" t="s">
        <v>228</v>
      </c>
      <c r="I853" s="0" t="s">
        <v>5119</v>
      </c>
      <c r="J853" s="0" t="s">
        <v>228</v>
      </c>
      <c r="K853" s="0" t="s">
        <v>228</v>
      </c>
      <c r="L853" s="0" t="s">
        <v>228</v>
      </c>
      <c r="M853" s="0" t="s">
        <v>228</v>
      </c>
      <c r="N853" s="0" t="s">
        <v>228</v>
      </c>
      <c r="O853" s="0" t="s">
        <v>228</v>
      </c>
      <c r="P853" s="0" t="s">
        <v>228</v>
      </c>
      <c r="Q853" s="0" t="s">
        <v>228</v>
      </c>
      <c r="R853" s="0" t="s">
        <v>5181</v>
      </c>
      <c r="S853" s="0" t="s">
        <v>228</v>
      </c>
      <c r="T853" s="0" t="s">
        <v>228</v>
      </c>
      <c r="U853" s="0" t="s">
        <v>101</v>
      </c>
      <c r="V853" s="0" t="s">
        <v>228</v>
      </c>
      <c r="W853" s="0" t="s">
        <v>228</v>
      </c>
      <c r="X853" s="0" t="s">
        <v>5121</v>
      </c>
      <c r="Y853" s="0" t="s">
        <v>228</v>
      </c>
      <c r="Z853" s="0" t="s">
        <v>160</v>
      </c>
      <c r="AA853" s="0" t="s">
        <v>151</v>
      </c>
      <c r="AB853" s="0" t="s">
        <v>151</v>
      </c>
      <c r="AC853" s="0" t="s">
        <v>2715</v>
      </c>
      <c r="AD853" s="0" t="s">
        <v>2715</v>
      </c>
      <c r="AE853" s="0" t="s">
        <v>2716</v>
      </c>
      <c r="AF853" s="0" t="s">
        <v>3594</v>
      </c>
      <c r="AG853" s="0" t="s">
        <v>3595</v>
      </c>
      <c r="AH853" s="0" t="s">
        <v>5182</v>
      </c>
      <c r="AI853" s="0" t="s">
        <v>5183</v>
      </c>
      <c r="AJ853" s="0" t="s">
        <v>5184</v>
      </c>
      <c r="AK853" s="0" t="s">
        <v>4398</v>
      </c>
      <c r="AL853" s="0" t="s">
        <v>5125</v>
      </c>
      <c r="AN853" s="0" t="s">
        <v>5185</v>
      </c>
      <c r="AO853" s="0" t="s">
        <v>5186</v>
      </c>
      <c r="AP853" s="0" t="s">
        <v>228</v>
      </c>
      <c r="AQ853" s="0" t="s">
        <v>228</v>
      </c>
      <c r="AR853" s="0" t="s">
        <v>228</v>
      </c>
      <c r="AS853" s="0" t="s">
        <v>228</v>
      </c>
      <c r="AT853" s="0" t="s">
        <v>228</v>
      </c>
      <c r="AU853" s="0" t="s">
        <v>228</v>
      </c>
      <c r="AV853" s="0" t="s">
        <v>228</v>
      </c>
      <c r="AW853" s="0" t="s">
        <v>228</v>
      </c>
      <c r="AX853" s="0" t="s">
        <v>228</v>
      </c>
      <c r="AY853" s="0" t="s">
        <v>228</v>
      </c>
      <c r="AZ853" s="0" t="s">
        <v>228</v>
      </c>
      <c r="BA853" s="0" t="s">
        <v>228</v>
      </c>
      <c r="BB853" s="0" t="s">
        <v>228</v>
      </c>
      <c r="BC853" s="0" t="s">
        <v>228</v>
      </c>
      <c r="BD853" s="0" t="s">
        <v>228</v>
      </c>
      <c r="BE853" s="0" t="s">
        <v>228</v>
      </c>
      <c r="BF853" s="0" t="s">
        <v>228</v>
      </c>
      <c r="BG853" s="0" t="s">
        <v>228</v>
      </c>
      <c r="BH853" s="0" t="s">
        <v>228</v>
      </c>
      <c r="BI853" s="0" t="s">
        <v>228</v>
      </c>
      <c r="BJ853" s="0" t="s">
        <v>228</v>
      </c>
      <c r="BK853" s="0" t="s">
        <v>228</v>
      </c>
      <c r="BL853" s="0" t="s">
        <v>228</v>
      </c>
      <c r="BM853" s="0" t="s">
        <v>228</v>
      </c>
      <c r="BN853" s="0" t="s">
        <v>228</v>
      </c>
      <c r="BO853" s="0" t="s">
        <v>228</v>
      </c>
      <c r="BP853" s="0" t="s">
        <v>228</v>
      </c>
      <c r="BQ853" s="0" t="s">
        <v>228</v>
      </c>
      <c r="BR853" s="0" t="s">
        <v>228</v>
      </c>
      <c r="BS853" s="0" t="s">
        <v>228</v>
      </c>
      <c r="BT853" s="0" t="s">
        <v>228</v>
      </c>
      <c r="CS853" s="0" t="s">
        <v>228</v>
      </c>
      <c r="CT853" s="0" t="s">
        <v>3568</v>
      </c>
      <c r="CU853" s="0" t="s">
        <v>3569</v>
      </c>
      <c r="CV853" s="0" t="s">
        <v>4030</v>
      </c>
      <c r="CW853" s="0" t="s">
        <v>5187</v>
      </c>
      <c r="CX853" s="0" t="s">
        <v>3603</v>
      </c>
      <c r="CY853" s="0" t="s">
        <v>5188</v>
      </c>
      <c r="CZ853" s="0" t="s">
        <v>3608</v>
      </c>
      <c r="DA853" s="0" t="s">
        <v>5189</v>
      </c>
      <c r="DB853" s="0" t="s">
        <v>5129</v>
      </c>
      <c r="DC853" s="0" t="s">
        <v>362</v>
      </c>
      <c r="DD853" s="0" t="s">
        <v>282</v>
      </c>
      <c r="DE853" s="0" t="s">
        <v>5190</v>
      </c>
    </row>
    <row customHeight="1" ht="11.25">
      <c r="A854" s="1353" t="s">
        <v>228</v>
      </c>
      <c r="B854" s="0" t="s">
        <v>228</v>
      </c>
      <c r="C854" s="0" t="s">
        <v>228</v>
      </c>
      <c r="D854" s="0" t="s">
        <v>228</v>
      </c>
      <c r="E854" s="0" t="s">
        <v>228</v>
      </c>
      <c r="F854" s="0" t="s">
        <v>228</v>
      </c>
      <c r="G854" s="0" t="s">
        <v>228</v>
      </c>
      <c r="H854" s="0" t="s">
        <v>228</v>
      </c>
      <c r="I854" s="0" t="s">
        <v>5119</v>
      </c>
      <c r="J854" s="0" t="s">
        <v>228</v>
      </c>
      <c r="K854" s="0" t="s">
        <v>228</v>
      </c>
      <c r="L854" s="0" t="s">
        <v>228</v>
      </c>
      <c r="M854" s="0" t="s">
        <v>228</v>
      </c>
      <c r="N854" s="0" t="s">
        <v>228</v>
      </c>
      <c r="O854" s="0" t="s">
        <v>228</v>
      </c>
      <c r="P854" s="0" t="s">
        <v>228</v>
      </c>
      <c r="Q854" s="0" t="s">
        <v>228</v>
      </c>
      <c r="R854" s="0" t="s">
        <v>5191</v>
      </c>
      <c r="S854" s="0" t="s">
        <v>228</v>
      </c>
      <c r="T854" s="0" t="s">
        <v>228</v>
      </c>
      <c r="U854" s="0" t="s">
        <v>101</v>
      </c>
      <c r="V854" s="0" t="s">
        <v>228</v>
      </c>
      <c r="W854" s="0" t="s">
        <v>228</v>
      </c>
      <c r="X854" s="0" t="s">
        <v>5121</v>
      </c>
      <c r="Y854" s="0" t="s">
        <v>228</v>
      </c>
      <c r="Z854" s="0" t="s">
        <v>160</v>
      </c>
      <c r="AA854" s="0" t="s">
        <v>151</v>
      </c>
      <c r="AB854" s="0" t="s">
        <v>151</v>
      </c>
      <c r="AC854" s="0" t="s">
        <v>2715</v>
      </c>
      <c r="AD854" s="0" t="s">
        <v>2715</v>
      </c>
      <c r="AE854" s="0" t="s">
        <v>2716</v>
      </c>
      <c r="AF854" s="0" t="s">
        <v>3594</v>
      </c>
      <c r="AG854" s="0" t="s">
        <v>3595</v>
      </c>
      <c r="AH854" s="0" t="s">
        <v>5192</v>
      </c>
      <c r="AI854" s="0" t="s">
        <v>3608</v>
      </c>
      <c r="AJ854" s="0" t="s">
        <v>3858</v>
      </c>
      <c r="AK854" s="0" t="s">
        <v>5193</v>
      </c>
      <c r="AL854" s="0" t="s">
        <v>5125</v>
      </c>
      <c r="AN854" s="0" t="s">
        <v>5194</v>
      </c>
      <c r="AO854" s="0" t="s">
        <v>5195</v>
      </c>
      <c r="AP854" s="0" t="s">
        <v>228</v>
      </c>
      <c r="AQ854" s="0" t="s">
        <v>228</v>
      </c>
      <c r="AR854" s="0" t="s">
        <v>228</v>
      </c>
      <c r="AS854" s="0" t="s">
        <v>228</v>
      </c>
      <c r="AT854" s="0" t="s">
        <v>228</v>
      </c>
      <c r="AU854" s="0" t="s">
        <v>228</v>
      </c>
      <c r="AV854" s="0" t="s">
        <v>228</v>
      </c>
      <c r="AW854" s="0" t="s">
        <v>228</v>
      </c>
      <c r="AX854" s="0" t="s">
        <v>228</v>
      </c>
      <c r="AY854" s="0" t="s">
        <v>228</v>
      </c>
      <c r="AZ854" s="0" t="s">
        <v>228</v>
      </c>
      <c r="BA854" s="0" t="s">
        <v>228</v>
      </c>
      <c r="BB854" s="0" t="s">
        <v>228</v>
      </c>
      <c r="BC854" s="0" t="s">
        <v>228</v>
      </c>
      <c r="BD854" s="0" t="s">
        <v>228</v>
      </c>
      <c r="BE854" s="0" t="s">
        <v>228</v>
      </c>
      <c r="BF854" s="0" t="s">
        <v>228</v>
      </c>
      <c r="BG854" s="0" t="s">
        <v>228</v>
      </c>
      <c r="BH854" s="0" t="s">
        <v>228</v>
      </c>
      <c r="BI854" s="0" t="s">
        <v>228</v>
      </c>
      <c r="BJ854" s="0" t="s">
        <v>228</v>
      </c>
      <c r="BK854" s="0" t="s">
        <v>228</v>
      </c>
      <c r="BL854" s="0" t="s">
        <v>228</v>
      </c>
      <c r="BM854" s="0" t="s">
        <v>228</v>
      </c>
      <c r="BN854" s="0" t="s">
        <v>228</v>
      </c>
      <c r="BO854" s="0" t="s">
        <v>228</v>
      </c>
      <c r="BP854" s="0" t="s">
        <v>228</v>
      </c>
      <c r="BQ854" s="0" t="s">
        <v>228</v>
      </c>
      <c r="BR854" s="0" t="s">
        <v>228</v>
      </c>
      <c r="BS854" s="0" t="s">
        <v>228</v>
      </c>
      <c r="BT854" s="0" t="s">
        <v>228</v>
      </c>
      <c r="CS854" s="0" t="s">
        <v>228</v>
      </c>
      <c r="CT854" s="0" t="s">
        <v>3568</v>
      </c>
      <c r="CU854" s="0" t="s">
        <v>3569</v>
      </c>
      <c r="CV854" s="0" t="s">
        <v>418</v>
      </c>
      <c r="CW854" s="0" t="s">
        <v>3602</v>
      </c>
      <c r="CX854" s="0" t="s">
        <v>419</v>
      </c>
      <c r="CY854" s="0" t="s">
        <v>418</v>
      </c>
      <c r="CZ854" s="0" t="s">
        <v>504</v>
      </c>
      <c r="DA854" s="0" t="s">
        <v>3604</v>
      </c>
      <c r="DB854" s="0" t="s">
        <v>3602</v>
      </c>
      <c r="DC854" s="0" t="s">
        <v>362</v>
      </c>
      <c r="DD854" s="0" t="s">
        <v>282</v>
      </c>
      <c r="DE854" s="0" t="s">
        <v>5196</v>
      </c>
    </row>
    <row customHeight="1" ht="11.25">
      <c r="A855" s="1353" t="s">
        <v>228</v>
      </c>
      <c r="B855" s="0" t="s">
        <v>228</v>
      </c>
      <c r="C855" s="0" t="s">
        <v>228</v>
      </c>
      <c r="D855" s="0" t="s">
        <v>228</v>
      </c>
      <c r="E855" s="0" t="s">
        <v>228</v>
      </c>
      <c r="F855" s="0" t="s">
        <v>228</v>
      </c>
      <c r="G855" s="0" t="s">
        <v>228</v>
      </c>
      <c r="H855" s="0" t="s">
        <v>228</v>
      </c>
      <c r="I855" s="0" t="s">
        <v>5119</v>
      </c>
      <c r="J855" s="0" t="s">
        <v>228</v>
      </c>
      <c r="K855" s="0" t="s">
        <v>228</v>
      </c>
      <c r="L855" s="0" t="s">
        <v>228</v>
      </c>
      <c r="M855" s="0" t="s">
        <v>228</v>
      </c>
      <c r="N855" s="0" t="s">
        <v>228</v>
      </c>
      <c r="O855" s="0" t="s">
        <v>228</v>
      </c>
      <c r="P855" s="0" t="s">
        <v>228</v>
      </c>
      <c r="Q855" s="0" t="s">
        <v>228</v>
      </c>
      <c r="R855" s="0" t="s">
        <v>5197</v>
      </c>
      <c r="S855" s="0" t="s">
        <v>228</v>
      </c>
      <c r="T855" s="0" t="s">
        <v>228</v>
      </c>
      <c r="U855" s="0" t="s">
        <v>101</v>
      </c>
      <c r="V855" s="0" t="s">
        <v>228</v>
      </c>
      <c r="W855" s="0" t="s">
        <v>228</v>
      </c>
      <c r="X855" s="0" t="s">
        <v>5121</v>
      </c>
      <c r="Y855" s="0" t="s">
        <v>228</v>
      </c>
      <c r="Z855" s="0" t="s">
        <v>160</v>
      </c>
      <c r="AA855" s="0" t="s">
        <v>151</v>
      </c>
      <c r="AB855" s="0" t="s">
        <v>151</v>
      </c>
      <c r="AC855" s="0" t="s">
        <v>2715</v>
      </c>
      <c r="AD855" s="0" t="s">
        <v>2715</v>
      </c>
      <c r="AE855" s="0" t="s">
        <v>2716</v>
      </c>
      <c r="AF855" s="0" t="s">
        <v>3594</v>
      </c>
      <c r="AG855" s="0" t="s">
        <v>3595</v>
      </c>
      <c r="AH855" s="0" t="s">
        <v>5198</v>
      </c>
      <c r="AI855" s="0" t="s">
        <v>3608</v>
      </c>
      <c r="AJ855" s="0" t="s">
        <v>3858</v>
      </c>
      <c r="AK855" s="0" t="s">
        <v>5199</v>
      </c>
      <c r="AL855" s="0" t="s">
        <v>5125</v>
      </c>
      <c r="AN855" s="0" t="s">
        <v>5194</v>
      </c>
      <c r="AO855" s="0" t="s">
        <v>5195</v>
      </c>
      <c r="AP855" s="0" t="s">
        <v>228</v>
      </c>
      <c r="AQ855" s="0" t="s">
        <v>228</v>
      </c>
      <c r="AR855" s="0" t="s">
        <v>228</v>
      </c>
      <c r="AS855" s="0" t="s">
        <v>228</v>
      </c>
      <c r="AT855" s="0" t="s">
        <v>228</v>
      </c>
      <c r="AU855" s="0" t="s">
        <v>228</v>
      </c>
      <c r="AV855" s="0" t="s">
        <v>228</v>
      </c>
      <c r="AW855" s="0" t="s">
        <v>228</v>
      </c>
      <c r="AX855" s="0" t="s">
        <v>228</v>
      </c>
      <c r="AY855" s="0" t="s">
        <v>228</v>
      </c>
      <c r="AZ855" s="0" t="s">
        <v>228</v>
      </c>
      <c r="BA855" s="0" t="s">
        <v>228</v>
      </c>
      <c r="BB855" s="0" t="s">
        <v>228</v>
      </c>
      <c r="BC855" s="0" t="s">
        <v>228</v>
      </c>
      <c r="BD855" s="0" t="s">
        <v>228</v>
      </c>
      <c r="BE855" s="0" t="s">
        <v>228</v>
      </c>
      <c r="BF855" s="0" t="s">
        <v>228</v>
      </c>
      <c r="BG855" s="0" t="s">
        <v>228</v>
      </c>
      <c r="BH855" s="0" t="s">
        <v>228</v>
      </c>
      <c r="BI855" s="0" t="s">
        <v>228</v>
      </c>
      <c r="BJ855" s="0" t="s">
        <v>228</v>
      </c>
      <c r="BK855" s="0" t="s">
        <v>228</v>
      </c>
      <c r="BL855" s="0" t="s">
        <v>228</v>
      </c>
      <c r="BM855" s="0" t="s">
        <v>228</v>
      </c>
      <c r="BN855" s="0" t="s">
        <v>228</v>
      </c>
      <c r="BO855" s="0" t="s">
        <v>228</v>
      </c>
      <c r="BP855" s="0" t="s">
        <v>228</v>
      </c>
      <c r="BQ855" s="0" t="s">
        <v>228</v>
      </c>
      <c r="BR855" s="0" t="s">
        <v>228</v>
      </c>
      <c r="BS855" s="0" t="s">
        <v>228</v>
      </c>
      <c r="BT855" s="0" t="s">
        <v>228</v>
      </c>
      <c r="CS855" s="0" t="s">
        <v>228</v>
      </c>
      <c r="CT855" s="0" t="s">
        <v>3568</v>
      </c>
      <c r="CU855" s="0" t="s">
        <v>3569</v>
      </c>
      <c r="CV855" s="0" t="s">
        <v>418</v>
      </c>
      <c r="CW855" s="0" t="s">
        <v>3602</v>
      </c>
      <c r="CX855" s="0" t="s">
        <v>419</v>
      </c>
      <c r="CY855" s="0" t="s">
        <v>418</v>
      </c>
      <c r="CZ855" s="0" t="s">
        <v>504</v>
      </c>
      <c r="DA855" s="0" t="s">
        <v>3604</v>
      </c>
      <c r="DB855" s="0" t="s">
        <v>3602</v>
      </c>
      <c r="DC855" s="0" t="s">
        <v>362</v>
      </c>
      <c r="DD855" s="0" t="s">
        <v>282</v>
      </c>
      <c r="DE855" s="0" t="s">
        <v>5200</v>
      </c>
    </row>
    <row customHeight="1" ht="11.25">
      <c r="A856" s="1353" t="s">
        <v>228</v>
      </c>
      <c r="B856" s="0" t="s">
        <v>228</v>
      </c>
      <c r="C856" s="0" t="s">
        <v>228</v>
      </c>
      <c r="D856" s="0" t="s">
        <v>228</v>
      </c>
      <c r="E856" s="0" t="s">
        <v>228</v>
      </c>
      <c r="F856" s="0" t="s">
        <v>228</v>
      </c>
      <c r="G856" s="0" t="s">
        <v>228</v>
      </c>
      <c r="H856" s="0" t="s">
        <v>228</v>
      </c>
      <c r="I856" s="0" t="s">
        <v>5119</v>
      </c>
      <c r="J856" s="0" t="s">
        <v>228</v>
      </c>
      <c r="K856" s="0" t="s">
        <v>228</v>
      </c>
      <c r="L856" s="0" t="s">
        <v>228</v>
      </c>
      <c r="M856" s="0" t="s">
        <v>228</v>
      </c>
      <c r="N856" s="0" t="s">
        <v>228</v>
      </c>
      <c r="O856" s="0" t="s">
        <v>228</v>
      </c>
      <c r="P856" s="0" t="s">
        <v>228</v>
      </c>
      <c r="Q856" s="0" t="s">
        <v>228</v>
      </c>
      <c r="R856" s="0" t="s">
        <v>5171</v>
      </c>
      <c r="S856" s="0" t="s">
        <v>228</v>
      </c>
      <c r="T856" s="0" t="s">
        <v>228</v>
      </c>
      <c r="U856" s="0" t="s">
        <v>101</v>
      </c>
      <c r="V856" s="0" t="s">
        <v>228</v>
      </c>
      <c r="W856" s="0" t="s">
        <v>228</v>
      </c>
      <c r="X856" s="0" t="s">
        <v>3661</v>
      </c>
      <c r="Y856" s="0" t="s">
        <v>228</v>
      </c>
      <c r="Z856" s="0" t="s">
        <v>151</v>
      </c>
      <c r="AA856" s="0" t="s">
        <v>151</v>
      </c>
      <c r="AB856" s="0" t="s">
        <v>160</v>
      </c>
      <c r="AC856" s="0" t="s">
        <v>2290</v>
      </c>
      <c r="AD856" s="0" t="s">
        <v>2290</v>
      </c>
      <c r="AE856" s="0" t="s">
        <v>2292</v>
      </c>
      <c r="AF856" s="0" t="s">
        <v>3558</v>
      </c>
      <c r="AG856" s="0" t="s">
        <v>3559</v>
      </c>
      <c r="AH856" s="0" t="s">
        <v>4719</v>
      </c>
      <c r="AI856" s="0" t="s">
        <v>3608</v>
      </c>
      <c r="AJ856" s="0" t="s">
        <v>228</v>
      </c>
      <c r="AK856" s="0" t="s">
        <v>228</v>
      </c>
      <c r="AL856" s="0" t="s">
        <v>228</v>
      </c>
      <c r="AN856" s="0" t="s">
        <v>228</v>
      </c>
      <c r="AO856" s="0" t="s">
        <v>228</v>
      </c>
      <c r="AP856" s="0" t="s">
        <v>228</v>
      </c>
      <c r="AQ856" s="0" t="s">
        <v>228</v>
      </c>
      <c r="AR856" s="0" t="s">
        <v>228</v>
      </c>
      <c r="AS856" s="0" t="s">
        <v>228</v>
      </c>
      <c r="AT856" s="0" t="s">
        <v>228</v>
      </c>
      <c r="AU856" s="0" t="s">
        <v>228</v>
      </c>
      <c r="AV856" s="0" t="s">
        <v>228</v>
      </c>
      <c r="AW856" s="0" t="s">
        <v>228</v>
      </c>
      <c r="AX856" s="0" t="s">
        <v>228</v>
      </c>
      <c r="AY856" s="0" t="s">
        <v>228</v>
      </c>
      <c r="AZ856" s="0" t="s">
        <v>228</v>
      </c>
      <c r="BA856" s="0" t="s">
        <v>228</v>
      </c>
      <c r="BB856" s="0" t="s">
        <v>228</v>
      </c>
      <c r="BC856" s="0" t="s">
        <v>228</v>
      </c>
      <c r="BD856" s="0" t="s">
        <v>228</v>
      </c>
      <c r="BE856" s="0" t="s">
        <v>5172</v>
      </c>
      <c r="BF856" s="0" t="s">
        <v>5173</v>
      </c>
      <c r="BG856" s="0" t="s">
        <v>111</v>
      </c>
      <c r="BH856" s="0" t="s">
        <v>3665</v>
      </c>
      <c r="BI856" s="0" t="s">
        <v>122</v>
      </c>
      <c r="BJ856" s="0" t="s">
        <v>228</v>
      </c>
      <c r="BK856" s="0" t="s">
        <v>5174</v>
      </c>
      <c r="BL856" s="0" t="s">
        <v>2290</v>
      </c>
      <c r="BM856" s="0" t="s">
        <v>2290</v>
      </c>
      <c r="BN856" s="0" t="s">
        <v>4917</v>
      </c>
      <c r="BO856" s="0" t="s">
        <v>3558</v>
      </c>
      <c r="BP856" s="0" t="s">
        <v>5175</v>
      </c>
      <c r="BQ856" s="0" t="s">
        <v>4719</v>
      </c>
      <c r="BR856" s="0" t="s">
        <v>3608</v>
      </c>
      <c r="BS856" s="0" t="s">
        <v>228</v>
      </c>
      <c r="BT856" s="0" t="s">
        <v>3727</v>
      </c>
      <c r="CS856" s="0" t="s">
        <v>5176</v>
      </c>
      <c r="CT856" s="0" t="s">
        <v>3568</v>
      </c>
      <c r="CU856" s="0" t="s">
        <v>3569</v>
      </c>
      <c r="CV856" s="0" t="s">
        <v>418</v>
      </c>
      <c r="CW856" s="0" t="s">
        <v>3570</v>
      </c>
      <c r="CX856" s="0" t="s">
        <v>419</v>
      </c>
      <c r="CY856" s="0" t="s">
        <v>418</v>
      </c>
      <c r="CZ856" s="0" t="s">
        <v>3571</v>
      </c>
      <c r="DA856" s="0" t="s">
        <v>420</v>
      </c>
      <c r="DB856" s="0" t="s">
        <v>3570</v>
      </c>
      <c r="DC856" s="0" t="s">
        <v>362</v>
      </c>
      <c r="DD856" s="0" t="s">
        <v>282</v>
      </c>
      <c r="DE856" s="0" t="s">
        <v>5177</v>
      </c>
    </row>
    <row customHeight="1" ht="11.25">
      <c r="A857" s="1353" t="s">
        <v>228</v>
      </c>
      <c r="B857" s="0" t="s">
        <v>228</v>
      </c>
      <c r="C857" s="0" t="s">
        <v>228</v>
      </c>
      <c r="D857" s="0" t="s">
        <v>228</v>
      </c>
      <c r="E857" s="0" t="s">
        <v>228</v>
      </c>
      <c r="F857" s="0" t="s">
        <v>228</v>
      </c>
      <c r="G857" s="0" t="s">
        <v>228</v>
      </c>
      <c r="H857" s="0" t="s">
        <v>228</v>
      </c>
      <c r="I857" s="0" t="s">
        <v>5119</v>
      </c>
      <c r="J857" s="0" t="s">
        <v>228</v>
      </c>
      <c r="K857" s="0" t="s">
        <v>228</v>
      </c>
      <c r="L857" s="0" t="s">
        <v>228</v>
      </c>
      <c r="M857" s="0" t="s">
        <v>228</v>
      </c>
      <c r="N857" s="0" t="s">
        <v>228</v>
      </c>
      <c r="O857" s="0" t="s">
        <v>228</v>
      </c>
      <c r="P857" s="0" t="s">
        <v>228</v>
      </c>
      <c r="Q857" s="0" t="s">
        <v>228</v>
      </c>
      <c r="R857" s="0" t="s">
        <v>5221</v>
      </c>
      <c r="S857" s="0" t="s">
        <v>228</v>
      </c>
      <c r="T857" s="0" t="s">
        <v>228</v>
      </c>
      <c r="U857" s="0" t="s">
        <v>101</v>
      </c>
      <c r="V857" s="0" t="s">
        <v>228</v>
      </c>
      <c r="W857" s="0" t="s">
        <v>228</v>
      </c>
      <c r="X857" s="0" t="s">
        <v>5121</v>
      </c>
      <c r="Y857" s="0" t="s">
        <v>228</v>
      </c>
      <c r="Z857" s="0" t="s">
        <v>160</v>
      </c>
      <c r="AA857" s="0" t="s">
        <v>151</v>
      </c>
      <c r="AB857" s="0" t="s">
        <v>151</v>
      </c>
      <c r="AC857" s="0" t="s">
        <v>2715</v>
      </c>
      <c r="AD857" s="0" t="s">
        <v>2715</v>
      </c>
      <c r="AE857" s="0" t="s">
        <v>2716</v>
      </c>
      <c r="AF857" s="0" t="s">
        <v>3594</v>
      </c>
      <c r="AG857" s="0" t="s">
        <v>3595</v>
      </c>
      <c r="AH857" s="0" t="s">
        <v>5222</v>
      </c>
      <c r="AI857" s="0" t="s">
        <v>5223</v>
      </c>
      <c r="AJ857" s="0" t="s">
        <v>5224</v>
      </c>
      <c r="AK857" s="0" t="s">
        <v>5225</v>
      </c>
      <c r="AL857" s="0" t="s">
        <v>5144</v>
      </c>
      <c r="AN857" s="0" t="s">
        <v>5226</v>
      </c>
      <c r="AO857" s="0" t="s">
        <v>5227</v>
      </c>
      <c r="AP857" s="0" t="s">
        <v>228</v>
      </c>
      <c r="AQ857" s="0" t="s">
        <v>228</v>
      </c>
      <c r="AR857" s="0" t="s">
        <v>228</v>
      </c>
      <c r="AS857" s="0" t="s">
        <v>228</v>
      </c>
      <c r="AT857" s="0" t="s">
        <v>228</v>
      </c>
      <c r="AU857" s="0" t="s">
        <v>228</v>
      </c>
      <c r="AV857" s="0" t="s">
        <v>228</v>
      </c>
      <c r="AW857" s="0" t="s">
        <v>228</v>
      </c>
      <c r="AX857" s="0" t="s">
        <v>228</v>
      </c>
      <c r="AY857" s="0" t="s">
        <v>228</v>
      </c>
      <c r="AZ857" s="0" t="s">
        <v>228</v>
      </c>
      <c r="BA857" s="0" t="s">
        <v>228</v>
      </c>
      <c r="BB857" s="0" t="s">
        <v>228</v>
      </c>
      <c r="BC857" s="0" t="s">
        <v>228</v>
      </c>
      <c r="BD857" s="0" t="s">
        <v>228</v>
      </c>
      <c r="BE857" s="0" t="s">
        <v>228</v>
      </c>
      <c r="BF857" s="0" t="s">
        <v>228</v>
      </c>
      <c r="BG857" s="0" t="s">
        <v>228</v>
      </c>
      <c r="BH857" s="0" t="s">
        <v>228</v>
      </c>
      <c r="BI857" s="0" t="s">
        <v>228</v>
      </c>
      <c r="BJ857" s="0" t="s">
        <v>228</v>
      </c>
      <c r="BK857" s="0" t="s">
        <v>228</v>
      </c>
      <c r="BL857" s="0" t="s">
        <v>228</v>
      </c>
      <c r="BM857" s="0" t="s">
        <v>228</v>
      </c>
      <c r="BN857" s="0" t="s">
        <v>228</v>
      </c>
      <c r="BO857" s="0" t="s">
        <v>228</v>
      </c>
      <c r="BP857" s="0" t="s">
        <v>228</v>
      </c>
      <c r="BQ857" s="0" t="s">
        <v>228</v>
      </c>
      <c r="BR857" s="0" t="s">
        <v>228</v>
      </c>
      <c r="BS857" s="0" t="s">
        <v>228</v>
      </c>
      <c r="BT857" s="0" t="s">
        <v>228</v>
      </c>
      <c r="CS857" s="0" t="s">
        <v>228</v>
      </c>
      <c r="CT857" s="0" t="s">
        <v>3568</v>
      </c>
      <c r="CU857" s="0" t="s">
        <v>5128</v>
      </c>
      <c r="CV857" s="0" t="s">
        <v>4030</v>
      </c>
      <c r="CW857" s="0" t="s">
        <v>5129</v>
      </c>
      <c r="CX857" s="0" t="s">
        <v>3603</v>
      </c>
      <c r="CY857" s="0" t="s">
        <v>4030</v>
      </c>
      <c r="CZ857" s="0" t="s">
        <v>5130</v>
      </c>
      <c r="DA857" s="0" t="s">
        <v>5131</v>
      </c>
      <c r="DB857" s="0" t="s">
        <v>5129</v>
      </c>
      <c r="DC857" s="0" t="s">
        <v>362</v>
      </c>
      <c r="DD857" s="0" t="s">
        <v>282</v>
      </c>
      <c r="DE857" s="0" t="s">
        <v>5228</v>
      </c>
    </row>
    <row customHeight="1" ht="11.25">
      <c r="A858" s="1353" t="s">
        <v>228</v>
      </c>
      <c r="B858" s="0" t="s">
        <v>228</v>
      </c>
      <c r="C858" s="0" t="s">
        <v>228</v>
      </c>
      <c r="D858" s="0" t="s">
        <v>228</v>
      </c>
      <c r="E858" s="0" t="s">
        <v>228</v>
      </c>
      <c r="F858" s="0" t="s">
        <v>228</v>
      </c>
      <c r="G858" s="0" t="s">
        <v>228</v>
      </c>
      <c r="H858" s="0" t="s">
        <v>228</v>
      </c>
      <c r="I858" s="0" t="s">
        <v>5119</v>
      </c>
      <c r="J858" s="0" t="s">
        <v>228</v>
      </c>
      <c r="K858" s="0" t="s">
        <v>228</v>
      </c>
      <c r="L858" s="0" t="s">
        <v>228</v>
      </c>
      <c r="M858" s="0" t="s">
        <v>228</v>
      </c>
      <c r="N858" s="0" t="s">
        <v>228</v>
      </c>
      <c r="O858" s="0" t="s">
        <v>228</v>
      </c>
      <c r="P858" s="0" t="s">
        <v>228</v>
      </c>
      <c r="Q858" s="0" t="s">
        <v>228</v>
      </c>
      <c r="R858" s="0" t="s">
        <v>5171</v>
      </c>
      <c r="S858" s="0" t="s">
        <v>228</v>
      </c>
      <c r="T858" s="0" t="s">
        <v>228</v>
      </c>
      <c r="U858" s="0" t="s">
        <v>101</v>
      </c>
      <c r="V858" s="0" t="s">
        <v>228</v>
      </c>
      <c r="W858" s="0" t="s">
        <v>228</v>
      </c>
      <c r="X858" s="0" t="s">
        <v>3661</v>
      </c>
      <c r="Y858" s="0" t="s">
        <v>228</v>
      </c>
      <c r="Z858" s="0" t="s">
        <v>151</v>
      </c>
      <c r="AA858" s="0" t="s">
        <v>151</v>
      </c>
      <c r="AB858" s="0" t="s">
        <v>160</v>
      </c>
      <c r="AC858" s="0" t="s">
        <v>2290</v>
      </c>
      <c r="AD858" s="0" t="s">
        <v>2290</v>
      </c>
      <c r="AE858" s="0" t="s">
        <v>2292</v>
      </c>
      <c r="AF858" s="0" t="s">
        <v>4912</v>
      </c>
      <c r="AG858" s="0" t="s">
        <v>4913</v>
      </c>
      <c r="AH858" s="0" t="s">
        <v>4914</v>
      </c>
      <c r="AI858" s="0" t="s">
        <v>3608</v>
      </c>
      <c r="AJ858" s="0" t="s">
        <v>228</v>
      </c>
      <c r="AK858" s="0" t="s">
        <v>228</v>
      </c>
      <c r="AL858" s="0" t="s">
        <v>228</v>
      </c>
      <c r="AN858" s="0" t="s">
        <v>228</v>
      </c>
      <c r="AO858" s="0" t="s">
        <v>228</v>
      </c>
      <c r="AP858" s="0" t="s">
        <v>228</v>
      </c>
      <c r="AQ858" s="0" t="s">
        <v>228</v>
      </c>
      <c r="AR858" s="0" t="s">
        <v>228</v>
      </c>
      <c r="AS858" s="0" t="s">
        <v>228</v>
      </c>
      <c r="AT858" s="0" t="s">
        <v>228</v>
      </c>
      <c r="AU858" s="0" t="s">
        <v>228</v>
      </c>
      <c r="AV858" s="0" t="s">
        <v>228</v>
      </c>
      <c r="AW858" s="0" t="s">
        <v>228</v>
      </c>
      <c r="AX858" s="0" t="s">
        <v>228</v>
      </c>
      <c r="AY858" s="0" t="s">
        <v>228</v>
      </c>
      <c r="AZ858" s="0" t="s">
        <v>228</v>
      </c>
      <c r="BA858" s="0" t="s">
        <v>228</v>
      </c>
      <c r="BB858" s="0" t="s">
        <v>228</v>
      </c>
      <c r="BC858" s="0" t="s">
        <v>228</v>
      </c>
      <c r="BD858" s="0" t="s">
        <v>228</v>
      </c>
      <c r="BE858" s="0" t="s">
        <v>5029</v>
      </c>
      <c r="BF858" s="0" t="s">
        <v>5178</v>
      </c>
      <c r="BG858" s="0" t="s">
        <v>111</v>
      </c>
      <c r="BH858" s="0" t="s">
        <v>3665</v>
      </c>
      <c r="BI858" s="0" t="s">
        <v>122</v>
      </c>
      <c r="BJ858" s="0" t="s">
        <v>228</v>
      </c>
      <c r="BK858" s="0" t="s">
        <v>5121</v>
      </c>
      <c r="BL858" s="0" t="s">
        <v>2290</v>
      </c>
      <c r="BM858" s="0" t="s">
        <v>2290</v>
      </c>
      <c r="BN858" s="0" t="s">
        <v>4917</v>
      </c>
      <c r="BO858" s="0" t="s">
        <v>4912</v>
      </c>
      <c r="BP858" s="0" t="s">
        <v>4918</v>
      </c>
      <c r="BQ858" s="0" t="s">
        <v>5179</v>
      </c>
      <c r="BR858" s="0" t="s">
        <v>5180</v>
      </c>
      <c r="BS858" s="0" t="s">
        <v>228</v>
      </c>
      <c r="BT858" s="0" t="s">
        <v>3727</v>
      </c>
      <c r="CS858" s="0" t="s">
        <v>3579</v>
      </c>
      <c r="CT858" s="0" t="s">
        <v>3568</v>
      </c>
      <c r="CU858" s="0" t="s">
        <v>3569</v>
      </c>
      <c r="CV858" s="0" t="s">
        <v>418</v>
      </c>
      <c r="CW858" s="0" t="s">
        <v>4924</v>
      </c>
      <c r="CX858" s="0" t="s">
        <v>419</v>
      </c>
      <c r="CY858" s="0" t="s">
        <v>418</v>
      </c>
      <c r="CZ858" s="0" t="s">
        <v>319</v>
      </c>
      <c r="DA858" s="0" t="s">
        <v>420</v>
      </c>
      <c r="DB858" s="0" t="s">
        <v>4924</v>
      </c>
      <c r="DC858" s="0" t="s">
        <v>362</v>
      </c>
      <c r="DD858" s="0" t="s">
        <v>282</v>
      </c>
      <c r="DE858" s="0" t="s">
        <v>417</v>
      </c>
    </row>
    <row customHeight="1" ht="11.25">
      <c r="A859" s="1353" t="s">
        <v>228</v>
      </c>
      <c r="B859" s="0" t="s">
        <v>228</v>
      </c>
      <c r="C859" s="0" t="s">
        <v>228</v>
      </c>
      <c r="D859" s="0" t="s">
        <v>228</v>
      </c>
      <c r="E859" s="0" t="s">
        <v>228</v>
      </c>
      <c r="F859" s="0" t="s">
        <v>228</v>
      </c>
      <c r="G859" s="0" t="s">
        <v>228</v>
      </c>
      <c r="H859" s="0" t="s">
        <v>228</v>
      </c>
      <c r="I859" s="0" t="s">
        <v>5119</v>
      </c>
      <c r="J859" s="0" t="s">
        <v>228</v>
      </c>
      <c r="K859" s="0" t="s">
        <v>228</v>
      </c>
      <c r="L859" s="0" t="s">
        <v>228</v>
      </c>
      <c r="M859" s="0" t="s">
        <v>228</v>
      </c>
      <c r="N859" s="0" t="s">
        <v>228</v>
      </c>
      <c r="O859" s="0" t="s">
        <v>228</v>
      </c>
      <c r="P859" s="0" t="s">
        <v>228</v>
      </c>
      <c r="Q859" s="0" t="s">
        <v>228</v>
      </c>
      <c r="R859" s="0" t="s">
        <v>5201</v>
      </c>
      <c r="S859" s="0" t="s">
        <v>228</v>
      </c>
      <c r="T859" s="0" t="s">
        <v>228</v>
      </c>
      <c r="U859" s="0" t="s">
        <v>101</v>
      </c>
      <c r="V859" s="0" t="s">
        <v>228</v>
      </c>
      <c r="W859" s="0" t="s">
        <v>228</v>
      </c>
      <c r="X859" s="0" t="s">
        <v>5121</v>
      </c>
      <c r="Y859" s="0" t="s">
        <v>228</v>
      </c>
      <c r="Z859" s="0" t="s">
        <v>160</v>
      </c>
      <c r="AA859" s="0" t="s">
        <v>151</v>
      </c>
      <c r="AB859" s="0" t="s">
        <v>151</v>
      </c>
      <c r="AC859" s="0" t="s">
        <v>2715</v>
      </c>
      <c r="AD859" s="0" t="s">
        <v>2715</v>
      </c>
      <c r="AE859" s="0" t="s">
        <v>2716</v>
      </c>
      <c r="AF859" s="0" t="s">
        <v>3594</v>
      </c>
      <c r="AG859" s="0" t="s">
        <v>3595</v>
      </c>
      <c r="AH859" s="0" t="s">
        <v>4210</v>
      </c>
      <c r="AI859" s="0" t="s">
        <v>5202</v>
      </c>
      <c r="AJ859" s="0" t="s">
        <v>5203</v>
      </c>
      <c r="AK859" s="0" t="s">
        <v>5204</v>
      </c>
      <c r="AL859" s="0" t="s">
        <v>5125</v>
      </c>
      <c r="AN859" s="0" t="s">
        <v>5205</v>
      </c>
      <c r="AO859" s="0" t="s">
        <v>5206</v>
      </c>
      <c r="AP859" s="0" t="s">
        <v>228</v>
      </c>
      <c r="AQ859" s="0" t="s">
        <v>228</v>
      </c>
      <c r="AR859" s="0" t="s">
        <v>228</v>
      </c>
      <c r="AS859" s="0" t="s">
        <v>228</v>
      </c>
      <c r="AT859" s="0" t="s">
        <v>228</v>
      </c>
      <c r="AU859" s="0" t="s">
        <v>228</v>
      </c>
      <c r="AV859" s="0" t="s">
        <v>228</v>
      </c>
      <c r="AW859" s="0" t="s">
        <v>228</v>
      </c>
      <c r="AX859" s="0" t="s">
        <v>228</v>
      </c>
      <c r="AY859" s="0" t="s">
        <v>228</v>
      </c>
      <c r="AZ859" s="0" t="s">
        <v>228</v>
      </c>
      <c r="BA859" s="0" t="s">
        <v>228</v>
      </c>
      <c r="BB859" s="0" t="s">
        <v>228</v>
      </c>
      <c r="BC859" s="0" t="s">
        <v>228</v>
      </c>
      <c r="BD859" s="0" t="s">
        <v>228</v>
      </c>
      <c r="BE859" s="0" t="s">
        <v>228</v>
      </c>
      <c r="BF859" s="0" t="s">
        <v>228</v>
      </c>
      <c r="BG859" s="0" t="s">
        <v>228</v>
      </c>
      <c r="BH859" s="0" t="s">
        <v>228</v>
      </c>
      <c r="BI859" s="0" t="s">
        <v>228</v>
      </c>
      <c r="BJ859" s="0" t="s">
        <v>228</v>
      </c>
      <c r="BK859" s="0" t="s">
        <v>228</v>
      </c>
      <c r="BL859" s="0" t="s">
        <v>228</v>
      </c>
      <c r="BM859" s="0" t="s">
        <v>228</v>
      </c>
      <c r="BN859" s="0" t="s">
        <v>228</v>
      </c>
      <c r="BO859" s="0" t="s">
        <v>228</v>
      </c>
      <c r="BP859" s="0" t="s">
        <v>228</v>
      </c>
      <c r="BQ859" s="0" t="s">
        <v>228</v>
      </c>
      <c r="BR859" s="0" t="s">
        <v>228</v>
      </c>
      <c r="BS859" s="0" t="s">
        <v>228</v>
      </c>
      <c r="BT859" s="0" t="s">
        <v>228</v>
      </c>
      <c r="CS859" s="0" t="s">
        <v>228</v>
      </c>
      <c r="CT859" s="0" t="s">
        <v>3568</v>
      </c>
      <c r="CU859" s="0" t="s">
        <v>3569</v>
      </c>
      <c r="CV859" s="0" t="s">
        <v>418</v>
      </c>
      <c r="CW859" s="0" t="s">
        <v>3602</v>
      </c>
      <c r="CX859" s="0" t="s">
        <v>419</v>
      </c>
      <c r="CY859" s="0" t="s">
        <v>418</v>
      </c>
      <c r="CZ859" s="0" t="s">
        <v>504</v>
      </c>
      <c r="DA859" s="0" t="s">
        <v>3604</v>
      </c>
      <c r="DB859" s="0" t="s">
        <v>3602</v>
      </c>
      <c r="DC859" s="0" t="s">
        <v>362</v>
      </c>
      <c r="DD859" s="0" t="s">
        <v>282</v>
      </c>
      <c r="DE859" s="0" t="s">
        <v>5207</v>
      </c>
    </row>
    <row customHeight="1" ht="11.25">
      <c r="A860" s="1353" t="s">
        <v>228</v>
      </c>
      <c r="B860" s="0" t="s">
        <v>228</v>
      </c>
      <c r="C860" s="0" t="s">
        <v>228</v>
      </c>
      <c r="D860" s="0" t="s">
        <v>228</v>
      </c>
      <c r="E860" s="0" t="s">
        <v>228</v>
      </c>
      <c r="F860" s="0" t="s">
        <v>228</v>
      </c>
      <c r="G860" s="0" t="s">
        <v>228</v>
      </c>
      <c r="H860" s="0" t="s">
        <v>228</v>
      </c>
      <c r="I860" s="0" t="s">
        <v>5119</v>
      </c>
      <c r="J860" s="0" t="s">
        <v>228</v>
      </c>
      <c r="K860" s="0" t="s">
        <v>228</v>
      </c>
      <c r="L860" s="0" t="s">
        <v>228</v>
      </c>
      <c r="M860" s="0" t="s">
        <v>228</v>
      </c>
      <c r="N860" s="0" t="s">
        <v>228</v>
      </c>
      <c r="O860" s="0" t="s">
        <v>228</v>
      </c>
      <c r="P860" s="0" t="s">
        <v>228</v>
      </c>
      <c r="Q860" s="0" t="s">
        <v>228</v>
      </c>
      <c r="R860" s="0" t="s">
        <v>5208</v>
      </c>
      <c r="S860" s="0" t="s">
        <v>228</v>
      </c>
      <c r="T860" s="0" t="s">
        <v>228</v>
      </c>
      <c r="U860" s="0" t="s">
        <v>101</v>
      </c>
      <c r="V860" s="0" t="s">
        <v>228</v>
      </c>
      <c r="W860" s="0" t="s">
        <v>228</v>
      </c>
      <c r="X860" s="0" t="s">
        <v>5121</v>
      </c>
      <c r="Y860" s="0" t="s">
        <v>228</v>
      </c>
      <c r="Z860" s="0" t="s">
        <v>160</v>
      </c>
      <c r="AA860" s="0" t="s">
        <v>151</v>
      </c>
      <c r="AB860" s="0" t="s">
        <v>151</v>
      </c>
      <c r="AC860" s="0" t="s">
        <v>2715</v>
      </c>
      <c r="AD860" s="0" t="s">
        <v>2715</v>
      </c>
      <c r="AE860" s="0" t="s">
        <v>2716</v>
      </c>
      <c r="AF860" s="0" t="s">
        <v>3594</v>
      </c>
      <c r="AG860" s="0" t="s">
        <v>3595</v>
      </c>
      <c r="AH860" s="0" t="s">
        <v>5209</v>
      </c>
      <c r="AI860" s="0" t="s">
        <v>3608</v>
      </c>
      <c r="AJ860" s="0" t="s">
        <v>3985</v>
      </c>
      <c r="AK860" s="0" t="s">
        <v>5210</v>
      </c>
      <c r="AL860" s="0" t="s">
        <v>5125</v>
      </c>
      <c r="AN860" s="0" t="s">
        <v>5211</v>
      </c>
      <c r="AO860" s="0" t="s">
        <v>4212</v>
      </c>
      <c r="AP860" s="0" t="s">
        <v>228</v>
      </c>
      <c r="AQ860" s="0" t="s">
        <v>228</v>
      </c>
      <c r="AR860" s="0" t="s">
        <v>228</v>
      </c>
      <c r="AS860" s="0" t="s">
        <v>228</v>
      </c>
      <c r="AT860" s="0" t="s">
        <v>228</v>
      </c>
      <c r="AU860" s="0" t="s">
        <v>228</v>
      </c>
      <c r="AV860" s="0" t="s">
        <v>228</v>
      </c>
      <c r="AW860" s="0" t="s">
        <v>228</v>
      </c>
      <c r="AX860" s="0" t="s">
        <v>228</v>
      </c>
      <c r="AY860" s="0" t="s">
        <v>228</v>
      </c>
      <c r="AZ860" s="0" t="s">
        <v>228</v>
      </c>
      <c r="BA860" s="0" t="s">
        <v>228</v>
      </c>
      <c r="BB860" s="0" t="s">
        <v>228</v>
      </c>
      <c r="BC860" s="0" t="s">
        <v>228</v>
      </c>
      <c r="BD860" s="0" t="s">
        <v>228</v>
      </c>
      <c r="BE860" s="0" t="s">
        <v>228</v>
      </c>
      <c r="BF860" s="0" t="s">
        <v>228</v>
      </c>
      <c r="BG860" s="0" t="s">
        <v>228</v>
      </c>
      <c r="BH860" s="0" t="s">
        <v>228</v>
      </c>
      <c r="BI860" s="0" t="s">
        <v>228</v>
      </c>
      <c r="BJ860" s="0" t="s">
        <v>228</v>
      </c>
      <c r="BK860" s="0" t="s">
        <v>228</v>
      </c>
      <c r="BL860" s="0" t="s">
        <v>228</v>
      </c>
      <c r="BM860" s="0" t="s">
        <v>228</v>
      </c>
      <c r="BN860" s="0" t="s">
        <v>228</v>
      </c>
      <c r="BO860" s="0" t="s">
        <v>228</v>
      </c>
      <c r="BP860" s="0" t="s">
        <v>228</v>
      </c>
      <c r="BQ860" s="0" t="s">
        <v>228</v>
      </c>
      <c r="BR860" s="0" t="s">
        <v>228</v>
      </c>
      <c r="BS860" s="0" t="s">
        <v>228</v>
      </c>
      <c r="BT860" s="0" t="s">
        <v>228</v>
      </c>
      <c r="CS860" s="0" t="s">
        <v>228</v>
      </c>
      <c r="CT860" s="0" t="s">
        <v>3568</v>
      </c>
      <c r="CU860" s="0" t="s">
        <v>3569</v>
      </c>
      <c r="CV860" s="0" t="s">
        <v>418</v>
      </c>
      <c r="CW860" s="0" t="s">
        <v>3602</v>
      </c>
      <c r="CX860" s="0" t="s">
        <v>419</v>
      </c>
      <c r="CY860" s="0" t="s">
        <v>418</v>
      </c>
      <c r="CZ860" s="0" t="s">
        <v>504</v>
      </c>
      <c r="DA860" s="0" t="s">
        <v>3604</v>
      </c>
      <c r="DB860" s="0" t="s">
        <v>3602</v>
      </c>
      <c r="DC860" s="0" t="s">
        <v>362</v>
      </c>
      <c r="DD860" s="0" t="s">
        <v>282</v>
      </c>
      <c r="DE860" s="0" t="s">
        <v>5212</v>
      </c>
    </row>
    <row customHeight="1" ht="11.25">
      <c r="A861" s="1353" t="s">
        <v>228</v>
      </c>
      <c r="B861" s="0" t="s">
        <v>228</v>
      </c>
      <c r="C861" s="0" t="s">
        <v>228</v>
      </c>
      <c r="D861" s="0" t="s">
        <v>228</v>
      </c>
      <c r="E861" s="0" t="s">
        <v>228</v>
      </c>
      <c r="F861" s="0" t="s">
        <v>228</v>
      </c>
      <c r="G861" s="0" t="s">
        <v>228</v>
      </c>
      <c r="H861" s="0" t="s">
        <v>228</v>
      </c>
      <c r="I861" s="0" t="s">
        <v>5119</v>
      </c>
      <c r="J861" s="0" t="s">
        <v>228</v>
      </c>
      <c r="K861" s="0" t="s">
        <v>228</v>
      </c>
      <c r="L861" s="0" t="s">
        <v>228</v>
      </c>
      <c r="M861" s="0" t="s">
        <v>228</v>
      </c>
      <c r="N861" s="0" t="s">
        <v>228</v>
      </c>
      <c r="O861" s="0" t="s">
        <v>228</v>
      </c>
      <c r="P861" s="0" t="s">
        <v>228</v>
      </c>
      <c r="Q861" s="0" t="s">
        <v>228</v>
      </c>
      <c r="R861" s="0" t="s">
        <v>5391</v>
      </c>
      <c r="S861" s="0" t="s">
        <v>228</v>
      </c>
      <c r="T861" s="0" t="s">
        <v>228</v>
      </c>
      <c r="U861" s="0" t="s">
        <v>101</v>
      </c>
      <c r="V861" s="0" t="s">
        <v>228</v>
      </c>
      <c r="W861" s="0" t="s">
        <v>228</v>
      </c>
      <c r="X861" s="0" t="s">
        <v>3661</v>
      </c>
      <c r="Y861" s="0" t="s">
        <v>228</v>
      </c>
      <c r="Z861" s="0" t="s">
        <v>151</v>
      </c>
      <c r="AA861" s="0" t="s">
        <v>151</v>
      </c>
      <c r="AB861" s="0" t="s">
        <v>160</v>
      </c>
      <c r="AC861" s="0" t="s">
        <v>2715</v>
      </c>
      <c r="AD861" s="0" t="s">
        <v>2715</v>
      </c>
      <c r="AE861" s="0" t="s">
        <v>2716</v>
      </c>
      <c r="AF861" s="0" t="s">
        <v>3594</v>
      </c>
      <c r="AG861" s="0" t="s">
        <v>3595</v>
      </c>
      <c r="AH861" s="0" t="s">
        <v>5392</v>
      </c>
      <c r="AI861" s="0" t="s">
        <v>3608</v>
      </c>
      <c r="AJ861" s="0" t="s">
        <v>228</v>
      </c>
      <c r="AK861" s="0" t="s">
        <v>228</v>
      </c>
      <c r="AL861" s="0" t="s">
        <v>228</v>
      </c>
      <c r="AN861" s="0" t="s">
        <v>228</v>
      </c>
      <c r="AO861" s="0" t="s">
        <v>228</v>
      </c>
      <c r="AP861" s="0" t="s">
        <v>228</v>
      </c>
      <c r="AQ861" s="0" t="s">
        <v>228</v>
      </c>
      <c r="AR861" s="0" t="s">
        <v>228</v>
      </c>
      <c r="AS861" s="0" t="s">
        <v>228</v>
      </c>
      <c r="AT861" s="0" t="s">
        <v>228</v>
      </c>
      <c r="AU861" s="0" t="s">
        <v>228</v>
      </c>
      <c r="AV861" s="0" t="s">
        <v>228</v>
      </c>
      <c r="AW861" s="0" t="s">
        <v>228</v>
      </c>
      <c r="AX861" s="0" t="s">
        <v>228</v>
      </c>
      <c r="AY861" s="0" t="s">
        <v>228</v>
      </c>
      <c r="AZ861" s="0" t="s">
        <v>228</v>
      </c>
      <c r="BA861" s="0" t="s">
        <v>228</v>
      </c>
      <c r="BB861" s="0" t="s">
        <v>228</v>
      </c>
      <c r="BC861" s="0" t="s">
        <v>228</v>
      </c>
      <c r="BD861" s="0" t="s">
        <v>228</v>
      </c>
      <c r="BE861" s="0" t="s">
        <v>5393</v>
      </c>
      <c r="BF861" s="0" t="s">
        <v>5394</v>
      </c>
      <c r="BG861" s="0" t="s">
        <v>111</v>
      </c>
      <c r="BH861" s="0" t="s">
        <v>3665</v>
      </c>
      <c r="BI861" s="0" t="s">
        <v>122</v>
      </c>
      <c r="BJ861" s="0" t="s">
        <v>228</v>
      </c>
      <c r="BK861" s="0" t="s">
        <v>5395</v>
      </c>
      <c r="BL861" s="0" t="s">
        <v>2715</v>
      </c>
      <c r="BM861" s="0" t="s">
        <v>2715</v>
      </c>
      <c r="BN861" s="0" t="s">
        <v>3667</v>
      </c>
      <c r="BO861" s="0" t="s">
        <v>3594</v>
      </c>
      <c r="BP861" s="0" t="s">
        <v>3668</v>
      </c>
      <c r="BQ861" s="0" t="s">
        <v>3669</v>
      </c>
      <c r="BR861" s="0" t="s">
        <v>3608</v>
      </c>
      <c r="BS861" s="0" t="s">
        <v>228</v>
      </c>
      <c r="BT861" s="0" t="s">
        <v>3670</v>
      </c>
      <c r="CS861" s="0" t="s">
        <v>5396</v>
      </c>
      <c r="CT861" s="0" t="s">
        <v>3568</v>
      </c>
      <c r="CU861" s="0" t="s">
        <v>3569</v>
      </c>
      <c r="CV861" s="0" t="s">
        <v>418</v>
      </c>
      <c r="CW861" s="0" t="s">
        <v>3602</v>
      </c>
      <c r="CX861" s="0" t="s">
        <v>419</v>
      </c>
      <c r="CY861" s="0" t="s">
        <v>418</v>
      </c>
      <c r="CZ861" s="0" t="s">
        <v>504</v>
      </c>
      <c r="DA861" s="0" t="s">
        <v>3604</v>
      </c>
      <c r="DB861" s="0" t="s">
        <v>3602</v>
      </c>
      <c r="DC861" s="0" t="s">
        <v>362</v>
      </c>
      <c r="DD861" s="0" t="s">
        <v>282</v>
      </c>
      <c r="DE861" s="0" t="s">
        <v>5397</v>
      </c>
    </row>
    <row customHeight="1" ht="11.25">
      <c r="A862" s="1353" t="s">
        <v>228</v>
      </c>
      <c r="B862" s="0" t="s">
        <v>228</v>
      </c>
      <c r="C862" s="0" t="s">
        <v>228</v>
      </c>
      <c r="D862" s="0" t="s">
        <v>228</v>
      </c>
      <c r="E862" s="0" t="s">
        <v>228</v>
      </c>
      <c r="F862" s="0" t="s">
        <v>228</v>
      </c>
      <c r="G862" s="0" t="s">
        <v>228</v>
      </c>
      <c r="H862" s="0" t="s">
        <v>228</v>
      </c>
      <c r="I862" s="0" t="s">
        <v>5119</v>
      </c>
      <c r="J862" s="0" t="s">
        <v>228</v>
      </c>
      <c r="K862" s="0" t="s">
        <v>228</v>
      </c>
      <c r="L862" s="0" t="s">
        <v>228</v>
      </c>
      <c r="M862" s="0" t="s">
        <v>228</v>
      </c>
      <c r="N862" s="0" t="s">
        <v>228</v>
      </c>
      <c r="O862" s="0" t="s">
        <v>228</v>
      </c>
      <c r="P862" s="0" t="s">
        <v>228</v>
      </c>
      <c r="Q862" s="0" t="s">
        <v>228</v>
      </c>
      <c r="R862" s="0" t="s">
        <v>416</v>
      </c>
      <c r="S862" s="0" t="s">
        <v>228</v>
      </c>
      <c r="T862" s="0" t="s">
        <v>228</v>
      </c>
      <c r="U862" s="0" t="s">
        <v>101</v>
      </c>
      <c r="V862" s="0" t="s">
        <v>228</v>
      </c>
      <c r="W862" s="0" t="s">
        <v>228</v>
      </c>
      <c r="X862" s="0" t="s">
        <v>3661</v>
      </c>
      <c r="Y862" s="0" t="s">
        <v>228</v>
      </c>
      <c r="Z862" s="0" t="s">
        <v>151</v>
      </c>
      <c r="AA862" s="0" t="s">
        <v>151</v>
      </c>
      <c r="AB862" s="0" t="s">
        <v>160</v>
      </c>
      <c r="AC862" s="0" t="s">
        <v>2290</v>
      </c>
      <c r="AD862" s="0" t="s">
        <v>2290</v>
      </c>
      <c r="AE862" s="0" t="s">
        <v>2292</v>
      </c>
      <c r="AF862" s="0" t="s">
        <v>4912</v>
      </c>
      <c r="AG862" s="0" t="s">
        <v>4913</v>
      </c>
      <c r="AH862" s="0" t="s">
        <v>4914</v>
      </c>
      <c r="AI862" s="0" t="s">
        <v>3608</v>
      </c>
      <c r="AJ862" s="0" t="s">
        <v>228</v>
      </c>
      <c r="AK862" s="0" t="s">
        <v>228</v>
      </c>
      <c r="AL862" s="0" t="s">
        <v>228</v>
      </c>
      <c r="AN862" s="0" t="s">
        <v>228</v>
      </c>
      <c r="AO862" s="0" t="s">
        <v>228</v>
      </c>
      <c r="AP862" s="0" t="s">
        <v>228</v>
      </c>
      <c r="AQ862" s="0" t="s">
        <v>228</v>
      </c>
      <c r="AR862" s="0" t="s">
        <v>228</v>
      </c>
      <c r="AS862" s="0" t="s">
        <v>228</v>
      </c>
      <c r="AT862" s="0" t="s">
        <v>228</v>
      </c>
      <c r="AU862" s="0" t="s">
        <v>228</v>
      </c>
      <c r="AV862" s="0" t="s">
        <v>228</v>
      </c>
      <c r="AW862" s="0" t="s">
        <v>228</v>
      </c>
      <c r="AX862" s="0" t="s">
        <v>228</v>
      </c>
      <c r="AY862" s="0" t="s">
        <v>228</v>
      </c>
      <c r="AZ862" s="0" t="s">
        <v>228</v>
      </c>
      <c r="BA862" s="0" t="s">
        <v>228</v>
      </c>
      <c r="BB862" s="0" t="s">
        <v>228</v>
      </c>
      <c r="BC862" s="0" t="s">
        <v>228</v>
      </c>
      <c r="BD862" s="0" t="s">
        <v>228</v>
      </c>
      <c r="BE862" s="0" t="s">
        <v>5029</v>
      </c>
      <c r="BF862" s="0" t="s">
        <v>5178</v>
      </c>
      <c r="BG862" s="0" t="s">
        <v>111</v>
      </c>
      <c r="BH862" s="0" t="s">
        <v>3665</v>
      </c>
      <c r="BI862" s="0" t="s">
        <v>122</v>
      </c>
      <c r="BJ862" s="0" t="s">
        <v>228</v>
      </c>
      <c r="BK862" s="0" t="s">
        <v>5140</v>
      </c>
      <c r="BL862" s="0" t="s">
        <v>2290</v>
      </c>
      <c r="BM862" s="0" t="s">
        <v>2290</v>
      </c>
      <c r="BN862" s="0" t="s">
        <v>4917</v>
      </c>
      <c r="BO862" s="0" t="s">
        <v>4912</v>
      </c>
      <c r="BP862" s="0" t="s">
        <v>4918</v>
      </c>
      <c r="BQ862" s="0" t="s">
        <v>5530</v>
      </c>
      <c r="BR862" s="0" t="s">
        <v>3926</v>
      </c>
      <c r="BS862" s="0" t="s">
        <v>228</v>
      </c>
      <c r="BT862" s="0" t="s">
        <v>3727</v>
      </c>
      <c r="CS862" s="0" t="s">
        <v>3579</v>
      </c>
      <c r="CT862" s="0" t="s">
        <v>3568</v>
      </c>
      <c r="CU862" s="0" t="s">
        <v>3569</v>
      </c>
      <c r="CV862" s="0" t="s">
        <v>418</v>
      </c>
      <c r="CW862" s="0" t="s">
        <v>4924</v>
      </c>
      <c r="CX862" s="0" t="s">
        <v>419</v>
      </c>
      <c r="CY862" s="0" t="s">
        <v>418</v>
      </c>
      <c r="CZ862" s="0" t="s">
        <v>319</v>
      </c>
      <c r="DA862" s="0" t="s">
        <v>420</v>
      </c>
      <c r="DB862" s="0" t="s">
        <v>4924</v>
      </c>
      <c r="DC862" s="0" t="s">
        <v>362</v>
      </c>
      <c r="DD862" s="0" t="s">
        <v>282</v>
      </c>
      <c r="DE862" s="0" t="s">
        <v>417</v>
      </c>
    </row>
    <row customHeight="1" ht="11.25">
      <c r="A863" s="1353" t="s">
        <v>228</v>
      </c>
      <c r="B863" s="0" t="s">
        <v>228</v>
      </c>
      <c r="C863" s="0" t="s">
        <v>228</v>
      </c>
      <c r="D863" s="0" t="s">
        <v>228</v>
      </c>
      <c r="E863" s="0" t="s">
        <v>228</v>
      </c>
      <c r="F863" s="0" t="s">
        <v>228</v>
      </c>
      <c r="G863" s="0" t="s">
        <v>228</v>
      </c>
      <c r="H863" s="0" t="s">
        <v>228</v>
      </c>
      <c r="I863" s="0" t="s">
        <v>5119</v>
      </c>
      <c r="J863" s="0" t="s">
        <v>228</v>
      </c>
      <c r="K863" s="0" t="s">
        <v>228</v>
      </c>
      <c r="L863" s="0" t="s">
        <v>228</v>
      </c>
      <c r="M863" s="0" t="s">
        <v>228</v>
      </c>
      <c r="N863" s="0" t="s">
        <v>228</v>
      </c>
      <c r="O863" s="0" t="s">
        <v>228</v>
      </c>
      <c r="P863" s="0" t="s">
        <v>228</v>
      </c>
      <c r="Q863" s="0" t="s">
        <v>228</v>
      </c>
      <c r="R863" s="0" t="s">
        <v>5162</v>
      </c>
      <c r="S863" s="0" t="s">
        <v>228</v>
      </c>
      <c r="T863" s="0" t="s">
        <v>228</v>
      </c>
      <c r="U863" s="0" t="s">
        <v>101</v>
      </c>
      <c r="V863" s="0" t="s">
        <v>228</v>
      </c>
      <c r="W863" s="0" t="s">
        <v>228</v>
      </c>
      <c r="X863" s="0" t="s">
        <v>3661</v>
      </c>
      <c r="Y863" s="0" t="s">
        <v>228</v>
      </c>
      <c r="Z863" s="0" t="s">
        <v>151</v>
      </c>
      <c r="AA863" s="0" t="s">
        <v>151</v>
      </c>
      <c r="AB863" s="0" t="s">
        <v>160</v>
      </c>
      <c r="AC863" s="0" t="s">
        <v>2715</v>
      </c>
      <c r="AD863" s="0" t="s">
        <v>2715</v>
      </c>
      <c r="AE863" s="0" t="s">
        <v>2716</v>
      </c>
      <c r="AF863" s="0" t="s">
        <v>3594</v>
      </c>
      <c r="AG863" s="0" t="s">
        <v>3595</v>
      </c>
      <c r="AH863" s="0" t="s">
        <v>5163</v>
      </c>
      <c r="AI863" s="0" t="s">
        <v>3608</v>
      </c>
      <c r="AJ863" s="0" t="s">
        <v>228</v>
      </c>
      <c r="AK863" s="0" t="s">
        <v>228</v>
      </c>
      <c r="AL863" s="0" t="s">
        <v>228</v>
      </c>
      <c r="AN863" s="0" t="s">
        <v>228</v>
      </c>
      <c r="AO863" s="0" t="s">
        <v>228</v>
      </c>
      <c r="AP863" s="0" t="s">
        <v>228</v>
      </c>
      <c r="AQ863" s="0" t="s">
        <v>228</v>
      </c>
      <c r="AR863" s="0" t="s">
        <v>228</v>
      </c>
      <c r="AS863" s="0" t="s">
        <v>228</v>
      </c>
      <c r="AT863" s="0" t="s">
        <v>228</v>
      </c>
      <c r="AU863" s="0" t="s">
        <v>228</v>
      </c>
      <c r="AV863" s="0" t="s">
        <v>228</v>
      </c>
      <c r="AW863" s="0" t="s">
        <v>228</v>
      </c>
      <c r="AX863" s="0" t="s">
        <v>228</v>
      </c>
      <c r="AY863" s="0" t="s">
        <v>228</v>
      </c>
      <c r="AZ863" s="0" t="s">
        <v>228</v>
      </c>
      <c r="BA863" s="0" t="s">
        <v>228</v>
      </c>
      <c r="BB863" s="0" t="s">
        <v>228</v>
      </c>
      <c r="BC863" s="0" t="s">
        <v>228</v>
      </c>
      <c r="BD863" s="0" t="s">
        <v>228</v>
      </c>
      <c r="BE863" s="0" t="s">
        <v>5398</v>
      </c>
      <c r="BF863" s="0" t="s">
        <v>5165</v>
      </c>
      <c r="BG863" s="0" t="s">
        <v>111</v>
      </c>
      <c r="BH863" s="0" t="s">
        <v>3665</v>
      </c>
      <c r="BI863" s="0" t="s">
        <v>122</v>
      </c>
      <c r="BJ863" s="0" t="s">
        <v>228</v>
      </c>
      <c r="BK863" s="0" t="s">
        <v>5399</v>
      </c>
      <c r="BL863" s="0" t="s">
        <v>2715</v>
      </c>
      <c r="BM863" s="0" t="s">
        <v>2715</v>
      </c>
      <c r="BN863" s="0" t="s">
        <v>3667</v>
      </c>
      <c r="BO863" s="0" t="s">
        <v>3594</v>
      </c>
      <c r="BP863" s="0" t="s">
        <v>3668</v>
      </c>
      <c r="BQ863" s="0" t="s">
        <v>5400</v>
      </c>
      <c r="BR863" s="0" t="s">
        <v>3608</v>
      </c>
      <c r="BS863" s="0" t="s">
        <v>228</v>
      </c>
      <c r="BT863" s="0" t="s">
        <v>3670</v>
      </c>
      <c r="CS863" s="0" t="s">
        <v>5396</v>
      </c>
      <c r="CT863" s="0" t="s">
        <v>3568</v>
      </c>
      <c r="CU863" s="0" t="s">
        <v>3569</v>
      </c>
      <c r="CV863" s="0" t="s">
        <v>418</v>
      </c>
      <c r="CW863" s="0" t="s">
        <v>3602</v>
      </c>
      <c r="CX863" s="0" t="s">
        <v>419</v>
      </c>
      <c r="CY863" s="0" t="s">
        <v>418</v>
      </c>
      <c r="CZ863" s="0" t="s">
        <v>504</v>
      </c>
      <c r="DA863" s="0" t="s">
        <v>3604</v>
      </c>
      <c r="DB863" s="0" t="s">
        <v>3602</v>
      </c>
      <c r="DC863" s="0" t="s">
        <v>362</v>
      </c>
      <c r="DD863" s="0" t="s">
        <v>282</v>
      </c>
      <c r="DE863" s="0" t="s">
        <v>5166</v>
      </c>
    </row>
    <row customHeight="1" ht="11.25">
      <c r="A864" s="1353" t="s">
        <v>228</v>
      </c>
      <c r="B864" s="0" t="s">
        <v>228</v>
      </c>
      <c r="C864" s="0" t="s">
        <v>228</v>
      </c>
      <c r="D864" s="0" t="s">
        <v>228</v>
      </c>
      <c r="E864" s="0" t="s">
        <v>228</v>
      </c>
      <c r="F864" s="0" t="s">
        <v>228</v>
      </c>
      <c r="G864" s="0" t="s">
        <v>228</v>
      </c>
      <c r="H864" s="0" t="s">
        <v>228</v>
      </c>
      <c r="I864" s="0" t="s">
        <v>5119</v>
      </c>
      <c r="J864" s="0" t="s">
        <v>228</v>
      </c>
      <c r="K864" s="0" t="s">
        <v>228</v>
      </c>
      <c r="L864" s="0" t="s">
        <v>228</v>
      </c>
      <c r="M864" s="0" t="s">
        <v>228</v>
      </c>
      <c r="N864" s="0" t="s">
        <v>228</v>
      </c>
      <c r="O864" s="0" t="s">
        <v>228</v>
      </c>
      <c r="P864" s="0" t="s">
        <v>228</v>
      </c>
      <c r="Q864" s="0" t="s">
        <v>228</v>
      </c>
      <c r="R864" s="0" t="s">
        <v>5439</v>
      </c>
      <c r="S864" s="0" t="s">
        <v>228</v>
      </c>
      <c r="T864" s="0" t="s">
        <v>228</v>
      </c>
      <c r="U864" s="0" t="s">
        <v>101</v>
      </c>
      <c r="V864" s="0" t="s">
        <v>228</v>
      </c>
      <c r="W864" s="0" t="s">
        <v>228</v>
      </c>
      <c r="X864" s="0" t="s">
        <v>3988</v>
      </c>
      <c r="Y864" s="0" t="s">
        <v>228</v>
      </c>
      <c r="Z864" s="0" t="s">
        <v>151</v>
      </c>
      <c r="AA864" s="0" t="s">
        <v>160</v>
      </c>
      <c r="AB864" s="0" t="s">
        <v>151</v>
      </c>
      <c r="AC864" s="0" t="s">
        <v>2290</v>
      </c>
      <c r="AD864" s="0" t="s">
        <v>2290</v>
      </c>
      <c r="AE864" s="0" t="s">
        <v>2292</v>
      </c>
      <c r="AF864" s="0" t="s">
        <v>4912</v>
      </c>
      <c r="AG864" s="0" t="s">
        <v>4913</v>
      </c>
      <c r="AH864" s="0" t="s">
        <v>5019</v>
      </c>
      <c r="AI864" s="0" t="s">
        <v>281</v>
      </c>
      <c r="AJ864" s="0" t="s">
        <v>228</v>
      </c>
      <c r="AK864" s="0" t="s">
        <v>228</v>
      </c>
      <c r="AL864" s="0" t="s">
        <v>228</v>
      </c>
      <c r="AN864" s="0" t="s">
        <v>228</v>
      </c>
      <c r="AO864" s="0" t="s">
        <v>228</v>
      </c>
      <c r="AP864" s="0" t="s">
        <v>5305</v>
      </c>
      <c r="AQ864" s="0" t="s">
        <v>5178</v>
      </c>
      <c r="AR864" s="0" t="s">
        <v>111</v>
      </c>
      <c r="AS864" s="0" t="s">
        <v>3665</v>
      </c>
      <c r="AT864" s="0" t="s">
        <v>122</v>
      </c>
      <c r="AU864" s="0" t="s">
        <v>228</v>
      </c>
      <c r="AV864" s="0" t="s">
        <v>5439</v>
      </c>
      <c r="AW864" s="0" t="s">
        <v>2290</v>
      </c>
      <c r="AX864" s="0" t="s">
        <v>2290</v>
      </c>
      <c r="AY864" s="0" t="s">
        <v>4917</v>
      </c>
      <c r="AZ864" s="0" t="s">
        <v>4912</v>
      </c>
      <c r="BA864" s="0" t="s">
        <v>4918</v>
      </c>
      <c r="BB864" s="0" t="s">
        <v>5019</v>
      </c>
      <c r="BC864" s="0" t="s">
        <v>281</v>
      </c>
      <c r="BD864" s="0" t="s">
        <v>3654</v>
      </c>
      <c r="BE864" s="0" t="s">
        <v>228</v>
      </c>
      <c r="BF864" s="0" t="s">
        <v>228</v>
      </c>
      <c r="BG864" s="0" t="s">
        <v>228</v>
      </c>
      <c r="BH864" s="0" t="s">
        <v>228</v>
      </c>
      <c r="BI864" s="0" t="s">
        <v>228</v>
      </c>
      <c r="BJ864" s="0" t="s">
        <v>228</v>
      </c>
      <c r="BK864" s="0" t="s">
        <v>228</v>
      </c>
      <c r="BL864" s="0" t="s">
        <v>228</v>
      </c>
      <c r="BM864" s="0" t="s">
        <v>228</v>
      </c>
      <c r="BN864" s="0" t="s">
        <v>228</v>
      </c>
      <c r="BO864" s="0" t="s">
        <v>228</v>
      </c>
      <c r="BP864" s="0" t="s">
        <v>228</v>
      </c>
      <c r="BQ864" s="0" t="s">
        <v>228</v>
      </c>
      <c r="BR864" s="0" t="s">
        <v>228</v>
      </c>
      <c r="BS864" s="0" t="s">
        <v>228</v>
      </c>
      <c r="BT864" s="0" t="s">
        <v>228</v>
      </c>
      <c r="CS864" s="0" t="s">
        <v>228</v>
      </c>
      <c r="CT864" s="0" t="s">
        <v>3568</v>
      </c>
      <c r="CU864" s="0" t="s">
        <v>3569</v>
      </c>
      <c r="CV864" s="0" t="s">
        <v>418</v>
      </c>
      <c r="CW864" s="0" t="s">
        <v>4924</v>
      </c>
      <c r="CX864" s="0" t="s">
        <v>419</v>
      </c>
      <c r="CY864" s="0" t="s">
        <v>418</v>
      </c>
      <c r="CZ864" s="0" t="s">
        <v>319</v>
      </c>
      <c r="DA864" s="0" t="s">
        <v>420</v>
      </c>
      <c r="DB864" s="0" t="s">
        <v>4924</v>
      </c>
      <c r="DC864" s="0" t="s">
        <v>362</v>
      </c>
      <c r="DD864" s="0" t="s">
        <v>282</v>
      </c>
      <c r="DE864" s="0" t="s">
        <v>5441</v>
      </c>
    </row>
    <row customHeight="1" ht="11.25">
      <c r="A865" s="1353" t="s">
        <v>228</v>
      </c>
      <c r="B865" s="0" t="s">
        <v>228</v>
      </c>
      <c r="C865" s="0" t="s">
        <v>228</v>
      </c>
      <c r="D865" s="0" t="s">
        <v>228</v>
      </c>
      <c r="E865" s="0" t="s">
        <v>228</v>
      </c>
      <c r="F865" s="0" t="s">
        <v>228</v>
      </c>
      <c r="G865" s="0" t="s">
        <v>228</v>
      </c>
      <c r="H865" s="0" t="s">
        <v>228</v>
      </c>
      <c r="I865" s="0" t="s">
        <v>5119</v>
      </c>
      <c r="J865" s="0" t="s">
        <v>228</v>
      </c>
      <c r="K865" s="0" t="s">
        <v>228</v>
      </c>
      <c r="L865" s="0" t="s">
        <v>228</v>
      </c>
      <c r="M865" s="0" t="s">
        <v>228</v>
      </c>
      <c r="N865" s="0" t="s">
        <v>228</v>
      </c>
      <c r="O865" s="0" t="s">
        <v>228</v>
      </c>
      <c r="P865" s="0" t="s">
        <v>228</v>
      </c>
      <c r="Q865" s="0" t="s">
        <v>228</v>
      </c>
      <c r="R865" s="0" t="s">
        <v>5121</v>
      </c>
      <c r="S865" s="0" t="s">
        <v>228</v>
      </c>
      <c r="T865" s="0" t="s">
        <v>228</v>
      </c>
      <c r="U865" s="0" t="s">
        <v>101</v>
      </c>
      <c r="V865" s="0" t="s">
        <v>228</v>
      </c>
      <c r="W865" s="0" t="s">
        <v>228</v>
      </c>
      <c r="X865" s="0" t="s">
        <v>5121</v>
      </c>
      <c r="Y865" s="0" t="s">
        <v>228</v>
      </c>
      <c r="Z865" s="0" t="s">
        <v>160</v>
      </c>
      <c r="AA865" s="0" t="s">
        <v>151</v>
      </c>
      <c r="AB865" s="0" t="s">
        <v>151</v>
      </c>
      <c r="AC865" s="0" t="s">
        <v>2290</v>
      </c>
      <c r="AD865" s="0" t="s">
        <v>2290</v>
      </c>
      <c r="AE865" s="0" t="s">
        <v>2292</v>
      </c>
      <c r="AF865" s="0" t="s">
        <v>4912</v>
      </c>
      <c r="AG865" s="0" t="s">
        <v>4913</v>
      </c>
      <c r="AH865" s="0" t="s">
        <v>5179</v>
      </c>
      <c r="AI865" s="0" t="s">
        <v>5442</v>
      </c>
      <c r="AJ865" s="0" t="s">
        <v>5443</v>
      </c>
      <c r="AK865" s="0" t="s">
        <v>5444</v>
      </c>
      <c r="AL865" s="0" t="s">
        <v>5125</v>
      </c>
      <c r="AN865" s="0" t="s">
        <v>3654</v>
      </c>
      <c r="AO865" s="0" t="s">
        <v>3695</v>
      </c>
      <c r="AP865" s="0" t="s">
        <v>228</v>
      </c>
      <c r="AQ865" s="0" t="s">
        <v>228</v>
      </c>
      <c r="AR865" s="0" t="s">
        <v>228</v>
      </c>
      <c r="AS865" s="0" t="s">
        <v>228</v>
      </c>
      <c r="AT865" s="0" t="s">
        <v>228</v>
      </c>
      <c r="AU865" s="0" t="s">
        <v>228</v>
      </c>
      <c r="AV865" s="0" t="s">
        <v>228</v>
      </c>
      <c r="AW865" s="0" t="s">
        <v>228</v>
      </c>
      <c r="AX865" s="0" t="s">
        <v>228</v>
      </c>
      <c r="AY865" s="0" t="s">
        <v>228</v>
      </c>
      <c r="AZ865" s="0" t="s">
        <v>228</v>
      </c>
      <c r="BA865" s="0" t="s">
        <v>228</v>
      </c>
      <c r="BB865" s="0" t="s">
        <v>228</v>
      </c>
      <c r="BC865" s="0" t="s">
        <v>228</v>
      </c>
      <c r="BD865" s="0" t="s">
        <v>228</v>
      </c>
      <c r="BE865" s="0" t="s">
        <v>228</v>
      </c>
      <c r="BF865" s="0" t="s">
        <v>228</v>
      </c>
      <c r="BG865" s="0" t="s">
        <v>228</v>
      </c>
      <c r="BH865" s="0" t="s">
        <v>228</v>
      </c>
      <c r="BI865" s="0" t="s">
        <v>228</v>
      </c>
      <c r="BJ865" s="0" t="s">
        <v>228</v>
      </c>
      <c r="BK865" s="0" t="s">
        <v>228</v>
      </c>
      <c r="BL865" s="0" t="s">
        <v>228</v>
      </c>
      <c r="BM865" s="0" t="s">
        <v>228</v>
      </c>
      <c r="BN865" s="0" t="s">
        <v>228</v>
      </c>
      <c r="BO865" s="0" t="s">
        <v>228</v>
      </c>
      <c r="BP865" s="0" t="s">
        <v>228</v>
      </c>
      <c r="BQ865" s="0" t="s">
        <v>228</v>
      </c>
      <c r="BR865" s="0" t="s">
        <v>228</v>
      </c>
      <c r="BS865" s="0" t="s">
        <v>228</v>
      </c>
      <c r="BT865" s="0" t="s">
        <v>228</v>
      </c>
      <c r="CS865" s="0" t="s">
        <v>228</v>
      </c>
      <c r="CT865" s="0" t="s">
        <v>3568</v>
      </c>
      <c r="CU865" s="0" t="s">
        <v>3569</v>
      </c>
      <c r="CV865" s="0" t="s">
        <v>418</v>
      </c>
      <c r="CW865" s="0" t="s">
        <v>4924</v>
      </c>
      <c r="CX865" s="0" t="s">
        <v>419</v>
      </c>
      <c r="CY865" s="0" t="s">
        <v>418</v>
      </c>
      <c r="CZ865" s="0" t="s">
        <v>319</v>
      </c>
      <c r="DA865" s="0" t="s">
        <v>420</v>
      </c>
      <c r="DB865" s="0" t="s">
        <v>4924</v>
      </c>
      <c r="DC865" s="0" t="s">
        <v>362</v>
      </c>
      <c r="DD865" s="0" t="s">
        <v>282</v>
      </c>
      <c r="DE865" s="0" t="s">
        <v>5445</v>
      </c>
    </row>
    <row customHeight="1" ht="11.25">
      <c r="A866" s="1353" t="s">
        <v>228</v>
      </c>
      <c r="B866" s="0" t="s">
        <v>228</v>
      </c>
      <c r="C866" s="0" t="s">
        <v>228</v>
      </c>
      <c r="D866" s="0" t="s">
        <v>228</v>
      </c>
      <c r="E866" s="0" t="s">
        <v>228</v>
      </c>
      <c r="F866" s="0" t="s">
        <v>228</v>
      </c>
      <c r="G866" s="0" t="s">
        <v>228</v>
      </c>
      <c r="H866" s="0" t="s">
        <v>228</v>
      </c>
      <c r="I866" s="0" t="s">
        <v>5119</v>
      </c>
      <c r="J866" s="0" t="s">
        <v>228</v>
      </c>
      <c r="K866" s="0" t="s">
        <v>228</v>
      </c>
      <c r="L866" s="0" t="s">
        <v>228</v>
      </c>
      <c r="M866" s="0" t="s">
        <v>228</v>
      </c>
      <c r="N866" s="0" t="s">
        <v>228</v>
      </c>
      <c r="O866" s="0" t="s">
        <v>228</v>
      </c>
      <c r="P866" s="0" t="s">
        <v>228</v>
      </c>
      <c r="Q866" s="0" t="s">
        <v>228</v>
      </c>
      <c r="R866" s="0" t="s">
        <v>5446</v>
      </c>
      <c r="S866" s="0" t="s">
        <v>228</v>
      </c>
      <c r="T866" s="0" t="s">
        <v>228</v>
      </c>
      <c r="U866" s="0" t="s">
        <v>101</v>
      </c>
      <c r="V866" s="0" t="s">
        <v>228</v>
      </c>
      <c r="W866" s="0" t="s">
        <v>228</v>
      </c>
      <c r="X866" s="0" t="s">
        <v>5121</v>
      </c>
      <c r="Y866" s="0" t="s">
        <v>228</v>
      </c>
      <c r="Z866" s="0" t="s">
        <v>160</v>
      </c>
      <c r="AA866" s="0" t="s">
        <v>151</v>
      </c>
      <c r="AB866" s="0" t="s">
        <v>151</v>
      </c>
      <c r="AC866" s="0" t="s">
        <v>2290</v>
      </c>
      <c r="AD866" s="0" t="s">
        <v>2290</v>
      </c>
      <c r="AE866" s="0" t="s">
        <v>2292</v>
      </c>
      <c r="AF866" s="0" t="s">
        <v>4912</v>
      </c>
      <c r="AG866" s="0" t="s">
        <v>4913</v>
      </c>
      <c r="AH866" s="0" t="s">
        <v>5447</v>
      </c>
      <c r="AI866" s="0" t="s">
        <v>3608</v>
      </c>
      <c r="AJ866" s="0" t="s">
        <v>3582</v>
      </c>
      <c r="AK866" s="0" t="s">
        <v>5448</v>
      </c>
      <c r="AL866" s="0" t="s">
        <v>5125</v>
      </c>
      <c r="AN866" s="0" t="s">
        <v>5328</v>
      </c>
      <c r="AO866" s="0" t="s">
        <v>5131</v>
      </c>
      <c r="AP866" s="0" t="s">
        <v>228</v>
      </c>
      <c r="AQ866" s="0" t="s">
        <v>228</v>
      </c>
      <c r="AR866" s="0" t="s">
        <v>228</v>
      </c>
      <c r="AS866" s="0" t="s">
        <v>228</v>
      </c>
      <c r="AT866" s="0" t="s">
        <v>228</v>
      </c>
      <c r="AU866" s="0" t="s">
        <v>228</v>
      </c>
      <c r="AV866" s="0" t="s">
        <v>228</v>
      </c>
      <c r="AW866" s="0" t="s">
        <v>228</v>
      </c>
      <c r="AX866" s="0" t="s">
        <v>228</v>
      </c>
      <c r="AY866" s="0" t="s">
        <v>228</v>
      </c>
      <c r="AZ866" s="0" t="s">
        <v>228</v>
      </c>
      <c r="BA866" s="0" t="s">
        <v>228</v>
      </c>
      <c r="BB866" s="0" t="s">
        <v>228</v>
      </c>
      <c r="BC866" s="0" t="s">
        <v>228</v>
      </c>
      <c r="BD866" s="0" t="s">
        <v>228</v>
      </c>
      <c r="BE866" s="0" t="s">
        <v>228</v>
      </c>
      <c r="BF866" s="0" t="s">
        <v>228</v>
      </c>
      <c r="BG866" s="0" t="s">
        <v>228</v>
      </c>
      <c r="BH866" s="0" t="s">
        <v>228</v>
      </c>
      <c r="BI866" s="0" t="s">
        <v>228</v>
      </c>
      <c r="BJ866" s="0" t="s">
        <v>228</v>
      </c>
      <c r="BK866" s="0" t="s">
        <v>228</v>
      </c>
      <c r="BL866" s="0" t="s">
        <v>228</v>
      </c>
      <c r="BM866" s="0" t="s">
        <v>228</v>
      </c>
      <c r="BN866" s="0" t="s">
        <v>228</v>
      </c>
      <c r="BO866" s="0" t="s">
        <v>228</v>
      </c>
      <c r="BP866" s="0" t="s">
        <v>228</v>
      </c>
      <c r="BQ866" s="0" t="s">
        <v>228</v>
      </c>
      <c r="BR866" s="0" t="s">
        <v>228</v>
      </c>
      <c r="BS866" s="0" t="s">
        <v>228</v>
      </c>
      <c r="BT866" s="0" t="s">
        <v>228</v>
      </c>
      <c r="CS866" s="0" t="s">
        <v>228</v>
      </c>
      <c r="CT866" s="0" t="s">
        <v>3568</v>
      </c>
      <c r="CU866" s="0" t="s">
        <v>3569</v>
      </c>
      <c r="CV866" s="0" t="s">
        <v>418</v>
      </c>
      <c r="CW866" s="0" t="s">
        <v>4924</v>
      </c>
      <c r="CX866" s="0" t="s">
        <v>419</v>
      </c>
      <c r="CY866" s="0" t="s">
        <v>418</v>
      </c>
      <c r="CZ866" s="0" t="s">
        <v>319</v>
      </c>
      <c r="DA866" s="0" t="s">
        <v>420</v>
      </c>
      <c r="DB866" s="0" t="s">
        <v>4924</v>
      </c>
      <c r="DC866" s="0" t="s">
        <v>362</v>
      </c>
      <c r="DD866" s="0" t="s">
        <v>282</v>
      </c>
      <c r="DE866" s="0" t="s">
        <v>5449</v>
      </c>
    </row>
    <row customHeight="1" ht="11.25">
      <c r="A867" s="1353" t="s">
        <v>228</v>
      </c>
      <c r="B867" s="0" t="s">
        <v>228</v>
      </c>
      <c r="C867" s="0" t="s">
        <v>228</v>
      </c>
      <c r="D867" s="0" t="s">
        <v>228</v>
      </c>
      <c r="E867" s="0" t="s">
        <v>228</v>
      </c>
      <c r="F867" s="0" t="s">
        <v>228</v>
      </c>
      <c r="G867" s="0" t="s">
        <v>228</v>
      </c>
      <c r="H867" s="0" t="s">
        <v>228</v>
      </c>
      <c r="I867" s="0" t="s">
        <v>5119</v>
      </c>
      <c r="J867" s="0" t="s">
        <v>228</v>
      </c>
      <c r="K867" s="0" t="s">
        <v>228</v>
      </c>
      <c r="L867" s="0" t="s">
        <v>228</v>
      </c>
      <c r="M867" s="0" t="s">
        <v>228</v>
      </c>
      <c r="N867" s="0" t="s">
        <v>228</v>
      </c>
      <c r="O867" s="0" t="s">
        <v>228</v>
      </c>
      <c r="P867" s="0" t="s">
        <v>228</v>
      </c>
      <c r="Q867" s="0" t="s">
        <v>228</v>
      </c>
      <c r="R867" s="0" t="s">
        <v>5401</v>
      </c>
      <c r="S867" s="0" t="s">
        <v>228</v>
      </c>
      <c r="T867" s="0" t="s">
        <v>228</v>
      </c>
      <c r="U867" s="0" t="s">
        <v>101</v>
      </c>
      <c r="V867" s="0" t="s">
        <v>228</v>
      </c>
      <c r="W867" s="0" t="s">
        <v>228</v>
      </c>
      <c r="X867" s="0" t="s">
        <v>3661</v>
      </c>
      <c r="Y867" s="0" t="s">
        <v>228</v>
      </c>
      <c r="Z867" s="0" t="s">
        <v>151</v>
      </c>
      <c r="AA867" s="0" t="s">
        <v>151</v>
      </c>
      <c r="AB867" s="0" t="s">
        <v>160</v>
      </c>
      <c r="AC867" s="0" t="s">
        <v>2715</v>
      </c>
      <c r="AD867" s="0" t="s">
        <v>2715</v>
      </c>
      <c r="AE867" s="0" t="s">
        <v>2716</v>
      </c>
      <c r="AF867" s="0" t="s">
        <v>3594</v>
      </c>
      <c r="AG867" s="0" t="s">
        <v>3595</v>
      </c>
      <c r="AH867" s="0" t="s">
        <v>5402</v>
      </c>
      <c r="AI867" s="0" t="s">
        <v>3608</v>
      </c>
      <c r="AJ867" s="0" t="s">
        <v>228</v>
      </c>
      <c r="AK867" s="0" t="s">
        <v>228</v>
      </c>
      <c r="AL867" s="0" t="s">
        <v>228</v>
      </c>
      <c r="AN867" s="0" t="s">
        <v>228</v>
      </c>
      <c r="AO867" s="0" t="s">
        <v>228</v>
      </c>
      <c r="AP867" s="0" t="s">
        <v>228</v>
      </c>
      <c r="AQ867" s="0" t="s">
        <v>228</v>
      </c>
      <c r="AR867" s="0" t="s">
        <v>228</v>
      </c>
      <c r="AS867" s="0" t="s">
        <v>228</v>
      </c>
      <c r="AT867" s="0" t="s">
        <v>228</v>
      </c>
      <c r="AU867" s="0" t="s">
        <v>228</v>
      </c>
      <c r="AV867" s="0" t="s">
        <v>228</v>
      </c>
      <c r="AW867" s="0" t="s">
        <v>228</v>
      </c>
      <c r="AX867" s="0" t="s">
        <v>228</v>
      </c>
      <c r="AY867" s="0" t="s">
        <v>228</v>
      </c>
      <c r="AZ867" s="0" t="s">
        <v>228</v>
      </c>
      <c r="BA867" s="0" t="s">
        <v>228</v>
      </c>
      <c r="BB867" s="0" t="s">
        <v>228</v>
      </c>
      <c r="BC867" s="0" t="s">
        <v>228</v>
      </c>
      <c r="BD867" s="0" t="s">
        <v>228</v>
      </c>
      <c r="BE867" s="0" t="s">
        <v>3793</v>
      </c>
      <c r="BF867" s="0" t="s">
        <v>5403</v>
      </c>
      <c r="BG867" s="0" t="s">
        <v>111</v>
      </c>
      <c r="BH867" s="0" t="s">
        <v>3665</v>
      </c>
      <c r="BI867" s="0" t="s">
        <v>122</v>
      </c>
      <c r="BJ867" s="0" t="s">
        <v>228</v>
      </c>
      <c r="BK867" s="0" t="s">
        <v>5404</v>
      </c>
      <c r="BL867" s="0" t="s">
        <v>2715</v>
      </c>
      <c r="BM867" s="0" t="s">
        <v>2715</v>
      </c>
      <c r="BN867" s="0" t="s">
        <v>3667</v>
      </c>
      <c r="BO867" s="0" t="s">
        <v>3594</v>
      </c>
      <c r="BP867" s="0" t="s">
        <v>3668</v>
      </c>
      <c r="BQ867" s="0" t="s">
        <v>5402</v>
      </c>
      <c r="BR867" s="0" t="s">
        <v>3608</v>
      </c>
      <c r="BS867" s="0" t="s">
        <v>228</v>
      </c>
      <c r="BT867" s="0" t="s">
        <v>3670</v>
      </c>
      <c r="CS867" s="0" t="s">
        <v>5396</v>
      </c>
      <c r="CT867" s="0" t="s">
        <v>3568</v>
      </c>
      <c r="CU867" s="0" t="s">
        <v>3569</v>
      </c>
      <c r="CV867" s="0" t="s">
        <v>418</v>
      </c>
      <c r="CW867" s="0" t="s">
        <v>3602</v>
      </c>
      <c r="CX867" s="0" t="s">
        <v>419</v>
      </c>
      <c r="CY867" s="0" t="s">
        <v>418</v>
      </c>
      <c r="CZ867" s="0" t="s">
        <v>504</v>
      </c>
      <c r="DA867" s="0" t="s">
        <v>3604</v>
      </c>
      <c r="DB867" s="0" t="s">
        <v>3602</v>
      </c>
      <c r="DC867" s="0" t="s">
        <v>362</v>
      </c>
      <c r="DD867" s="0" t="s">
        <v>282</v>
      </c>
      <c r="DE867" s="0" t="s">
        <v>5405</v>
      </c>
    </row>
    <row customHeight="1" ht="11.25">
      <c r="A868" s="1353" t="s">
        <v>228</v>
      </c>
      <c r="B868" s="0" t="s">
        <v>228</v>
      </c>
      <c r="C868" s="0" t="s">
        <v>228</v>
      </c>
      <c r="D868" s="0" t="s">
        <v>228</v>
      </c>
      <c r="E868" s="0" t="s">
        <v>228</v>
      </c>
      <c r="F868" s="0" t="s">
        <v>228</v>
      </c>
      <c r="G868" s="0" t="s">
        <v>228</v>
      </c>
      <c r="H868" s="0" t="s">
        <v>228</v>
      </c>
      <c r="I868" s="0" t="s">
        <v>5119</v>
      </c>
      <c r="J868" s="0" t="s">
        <v>228</v>
      </c>
      <c r="K868" s="0" t="s">
        <v>228</v>
      </c>
      <c r="L868" s="0" t="s">
        <v>228</v>
      </c>
      <c r="M868" s="0" t="s">
        <v>228</v>
      </c>
      <c r="N868" s="0" t="s">
        <v>228</v>
      </c>
      <c r="O868" s="0" t="s">
        <v>228</v>
      </c>
      <c r="P868" s="0" t="s">
        <v>228</v>
      </c>
      <c r="Q868" s="0" t="s">
        <v>228</v>
      </c>
      <c r="R868" s="0" t="s">
        <v>5229</v>
      </c>
      <c r="S868" s="0" t="s">
        <v>228</v>
      </c>
      <c r="T868" s="0" t="s">
        <v>228</v>
      </c>
      <c r="U868" s="0" t="s">
        <v>101</v>
      </c>
      <c r="V868" s="0" t="s">
        <v>228</v>
      </c>
      <c r="W868" s="0" t="s">
        <v>228</v>
      </c>
      <c r="X868" s="0" t="s">
        <v>5121</v>
      </c>
      <c r="Y868" s="0" t="s">
        <v>228</v>
      </c>
      <c r="Z868" s="0" t="s">
        <v>160</v>
      </c>
      <c r="AA868" s="0" t="s">
        <v>151</v>
      </c>
      <c r="AB868" s="0" t="s">
        <v>151</v>
      </c>
      <c r="AC868" s="0" t="s">
        <v>2290</v>
      </c>
      <c r="AD868" s="0" t="s">
        <v>2290</v>
      </c>
      <c r="AE868" s="0" t="s">
        <v>2292</v>
      </c>
      <c r="AF868" s="0" t="s">
        <v>4912</v>
      </c>
      <c r="AG868" s="0" t="s">
        <v>4913</v>
      </c>
      <c r="AH868" s="0" t="s">
        <v>5230</v>
      </c>
      <c r="AI868" s="0" t="s">
        <v>3608</v>
      </c>
      <c r="AJ868" s="0" t="s">
        <v>5231</v>
      </c>
      <c r="AK868" s="0" t="s">
        <v>5232</v>
      </c>
      <c r="AL868" s="0" t="s">
        <v>5125</v>
      </c>
      <c r="AN868" s="0" t="s">
        <v>3582</v>
      </c>
      <c r="AO868" s="0" t="s">
        <v>5233</v>
      </c>
      <c r="AP868" s="0" t="s">
        <v>228</v>
      </c>
      <c r="AQ868" s="0" t="s">
        <v>228</v>
      </c>
      <c r="AR868" s="0" t="s">
        <v>228</v>
      </c>
      <c r="AS868" s="0" t="s">
        <v>228</v>
      </c>
      <c r="AT868" s="0" t="s">
        <v>228</v>
      </c>
      <c r="AU868" s="0" t="s">
        <v>228</v>
      </c>
      <c r="AV868" s="0" t="s">
        <v>228</v>
      </c>
      <c r="AW868" s="0" t="s">
        <v>228</v>
      </c>
      <c r="AX868" s="0" t="s">
        <v>228</v>
      </c>
      <c r="AY868" s="0" t="s">
        <v>228</v>
      </c>
      <c r="AZ868" s="0" t="s">
        <v>228</v>
      </c>
      <c r="BA868" s="0" t="s">
        <v>228</v>
      </c>
      <c r="BB868" s="0" t="s">
        <v>228</v>
      </c>
      <c r="BC868" s="0" t="s">
        <v>228</v>
      </c>
      <c r="BD868" s="0" t="s">
        <v>228</v>
      </c>
      <c r="BE868" s="0" t="s">
        <v>228</v>
      </c>
      <c r="BF868" s="0" t="s">
        <v>228</v>
      </c>
      <c r="BG868" s="0" t="s">
        <v>228</v>
      </c>
      <c r="BH868" s="0" t="s">
        <v>228</v>
      </c>
      <c r="BI868" s="0" t="s">
        <v>228</v>
      </c>
      <c r="BJ868" s="0" t="s">
        <v>228</v>
      </c>
      <c r="BK868" s="0" t="s">
        <v>228</v>
      </c>
      <c r="BL868" s="0" t="s">
        <v>228</v>
      </c>
      <c r="BM868" s="0" t="s">
        <v>228</v>
      </c>
      <c r="BN868" s="0" t="s">
        <v>228</v>
      </c>
      <c r="BO868" s="0" t="s">
        <v>228</v>
      </c>
      <c r="BP868" s="0" t="s">
        <v>228</v>
      </c>
      <c r="BQ868" s="0" t="s">
        <v>228</v>
      </c>
      <c r="BR868" s="0" t="s">
        <v>228</v>
      </c>
      <c r="BS868" s="0" t="s">
        <v>228</v>
      </c>
      <c r="BT868" s="0" t="s">
        <v>228</v>
      </c>
      <c r="CS868" s="0" t="s">
        <v>228</v>
      </c>
      <c r="CT868" s="0" t="s">
        <v>3568</v>
      </c>
      <c r="CU868" s="0" t="s">
        <v>3569</v>
      </c>
      <c r="CV868" s="0" t="s">
        <v>418</v>
      </c>
      <c r="CW868" s="0" t="s">
        <v>4924</v>
      </c>
      <c r="CX868" s="0" t="s">
        <v>419</v>
      </c>
      <c r="CY868" s="0" t="s">
        <v>418</v>
      </c>
      <c r="CZ868" s="0" t="s">
        <v>319</v>
      </c>
      <c r="DA868" s="0" t="s">
        <v>420</v>
      </c>
      <c r="DB868" s="0" t="s">
        <v>4924</v>
      </c>
      <c r="DC868" s="0" t="s">
        <v>362</v>
      </c>
      <c r="DD868" s="0" t="s">
        <v>282</v>
      </c>
      <c r="DE868" s="0" t="s">
        <v>5234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9EA3F8-8628-B4F8-6AA8-29DB25CCCF91}" mc:Ignorable="x14ac xr xr2 xr3">
  <sheetPr>
    <tabColor rgb="FFFFCC99"/>
  </sheetPr>
  <dimension ref="A1:A1"/>
  <sheetViews>
    <sheetView topLeftCell="A1" showGridLines="0" workbookViewId="0">
      <selection activeCell="A1" sqref="A1"/>
    </sheetView>
  </sheetViews>
  <sheetFormatPr customHeight="1" defaultRowHeight="11.25"/>
  <cols>
    <col min="1" max="1" style="1353" width="89.7109375" customWidth="1"/>
  </cols>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113CCF-6222-F418-4434-9EB62A074E18}" mc:Ignorable="x14ac xr xr2 xr3">
  <sheetPr>
    <tabColor theme="0"/>
  </sheetPr>
  <dimension ref="A1:AE54"/>
  <sheetViews>
    <sheetView topLeftCell="AA21" showGridLines="0" workbookViewId="0">
      <selection activeCell="AA21" sqref="AA21"/>
    </sheetView>
  </sheetViews>
  <sheetFormatPr defaultColWidth="9.140625" customHeight="1" defaultRowHeight="12.75"/>
  <cols>
    <col min="1" max="1" style="287" width="8.00390625" hidden="1" customWidth="1"/>
    <col min="2" max="2" style="416" width="14.28125" hidden="1" customWidth="1"/>
    <col min="3" max="4" style="287" width="3.57421875" hidden="1" customWidth="1"/>
    <col min="5" max="5" style="595" width="4.7109375" hidden="1" customWidth="1"/>
    <col min="6" max="26" style="287" width="3.57421875" hidden="1" customWidth="1"/>
    <col min="27" max="27" style="287" width="3.7109375" customWidth="1"/>
    <col min="28" max="28" style="287" width="11.7109375" customWidth="1"/>
    <col min="29" max="29" style="287" width="32.8515625" customWidth="1"/>
    <col min="30" max="30" style="287" width="133.57421875" customWidth="1"/>
    <col min="31" max="31" style="287" width="9.140625"/>
  </cols>
  <sheetData>
    <row customHeight="1" ht="11.25" hidden="1">
      <c r="E1" s="287"/>
    </row>
    <row s="416" customFormat="1" customHeight="1" ht="11.25" hidden="1">
      <c r="B2" s="418" t="s">
        <v>18</v>
      </c>
    </row>
    <row customHeight="1" ht="11.25" hidden="1">
      <c r="E3" s="287"/>
    </row>
    <row customHeight="1" ht="11.25" hidden="1">
      <c r="E4" s="287"/>
    </row>
    <row s="595" customFormat="1" customHeight="1" ht="11.25" hidden="1">
      <c r="A5" s="287"/>
      <c r="B5" s="416"/>
      <c r="C5" s="287"/>
      <c r="D5" s="287"/>
      <c r="E5" s="594" t="s">
        <v>19</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2.75">
      <c r="AA21" s="397"/>
    </row>
    <row customHeight="1" ht="24.75">
      <c r="AB22" s="288" t="s">
        <v>28</v>
      </c>
      <c r="AC22" s="289"/>
      <c r="AD22" s="289"/>
    </row>
    <row customHeight="1" ht="16.5">
      <c r="AB23" s="293" t="s">
        <v>29</v>
      </c>
    </row>
    <row customHeight="1" ht="27.056250000000002">
      <c r="B24" s="418" t="b">
        <v>1</v>
      </c>
      <c r="E24" s="595">
        <v>27.75</v>
      </c>
      <c r="AB24" s="290" t="s">
        <v>30</v>
      </c>
      <c r="AC24" s="291" t="s">
        <v>31</v>
      </c>
      <c r="AD24" s="292" t="s">
        <v>32</v>
      </c>
    </row>
    <row customHeight="1" ht="27.056250000000002">
      <c r="B25" s="418" t="b">
        <v>1</v>
      </c>
      <c r="E25" s="595">
        <v>27.75</v>
      </c>
      <c r="AB25" s="290" t="s">
        <v>30</v>
      </c>
      <c r="AC25" s="291" t="s">
        <v>33</v>
      </c>
      <c r="AD25" s="292" t="s">
        <v>34</v>
      </c>
    </row>
    <row customHeight="1" ht="27.056250000000002">
      <c r="B26" s="418" t="b">
        <v>1</v>
      </c>
      <c r="E26" s="595">
        <v>27.75</v>
      </c>
      <c r="AB26" s="290" t="s">
        <v>30</v>
      </c>
      <c r="AC26" s="291" t="s">
        <v>35</v>
      </c>
      <c r="AD26" s="292" t="s">
        <v>36</v>
      </c>
    </row>
    <row customHeight="1" ht="27.056250000000002">
      <c r="B27" s="418" t="b">
        <v>1</v>
      </c>
      <c r="E27" s="595">
        <v>27.75</v>
      </c>
      <c r="AB27" s="290" t="s">
        <v>30</v>
      </c>
      <c r="AC27" s="291" t="s">
        <v>37</v>
      </c>
      <c r="AD27" s="292" t="s">
        <v>38</v>
      </c>
    </row>
    <row customHeight="1" ht="27.056250000000002" hidden="1">
      <c r="A28" s="287"/>
      <c r="B28" s="418">
        <f>NOT(method_reg="Метод сравнения аналогов")</f>
        <v>0</v>
      </c>
      <c r="C28" s="287"/>
      <c r="D28" s="287"/>
      <c r="E28" s="595">
        <v>27.75</v>
      </c>
      <c r="F28" s="287"/>
      <c r="G28" s="287"/>
      <c r="H28" s="287"/>
      <c r="I28" s="287"/>
      <c r="J28" s="287"/>
      <c r="K28" s="287"/>
      <c r="L28" s="287"/>
      <c r="M28" s="287"/>
      <c r="N28" s="287"/>
      <c r="O28" s="287"/>
      <c r="P28" s="287"/>
      <c r="Q28" s="287"/>
      <c r="R28" s="287"/>
      <c r="S28" s="287"/>
      <c r="T28" s="287"/>
      <c r="U28" s="287"/>
      <c r="V28" s="287"/>
      <c r="W28" s="287"/>
      <c r="X28" s="287"/>
      <c r="Y28" s="287"/>
      <c r="Z28" s="287"/>
      <c r="AA28" s="287"/>
      <c r="AB28" s="290" t="s">
        <v>39</v>
      </c>
      <c r="AC28" s="291" t="s">
        <v>40</v>
      </c>
      <c r="AD28" s="292" t="s">
        <v>41</v>
      </c>
      <c r="AE28" s="287"/>
    </row>
    <row s="1353" customFormat="1" customHeight="1" ht="27.056250000000002" hidden="1">
      <c r="A29" s="287"/>
      <c r="B29" s="419">
        <f>method_reg="Метод индексации"</f>
        <v>0</v>
      </c>
      <c r="C29" s="287"/>
      <c r="D29" s="287"/>
      <c r="E29" s="595">
        <v>27.75</v>
      </c>
      <c r="F29" s="287"/>
      <c r="G29" s="287"/>
      <c r="H29" s="287"/>
      <c r="I29" s="287"/>
      <c r="J29" s="287"/>
      <c r="K29" s="287"/>
      <c r="L29" s="287"/>
      <c r="M29" s="287"/>
      <c r="N29" s="287"/>
      <c r="O29" s="287"/>
      <c r="P29" s="287"/>
      <c r="Q29" s="287"/>
      <c r="R29" s="287"/>
      <c r="S29" s="287"/>
      <c r="T29" s="287"/>
      <c r="U29" s="287"/>
      <c r="V29" s="287"/>
      <c r="W29" s="287"/>
      <c r="X29" s="287"/>
      <c r="Y29" s="287"/>
      <c r="Z29" s="287"/>
      <c r="AA29" s="287"/>
      <c r="AB29" s="290" t="s">
        <v>39</v>
      </c>
      <c r="AC29" s="291" t="s">
        <v>42</v>
      </c>
      <c r="AD29" s="292" t="s">
        <v>43</v>
      </c>
      <c r="AE29" s="287"/>
    </row>
    <row customHeight="1" ht="27.056250000000002">
      <c r="B30" s="418" t="b">
        <v>1</v>
      </c>
      <c r="E30" s="595">
        <v>27.75</v>
      </c>
      <c r="AB30" s="290" t="s">
        <v>30</v>
      </c>
      <c r="AC30" s="291" t="s">
        <v>44</v>
      </c>
      <c r="AD30" s="292" t="s">
        <v>45</v>
      </c>
    </row>
    <row customHeight="1" ht="27.056250000000002">
      <c r="A31" s="287"/>
      <c r="B31" s="418">
        <f>OR(method_reg="Метод индексации",method_reg="Метод сравнения аналогов")</f>
        <v>1</v>
      </c>
      <c r="C31" s="287"/>
      <c r="D31" s="287"/>
      <c r="E31" s="595">
        <v>27.75</v>
      </c>
      <c r="F31" s="287"/>
      <c r="G31" s="287"/>
      <c r="H31" s="287"/>
      <c r="I31" s="287"/>
      <c r="J31" s="287"/>
      <c r="K31" s="287"/>
      <c r="L31" s="287"/>
      <c r="M31" s="287"/>
      <c r="N31" s="287"/>
      <c r="O31" s="287"/>
      <c r="P31" s="287"/>
      <c r="Q31" s="287"/>
      <c r="R31" s="287"/>
      <c r="S31" s="287"/>
      <c r="T31" s="287"/>
      <c r="U31" s="287"/>
      <c r="V31" s="287"/>
      <c r="W31" s="287"/>
      <c r="X31" s="287"/>
      <c r="Y31" s="287"/>
      <c r="Z31" s="287"/>
      <c r="AA31" s="287"/>
      <c r="AB31" s="434" t="s">
        <v>30</v>
      </c>
      <c r="AC31" s="435" t="s">
        <v>46</v>
      </c>
      <c r="AD31" s="436" t="s">
        <v>47</v>
      </c>
      <c r="AE31" s="398"/>
    </row>
    <row customHeight="1" ht="27.056250000000002" hidden="1">
      <c r="A32" s="287"/>
      <c r="B32" s="418">
        <f>NOT(method_reg="Метод сравнения аналогов")</f>
        <v>0</v>
      </c>
      <c r="C32" s="287"/>
      <c r="D32" s="287"/>
      <c r="E32" s="595">
        <v>27.75</v>
      </c>
      <c r="F32" s="287"/>
      <c r="G32" s="287"/>
      <c r="H32" s="287"/>
      <c r="I32" s="287"/>
      <c r="J32" s="287"/>
      <c r="K32" s="287"/>
      <c r="L32" s="287"/>
      <c r="M32" s="287"/>
      <c r="N32" s="287"/>
      <c r="O32" s="287"/>
      <c r="P32" s="287"/>
      <c r="Q32" s="287"/>
      <c r="R32" s="287"/>
      <c r="S32" s="287"/>
      <c r="T32" s="287"/>
      <c r="U32" s="287"/>
      <c r="V32" s="287"/>
      <c r="W32" s="287"/>
      <c r="X32" s="287"/>
      <c r="Y32" s="287"/>
      <c r="Z32" s="287"/>
      <c r="AA32" s="287"/>
      <c r="AB32" s="290" t="s">
        <v>39</v>
      </c>
      <c r="AC32" s="291" t="s">
        <v>48</v>
      </c>
      <c r="AD32" s="292" t="s">
        <v>49</v>
      </c>
      <c r="AE32" s="287"/>
    </row>
    <row customHeight="1" ht="27.056250000000002" hidden="1">
      <c r="A33" s="287"/>
      <c r="B33" s="418">
        <f>NOT(method_reg="Метод сравнения аналогов")</f>
        <v>0</v>
      </c>
      <c r="C33" s="287"/>
      <c r="D33" s="287"/>
      <c r="E33" s="595">
        <v>27.75</v>
      </c>
      <c r="F33" s="287"/>
      <c r="G33" s="287"/>
      <c r="H33" s="287"/>
      <c r="I33" s="287"/>
      <c r="J33" s="287"/>
      <c r="K33" s="287"/>
      <c r="L33" s="287"/>
      <c r="M33" s="287"/>
      <c r="N33" s="287"/>
      <c r="O33" s="287"/>
      <c r="P33" s="287"/>
      <c r="Q33" s="287"/>
      <c r="R33" s="287"/>
      <c r="S33" s="287"/>
      <c r="T33" s="287"/>
      <c r="U33" s="287"/>
      <c r="V33" s="287"/>
      <c r="W33" s="287"/>
      <c r="X33" s="287"/>
      <c r="Y33" s="287"/>
      <c r="Z33" s="287"/>
      <c r="AA33" s="287"/>
      <c r="AB33" s="290" t="s">
        <v>39</v>
      </c>
      <c r="AC33" s="291" t="s">
        <v>50</v>
      </c>
      <c r="AD33" s="292" t="s">
        <v>51</v>
      </c>
      <c r="AE33" s="287"/>
    </row>
    <row customHeight="1" ht="27.056250000000002" hidden="1">
      <c r="A34" s="287"/>
      <c r="B34" s="418">
        <f>NOT(method_reg="Метод сравнения аналогов")</f>
        <v>0</v>
      </c>
      <c r="C34" s="287"/>
      <c r="D34" s="287"/>
      <c r="E34" s="595">
        <v>27.75</v>
      </c>
      <c r="F34" s="287"/>
      <c r="G34" s="287"/>
      <c r="H34" s="287"/>
      <c r="I34" s="287"/>
      <c r="J34" s="287"/>
      <c r="K34" s="287"/>
      <c r="L34" s="287"/>
      <c r="M34" s="287"/>
      <c r="N34" s="287"/>
      <c r="O34" s="287"/>
      <c r="P34" s="287"/>
      <c r="Q34" s="287"/>
      <c r="R34" s="287"/>
      <c r="S34" s="287"/>
      <c r="T34" s="287"/>
      <c r="U34" s="287"/>
      <c r="V34" s="287"/>
      <c r="W34" s="287"/>
      <c r="X34" s="287"/>
      <c r="Y34" s="287"/>
      <c r="Z34" s="287"/>
      <c r="AA34" s="287"/>
      <c r="AB34" s="290" t="s">
        <v>39</v>
      </c>
      <c r="AC34" s="291" t="s">
        <v>52</v>
      </c>
      <c r="AD34" s="292" t="s">
        <v>53</v>
      </c>
      <c r="AE34" s="287"/>
    </row>
    <row customHeight="1" ht="27.056250000000002">
      <c r="A35" s="287"/>
      <c r="B35" s="418">
        <f>method_reg="Метод сравнения аналогов"</f>
        <v>1</v>
      </c>
      <c r="C35" s="287"/>
      <c r="D35" s="287"/>
      <c r="E35" s="595">
        <v>27.75</v>
      </c>
      <c r="F35" s="287"/>
      <c r="G35" s="287"/>
      <c r="H35" s="287"/>
      <c r="I35" s="287"/>
      <c r="J35" s="287"/>
      <c r="K35" s="287"/>
      <c r="L35" s="287"/>
      <c r="M35" s="287"/>
      <c r="N35" s="287"/>
      <c r="O35" s="287"/>
      <c r="P35" s="287"/>
      <c r="Q35" s="287"/>
      <c r="R35" s="287"/>
      <c r="S35" s="287"/>
      <c r="T35" s="287"/>
      <c r="U35" s="287"/>
      <c r="V35" s="287"/>
      <c r="W35" s="287"/>
      <c r="X35" s="287"/>
      <c r="Y35" s="287"/>
      <c r="Z35" s="287"/>
      <c r="AA35" s="287"/>
      <c r="AB35" s="434" t="s">
        <v>30</v>
      </c>
      <c r="AC35" s="435" t="s">
        <v>54</v>
      </c>
      <c r="AD35" s="436" t="s">
        <v>55</v>
      </c>
      <c r="AE35" s="287"/>
    </row>
    <row customHeight="1" ht="27.056250000000002" hidden="1">
      <c r="A36" s="287"/>
      <c r="B36" s="418">
        <f>NOT(method_reg="Метод сравнения аналогов")</f>
        <v>0</v>
      </c>
      <c r="C36" s="287"/>
      <c r="D36" s="287"/>
      <c r="E36" s="595">
        <v>27.75</v>
      </c>
      <c r="F36" s="287"/>
      <c r="G36" s="287"/>
      <c r="H36" s="287"/>
      <c r="I36" s="287"/>
      <c r="J36" s="287"/>
      <c r="K36" s="287"/>
      <c r="L36" s="287"/>
      <c r="M36" s="287"/>
      <c r="N36" s="287"/>
      <c r="O36" s="287"/>
      <c r="P36" s="287"/>
      <c r="Q36" s="287"/>
      <c r="R36" s="287"/>
      <c r="S36" s="287"/>
      <c r="T36" s="287"/>
      <c r="U36" s="287"/>
      <c r="V36" s="287"/>
      <c r="W36" s="287"/>
      <c r="X36" s="287"/>
      <c r="Y36" s="287"/>
      <c r="Z36" s="287"/>
      <c r="AA36" s="287"/>
      <c r="AB36" s="290" t="s">
        <v>39</v>
      </c>
      <c r="AC36" s="291" t="s">
        <v>56</v>
      </c>
      <c r="AD36" s="292" t="s">
        <v>57</v>
      </c>
      <c r="AE36" s="287"/>
    </row>
    <row customHeight="1" ht="27.056250000000002" hidden="1">
      <c r="A37" s="287"/>
      <c r="B37" s="418">
        <f>NOT(method_reg="Метод сравнения аналогов")</f>
        <v>0</v>
      </c>
      <c r="C37" s="287"/>
      <c r="D37" s="287"/>
      <c r="E37" s="595">
        <v>27.75</v>
      </c>
      <c r="F37" s="287"/>
      <c r="G37" s="287"/>
      <c r="H37" s="287"/>
      <c r="I37" s="287"/>
      <c r="J37" s="287"/>
      <c r="K37" s="287"/>
      <c r="L37" s="287"/>
      <c r="M37" s="287"/>
      <c r="N37" s="287"/>
      <c r="O37" s="287"/>
      <c r="P37" s="287"/>
      <c r="Q37" s="287"/>
      <c r="R37" s="287"/>
      <c r="S37" s="287"/>
      <c r="T37" s="287"/>
      <c r="U37" s="287"/>
      <c r="V37" s="287"/>
      <c r="W37" s="287"/>
      <c r="X37" s="287"/>
      <c r="Y37" s="287"/>
      <c r="Z37" s="287"/>
      <c r="AA37" s="287"/>
      <c r="AB37" s="290" t="s">
        <v>39</v>
      </c>
      <c r="AC37" s="291" t="s">
        <v>58</v>
      </c>
      <c r="AD37" s="292" t="s">
        <v>59</v>
      </c>
      <c r="AE37" s="287"/>
    </row>
    <row customHeight="1" ht="27.056250000000002" hidden="1">
      <c r="A38" s="287"/>
      <c r="B38" s="418">
        <f>AND(OR(god=first_year,method_reg="Метод обеспечения доходности инвестированного капитала"),NOT(method_reg="Метод сравнения аналогов"))</f>
        <v>0</v>
      </c>
      <c r="C38" s="287"/>
      <c r="D38" s="287"/>
      <c r="E38" s="595">
        <v>27.75</v>
      </c>
      <c r="F38" s="287"/>
      <c r="G38" s="287"/>
      <c r="H38" s="287"/>
      <c r="I38" s="287"/>
      <c r="J38" s="287"/>
      <c r="K38" s="287"/>
      <c r="L38" s="287"/>
      <c r="M38" s="287"/>
      <c r="N38" s="287"/>
      <c r="O38" s="287"/>
      <c r="P38" s="287"/>
      <c r="Q38" s="287"/>
      <c r="R38" s="287"/>
      <c r="S38" s="287"/>
      <c r="T38" s="287"/>
      <c r="U38" s="287"/>
      <c r="V38" s="287"/>
      <c r="W38" s="287"/>
      <c r="X38" s="287"/>
      <c r="Y38" s="287"/>
      <c r="Z38" s="287"/>
      <c r="AA38" s="287"/>
      <c r="AB38" s="290" t="s">
        <v>39</v>
      </c>
      <c r="AC38" s="291" t="s">
        <v>60</v>
      </c>
      <c r="AD38" s="323" t="s">
        <v>61</v>
      </c>
      <c r="AE38" s="287"/>
    </row>
    <row customHeight="1" ht="27.056250000000002" hidden="1">
      <c r="A39" s="287"/>
      <c r="B39" s="418">
        <f>AND(OR(god=first_year,method_reg="Метод обеспечения доходности инвестированного капитала"),NOT(method_reg="Метод сравнения аналогов"))</f>
        <v>0</v>
      </c>
      <c r="C39" s="287"/>
      <c r="D39" s="287"/>
      <c r="E39" s="595">
        <v>27.75</v>
      </c>
      <c r="F39" s="287"/>
      <c r="G39" s="287"/>
      <c r="H39" s="287"/>
      <c r="I39" s="287"/>
      <c r="J39" s="287"/>
      <c r="K39" s="287"/>
      <c r="L39" s="287"/>
      <c r="M39" s="287"/>
      <c r="N39" s="287"/>
      <c r="O39" s="287"/>
      <c r="P39" s="287"/>
      <c r="Q39" s="287"/>
      <c r="R39" s="287"/>
      <c r="S39" s="287"/>
      <c r="T39" s="287"/>
      <c r="U39" s="287"/>
      <c r="V39" s="287"/>
      <c r="W39" s="287"/>
      <c r="X39" s="287"/>
      <c r="Y39" s="287"/>
      <c r="Z39" s="287"/>
      <c r="AA39" s="287"/>
      <c r="AB39" s="290" t="s">
        <v>39</v>
      </c>
      <c r="AC39" s="291" t="s">
        <v>62</v>
      </c>
      <c r="AD39" s="323" t="s">
        <v>63</v>
      </c>
      <c r="AE39" s="287"/>
    </row>
    <row customHeight="1" ht="27.056250000000002" hidden="1">
      <c r="A40" s="287"/>
      <c r="B40" s="418">
        <f>AND(OR(god=first_year,method_reg="Метод обеспечения доходности инвестированного капитала"),NOT(method_reg="Метод сравнения аналогов"),STATUS_GO="да")</f>
        <v>0</v>
      </c>
      <c r="C40" s="287"/>
      <c r="D40" s="287"/>
      <c r="E40" s="595">
        <v>27.75</v>
      </c>
      <c r="F40" s="287"/>
      <c r="G40" s="287"/>
      <c r="H40" s="287"/>
      <c r="I40" s="287"/>
      <c r="J40" s="287"/>
      <c r="K40" s="287"/>
      <c r="L40" s="287"/>
      <c r="M40" s="287"/>
      <c r="N40" s="287"/>
      <c r="O40" s="287"/>
      <c r="P40" s="287"/>
      <c r="Q40" s="287"/>
      <c r="R40" s="287"/>
      <c r="S40" s="287"/>
      <c r="T40" s="287"/>
      <c r="U40" s="287"/>
      <c r="V40" s="287"/>
      <c r="W40" s="287"/>
      <c r="X40" s="287"/>
      <c r="Y40" s="287"/>
      <c r="Z40" s="287"/>
      <c r="AA40" s="287"/>
      <c r="AB40" s="290" t="s">
        <v>39</v>
      </c>
      <c r="AC40" s="291" t="s">
        <v>64</v>
      </c>
      <c r="AD40" s="323" t="s">
        <v>65</v>
      </c>
      <c r="AE40" s="287"/>
    </row>
    <row customHeight="1" ht="27.056250000000002" hidden="1">
      <c r="A41" s="287"/>
      <c r="B41" s="418">
        <f>NOT(method_reg="Метод сравнения аналогов")</f>
        <v>0</v>
      </c>
      <c r="C41" s="287"/>
      <c r="D41" s="287"/>
      <c r="E41" s="595">
        <v>27.75</v>
      </c>
      <c r="F41" s="287"/>
      <c r="G41" s="287"/>
      <c r="H41" s="287"/>
      <c r="I41" s="287"/>
      <c r="J41" s="287"/>
      <c r="K41" s="287"/>
      <c r="L41" s="287"/>
      <c r="M41" s="287"/>
      <c r="N41" s="287"/>
      <c r="O41" s="287"/>
      <c r="P41" s="287"/>
      <c r="Q41" s="287"/>
      <c r="R41" s="287"/>
      <c r="S41" s="287"/>
      <c r="T41" s="287"/>
      <c r="U41" s="287"/>
      <c r="V41" s="287"/>
      <c r="W41" s="287"/>
      <c r="X41" s="287"/>
      <c r="Y41" s="287"/>
      <c r="Z41" s="287"/>
      <c r="AA41" s="287"/>
      <c r="AB41" s="290" t="s">
        <v>39</v>
      </c>
      <c r="AC41" s="291" t="s">
        <v>66</v>
      </c>
      <c r="AD41" s="292" t="s">
        <v>67</v>
      </c>
      <c r="AE41" s="287"/>
    </row>
    <row customHeight="1" ht="27.056250000000002" hidden="1">
      <c r="A42" s="287"/>
      <c r="B42" s="418">
        <f>AND(method_reg&lt;&gt;"Метод сравнения аналогов",OR(HAS_DOC5="да",HAS_DOC6="да"))</f>
        <v>0</v>
      </c>
      <c r="C42" s="287"/>
      <c r="D42" s="287"/>
      <c r="E42" s="595">
        <v>27.75</v>
      </c>
      <c r="F42" s="287"/>
      <c r="G42" s="287"/>
      <c r="H42" s="287"/>
      <c r="I42" s="287"/>
      <c r="J42" s="287"/>
      <c r="K42" s="287"/>
      <c r="L42" s="287"/>
      <c r="M42" s="287"/>
      <c r="N42" s="287"/>
      <c r="O42" s="287"/>
      <c r="P42" s="287"/>
      <c r="Q42" s="287"/>
      <c r="R42" s="287"/>
      <c r="S42" s="287"/>
      <c r="T42" s="287"/>
      <c r="U42" s="287"/>
      <c r="V42" s="287"/>
      <c r="W42" s="287"/>
      <c r="X42" s="287"/>
      <c r="Y42" s="287"/>
      <c r="Z42" s="287"/>
      <c r="AA42" s="287"/>
      <c r="AB42" s="290" t="s">
        <v>39</v>
      </c>
      <c r="AC42" s="291" t="s">
        <v>68</v>
      </c>
      <c r="AD42" s="292" t="s">
        <v>69</v>
      </c>
      <c r="AE42" s="287"/>
    </row>
    <row customHeight="1" ht="27.056250000000002" hidden="1">
      <c r="A43" s="287"/>
      <c r="B43" s="418">
        <f>AND(NOT(method_reg="Метод экономически обоснованных расходов"),NOT(method_reg="Метод сравнения аналогов"))</f>
        <v>0</v>
      </c>
      <c r="C43" s="287"/>
      <c r="D43" s="287"/>
      <c r="E43" s="595">
        <v>27.75</v>
      </c>
      <c r="F43" s="287"/>
      <c r="G43" s="287"/>
      <c r="H43" s="287"/>
      <c r="I43" s="287"/>
      <c r="J43" s="287"/>
      <c r="K43" s="287"/>
      <c r="L43" s="287"/>
      <c r="M43" s="287"/>
      <c r="N43" s="287"/>
      <c r="O43" s="287"/>
      <c r="P43" s="287"/>
      <c r="Q43" s="287"/>
      <c r="R43" s="287"/>
      <c r="S43" s="287"/>
      <c r="T43" s="287"/>
      <c r="U43" s="287"/>
      <c r="V43" s="287"/>
      <c r="W43" s="287"/>
      <c r="X43" s="287"/>
      <c r="Y43" s="287"/>
      <c r="Z43" s="287"/>
      <c r="AA43" s="287"/>
      <c r="AB43" s="290" t="s">
        <v>39</v>
      </c>
      <c r="AC43" s="291" t="s">
        <v>70</v>
      </c>
      <c r="AD43" s="292" t="s">
        <v>71</v>
      </c>
      <c r="AE43" s="287"/>
    </row>
    <row customHeight="1" ht="27.056250000000002" hidden="1">
      <c r="A44" s="287"/>
      <c r="B44" s="418">
        <f>AND(NOT(method_reg="Метод сравнения аналогов"),hasVO)</f>
        <v>0</v>
      </c>
      <c r="C44" s="287"/>
      <c r="D44" s="287"/>
      <c r="E44" s="595">
        <v>27.75</v>
      </c>
      <c r="F44" s="287"/>
      <c r="G44" s="287"/>
      <c r="H44" s="287"/>
      <c r="I44" s="287"/>
      <c r="J44" s="287"/>
      <c r="K44" s="287"/>
      <c r="L44" s="287"/>
      <c r="M44" s="287"/>
      <c r="N44" s="287"/>
      <c r="O44" s="287"/>
      <c r="P44" s="287"/>
      <c r="Q44" s="287"/>
      <c r="R44" s="287"/>
      <c r="S44" s="287"/>
      <c r="T44" s="287"/>
      <c r="U44" s="287"/>
      <c r="V44" s="287"/>
      <c r="W44" s="287"/>
      <c r="X44" s="287"/>
      <c r="Y44" s="287"/>
      <c r="Z44" s="287"/>
      <c r="AA44" s="287"/>
      <c r="AB44" s="290" t="s">
        <v>39</v>
      </c>
      <c r="AC44" s="291" t="s">
        <v>72</v>
      </c>
      <c r="AD44" s="292" t="s">
        <v>73</v>
      </c>
      <c r="AE44" s="287"/>
    </row>
    <row customHeight="1" ht="27.056250000000002" hidden="1">
      <c r="A45" s="287"/>
      <c r="B45" s="418">
        <f>AND(NOT(method_reg="Метод экономически обоснованных расходов"),NOT(method_reg="Метод сравнения аналогов"))</f>
        <v>0</v>
      </c>
      <c r="C45" s="287"/>
      <c r="D45" s="287"/>
      <c r="E45" s="595">
        <v>27.75</v>
      </c>
      <c r="F45" s="287"/>
      <c r="G45" s="287"/>
      <c r="H45" s="287"/>
      <c r="I45" s="287"/>
      <c r="J45" s="287"/>
      <c r="K45" s="287"/>
      <c r="L45" s="287"/>
      <c r="M45" s="287"/>
      <c r="N45" s="287"/>
      <c r="O45" s="287"/>
      <c r="P45" s="287"/>
      <c r="Q45" s="287"/>
      <c r="R45" s="287"/>
      <c r="S45" s="287"/>
      <c r="T45" s="287"/>
      <c r="U45" s="287"/>
      <c r="V45" s="287"/>
      <c r="W45" s="287"/>
      <c r="X45" s="287"/>
      <c r="Y45" s="287"/>
      <c r="Z45" s="287"/>
      <c r="AA45" s="287"/>
      <c r="AB45" s="290" t="s">
        <v>39</v>
      </c>
      <c r="AC45" s="291" t="s">
        <v>74</v>
      </c>
      <c r="AD45" s="292" t="s">
        <v>75</v>
      </c>
      <c r="AE45" s="287"/>
    </row>
    <row customHeight="1" ht="27.056250000000002" hidden="1">
      <c r="A46" s="287"/>
      <c r="B46" s="418">
        <f>method_reg="Метод экономически обоснованных расходов"</f>
        <v>0</v>
      </c>
      <c r="C46" s="287"/>
      <c r="D46" s="287"/>
      <c r="E46" s="595">
        <v>27.75</v>
      </c>
      <c r="F46" s="287"/>
      <c r="G46" s="287"/>
      <c r="H46" s="287"/>
      <c r="I46" s="287"/>
      <c r="J46" s="287"/>
      <c r="K46" s="287"/>
      <c r="L46" s="287"/>
      <c r="M46" s="287"/>
      <c r="N46" s="287"/>
      <c r="O46" s="287"/>
      <c r="P46" s="287"/>
      <c r="Q46" s="287"/>
      <c r="R46" s="287"/>
      <c r="S46" s="287"/>
      <c r="T46" s="287"/>
      <c r="U46" s="287"/>
      <c r="V46" s="287"/>
      <c r="W46" s="287"/>
      <c r="X46" s="287"/>
      <c r="Y46" s="287"/>
      <c r="Z46" s="287"/>
      <c r="AA46" s="287"/>
      <c r="AB46" s="290" t="s">
        <v>39</v>
      </c>
      <c r="AC46" s="291" t="s">
        <v>76</v>
      </c>
      <c r="AD46" s="292" t="s">
        <v>77</v>
      </c>
      <c r="AE46" s="287"/>
    </row>
    <row customHeight="1" ht="27.056250000000002" hidden="1">
      <c r="A47" s="287"/>
      <c r="B47" s="418">
        <f>AND(first_year=god,OR(method_reg="Метод обеспечения доходности инвестированного капитала",method_reg="Метод индексации"))</f>
        <v>0</v>
      </c>
      <c r="C47" s="287"/>
      <c r="D47" s="287"/>
      <c r="E47" s="595">
        <v>27.75</v>
      </c>
      <c r="F47" s="287"/>
      <c r="G47" s="287"/>
      <c r="H47" s="287"/>
      <c r="I47" s="287"/>
      <c r="J47" s="287"/>
      <c r="K47" s="287"/>
      <c r="L47" s="287"/>
      <c r="M47" s="287"/>
      <c r="N47" s="287"/>
      <c r="O47" s="287"/>
      <c r="P47" s="287"/>
      <c r="Q47" s="287"/>
      <c r="R47" s="287"/>
      <c r="S47" s="287"/>
      <c r="T47" s="287"/>
      <c r="U47" s="287"/>
      <c r="V47" s="287"/>
      <c r="W47" s="287"/>
      <c r="X47" s="287"/>
      <c r="Y47" s="287"/>
      <c r="Z47" s="287"/>
      <c r="AA47" s="287"/>
      <c r="AB47" s="290" t="s">
        <v>39</v>
      </c>
      <c r="AC47" s="291" t="s">
        <v>78</v>
      </c>
      <c r="AD47" s="292" t="s">
        <v>79</v>
      </c>
      <c r="AE47" s="287"/>
    </row>
    <row customHeight="1" ht="27.105" hidden="1">
      <c r="A48" s="287"/>
      <c r="B48" s="473">
        <f>AND(OR(method_reg="Метод индексации",method_reg="Метод обеспечения доходности инвестированного капитала"),first_year&lt;&gt;god)</f>
        <v>0</v>
      </c>
      <c r="C48" s="287"/>
      <c r="D48" s="287"/>
      <c r="E48" s="595">
        <v>27.8</v>
      </c>
      <c r="F48" s="287"/>
      <c r="G48" s="287"/>
      <c r="H48" s="287"/>
      <c r="I48" s="287"/>
      <c r="J48" s="287"/>
      <c r="K48" s="287"/>
      <c r="L48" s="287"/>
      <c r="M48" s="287"/>
      <c r="N48" s="287"/>
      <c r="O48" s="287"/>
      <c r="P48" s="287"/>
      <c r="Q48" s="287"/>
      <c r="R48" s="287"/>
      <c r="S48" s="287"/>
      <c r="T48" s="287"/>
      <c r="U48" s="287"/>
      <c r="V48" s="287"/>
      <c r="W48" s="287"/>
      <c r="X48" s="287"/>
      <c r="Y48" s="287"/>
      <c r="Z48" s="287"/>
      <c r="AA48" s="287"/>
      <c r="AB48" s="290" t="s">
        <v>39</v>
      </c>
      <c r="AC48" s="291" t="s">
        <v>80</v>
      </c>
      <c r="AD48" s="292" t="s">
        <v>79</v>
      </c>
      <c r="AE48" s="287"/>
    </row>
    <row customHeight="1" ht="27.056250000000002" hidden="1">
      <c r="A49" s="287"/>
      <c r="B49" s="418">
        <f>NOT(method_reg="Метод сравнения аналогов")</f>
        <v>0</v>
      </c>
      <c r="C49" s="287"/>
      <c r="D49" s="287"/>
      <c r="E49" s="595">
        <v>27.75</v>
      </c>
      <c r="F49" s="287"/>
      <c r="G49" s="287"/>
      <c r="H49" s="287"/>
      <c r="I49" s="287"/>
      <c r="J49" s="287"/>
      <c r="K49" s="287"/>
      <c r="L49" s="287"/>
      <c r="M49" s="287"/>
      <c r="N49" s="287"/>
      <c r="O49" s="287"/>
      <c r="P49" s="287"/>
      <c r="Q49" s="287"/>
      <c r="R49" s="287"/>
      <c r="S49" s="287"/>
      <c r="T49" s="287"/>
      <c r="U49" s="287"/>
      <c r="V49" s="287"/>
      <c r="W49" s="287"/>
      <c r="X49" s="287"/>
      <c r="Y49" s="287"/>
      <c r="Z49" s="287"/>
      <c r="AA49" s="287"/>
      <c r="AB49" s="290" t="s">
        <v>39</v>
      </c>
      <c r="AC49" s="291" t="s">
        <v>81</v>
      </c>
      <c r="AD49" s="292" t="s">
        <v>82</v>
      </c>
      <c r="AE49" s="287"/>
    </row>
    <row customHeight="1" ht="27.056250000000002" hidden="1">
      <c r="A50" s="287"/>
      <c r="B50" s="418">
        <f>OR(method_reg="Метод индексации",method_reg="Метод обеспечения доходности инвестированного капитала")</f>
        <v>0</v>
      </c>
      <c r="C50" s="287"/>
      <c r="D50" s="287"/>
      <c r="E50" s="595">
        <v>27.75</v>
      </c>
      <c r="F50" s="287"/>
      <c r="G50" s="287"/>
      <c r="H50" s="287"/>
      <c r="I50" s="287"/>
      <c r="J50" s="287"/>
      <c r="K50" s="287"/>
      <c r="L50" s="287"/>
      <c r="M50" s="287"/>
      <c r="N50" s="287"/>
      <c r="O50" s="287"/>
      <c r="P50" s="287"/>
      <c r="Q50" s="287"/>
      <c r="R50" s="287"/>
      <c r="S50" s="287"/>
      <c r="T50" s="287"/>
      <c r="U50" s="287"/>
      <c r="V50" s="287"/>
      <c r="W50" s="287"/>
      <c r="X50" s="287"/>
      <c r="Y50" s="287"/>
      <c r="Z50" s="287"/>
      <c r="AA50" s="287"/>
      <c r="AB50" s="290" t="s">
        <v>39</v>
      </c>
      <c r="AC50" s="291" t="s">
        <v>83</v>
      </c>
      <c r="AD50" s="292" t="s">
        <v>84</v>
      </c>
      <c r="AE50" s="287"/>
    </row>
    <row customHeight="1" ht="27.056250000000002" hidden="1">
      <c r="A51" s="287"/>
      <c r="B51" s="418">
        <f>OR(method_reg="Метод индексации",method_reg="Метод обеспечения доходности инвестированного капитала")</f>
        <v>0</v>
      </c>
      <c r="C51" s="287"/>
      <c r="D51" s="287"/>
      <c r="E51" s="595">
        <v>27.75</v>
      </c>
      <c r="F51" s="287"/>
      <c r="G51" s="287"/>
      <c r="H51" s="287"/>
      <c r="I51" s="287"/>
      <c r="J51" s="287"/>
      <c r="K51" s="287"/>
      <c r="L51" s="287"/>
      <c r="M51" s="287"/>
      <c r="N51" s="287"/>
      <c r="O51" s="287"/>
      <c r="P51" s="287"/>
      <c r="Q51" s="287"/>
      <c r="R51" s="287"/>
      <c r="S51" s="287"/>
      <c r="T51" s="287"/>
      <c r="U51" s="287"/>
      <c r="V51" s="287"/>
      <c r="W51" s="287"/>
      <c r="X51" s="287"/>
      <c r="Y51" s="287"/>
      <c r="Z51" s="287"/>
      <c r="AA51" s="287"/>
      <c r="AB51" s="290" t="s">
        <v>39</v>
      </c>
      <c r="AC51" s="291" t="s">
        <v>85</v>
      </c>
      <c r="AD51" s="292" t="s">
        <v>86</v>
      </c>
      <c r="AE51" s="287"/>
    </row>
    <row customHeight="1" ht="27.056250000000002">
      <c r="A52" s="287"/>
      <c r="B52" s="418">
        <f>OR(method_reg="Метод сравнения аналогов",AND(method_reg="Метод индексации",STATUS_GO="да"))</f>
        <v>1</v>
      </c>
      <c r="C52" s="287"/>
      <c r="D52" s="287"/>
      <c r="E52" s="595">
        <v>27.75</v>
      </c>
      <c r="F52" s="287"/>
      <c r="G52" s="287"/>
      <c r="H52" s="287"/>
      <c r="I52" s="287"/>
      <c r="J52" s="287"/>
      <c r="K52" s="287"/>
      <c r="L52" s="287"/>
      <c r="M52" s="287"/>
      <c r="N52" s="287"/>
      <c r="O52" s="287"/>
      <c r="P52" s="287"/>
      <c r="Q52" s="287"/>
      <c r="R52" s="287"/>
      <c r="S52" s="287"/>
      <c r="T52" s="287"/>
      <c r="U52" s="287"/>
      <c r="V52" s="287"/>
      <c r="W52" s="287"/>
      <c r="X52" s="287"/>
      <c r="Y52" s="287"/>
      <c r="Z52" s="287"/>
      <c r="AA52" s="287"/>
      <c r="AB52" s="434" t="s">
        <v>30</v>
      </c>
      <c r="AC52" s="435" t="s">
        <v>87</v>
      </c>
      <c r="AD52" s="436" t="s">
        <v>88</v>
      </c>
      <c r="AE52" s="287"/>
    </row>
    <row customHeight="1" ht="27.056250000000002">
      <c r="A53" s="287"/>
      <c r="B53" s="418">
        <f>method_reg="Метод сравнения аналогов"</f>
        <v>1</v>
      </c>
      <c r="C53" s="287"/>
      <c r="D53" s="287"/>
      <c r="E53" s="595">
        <v>27.75</v>
      </c>
      <c r="F53" s="287"/>
      <c r="G53" s="287"/>
      <c r="H53" s="287"/>
      <c r="I53" s="287"/>
      <c r="J53" s="287"/>
      <c r="K53" s="287"/>
      <c r="L53" s="287"/>
      <c r="M53" s="287"/>
      <c r="N53" s="287"/>
      <c r="O53" s="287"/>
      <c r="P53" s="287"/>
      <c r="Q53" s="287"/>
      <c r="R53" s="287"/>
      <c r="S53" s="287"/>
      <c r="T53" s="287"/>
      <c r="U53" s="287"/>
      <c r="V53" s="287"/>
      <c r="W53" s="287"/>
      <c r="X53" s="287"/>
      <c r="Y53" s="287"/>
      <c r="Z53" s="287"/>
      <c r="AA53" s="287"/>
      <c r="AB53" s="434" t="s">
        <v>30</v>
      </c>
      <c r="AC53" s="435" t="s">
        <v>89</v>
      </c>
      <c r="AD53" s="437" t="s">
        <v>90</v>
      </c>
      <c r="AE53" s="287"/>
    </row>
    <row customHeight="1" ht="12.75">
      <c r="AE54" s="398"/>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4BF718-4E9F-F1B1-0A3C-00F1430CF918}" mc:Ignorable="x14ac xr xr2 xr3">
  <sheetPr>
    <tabColor rgb="FFFFCC99"/>
  </sheetPr>
  <dimension ref="A1:W38"/>
  <sheetViews>
    <sheetView topLeftCell="A1" showGridLines="0" workbookViewId="0">
      <selection activeCell="A1" sqref="A1"/>
    </sheetView>
  </sheetViews>
  <sheetFormatPr customHeight="1" defaultRowHeight="11.25"/>
  <sheetData>
    <row customHeight="1" ht="11.25">
      <c r="A1" s="0" t="s">
        <v>5577</v>
      </c>
      <c r="B1" s="0" t="s">
        <v>3471</v>
      </c>
      <c r="C1" s="0" t="s">
        <v>5578</v>
      </c>
      <c r="D1" s="0" t="s">
        <v>5579</v>
      </c>
      <c r="E1" s="0" t="s">
        <v>5580</v>
      </c>
      <c r="F1" s="0" t="s">
        <v>5581</v>
      </c>
      <c r="G1" s="0" t="s">
        <v>5582</v>
      </c>
      <c r="H1" s="0" t="s">
        <v>5583</v>
      </c>
      <c r="I1" s="0" t="s">
        <v>5584</v>
      </c>
      <c r="J1" s="0" t="s">
        <v>5585</v>
      </c>
      <c r="K1" s="0" t="s">
        <v>5586</v>
      </c>
      <c r="L1" s="0" t="s">
        <v>5587</v>
      </c>
      <c r="M1" s="0" t="s">
        <v>5588</v>
      </c>
      <c r="N1" s="0" t="s">
        <v>5589</v>
      </c>
      <c r="O1" s="0" t="s">
        <v>5590</v>
      </c>
      <c r="P1" s="0" t="s">
        <v>5591</v>
      </c>
      <c r="Q1" s="0" t="s">
        <v>5592</v>
      </c>
      <c r="R1" s="0" t="s">
        <v>5593</v>
      </c>
      <c r="S1" s="0" t="s">
        <v>5594</v>
      </c>
      <c r="T1" s="0" t="s">
        <v>5595</v>
      </c>
      <c r="U1" s="0" t="s">
        <v>5596</v>
      </c>
      <c r="V1" s="0" t="s">
        <v>5597</v>
      </c>
      <c r="W1" s="0" t="s">
        <v>5598</v>
      </c>
    </row>
    <row customHeight="1" ht="11.25">
      <c r="A2" s="0" t="s">
        <v>5599</v>
      </c>
      <c r="B2" s="0">
        <v>8889790118</v>
      </c>
      <c r="C2" s="0" t="s">
        <v>5600</v>
      </c>
      <c r="D2" s="0" t="s">
        <v>5601</v>
      </c>
      <c r="E2" s="0" t="s">
        <v>272</v>
      </c>
      <c r="F2" s="0" t="s">
        <v>5602</v>
      </c>
      <c r="G2" s="0" t="s">
        <v>5603</v>
      </c>
      <c r="I2" s="0" t="s">
        <v>5604</v>
      </c>
      <c r="J2" s="0" t="s">
        <v>5605</v>
      </c>
      <c r="K2" s="0" t="s">
        <v>5606</v>
      </c>
      <c r="L2" s="0" t="s">
        <v>5607</v>
      </c>
      <c r="M2" s="0" t="s">
        <v>5608</v>
      </c>
      <c r="N2" s="0" t="s">
        <v>5609</v>
      </c>
      <c r="O2" s="0">
        <v>86</v>
      </c>
      <c r="P2" s="0">
        <v>96.3200002454</v>
      </c>
      <c r="U2" s="0" t="s">
        <v>5610</v>
      </c>
      <c r="V2" s="0" t="s">
        <v>5611</v>
      </c>
      <c r="W2" s="0" t="s">
        <v>5612</v>
      </c>
    </row>
    <row customHeight="1" ht="11.25">
      <c r="A3" s="0" t="s">
        <v>5613</v>
      </c>
      <c r="B3" s="0">
        <v>8889802048</v>
      </c>
      <c r="C3" s="0" t="s">
        <v>5600</v>
      </c>
      <c r="D3" s="0" t="s">
        <v>5614</v>
      </c>
      <c r="E3" s="0" t="s">
        <v>272</v>
      </c>
      <c r="F3" s="0" t="s">
        <v>5615</v>
      </c>
      <c r="G3" s="0" t="s">
        <v>5616</v>
      </c>
      <c r="I3" s="0" t="s">
        <v>5617</v>
      </c>
      <c r="J3" s="0" t="s">
        <v>5605</v>
      </c>
      <c r="K3" s="0" t="s">
        <v>5618</v>
      </c>
      <c r="L3" s="0" t="s">
        <v>5607</v>
      </c>
      <c r="M3" s="0" t="s">
        <v>5619</v>
      </c>
      <c r="N3" s="0" t="s">
        <v>5620</v>
      </c>
      <c r="O3" s="0">
        <v>11.1703</v>
      </c>
      <c r="P3" s="0">
        <v>12.4949695563</v>
      </c>
      <c r="U3" s="0" t="s">
        <v>5610</v>
      </c>
      <c r="V3" s="0" t="s">
        <v>5621</v>
      </c>
      <c r="W3" s="0" t="s">
        <v>5622</v>
      </c>
    </row>
    <row customHeight="1" ht="11.25">
      <c r="A4" s="0" t="s">
        <v>5623</v>
      </c>
      <c r="B4" s="0">
        <v>8889802048</v>
      </c>
      <c r="C4" s="0" t="s">
        <v>5600</v>
      </c>
      <c r="D4" s="0" t="s">
        <v>5601</v>
      </c>
      <c r="E4" s="0" t="s">
        <v>272</v>
      </c>
      <c r="F4" s="0" t="s">
        <v>5602</v>
      </c>
      <c r="G4" s="0" t="s">
        <v>5603</v>
      </c>
      <c r="I4" s="0" t="s">
        <v>5617</v>
      </c>
      <c r="J4" s="0" t="s">
        <v>5605</v>
      </c>
      <c r="K4" s="0" t="s">
        <v>5618</v>
      </c>
      <c r="L4" s="0" t="s">
        <v>5607</v>
      </c>
      <c r="M4" s="0" t="s">
        <v>5619</v>
      </c>
      <c r="N4" s="0" t="s">
        <v>5620</v>
      </c>
      <c r="O4" s="0">
        <v>76.52</v>
      </c>
      <c r="P4" s="0">
        <v>85.7199984734</v>
      </c>
      <c r="U4" s="0" t="s">
        <v>5610</v>
      </c>
      <c r="V4" s="0" t="s">
        <v>5624</v>
      </c>
      <c r="W4" s="0" t="s">
        <v>5625</v>
      </c>
    </row>
    <row customHeight="1" ht="11.25">
      <c r="A5" s="0" t="s">
        <v>5626</v>
      </c>
      <c r="B5" s="0">
        <v>8889775409</v>
      </c>
      <c r="C5" s="0" t="s">
        <v>5600</v>
      </c>
      <c r="D5" s="0" t="s">
        <v>5601</v>
      </c>
      <c r="E5" s="0" t="s">
        <v>272</v>
      </c>
      <c r="F5" s="0" t="s">
        <v>5627</v>
      </c>
      <c r="G5" s="0" t="s">
        <v>5603</v>
      </c>
      <c r="I5" s="0" t="s">
        <v>5628</v>
      </c>
      <c r="J5" s="0" t="s">
        <v>5629</v>
      </c>
      <c r="K5" s="0" t="s">
        <v>5630</v>
      </c>
      <c r="L5" s="0" t="s">
        <v>5631</v>
      </c>
      <c r="M5" s="0" t="s">
        <v>5608</v>
      </c>
      <c r="O5" s="0">
        <v>588.128902002</v>
      </c>
      <c r="P5" s="0">
        <v>658.7099731992</v>
      </c>
      <c r="U5" s="0" t="s">
        <v>5610</v>
      </c>
      <c r="V5" s="0" t="s">
        <v>5632</v>
      </c>
      <c r="W5" s="0" t="s">
        <v>5633</v>
      </c>
    </row>
    <row customHeight="1" ht="11.25">
      <c r="A6" s="0" t="s">
        <v>5634</v>
      </c>
      <c r="B6" s="0">
        <v>8741439337</v>
      </c>
      <c r="C6" s="0" t="s">
        <v>5635</v>
      </c>
      <c r="D6" s="0" t="s">
        <v>5601</v>
      </c>
      <c r="E6" s="0" t="s">
        <v>272</v>
      </c>
      <c r="F6" s="0" t="s">
        <v>5627</v>
      </c>
      <c r="G6" s="0" t="s">
        <v>5603</v>
      </c>
      <c r="I6" s="0" t="s">
        <v>5628</v>
      </c>
      <c r="J6" s="0" t="s">
        <v>5629</v>
      </c>
      <c r="K6" s="0" t="s">
        <v>5630</v>
      </c>
      <c r="L6" s="0" t="s">
        <v>5631</v>
      </c>
      <c r="M6" s="0" t="s">
        <v>5636</v>
      </c>
      <c r="O6" s="0">
        <v>588.13</v>
      </c>
      <c r="P6" s="0">
        <v>588.13</v>
      </c>
      <c r="U6" s="0" t="s">
        <v>5610</v>
      </c>
      <c r="V6" s="0" t="s">
        <v>5632</v>
      </c>
      <c r="W6" s="0" t="s">
        <v>5632</v>
      </c>
    </row>
    <row customHeight="1" ht="11.25">
      <c r="A7" s="0" t="s">
        <v>5637</v>
      </c>
      <c r="B7" s="0">
        <v>8283781529</v>
      </c>
      <c r="C7" s="0" t="s">
        <v>5635</v>
      </c>
      <c r="D7" s="0" t="s">
        <v>5614</v>
      </c>
      <c r="E7" s="0" t="s">
        <v>272</v>
      </c>
      <c r="F7" s="0" t="s">
        <v>5615</v>
      </c>
      <c r="G7" s="0" t="s">
        <v>5616</v>
      </c>
      <c r="I7" s="0" t="s">
        <v>5638</v>
      </c>
      <c r="J7" s="0" t="s">
        <v>5639</v>
      </c>
      <c r="K7" s="0" t="s">
        <v>5640</v>
      </c>
      <c r="L7" s="0" t="s">
        <v>5607</v>
      </c>
      <c r="M7" s="0" t="s">
        <v>5641</v>
      </c>
      <c r="N7" s="0" t="s">
        <v>5609</v>
      </c>
      <c r="O7" s="0">
        <v>20.77</v>
      </c>
      <c r="P7" s="0">
        <v>20.77</v>
      </c>
      <c r="U7" s="0" t="s">
        <v>5610</v>
      </c>
      <c r="V7" s="0" t="s">
        <v>5642</v>
      </c>
      <c r="W7" s="0" t="s">
        <v>5642</v>
      </c>
    </row>
    <row customHeight="1" ht="11.25">
      <c r="A8" s="0" t="s">
        <v>5643</v>
      </c>
      <c r="B8" s="0">
        <v>8283781529</v>
      </c>
      <c r="C8" s="0" t="s">
        <v>5635</v>
      </c>
      <c r="D8" s="0" t="s">
        <v>5601</v>
      </c>
      <c r="E8" s="0" t="s">
        <v>272</v>
      </c>
      <c r="F8" s="0" t="s">
        <v>5602</v>
      </c>
      <c r="G8" s="0" t="s">
        <v>5603</v>
      </c>
      <c r="I8" s="0" t="s">
        <v>5638</v>
      </c>
      <c r="J8" s="0" t="s">
        <v>5639</v>
      </c>
      <c r="K8" s="0" t="s">
        <v>5640</v>
      </c>
      <c r="L8" s="0" t="s">
        <v>5607</v>
      </c>
      <c r="M8" s="0" t="s">
        <v>5641</v>
      </c>
      <c r="N8" s="0" t="s">
        <v>5609</v>
      </c>
      <c r="O8" s="0">
        <v>68.92</v>
      </c>
      <c r="P8" s="0">
        <v>75.8120002675</v>
      </c>
      <c r="U8" s="0" t="s">
        <v>5610</v>
      </c>
      <c r="V8" s="0" t="s">
        <v>5644</v>
      </c>
      <c r="W8" s="0" t="s">
        <v>5645</v>
      </c>
    </row>
    <row customHeight="1" ht="11.25">
      <c r="A9" s="0" t="s">
        <v>5646</v>
      </c>
      <c r="B9" s="0">
        <v>8281093491</v>
      </c>
      <c r="C9" s="0" t="s">
        <v>5635</v>
      </c>
      <c r="D9" s="0" t="s">
        <v>5614</v>
      </c>
      <c r="E9" s="0" t="s">
        <v>272</v>
      </c>
      <c r="F9" s="0" t="s">
        <v>5615</v>
      </c>
      <c r="G9" s="0" t="s">
        <v>5616</v>
      </c>
      <c r="I9" s="0" t="s">
        <v>5647</v>
      </c>
      <c r="J9" s="0" t="s">
        <v>5639</v>
      </c>
      <c r="K9" s="0" t="s">
        <v>5648</v>
      </c>
      <c r="L9" s="0" t="s">
        <v>5607</v>
      </c>
      <c r="M9" s="0" t="s">
        <v>5641</v>
      </c>
      <c r="N9" s="0" t="s">
        <v>5609</v>
      </c>
      <c r="O9" s="0">
        <v>9.97</v>
      </c>
      <c r="P9" s="0">
        <v>11.1708261401</v>
      </c>
      <c r="U9" s="0" t="s">
        <v>5610</v>
      </c>
      <c r="V9" s="0" t="s">
        <v>5649</v>
      </c>
      <c r="W9" s="0" t="s">
        <v>5621</v>
      </c>
    </row>
    <row customHeight="1" ht="11.25">
      <c r="A10" s="0" t="s">
        <v>5650</v>
      </c>
      <c r="B10" s="0">
        <v>8281093491</v>
      </c>
      <c r="C10" s="0" t="s">
        <v>5635</v>
      </c>
      <c r="D10" s="0" t="s">
        <v>5601</v>
      </c>
      <c r="E10" s="0" t="s">
        <v>272</v>
      </c>
      <c r="F10" s="0" t="s">
        <v>5602</v>
      </c>
      <c r="G10" s="0" t="s">
        <v>5603</v>
      </c>
      <c r="I10" s="0" t="s">
        <v>5647</v>
      </c>
      <c r="J10" s="0" t="s">
        <v>5639</v>
      </c>
      <c r="K10" s="0" t="s">
        <v>5648</v>
      </c>
      <c r="L10" s="0" t="s">
        <v>5607</v>
      </c>
      <c r="M10" s="0" t="s">
        <v>5641</v>
      </c>
      <c r="N10" s="0" t="s">
        <v>5609</v>
      </c>
      <c r="O10" s="0">
        <v>68.32</v>
      </c>
      <c r="P10" s="0">
        <v>76.520001431</v>
      </c>
      <c r="U10" s="0" t="s">
        <v>5610</v>
      </c>
      <c r="V10" s="0" t="s">
        <v>5651</v>
      </c>
      <c r="W10" s="0" t="s">
        <v>5624</v>
      </c>
    </row>
    <row customHeight="1" ht="11.25">
      <c r="A11" s="0" t="s">
        <v>5652</v>
      </c>
      <c r="B11" s="0">
        <v>8281100189</v>
      </c>
      <c r="C11" s="0" t="s">
        <v>5635</v>
      </c>
      <c r="D11" s="0" t="s">
        <v>5601</v>
      </c>
      <c r="E11" s="0" t="s">
        <v>272</v>
      </c>
      <c r="F11" s="0" t="s">
        <v>5602</v>
      </c>
      <c r="G11" s="0" t="s">
        <v>5603</v>
      </c>
      <c r="I11" s="0" t="s">
        <v>5653</v>
      </c>
      <c r="J11" s="0" t="s">
        <v>5654</v>
      </c>
      <c r="K11" s="0" t="s">
        <v>5655</v>
      </c>
      <c r="L11" s="0" t="s">
        <v>5607</v>
      </c>
      <c r="M11" s="0" t="s">
        <v>5656</v>
      </c>
      <c r="N11" s="0" t="s">
        <v>5620</v>
      </c>
      <c r="O11" s="0">
        <v>76.79</v>
      </c>
      <c r="P11" s="0">
        <v>85.9999903931</v>
      </c>
      <c r="U11" s="0" t="s">
        <v>5610</v>
      </c>
      <c r="V11" s="0" t="s">
        <v>5657</v>
      </c>
      <c r="W11" s="0" t="s">
        <v>5611</v>
      </c>
    </row>
    <row customHeight="1" ht="11.25">
      <c r="A12" s="0" t="s">
        <v>5658</v>
      </c>
      <c r="B12" s="0">
        <v>8283786466</v>
      </c>
      <c r="C12" s="0" t="s">
        <v>5635</v>
      </c>
      <c r="D12" s="0" t="s">
        <v>5601</v>
      </c>
      <c r="E12" s="0" t="s">
        <v>272</v>
      </c>
      <c r="F12" s="0" t="s">
        <v>5602</v>
      </c>
      <c r="G12" s="0" t="s">
        <v>5603</v>
      </c>
      <c r="I12" s="0" t="s">
        <v>5659</v>
      </c>
      <c r="J12" s="0" t="s">
        <v>5654</v>
      </c>
      <c r="K12" s="0" t="s">
        <v>5660</v>
      </c>
      <c r="L12" s="0" t="s">
        <v>5607</v>
      </c>
      <c r="M12" s="0" t="s">
        <v>5661</v>
      </c>
      <c r="N12" s="0" t="s">
        <v>5662</v>
      </c>
      <c r="O12" s="0">
        <v>53.23</v>
      </c>
      <c r="P12" s="0">
        <v>58.5560491817</v>
      </c>
      <c r="U12" s="0" t="s">
        <v>5610</v>
      </c>
      <c r="V12" s="0" t="s">
        <v>5663</v>
      </c>
      <c r="W12" s="0" t="s">
        <v>5664</v>
      </c>
    </row>
    <row customHeight="1" ht="11.25">
      <c r="A13" s="0" t="s">
        <v>5665</v>
      </c>
      <c r="B13" s="0">
        <v>7621683766</v>
      </c>
      <c r="C13" s="0" t="s">
        <v>5641</v>
      </c>
      <c r="D13" s="0" t="s">
        <v>5601</v>
      </c>
      <c r="E13" s="0" t="s">
        <v>272</v>
      </c>
      <c r="F13" s="0" t="s">
        <v>5627</v>
      </c>
      <c r="G13" s="0" t="s">
        <v>5603</v>
      </c>
      <c r="O13" s="0">
        <v>459.34</v>
      </c>
      <c r="P13" s="0">
        <v>523.14</v>
      </c>
      <c r="U13" s="0" t="s">
        <v>5610</v>
      </c>
      <c r="V13" s="0" t="s">
        <v>5666</v>
      </c>
      <c r="W13" s="0" t="s">
        <v>5667</v>
      </c>
    </row>
    <row customHeight="1" ht="11.25">
      <c r="A14" s="0" t="s">
        <v>5668</v>
      </c>
      <c r="B14" s="0">
        <v>7616419566</v>
      </c>
      <c r="C14" s="0" t="s">
        <v>5641</v>
      </c>
      <c r="D14" s="0" t="s">
        <v>5601</v>
      </c>
      <c r="E14" s="0" t="s">
        <v>272</v>
      </c>
      <c r="F14" s="0" t="s">
        <v>5627</v>
      </c>
      <c r="G14" s="0" t="s">
        <v>5603</v>
      </c>
      <c r="O14" s="0">
        <v>467.26</v>
      </c>
      <c r="P14" s="0">
        <v>565.7169230769</v>
      </c>
      <c r="U14" s="0" t="s">
        <v>5610</v>
      </c>
      <c r="V14" s="0" t="s">
        <v>5669</v>
      </c>
      <c r="W14" s="0" t="s">
        <v>5670</v>
      </c>
    </row>
    <row customHeight="1" ht="11.25">
      <c r="A15" s="0" t="s">
        <v>5671</v>
      </c>
      <c r="B15" s="0">
        <v>7616175878</v>
      </c>
      <c r="C15" s="0" t="s">
        <v>5641</v>
      </c>
      <c r="D15" s="0" t="s">
        <v>5614</v>
      </c>
      <c r="E15" s="0" t="s">
        <v>272</v>
      </c>
      <c r="F15" s="0" t="s">
        <v>5615</v>
      </c>
      <c r="G15" s="0" t="s">
        <v>5616</v>
      </c>
      <c r="L15" s="0" t="s">
        <v>5607</v>
      </c>
      <c r="M15" s="0" t="s">
        <v>5641</v>
      </c>
      <c r="N15" s="0" t="s">
        <v>5609</v>
      </c>
      <c r="O15" s="0">
        <v>5.74</v>
      </c>
      <c r="P15" s="0">
        <v>22.070926949</v>
      </c>
      <c r="U15" s="0" t="s">
        <v>5610</v>
      </c>
      <c r="V15" s="0" t="s">
        <v>5672</v>
      </c>
      <c r="W15" s="0" t="s">
        <v>5673</v>
      </c>
    </row>
    <row customHeight="1" ht="11.25">
      <c r="A16" s="0" t="s">
        <v>5674</v>
      </c>
      <c r="B16" s="0">
        <v>7616175878</v>
      </c>
      <c r="C16" s="0" t="s">
        <v>5641</v>
      </c>
      <c r="D16" s="0" t="s">
        <v>5601</v>
      </c>
      <c r="E16" s="0" t="s">
        <v>272</v>
      </c>
      <c r="F16" s="0" t="s">
        <v>5602</v>
      </c>
      <c r="G16" s="0" t="s">
        <v>5603</v>
      </c>
      <c r="L16" s="0" t="s">
        <v>5607</v>
      </c>
      <c r="M16" s="0" t="s">
        <v>5641</v>
      </c>
      <c r="N16" s="0" t="s">
        <v>5609</v>
      </c>
      <c r="O16" s="0">
        <v>62.88</v>
      </c>
      <c r="P16" s="0">
        <v>68.9200917838</v>
      </c>
      <c r="U16" s="0" t="s">
        <v>5610</v>
      </c>
      <c r="V16" s="0" t="s">
        <v>5675</v>
      </c>
      <c r="W16" s="0" t="s">
        <v>5644</v>
      </c>
    </row>
    <row customHeight="1" ht="11.25">
      <c r="A17" s="0" t="s">
        <v>5676</v>
      </c>
      <c r="B17" s="0">
        <v>8362886418</v>
      </c>
      <c r="C17" s="0" t="s">
        <v>5635</v>
      </c>
      <c r="D17" s="0" t="s">
        <v>5601</v>
      </c>
      <c r="E17" s="0" t="s">
        <v>272</v>
      </c>
      <c r="F17" s="0" t="s">
        <v>5602</v>
      </c>
      <c r="G17" s="0" t="s">
        <v>5603</v>
      </c>
      <c r="H17" s="0" t="s">
        <v>5677</v>
      </c>
      <c r="I17" s="0" t="s">
        <v>5678</v>
      </c>
      <c r="J17" s="0" t="s">
        <v>5654</v>
      </c>
      <c r="L17" s="0" t="s">
        <v>5607</v>
      </c>
      <c r="M17" s="0" t="s">
        <v>5641</v>
      </c>
      <c r="N17" s="0" t="s">
        <v>5609</v>
      </c>
      <c r="O17" s="0">
        <v>47.8</v>
      </c>
      <c r="P17" s="0">
        <v>53.5276145857</v>
      </c>
      <c r="U17" s="0" t="s">
        <v>5610</v>
      </c>
      <c r="V17" s="0" t="s">
        <v>5679</v>
      </c>
      <c r="W17" s="0" t="s">
        <v>5680</v>
      </c>
    </row>
    <row customHeight="1" ht="11.25">
      <c r="A18" s="0" t="s">
        <v>5681</v>
      </c>
      <c r="B18" s="0">
        <v>8295929637</v>
      </c>
      <c r="C18" s="0" t="s">
        <v>5641</v>
      </c>
      <c r="D18" s="0" t="s">
        <v>5601</v>
      </c>
      <c r="E18" s="0" t="s">
        <v>272</v>
      </c>
      <c r="F18" s="0" t="s">
        <v>5602</v>
      </c>
      <c r="G18" s="0" t="s">
        <v>5603</v>
      </c>
      <c r="I18" s="0" t="s">
        <v>5682</v>
      </c>
      <c r="J18" s="0" t="s">
        <v>5683</v>
      </c>
      <c r="K18" s="0" t="s">
        <v>5684</v>
      </c>
      <c r="L18" s="0" t="s">
        <v>5607</v>
      </c>
      <c r="M18" s="0" t="s">
        <v>5641</v>
      </c>
      <c r="N18" s="0" t="s">
        <v>5620</v>
      </c>
      <c r="O18" s="0">
        <v>53.91</v>
      </c>
      <c r="P18" s="0">
        <v>74.9431266135</v>
      </c>
      <c r="U18" s="0" t="s">
        <v>5610</v>
      </c>
      <c r="V18" s="0" t="s">
        <v>5685</v>
      </c>
      <c r="W18" s="0" t="s">
        <v>5686</v>
      </c>
    </row>
    <row customHeight="1" ht="11.25">
      <c r="A19" s="0" t="s">
        <v>5687</v>
      </c>
      <c r="B19" s="0">
        <v>7616361167</v>
      </c>
      <c r="C19" s="0" t="s">
        <v>5641</v>
      </c>
      <c r="D19" s="0" t="s">
        <v>5601</v>
      </c>
      <c r="E19" s="0" t="s">
        <v>272</v>
      </c>
      <c r="F19" s="0" t="s">
        <v>5602</v>
      </c>
      <c r="G19" s="0" t="s">
        <v>5603</v>
      </c>
      <c r="I19" s="0" t="s">
        <v>5688</v>
      </c>
      <c r="J19" s="0" t="s">
        <v>5689</v>
      </c>
      <c r="L19" s="0" t="s">
        <v>5607</v>
      </c>
      <c r="M19" s="0" t="s">
        <v>5641</v>
      </c>
      <c r="N19" s="0" t="s">
        <v>5609</v>
      </c>
      <c r="O19" s="0">
        <v>48.57</v>
      </c>
      <c r="P19" s="0">
        <v>53.2327204352</v>
      </c>
      <c r="U19" s="0" t="s">
        <v>5610</v>
      </c>
      <c r="V19" s="0" t="s">
        <v>5690</v>
      </c>
      <c r="W19" s="0" t="s">
        <v>5663</v>
      </c>
    </row>
    <row customHeight="1" ht="11.25">
      <c r="A20" s="0" t="s">
        <v>5691</v>
      </c>
      <c r="B20" s="0">
        <v>7616406782</v>
      </c>
      <c r="C20" s="0" t="s">
        <v>5641</v>
      </c>
      <c r="D20" s="0" t="s">
        <v>5614</v>
      </c>
      <c r="E20" s="0" t="s">
        <v>272</v>
      </c>
      <c r="F20" s="0" t="s">
        <v>5615</v>
      </c>
      <c r="G20" s="0" t="s">
        <v>5616</v>
      </c>
      <c r="I20" s="0" t="s">
        <v>5692</v>
      </c>
      <c r="J20" s="0" t="s">
        <v>5693</v>
      </c>
      <c r="K20" s="0" t="s">
        <v>5694</v>
      </c>
      <c r="L20" s="0" t="s">
        <v>5607</v>
      </c>
      <c r="M20" s="0" t="s">
        <v>5641</v>
      </c>
      <c r="N20" s="0" t="s">
        <v>5609</v>
      </c>
      <c r="O20" s="0">
        <v>9.29</v>
      </c>
      <c r="P20" s="0">
        <v>9.9704121312</v>
      </c>
      <c r="U20" s="0" t="s">
        <v>5610</v>
      </c>
      <c r="V20" s="0" t="s">
        <v>5695</v>
      </c>
      <c r="W20" s="0" t="s">
        <v>5649</v>
      </c>
    </row>
    <row customHeight="1" ht="11.25">
      <c r="A21" s="0" t="s">
        <v>5696</v>
      </c>
      <c r="B21" s="0">
        <v>7616406782</v>
      </c>
      <c r="C21" s="0" t="s">
        <v>5641</v>
      </c>
      <c r="D21" s="0" t="s">
        <v>5601</v>
      </c>
      <c r="E21" s="0" t="s">
        <v>272</v>
      </c>
      <c r="F21" s="0" t="s">
        <v>5602</v>
      </c>
      <c r="G21" s="0" t="s">
        <v>5603</v>
      </c>
      <c r="I21" s="0" t="s">
        <v>5692</v>
      </c>
      <c r="J21" s="0" t="s">
        <v>5693</v>
      </c>
      <c r="K21" s="0" t="s">
        <v>5694</v>
      </c>
      <c r="L21" s="0" t="s">
        <v>5607</v>
      </c>
      <c r="M21" s="0" t="s">
        <v>5641</v>
      </c>
      <c r="N21" s="0" t="s">
        <v>5609</v>
      </c>
      <c r="O21" s="0">
        <v>62.22</v>
      </c>
      <c r="P21" s="0">
        <v>68.3199926039</v>
      </c>
      <c r="U21" s="0" t="s">
        <v>5610</v>
      </c>
      <c r="V21" s="0" t="s">
        <v>5697</v>
      </c>
      <c r="W21" s="0" t="s">
        <v>5651</v>
      </c>
    </row>
    <row customHeight="1" ht="11.25">
      <c r="A22" s="0" t="s">
        <v>5698</v>
      </c>
      <c r="B22" s="0">
        <v>7616400173</v>
      </c>
      <c r="C22" s="0" t="s">
        <v>5641</v>
      </c>
      <c r="D22" s="0" t="s">
        <v>5601</v>
      </c>
      <c r="E22" s="0" t="s">
        <v>272</v>
      </c>
      <c r="F22" s="0" t="s">
        <v>5602</v>
      </c>
      <c r="G22" s="0" t="s">
        <v>5603</v>
      </c>
      <c r="L22" s="0" t="s">
        <v>5607</v>
      </c>
      <c r="M22" s="0" t="s">
        <v>5656</v>
      </c>
      <c r="N22" s="0" t="s">
        <v>5609</v>
      </c>
      <c r="O22" s="0">
        <v>66.77</v>
      </c>
      <c r="P22" s="0">
        <v>76.79000285</v>
      </c>
      <c r="U22" s="0" t="s">
        <v>5610</v>
      </c>
      <c r="V22" s="0" t="s">
        <v>5699</v>
      </c>
      <c r="W22" s="0" t="s">
        <v>5657</v>
      </c>
    </row>
    <row customHeight="1" ht="11.25">
      <c r="A23" s="0" t="s">
        <v>5700</v>
      </c>
      <c r="B23" s="0">
        <v>8889790118</v>
      </c>
      <c r="C23" s="0" t="s">
        <v>5600</v>
      </c>
      <c r="D23" s="0" t="s">
        <v>5701</v>
      </c>
      <c r="E23" s="0" t="s">
        <v>272</v>
      </c>
      <c r="F23" s="0" t="s">
        <v>5702</v>
      </c>
      <c r="G23" s="0" t="s">
        <v>284</v>
      </c>
      <c r="I23" s="0" t="s">
        <v>5604</v>
      </c>
      <c r="J23" s="0" t="s">
        <v>5605</v>
      </c>
      <c r="K23" s="0" t="s">
        <v>5606</v>
      </c>
      <c r="L23" s="0" t="s">
        <v>5607</v>
      </c>
      <c r="M23" s="0" t="s">
        <v>5608</v>
      </c>
      <c r="N23" s="0" t="s">
        <v>5609</v>
      </c>
      <c r="O23" s="0">
        <v>35.5</v>
      </c>
      <c r="P23" s="0">
        <v>39.7400001029</v>
      </c>
      <c r="U23" s="0" t="s">
        <v>5610</v>
      </c>
      <c r="V23" s="0" t="s">
        <v>5703</v>
      </c>
      <c r="W23" s="0" t="s">
        <v>5704</v>
      </c>
    </row>
    <row customHeight="1" ht="11.25">
      <c r="A24" s="0" t="s">
        <v>5705</v>
      </c>
      <c r="B24" s="0">
        <v>8889802048</v>
      </c>
      <c r="C24" s="0" t="s">
        <v>5600</v>
      </c>
      <c r="D24" s="0" t="s">
        <v>5701</v>
      </c>
      <c r="E24" s="0" t="s">
        <v>272</v>
      </c>
      <c r="F24" s="0" t="s">
        <v>5702</v>
      </c>
      <c r="G24" s="0" t="s">
        <v>284</v>
      </c>
      <c r="I24" s="0" t="s">
        <v>5617</v>
      </c>
      <c r="J24" s="0" t="s">
        <v>5605</v>
      </c>
      <c r="K24" s="0" t="s">
        <v>5618</v>
      </c>
      <c r="L24" s="0" t="s">
        <v>5607</v>
      </c>
      <c r="M24" s="0" t="s">
        <v>5619</v>
      </c>
      <c r="N24" s="0" t="s">
        <v>5620</v>
      </c>
      <c r="O24" s="0">
        <v>95.73</v>
      </c>
      <c r="P24" s="0">
        <v>107.2101012551</v>
      </c>
      <c r="U24" s="0" t="s">
        <v>5610</v>
      </c>
      <c r="V24" s="0" t="s">
        <v>5706</v>
      </c>
      <c r="W24" s="0" t="s">
        <v>5707</v>
      </c>
    </row>
    <row customHeight="1" ht="11.25">
      <c r="A25" s="0" t="s">
        <v>5708</v>
      </c>
      <c r="B25" s="0">
        <v>8283781529</v>
      </c>
      <c r="C25" s="0" t="s">
        <v>5635</v>
      </c>
      <c r="D25" s="0" t="s">
        <v>5701</v>
      </c>
      <c r="E25" s="0" t="s">
        <v>272</v>
      </c>
      <c r="F25" s="0" t="s">
        <v>5702</v>
      </c>
      <c r="G25" s="0" t="s">
        <v>284</v>
      </c>
      <c r="I25" s="0" t="s">
        <v>5638</v>
      </c>
      <c r="J25" s="0" t="s">
        <v>5639</v>
      </c>
      <c r="K25" s="0" t="s">
        <v>5640</v>
      </c>
      <c r="L25" s="0" t="s">
        <v>5607</v>
      </c>
      <c r="M25" s="0" t="s">
        <v>5641</v>
      </c>
      <c r="N25" s="0" t="s">
        <v>5609</v>
      </c>
      <c r="O25" s="0">
        <v>43.27</v>
      </c>
      <c r="P25" s="0">
        <v>47.5970121777</v>
      </c>
      <c r="U25" s="0" t="s">
        <v>5610</v>
      </c>
      <c r="V25" s="0" t="s">
        <v>5709</v>
      </c>
      <c r="W25" s="0" t="s">
        <v>5710</v>
      </c>
    </row>
    <row customHeight="1" ht="11.25">
      <c r="A26" s="0" t="s">
        <v>5711</v>
      </c>
      <c r="B26" s="0">
        <v>8281093491</v>
      </c>
      <c r="C26" s="0" t="s">
        <v>5635</v>
      </c>
      <c r="D26" s="0" t="s">
        <v>5701</v>
      </c>
      <c r="E26" s="0" t="s">
        <v>272</v>
      </c>
      <c r="F26" s="0" t="s">
        <v>5702</v>
      </c>
      <c r="G26" s="0" t="s">
        <v>284</v>
      </c>
      <c r="I26" s="0" t="s">
        <v>5647</v>
      </c>
      <c r="J26" s="0" t="s">
        <v>5639</v>
      </c>
      <c r="K26" s="0" t="s">
        <v>5648</v>
      </c>
      <c r="L26" s="0" t="s">
        <v>5607</v>
      </c>
      <c r="M26" s="0" t="s">
        <v>5641</v>
      </c>
      <c r="N26" s="0" t="s">
        <v>5609</v>
      </c>
      <c r="O26" s="0">
        <v>85.47</v>
      </c>
      <c r="P26" s="0">
        <v>95.7298615578</v>
      </c>
      <c r="U26" s="0" t="s">
        <v>5610</v>
      </c>
      <c r="V26" s="0" t="s">
        <v>5712</v>
      </c>
      <c r="W26" s="0" t="s">
        <v>5706</v>
      </c>
    </row>
    <row customHeight="1" ht="11.25">
      <c r="A27" s="0" t="s">
        <v>5713</v>
      </c>
      <c r="B27" s="0">
        <v>8281100189</v>
      </c>
      <c r="C27" s="0" t="s">
        <v>5635</v>
      </c>
      <c r="D27" s="0" t="s">
        <v>5701</v>
      </c>
      <c r="E27" s="0" t="s">
        <v>272</v>
      </c>
      <c r="F27" s="0" t="s">
        <v>5702</v>
      </c>
      <c r="G27" s="0" t="s">
        <v>284</v>
      </c>
      <c r="I27" s="0" t="s">
        <v>5653</v>
      </c>
      <c r="J27" s="0" t="s">
        <v>5654</v>
      </c>
      <c r="K27" s="0" t="s">
        <v>5655</v>
      </c>
      <c r="L27" s="0" t="s">
        <v>5607</v>
      </c>
      <c r="M27" s="0" t="s">
        <v>5656</v>
      </c>
      <c r="N27" s="0" t="s">
        <v>5620</v>
      </c>
      <c r="O27" s="0">
        <v>35.5</v>
      </c>
      <c r="P27" s="0">
        <v>35.500000207</v>
      </c>
      <c r="U27" s="0" t="s">
        <v>5610</v>
      </c>
      <c r="V27" s="0" t="s">
        <v>5703</v>
      </c>
      <c r="W27" s="0" t="s">
        <v>5703</v>
      </c>
    </row>
    <row customHeight="1" ht="11.25">
      <c r="A28" s="0" t="s">
        <v>5714</v>
      </c>
      <c r="B28" s="0">
        <v>8283786466</v>
      </c>
      <c r="C28" s="0" t="s">
        <v>5635</v>
      </c>
      <c r="D28" s="0" t="s">
        <v>5701</v>
      </c>
      <c r="E28" s="0" t="s">
        <v>272</v>
      </c>
      <c r="F28" s="0" t="s">
        <v>5702</v>
      </c>
      <c r="G28" s="0" t="s">
        <v>284</v>
      </c>
      <c r="H28" s="0" t="s">
        <v>5715</v>
      </c>
      <c r="I28" s="0" t="s">
        <v>5659</v>
      </c>
      <c r="J28" s="0" t="s">
        <v>5654</v>
      </c>
      <c r="K28" s="0" t="s">
        <v>5660</v>
      </c>
      <c r="L28" s="0" t="s">
        <v>5607</v>
      </c>
      <c r="M28" s="0" t="s">
        <v>5661</v>
      </c>
      <c r="N28" s="0" t="s">
        <v>5662</v>
      </c>
      <c r="O28" s="0">
        <v>62</v>
      </c>
      <c r="P28" s="0">
        <v>74.4000099004</v>
      </c>
      <c r="U28" s="0" t="s">
        <v>5610</v>
      </c>
      <c r="V28" s="0" t="s">
        <v>5716</v>
      </c>
      <c r="W28" s="0" t="s">
        <v>5717</v>
      </c>
    </row>
    <row customHeight="1" ht="11.25">
      <c r="A29" s="0" t="s">
        <v>5718</v>
      </c>
      <c r="B29" s="0">
        <v>8283786466</v>
      </c>
      <c r="C29" s="0" t="s">
        <v>5635</v>
      </c>
      <c r="D29" s="0" t="s">
        <v>5701</v>
      </c>
      <c r="E29" s="0" t="s">
        <v>272</v>
      </c>
      <c r="F29" s="0" t="s">
        <v>5702</v>
      </c>
      <c r="G29" s="0" t="s">
        <v>284</v>
      </c>
      <c r="H29" s="0" t="s">
        <v>5719</v>
      </c>
      <c r="I29" s="0" t="s">
        <v>5659</v>
      </c>
      <c r="J29" s="0" t="s">
        <v>5654</v>
      </c>
      <c r="K29" s="0" t="s">
        <v>5660</v>
      </c>
      <c r="L29" s="0" t="s">
        <v>5607</v>
      </c>
      <c r="M29" s="0" t="s">
        <v>5661</v>
      </c>
      <c r="N29" s="0" t="s">
        <v>5662</v>
      </c>
      <c r="O29" s="0">
        <v>35.84</v>
      </c>
      <c r="P29" s="0">
        <v>39.42</v>
      </c>
      <c r="U29" s="0" t="s">
        <v>5610</v>
      </c>
      <c r="V29" s="0" t="s">
        <v>5720</v>
      </c>
      <c r="W29" s="0" t="s">
        <v>5721</v>
      </c>
    </row>
    <row customHeight="1" ht="11.25">
      <c r="A30" s="0" t="s">
        <v>5722</v>
      </c>
      <c r="B30" s="0">
        <v>7616175878</v>
      </c>
      <c r="C30" s="0" t="s">
        <v>5641</v>
      </c>
      <c r="D30" s="0" t="s">
        <v>5701</v>
      </c>
      <c r="E30" s="0" t="s">
        <v>272</v>
      </c>
      <c r="F30" s="0" t="s">
        <v>5702</v>
      </c>
      <c r="G30" s="0" t="s">
        <v>284</v>
      </c>
      <c r="L30" s="0" t="s">
        <v>5607</v>
      </c>
      <c r="M30" s="0" t="s">
        <v>5641</v>
      </c>
      <c r="N30" s="0" t="s">
        <v>5609</v>
      </c>
      <c r="O30" s="0">
        <v>39.48</v>
      </c>
      <c r="P30" s="0">
        <v>43.2699857505</v>
      </c>
      <c r="U30" s="0" t="s">
        <v>5610</v>
      </c>
      <c r="V30" s="0" t="s">
        <v>5723</v>
      </c>
      <c r="W30" s="0" t="s">
        <v>5709</v>
      </c>
    </row>
    <row customHeight="1" ht="11.25">
      <c r="A31" s="0" t="s">
        <v>5724</v>
      </c>
      <c r="B31" s="0">
        <v>8362886418</v>
      </c>
      <c r="C31" s="0" t="s">
        <v>5635</v>
      </c>
      <c r="D31" s="0" t="s">
        <v>5701</v>
      </c>
      <c r="E31" s="0" t="s">
        <v>272</v>
      </c>
      <c r="F31" s="0" t="s">
        <v>5702</v>
      </c>
      <c r="G31" s="0" t="s">
        <v>284</v>
      </c>
      <c r="H31" s="0" t="s">
        <v>5725</v>
      </c>
      <c r="I31" s="0" t="s">
        <v>5678</v>
      </c>
      <c r="J31" s="0" t="s">
        <v>5654</v>
      </c>
      <c r="L31" s="0" t="s">
        <v>5607</v>
      </c>
      <c r="M31" s="0" t="s">
        <v>5641</v>
      </c>
      <c r="N31" s="0" t="s">
        <v>5609</v>
      </c>
      <c r="O31" s="0">
        <v>48.52</v>
      </c>
      <c r="P31" s="0">
        <v>54.3399938387</v>
      </c>
      <c r="U31" s="0" t="s">
        <v>5610</v>
      </c>
      <c r="V31" s="0" t="s">
        <v>5726</v>
      </c>
      <c r="W31" s="0" t="s">
        <v>5727</v>
      </c>
    </row>
    <row customHeight="1" ht="11.25">
      <c r="A32" s="0" t="s">
        <v>5728</v>
      </c>
      <c r="B32" s="0">
        <v>8362886418</v>
      </c>
      <c r="C32" s="0" t="s">
        <v>5635</v>
      </c>
      <c r="D32" s="0" t="s">
        <v>5701</v>
      </c>
      <c r="E32" s="0" t="s">
        <v>272</v>
      </c>
      <c r="F32" s="0" t="s">
        <v>5702</v>
      </c>
      <c r="G32" s="0" t="s">
        <v>284</v>
      </c>
      <c r="H32" s="0" t="s">
        <v>5729</v>
      </c>
      <c r="I32" s="0" t="s">
        <v>5678</v>
      </c>
      <c r="J32" s="0" t="s">
        <v>5654</v>
      </c>
      <c r="L32" s="0" t="s">
        <v>5607</v>
      </c>
      <c r="M32" s="0" t="s">
        <v>5641</v>
      </c>
      <c r="N32" s="0" t="s">
        <v>5609</v>
      </c>
      <c r="O32" s="0">
        <v>40.56</v>
      </c>
      <c r="P32" s="0">
        <v>45.4299971278</v>
      </c>
      <c r="U32" s="0" t="s">
        <v>5610</v>
      </c>
      <c r="V32" s="0" t="s">
        <v>5730</v>
      </c>
      <c r="W32" s="0" t="s">
        <v>5731</v>
      </c>
    </row>
    <row customHeight="1" ht="11.25">
      <c r="A33" s="0" t="s">
        <v>5732</v>
      </c>
      <c r="B33" s="0">
        <v>8295929637</v>
      </c>
      <c r="C33" s="0" t="s">
        <v>5641</v>
      </c>
      <c r="D33" s="0" t="s">
        <v>5701</v>
      </c>
      <c r="E33" s="0" t="s">
        <v>272</v>
      </c>
      <c r="F33" s="0" t="s">
        <v>5702</v>
      </c>
      <c r="G33" s="0" t="s">
        <v>284</v>
      </c>
      <c r="I33" s="0" t="s">
        <v>5682</v>
      </c>
      <c r="J33" s="0" t="s">
        <v>5683</v>
      </c>
      <c r="K33" s="0" t="s">
        <v>5684</v>
      </c>
      <c r="L33" s="0" t="s">
        <v>5607</v>
      </c>
      <c r="M33" s="0" t="s">
        <v>5641</v>
      </c>
      <c r="N33" s="0" t="s">
        <v>5620</v>
      </c>
      <c r="O33" s="0">
        <v>37.06</v>
      </c>
      <c r="P33" s="0">
        <v>56.4477886884</v>
      </c>
      <c r="U33" s="0" t="s">
        <v>5610</v>
      </c>
      <c r="V33" s="0" t="s">
        <v>5733</v>
      </c>
      <c r="W33" s="0" t="s">
        <v>5734</v>
      </c>
    </row>
    <row customHeight="1" ht="11.25">
      <c r="A34" s="0" t="s">
        <v>283</v>
      </c>
      <c r="B34" s="0">
        <v>8218476367</v>
      </c>
      <c r="C34" s="0" t="s">
        <v>5635</v>
      </c>
      <c r="D34" s="0" t="s">
        <v>270</v>
      </c>
      <c r="E34" s="0" t="s">
        <v>272</v>
      </c>
      <c r="F34" s="0" t="s">
        <v>274</v>
      </c>
      <c r="G34" s="0" t="s">
        <v>284</v>
      </c>
      <c r="I34" s="0" t="s">
        <v>5735</v>
      </c>
      <c r="J34" s="0" t="s">
        <v>5654</v>
      </c>
      <c r="L34" s="0" t="s">
        <v>103</v>
      </c>
      <c r="U34" s="0" t="s">
        <v>5610</v>
      </c>
    </row>
    <row customHeight="1" ht="11.25">
      <c r="A35" s="0" t="s">
        <v>5736</v>
      </c>
      <c r="B35" s="0">
        <v>7616361167</v>
      </c>
      <c r="C35" s="0" t="s">
        <v>5641</v>
      </c>
      <c r="D35" s="0" t="s">
        <v>5701</v>
      </c>
      <c r="E35" s="0" t="s">
        <v>272</v>
      </c>
      <c r="F35" s="0" t="s">
        <v>5702</v>
      </c>
      <c r="G35" s="0" t="s">
        <v>284</v>
      </c>
      <c r="H35" s="0" t="s">
        <v>5737</v>
      </c>
      <c r="I35" s="0" t="s">
        <v>5688</v>
      </c>
      <c r="J35" s="0" t="s">
        <v>5689</v>
      </c>
      <c r="L35" s="0" t="s">
        <v>5607</v>
      </c>
      <c r="M35" s="0" t="s">
        <v>5641</v>
      </c>
      <c r="N35" s="0" t="s">
        <v>5609</v>
      </c>
      <c r="O35" s="0">
        <v>56.57</v>
      </c>
      <c r="P35" s="0">
        <v>62.0006926683</v>
      </c>
      <c r="U35" s="0" t="s">
        <v>5610</v>
      </c>
      <c r="V35" s="0" t="s">
        <v>5738</v>
      </c>
      <c r="W35" s="0" t="s">
        <v>5716</v>
      </c>
    </row>
    <row customHeight="1" ht="11.25">
      <c r="A36" s="0" t="s">
        <v>5739</v>
      </c>
      <c r="B36" s="0">
        <v>7616361167</v>
      </c>
      <c r="C36" s="0" t="s">
        <v>5641</v>
      </c>
      <c r="D36" s="0" t="s">
        <v>5701</v>
      </c>
      <c r="E36" s="0" t="s">
        <v>272</v>
      </c>
      <c r="F36" s="0" t="s">
        <v>5702</v>
      </c>
      <c r="G36" s="0" t="s">
        <v>284</v>
      </c>
      <c r="H36" s="0" t="s">
        <v>5740</v>
      </c>
      <c r="I36" s="0" t="s">
        <v>5688</v>
      </c>
      <c r="J36" s="0" t="s">
        <v>5689</v>
      </c>
      <c r="L36" s="0" t="s">
        <v>5607</v>
      </c>
      <c r="M36" s="0" t="s">
        <v>5641</v>
      </c>
      <c r="N36" s="0" t="s">
        <v>5609</v>
      </c>
      <c r="O36" s="0">
        <v>32.7</v>
      </c>
      <c r="P36" s="0">
        <v>35.8391997408</v>
      </c>
      <c r="U36" s="0" t="s">
        <v>5610</v>
      </c>
      <c r="V36" s="0" t="s">
        <v>5741</v>
      </c>
      <c r="W36" s="0" t="s">
        <v>5720</v>
      </c>
    </row>
    <row customHeight="1" ht="11.25">
      <c r="A37" s="0" t="s">
        <v>5742</v>
      </c>
      <c r="B37" s="0">
        <v>7616406782</v>
      </c>
      <c r="C37" s="0" t="s">
        <v>5641</v>
      </c>
      <c r="D37" s="0" t="s">
        <v>5701</v>
      </c>
      <c r="E37" s="0" t="s">
        <v>272</v>
      </c>
      <c r="F37" s="0" t="s">
        <v>5702</v>
      </c>
      <c r="G37" s="0" t="s">
        <v>284</v>
      </c>
      <c r="I37" s="0" t="s">
        <v>5692</v>
      </c>
      <c r="J37" s="0" t="s">
        <v>5693</v>
      </c>
      <c r="K37" s="0" t="s">
        <v>5694</v>
      </c>
      <c r="L37" s="0" t="s">
        <v>5607</v>
      </c>
      <c r="M37" s="0" t="s">
        <v>5641</v>
      </c>
      <c r="N37" s="0" t="s">
        <v>5609</v>
      </c>
      <c r="O37" s="0">
        <v>77.84</v>
      </c>
      <c r="P37" s="0">
        <v>85.4700385214</v>
      </c>
      <c r="U37" s="0" t="s">
        <v>5610</v>
      </c>
      <c r="V37" s="0" t="s">
        <v>5743</v>
      </c>
      <c r="W37" s="0" t="s">
        <v>5712</v>
      </c>
    </row>
    <row customHeight="1" ht="11.25">
      <c r="A38" s="0" t="s">
        <v>5744</v>
      </c>
      <c r="B38" s="0">
        <v>7616400173</v>
      </c>
      <c r="C38" s="0" t="s">
        <v>5641</v>
      </c>
      <c r="D38" s="0" t="s">
        <v>5701</v>
      </c>
      <c r="E38" s="0" t="s">
        <v>272</v>
      </c>
      <c r="F38" s="0" t="s">
        <v>5702</v>
      </c>
      <c r="G38" s="0" t="s">
        <v>284</v>
      </c>
      <c r="L38" s="0" t="s">
        <v>5607</v>
      </c>
      <c r="M38" s="0" t="s">
        <v>5656</v>
      </c>
      <c r="N38" s="0" t="s">
        <v>5609</v>
      </c>
      <c r="O38" s="0">
        <v>31.55</v>
      </c>
      <c r="P38" s="0">
        <v>36.2799893803</v>
      </c>
      <c r="U38" s="0" t="s">
        <v>5610</v>
      </c>
      <c r="V38" s="0" t="s">
        <v>5745</v>
      </c>
      <c r="W38" s="0" t="s">
        <v>5746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7FF2D4-F663-A4E8-2B7D-14E29FD33FC8}" mc:Ignorable="x14ac xr xr2 xr3">
  <sheetPr>
    <tabColor rgb="FFFFCC99"/>
  </sheetPr>
  <dimension ref="A1:C97"/>
  <sheetViews>
    <sheetView topLeftCell="A1" showGridLines="0" workbookViewId="0">
      <selection activeCell="A1" sqref="A1"/>
    </sheetView>
  </sheetViews>
  <sheetFormatPr customHeight="1" defaultRowHeight="11.25"/>
  <cols>
    <col min="1" max="1" style="1353" width="88.8515625" customWidth="1"/>
    <col min="2" max="2" style="1353" width="24.7109375" customWidth="1"/>
  </cols>
  <sheetData>
    <row customHeight="1" ht="11.25">
      <c r="A1" s="51" t="s">
        <v>5747</v>
      </c>
      <c r="C1" s="51" t="s">
        <v>5748</v>
      </c>
    </row>
    <row customHeight="1" ht="11.25">
      <c r="A2" s="51" t="s">
        <v>5749</v>
      </c>
    </row>
    <row customHeight="1" ht="11.25">
      <c r="A3" s="51" t="s">
        <v>5750</v>
      </c>
      <c r="C3" s="0" t="s">
        <v>5751</v>
      </c>
    </row>
    <row customHeight="1" ht="11.25">
      <c r="A4" s="51" t="s">
        <v>127</v>
      </c>
      <c r="C4" s="0" t="s">
        <v>5752</v>
      </c>
    </row>
    <row customHeight="1" ht="11.25">
      <c r="A5" s="51" t="s">
        <v>2770</v>
      </c>
      <c r="C5" s="0" t="s">
        <v>5753</v>
      </c>
    </row>
    <row customHeight="1" ht="11.25">
      <c r="A6" s="51" t="s">
        <v>3065</v>
      </c>
      <c r="C6" s="0" t="s">
        <v>5754</v>
      </c>
    </row>
    <row customHeight="1" ht="11.25">
      <c r="A7" s="51" t="s">
        <v>5755</v>
      </c>
      <c r="C7" s="0" t="s">
        <v>5756</v>
      </c>
    </row>
    <row customHeight="1" ht="11.25">
      <c r="A8" s="51" t="s">
        <v>5757</v>
      </c>
      <c r="C8" s="0" t="s">
        <v>5758</v>
      </c>
    </row>
    <row customHeight="1" ht="11.25">
      <c r="A9" s="51" t="s">
        <v>5759</v>
      </c>
      <c r="C9" s="0" t="s">
        <v>5760</v>
      </c>
    </row>
    <row customHeight="1" ht="11.25">
      <c r="A10" s="51" t="s">
        <v>5761</v>
      </c>
      <c r="C10" s="0" t="s">
        <v>5762</v>
      </c>
    </row>
    <row customHeight="1" ht="11.25">
      <c r="A11" s="51" t="s">
        <v>5763</v>
      </c>
      <c r="C11" s="0" t="s">
        <v>5764</v>
      </c>
    </row>
    <row customHeight="1" ht="11.25">
      <c r="A12" s="51" t="s">
        <v>5765</v>
      </c>
      <c r="C12" s="0" t="s">
        <v>5766</v>
      </c>
    </row>
    <row customHeight="1" ht="11.25">
      <c r="A13" s="51" t="s">
        <v>5767</v>
      </c>
      <c r="C13" s="0" t="s">
        <v>5768</v>
      </c>
    </row>
    <row customHeight="1" ht="11.25">
      <c r="A14" s="51" t="s">
        <v>5769</v>
      </c>
      <c r="C14" s="0" t="s">
        <v>5770</v>
      </c>
    </row>
    <row customHeight="1" ht="11.25">
      <c r="A15" s="51" t="s">
        <v>5771</v>
      </c>
      <c r="C15" s="0" t="s">
        <v>5772</v>
      </c>
    </row>
    <row customHeight="1" ht="11.25">
      <c r="A16" s="51" t="s">
        <v>5773</v>
      </c>
      <c r="C16" s="0" t="s">
        <v>5774</v>
      </c>
    </row>
    <row customHeight="1" ht="11.25">
      <c r="A17" s="51" t="s">
        <v>5775</v>
      </c>
      <c r="C17" s="0" t="s">
        <v>5776</v>
      </c>
    </row>
    <row customHeight="1" ht="11.25">
      <c r="A18" s="51" t="s">
        <v>5777</v>
      </c>
      <c r="C18" s="0" t="s">
        <v>5778</v>
      </c>
    </row>
    <row customHeight="1" ht="11.25">
      <c r="A19" s="51" t="s">
        <v>5779</v>
      </c>
      <c r="C19" s="0" t="s">
        <v>5780</v>
      </c>
    </row>
    <row customHeight="1" ht="11.25">
      <c r="A20" s="51" t="s">
        <v>5781</v>
      </c>
      <c r="C20" s="0" t="s">
        <v>5782</v>
      </c>
    </row>
    <row customHeight="1" ht="11.25">
      <c r="A21" s="51" t="s">
        <v>5783</v>
      </c>
      <c r="C21" s="0" t="s">
        <v>5784</v>
      </c>
    </row>
    <row customHeight="1" ht="11.25">
      <c r="A22" s="51" t="s">
        <v>5785</v>
      </c>
      <c r="C22" s="0" t="s">
        <v>5786</v>
      </c>
    </row>
    <row customHeight="1" ht="11.25">
      <c r="A23" s="51" t="s">
        <v>5787</v>
      </c>
      <c r="C23" s="0" t="s">
        <v>5788</v>
      </c>
    </row>
    <row customHeight="1" ht="11.25">
      <c r="A24" s="51" t="s">
        <v>5789</v>
      </c>
      <c r="C24" s="0" t="s">
        <v>5790</v>
      </c>
    </row>
    <row customHeight="1" ht="11.25">
      <c r="A25" s="51" t="s">
        <v>5791</v>
      </c>
      <c r="C25" s="0" t="s">
        <v>5792</v>
      </c>
    </row>
    <row customHeight="1" ht="11.25">
      <c r="A26" s="51" t="s">
        <v>5793</v>
      </c>
      <c r="C26" s="0" t="s">
        <v>5794</v>
      </c>
    </row>
    <row customHeight="1" ht="11.25">
      <c r="A27" s="51" t="s">
        <v>5795</v>
      </c>
      <c r="C27" s="0" t="s">
        <v>5796</v>
      </c>
    </row>
    <row customHeight="1" ht="11.25">
      <c r="A28" s="51" t="s">
        <v>5797</v>
      </c>
      <c r="C28" s="0" t="s">
        <v>5798</v>
      </c>
    </row>
    <row customHeight="1" ht="11.25">
      <c r="A29" s="51" t="s">
        <v>5799</v>
      </c>
      <c r="C29" s="0" t="s">
        <v>5800</v>
      </c>
    </row>
    <row customHeight="1" ht="11.25">
      <c r="A30" s="51" t="s">
        <v>5801</v>
      </c>
      <c r="C30" s="0" t="s">
        <v>5802</v>
      </c>
    </row>
    <row customHeight="1" ht="11.25">
      <c r="A31" s="51" t="s">
        <v>5803</v>
      </c>
      <c r="C31" s="0" t="s">
        <v>5804</v>
      </c>
    </row>
    <row customHeight="1" ht="11.25">
      <c r="A32" s="51" t="s">
        <v>5805</v>
      </c>
      <c r="C32" s="0" t="s">
        <v>5806</v>
      </c>
    </row>
    <row customHeight="1" ht="11.25">
      <c r="A33" s="51" t="s">
        <v>5807</v>
      </c>
      <c r="C33" s="0" t="s">
        <v>5808</v>
      </c>
    </row>
    <row customHeight="1" ht="11.25">
      <c r="A34" s="51" t="s">
        <v>5809</v>
      </c>
      <c r="C34" s="0" t="s">
        <v>5810</v>
      </c>
    </row>
    <row customHeight="1" ht="11.25">
      <c r="A35" s="51" t="s">
        <v>5811</v>
      </c>
      <c r="C35" s="0" t="s">
        <v>5812</v>
      </c>
    </row>
    <row customHeight="1" ht="11.25">
      <c r="A36" s="51" t="s">
        <v>5813</v>
      </c>
      <c r="C36" s="0" t="s">
        <v>5814</v>
      </c>
    </row>
    <row customHeight="1" ht="11.25">
      <c r="A37" s="51" t="s">
        <v>5815</v>
      </c>
      <c r="C37" s="0" t="s">
        <v>5816</v>
      </c>
    </row>
    <row customHeight="1" ht="11.25">
      <c r="A38" s="51" t="s">
        <v>5817</v>
      </c>
      <c r="C38" s="0" t="s">
        <v>5818</v>
      </c>
    </row>
    <row customHeight="1" ht="11.25">
      <c r="A39" s="51" t="s">
        <v>5819</v>
      </c>
      <c r="C39" s="0" t="s">
        <v>5820</v>
      </c>
    </row>
    <row customHeight="1" ht="11.25">
      <c r="A40" s="51" t="s">
        <v>5821</v>
      </c>
      <c r="C40" s="0" t="s">
        <v>5822</v>
      </c>
    </row>
    <row customHeight="1" ht="11.25">
      <c r="A41" s="51" t="s">
        <v>5823</v>
      </c>
      <c r="C41" s="0" t="s">
        <v>5824</v>
      </c>
    </row>
    <row customHeight="1" ht="11.25">
      <c r="A42" s="51" t="s">
        <v>5825</v>
      </c>
      <c r="C42" s="0" t="s">
        <v>5826</v>
      </c>
    </row>
    <row customHeight="1" ht="11.25">
      <c r="A43" s="51" t="s">
        <v>5827</v>
      </c>
      <c r="C43" s="0" t="s">
        <v>5828</v>
      </c>
    </row>
    <row customHeight="1" ht="11.25">
      <c r="A44" s="51" t="s">
        <v>5829</v>
      </c>
    </row>
    <row customHeight="1" ht="11.25">
      <c r="A45" s="51" t="s">
        <v>5830</v>
      </c>
    </row>
    <row customHeight="1" ht="11.25">
      <c r="A46" s="51" t="s">
        <v>5831</v>
      </c>
    </row>
    <row customHeight="1" ht="11.25">
      <c r="A47" s="51" t="s">
        <v>5832</v>
      </c>
    </row>
    <row customHeight="1" ht="11.25">
      <c r="A48" s="51" t="s">
        <v>5833</v>
      </c>
    </row>
    <row customHeight="1" ht="11.25">
      <c r="A49" s="51" t="s">
        <v>5834</v>
      </c>
    </row>
    <row customHeight="1" ht="11.25">
      <c r="A50" s="51" t="s">
        <v>5835</v>
      </c>
    </row>
    <row customHeight="1" ht="11.25">
      <c r="A51" s="51" t="s">
        <v>5836</v>
      </c>
    </row>
    <row customHeight="1" ht="11.25">
      <c r="A52" s="51" t="s">
        <v>5837</v>
      </c>
    </row>
    <row customHeight="1" ht="11.25">
      <c r="A53" s="51" t="s">
        <v>5838</v>
      </c>
    </row>
    <row customHeight="1" ht="11.25">
      <c r="A54" s="51" t="s">
        <v>5839</v>
      </c>
    </row>
    <row customHeight="1" ht="11.25">
      <c r="A55" s="51" t="s">
        <v>5840</v>
      </c>
    </row>
    <row customHeight="1" ht="11.25">
      <c r="A56" s="51" t="s">
        <v>5841</v>
      </c>
    </row>
    <row customHeight="1" ht="11.25">
      <c r="A57" s="51" t="s">
        <v>3282</v>
      </c>
    </row>
    <row customHeight="1" ht="11.25">
      <c r="A58" s="51" t="s">
        <v>5842</v>
      </c>
    </row>
    <row customHeight="1" ht="11.25">
      <c r="A59" s="51" t="s">
        <v>5843</v>
      </c>
    </row>
    <row customHeight="1" ht="11.25">
      <c r="A60" s="51" t="s">
        <v>5844</v>
      </c>
    </row>
    <row customHeight="1" ht="11.25">
      <c r="A61" s="51" t="s">
        <v>5845</v>
      </c>
    </row>
    <row customHeight="1" ht="11.25">
      <c r="A62" s="51" t="s">
        <v>5846</v>
      </c>
    </row>
    <row customHeight="1" ht="11.25">
      <c r="A63" s="51" t="s">
        <v>5847</v>
      </c>
    </row>
    <row customHeight="1" ht="11.25">
      <c r="A64" s="51" t="s">
        <v>5848</v>
      </c>
    </row>
    <row customHeight="1" ht="11.25">
      <c r="A65" s="51" t="s">
        <v>5849</v>
      </c>
    </row>
    <row customHeight="1" ht="11.25">
      <c r="A66" s="51" t="s">
        <v>5850</v>
      </c>
    </row>
    <row customHeight="1" ht="11.25">
      <c r="A67" s="51" t="s">
        <v>5851</v>
      </c>
    </row>
    <row customHeight="1" ht="11.25">
      <c r="A68" s="51" t="s">
        <v>5852</v>
      </c>
    </row>
    <row customHeight="1" ht="11.25">
      <c r="A69" s="51" t="s">
        <v>5853</v>
      </c>
    </row>
    <row customHeight="1" ht="11.25">
      <c r="A70" s="51" t="s">
        <v>5854</v>
      </c>
    </row>
    <row customHeight="1" ht="11.25">
      <c r="A71" s="51" t="s">
        <v>2907</v>
      </c>
    </row>
    <row customHeight="1" ht="11.25">
      <c r="A72" s="51" t="s">
        <v>5855</v>
      </c>
    </row>
    <row customHeight="1" ht="11.25">
      <c r="A73" s="51" t="s">
        <v>5856</v>
      </c>
    </row>
    <row customHeight="1" ht="11.25">
      <c r="A74" s="51" t="s">
        <v>2919</v>
      </c>
    </row>
    <row customHeight="1" ht="11.25">
      <c r="A75" s="51" t="s">
        <v>5857</v>
      </c>
    </row>
    <row customHeight="1" ht="11.25">
      <c r="A76" s="51" t="s">
        <v>5858</v>
      </c>
    </row>
    <row customHeight="1" ht="11.25">
      <c r="A77" s="51" t="s">
        <v>5859</v>
      </c>
    </row>
    <row customHeight="1" ht="11.25">
      <c r="A78" s="51" t="s">
        <v>5860</v>
      </c>
    </row>
    <row customHeight="1" ht="11.25">
      <c r="A79" s="51" t="s">
        <v>5861</v>
      </c>
    </row>
    <row customHeight="1" ht="11.25">
      <c r="A80" s="51" t="s">
        <v>5862</v>
      </c>
    </row>
    <row customHeight="1" ht="11.25">
      <c r="A81" s="51" t="s">
        <v>5863</v>
      </c>
    </row>
    <row customHeight="1" ht="11.25">
      <c r="A82" s="51" t="s">
        <v>5864</v>
      </c>
    </row>
    <row customHeight="1" ht="11.25">
      <c r="A83" s="51" t="s">
        <v>5865</v>
      </c>
    </row>
    <row customHeight="1" ht="11.25">
      <c r="A84" s="51" t="s">
        <v>5866</v>
      </c>
    </row>
    <row customHeight="1" ht="11.25">
      <c r="A85" s="51" t="s">
        <v>5867</v>
      </c>
    </row>
    <row customHeight="1" ht="11.25">
      <c r="A86" s="51" t="s">
        <v>3307</v>
      </c>
    </row>
    <row customHeight="1" ht="11.25">
      <c r="A87" s="51" t="s">
        <v>5868</v>
      </c>
    </row>
    <row customHeight="1" ht="11.25">
      <c r="A88" s="51" t="s">
        <v>5869</v>
      </c>
    </row>
    <row customHeight="1" ht="11.25">
      <c r="A89" s="51" t="s">
        <v>5870</v>
      </c>
    </row>
    <row customHeight="1" ht="11.25">
      <c r="A90" s="51" t="s">
        <v>5871</v>
      </c>
    </row>
    <row customHeight="1" ht="11.25">
      <c r="A91" s="51" t="s">
        <v>5872</v>
      </c>
    </row>
    <row customHeight="1" ht="11.25">
      <c r="A92" s="51" t="s">
        <v>5873</v>
      </c>
    </row>
    <row customHeight="1" ht="11.25">
      <c r="A93" s="51" t="s">
        <v>3350</v>
      </c>
    </row>
    <row customHeight="1" ht="11.25">
      <c r="A94" s="51" t="s">
        <v>5874</v>
      </c>
    </row>
    <row customHeight="1" ht="11.25">
      <c r="A95" s="51" t="s">
        <v>5875</v>
      </c>
    </row>
    <row customHeight="1" ht="11.25">
      <c r="A96" s="51" t="s">
        <v>5876</v>
      </c>
    </row>
    <row customHeight="1" ht="11.25">
      <c r="A97" s="51" t="s">
        <v>5877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A071E8-476F-E5EE-5817-A90F7623AFCD}" mc:Ignorable="x14ac xr xr2 xr3">
  <sheetPr>
    <tabColor rgb="FFFFCC99"/>
  </sheetPr>
  <dimension ref="A1:AG183"/>
  <sheetViews>
    <sheetView topLeftCell="A1" showGridLines="0" workbookViewId="0">
      <selection activeCell="A1" sqref="A1"/>
    </sheetView>
  </sheetViews>
  <sheetFormatPr defaultColWidth="9.140625" customHeight="1" defaultRowHeight="12"/>
  <cols>
    <col min="1" max="1" style="706" width="42.7109375" customWidth="1"/>
    <col min="2" max="2" style="706" width="6.7109375" customWidth="1"/>
    <col min="3" max="3" style="706" width="40.7109375" customWidth="1"/>
    <col min="4" max="4" style="706" width="15.57421875" customWidth="1"/>
    <col min="5" max="6" style="706" width="3.7109375" customWidth="1"/>
    <col min="7" max="7" style="706" width="32.7109375" customWidth="1"/>
    <col min="8" max="9" style="706" width="3.7109375" customWidth="1"/>
    <col min="10" max="10" style="706" width="4.7109375" customWidth="1"/>
    <col min="11" max="11" style="706" width="40.7109375" customWidth="1"/>
    <col min="12" max="12" style="706" width="4.7109375" customWidth="1"/>
    <col min="13" max="13" style="706" width="18.57421875" customWidth="1"/>
    <col min="14" max="15" style="706" width="4.7109375" customWidth="1"/>
    <col min="16" max="16" style="706" width="5.7109375" customWidth="1"/>
    <col min="17" max="18" style="706" width="12.57421875" customWidth="1"/>
    <col min="19" max="19" style="706" width="14.57421875" customWidth="1"/>
    <col min="20" max="20" style="706" width="18.8515625" customWidth="1"/>
    <col min="21" max="21" style="706" width="19.28125" customWidth="1"/>
    <col min="22" max="22" style="706" width="39.140625" customWidth="1"/>
    <col min="23" max="23" style="706" width="41.7109375" customWidth="1"/>
    <col min="24" max="24" style="706" width="54.8515625" customWidth="1"/>
    <col min="25" max="26" style="706" width="22.8515625" customWidth="1"/>
    <col min="27" max="31" style="706" width="9.140625"/>
  </cols>
  <sheetData>
    <row customHeight="1" ht="12">
      <c r="A1" s="74" t="s">
        <v>5878</v>
      </c>
      <c r="B1" s="73" t="s">
        <v>5879</v>
      </c>
      <c r="C1" s="74" t="s">
        <v>5878</v>
      </c>
      <c r="D1" s="396" t="s">
        <v>5880</v>
      </c>
      <c r="E1" s="129"/>
      <c r="F1" s="129"/>
      <c r="G1" s="130" t="s">
        <v>5881</v>
      </c>
      <c r="H1" s="129"/>
      <c r="I1" s="129"/>
      <c r="J1" s="129"/>
      <c r="K1" s="385" t="s">
        <v>5882</v>
      </c>
      <c r="L1" s="74"/>
      <c r="M1" s="130" t="s">
        <v>5883</v>
      </c>
      <c r="N1" s="129"/>
      <c r="O1" s="74"/>
      <c r="P1" s="129"/>
      <c r="Q1" s="130" t="s">
        <v>5884</v>
      </c>
      <c r="R1" s="130" t="s">
        <v>5885</v>
      </c>
      <c r="S1" s="130" t="s">
        <v>5886</v>
      </c>
      <c r="T1" s="130" t="s">
        <v>5887</v>
      </c>
      <c r="U1" s="130" t="s">
        <v>5888</v>
      </c>
      <c r="V1" s="137" t="s">
        <v>5889</v>
      </c>
      <c r="W1" s="137" t="s">
        <v>5890</v>
      </c>
      <c r="X1" s="137" t="s">
        <v>5891</v>
      </c>
      <c r="Y1" s="137" t="s">
        <v>5892</v>
      </c>
      <c r="Z1" s="137" t="s">
        <v>5893</v>
      </c>
      <c r="AA1" s="130" t="s">
        <v>5894</v>
      </c>
      <c r="AB1" s="130" t="s">
        <v>5895</v>
      </c>
      <c r="AC1" s="130" t="s">
        <v>5896</v>
      </c>
      <c r="AD1" s="130" t="s">
        <v>5897</v>
      </c>
      <c r="AE1" s="130" t="s">
        <v>5898</v>
      </c>
      <c r="AF1" s="47" t="s">
        <v>5899</v>
      </c>
      <c r="AG1" s="47" t="s">
        <v>5900</v>
      </c>
    </row>
    <row customHeight="1" ht="12">
      <c r="A2" s="74" t="s">
        <v>5901</v>
      </c>
      <c r="B2" s="73" t="s">
        <v>5902</v>
      </c>
      <c r="C2" s="74" t="s">
        <v>5901</v>
      </c>
      <c r="D2" s="395" t="s">
        <v>5903</v>
      </c>
      <c r="E2" s="129"/>
      <c r="F2" s="129"/>
      <c r="G2" s="131" t="s">
        <v>160</v>
      </c>
      <c r="H2" s="129"/>
      <c r="I2" s="129"/>
      <c r="J2" s="129"/>
      <c r="K2" s="386" t="s">
        <v>5904</v>
      </c>
      <c r="L2" s="129"/>
      <c r="M2" s="132" t="s">
        <v>5905</v>
      </c>
      <c r="N2" s="129"/>
      <c r="O2" s="129"/>
      <c r="P2" s="129"/>
      <c r="Q2" s="131">
        <v>2012</v>
      </c>
      <c r="R2" s="131" t="s">
        <v>5906</v>
      </c>
      <c r="S2" s="131">
        <v>3</v>
      </c>
      <c r="T2" s="136" t="s">
        <v>3572</v>
      </c>
      <c r="U2" s="136" t="s">
        <v>272</v>
      </c>
      <c r="V2" s="147" t="s">
        <v>5603</v>
      </c>
      <c r="W2" s="147" t="s">
        <v>5601</v>
      </c>
      <c r="X2" s="147" t="s">
        <v>4030</v>
      </c>
      <c r="Y2" s="147" t="s">
        <v>5907</v>
      </c>
      <c r="Z2" s="147" t="s">
        <v>5907</v>
      </c>
      <c r="AA2" s="136" t="s">
        <v>776</v>
      </c>
      <c r="AB2" s="136" t="s">
        <v>5908</v>
      </c>
      <c r="AC2" s="136" t="s">
        <v>774</v>
      </c>
      <c r="AD2" s="136" t="s">
        <v>775</v>
      </c>
      <c r="AE2" s="136" t="s">
        <v>281</v>
      </c>
      <c r="AF2" s="47" t="s">
        <v>5909</v>
      </c>
      <c r="AG2" s="47" t="s">
        <v>5910</v>
      </c>
    </row>
    <row customHeight="1" ht="12">
      <c r="A3" s="74" t="s">
        <v>5911</v>
      </c>
      <c r="B3" s="73" t="s">
        <v>5912</v>
      </c>
      <c r="C3" s="74" t="s">
        <v>5911</v>
      </c>
      <c r="D3" s="129"/>
      <c r="E3" s="129"/>
      <c r="F3" s="129"/>
      <c r="G3" s="131" t="s">
        <v>151</v>
      </c>
      <c r="H3" s="129"/>
      <c r="I3" s="129"/>
      <c r="J3" s="129"/>
      <c r="L3" s="129"/>
      <c r="M3" s="129"/>
      <c r="N3" s="129"/>
      <c r="O3" s="129"/>
      <c r="P3" s="129"/>
      <c r="Q3" s="131">
        <v>2013</v>
      </c>
      <c r="R3" s="131" t="s">
        <v>5913</v>
      </c>
      <c r="S3" s="131">
        <v>4</v>
      </c>
      <c r="T3" s="136" t="s">
        <v>282</v>
      </c>
      <c r="U3" s="136" t="s">
        <v>5914</v>
      </c>
      <c r="V3" s="147" t="s">
        <v>5616</v>
      </c>
      <c r="W3" s="147" t="s">
        <v>5614</v>
      </c>
      <c r="X3" s="147" t="s">
        <v>5188</v>
      </c>
      <c r="Y3" s="147" t="s">
        <v>5915</v>
      </c>
      <c r="Z3" s="147" t="s">
        <v>5915</v>
      </c>
      <c r="AA3" s="136" t="s">
        <v>5916</v>
      </c>
      <c r="AB3" s="136" t="s">
        <v>5917</v>
      </c>
      <c r="AC3" s="136" t="s">
        <v>5918</v>
      </c>
      <c r="AD3" s="136" t="s">
        <v>5919</v>
      </c>
      <c r="AE3" s="136" t="s">
        <v>504</v>
      </c>
      <c r="AF3" s="47" t="s">
        <v>5920</v>
      </c>
      <c r="AG3" s="47" t="s">
        <v>5921</v>
      </c>
    </row>
    <row customHeight="1" ht="12">
      <c r="A4" s="74" t="s">
        <v>5922</v>
      </c>
      <c r="B4" s="73" t="s">
        <v>5923</v>
      </c>
      <c r="C4" s="74" t="s">
        <v>5922</v>
      </c>
      <c r="D4" s="129"/>
      <c r="E4" s="129"/>
      <c r="F4" s="129"/>
      <c r="G4" s="129"/>
      <c r="H4" s="129"/>
      <c r="I4" s="129"/>
      <c r="J4" s="129"/>
      <c r="K4" s="385" t="s">
        <v>5924</v>
      </c>
      <c r="L4" s="129"/>
      <c r="M4" s="130" t="s">
        <v>5925</v>
      </c>
      <c r="N4" s="129"/>
      <c r="O4" s="129"/>
      <c r="P4" s="129"/>
      <c r="Q4" s="131">
        <v>2014</v>
      </c>
      <c r="R4" s="131" t="s">
        <v>5926</v>
      </c>
      <c r="S4" s="131">
        <v>5</v>
      </c>
      <c r="V4" s="147" t="s">
        <v>5927</v>
      </c>
      <c r="X4" s="147" t="s">
        <v>418</v>
      </c>
      <c r="Y4" s="147" t="s">
        <v>5928</v>
      </c>
      <c r="Z4" s="147" t="s">
        <v>5928</v>
      </c>
      <c r="AB4" s="136" t="s">
        <v>4121</v>
      </c>
      <c r="AC4" s="136" t="s">
        <v>5929</v>
      </c>
      <c r="AD4" s="135"/>
      <c r="AE4" s="136" t="s">
        <v>319</v>
      </c>
      <c r="AF4" s="47" t="s">
        <v>5930</v>
      </c>
      <c r="AG4" s="47" t="s">
        <v>5931</v>
      </c>
    </row>
    <row customHeight="1" ht="12">
      <c r="A5" s="74" t="s">
        <v>5932</v>
      </c>
      <c r="B5" s="73" t="s">
        <v>5933</v>
      </c>
      <c r="C5" s="74" t="s">
        <v>5932</v>
      </c>
      <c r="D5" s="129"/>
      <c r="E5" s="129"/>
      <c r="F5" s="129"/>
      <c r="G5" s="130" t="s">
        <v>5934</v>
      </c>
      <c r="H5" s="129"/>
      <c r="I5" s="129"/>
      <c r="J5" s="129"/>
      <c r="K5" s="131" t="s">
        <v>5935</v>
      </c>
      <c r="L5" s="129"/>
      <c r="M5" s="132">
        <v>1.2</v>
      </c>
      <c r="N5" s="129"/>
      <c r="O5" s="129"/>
      <c r="P5" s="129"/>
      <c r="Q5" s="131">
        <v>2015</v>
      </c>
      <c r="R5" s="131" t="s">
        <v>5936</v>
      </c>
      <c r="S5" s="131">
        <v>6</v>
      </c>
      <c r="V5" s="137" t="s">
        <v>5937</v>
      </c>
      <c r="W5" s="137" t="s">
        <v>5938</v>
      </c>
      <c r="X5" s="147" t="s">
        <v>5939</v>
      </c>
      <c r="Y5" s="147" t="s">
        <v>5940</v>
      </c>
      <c r="Z5" s="147" t="s">
        <v>5940</v>
      </c>
      <c r="AB5" s="136" t="s">
        <v>5941</v>
      </c>
      <c r="AC5" s="136" t="s">
        <v>5942</v>
      </c>
      <c r="AD5" s="135"/>
      <c r="AE5" s="136" t="s">
        <v>530</v>
      </c>
      <c r="AF5" s="47" t="s">
        <v>5943</v>
      </c>
      <c r="AG5" s="47" t="s">
        <v>5944</v>
      </c>
    </row>
    <row customHeight="1" ht="12">
      <c r="A6" s="74" t="s">
        <v>5945</v>
      </c>
      <c r="B6" s="73" t="s">
        <v>5946</v>
      </c>
      <c r="C6" s="74" t="s">
        <v>5945</v>
      </c>
      <c r="D6" s="129"/>
      <c r="E6" s="129"/>
      <c r="F6" s="129"/>
      <c r="G6" s="130" t="s">
        <v>5947</v>
      </c>
      <c r="H6" s="129"/>
      <c r="I6" s="129"/>
      <c r="J6" s="129"/>
      <c r="K6" s="131" t="s">
        <v>5948</v>
      </c>
      <c r="L6" s="129"/>
      <c r="M6" s="129"/>
      <c r="N6" s="129"/>
      <c r="O6" s="129"/>
      <c r="P6" s="129"/>
      <c r="Q6" s="131">
        <v>2016</v>
      </c>
      <c r="R6" s="131" t="s">
        <v>5949</v>
      </c>
      <c r="S6" s="131">
        <v>7</v>
      </c>
      <c r="V6" s="147" t="s">
        <v>284</v>
      </c>
      <c r="W6" s="227" t="s">
        <v>5701</v>
      </c>
      <c r="X6" s="147" t="s">
        <v>5322</v>
      </c>
      <c r="Y6" s="147" t="s">
        <v>5950</v>
      </c>
      <c r="Z6" s="147" t="s">
        <v>5950</v>
      </c>
      <c r="AB6" s="136" t="s">
        <v>5951</v>
      </c>
      <c r="AC6" s="135"/>
      <c r="AD6" s="135"/>
      <c r="AE6" s="136" t="s">
        <v>485</v>
      </c>
      <c r="AF6" s="47" t="s">
        <v>5952</v>
      </c>
      <c r="AG6" s="47" t="s">
        <v>5953</v>
      </c>
    </row>
    <row customHeight="1" ht="12">
      <c r="A7" s="74" t="s">
        <v>5954</v>
      </c>
      <c r="B7" s="73" t="s">
        <v>5955</v>
      </c>
      <c r="C7" s="74" t="s">
        <v>5954</v>
      </c>
      <c r="D7" s="129"/>
      <c r="E7" s="129"/>
      <c r="F7" s="129"/>
      <c r="G7" s="133" t="s">
        <v>5956</v>
      </c>
      <c r="H7" s="129"/>
      <c r="I7" s="129"/>
      <c r="J7" s="129"/>
      <c r="K7" s="131" t="s">
        <v>5957</v>
      </c>
      <c r="L7" s="129"/>
      <c r="M7" s="130" t="s">
        <v>5958</v>
      </c>
      <c r="N7" s="129"/>
      <c r="O7" s="129"/>
      <c r="P7" s="129"/>
      <c r="Q7" s="131">
        <v>2017</v>
      </c>
      <c r="R7" s="131" t="s">
        <v>5959</v>
      </c>
      <c r="S7" s="131">
        <v>8</v>
      </c>
      <c r="V7" s="147" t="s">
        <v>5960</v>
      </c>
      <c r="X7" s="147" t="s">
        <v>5569</v>
      </c>
      <c r="Y7" s="147" t="s">
        <v>5961</v>
      </c>
      <c r="Z7" s="147" t="s">
        <v>5961</v>
      </c>
      <c r="AB7" s="136" t="s">
        <v>5962</v>
      </c>
      <c r="AC7" s="135"/>
      <c r="AD7" s="135"/>
      <c r="AE7" s="135"/>
      <c r="AF7" s="47" t="s">
        <v>5921</v>
      </c>
      <c r="AG7" s="47" t="s">
        <v>5963</v>
      </c>
    </row>
    <row customHeight="1" ht="12">
      <c r="A8" s="74" t="s">
        <v>5964</v>
      </c>
      <c r="B8" s="73" t="s">
        <v>5965</v>
      </c>
      <c r="C8" s="74" t="s">
        <v>5964</v>
      </c>
      <c r="D8" s="129"/>
      <c r="E8" s="129"/>
      <c r="F8" s="129"/>
      <c r="G8" s="133" t="s">
        <v>5966</v>
      </c>
      <c r="H8" s="129"/>
      <c r="I8" s="129"/>
      <c r="J8" s="129"/>
      <c r="K8" s="131" t="s">
        <v>5967</v>
      </c>
      <c r="L8" s="129"/>
      <c r="M8" s="132" cm="1" t="str">
        <f t="array" ref="M8:M8">IF(god="",YEAR(TODAY()),god)</f>
        <v>2026</v>
      </c>
      <c r="N8" s="129"/>
      <c r="O8" s="129"/>
      <c r="P8" s="129"/>
      <c r="Q8" s="131">
        <v>2018</v>
      </c>
      <c r="R8" s="131" t="s">
        <v>5968</v>
      </c>
      <c r="S8" s="131">
        <v>9</v>
      </c>
      <c r="V8" s="147" t="s">
        <v>5969</v>
      </c>
      <c r="X8" s="147" t="s">
        <v>5970</v>
      </c>
      <c r="Z8" s="147" t="s">
        <v>5971</v>
      </c>
      <c r="AB8" s="136" t="s">
        <v>5972</v>
      </c>
      <c r="AC8" s="135"/>
      <c r="AD8" s="135"/>
      <c r="AE8" s="135"/>
      <c r="AF8" s="47" t="s">
        <v>5931</v>
      </c>
      <c r="AG8" s="47" t="s">
        <v>5973</v>
      </c>
    </row>
    <row customHeight="1" ht="12">
      <c r="A9" s="74" t="s">
        <v>5974</v>
      </c>
      <c r="B9" s="73" t="s">
        <v>5975</v>
      </c>
      <c r="C9" s="74" t="s">
        <v>5974</v>
      </c>
      <c r="D9" s="129"/>
      <c r="E9" s="129"/>
      <c r="F9" s="129"/>
      <c r="G9" s="133" t="s">
        <v>5976</v>
      </c>
      <c r="H9" s="129"/>
      <c r="I9" s="129"/>
      <c r="J9" s="129"/>
      <c r="K9" s="131" t="s">
        <v>5977</v>
      </c>
      <c r="L9" s="129"/>
      <c r="M9" s="129"/>
      <c r="N9" s="129"/>
      <c r="O9" s="129"/>
      <c r="P9" s="129"/>
      <c r="Q9" s="131">
        <v>2019</v>
      </c>
      <c r="R9" s="131" t="s">
        <v>5978</v>
      </c>
      <c r="S9" s="131">
        <v>10</v>
      </c>
      <c r="V9" s="147" t="s">
        <v>5979</v>
      </c>
      <c r="X9" s="147" t="s">
        <v>5980</v>
      </c>
      <c r="AB9" s="136" t="s">
        <v>5981</v>
      </c>
      <c r="AC9" s="135"/>
      <c r="AD9" s="135"/>
      <c r="AE9" s="135"/>
      <c r="AF9" s="47" t="s">
        <v>5944</v>
      </c>
      <c r="AG9" s="47" t="s">
        <v>5982</v>
      </c>
    </row>
    <row customHeight="1" ht="12">
      <c r="A10" s="74" t="s">
        <v>5983</v>
      </c>
      <c r="B10" s="73" t="s">
        <v>5984</v>
      </c>
      <c r="C10" s="74" t="s">
        <v>5983</v>
      </c>
      <c r="D10" s="129"/>
      <c r="E10" s="129"/>
      <c r="F10" s="129"/>
      <c r="G10" s="134"/>
      <c r="H10" s="129"/>
      <c r="I10" s="129"/>
      <c r="J10" s="129"/>
      <c r="K10" s="131" t="s">
        <v>5985</v>
      </c>
      <c r="L10" s="129"/>
      <c r="M10" s="130" t="s">
        <v>5986</v>
      </c>
      <c r="N10" s="129"/>
      <c r="O10" s="129"/>
      <c r="P10" s="129"/>
      <c r="Q10" s="131">
        <v>2020</v>
      </c>
      <c r="R10" s="131" t="s">
        <v>5987</v>
      </c>
      <c r="S10" s="131">
        <v>11</v>
      </c>
      <c r="V10" s="147" t="s">
        <v>5988</v>
      </c>
      <c r="X10" s="147" t="s">
        <v>5989</v>
      </c>
      <c r="AB10" s="136" t="s">
        <v>5990</v>
      </c>
      <c r="AC10" s="135"/>
      <c r="AD10" s="135"/>
      <c r="AE10" s="135"/>
      <c r="AF10" s="47" t="s">
        <v>5953</v>
      </c>
      <c r="AG10" s="47" t="s">
        <v>5991</v>
      </c>
    </row>
    <row customHeight="1" ht="12">
      <c r="A11" s="380" t="s">
        <v>5992</v>
      </c>
      <c r="B11" s="73" t="s">
        <v>5993</v>
      </c>
      <c r="C11" s="74" t="s">
        <v>5994</v>
      </c>
      <c r="D11" s="129"/>
      <c r="E11" s="129"/>
      <c r="F11" s="129"/>
      <c r="G11" s="130" t="s">
        <v>5995</v>
      </c>
      <c r="H11" s="129"/>
      <c r="I11" s="129"/>
      <c r="J11" s="129"/>
      <c r="K11" s="131" t="s">
        <v>5996</v>
      </c>
      <c r="L11" s="129"/>
      <c r="M11" s="132" t="str">
        <f>"01.01."&amp;PERIOD</f>
        <v>01.01.2026</v>
      </c>
      <c r="N11" s="129"/>
      <c r="O11" s="129"/>
      <c r="P11" s="129"/>
      <c r="Q11" s="131">
        <v>2021</v>
      </c>
      <c r="R11" s="131" t="s">
        <v>5997</v>
      </c>
      <c r="S11" s="131">
        <v>12</v>
      </c>
      <c r="V11" s="147" t="s">
        <v>5998</v>
      </c>
      <c r="X11" s="147" t="s">
        <v>4651</v>
      </c>
      <c r="AB11" s="136" t="s">
        <v>5999</v>
      </c>
      <c r="AC11" s="135"/>
      <c r="AD11" s="135"/>
      <c r="AE11" s="135"/>
      <c r="AF11" s="47" t="s">
        <v>5963</v>
      </c>
      <c r="AG11" s="47" t="s">
        <v>6000</v>
      </c>
    </row>
    <row customHeight="1" ht="12">
      <c r="A12" s="380" t="s">
        <v>6001</v>
      </c>
      <c r="B12" s="73" t="s">
        <v>6002</v>
      </c>
      <c r="C12" s="74"/>
      <c r="D12" s="129"/>
      <c r="E12" s="129"/>
      <c r="F12" s="129"/>
      <c r="G12" s="130" t="s">
        <v>6003</v>
      </c>
      <c r="H12" s="129"/>
      <c r="I12" s="129"/>
      <c r="J12" s="129"/>
      <c r="K12" s="129"/>
      <c r="L12" s="129"/>
      <c r="M12" s="132" t="str">
        <f>"31.12."&amp;PERIOD</f>
        <v>31.12.2026</v>
      </c>
      <c r="N12" s="129"/>
      <c r="O12" s="129"/>
      <c r="P12" s="129"/>
      <c r="Q12" s="131">
        <v>2022</v>
      </c>
      <c r="R12" s="131" t="s">
        <v>6004</v>
      </c>
      <c r="S12" s="131">
        <v>13</v>
      </c>
      <c r="X12" s="147" t="s">
        <v>6005</v>
      </c>
      <c r="AB12" s="136" t="s">
        <v>6006</v>
      </c>
      <c r="AC12" s="135"/>
      <c r="AD12" s="135"/>
      <c r="AE12" s="135"/>
      <c r="AF12" s="47" t="s">
        <v>5973</v>
      </c>
      <c r="AG12" s="47" t="s">
        <v>6007</v>
      </c>
    </row>
    <row customHeight="1" ht="12">
      <c r="A13" s="380" t="s">
        <v>6008</v>
      </c>
      <c r="B13" s="73" t="s">
        <v>6009</v>
      </c>
      <c r="C13" s="74" t="s">
        <v>6010</v>
      </c>
      <c r="D13" s="129"/>
      <c r="E13" s="129"/>
      <c r="F13" s="129"/>
      <c r="G13" s="133" t="s">
        <v>6011</v>
      </c>
      <c r="H13" s="129"/>
      <c r="I13" s="129"/>
      <c r="J13" s="129"/>
      <c r="K13" s="431" t="s">
        <v>6012</v>
      </c>
      <c r="L13" s="129"/>
      <c r="M13" s="129"/>
      <c r="N13" s="129"/>
      <c r="O13" s="129"/>
      <c r="P13" s="129"/>
      <c r="Q13" s="131">
        <v>2023</v>
      </c>
      <c r="R13" s="131" t="s">
        <v>6013</v>
      </c>
      <c r="S13" s="131">
        <v>14</v>
      </c>
      <c r="X13" s="147" t="s">
        <v>6014</v>
      </c>
      <c r="AB13" s="136" t="s">
        <v>6015</v>
      </c>
      <c r="AC13" s="135"/>
      <c r="AD13" s="135"/>
      <c r="AE13" s="135"/>
      <c r="AF13" s="47" t="s">
        <v>5982</v>
      </c>
      <c r="AG13" s="47" t="s">
        <v>6016</v>
      </c>
    </row>
    <row customHeight="1" ht="12">
      <c r="A14" s="380" t="s">
        <v>6017</v>
      </c>
      <c r="B14" s="73" t="s">
        <v>6018</v>
      </c>
      <c r="C14" s="74" t="s">
        <v>6019</v>
      </c>
      <c r="D14" s="129"/>
      <c r="E14" s="129"/>
      <c r="F14" s="129"/>
      <c r="G14" s="133" t="s">
        <v>6020</v>
      </c>
      <c r="H14" s="129"/>
      <c r="I14" s="129"/>
      <c r="J14" s="129"/>
      <c r="K14" s="432" t="s">
        <v>5607</v>
      </c>
      <c r="L14" s="129"/>
      <c r="M14" s="130" t="s">
        <v>6021</v>
      </c>
      <c r="N14" s="129"/>
      <c r="O14" s="129"/>
      <c r="P14" s="129"/>
      <c r="Q14" s="131">
        <v>2024</v>
      </c>
      <c r="R14" s="129"/>
      <c r="S14" s="131">
        <v>15</v>
      </c>
      <c r="X14" s="147" t="s">
        <v>6022</v>
      </c>
      <c r="AB14" s="136" t="s">
        <v>6023</v>
      </c>
      <c r="AC14" s="135"/>
      <c r="AD14" s="135"/>
      <c r="AE14" s="135"/>
      <c r="AF14" s="47" t="s">
        <v>5991</v>
      </c>
      <c r="AG14" s="47" t="s">
        <v>6024</v>
      </c>
    </row>
    <row customHeight="1" ht="12">
      <c r="A15" s="381" t="s">
        <v>6025</v>
      </c>
      <c r="B15" s="382"/>
      <c r="C15" s="381"/>
      <c r="D15" s="129"/>
      <c r="E15" s="129"/>
      <c r="F15" s="129"/>
      <c r="G15" s="133" t="s">
        <v>6026</v>
      </c>
      <c r="H15" s="129"/>
      <c r="I15" s="129"/>
      <c r="J15" s="129"/>
      <c r="K15" s="432" t="s">
        <v>5631</v>
      </c>
      <c r="L15" s="129"/>
      <c r="M15" s="132" t="str">
        <f>"01.01."&amp;PERIOD</f>
        <v>01.01.2026</v>
      </c>
      <c r="N15" s="129"/>
      <c r="O15" s="129"/>
      <c r="P15" s="129"/>
      <c r="Q15" s="131">
        <v>2025</v>
      </c>
      <c r="R15" s="129"/>
      <c r="S15" s="131">
        <v>16</v>
      </c>
      <c r="AB15" s="136" t="s">
        <v>6027</v>
      </c>
      <c r="AC15" s="135"/>
      <c r="AD15" s="135"/>
      <c r="AE15" s="135"/>
      <c r="AF15" s="47" t="s">
        <v>6000</v>
      </c>
      <c r="AG15" s="47" t="s">
        <v>6028</v>
      </c>
    </row>
    <row customHeight="1" ht="12">
      <c r="A16" s="74" t="s">
        <v>6029</v>
      </c>
      <c r="B16" s="73" t="s">
        <v>6030</v>
      </c>
      <c r="C16" s="74" t="s">
        <v>6029</v>
      </c>
      <c r="D16" s="129"/>
      <c r="E16" s="129"/>
      <c r="F16" s="129"/>
      <c r="G16" s="133" t="s">
        <v>157</v>
      </c>
      <c r="H16" s="129"/>
      <c r="I16" s="129"/>
      <c r="J16" s="129"/>
      <c r="K16" s="432" t="s">
        <v>103</v>
      </c>
      <c r="L16" s="129"/>
      <c r="M16" s="132" t="str">
        <f>"31.12."&amp;PERIOD</f>
        <v>31.12.2026</v>
      </c>
      <c r="N16" s="129"/>
      <c r="O16" s="129"/>
      <c r="P16" s="129"/>
      <c r="Q16" s="131">
        <v>2026</v>
      </c>
      <c r="R16" s="129"/>
      <c r="S16" s="131">
        <v>17</v>
      </c>
      <c r="X16" s="137" t="s">
        <v>6031</v>
      </c>
      <c r="AB16" s="136" t="s">
        <v>6032</v>
      </c>
      <c r="AC16" s="135"/>
      <c r="AD16" s="135"/>
      <c r="AE16" s="135"/>
      <c r="AF16" s="47" t="s">
        <v>6007</v>
      </c>
      <c r="AG16" s="47" t="s">
        <v>6033</v>
      </c>
    </row>
    <row customHeight="1" ht="23.25">
      <c r="A17" s="74" t="s">
        <v>6034</v>
      </c>
      <c r="B17" s="73" t="s">
        <v>6035</v>
      </c>
      <c r="C17" s="74" t="s">
        <v>6034</v>
      </c>
      <c r="D17" s="129"/>
      <c r="E17" s="129"/>
      <c r="F17" s="129"/>
      <c r="G17" s="129"/>
      <c r="H17" s="129"/>
      <c r="I17" s="129"/>
      <c r="J17" s="129"/>
      <c r="K17" s="432" t="s">
        <v>6036</v>
      </c>
      <c r="L17" s="129"/>
      <c r="M17" s="118"/>
      <c r="N17" s="129"/>
      <c r="O17" s="129"/>
      <c r="P17" s="129"/>
      <c r="Q17" s="131">
        <v>2027</v>
      </c>
      <c r="R17" s="129"/>
      <c r="S17" s="131">
        <v>18</v>
      </c>
      <c r="X17" s="147" t="s">
        <v>3603</v>
      </c>
      <c r="AB17" s="136" t="s">
        <v>6037</v>
      </c>
      <c r="AC17" s="135"/>
      <c r="AD17" s="135"/>
      <c r="AE17" s="135"/>
      <c r="AF17" s="47" t="s">
        <v>6016</v>
      </c>
      <c r="AG17" s="47" t="s">
        <v>773</v>
      </c>
    </row>
    <row customHeight="1" ht="12">
      <c r="A18" s="381" t="s">
        <v>6038</v>
      </c>
      <c r="B18" s="382"/>
      <c r="C18" s="381"/>
      <c r="D18" s="129"/>
      <c r="E18" s="129"/>
      <c r="F18" s="547"/>
      <c r="G18" s="130" t="s">
        <v>6039</v>
      </c>
      <c r="H18" s="129"/>
      <c r="I18" s="129"/>
      <c r="J18" s="129"/>
      <c r="K18" s="129"/>
      <c r="L18" s="129"/>
      <c r="M18" s="130" t="s">
        <v>6040</v>
      </c>
      <c r="N18" s="129"/>
      <c r="O18" s="129"/>
      <c r="P18" s="129"/>
      <c r="Q18" s="131">
        <v>2028</v>
      </c>
      <c r="R18" s="129"/>
      <c r="S18" s="131">
        <v>19</v>
      </c>
      <c r="X18" s="147" t="s">
        <v>6041</v>
      </c>
      <c r="AB18" s="136" t="s">
        <v>6042</v>
      </c>
      <c r="AC18" s="135"/>
      <c r="AD18" s="135"/>
      <c r="AE18" s="135"/>
      <c r="AF18" s="47" t="s">
        <v>6024</v>
      </c>
      <c r="AG18" s="47" t="s">
        <v>6043</v>
      </c>
    </row>
    <row customHeight="1" ht="12">
      <c r="A19" s="74" t="s">
        <v>6044</v>
      </c>
      <c r="B19" s="73" t="s">
        <v>6045</v>
      </c>
      <c r="C19" s="74" t="s">
        <v>6044</v>
      </c>
      <c r="D19" s="129"/>
      <c r="E19" s="129"/>
      <c r="F19" s="547"/>
      <c r="G19" s="546" t="s">
        <v>163</v>
      </c>
      <c r="H19" s="129"/>
      <c r="I19" s="129"/>
      <c r="J19" s="129"/>
      <c r="K19" s="431" t="s">
        <v>6046</v>
      </c>
      <c r="L19" s="129"/>
      <c r="M19" s="132" t="str">
        <f>"01.01."&amp;PERIOD</f>
        <v>01.01.2026</v>
      </c>
      <c r="N19" s="129"/>
      <c r="O19" s="129"/>
      <c r="P19" s="129"/>
      <c r="Q19" s="131">
        <v>2029</v>
      </c>
      <c r="R19" s="129"/>
      <c r="S19" s="131">
        <v>20</v>
      </c>
      <c r="X19" s="147" t="s">
        <v>419</v>
      </c>
      <c r="AB19" s="136" t="s">
        <v>6047</v>
      </c>
      <c r="AC19" s="135"/>
      <c r="AD19" s="135"/>
      <c r="AE19" s="135"/>
      <c r="AF19" s="47" t="s">
        <v>6028</v>
      </c>
      <c r="AG19" s="47" t="s">
        <v>6048</v>
      </c>
    </row>
    <row customHeight="1" ht="12">
      <c r="A20" s="74" t="s">
        <v>6049</v>
      </c>
      <c r="B20" s="73" t="s">
        <v>6050</v>
      </c>
      <c r="C20" s="74" t="s">
        <v>6049</v>
      </c>
      <c r="D20" s="129"/>
      <c r="E20" s="129"/>
      <c r="F20" s="547"/>
      <c r="G20" s="546" t="s">
        <v>6051</v>
      </c>
      <c r="H20" s="129"/>
      <c r="I20" s="129"/>
      <c r="J20" s="129"/>
      <c r="K20" s="432" t="s">
        <v>6052</v>
      </c>
      <c r="L20" s="129"/>
      <c r="M20" s="132" t="str">
        <f>"31.12."&amp;PERIOD</f>
        <v>31.12.2026</v>
      </c>
      <c r="N20" s="129"/>
      <c r="O20" s="129"/>
      <c r="P20" s="129"/>
      <c r="Q20" s="131">
        <v>2030</v>
      </c>
      <c r="R20" s="129"/>
      <c r="S20" s="131">
        <v>21</v>
      </c>
      <c r="X20" s="147" t="s">
        <v>200</v>
      </c>
      <c r="AB20" s="136" t="s">
        <v>6053</v>
      </c>
      <c r="AC20" s="135"/>
      <c r="AD20" s="135"/>
      <c r="AE20" s="135"/>
      <c r="AF20" s="47" t="s">
        <v>6033</v>
      </c>
      <c r="AG20" s="47" t="s">
        <v>6054</v>
      </c>
    </row>
    <row customHeight="1" ht="12">
      <c r="A21" s="74" t="s">
        <v>6055</v>
      </c>
      <c r="B21" s="73" t="s">
        <v>6056</v>
      </c>
      <c r="C21" s="74" t="s">
        <v>6057</v>
      </c>
      <c r="D21" s="129"/>
      <c r="E21" s="129"/>
      <c r="F21" s="129"/>
      <c r="G21" s="129"/>
      <c r="H21" s="129"/>
      <c r="I21" s="129"/>
      <c r="J21" s="129"/>
      <c r="K21" s="432" t="s">
        <v>6058</v>
      </c>
      <c r="L21" s="129"/>
      <c r="M21" s="129"/>
      <c r="N21" s="129"/>
      <c r="O21" s="129"/>
      <c r="P21" s="129"/>
      <c r="Q21" s="129"/>
      <c r="R21" s="129"/>
      <c r="S21" s="131">
        <v>22</v>
      </c>
      <c r="X21" s="147" t="s">
        <v>6059</v>
      </c>
      <c r="AB21" s="136" t="s">
        <v>6060</v>
      </c>
      <c r="AC21" s="135"/>
      <c r="AD21" s="135"/>
      <c r="AE21" s="135"/>
      <c r="AF21" s="47" t="s">
        <v>773</v>
      </c>
      <c r="AG21" s="47" t="s">
        <v>6061</v>
      </c>
    </row>
    <row customHeight="1" ht="12">
      <c r="A22" s="74" t="s">
        <v>6062</v>
      </c>
      <c r="B22" s="73" t="s">
        <v>6063</v>
      </c>
      <c r="C22" s="74" t="s">
        <v>6062</v>
      </c>
      <c r="D22" s="129"/>
      <c r="E22" s="129"/>
      <c r="F22" s="129"/>
      <c r="G22" s="129"/>
      <c r="H22" s="129"/>
      <c r="I22" s="129"/>
      <c r="J22" s="129"/>
      <c r="K22" s="432" t="s">
        <v>6064</v>
      </c>
      <c r="L22" s="129"/>
      <c r="M22" s="129"/>
      <c r="N22" s="129"/>
      <c r="O22" s="129"/>
      <c r="P22" s="129"/>
      <c r="Q22" s="129"/>
      <c r="R22" s="129"/>
      <c r="S22" s="131">
        <v>23</v>
      </c>
      <c r="X22" s="147" t="s">
        <v>6065</v>
      </c>
      <c r="AB22" s="136" t="s">
        <v>6066</v>
      </c>
      <c r="AC22" s="135"/>
      <c r="AD22" s="135"/>
      <c r="AE22" s="135"/>
      <c r="AF22" s="47" t="s">
        <v>6043</v>
      </c>
      <c r="AG22" s="47" t="s">
        <v>6067</v>
      </c>
    </row>
    <row customHeight="1" ht="12">
      <c r="A23" s="74" t="s">
        <v>6068</v>
      </c>
      <c r="B23" s="73" t="s">
        <v>6069</v>
      </c>
      <c r="C23" s="74" t="s">
        <v>6068</v>
      </c>
      <c r="D23" s="129"/>
      <c r="E23" s="129"/>
      <c r="F23" s="129"/>
      <c r="G23" s="129"/>
      <c r="H23" s="129"/>
      <c r="I23" s="129"/>
      <c r="J23" s="129"/>
      <c r="K23" s="432" t="s">
        <v>6070</v>
      </c>
      <c r="L23" s="129"/>
      <c r="M23" s="129"/>
      <c r="N23" s="129"/>
      <c r="O23" s="129"/>
      <c r="P23" s="129"/>
      <c r="Q23" s="129"/>
      <c r="R23" s="129"/>
      <c r="S23" s="131">
        <v>24</v>
      </c>
      <c r="X23" s="147" t="s">
        <v>6071</v>
      </c>
      <c r="AF23" s="47" t="s">
        <v>6048</v>
      </c>
      <c r="AG23" s="47" t="s">
        <v>6072</v>
      </c>
    </row>
    <row customHeight="1" ht="12">
      <c r="A24" s="74" t="s">
        <v>6073</v>
      </c>
      <c r="B24" s="73" t="s">
        <v>6074</v>
      </c>
      <c r="C24" s="74" t="s">
        <v>6073</v>
      </c>
      <c r="D24" s="129"/>
      <c r="E24" s="129"/>
      <c r="F24" s="129"/>
      <c r="G24" s="129"/>
      <c r="H24" s="129"/>
      <c r="I24" s="129"/>
      <c r="J24" s="129"/>
      <c r="K24" s="432" t="s">
        <v>5627</v>
      </c>
      <c r="L24" s="129"/>
      <c r="M24" s="129"/>
      <c r="N24" s="129"/>
      <c r="O24" s="129"/>
      <c r="P24" s="129"/>
      <c r="Q24" s="129"/>
      <c r="R24" s="129"/>
      <c r="S24" s="131">
        <v>25</v>
      </c>
      <c r="X24" s="147" t="s">
        <v>6075</v>
      </c>
      <c r="AF24" s="47" t="s">
        <v>6054</v>
      </c>
      <c r="AG24" s="47" t="s">
        <v>6076</v>
      </c>
    </row>
    <row customHeight="1" ht="12">
      <c r="A25" s="74" t="s">
        <v>6077</v>
      </c>
      <c r="B25" s="73" t="s">
        <v>6078</v>
      </c>
      <c r="C25" s="74" t="s">
        <v>6079</v>
      </c>
      <c r="D25" s="129"/>
      <c r="E25" s="129"/>
      <c r="F25" s="129"/>
      <c r="G25" s="129"/>
      <c r="H25" s="129"/>
      <c r="I25" s="129"/>
      <c r="J25" s="129"/>
      <c r="K25" s="129"/>
      <c r="L25" s="129"/>
      <c r="M25" s="129"/>
      <c r="N25" s="129"/>
      <c r="O25" s="129"/>
      <c r="P25" s="129"/>
      <c r="Q25" s="129"/>
      <c r="R25" s="129"/>
      <c r="S25" s="131">
        <v>26</v>
      </c>
      <c r="X25" s="147" t="s">
        <v>5342</v>
      </c>
      <c r="AF25" s="47" t="s">
        <v>6061</v>
      </c>
      <c r="AG25" s="47" t="s">
        <v>6080</v>
      </c>
    </row>
    <row customHeight="1" ht="12">
      <c r="A26" s="74" t="s">
        <v>101</v>
      </c>
      <c r="B26" s="73" t="s">
        <v>6081</v>
      </c>
      <c r="C26" s="74" t="s">
        <v>101</v>
      </c>
      <c r="D26" s="129"/>
      <c r="E26" s="129"/>
      <c r="F26" s="129"/>
      <c r="G26" s="129"/>
      <c r="H26" s="129"/>
      <c r="I26" s="129"/>
      <c r="J26" s="129"/>
      <c r="K26" s="431" t="s">
        <v>6082</v>
      </c>
      <c r="L26" s="129"/>
      <c r="M26" s="129"/>
      <c r="N26" s="129"/>
      <c r="O26" s="129"/>
      <c r="P26" s="129"/>
      <c r="Q26" s="129"/>
      <c r="R26" s="129"/>
      <c r="S26" s="131">
        <v>27</v>
      </c>
      <c r="X26" s="147" t="s">
        <v>6083</v>
      </c>
      <c r="AF26" s="47" t="s">
        <v>6067</v>
      </c>
      <c r="AG26" s="47" t="s">
        <v>6084</v>
      </c>
    </row>
    <row customHeight="1" ht="12">
      <c r="A27" s="74" t="s">
        <v>6085</v>
      </c>
      <c r="B27" s="73" t="s">
        <v>6086</v>
      </c>
      <c r="C27" s="74" t="s">
        <v>6085</v>
      </c>
      <c r="D27" s="129"/>
      <c r="E27" s="129"/>
      <c r="F27" s="129"/>
      <c r="G27" s="129"/>
      <c r="H27" s="129"/>
      <c r="I27" s="129"/>
      <c r="J27" s="129"/>
      <c r="K27" s="432" t="s">
        <v>6087</v>
      </c>
      <c r="L27" s="129"/>
      <c r="M27" s="129"/>
      <c r="N27" s="129"/>
      <c r="O27" s="129"/>
      <c r="P27" s="129"/>
      <c r="Q27" s="129"/>
      <c r="R27" s="129"/>
      <c r="S27" s="131">
        <v>28</v>
      </c>
      <c r="X27" s="147" t="s">
        <v>6088</v>
      </c>
      <c r="AF27" s="47" t="s">
        <v>6072</v>
      </c>
      <c r="AG27" s="47" t="s">
        <v>6089</v>
      </c>
    </row>
    <row customHeight="1" ht="12">
      <c r="A28" s="74" t="s">
        <v>6090</v>
      </c>
      <c r="B28" s="73" t="s">
        <v>6091</v>
      </c>
      <c r="C28" s="74" t="s">
        <v>6090</v>
      </c>
      <c r="D28" s="129"/>
      <c r="E28" s="129"/>
      <c r="F28" s="129"/>
      <c r="G28" s="129"/>
      <c r="H28" s="129"/>
      <c r="I28" s="129"/>
      <c r="J28" s="129"/>
      <c r="K28" s="432" t="s">
        <v>6092</v>
      </c>
      <c r="L28" s="129"/>
      <c r="M28" s="129"/>
      <c r="N28" s="129"/>
      <c r="O28" s="129"/>
      <c r="P28" s="129"/>
      <c r="Q28" s="129"/>
      <c r="R28" s="129"/>
      <c r="S28" s="131">
        <v>29</v>
      </c>
      <c r="X28" s="147" t="s">
        <v>6093</v>
      </c>
      <c r="AF28" s="47" t="s">
        <v>6076</v>
      </c>
      <c r="AG28" s="47" t="s">
        <v>6094</v>
      </c>
    </row>
    <row customHeight="1" ht="12">
      <c r="A29" s="74" t="s">
        <v>6095</v>
      </c>
      <c r="B29" s="73" t="s">
        <v>6096</v>
      </c>
      <c r="C29" s="74" t="s">
        <v>6095</v>
      </c>
      <c r="D29" s="129"/>
      <c r="E29" s="129"/>
      <c r="F29" s="129"/>
      <c r="G29" s="129"/>
      <c r="H29" s="129"/>
      <c r="I29" s="129"/>
      <c r="J29" s="129"/>
      <c r="K29" s="432" t="s">
        <v>274</v>
      </c>
      <c r="L29" s="129"/>
      <c r="M29" s="129"/>
      <c r="N29" s="129"/>
      <c r="O29" s="129"/>
      <c r="P29" s="129"/>
      <c r="Q29" s="129"/>
      <c r="R29" s="129"/>
      <c r="S29" s="131">
        <v>30</v>
      </c>
      <c r="X29" s="147" t="s">
        <v>6097</v>
      </c>
      <c r="AF29" s="47" t="s">
        <v>6080</v>
      </c>
      <c r="AG29" s="47" t="s">
        <v>6098</v>
      </c>
    </row>
    <row customHeight="1" ht="12">
      <c r="A30" s="74" t="s">
        <v>6099</v>
      </c>
      <c r="B30" s="73" t="s">
        <v>6100</v>
      </c>
      <c r="C30" s="74" t="s">
        <v>6099</v>
      </c>
      <c r="D30" s="129"/>
      <c r="E30" s="129"/>
      <c r="F30" s="129"/>
      <c r="G30" s="129"/>
      <c r="H30" s="129"/>
      <c r="I30" s="129"/>
      <c r="J30" s="129"/>
      <c r="K30" s="129"/>
      <c r="L30" s="129"/>
      <c r="M30" s="129"/>
      <c r="N30" s="129"/>
      <c r="O30" s="129"/>
      <c r="P30" s="129"/>
      <c r="Q30" s="129"/>
      <c r="R30" s="129"/>
      <c r="S30" s="131">
        <v>31</v>
      </c>
      <c r="X30" s="147" t="s">
        <v>6101</v>
      </c>
      <c r="AF30" s="47" t="s">
        <v>6084</v>
      </c>
      <c r="AG30" s="47" t="s">
        <v>6102</v>
      </c>
    </row>
    <row customHeight="1" ht="12">
      <c r="A31" s="74" t="s">
        <v>6103</v>
      </c>
      <c r="B31" s="73" t="s">
        <v>6104</v>
      </c>
      <c r="C31" s="74" t="s">
        <v>6103</v>
      </c>
      <c r="D31" s="129"/>
      <c r="E31" s="129"/>
      <c r="F31" s="129"/>
      <c r="G31" s="129"/>
      <c r="H31" s="129"/>
      <c r="I31" s="129"/>
      <c r="J31" s="129"/>
      <c r="K31" s="129"/>
      <c r="L31" s="129"/>
      <c r="M31" s="129"/>
      <c r="N31" s="129"/>
      <c r="O31" s="129"/>
      <c r="P31" s="129"/>
      <c r="Q31" s="129"/>
      <c r="R31" s="129"/>
      <c r="S31" s="131">
        <v>32</v>
      </c>
      <c r="X31" s="147" t="s">
        <v>6105</v>
      </c>
      <c r="AF31" s="47" t="s">
        <v>6106</v>
      </c>
      <c r="AG31" s="47" t="s">
        <v>6107</v>
      </c>
    </row>
    <row customHeight="1" ht="12">
      <c r="A32" s="74" t="s">
        <v>6108</v>
      </c>
      <c r="B32" s="73" t="s">
        <v>6109</v>
      </c>
      <c r="C32" s="74" t="s">
        <v>6108</v>
      </c>
      <c r="D32" s="129"/>
      <c r="E32" s="129"/>
      <c r="F32" s="129"/>
      <c r="G32" s="129"/>
      <c r="H32" s="129"/>
      <c r="I32" s="129"/>
      <c r="J32" s="129"/>
      <c r="K32" s="129"/>
      <c r="L32" s="129"/>
      <c r="M32" s="129"/>
      <c r="N32" s="129"/>
      <c r="O32" s="129"/>
      <c r="P32" s="129"/>
      <c r="Q32" s="129"/>
      <c r="R32" s="129"/>
      <c r="S32" s="131">
        <v>33</v>
      </c>
      <c r="X32" s="147" t="s">
        <v>6110</v>
      </c>
      <c r="AF32" s="0" t="s">
        <v>6111</v>
      </c>
      <c r="AG32" s="0" t="s">
        <v>6112</v>
      </c>
    </row>
    <row customHeight="1" ht="12">
      <c r="A33" s="74" t="s">
        <v>6113</v>
      </c>
      <c r="B33" s="73" t="s">
        <v>6114</v>
      </c>
      <c r="C33" s="74" t="s">
        <v>6113</v>
      </c>
      <c r="D33" s="129"/>
      <c r="E33" s="129"/>
      <c r="F33" s="129"/>
      <c r="G33" s="129"/>
      <c r="H33" s="129"/>
      <c r="I33" s="129"/>
      <c r="J33" s="129"/>
      <c r="K33" s="129"/>
      <c r="L33" s="129"/>
      <c r="M33" s="129"/>
      <c r="N33" s="129"/>
      <c r="O33" s="129"/>
      <c r="P33" s="129"/>
      <c r="Q33" s="129"/>
      <c r="R33" s="129"/>
      <c r="S33" s="131">
        <v>34</v>
      </c>
      <c r="X33" s="147" t="s">
        <v>6115</v>
      </c>
      <c r="AF33" s="0" t="s">
        <v>6116</v>
      </c>
      <c r="AG33" s="0" t="s">
        <v>6117</v>
      </c>
    </row>
    <row customHeight="1" ht="12">
      <c r="A34" s="74" t="s">
        <v>6118</v>
      </c>
      <c r="B34" s="73" t="s">
        <v>6119</v>
      </c>
      <c r="C34" s="74" t="s">
        <v>6118</v>
      </c>
      <c r="D34" s="129"/>
      <c r="E34" s="129"/>
      <c r="F34" s="129"/>
      <c r="G34" s="129"/>
      <c r="H34" s="129"/>
      <c r="I34" s="129"/>
      <c r="J34" s="129"/>
      <c r="K34" s="129"/>
      <c r="L34" s="129"/>
      <c r="M34" s="129"/>
      <c r="N34" s="129"/>
      <c r="O34" s="129"/>
      <c r="P34" s="129"/>
      <c r="Q34" s="129"/>
      <c r="R34" s="129"/>
      <c r="S34" s="131">
        <v>35</v>
      </c>
      <c r="X34" s="147" t="s">
        <v>6120</v>
      </c>
      <c r="AF34" s="0" t="s">
        <v>6121</v>
      </c>
      <c r="AG34" s="0" t="s">
        <v>6122</v>
      </c>
    </row>
    <row customHeight="1" ht="12">
      <c r="A35" s="381" t="s">
        <v>6123</v>
      </c>
      <c r="B35" s="382"/>
      <c r="C35" s="381"/>
      <c r="D35" s="129"/>
      <c r="E35" s="129"/>
      <c r="F35" s="129"/>
      <c r="G35" s="129"/>
      <c r="H35" s="129"/>
      <c r="I35" s="129"/>
      <c r="J35" s="129"/>
      <c r="K35" s="129"/>
      <c r="L35" s="129"/>
      <c r="M35" s="129"/>
      <c r="N35" s="129"/>
      <c r="O35" s="129"/>
      <c r="P35" s="129"/>
      <c r="Q35" s="129"/>
      <c r="R35" s="129"/>
      <c r="S35" s="131">
        <v>36</v>
      </c>
      <c r="X35" s="147" t="s">
        <v>6124</v>
      </c>
      <c r="AF35" s="0" t="s">
        <v>6125</v>
      </c>
      <c r="AG35" s="0" t="s">
        <v>6126</v>
      </c>
    </row>
    <row customHeight="1" ht="12">
      <c r="A36" s="74" t="s">
        <v>6127</v>
      </c>
      <c r="B36" s="73" t="s">
        <v>6128</v>
      </c>
      <c r="C36" s="74" t="s">
        <v>6127</v>
      </c>
      <c r="D36" s="129"/>
      <c r="E36" s="129"/>
      <c r="F36" s="129"/>
      <c r="G36" s="129"/>
      <c r="H36" s="129"/>
      <c r="I36" s="129"/>
      <c r="J36" s="129"/>
      <c r="K36" s="129"/>
      <c r="L36" s="129"/>
      <c r="M36" s="129"/>
      <c r="N36" s="129"/>
      <c r="O36" s="129"/>
      <c r="P36" s="129"/>
      <c r="Q36" s="129"/>
      <c r="R36" s="129"/>
      <c r="S36" s="131">
        <v>37</v>
      </c>
      <c r="X36" s="147" t="s">
        <v>6129</v>
      </c>
      <c r="AF36" s="0" t="s">
        <v>6130</v>
      </c>
      <c r="AG36" s="0" t="s">
        <v>6131</v>
      </c>
    </row>
    <row customHeight="1" ht="12">
      <c r="A37" s="74" t="s">
        <v>6132</v>
      </c>
      <c r="B37" s="73" t="s">
        <v>6133</v>
      </c>
      <c r="C37" s="74" t="s">
        <v>6132</v>
      </c>
      <c r="D37" s="129"/>
      <c r="E37" s="129"/>
      <c r="F37" s="129"/>
      <c r="G37" s="129"/>
      <c r="H37" s="129"/>
      <c r="I37" s="129"/>
      <c r="J37" s="129"/>
      <c r="K37" s="129"/>
      <c r="L37" s="129"/>
      <c r="M37" s="129"/>
      <c r="N37" s="129"/>
      <c r="O37" s="129"/>
      <c r="P37" s="129"/>
      <c r="Q37" s="129"/>
      <c r="R37" s="129"/>
      <c r="S37" s="131">
        <v>38</v>
      </c>
      <c r="AF37" s="0" t="s">
        <v>6134</v>
      </c>
      <c r="AG37" s="0" t="s">
        <v>6135</v>
      </c>
    </row>
    <row customHeight="1" ht="12">
      <c r="A38" s="74" t="s">
        <v>6136</v>
      </c>
      <c r="B38" s="73" t="s">
        <v>6137</v>
      </c>
      <c r="C38" s="74" t="s">
        <v>6136</v>
      </c>
      <c r="D38" s="129"/>
      <c r="E38" s="129"/>
      <c r="F38" s="129"/>
      <c r="G38" s="129"/>
      <c r="H38" s="129"/>
      <c r="I38" s="129"/>
      <c r="J38" s="129"/>
      <c r="K38" s="130" t="s">
        <v>6138</v>
      </c>
      <c r="L38" s="129"/>
      <c r="M38" s="129"/>
      <c r="N38" s="129"/>
      <c r="O38" s="129"/>
      <c r="P38" s="129"/>
      <c r="Q38" s="129"/>
      <c r="R38" s="129"/>
      <c r="S38" s="131">
        <v>39</v>
      </c>
      <c r="AF38" s="0" t="s">
        <v>6139</v>
      </c>
      <c r="AG38" s="0" t="s">
        <v>6140</v>
      </c>
    </row>
    <row customHeight="1" ht="12">
      <c r="A39" s="74" t="s">
        <v>6141</v>
      </c>
      <c r="B39" s="73" t="s">
        <v>6142</v>
      </c>
      <c r="C39" s="74" t="s">
        <v>6141</v>
      </c>
      <c r="D39" s="129"/>
      <c r="E39" s="129"/>
      <c r="F39" s="129"/>
      <c r="G39" s="129"/>
      <c r="H39" s="129"/>
      <c r="I39" s="129"/>
      <c r="J39" s="129"/>
      <c r="K39" s="432" t="s">
        <v>5607</v>
      </c>
      <c r="L39" s="129"/>
      <c r="M39" s="129"/>
      <c r="N39" s="129"/>
      <c r="O39" s="129"/>
      <c r="P39" s="129"/>
      <c r="Q39" s="129"/>
      <c r="R39" s="129"/>
      <c r="S39" s="131">
        <v>40</v>
      </c>
      <c r="AF39" s="0" t="s">
        <v>6143</v>
      </c>
      <c r="AG39" s="0" t="s">
        <v>6144</v>
      </c>
    </row>
    <row customHeight="1" ht="12">
      <c r="A40" s="74" t="s">
        <v>6145</v>
      </c>
      <c r="B40" s="73" t="s">
        <v>6146</v>
      </c>
      <c r="C40" s="74" t="s">
        <v>6145</v>
      </c>
      <c r="D40" s="129"/>
      <c r="E40" s="129"/>
      <c r="F40" s="129"/>
      <c r="G40" s="129"/>
      <c r="H40" s="129"/>
      <c r="I40" s="129"/>
      <c r="J40" s="129"/>
      <c r="K40" s="432" t="s">
        <v>5631</v>
      </c>
      <c r="L40" s="129"/>
      <c r="M40" s="129"/>
      <c r="N40" s="129"/>
      <c r="O40" s="129"/>
      <c r="P40" s="129"/>
      <c r="Q40" s="129"/>
      <c r="R40" s="129"/>
      <c r="S40" s="131">
        <v>41</v>
      </c>
      <c r="AF40" s="0" t="s">
        <v>6147</v>
      </c>
      <c r="AG40" s="0" t="s">
        <v>6148</v>
      </c>
    </row>
    <row customHeight="1" ht="12">
      <c r="A41" s="74" t="s">
        <v>6149</v>
      </c>
      <c r="B41" s="73" t="s">
        <v>6150</v>
      </c>
      <c r="C41" s="74" t="s">
        <v>6149</v>
      </c>
      <c r="D41" s="129"/>
      <c r="E41" s="129"/>
      <c r="F41" s="129"/>
      <c r="G41" s="129"/>
      <c r="H41" s="129"/>
      <c r="I41" s="129"/>
      <c r="J41" s="129"/>
      <c r="K41" s="432" t="s">
        <v>103</v>
      </c>
      <c r="L41" s="129"/>
      <c r="M41" s="129"/>
      <c r="N41" s="129"/>
      <c r="O41" s="129"/>
      <c r="P41" s="129"/>
      <c r="Q41" s="129"/>
      <c r="R41" s="129"/>
      <c r="S41" s="131">
        <v>42</v>
      </c>
      <c r="AF41" s="0" t="s">
        <v>6151</v>
      </c>
      <c r="AG41" s="0" t="s">
        <v>6152</v>
      </c>
    </row>
    <row customHeight="1" ht="27.75">
      <c r="A42" s="74" t="s">
        <v>6153</v>
      </c>
      <c r="B42" s="73" t="s">
        <v>6154</v>
      </c>
      <c r="C42" s="74" t="s">
        <v>6153</v>
      </c>
      <c r="D42" s="129"/>
      <c r="E42" s="129"/>
      <c r="F42" s="129"/>
      <c r="G42" s="129"/>
      <c r="H42" s="129"/>
      <c r="I42" s="129"/>
      <c r="J42" s="129"/>
      <c r="K42" s="432" t="s">
        <v>6036</v>
      </c>
      <c r="L42" s="129"/>
      <c r="M42" s="129"/>
      <c r="N42" s="129"/>
      <c r="O42" s="129"/>
      <c r="P42" s="129"/>
      <c r="Q42" s="129"/>
      <c r="R42" s="129"/>
      <c r="S42" s="131">
        <v>43</v>
      </c>
      <c r="AF42" s="0" t="s">
        <v>6155</v>
      </c>
      <c r="AG42" s="0" t="s">
        <v>6156</v>
      </c>
    </row>
    <row customHeight="1" ht="12">
      <c r="A43" s="74" t="s">
        <v>6157</v>
      </c>
      <c r="B43" s="73" t="s">
        <v>6158</v>
      </c>
      <c r="C43" s="74" t="s">
        <v>6157</v>
      </c>
      <c r="D43" s="129"/>
      <c r="E43" s="129"/>
      <c r="F43" s="129"/>
      <c r="G43" s="129"/>
      <c r="H43" s="129"/>
      <c r="I43" s="129"/>
      <c r="J43" s="129"/>
      <c r="K43" s="129"/>
      <c r="L43" s="129"/>
      <c r="M43" s="129"/>
      <c r="N43" s="129"/>
      <c r="O43" s="129"/>
      <c r="P43" s="129"/>
      <c r="Q43" s="129"/>
      <c r="R43" s="129"/>
      <c r="S43" s="131">
        <v>44</v>
      </c>
      <c r="AF43" s="0" t="s">
        <v>6159</v>
      </c>
      <c r="AG43" s="0" t="s">
        <v>6160</v>
      </c>
    </row>
    <row customHeight="1" ht="12">
      <c r="A44" s="74" t="s">
        <v>6161</v>
      </c>
      <c r="B44" s="73" t="s">
        <v>6162</v>
      </c>
      <c r="C44" s="74" t="s">
        <v>6161</v>
      </c>
      <c r="D44" s="129"/>
      <c r="E44" s="129"/>
      <c r="F44" s="129"/>
      <c r="G44" s="129"/>
      <c r="H44" s="129"/>
      <c r="I44" s="129"/>
      <c r="J44" s="129"/>
      <c r="K44" s="129"/>
      <c r="L44" s="129"/>
      <c r="M44" s="129"/>
      <c r="N44" s="129"/>
      <c r="O44" s="129"/>
      <c r="P44" s="129"/>
      <c r="Q44" s="129"/>
      <c r="R44" s="129"/>
      <c r="S44" s="131">
        <v>45</v>
      </c>
      <c r="AF44" s="0" t="s">
        <v>6163</v>
      </c>
      <c r="AG44" s="0" t="s">
        <v>6164</v>
      </c>
    </row>
    <row customHeight="1" ht="12">
      <c r="A45" s="74" t="s">
        <v>6165</v>
      </c>
      <c r="B45" s="73" t="s">
        <v>6166</v>
      </c>
      <c r="C45" s="74" t="s">
        <v>6165</v>
      </c>
      <c r="D45" s="129"/>
      <c r="E45" s="129"/>
      <c r="F45" s="129"/>
      <c r="G45" s="129"/>
      <c r="H45" s="129"/>
      <c r="I45" s="129"/>
      <c r="J45" s="129"/>
      <c r="K45" s="130" t="s">
        <v>6167</v>
      </c>
      <c r="L45" s="129"/>
      <c r="M45" s="129"/>
      <c r="N45" s="129"/>
      <c r="O45" s="129"/>
      <c r="P45" s="129"/>
      <c r="Q45" s="129"/>
      <c r="R45" s="129"/>
      <c r="S45" s="131">
        <v>46</v>
      </c>
      <c r="AF45" s="0" t="s">
        <v>6168</v>
      </c>
      <c r="AG45" s="0" t="s">
        <v>6169</v>
      </c>
    </row>
    <row customHeight="1" ht="12">
      <c r="A46" s="74" t="s">
        <v>6170</v>
      </c>
      <c r="B46" s="73" t="s">
        <v>6171</v>
      </c>
      <c r="C46" s="74" t="s">
        <v>6170</v>
      </c>
      <c r="D46" s="129"/>
      <c r="E46" s="129"/>
      <c r="F46" s="129"/>
      <c r="G46" s="129"/>
      <c r="H46" s="129"/>
      <c r="I46" s="129"/>
      <c r="J46" s="129"/>
      <c r="K46" s="133" t="s">
        <v>200</v>
      </c>
      <c r="L46" s="129"/>
      <c r="M46" s="129"/>
      <c r="N46" s="129"/>
      <c r="O46" s="129"/>
      <c r="P46" s="129"/>
      <c r="Q46" s="129"/>
      <c r="R46" s="129"/>
      <c r="S46" s="131">
        <v>47</v>
      </c>
      <c r="AF46" s="0" t="s">
        <v>6172</v>
      </c>
      <c r="AG46" s="0" t="s">
        <v>6173</v>
      </c>
    </row>
    <row customHeight="1" ht="12">
      <c r="A47" s="74" t="s">
        <v>6174</v>
      </c>
      <c r="B47" s="73" t="s">
        <v>6175</v>
      </c>
      <c r="C47" s="74" t="s">
        <v>6174</v>
      </c>
      <c r="D47" s="129"/>
      <c r="E47" s="129"/>
      <c r="F47" s="129"/>
      <c r="G47" s="129"/>
      <c r="H47" s="129"/>
      <c r="I47" s="129"/>
      <c r="J47" s="129"/>
      <c r="K47" s="133" t="s">
        <v>6059</v>
      </c>
      <c r="L47" s="129"/>
      <c r="M47" s="129"/>
      <c r="N47" s="129"/>
      <c r="O47" s="129"/>
      <c r="P47" s="129"/>
      <c r="Q47" s="129"/>
      <c r="R47" s="129"/>
      <c r="S47" s="131">
        <v>48</v>
      </c>
      <c r="AF47" s="0" t="s">
        <v>6176</v>
      </c>
      <c r="AG47" s="0" t="s">
        <v>6177</v>
      </c>
    </row>
    <row customHeight="1" ht="12">
      <c r="A48" s="74" t="s">
        <v>6178</v>
      </c>
      <c r="B48" s="73" t="s">
        <v>6179</v>
      </c>
      <c r="C48" s="74" t="s">
        <v>6178</v>
      </c>
      <c r="D48" s="129"/>
      <c r="E48" s="129"/>
      <c r="F48" s="129"/>
      <c r="G48" s="129"/>
      <c r="H48" s="129"/>
      <c r="I48" s="129"/>
      <c r="J48" s="129"/>
      <c r="K48" s="133" t="s">
        <v>6065</v>
      </c>
      <c r="L48" s="129"/>
      <c r="M48" s="129"/>
      <c r="N48" s="129"/>
      <c r="O48" s="129"/>
      <c r="P48" s="129"/>
      <c r="Q48" s="129"/>
      <c r="R48" s="129"/>
      <c r="S48" s="131">
        <v>49</v>
      </c>
      <c r="AF48" s="0" t="s">
        <v>6180</v>
      </c>
      <c r="AG48" s="0" t="s">
        <v>6181</v>
      </c>
    </row>
    <row customHeight="1" ht="12">
      <c r="A49" s="74" t="s">
        <v>6182</v>
      </c>
      <c r="B49" s="73" t="s">
        <v>6183</v>
      </c>
      <c r="C49" s="74" t="s">
        <v>6182</v>
      </c>
      <c r="D49" s="129"/>
      <c r="E49" s="129"/>
      <c r="F49" s="129"/>
      <c r="G49" s="129"/>
      <c r="H49" s="129"/>
      <c r="I49" s="129"/>
      <c r="J49" s="129"/>
      <c r="K49" s="133" t="s">
        <v>6071</v>
      </c>
      <c r="L49" s="129"/>
      <c r="M49" s="129"/>
      <c r="N49" s="129"/>
      <c r="O49" s="129"/>
      <c r="P49" s="129"/>
      <c r="Q49" s="129"/>
      <c r="R49" s="129"/>
      <c r="S49" s="131">
        <v>50</v>
      </c>
      <c r="AF49" s="0" t="s">
        <v>6184</v>
      </c>
      <c r="AG49" s="0" t="s">
        <v>6185</v>
      </c>
    </row>
    <row customHeight="1" ht="12">
      <c r="A50" s="74" t="s">
        <v>6186</v>
      </c>
      <c r="B50" s="73" t="s">
        <v>6187</v>
      </c>
      <c r="C50" s="74" t="s">
        <v>6186</v>
      </c>
      <c r="D50" s="129"/>
      <c r="E50" s="129"/>
      <c r="F50" s="129"/>
      <c r="G50" s="129"/>
      <c r="H50" s="129"/>
      <c r="I50" s="129"/>
      <c r="J50" s="129"/>
      <c r="K50" s="133" t="s">
        <v>6188</v>
      </c>
      <c r="L50" s="129"/>
      <c r="M50" s="129"/>
      <c r="N50" s="129"/>
      <c r="O50" s="129"/>
      <c r="P50" s="129"/>
      <c r="Q50" s="129"/>
      <c r="R50" s="129"/>
      <c r="AF50" s="0" t="s">
        <v>6189</v>
      </c>
      <c r="AG50" s="0" t="s">
        <v>6190</v>
      </c>
    </row>
    <row customHeight="1" ht="12">
      <c r="A51" s="74" t="s">
        <v>6191</v>
      </c>
      <c r="B51" s="73" t="s">
        <v>6192</v>
      </c>
      <c r="C51" s="74" t="s">
        <v>6191</v>
      </c>
      <c r="D51" s="129"/>
      <c r="E51" s="129"/>
      <c r="F51" s="129"/>
      <c r="G51" s="129"/>
      <c r="H51" s="129"/>
      <c r="I51" s="129"/>
      <c r="J51" s="129"/>
      <c r="K51" s="133" t="s">
        <v>419</v>
      </c>
      <c r="L51" s="129"/>
      <c r="M51" s="129"/>
      <c r="N51" s="129"/>
      <c r="O51" s="129"/>
      <c r="P51" s="129"/>
      <c r="Q51" s="129"/>
      <c r="R51" s="129"/>
      <c r="AF51" s="0" t="s">
        <v>6193</v>
      </c>
      <c r="AG51" s="0" t="s">
        <v>6194</v>
      </c>
    </row>
    <row customHeight="1" ht="12">
      <c r="A52" s="74" t="s">
        <v>6195</v>
      </c>
      <c r="B52" s="73" t="s">
        <v>6196</v>
      </c>
      <c r="C52" s="74" t="s">
        <v>6195</v>
      </c>
      <c r="D52" s="129"/>
      <c r="E52" s="129"/>
      <c r="F52" s="129"/>
      <c r="G52" s="129"/>
      <c r="H52" s="129"/>
      <c r="I52" s="129"/>
      <c r="J52" s="129"/>
      <c r="K52" s="133" t="s">
        <v>6197</v>
      </c>
      <c r="L52" s="129"/>
      <c r="M52" s="129"/>
      <c r="N52" s="129"/>
      <c r="O52" s="129"/>
      <c r="P52" s="129"/>
      <c r="Q52" s="129"/>
      <c r="R52" s="129"/>
      <c r="AF52" s="0" t="s">
        <v>6198</v>
      </c>
      <c r="AG52" s="0" t="s">
        <v>6199</v>
      </c>
    </row>
    <row customHeight="1" ht="12">
      <c r="A53" s="74" t="s">
        <v>6200</v>
      </c>
      <c r="B53" s="73" t="s">
        <v>6201</v>
      </c>
      <c r="C53" s="74" t="s">
        <v>6200</v>
      </c>
      <c r="D53" s="129"/>
      <c r="E53" s="129"/>
      <c r="F53" s="129"/>
      <c r="G53" s="129"/>
      <c r="H53" s="129"/>
      <c r="I53" s="129"/>
      <c r="J53" s="129"/>
      <c r="K53" s="129"/>
      <c r="L53" s="129"/>
      <c r="M53" s="129"/>
      <c r="N53" s="129"/>
      <c r="O53" s="129"/>
      <c r="P53" s="129"/>
      <c r="Q53" s="129"/>
      <c r="R53" s="129"/>
      <c r="AF53" s="0" t="s">
        <v>6202</v>
      </c>
      <c r="AG53" s="0" t="s">
        <v>6203</v>
      </c>
    </row>
    <row customHeight="1" ht="12">
      <c r="A54" s="74" t="s">
        <v>6204</v>
      </c>
      <c r="B54" s="73" t="s">
        <v>6205</v>
      </c>
      <c r="C54" s="74" t="s">
        <v>6204</v>
      </c>
      <c r="D54" s="129"/>
      <c r="E54" s="129"/>
      <c r="F54" s="129"/>
      <c r="G54" s="129"/>
      <c r="H54" s="129"/>
      <c r="I54" s="129"/>
      <c r="J54" s="129"/>
      <c r="K54" s="129"/>
      <c r="L54" s="129"/>
      <c r="M54" s="129"/>
      <c r="N54" s="129"/>
      <c r="O54" s="129"/>
      <c r="P54" s="129"/>
      <c r="Q54" s="129"/>
      <c r="R54" s="129"/>
      <c r="AF54" s="0" t="s">
        <v>6206</v>
      </c>
      <c r="AG54" s="0" t="s">
        <v>6207</v>
      </c>
    </row>
    <row customHeight="1" ht="10.5">
      <c r="A55" s="74" t="s">
        <v>6208</v>
      </c>
      <c r="B55" s="73" t="s">
        <v>6209</v>
      </c>
      <c r="C55" s="74" t="s">
        <v>6208</v>
      </c>
      <c r="D55" s="129"/>
      <c r="E55" s="129"/>
      <c r="F55" s="129"/>
      <c r="G55" s="129"/>
      <c r="H55" s="129"/>
      <c r="I55" s="129"/>
      <c r="J55" s="129"/>
      <c r="K55" s="129"/>
      <c r="L55" s="129"/>
      <c r="M55" s="129"/>
      <c r="N55" s="129"/>
      <c r="O55" s="129"/>
      <c r="P55" s="129"/>
      <c r="Q55" s="129"/>
      <c r="R55" s="129"/>
      <c r="AF55" s="0" t="s">
        <v>6210</v>
      </c>
      <c r="AG55" s="0" t="s">
        <v>6211</v>
      </c>
    </row>
    <row customHeight="1" ht="12">
      <c r="A56" s="74" t="s">
        <v>6212</v>
      </c>
      <c r="B56" s="73" t="s">
        <v>6213</v>
      </c>
      <c r="C56" s="74" t="s">
        <v>6212</v>
      </c>
      <c r="D56" s="129"/>
      <c r="E56" s="129"/>
      <c r="F56" s="129"/>
      <c r="G56" s="129"/>
      <c r="H56" s="129"/>
      <c r="I56" s="129"/>
      <c r="J56" s="129"/>
      <c r="K56" s="129"/>
      <c r="L56" s="129"/>
      <c r="M56" s="129"/>
      <c r="N56" s="129"/>
      <c r="O56" s="129"/>
      <c r="P56" s="129"/>
      <c r="Q56" s="129"/>
      <c r="R56" s="129"/>
      <c r="AG56" s="0" t="s">
        <v>6214</v>
      </c>
    </row>
    <row customHeight="1" ht="12">
      <c r="A57" s="74" t="s">
        <v>6215</v>
      </c>
      <c r="B57" s="73" t="s">
        <v>6216</v>
      </c>
      <c r="C57" s="74" t="s">
        <v>6215</v>
      </c>
      <c r="D57" s="129"/>
      <c r="E57" s="129"/>
      <c r="F57" s="129"/>
      <c r="G57" s="129"/>
      <c r="H57" s="129"/>
      <c r="I57" s="129"/>
      <c r="J57" s="129"/>
      <c r="K57" s="129"/>
      <c r="L57" s="129"/>
      <c r="M57" s="129"/>
      <c r="N57" s="129"/>
      <c r="O57" s="129"/>
      <c r="P57" s="129"/>
      <c r="Q57" s="129"/>
      <c r="R57" s="129"/>
      <c r="AG57" s="0" t="s">
        <v>6217</v>
      </c>
    </row>
    <row customHeight="1" ht="12">
      <c r="A58" s="74" t="s">
        <v>6218</v>
      </c>
      <c r="B58" s="73" t="s">
        <v>6219</v>
      </c>
      <c r="C58" s="74" t="s">
        <v>6218</v>
      </c>
      <c r="D58" s="129"/>
      <c r="E58" s="129"/>
      <c r="F58" s="129"/>
      <c r="G58" s="129"/>
      <c r="H58" s="129"/>
      <c r="I58" s="129"/>
      <c r="J58" s="129"/>
      <c r="K58" s="129"/>
      <c r="L58" s="129"/>
      <c r="M58" s="129"/>
      <c r="N58" s="129"/>
      <c r="O58" s="129"/>
      <c r="P58" s="129"/>
      <c r="Q58" s="129"/>
      <c r="R58" s="129"/>
      <c r="AG58" s="0" t="s">
        <v>6220</v>
      </c>
    </row>
    <row customHeight="1" ht="12">
      <c r="A59" s="74" t="s">
        <v>6221</v>
      </c>
      <c r="B59" s="73" t="s">
        <v>6222</v>
      </c>
      <c r="C59" s="74" t="s">
        <v>6223</v>
      </c>
      <c r="D59" s="129"/>
      <c r="E59" s="129"/>
      <c r="F59" s="129"/>
      <c r="G59" s="129"/>
      <c r="H59" s="129"/>
      <c r="I59" s="129"/>
      <c r="J59" s="129"/>
      <c r="K59" s="129"/>
      <c r="L59" s="129"/>
      <c r="M59" s="129"/>
      <c r="N59" s="129"/>
      <c r="O59" s="129"/>
      <c r="P59" s="129"/>
      <c r="Q59" s="129"/>
      <c r="R59" s="129"/>
      <c r="AG59" s="0" t="s">
        <v>6224</v>
      </c>
    </row>
    <row customHeight="1" ht="12">
      <c r="A60" s="74" t="s">
        <v>6225</v>
      </c>
      <c r="B60" s="73" t="s">
        <v>6226</v>
      </c>
      <c r="C60" s="74" t="s">
        <v>6225</v>
      </c>
      <c r="D60" s="129"/>
      <c r="E60" s="129"/>
      <c r="F60" s="129"/>
      <c r="G60" s="129"/>
      <c r="H60" s="129"/>
      <c r="I60" s="129"/>
      <c r="J60" s="129"/>
      <c r="K60" s="129"/>
      <c r="L60" s="129"/>
      <c r="M60" s="129"/>
      <c r="N60" s="129"/>
      <c r="O60" s="129"/>
      <c r="P60" s="129"/>
      <c r="Q60" s="129"/>
      <c r="R60" s="129"/>
      <c r="AG60" s="0" t="s">
        <v>6227</v>
      </c>
    </row>
    <row customHeight="1" ht="12">
      <c r="A61" s="74" t="s">
        <v>6228</v>
      </c>
      <c r="B61" s="73" t="s">
        <v>6229</v>
      </c>
      <c r="C61" s="74" t="s">
        <v>6228</v>
      </c>
      <c r="D61" s="129"/>
      <c r="E61" s="129"/>
      <c r="F61" s="129"/>
      <c r="G61" s="129"/>
      <c r="H61" s="129"/>
      <c r="I61" s="129"/>
      <c r="J61" s="129"/>
      <c r="K61" s="129"/>
      <c r="L61" s="129"/>
      <c r="M61" s="129"/>
      <c r="N61" s="129"/>
      <c r="O61" s="129"/>
      <c r="P61" s="129"/>
      <c r="Q61" s="129"/>
      <c r="R61" s="129"/>
      <c r="AG61" s="0" t="s">
        <v>6230</v>
      </c>
    </row>
    <row customHeight="1" ht="12">
      <c r="A62" s="74" t="s">
        <v>6231</v>
      </c>
      <c r="B62" s="73" t="s">
        <v>6232</v>
      </c>
      <c r="C62" s="74" t="s">
        <v>6231</v>
      </c>
      <c r="D62" s="129"/>
      <c r="E62" s="129"/>
      <c r="F62" s="129"/>
      <c r="G62" s="129"/>
      <c r="H62" s="129"/>
      <c r="I62" s="129"/>
      <c r="J62" s="129"/>
      <c r="K62" s="129"/>
      <c r="L62" s="129"/>
      <c r="M62" s="129"/>
      <c r="N62" s="129"/>
      <c r="O62" s="129"/>
      <c r="P62" s="129"/>
      <c r="Q62" s="129"/>
      <c r="R62" s="129"/>
      <c r="AG62" s="0" t="s">
        <v>6233</v>
      </c>
    </row>
    <row customHeight="1" ht="12">
      <c r="A63" s="74" t="s">
        <v>6234</v>
      </c>
      <c r="B63" s="73" t="s">
        <v>6235</v>
      </c>
      <c r="C63" s="74" t="s">
        <v>6236</v>
      </c>
      <c r="D63" s="129"/>
      <c r="E63" s="129"/>
      <c r="F63" s="129"/>
      <c r="G63" s="129"/>
      <c r="H63" s="129"/>
      <c r="I63" s="129"/>
      <c r="J63" s="129"/>
      <c r="K63" s="129"/>
      <c r="L63" s="129"/>
      <c r="M63" s="129"/>
      <c r="N63" s="129"/>
      <c r="O63" s="129"/>
      <c r="P63" s="129"/>
      <c r="Q63" s="129"/>
      <c r="R63" s="129"/>
      <c r="AG63" s="0" t="s">
        <v>6237</v>
      </c>
    </row>
    <row customHeight="1" ht="12">
      <c r="A64" s="74" t="s">
        <v>6238</v>
      </c>
      <c r="B64" s="73" t="s">
        <v>6239</v>
      </c>
      <c r="C64" s="74" t="s">
        <v>6238</v>
      </c>
      <c r="D64" s="129"/>
      <c r="E64" s="129"/>
      <c r="F64" s="129"/>
      <c r="G64" s="129"/>
      <c r="H64" s="129"/>
      <c r="I64" s="129"/>
      <c r="J64" s="129"/>
      <c r="K64" s="129"/>
      <c r="L64" s="129"/>
      <c r="M64" s="129"/>
      <c r="N64" s="129"/>
      <c r="O64" s="129"/>
      <c r="P64" s="129"/>
      <c r="Q64" s="129"/>
      <c r="R64" s="129"/>
      <c r="AG64" s="0" t="s">
        <v>6240</v>
      </c>
    </row>
    <row customHeight="1" ht="12">
      <c r="A65" s="74" t="s">
        <v>6241</v>
      </c>
      <c r="B65" s="73" t="s">
        <v>6242</v>
      </c>
      <c r="C65" s="74" t="s">
        <v>6243</v>
      </c>
      <c r="D65" s="129"/>
      <c r="E65" s="129"/>
      <c r="F65" s="129"/>
      <c r="G65" s="129"/>
      <c r="H65" s="129"/>
      <c r="I65" s="129"/>
      <c r="J65" s="129"/>
      <c r="K65" s="129"/>
      <c r="L65" s="129"/>
      <c r="M65" s="129"/>
      <c r="N65" s="129"/>
      <c r="O65" s="129"/>
      <c r="P65" s="129"/>
      <c r="Q65" s="129"/>
      <c r="R65" s="129"/>
      <c r="AG65" s="0" t="s">
        <v>6244</v>
      </c>
    </row>
    <row customHeight="1" ht="12">
      <c r="A66" s="74" t="s">
        <v>6245</v>
      </c>
      <c r="B66" s="73" t="s">
        <v>6246</v>
      </c>
      <c r="C66" s="74" t="s">
        <v>6245</v>
      </c>
      <c r="D66" s="129"/>
      <c r="E66" s="129"/>
      <c r="F66" s="129"/>
      <c r="G66" s="129"/>
      <c r="H66" s="129"/>
      <c r="I66" s="129"/>
      <c r="J66" s="129"/>
      <c r="K66" s="129"/>
      <c r="L66" s="129"/>
      <c r="M66" s="129"/>
      <c r="N66" s="129"/>
      <c r="O66" s="129"/>
      <c r="P66" s="129"/>
      <c r="Q66" s="129"/>
      <c r="R66" s="129"/>
      <c r="AG66" s="0" t="s">
        <v>6247</v>
      </c>
    </row>
    <row customHeight="1" ht="12">
      <c r="A67" s="74" t="s">
        <v>6248</v>
      </c>
      <c r="B67" s="73" t="s">
        <v>6249</v>
      </c>
      <c r="C67" s="74" t="s">
        <v>6248</v>
      </c>
      <c r="D67" s="129"/>
      <c r="E67" s="129"/>
      <c r="F67" s="129"/>
      <c r="G67" s="129"/>
      <c r="H67" s="129"/>
      <c r="I67" s="129"/>
      <c r="J67" s="129"/>
      <c r="K67" s="129"/>
      <c r="L67" s="129"/>
      <c r="M67" s="129"/>
      <c r="N67" s="129"/>
      <c r="O67" s="129"/>
      <c r="P67" s="129"/>
      <c r="Q67" s="129"/>
      <c r="R67" s="129"/>
      <c r="AG67" s="0" t="s">
        <v>6250</v>
      </c>
    </row>
    <row customHeight="1" ht="12">
      <c r="A68" s="74" t="s">
        <v>6251</v>
      </c>
      <c r="B68" s="73" t="s">
        <v>6252</v>
      </c>
      <c r="C68" s="74" t="s">
        <v>6251</v>
      </c>
      <c r="D68" s="129"/>
      <c r="E68" s="129"/>
      <c r="F68" s="129"/>
      <c r="G68" s="129"/>
      <c r="H68" s="129"/>
      <c r="I68" s="129"/>
      <c r="J68" s="129"/>
      <c r="K68" s="129"/>
      <c r="L68" s="129"/>
      <c r="M68" s="129"/>
      <c r="N68" s="129"/>
      <c r="O68" s="129"/>
      <c r="P68" s="129"/>
      <c r="Q68" s="129"/>
      <c r="R68" s="129"/>
      <c r="AG68" s="0" t="s">
        <v>6253</v>
      </c>
    </row>
    <row customHeight="1" ht="12">
      <c r="A69" s="74" t="s">
        <v>6254</v>
      </c>
      <c r="B69" s="73" t="s">
        <v>6255</v>
      </c>
      <c r="C69" s="74" t="s">
        <v>6254</v>
      </c>
      <c r="D69" s="129"/>
      <c r="E69" s="129"/>
      <c r="F69" s="129"/>
      <c r="G69" s="129"/>
      <c r="H69" s="129"/>
      <c r="I69" s="129"/>
      <c r="J69" s="129"/>
      <c r="K69" s="129"/>
      <c r="L69" s="129"/>
      <c r="M69" s="129"/>
      <c r="N69" s="129"/>
      <c r="O69" s="129"/>
      <c r="P69" s="129"/>
      <c r="Q69" s="129"/>
      <c r="R69" s="129"/>
      <c r="AG69" s="0" t="s">
        <v>6256</v>
      </c>
    </row>
    <row customHeight="1" ht="12">
      <c r="A70" s="74" t="s">
        <v>6257</v>
      </c>
      <c r="B70" s="73" t="s">
        <v>6258</v>
      </c>
      <c r="C70" s="74" t="s">
        <v>6257</v>
      </c>
      <c r="D70" s="129"/>
      <c r="E70" s="129"/>
      <c r="F70" s="129"/>
      <c r="G70" s="129"/>
      <c r="H70" s="129"/>
      <c r="I70" s="129"/>
      <c r="J70" s="129"/>
      <c r="K70" s="129"/>
      <c r="L70" s="129"/>
      <c r="M70" s="129"/>
      <c r="N70" s="129"/>
      <c r="O70" s="129"/>
      <c r="P70" s="129"/>
      <c r="Q70" s="129"/>
      <c r="R70" s="129"/>
      <c r="AG70" s="0" t="s">
        <v>6259</v>
      </c>
    </row>
    <row customHeight="1" ht="12">
      <c r="A71" s="74" t="s">
        <v>6260</v>
      </c>
      <c r="B71" s="73" t="s">
        <v>6261</v>
      </c>
      <c r="C71" s="74" t="s">
        <v>6260</v>
      </c>
      <c r="D71" s="129"/>
      <c r="E71" s="129"/>
      <c r="F71" s="129"/>
      <c r="G71" s="129"/>
      <c r="H71" s="129"/>
      <c r="I71" s="129"/>
      <c r="J71" s="129"/>
      <c r="K71" s="129"/>
      <c r="L71" s="129"/>
      <c r="M71" s="129"/>
      <c r="N71" s="129"/>
      <c r="O71" s="129"/>
      <c r="P71" s="129"/>
      <c r="Q71" s="129"/>
      <c r="R71" s="129"/>
      <c r="AG71" s="0" t="s">
        <v>6262</v>
      </c>
    </row>
    <row customHeight="1" ht="12">
      <c r="A72" s="74" t="s">
        <v>6263</v>
      </c>
      <c r="B72" s="73" t="s">
        <v>6264</v>
      </c>
      <c r="C72" s="74" t="s">
        <v>6263</v>
      </c>
      <c r="D72" s="129"/>
      <c r="E72" s="129"/>
      <c r="F72" s="129"/>
      <c r="G72" s="129"/>
      <c r="H72" s="129"/>
      <c r="I72" s="129"/>
      <c r="J72" s="129"/>
      <c r="K72" s="129"/>
      <c r="L72" s="129"/>
      <c r="M72" s="129"/>
      <c r="N72" s="129"/>
      <c r="O72" s="129"/>
      <c r="P72" s="129"/>
      <c r="Q72" s="129"/>
      <c r="R72" s="129"/>
      <c r="AG72" s="0" t="s">
        <v>6265</v>
      </c>
    </row>
    <row customHeight="1" ht="12">
      <c r="A73" s="74" t="s">
        <v>6266</v>
      </c>
      <c r="B73" s="73" t="s">
        <v>6267</v>
      </c>
      <c r="C73" s="74" t="s">
        <v>6266</v>
      </c>
      <c r="D73" s="129"/>
      <c r="E73" s="129"/>
      <c r="F73" s="129"/>
      <c r="G73" s="129"/>
      <c r="H73" s="129"/>
      <c r="I73" s="129"/>
      <c r="J73" s="129"/>
      <c r="K73" s="129"/>
      <c r="L73" s="129"/>
      <c r="M73" s="129"/>
      <c r="N73" s="129"/>
      <c r="O73" s="129"/>
      <c r="P73" s="129"/>
      <c r="Q73" s="129"/>
      <c r="R73" s="129"/>
      <c r="AG73" s="0" t="s">
        <v>6268</v>
      </c>
    </row>
    <row customHeight="1" ht="12">
      <c r="A74" s="74" t="s">
        <v>6269</v>
      </c>
      <c r="B74" s="73" t="s">
        <v>6270</v>
      </c>
      <c r="C74" s="74" t="s">
        <v>6269</v>
      </c>
      <c r="D74" s="129"/>
      <c r="E74" s="129"/>
      <c r="F74" s="129"/>
      <c r="G74" s="129"/>
      <c r="H74" s="129"/>
      <c r="I74" s="129"/>
      <c r="J74" s="129"/>
      <c r="K74" s="129"/>
      <c r="L74" s="129"/>
      <c r="M74" s="129"/>
      <c r="N74" s="129"/>
      <c r="O74" s="129"/>
      <c r="P74" s="129"/>
      <c r="Q74" s="129"/>
      <c r="R74" s="129"/>
      <c r="AG74" s="0" t="s">
        <v>6271</v>
      </c>
    </row>
    <row customHeight="1" ht="12">
      <c r="A75" s="74" t="s">
        <v>6272</v>
      </c>
      <c r="B75" s="73" t="s">
        <v>6273</v>
      </c>
      <c r="C75" s="74" t="s">
        <v>6272</v>
      </c>
      <c r="D75" s="129"/>
      <c r="E75" s="129"/>
      <c r="F75" s="129"/>
      <c r="G75" s="129"/>
      <c r="H75" s="129"/>
      <c r="I75" s="129"/>
      <c r="J75" s="129"/>
      <c r="K75" s="129"/>
      <c r="L75" s="129"/>
      <c r="M75" s="129"/>
      <c r="N75" s="129"/>
      <c r="O75" s="129"/>
      <c r="P75" s="129"/>
      <c r="Q75" s="129"/>
      <c r="R75" s="129"/>
      <c r="AG75" s="0" t="s">
        <v>6274</v>
      </c>
    </row>
    <row customHeight="1" ht="12">
      <c r="A76" s="74" t="s">
        <v>6275</v>
      </c>
      <c r="B76" s="73" t="s">
        <v>6276</v>
      </c>
      <c r="C76" s="74" t="s">
        <v>6275</v>
      </c>
      <c r="D76" s="129"/>
      <c r="E76" s="129"/>
      <c r="F76" s="129"/>
      <c r="G76" s="129"/>
      <c r="H76" s="129"/>
      <c r="I76" s="129"/>
      <c r="J76" s="129"/>
      <c r="K76" s="129"/>
      <c r="L76" s="129"/>
      <c r="M76" s="129"/>
      <c r="N76" s="129"/>
      <c r="O76" s="129"/>
      <c r="P76" s="129"/>
      <c r="Q76" s="129"/>
      <c r="R76" s="129"/>
      <c r="AG76" s="0" t="s">
        <v>6277</v>
      </c>
    </row>
    <row customHeight="1" ht="12">
      <c r="A77" s="74" t="s">
        <v>6278</v>
      </c>
      <c r="B77" s="73" t="s">
        <v>6279</v>
      </c>
      <c r="C77" s="74" t="s">
        <v>6278</v>
      </c>
      <c r="D77" s="129"/>
      <c r="E77" s="129"/>
      <c r="F77" s="129"/>
      <c r="G77" s="129"/>
      <c r="H77" s="129"/>
      <c r="I77" s="129"/>
      <c r="J77" s="129"/>
      <c r="K77" s="129"/>
      <c r="L77" s="129"/>
      <c r="M77" s="129"/>
      <c r="N77" s="129"/>
      <c r="O77" s="129"/>
      <c r="P77" s="129"/>
      <c r="Q77" s="129"/>
      <c r="R77" s="129"/>
      <c r="AG77" s="0" t="s">
        <v>6280</v>
      </c>
    </row>
    <row customHeight="1" ht="12">
      <c r="A78" s="74" t="s">
        <v>6281</v>
      </c>
      <c r="B78" s="73" t="s">
        <v>6282</v>
      </c>
      <c r="C78" s="74" t="s">
        <v>6281</v>
      </c>
      <c r="D78" s="129"/>
      <c r="E78" s="129"/>
      <c r="F78" s="129"/>
      <c r="G78" s="129"/>
      <c r="H78" s="129"/>
      <c r="I78" s="129"/>
      <c r="J78" s="129"/>
      <c r="K78" s="129"/>
      <c r="L78" s="129"/>
      <c r="M78" s="129"/>
      <c r="N78" s="129"/>
      <c r="O78" s="129"/>
      <c r="P78" s="129"/>
      <c r="Q78" s="129"/>
      <c r="R78" s="129"/>
      <c r="AG78" s="0" t="s">
        <v>6155</v>
      </c>
    </row>
    <row customHeight="1" ht="12">
      <c r="A79" s="74" t="s">
        <v>6283</v>
      </c>
      <c r="B79" s="73" t="s">
        <v>6284</v>
      </c>
      <c r="C79" s="74" t="s">
        <v>6283</v>
      </c>
      <c r="D79" s="129"/>
      <c r="E79" s="129"/>
      <c r="F79" s="129"/>
      <c r="G79" s="129"/>
      <c r="H79" s="129"/>
      <c r="I79" s="129"/>
      <c r="J79" s="129"/>
      <c r="K79" s="129"/>
      <c r="L79" s="129"/>
      <c r="M79" s="129"/>
      <c r="N79" s="129"/>
      <c r="O79" s="129"/>
      <c r="P79" s="129"/>
      <c r="Q79" s="129"/>
      <c r="R79" s="129"/>
      <c r="AG79" s="0" t="s">
        <v>6159</v>
      </c>
    </row>
    <row customHeight="1" ht="12">
      <c r="A80" s="74" t="s">
        <v>6285</v>
      </c>
      <c r="B80" s="73" t="s">
        <v>6286</v>
      </c>
      <c r="C80" s="74" t="s">
        <v>6287</v>
      </c>
      <c r="D80" s="129"/>
      <c r="E80" s="129"/>
      <c r="F80" s="129"/>
      <c r="G80" s="129"/>
      <c r="H80" s="129"/>
      <c r="I80" s="129"/>
      <c r="J80" s="129"/>
      <c r="K80" s="129"/>
      <c r="L80" s="129"/>
      <c r="M80" s="129"/>
      <c r="N80" s="129"/>
      <c r="O80" s="129"/>
      <c r="P80" s="129"/>
      <c r="Q80" s="129"/>
      <c r="R80" s="129"/>
      <c r="AG80" s="0" t="s">
        <v>6163</v>
      </c>
    </row>
    <row customHeight="1" ht="12">
      <c r="A81" s="74" t="s">
        <v>6288</v>
      </c>
      <c r="B81" s="73" t="s">
        <v>6289</v>
      </c>
      <c r="C81" s="74" t="s">
        <v>6288</v>
      </c>
      <c r="D81" s="129"/>
      <c r="E81" s="129"/>
      <c r="F81" s="129"/>
      <c r="G81" s="129"/>
      <c r="H81" s="129"/>
      <c r="I81" s="129"/>
      <c r="J81" s="129"/>
      <c r="K81" s="129"/>
      <c r="L81" s="129"/>
      <c r="M81" s="129"/>
      <c r="N81" s="129"/>
      <c r="O81" s="129"/>
      <c r="P81" s="129"/>
      <c r="Q81" s="129"/>
      <c r="R81" s="129"/>
      <c r="AG81" s="0" t="s">
        <v>6290</v>
      </c>
    </row>
    <row customHeight="1" ht="12">
      <c r="A82" s="74" t="s">
        <v>6291</v>
      </c>
      <c r="B82" s="73" t="s">
        <v>6292</v>
      </c>
      <c r="C82" s="74" t="s">
        <v>6291</v>
      </c>
      <c r="D82" s="129"/>
      <c r="E82" s="129"/>
      <c r="F82" s="129"/>
      <c r="G82" s="129"/>
      <c r="H82" s="129"/>
      <c r="I82" s="129"/>
      <c r="J82" s="129"/>
      <c r="K82" s="129"/>
      <c r="L82" s="129"/>
      <c r="M82" s="129"/>
      <c r="N82" s="129"/>
      <c r="O82" s="129"/>
      <c r="P82" s="129"/>
      <c r="Q82" s="129"/>
      <c r="R82" s="129"/>
      <c r="AG82" s="0" t="s">
        <v>6293</v>
      </c>
    </row>
    <row customHeight="1" ht="12">
      <c r="A83" s="74" t="s">
        <v>6294</v>
      </c>
      <c r="B83" s="73" t="s">
        <v>6295</v>
      </c>
      <c r="C83" s="74" t="s">
        <v>6294</v>
      </c>
      <c r="D83" s="129"/>
      <c r="E83" s="129"/>
      <c r="F83" s="129"/>
      <c r="G83" s="129"/>
      <c r="H83" s="129"/>
      <c r="I83" s="129"/>
      <c r="J83" s="129"/>
      <c r="K83" s="129"/>
      <c r="L83" s="129"/>
      <c r="M83" s="129"/>
      <c r="N83" s="129"/>
      <c r="O83" s="129"/>
      <c r="P83" s="129"/>
      <c r="Q83" s="129"/>
      <c r="R83" s="129"/>
      <c r="AG83" s="0" t="s">
        <v>6296</v>
      </c>
    </row>
    <row customHeight="1" ht="12">
      <c r="A84" s="381" t="s">
        <v>6297</v>
      </c>
      <c r="B84" s="382"/>
      <c r="C84" s="381"/>
      <c r="D84" s="129"/>
      <c r="E84" s="129"/>
      <c r="F84" s="129"/>
      <c r="G84" s="129"/>
      <c r="H84" s="129"/>
      <c r="I84" s="129"/>
      <c r="J84" s="129"/>
      <c r="K84" s="129"/>
      <c r="L84" s="129"/>
      <c r="M84" s="129"/>
      <c r="N84" s="129"/>
      <c r="O84" s="129"/>
      <c r="P84" s="129"/>
      <c r="Q84" s="129"/>
      <c r="R84" s="129"/>
      <c r="AG84" s="0" t="s">
        <v>6298</v>
      </c>
    </row>
    <row customHeight="1" ht="12">
      <c r="A85" s="74" t="s">
        <v>6299</v>
      </c>
      <c r="B85" s="73" t="s">
        <v>6300</v>
      </c>
      <c r="C85" s="74" t="s">
        <v>6299</v>
      </c>
      <c r="D85" s="129"/>
      <c r="E85" s="129"/>
      <c r="F85" s="129"/>
      <c r="G85" s="129"/>
      <c r="H85" s="129"/>
      <c r="I85" s="129"/>
      <c r="J85" s="129"/>
      <c r="K85" s="129"/>
      <c r="L85" s="129"/>
      <c r="M85" s="129"/>
      <c r="N85" s="129"/>
      <c r="O85" s="129"/>
      <c r="P85" s="129"/>
      <c r="Q85" s="129"/>
      <c r="R85" s="129"/>
      <c r="AG85" s="0" t="s">
        <v>6301</v>
      </c>
    </row>
    <row customHeight="1" ht="12">
      <c r="A86" s="74" t="s">
        <v>6302</v>
      </c>
      <c r="B86" s="73" t="s">
        <v>6303</v>
      </c>
      <c r="C86" s="74" t="s">
        <v>6304</v>
      </c>
      <c r="D86" s="129"/>
      <c r="E86" s="129"/>
      <c r="F86" s="129"/>
      <c r="G86" s="129"/>
      <c r="H86" s="129"/>
      <c r="I86" s="129"/>
      <c r="J86" s="129"/>
      <c r="K86" s="129"/>
      <c r="L86" s="129"/>
      <c r="M86" s="129"/>
      <c r="N86" s="129"/>
      <c r="O86" s="129"/>
      <c r="P86" s="129"/>
      <c r="Q86" s="129"/>
      <c r="R86" s="129"/>
      <c r="AG86" s="0" t="s">
        <v>6305</v>
      </c>
    </row>
    <row customHeight="1" ht="12">
      <c r="A87" s="74" t="s">
        <v>6306</v>
      </c>
      <c r="B87" s="73" t="s">
        <v>6307</v>
      </c>
      <c r="C87" s="74" t="s">
        <v>6308</v>
      </c>
      <c r="D87" s="129"/>
      <c r="E87" s="129"/>
      <c r="F87" s="129"/>
      <c r="G87" s="129"/>
      <c r="H87" s="129"/>
      <c r="I87" s="129"/>
      <c r="J87" s="129"/>
      <c r="K87" s="129"/>
      <c r="L87" s="129"/>
      <c r="M87" s="129"/>
      <c r="N87" s="129"/>
      <c r="O87" s="129"/>
      <c r="P87" s="129"/>
      <c r="Q87" s="129"/>
      <c r="R87" s="129"/>
      <c r="AG87" s="0" t="s">
        <v>6309</v>
      </c>
    </row>
    <row customHeight="1" ht="12">
      <c r="A88" s="74" t="s">
        <v>6310</v>
      </c>
      <c r="B88" s="73" t="s">
        <v>6311</v>
      </c>
      <c r="C88" s="74" t="s">
        <v>6310</v>
      </c>
      <c r="D88" s="129"/>
      <c r="E88" s="129"/>
      <c r="F88" s="129"/>
      <c r="G88" s="129"/>
      <c r="H88" s="129"/>
      <c r="I88" s="129"/>
      <c r="J88" s="129"/>
      <c r="K88" s="129"/>
      <c r="L88" s="129"/>
      <c r="M88" s="129"/>
      <c r="N88" s="129"/>
      <c r="O88" s="129"/>
      <c r="P88" s="129"/>
      <c r="Q88" s="129"/>
      <c r="R88" s="129"/>
      <c r="AG88" s="0" t="s">
        <v>6312</v>
      </c>
    </row>
    <row customHeight="1" ht="12">
      <c r="A89" s="74" t="s">
        <v>6313</v>
      </c>
      <c r="B89" s="73" t="s">
        <v>6314</v>
      </c>
      <c r="C89" s="74" t="s">
        <v>6313</v>
      </c>
      <c r="D89" s="129"/>
      <c r="E89" s="129"/>
      <c r="F89" s="129"/>
      <c r="G89" s="129"/>
      <c r="H89" s="129"/>
      <c r="I89" s="129"/>
      <c r="J89" s="129"/>
      <c r="K89" s="129"/>
      <c r="L89" s="129"/>
      <c r="M89" s="129"/>
      <c r="N89" s="129"/>
      <c r="O89" s="129"/>
      <c r="P89" s="129"/>
      <c r="Q89" s="129"/>
      <c r="R89" s="129"/>
      <c r="AG89" s="0" t="s">
        <v>6315</v>
      </c>
    </row>
    <row customHeight="1" ht="12">
      <c r="A90" s="74" t="s">
        <v>6316</v>
      </c>
      <c r="B90" s="73" t="s">
        <v>6317</v>
      </c>
      <c r="C90" s="74" t="s">
        <v>6316</v>
      </c>
      <c r="D90" s="129"/>
      <c r="E90" s="129"/>
      <c r="F90" s="129"/>
      <c r="G90" s="129"/>
      <c r="H90" s="129"/>
      <c r="I90" s="129"/>
      <c r="J90" s="129"/>
      <c r="K90" s="129"/>
      <c r="L90" s="129"/>
      <c r="M90" s="129"/>
      <c r="N90" s="129"/>
      <c r="O90" s="129"/>
      <c r="P90" s="129"/>
      <c r="Q90" s="129"/>
      <c r="R90" s="129"/>
      <c r="AG90" s="0" t="s">
        <v>6318</v>
      </c>
    </row>
    <row customHeight="1" ht="12">
      <c r="A91" s="118"/>
      <c r="B91" s="118"/>
      <c r="C91" s="383"/>
      <c r="D91" s="129"/>
      <c r="E91" s="129"/>
      <c r="F91" s="129"/>
      <c r="G91" s="129"/>
      <c r="H91" s="129"/>
      <c r="I91" s="129"/>
      <c r="J91" s="129"/>
      <c r="K91" s="129"/>
      <c r="L91" s="129"/>
      <c r="M91" s="129"/>
      <c r="N91" s="129"/>
      <c r="O91" s="129"/>
      <c r="P91" s="129"/>
      <c r="Q91" s="129"/>
      <c r="R91" s="129"/>
      <c r="AG91" s="0" t="s">
        <v>6319</v>
      </c>
    </row>
    <row customHeight="1" ht="12">
      <c r="A92" s="129"/>
      <c r="B92" s="129"/>
      <c r="C92" s="129"/>
      <c r="D92" s="129"/>
      <c r="E92" s="129"/>
      <c r="F92" s="129"/>
      <c r="G92" s="129"/>
      <c r="H92" s="129"/>
      <c r="I92" s="129"/>
      <c r="J92" s="129"/>
      <c r="K92" s="129"/>
      <c r="L92" s="129"/>
      <c r="M92" s="129"/>
      <c r="N92" s="129"/>
      <c r="O92" s="129"/>
      <c r="P92" s="129"/>
      <c r="Q92" s="129"/>
      <c r="R92" s="129"/>
      <c r="AG92" s="0" t="s">
        <v>6320</v>
      </c>
    </row>
    <row customHeight="1" ht="12">
      <c r="A93" s="129"/>
      <c r="B93" s="129"/>
      <c r="C93" s="129"/>
      <c r="D93" s="129"/>
      <c r="E93" s="129"/>
      <c r="F93" s="129"/>
      <c r="G93" s="129"/>
      <c r="H93" s="129"/>
      <c r="I93" s="129"/>
      <c r="J93" s="129"/>
      <c r="K93" s="129"/>
      <c r="L93" s="129"/>
      <c r="M93" s="129"/>
      <c r="N93" s="129"/>
      <c r="O93" s="129"/>
      <c r="P93" s="129"/>
      <c r="Q93" s="129"/>
      <c r="R93" s="129"/>
      <c r="AG93" s="0" t="s">
        <v>6321</v>
      </c>
    </row>
    <row customHeight="1" ht="12">
      <c r="A94" s="118" t="s">
        <v>5878</v>
      </c>
      <c r="B94" s="384" t="s">
        <v>6322</v>
      </c>
      <c r="C94" s="118"/>
      <c r="D94" s="129"/>
      <c r="E94" s="129"/>
      <c r="F94" s="129"/>
      <c r="G94" s="129"/>
      <c r="H94" s="129"/>
      <c r="I94" s="129"/>
      <c r="J94" s="129"/>
      <c r="K94" s="129"/>
      <c r="L94" s="129"/>
      <c r="M94" s="129"/>
      <c r="N94" s="129"/>
      <c r="O94" s="129"/>
      <c r="P94" s="129"/>
      <c r="Q94" s="129"/>
      <c r="R94" s="129"/>
      <c r="AG94" s="0" t="s">
        <v>6323</v>
      </c>
    </row>
    <row customHeight="1" ht="12">
      <c r="A95" s="118" t="s">
        <v>5901</v>
      </c>
      <c r="B95" s="384" t="s">
        <v>6324</v>
      </c>
      <c r="C95" s="118"/>
      <c r="D95" s="129"/>
      <c r="E95" s="129"/>
      <c r="F95" s="129"/>
      <c r="G95" s="129"/>
      <c r="H95" s="129"/>
      <c r="I95" s="129"/>
      <c r="J95" s="129"/>
      <c r="K95" s="129"/>
      <c r="L95" s="129"/>
      <c r="M95" s="129"/>
      <c r="N95" s="129"/>
      <c r="O95" s="129"/>
      <c r="P95" s="129"/>
      <c r="Q95" s="129"/>
      <c r="R95" s="129"/>
      <c r="AG95" s="0" t="s">
        <v>6325</v>
      </c>
    </row>
    <row customHeight="1" ht="12">
      <c r="A96" s="118" t="s">
        <v>5911</v>
      </c>
      <c r="B96" s="384" t="s">
        <v>6326</v>
      </c>
      <c r="C96" s="118"/>
      <c r="D96" s="129"/>
      <c r="E96" s="129"/>
      <c r="F96" s="129"/>
      <c r="G96" s="129"/>
      <c r="H96" s="129"/>
      <c r="I96" s="129"/>
      <c r="J96" s="129"/>
      <c r="K96" s="129"/>
      <c r="L96" s="129"/>
      <c r="M96" s="129"/>
      <c r="N96" s="129"/>
      <c r="O96" s="129"/>
      <c r="P96" s="129"/>
      <c r="Q96" s="129"/>
      <c r="R96" s="129"/>
      <c r="AG96" s="0" t="s">
        <v>6327</v>
      </c>
    </row>
    <row customHeight="1" ht="12">
      <c r="A97" s="118" t="s">
        <v>5922</v>
      </c>
      <c r="B97" s="384" t="s">
        <v>6328</v>
      </c>
      <c r="C97" s="118"/>
      <c r="D97" s="129"/>
      <c r="E97" s="129"/>
      <c r="F97" s="129"/>
      <c r="G97" s="129"/>
      <c r="H97" s="129"/>
      <c r="I97" s="129"/>
      <c r="J97" s="129"/>
      <c r="K97" s="129"/>
      <c r="L97" s="129"/>
      <c r="M97" s="129"/>
      <c r="N97" s="129"/>
      <c r="O97" s="129"/>
      <c r="P97" s="129"/>
      <c r="Q97" s="129"/>
      <c r="R97" s="129"/>
      <c r="AG97" s="0" t="s">
        <v>6329</v>
      </c>
    </row>
    <row customHeight="1" ht="12">
      <c r="A98" s="118" t="s">
        <v>5932</v>
      </c>
      <c r="B98" s="384" t="s">
        <v>6330</v>
      </c>
      <c r="C98" s="118"/>
      <c r="D98" s="129"/>
      <c r="E98" s="129"/>
      <c r="F98" s="129"/>
      <c r="G98" s="129"/>
      <c r="H98" s="129"/>
      <c r="I98" s="129"/>
      <c r="J98" s="129"/>
      <c r="K98" s="129"/>
      <c r="L98" s="129"/>
      <c r="M98" s="129"/>
      <c r="N98" s="129"/>
      <c r="O98" s="129"/>
      <c r="P98" s="129"/>
      <c r="Q98" s="129"/>
      <c r="R98" s="129"/>
      <c r="AG98" s="0" t="s">
        <v>6331</v>
      </c>
    </row>
    <row customHeight="1" ht="12">
      <c r="A99" s="118" t="s">
        <v>5945</v>
      </c>
      <c r="B99" s="384" t="s">
        <v>6332</v>
      </c>
      <c r="C99" s="118"/>
      <c r="D99" s="129"/>
      <c r="E99" s="129"/>
      <c r="F99" s="129"/>
      <c r="G99" s="129"/>
      <c r="H99" s="129"/>
      <c r="I99" s="129"/>
      <c r="J99" s="129"/>
      <c r="K99" s="129"/>
      <c r="L99" s="129"/>
      <c r="M99" s="129"/>
      <c r="N99" s="129"/>
      <c r="O99" s="129"/>
      <c r="P99" s="129"/>
      <c r="Q99" s="129"/>
      <c r="R99" s="129"/>
      <c r="AG99" s="0" t="s">
        <v>6333</v>
      </c>
    </row>
    <row customHeight="1" ht="12">
      <c r="A100" s="118" t="s">
        <v>5954</v>
      </c>
      <c r="B100" s="384" t="s">
        <v>6334</v>
      </c>
      <c r="C100" s="118"/>
      <c r="D100" s="129"/>
      <c r="E100" s="129"/>
      <c r="F100" s="129"/>
      <c r="G100" s="129"/>
      <c r="H100" s="129"/>
      <c r="I100" s="129"/>
      <c r="J100" s="129"/>
      <c r="K100" s="129"/>
      <c r="L100" s="129"/>
      <c r="M100" s="129"/>
      <c r="N100" s="129"/>
      <c r="O100" s="135"/>
      <c r="P100" s="129"/>
      <c r="Q100" s="129"/>
      <c r="R100" s="129"/>
      <c r="AG100" s="0" t="s">
        <v>6335</v>
      </c>
    </row>
    <row customHeight="1" ht="12">
      <c r="A101" s="118" t="s">
        <v>5964</v>
      </c>
      <c r="B101" s="384" t="s">
        <v>6336</v>
      </c>
      <c r="C101" s="118"/>
      <c r="D101" s="129"/>
      <c r="E101" s="129"/>
      <c r="F101" s="129"/>
      <c r="G101" s="129"/>
      <c r="H101" s="129"/>
      <c r="I101" s="129"/>
      <c r="J101" s="129"/>
      <c r="K101" s="129"/>
      <c r="L101" s="129"/>
      <c r="M101" s="129"/>
      <c r="N101" s="129"/>
      <c r="O101" s="135"/>
      <c r="P101" s="129"/>
      <c r="Q101" s="129"/>
      <c r="R101" s="129"/>
      <c r="AG101" s="0" t="s">
        <v>6337</v>
      </c>
    </row>
    <row customHeight="1" ht="12">
      <c r="A102" s="118" t="s">
        <v>5974</v>
      </c>
      <c r="B102" s="384" t="s">
        <v>6338</v>
      </c>
      <c r="C102" s="118"/>
      <c r="D102" s="129"/>
      <c r="E102" s="129"/>
      <c r="F102" s="129"/>
      <c r="G102" s="129"/>
      <c r="H102" s="129"/>
      <c r="I102" s="129"/>
      <c r="J102" s="129"/>
      <c r="K102" s="129"/>
      <c r="L102" s="129"/>
      <c r="M102" s="129"/>
      <c r="N102" s="129"/>
      <c r="O102" s="135"/>
      <c r="P102" s="129"/>
      <c r="Q102" s="129"/>
      <c r="R102" s="129"/>
      <c r="AG102" s="0" t="s">
        <v>6339</v>
      </c>
    </row>
    <row customHeight="1" ht="12">
      <c r="A103" s="118" t="s">
        <v>5983</v>
      </c>
      <c r="B103" s="384" t="s">
        <v>6340</v>
      </c>
      <c r="C103" s="118"/>
      <c r="D103" s="129"/>
      <c r="E103" s="129"/>
      <c r="F103" s="129"/>
      <c r="G103" s="129"/>
      <c r="H103" s="129"/>
      <c r="I103" s="129"/>
      <c r="J103" s="129"/>
      <c r="K103" s="129"/>
      <c r="L103" s="129"/>
      <c r="M103" s="129"/>
      <c r="N103" s="129"/>
      <c r="O103" s="135"/>
      <c r="P103" s="129"/>
      <c r="Q103" s="129"/>
      <c r="R103" s="129"/>
      <c r="AG103" s="0" t="s">
        <v>6341</v>
      </c>
    </row>
    <row customHeight="1" ht="12">
      <c r="A104" s="118" t="s">
        <v>5992</v>
      </c>
      <c r="B104" s="384" t="s">
        <v>6342</v>
      </c>
      <c r="C104" s="118"/>
      <c r="D104" s="129"/>
      <c r="E104" s="129"/>
      <c r="F104" s="129"/>
      <c r="G104" s="129"/>
      <c r="H104" s="129"/>
      <c r="I104" s="129"/>
      <c r="J104" s="129"/>
      <c r="K104" s="129"/>
      <c r="L104" s="129"/>
      <c r="M104" s="129"/>
      <c r="N104" s="129"/>
      <c r="O104" s="135"/>
      <c r="P104" s="129"/>
      <c r="Q104" s="129"/>
      <c r="R104" s="129"/>
      <c r="AG104" s="0" t="s">
        <v>6343</v>
      </c>
    </row>
    <row customHeight="1" ht="12">
      <c r="A105" s="118" t="s">
        <v>6344</v>
      </c>
      <c r="B105" s="384" t="s">
        <v>6345</v>
      </c>
      <c r="C105" s="118"/>
      <c r="D105" s="129"/>
      <c r="E105" s="129"/>
      <c r="F105" s="129"/>
      <c r="G105" s="129"/>
      <c r="H105" s="129"/>
      <c r="I105" s="129"/>
      <c r="J105" s="129"/>
      <c r="K105" s="129"/>
      <c r="L105" s="129"/>
      <c r="M105" s="129"/>
      <c r="N105" s="129"/>
      <c r="O105" s="135"/>
      <c r="P105" s="129"/>
      <c r="Q105" s="129"/>
      <c r="R105" s="129"/>
      <c r="AG105" s="0" t="s">
        <v>6346</v>
      </c>
    </row>
    <row customHeight="1" ht="12">
      <c r="A106" s="118" t="s">
        <v>6347</v>
      </c>
      <c r="B106" s="384" t="s">
        <v>6348</v>
      </c>
      <c r="C106" s="118"/>
      <c r="D106" s="129"/>
      <c r="E106" s="129"/>
      <c r="F106" s="129"/>
      <c r="G106" s="129"/>
      <c r="H106" s="129"/>
      <c r="I106" s="129"/>
      <c r="J106" s="129"/>
      <c r="K106" s="129"/>
      <c r="L106" s="129"/>
      <c r="M106" s="129"/>
      <c r="N106" s="129"/>
      <c r="O106" s="135"/>
      <c r="P106" s="129"/>
      <c r="Q106" s="129"/>
      <c r="R106" s="129"/>
      <c r="AG106" s="0" t="s">
        <v>6349</v>
      </c>
    </row>
    <row customHeight="1" ht="12">
      <c r="A107" s="118" t="s">
        <v>6350</v>
      </c>
      <c r="B107" s="384" t="s">
        <v>6351</v>
      </c>
      <c r="C107" s="118"/>
      <c r="D107" s="129"/>
      <c r="E107" s="129"/>
      <c r="F107" s="129"/>
      <c r="G107" s="129"/>
      <c r="H107" s="129"/>
      <c r="I107" s="129"/>
      <c r="J107" s="129"/>
      <c r="K107" s="129"/>
      <c r="L107" s="129"/>
      <c r="M107" s="129"/>
      <c r="N107" s="129"/>
      <c r="O107" s="135"/>
      <c r="P107" s="129"/>
      <c r="Q107" s="129"/>
      <c r="R107" s="129"/>
      <c r="AG107" s="0" t="s">
        <v>6352</v>
      </c>
    </row>
    <row customHeight="1" ht="12">
      <c r="A108" s="118" t="s">
        <v>6025</v>
      </c>
      <c r="B108" s="384" t="s">
        <v>6353</v>
      </c>
      <c r="C108" s="118"/>
      <c r="D108" s="129"/>
      <c r="E108" s="129"/>
      <c r="F108" s="129"/>
      <c r="G108" s="129"/>
      <c r="H108" s="129"/>
      <c r="I108" s="129"/>
      <c r="J108" s="129"/>
      <c r="K108" s="129"/>
      <c r="L108" s="129"/>
      <c r="M108" s="135"/>
      <c r="N108" s="129"/>
      <c r="O108" s="135"/>
      <c r="P108" s="129"/>
      <c r="Q108" s="129"/>
      <c r="R108" s="129"/>
      <c r="AG108" s="0" t="s">
        <v>6354</v>
      </c>
    </row>
    <row customHeight="1" ht="12">
      <c r="A109" s="118" t="s">
        <v>6029</v>
      </c>
      <c r="B109" s="384" t="s">
        <v>6355</v>
      </c>
      <c r="C109" s="118"/>
      <c r="D109" s="129"/>
      <c r="E109" s="129"/>
      <c r="F109" s="129"/>
      <c r="G109" s="129"/>
      <c r="H109" s="129"/>
      <c r="I109" s="129"/>
      <c r="J109" s="129"/>
      <c r="K109" s="129"/>
      <c r="L109" s="129"/>
      <c r="M109" s="135"/>
      <c r="N109" s="129"/>
      <c r="O109" s="135"/>
      <c r="P109" s="129"/>
      <c r="Q109" s="129"/>
      <c r="R109" s="129"/>
      <c r="AG109" s="0" t="s">
        <v>6356</v>
      </c>
    </row>
    <row customHeight="1" ht="12">
      <c r="A110" s="118" t="s">
        <v>6034</v>
      </c>
      <c r="B110" s="384" t="s">
        <v>6357</v>
      </c>
      <c r="C110" s="118"/>
      <c r="D110" s="129"/>
      <c r="E110" s="129"/>
      <c r="F110" s="129"/>
      <c r="G110" s="129"/>
      <c r="H110" s="129"/>
      <c r="I110" s="129"/>
      <c r="J110" s="129"/>
      <c r="K110" s="129"/>
      <c r="L110" s="129"/>
      <c r="M110" s="135"/>
      <c r="N110" s="129"/>
      <c r="O110" s="135"/>
      <c r="P110" s="129"/>
      <c r="Q110" s="129"/>
      <c r="R110" s="129"/>
      <c r="AG110" s="0" t="s">
        <v>6358</v>
      </c>
    </row>
    <row customHeight="1" ht="12">
      <c r="A111" s="118" t="s">
        <v>6038</v>
      </c>
      <c r="B111" s="384" t="s">
        <v>6359</v>
      </c>
      <c r="C111" s="118"/>
      <c r="D111" s="129"/>
      <c r="E111" s="129"/>
      <c r="F111" s="129"/>
      <c r="G111" s="129"/>
      <c r="H111" s="129"/>
      <c r="I111" s="129"/>
      <c r="J111" s="129"/>
      <c r="K111" s="129"/>
      <c r="L111" s="129"/>
      <c r="M111" s="135"/>
      <c r="N111" s="129"/>
      <c r="O111" s="135"/>
      <c r="P111" s="129"/>
      <c r="Q111" s="129"/>
      <c r="R111" s="129"/>
      <c r="AG111" s="0" t="s">
        <v>6360</v>
      </c>
    </row>
    <row customHeight="1" ht="12">
      <c r="A112" s="118" t="s">
        <v>6044</v>
      </c>
      <c r="B112" s="384" t="s">
        <v>6361</v>
      </c>
      <c r="C112" s="118"/>
      <c r="D112" s="129"/>
      <c r="E112" s="129"/>
      <c r="F112" s="129"/>
      <c r="G112" s="129"/>
      <c r="H112" s="129"/>
      <c r="I112" s="129"/>
      <c r="J112" s="129"/>
      <c r="K112" s="129"/>
      <c r="L112" s="129"/>
      <c r="M112" s="135"/>
      <c r="N112" s="129"/>
      <c r="O112" s="135"/>
      <c r="P112" s="129"/>
      <c r="Q112" s="129"/>
      <c r="R112" s="129"/>
      <c r="AG112" s="0" t="s">
        <v>6362</v>
      </c>
    </row>
    <row customHeight="1" ht="12">
      <c r="A113" s="118" t="s">
        <v>6049</v>
      </c>
      <c r="B113" s="384" t="s">
        <v>6363</v>
      </c>
      <c r="C113" s="118"/>
      <c r="D113" s="129"/>
      <c r="E113" s="129"/>
      <c r="F113" s="129"/>
      <c r="G113" s="129"/>
      <c r="H113" s="129"/>
      <c r="I113" s="129"/>
      <c r="J113" s="129"/>
      <c r="K113" s="129"/>
      <c r="L113" s="129"/>
      <c r="M113" s="135"/>
      <c r="N113" s="129"/>
      <c r="O113" s="135"/>
      <c r="P113" s="129"/>
      <c r="Q113" s="129"/>
      <c r="R113" s="129"/>
      <c r="AG113" s="0" t="s">
        <v>6364</v>
      </c>
    </row>
    <row customHeight="1" ht="12">
      <c r="A114" s="118" t="s">
        <v>6055</v>
      </c>
      <c r="B114" s="384" t="s">
        <v>6365</v>
      </c>
      <c r="C114" s="118"/>
      <c r="D114" s="129"/>
      <c r="E114" s="129"/>
      <c r="F114" s="129"/>
      <c r="G114" s="129"/>
      <c r="H114" s="129"/>
      <c r="I114" s="129"/>
      <c r="J114" s="129"/>
      <c r="K114" s="129"/>
      <c r="L114" s="129"/>
      <c r="M114" s="135"/>
      <c r="N114" s="129"/>
      <c r="O114" s="135"/>
      <c r="P114" s="129"/>
      <c r="Q114" s="129"/>
      <c r="R114" s="129"/>
      <c r="AG114" s="0" t="s">
        <v>6366</v>
      </c>
    </row>
    <row customHeight="1" ht="12">
      <c r="A115" s="118" t="s">
        <v>6062</v>
      </c>
      <c r="B115" s="384" t="s">
        <v>6367</v>
      </c>
      <c r="C115" s="118"/>
      <c r="D115" s="129"/>
      <c r="E115" s="129"/>
      <c r="F115" s="129"/>
      <c r="G115" s="129"/>
      <c r="H115" s="129"/>
      <c r="I115" s="129"/>
      <c r="J115" s="129"/>
      <c r="K115" s="129"/>
      <c r="L115" s="129"/>
      <c r="M115" s="135"/>
      <c r="N115" s="129"/>
      <c r="O115" s="135"/>
      <c r="P115" s="129"/>
      <c r="Q115" s="129"/>
      <c r="R115" s="129"/>
      <c r="AG115" s="0" t="s">
        <v>6368</v>
      </c>
    </row>
    <row customHeight="1" ht="12">
      <c r="A116" s="118" t="s">
        <v>6068</v>
      </c>
      <c r="B116" s="384" t="s">
        <v>6369</v>
      </c>
      <c r="C116" s="118"/>
      <c r="D116" s="129"/>
      <c r="E116" s="129"/>
      <c r="F116" s="129"/>
      <c r="G116" s="129"/>
      <c r="H116" s="129"/>
      <c r="I116" s="129"/>
      <c r="J116" s="129"/>
      <c r="K116" s="129"/>
      <c r="L116" s="129"/>
      <c r="M116" s="135"/>
      <c r="N116" s="129"/>
      <c r="O116" s="135"/>
      <c r="P116" s="129"/>
      <c r="Q116" s="129"/>
      <c r="R116" s="129"/>
      <c r="AG116" s="0" t="s">
        <v>6370</v>
      </c>
    </row>
    <row customHeight="1" ht="12">
      <c r="A117" s="118" t="s">
        <v>6073</v>
      </c>
      <c r="B117" s="384" t="s">
        <v>6371</v>
      </c>
      <c r="C117" s="118"/>
      <c r="D117" s="129"/>
      <c r="E117" s="129"/>
      <c r="F117" s="129"/>
      <c r="G117" s="129"/>
      <c r="H117" s="129"/>
      <c r="I117" s="129"/>
      <c r="J117" s="129"/>
      <c r="K117" s="129"/>
      <c r="L117" s="129"/>
      <c r="M117" s="135"/>
      <c r="N117" s="129"/>
      <c r="O117" s="135"/>
      <c r="P117" s="129"/>
      <c r="Q117" s="129"/>
      <c r="R117" s="129"/>
      <c r="AG117" s="0" t="s">
        <v>6372</v>
      </c>
    </row>
    <row customHeight="1" ht="12">
      <c r="A118" s="118" t="s">
        <v>6077</v>
      </c>
      <c r="B118" s="384" t="s">
        <v>6373</v>
      </c>
      <c r="C118" s="118"/>
      <c r="D118" s="129"/>
      <c r="E118" s="129"/>
      <c r="F118" s="129"/>
      <c r="G118" s="129"/>
      <c r="H118" s="129"/>
      <c r="I118" s="129"/>
      <c r="J118" s="129"/>
      <c r="K118" s="129"/>
      <c r="L118" s="129"/>
      <c r="M118" s="135"/>
      <c r="N118" s="129"/>
      <c r="O118" s="135"/>
      <c r="P118" s="129"/>
      <c r="Q118" s="129"/>
      <c r="R118" s="129"/>
      <c r="AG118" s="0" t="s">
        <v>6374</v>
      </c>
    </row>
    <row customHeight="1" ht="12">
      <c r="A119" s="118" t="s">
        <v>101</v>
      </c>
      <c r="B119" s="384" t="s">
        <v>109</v>
      </c>
      <c r="C119" s="118"/>
      <c r="D119" s="129"/>
      <c r="E119" s="129"/>
      <c r="F119" s="129"/>
      <c r="G119" s="129"/>
      <c r="H119" s="129"/>
      <c r="I119" s="129"/>
      <c r="J119" s="129"/>
      <c r="K119" s="129"/>
      <c r="L119" s="129"/>
      <c r="M119" s="135"/>
      <c r="N119" s="129"/>
      <c r="O119" s="135"/>
      <c r="P119" s="129"/>
      <c r="Q119" s="129"/>
      <c r="R119" s="129"/>
      <c r="AG119" s="0" t="s">
        <v>6375</v>
      </c>
    </row>
    <row customHeight="1" ht="12">
      <c r="A120" s="118" t="s">
        <v>6085</v>
      </c>
      <c r="B120" s="384" t="s">
        <v>6376</v>
      </c>
      <c r="C120" s="118"/>
      <c r="D120" s="129"/>
      <c r="E120" s="129"/>
      <c r="F120" s="129"/>
      <c r="G120" s="129"/>
      <c r="H120" s="129"/>
      <c r="I120" s="129"/>
      <c r="J120" s="129"/>
      <c r="K120" s="129"/>
      <c r="L120" s="129"/>
      <c r="M120" s="135"/>
      <c r="N120" s="129"/>
      <c r="O120" s="135"/>
      <c r="P120" s="129"/>
      <c r="Q120" s="129"/>
      <c r="R120" s="129"/>
      <c r="AG120" s="0" t="s">
        <v>6377</v>
      </c>
    </row>
    <row customHeight="1" ht="12">
      <c r="A121" s="118" t="s">
        <v>6090</v>
      </c>
      <c r="B121" s="384" t="s">
        <v>6378</v>
      </c>
      <c r="C121" s="118"/>
      <c r="D121" s="129"/>
      <c r="E121" s="129"/>
      <c r="F121" s="129"/>
      <c r="G121" s="129"/>
      <c r="H121" s="129"/>
      <c r="I121" s="129"/>
      <c r="J121" s="129"/>
      <c r="K121" s="129"/>
      <c r="L121" s="129"/>
      <c r="M121" s="135"/>
      <c r="N121" s="129"/>
      <c r="O121" s="135"/>
      <c r="P121" s="129"/>
      <c r="Q121" s="129"/>
      <c r="R121" s="129"/>
      <c r="AG121" s="0" t="s">
        <v>6379</v>
      </c>
    </row>
    <row customHeight="1" ht="12">
      <c r="A122" s="118" t="s">
        <v>6095</v>
      </c>
      <c r="B122" s="384" t="s">
        <v>6380</v>
      </c>
      <c r="C122" s="118"/>
      <c r="D122" s="129"/>
      <c r="E122" s="129"/>
      <c r="F122" s="129"/>
      <c r="G122" s="129"/>
      <c r="H122" s="129"/>
      <c r="I122" s="129"/>
      <c r="J122" s="129"/>
      <c r="K122" s="129"/>
      <c r="L122" s="129"/>
      <c r="M122" s="135"/>
      <c r="N122" s="129"/>
      <c r="O122" s="135"/>
      <c r="P122" s="129"/>
      <c r="Q122" s="129"/>
      <c r="R122" s="129"/>
      <c r="AG122" s="0" t="s">
        <v>6381</v>
      </c>
    </row>
    <row customHeight="1" ht="12">
      <c r="A123" s="118" t="s">
        <v>6099</v>
      </c>
      <c r="B123" s="384" t="s">
        <v>6382</v>
      </c>
      <c r="C123" s="118"/>
      <c r="D123" s="129"/>
      <c r="E123" s="129"/>
      <c r="F123" s="129"/>
      <c r="G123" s="129"/>
      <c r="H123" s="129"/>
      <c r="I123" s="129"/>
      <c r="J123" s="129"/>
      <c r="K123" s="129"/>
      <c r="L123" s="129"/>
      <c r="M123" s="135"/>
      <c r="N123" s="129"/>
      <c r="O123" s="135"/>
      <c r="P123" s="129"/>
      <c r="Q123" s="129"/>
      <c r="R123" s="129"/>
      <c r="AG123" s="0" t="s">
        <v>6383</v>
      </c>
    </row>
    <row customHeight="1" ht="12">
      <c r="A124" s="118" t="s">
        <v>6103</v>
      </c>
      <c r="B124" s="384" t="s">
        <v>6384</v>
      </c>
      <c r="C124" s="118"/>
      <c r="D124" s="129"/>
      <c r="E124" s="129"/>
      <c r="F124" s="129"/>
      <c r="G124" s="129"/>
      <c r="H124" s="129"/>
      <c r="I124" s="129"/>
      <c r="J124" s="129"/>
      <c r="K124" s="129"/>
      <c r="L124" s="129"/>
      <c r="M124" s="135"/>
      <c r="N124" s="129"/>
      <c r="O124" s="135"/>
      <c r="P124" s="129"/>
      <c r="Q124" s="129"/>
      <c r="R124" s="129"/>
      <c r="AG124" s="0" t="s">
        <v>6385</v>
      </c>
    </row>
    <row customHeight="1" ht="12">
      <c r="A125" s="118" t="s">
        <v>6108</v>
      </c>
      <c r="B125" s="384" t="s">
        <v>6386</v>
      </c>
      <c r="C125" s="118"/>
      <c r="D125" s="129"/>
      <c r="E125" s="129"/>
      <c r="F125" s="129"/>
      <c r="G125" s="129"/>
      <c r="H125" s="129"/>
      <c r="I125" s="129"/>
      <c r="J125" s="129"/>
      <c r="K125" s="129"/>
      <c r="L125" s="129"/>
      <c r="M125" s="135"/>
      <c r="N125" s="129"/>
      <c r="O125" s="135"/>
      <c r="P125" s="129"/>
      <c r="Q125" s="129"/>
      <c r="R125" s="129"/>
      <c r="AG125" s="0" t="s">
        <v>6387</v>
      </c>
    </row>
    <row customHeight="1" ht="12">
      <c r="A126" s="118" t="s">
        <v>6113</v>
      </c>
      <c r="B126" s="384" t="s">
        <v>6388</v>
      </c>
      <c r="C126" s="118"/>
      <c r="D126" s="129"/>
      <c r="E126" s="129"/>
      <c r="F126" s="129"/>
      <c r="G126" s="129"/>
      <c r="H126" s="129"/>
      <c r="I126" s="129"/>
      <c r="J126" s="129"/>
      <c r="K126" s="129"/>
      <c r="L126" s="129"/>
      <c r="M126" s="135"/>
      <c r="N126" s="129"/>
      <c r="O126" s="135"/>
      <c r="P126" s="129"/>
      <c r="Q126" s="129"/>
      <c r="R126" s="129"/>
      <c r="AG126" s="0" t="s">
        <v>6389</v>
      </c>
    </row>
    <row customHeight="1" ht="12">
      <c r="A127" s="118" t="s">
        <v>6118</v>
      </c>
      <c r="B127" s="384" t="s">
        <v>6390</v>
      </c>
      <c r="C127" s="118"/>
      <c r="D127" s="129"/>
      <c r="E127" s="129"/>
      <c r="F127" s="129"/>
      <c r="G127" s="129"/>
      <c r="H127" s="129"/>
      <c r="I127" s="129"/>
      <c r="J127" s="129"/>
      <c r="K127" s="129"/>
      <c r="L127" s="129"/>
      <c r="M127" s="135"/>
      <c r="N127" s="129"/>
      <c r="O127" s="135"/>
      <c r="P127" s="129"/>
      <c r="Q127" s="129"/>
      <c r="R127" s="129"/>
      <c r="AG127" s="0" t="s">
        <v>6391</v>
      </c>
    </row>
    <row customHeight="1" ht="12">
      <c r="A128" s="118" t="s">
        <v>6123</v>
      </c>
      <c r="B128" s="384" t="s">
        <v>6392</v>
      </c>
      <c r="C128" s="118"/>
      <c r="D128" s="129"/>
      <c r="E128" s="129"/>
      <c r="F128" s="129"/>
      <c r="G128" s="129"/>
      <c r="H128" s="129"/>
      <c r="I128" s="129"/>
      <c r="J128" s="129"/>
      <c r="K128" s="129"/>
      <c r="L128" s="129"/>
      <c r="M128" s="135"/>
      <c r="N128" s="129"/>
      <c r="O128" s="135"/>
      <c r="P128" s="129"/>
      <c r="Q128" s="129"/>
      <c r="R128" s="129"/>
      <c r="AG128" s="0" t="s">
        <v>6393</v>
      </c>
    </row>
    <row customHeight="1" ht="12">
      <c r="A129" s="118" t="s">
        <v>6127</v>
      </c>
      <c r="B129" s="384" t="s">
        <v>6394</v>
      </c>
      <c r="C129" s="118"/>
      <c r="D129" s="129"/>
      <c r="E129" s="129"/>
      <c r="F129" s="129"/>
      <c r="G129" s="129"/>
      <c r="H129" s="129"/>
      <c r="I129" s="129"/>
      <c r="J129" s="129"/>
      <c r="K129" s="129"/>
      <c r="L129" s="129"/>
      <c r="M129" s="135"/>
      <c r="N129" s="129"/>
      <c r="O129" s="135"/>
      <c r="P129" s="129"/>
      <c r="Q129" s="129"/>
      <c r="R129" s="129"/>
      <c r="AG129" s="0" t="s">
        <v>6395</v>
      </c>
    </row>
    <row customHeight="1" ht="12">
      <c r="A130" s="118" t="s">
        <v>6132</v>
      </c>
      <c r="B130" s="384" t="s">
        <v>6396</v>
      </c>
      <c r="C130" s="118"/>
      <c r="D130" s="129"/>
      <c r="E130" s="129"/>
      <c r="F130" s="129"/>
      <c r="G130" s="129"/>
      <c r="H130" s="129"/>
      <c r="I130" s="129"/>
      <c r="J130" s="129"/>
      <c r="K130" s="129"/>
      <c r="L130" s="135"/>
      <c r="M130" s="135"/>
      <c r="N130" s="129"/>
      <c r="O130" s="129"/>
      <c r="P130" s="129"/>
      <c r="Q130" s="129"/>
      <c r="R130" s="129"/>
      <c r="AG130" s="0" t="s">
        <v>6397</v>
      </c>
    </row>
    <row customHeight="1" ht="12">
      <c r="A131" s="118" t="s">
        <v>6136</v>
      </c>
      <c r="B131" s="384" t="s">
        <v>6398</v>
      </c>
      <c r="C131" s="118"/>
      <c r="D131" s="129"/>
      <c r="E131" s="129"/>
      <c r="F131" s="129"/>
      <c r="G131" s="129"/>
      <c r="H131" s="129"/>
      <c r="I131" s="129"/>
      <c r="J131" s="129"/>
      <c r="K131" s="129"/>
      <c r="L131" s="135"/>
      <c r="M131" s="135"/>
      <c r="N131" s="129"/>
      <c r="O131" s="129"/>
      <c r="P131" s="129"/>
      <c r="Q131" s="129"/>
      <c r="R131" s="129"/>
      <c r="AG131" s="0" t="s">
        <v>6399</v>
      </c>
    </row>
    <row customHeight="1" ht="12">
      <c r="A132" s="118" t="s">
        <v>6141</v>
      </c>
      <c r="B132" s="384" t="s">
        <v>6400</v>
      </c>
      <c r="C132" s="118"/>
      <c r="D132" s="129"/>
      <c r="E132" s="129"/>
      <c r="F132" s="129"/>
      <c r="G132" s="129"/>
      <c r="H132" s="129"/>
      <c r="I132" s="129"/>
      <c r="J132" s="129"/>
      <c r="K132" s="129"/>
      <c r="L132" s="135"/>
      <c r="M132" s="135"/>
      <c r="N132" s="129"/>
      <c r="O132" s="129"/>
      <c r="P132" s="129"/>
      <c r="Q132" s="129"/>
      <c r="R132" s="129"/>
      <c r="AG132" s="0" t="s">
        <v>6401</v>
      </c>
    </row>
    <row customHeight="1" ht="12">
      <c r="A133" s="118" t="s">
        <v>6145</v>
      </c>
      <c r="B133" s="384" t="s">
        <v>6402</v>
      </c>
      <c r="C133" s="118"/>
      <c r="D133" s="129"/>
      <c r="E133" s="129"/>
      <c r="F133" s="129"/>
      <c r="G133" s="129"/>
      <c r="H133" s="129"/>
      <c r="I133" s="129"/>
      <c r="J133" s="129"/>
      <c r="K133" s="129"/>
      <c r="L133" s="135"/>
      <c r="M133" s="135"/>
      <c r="N133" s="129"/>
      <c r="O133" s="129"/>
      <c r="P133" s="129"/>
      <c r="Q133" s="129"/>
      <c r="R133" s="129"/>
      <c r="AG133" s="0" t="s">
        <v>6403</v>
      </c>
    </row>
    <row customHeight="1" ht="12">
      <c r="A134" s="118" t="s">
        <v>6149</v>
      </c>
      <c r="B134" s="384" t="s">
        <v>6404</v>
      </c>
      <c r="C134" s="118"/>
      <c r="D134" s="129"/>
      <c r="E134" s="129"/>
      <c r="F134" s="129"/>
      <c r="G134" s="129"/>
      <c r="H134" s="129"/>
      <c r="I134" s="129"/>
      <c r="J134" s="129"/>
      <c r="K134" s="129"/>
      <c r="L134" s="135"/>
      <c r="M134" s="135"/>
      <c r="N134" s="129"/>
      <c r="O134" s="129"/>
      <c r="P134" s="129"/>
      <c r="Q134" s="129"/>
      <c r="R134" s="129"/>
      <c r="AG134" s="0" t="s">
        <v>6405</v>
      </c>
    </row>
    <row customHeight="1" ht="12">
      <c r="A135" s="118" t="s">
        <v>6153</v>
      </c>
      <c r="B135" s="384" t="s">
        <v>6406</v>
      </c>
      <c r="C135" s="118"/>
      <c r="D135" s="129"/>
      <c r="E135" s="129"/>
      <c r="F135" s="129"/>
      <c r="G135" s="129"/>
      <c r="H135" s="129"/>
      <c r="I135" s="129"/>
      <c r="J135" s="129"/>
      <c r="K135" s="135"/>
      <c r="L135" s="135"/>
      <c r="M135" s="135"/>
      <c r="N135" s="129"/>
      <c r="O135" s="129"/>
      <c r="P135" s="129"/>
      <c r="Q135" s="129"/>
      <c r="R135" s="129"/>
      <c r="AG135" s="0" t="s">
        <v>6407</v>
      </c>
    </row>
    <row customHeight="1" ht="12">
      <c r="A136" s="118" t="s">
        <v>6157</v>
      </c>
      <c r="B136" s="384" t="s">
        <v>6408</v>
      </c>
      <c r="C136" s="118"/>
      <c r="D136" s="129"/>
      <c r="E136" s="129"/>
      <c r="F136" s="129"/>
      <c r="G136" s="129"/>
      <c r="H136" s="129"/>
      <c r="I136" s="129"/>
      <c r="J136" s="129"/>
      <c r="K136" s="135"/>
      <c r="L136" s="135"/>
      <c r="M136" s="135"/>
      <c r="N136" s="129"/>
      <c r="O136" s="129"/>
      <c r="P136" s="129"/>
      <c r="Q136" s="129"/>
      <c r="R136" s="129"/>
      <c r="AG136" s="0" t="s">
        <v>6409</v>
      </c>
    </row>
    <row customHeight="1" ht="12">
      <c r="A137" s="118" t="s">
        <v>6161</v>
      </c>
      <c r="B137" s="384" t="s">
        <v>6410</v>
      </c>
      <c r="C137" s="118"/>
      <c r="D137" s="129"/>
      <c r="E137" s="129"/>
      <c r="F137" s="129"/>
      <c r="G137" s="129"/>
      <c r="H137" s="129"/>
      <c r="I137" s="129"/>
      <c r="J137" s="129"/>
      <c r="K137" s="135"/>
      <c r="L137" s="135"/>
      <c r="M137" s="135"/>
      <c r="N137" s="129"/>
      <c r="O137" s="129"/>
      <c r="P137" s="129"/>
      <c r="Q137" s="129"/>
      <c r="R137" s="129"/>
      <c r="AG137" s="0" t="s">
        <v>6411</v>
      </c>
    </row>
    <row customHeight="1" ht="12">
      <c r="A138" s="118" t="s">
        <v>6165</v>
      </c>
      <c r="B138" s="384" t="s">
        <v>6412</v>
      </c>
      <c r="C138" s="118"/>
      <c r="D138" s="129"/>
      <c r="E138" s="129"/>
      <c r="F138" s="129"/>
      <c r="G138" s="129"/>
      <c r="H138" s="129"/>
      <c r="I138" s="129"/>
      <c r="J138" s="129"/>
      <c r="K138" s="135"/>
      <c r="L138" s="135"/>
      <c r="M138" s="135"/>
      <c r="N138" s="129"/>
      <c r="O138" s="129"/>
      <c r="P138" s="129"/>
      <c r="Q138" s="129"/>
      <c r="R138" s="129"/>
      <c r="AG138" s="0" t="s">
        <v>6413</v>
      </c>
    </row>
    <row customHeight="1" ht="12">
      <c r="A139" s="118" t="s">
        <v>6170</v>
      </c>
      <c r="B139" s="384" t="s">
        <v>6414</v>
      </c>
      <c r="C139" s="118"/>
      <c r="D139" s="129"/>
      <c r="E139" s="129"/>
      <c r="F139" s="129"/>
      <c r="G139" s="129"/>
      <c r="H139" s="129"/>
      <c r="I139" s="129"/>
      <c r="J139" s="129"/>
      <c r="K139" s="135"/>
      <c r="L139" s="135"/>
      <c r="M139" s="135"/>
      <c r="N139" s="129"/>
      <c r="O139" s="129"/>
      <c r="P139" s="129"/>
      <c r="Q139" s="129"/>
      <c r="R139" s="129"/>
      <c r="AG139" s="0" t="s">
        <v>6415</v>
      </c>
    </row>
    <row customHeight="1" ht="12">
      <c r="A140" s="118" t="s">
        <v>6174</v>
      </c>
      <c r="B140" s="384" t="s">
        <v>6416</v>
      </c>
      <c r="C140" s="118"/>
      <c r="D140" s="129"/>
      <c r="E140" s="129"/>
      <c r="F140" s="129"/>
      <c r="G140" s="129"/>
      <c r="H140" s="129"/>
      <c r="I140" s="129"/>
      <c r="J140" s="129"/>
      <c r="K140" s="135"/>
      <c r="L140" s="135"/>
      <c r="M140" s="135"/>
      <c r="N140" s="129"/>
      <c r="O140" s="129"/>
      <c r="P140" s="129"/>
      <c r="Q140" s="129"/>
      <c r="R140" s="129"/>
      <c r="AG140" s="0" t="s">
        <v>6417</v>
      </c>
    </row>
    <row customHeight="1" ht="12">
      <c r="A141" s="118" t="s">
        <v>6178</v>
      </c>
      <c r="B141" s="384" t="s">
        <v>6418</v>
      </c>
      <c r="C141" s="118"/>
      <c r="D141" s="129"/>
      <c r="E141" s="129"/>
      <c r="F141" s="129"/>
      <c r="G141" s="129"/>
      <c r="H141" s="129"/>
      <c r="I141" s="129"/>
      <c r="J141" s="129"/>
      <c r="K141" s="135"/>
      <c r="L141" s="135"/>
      <c r="M141" s="135"/>
      <c r="N141" s="129"/>
      <c r="O141" s="129"/>
      <c r="P141" s="129"/>
      <c r="Q141" s="129"/>
      <c r="R141" s="129"/>
    </row>
    <row customHeight="1" ht="12">
      <c r="A142" s="118" t="s">
        <v>6182</v>
      </c>
      <c r="B142" s="384" t="s">
        <v>6419</v>
      </c>
      <c r="C142" s="118"/>
      <c r="D142" s="129"/>
      <c r="E142" s="129"/>
      <c r="F142" s="129"/>
      <c r="G142" s="129"/>
      <c r="H142" s="129"/>
      <c r="I142" s="129"/>
      <c r="J142" s="129"/>
      <c r="K142" s="135"/>
      <c r="L142" s="135"/>
      <c r="M142" s="135"/>
      <c r="N142" s="129"/>
      <c r="O142" s="129"/>
      <c r="P142" s="129"/>
      <c r="Q142" s="129"/>
      <c r="R142" s="129"/>
    </row>
    <row customHeight="1" ht="12">
      <c r="A143" s="118" t="s">
        <v>6186</v>
      </c>
      <c r="B143" s="384" t="s">
        <v>6420</v>
      </c>
      <c r="C143" s="118"/>
      <c r="D143" s="129"/>
      <c r="E143" s="129"/>
      <c r="F143" s="129"/>
      <c r="G143" s="129"/>
      <c r="H143" s="129"/>
      <c r="I143" s="129"/>
      <c r="J143" s="129"/>
      <c r="K143" s="135"/>
      <c r="L143" s="135"/>
      <c r="M143" s="135"/>
      <c r="N143" s="129"/>
      <c r="O143" s="129"/>
      <c r="P143" s="129"/>
      <c r="Q143" s="129"/>
      <c r="R143" s="129"/>
    </row>
    <row customHeight="1" ht="12">
      <c r="A144" s="118" t="s">
        <v>6191</v>
      </c>
      <c r="B144" s="384" t="s">
        <v>6421</v>
      </c>
      <c r="C144" s="118"/>
      <c r="D144" s="129"/>
      <c r="E144" s="129"/>
      <c r="F144" s="129"/>
      <c r="G144" s="129"/>
      <c r="H144" s="129"/>
      <c r="I144" s="129"/>
      <c r="J144" s="129"/>
      <c r="K144" s="135"/>
      <c r="L144" s="135"/>
      <c r="M144" s="135"/>
      <c r="N144" s="129"/>
      <c r="O144" s="129"/>
      <c r="P144" s="129"/>
      <c r="Q144" s="129"/>
      <c r="R144" s="129"/>
    </row>
    <row customHeight="1" ht="12">
      <c r="A145" s="118" t="s">
        <v>6195</v>
      </c>
      <c r="B145" s="384" t="s">
        <v>6422</v>
      </c>
      <c r="C145" s="118"/>
      <c r="D145" s="129"/>
      <c r="E145" s="129"/>
      <c r="F145" s="129"/>
      <c r="G145" s="129"/>
      <c r="H145" s="129"/>
      <c r="I145" s="129"/>
      <c r="J145" s="129"/>
      <c r="K145" s="135"/>
      <c r="L145" s="135"/>
      <c r="M145" s="135"/>
      <c r="N145" s="129"/>
      <c r="O145" s="129"/>
      <c r="P145" s="129"/>
      <c r="R145" s="129"/>
    </row>
    <row customHeight="1" ht="12">
      <c r="A146" s="118" t="s">
        <v>6200</v>
      </c>
      <c r="B146" s="384" t="s">
        <v>6423</v>
      </c>
      <c r="C146" s="118"/>
      <c r="D146" s="129"/>
      <c r="E146" s="129"/>
      <c r="F146" s="129"/>
      <c r="G146" s="129"/>
      <c r="H146" s="129"/>
      <c r="I146" s="129"/>
      <c r="J146" s="129"/>
      <c r="K146" s="135"/>
      <c r="L146" s="135"/>
      <c r="M146" s="135"/>
      <c r="N146" s="129"/>
      <c r="O146" s="129"/>
      <c r="P146" s="129"/>
      <c r="R146" s="129"/>
    </row>
    <row customHeight="1" ht="12">
      <c r="A147" s="118" t="s">
        <v>6204</v>
      </c>
      <c r="B147" s="384" t="s">
        <v>6424</v>
      </c>
      <c r="C147" s="118"/>
      <c r="D147" s="129"/>
      <c r="E147" s="129"/>
      <c r="F147" s="129"/>
      <c r="G147" s="129"/>
      <c r="H147" s="129"/>
      <c r="I147" s="129"/>
      <c r="J147" s="129"/>
      <c r="K147" s="135"/>
      <c r="L147" s="135"/>
      <c r="M147" s="135"/>
      <c r="N147" s="129"/>
      <c r="O147" s="129"/>
      <c r="P147" s="129"/>
      <c r="R147" s="129"/>
    </row>
    <row customHeight="1" ht="12">
      <c r="A148" s="118" t="s">
        <v>6208</v>
      </c>
      <c r="B148" s="384" t="s">
        <v>6425</v>
      </c>
      <c r="C148" s="118"/>
      <c r="D148" s="129"/>
      <c r="E148" s="129"/>
      <c r="F148" s="129"/>
      <c r="G148" s="129"/>
      <c r="H148" s="129"/>
      <c r="I148" s="129"/>
      <c r="J148" s="129"/>
      <c r="K148" s="135"/>
      <c r="L148" s="135"/>
      <c r="M148" s="135"/>
      <c r="N148" s="129"/>
      <c r="O148" s="129"/>
      <c r="P148" s="129"/>
      <c r="R148" s="129"/>
    </row>
    <row customHeight="1" ht="12">
      <c r="A149" s="118" t="s">
        <v>6212</v>
      </c>
      <c r="B149" s="384" t="s">
        <v>6426</v>
      </c>
      <c r="C149" s="118"/>
      <c r="D149" s="129"/>
      <c r="E149" s="129"/>
      <c r="F149" s="129"/>
      <c r="G149" s="129"/>
      <c r="H149" s="129"/>
      <c r="I149" s="129"/>
      <c r="J149" s="129"/>
      <c r="K149" s="135"/>
      <c r="L149" s="135"/>
      <c r="M149" s="135"/>
      <c r="N149" s="129"/>
      <c r="O149" s="129"/>
      <c r="P149" s="129"/>
      <c r="R149" s="129"/>
    </row>
    <row customHeight="1" ht="12">
      <c r="A150" s="118" t="s">
        <v>6215</v>
      </c>
      <c r="B150" s="384" t="s">
        <v>6427</v>
      </c>
      <c r="C150" s="118"/>
      <c r="D150" s="129"/>
      <c r="E150" s="129"/>
      <c r="F150" s="129"/>
      <c r="G150" s="129"/>
      <c r="H150" s="129"/>
      <c r="I150" s="129"/>
      <c r="J150" s="129"/>
      <c r="K150" s="135"/>
      <c r="L150" s="135"/>
      <c r="M150" s="135"/>
      <c r="N150" s="129"/>
      <c r="O150" s="129"/>
      <c r="P150" s="129"/>
      <c r="R150" s="129"/>
    </row>
    <row customHeight="1" ht="12">
      <c r="A151" s="118" t="s">
        <v>6218</v>
      </c>
      <c r="B151" s="384" t="s">
        <v>6428</v>
      </c>
      <c r="C151" s="118"/>
      <c r="D151" s="129"/>
      <c r="E151" s="129"/>
      <c r="F151" s="129"/>
      <c r="G151" s="129"/>
      <c r="H151" s="129"/>
      <c r="I151" s="129"/>
      <c r="J151" s="129"/>
      <c r="K151" s="135"/>
      <c r="L151" s="135"/>
      <c r="M151" s="135"/>
      <c r="N151" s="129"/>
      <c r="O151" s="129"/>
      <c r="P151" s="129"/>
      <c r="R151" s="129"/>
    </row>
    <row customHeight="1" ht="12">
      <c r="A152" s="118" t="s">
        <v>6221</v>
      </c>
      <c r="B152" s="384" t="s">
        <v>6429</v>
      </c>
      <c r="C152" s="118"/>
      <c r="D152" s="129"/>
      <c r="E152" s="129"/>
      <c r="F152" s="129"/>
      <c r="G152" s="129"/>
      <c r="H152" s="129"/>
      <c r="I152" s="129"/>
      <c r="J152" s="129"/>
      <c r="K152" s="135"/>
      <c r="L152" s="135"/>
      <c r="M152" s="135"/>
      <c r="N152" s="129"/>
      <c r="O152" s="129"/>
      <c r="P152" s="129"/>
      <c r="R152" s="129"/>
    </row>
    <row customHeight="1" ht="12">
      <c r="A153" s="118" t="s">
        <v>6225</v>
      </c>
      <c r="B153" s="384" t="s">
        <v>6430</v>
      </c>
      <c r="C153" s="118"/>
      <c r="D153" s="129"/>
      <c r="E153" s="129"/>
      <c r="F153" s="129"/>
      <c r="G153" s="129"/>
      <c r="H153" s="129"/>
      <c r="I153" s="129"/>
      <c r="J153" s="129"/>
      <c r="K153" s="135"/>
      <c r="L153" s="135"/>
      <c r="M153" s="135"/>
      <c r="N153" s="129"/>
      <c r="O153" s="129"/>
      <c r="P153" s="129"/>
      <c r="R153" s="129"/>
    </row>
    <row customHeight="1" ht="12">
      <c r="A154" s="118" t="s">
        <v>6228</v>
      </c>
      <c r="B154" s="384" t="s">
        <v>6431</v>
      </c>
      <c r="C154" s="118"/>
      <c r="D154" s="129"/>
      <c r="E154" s="129"/>
      <c r="F154" s="129"/>
      <c r="G154" s="129"/>
      <c r="H154" s="129"/>
      <c r="I154" s="129"/>
      <c r="J154" s="129"/>
      <c r="K154" s="135"/>
      <c r="L154" s="135"/>
      <c r="M154" s="135"/>
      <c r="N154" s="129"/>
      <c r="O154" s="129"/>
      <c r="P154" s="129"/>
      <c r="R154" s="129"/>
    </row>
    <row customHeight="1" ht="12">
      <c r="A155" s="118" t="s">
        <v>6231</v>
      </c>
      <c r="B155" s="384" t="s">
        <v>6432</v>
      </c>
      <c r="C155" s="118"/>
      <c r="D155" s="129"/>
      <c r="E155" s="129"/>
      <c r="F155" s="129"/>
      <c r="G155" s="129"/>
      <c r="H155" s="129"/>
      <c r="I155" s="129"/>
      <c r="J155" s="129"/>
      <c r="K155" s="135"/>
      <c r="L155" s="135"/>
      <c r="M155" s="135"/>
      <c r="N155" s="129"/>
      <c r="O155" s="129"/>
      <c r="P155" s="129"/>
      <c r="R155" s="129"/>
    </row>
    <row customHeight="1" ht="12">
      <c r="A156" s="118" t="s">
        <v>6234</v>
      </c>
      <c r="B156" s="384" t="s">
        <v>6433</v>
      </c>
      <c r="C156" s="118"/>
      <c r="D156" s="129"/>
      <c r="E156" s="129"/>
      <c r="F156" s="129"/>
      <c r="G156" s="129"/>
      <c r="H156" s="129"/>
      <c r="I156" s="129"/>
      <c r="J156" s="129"/>
      <c r="K156" s="135"/>
      <c r="L156" s="135"/>
      <c r="M156" s="135"/>
      <c r="N156" s="129"/>
      <c r="O156" s="129"/>
      <c r="P156" s="129"/>
      <c r="R156" s="129"/>
    </row>
    <row customHeight="1" ht="12">
      <c r="A157" s="118" t="s">
        <v>6238</v>
      </c>
      <c r="B157" s="384" t="s">
        <v>6434</v>
      </c>
      <c r="C157" s="118"/>
      <c r="D157" s="129"/>
      <c r="E157" s="129"/>
      <c r="F157" s="129"/>
      <c r="G157" s="129"/>
      <c r="H157" s="129"/>
      <c r="I157" s="129"/>
      <c r="J157" s="129"/>
      <c r="K157" s="135"/>
      <c r="L157" s="135"/>
      <c r="M157" s="135"/>
      <c r="N157" s="129"/>
      <c r="O157" s="129"/>
      <c r="P157" s="129"/>
      <c r="R157" s="129"/>
    </row>
    <row customHeight="1" ht="12">
      <c r="A158" s="118" t="s">
        <v>6241</v>
      </c>
      <c r="B158" s="384" t="s">
        <v>6435</v>
      </c>
      <c r="C158" s="118"/>
      <c r="D158" s="129"/>
      <c r="E158" s="129"/>
      <c r="F158" s="129"/>
      <c r="G158" s="129"/>
      <c r="H158" s="129"/>
      <c r="I158" s="129"/>
      <c r="J158" s="129"/>
      <c r="K158" s="135"/>
      <c r="L158" s="135"/>
      <c r="M158" s="135"/>
      <c r="N158" s="129"/>
      <c r="O158" s="129"/>
      <c r="P158" s="129"/>
      <c r="R158" s="129"/>
    </row>
    <row customHeight="1" ht="12">
      <c r="A159" s="118" t="s">
        <v>6245</v>
      </c>
      <c r="B159" s="384" t="s">
        <v>6436</v>
      </c>
      <c r="C159" s="118"/>
      <c r="D159" s="129"/>
      <c r="E159" s="129"/>
      <c r="F159" s="129"/>
      <c r="G159" s="129"/>
      <c r="H159" s="129"/>
      <c r="I159" s="129"/>
      <c r="J159" s="129"/>
      <c r="K159" s="135"/>
      <c r="L159" s="135"/>
      <c r="M159" s="135"/>
      <c r="N159" s="129"/>
      <c r="O159" s="129"/>
      <c r="P159" s="129"/>
      <c r="R159" s="129"/>
    </row>
    <row customHeight="1" ht="12">
      <c r="A160" s="118" t="s">
        <v>6248</v>
      </c>
      <c r="B160" s="384" t="s">
        <v>6437</v>
      </c>
      <c r="C160" s="118"/>
      <c r="D160" s="129"/>
      <c r="E160" s="129"/>
      <c r="F160" s="129"/>
      <c r="G160" s="129"/>
      <c r="H160" s="129"/>
      <c r="I160" s="129"/>
      <c r="J160" s="129"/>
      <c r="K160" s="135"/>
      <c r="L160" s="135"/>
      <c r="M160" s="135"/>
      <c r="N160" s="129"/>
      <c r="O160" s="129"/>
      <c r="P160" s="129"/>
      <c r="R160" s="129"/>
    </row>
    <row customHeight="1" ht="12">
      <c r="A161" s="118" t="s">
        <v>6251</v>
      </c>
      <c r="B161" s="384" t="s">
        <v>6438</v>
      </c>
      <c r="C161" s="118"/>
      <c r="D161" s="129"/>
      <c r="E161" s="129"/>
      <c r="F161" s="129"/>
      <c r="G161" s="129"/>
      <c r="H161" s="129"/>
      <c r="I161" s="129"/>
      <c r="J161" s="129"/>
      <c r="K161" s="135"/>
      <c r="L161" s="135"/>
      <c r="M161" s="135"/>
      <c r="N161" s="129"/>
      <c r="O161" s="129"/>
      <c r="P161" s="129"/>
      <c r="R161" s="129"/>
    </row>
    <row customHeight="1" ht="12">
      <c r="A162" s="118" t="s">
        <v>6254</v>
      </c>
      <c r="B162" s="384" t="s">
        <v>6439</v>
      </c>
      <c r="C162" s="118"/>
      <c r="D162" s="129"/>
      <c r="E162" s="129"/>
      <c r="F162" s="129"/>
      <c r="G162" s="129"/>
      <c r="H162" s="129"/>
      <c r="I162" s="129"/>
      <c r="J162" s="129"/>
      <c r="K162" s="135"/>
      <c r="L162" s="135"/>
      <c r="M162" s="135"/>
      <c r="N162" s="129"/>
      <c r="O162" s="129"/>
      <c r="P162" s="129"/>
      <c r="R162" s="129"/>
    </row>
    <row customHeight="1" ht="12">
      <c r="A163" s="118" t="s">
        <v>6257</v>
      </c>
      <c r="B163" s="384" t="s">
        <v>6440</v>
      </c>
      <c r="C163" s="118"/>
      <c r="D163" s="129"/>
      <c r="E163" s="129"/>
      <c r="F163" s="129"/>
      <c r="G163" s="129"/>
      <c r="H163" s="129"/>
      <c r="I163" s="129"/>
      <c r="J163" s="129"/>
      <c r="K163" s="135"/>
      <c r="L163" s="135"/>
      <c r="M163" s="135"/>
      <c r="N163" s="129"/>
      <c r="O163" s="129"/>
      <c r="P163" s="129"/>
      <c r="R163" s="129"/>
    </row>
    <row customHeight="1" ht="12">
      <c r="A164" s="118" t="s">
        <v>6260</v>
      </c>
      <c r="B164" s="384" t="s">
        <v>6441</v>
      </c>
      <c r="C164" s="118"/>
      <c r="D164" s="129"/>
      <c r="E164" s="129"/>
      <c r="F164" s="129"/>
      <c r="G164" s="129"/>
      <c r="H164" s="129"/>
      <c r="I164" s="129"/>
      <c r="J164" s="129"/>
      <c r="L164" s="135"/>
      <c r="M164" s="135"/>
      <c r="N164" s="129"/>
      <c r="O164" s="129"/>
      <c r="P164" s="129"/>
      <c r="R164" s="129"/>
    </row>
    <row customHeight="1" ht="12">
      <c r="A165" s="118" t="s">
        <v>6263</v>
      </c>
      <c r="B165" s="384" t="s">
        <v>6442</v>
      </c>
      <c r="C165" s="118"/>
      <c r="D165" s="129"/>
      <c r="E165" s="129"/>
      <c r="F165" s="129"/>
      <c r="G165" s="129"/>
      <c r="H165" s="129"/>
      <c r="I165" s="129"/>
      <c r="J165" s="129"/>
      <c r="L165" s="135"/>
      <c r="M165" s="135"/>
      <c r="N165" s="129"/>
      <c r="O165" s="129"/>
      <c r="P165" s="129"/>
      <c r="R165" s="129"/>
    </row>
    <row customHeight="1" ht="12">
      <c r="A166" s="118" t="s">
        <v>6266</v>
      </c>
      <c r="B166" s="384" t="s">
        <v>6443</v>
      </c>
      <c r="C166" s="118"/>
      <c r="D166" s="129"/>
      <c r="E166" s="129"/>
      <c r="F166" s="129"/>
      <c r="G166" s="129"/>
      <c r="H166" s="129"/>
      <c r="I166" s="129"/>
      <c r="J166" s="129"/>
      <c r="L166" s="135"/>
      <c r="M166" s="135"/>
      <c r="N166" s="129"/>
      <c r="O166" s="129"/>
      <c r="P166" s="129"/>
      <c r="R166" s="129"/>
    </row>
    <row customHeight="1" ht="12">
      <c r="A167" s="118" t="s">
        <v>6269</v>
      </c>
      <c r="B167" s="384" t="s">
        <v>6444</v>
      </c>
      <c r="C167" s="118"/>
      <c r="D167" s="129"/>
      <c r="E167" s="129"/>
      <c r="F167" s="129"/>
      <c r="G167" s="129"/>
      <c r="H167" s="129"/>
      <c r="I167" s="129"/>
      <c r="J167" s="129"/>
      <c r="L167" s="135"/>
      <c r="M167" s="135"/>
      <c r="N167" s="129"/>
      <c r="O167" s="129"/>
      <c r="P167" s="129"/>
      <c r="R167" s="129"/>
    </row>
    <row customHeight="1" ht="12">
      <c r="A168" s="118" t="s">
        <v>6272</v>
      </c>
      <c r="B168" s="384" t="s">
        <v>6445</v>
      </c>
      <c r="C168" s="118"/>
      <c r="D168" s="129"/>
      <c r="E168" s="129"/>
      <c r="F168" s="129"/>
      <c r="G168" s="129"/>
      <c r="H168" s="129"/>
      <c r="I168" s="129"/>
      <c r="J168" s="129"/>
      <c r="L168" s="135"/>
      <c r="M168" s="135"/>
      <c r="N168" s="129"/>
      <c r="O168" s="129"/>
      <c r="P168" s="129"/>
      <c r="R168" s="129"/>
    </row>
    <row customHeight="1" ht="12">
      <c r="A169" s="118" t="s">
        <v>6275</v>
      </c>
      <c r="B169" s="384" t="s">
        <v>6446</v>
      </c>
      <c r="C169" s="118"/>
      <c r="D169" s="129"/>
      <c r="E169" s="129"/>
      <c r="F169" s="129"/>
      <c r="H169" s="129"/>
      <c r="I169" s="129"/>
      <c r="J169" s="129"/>
      <c r="L169" s="135"/>
      <c r="M169" s="135"/>
      <c r="N169" s="129"/>
      <c r="O169" s="129"/>
      <c r="P169" s="129"/>
      <c r="R169" s="129"/>
    </row>
    <row customHeight="1" ht="12">
      <c r="A170" s="118" t="s">
        <v>6278</v>
      </c>
      <c r="B170" s="384" t="s">
        <v>6447</v>
      </c>
      <c r="C170" s="118"/>
      <c r="D170" s="129"/>
      <c r="E170" s="129"/>
      <c r="F170" s="129"/>
      <c r="H170" s="129"/>
      <c r="I170" s="129"/>
      <c r="J170" s="129"/>
      <c r="L170" s="135"/>
      <c r="M170" s="135"/>
      <c r="N170" s="129"/>
      <c r="O170" s="129"/>
      <c r="P170" s="129"/>
      <c r="R170" s="129"/>
    </row>
    <row customHeight="1" ht="12">
      <c r="A171" s="118" t="s">
        <v>6281</v>
      </c>
      <c r="B171" s="384" t="s">
        <v>6448</v>
      </c>
      <c r="C171" s="118"/>
      <c r="D171" s="129"/>
      <c r="E171" s="129"/>
      <c r="F171" s="129"/>
      <c r="H171" s="129"/>
      <c r="I171" s="129"/>
      <c r="J171" s="129"/>
      <c r="L171" s="135"/>
      <c r="M171" s="135"/>
      <c r="N171" s="129"/>
      <c r="O171" s="129"/>
      <c r="P171" s="129"/>
      <c r="R171" s="129"/>
    </row>
    <row customHeight="1" ht="12">
      <c r="A172" s="118" t="s">
        <v>6283</v>
      </c>
      <c r="B172" s="384" t="s">
        <v>6449</v>
      </c>
      <c r="C172" s="118"/>
      <c r="D172" s="129"/>
      <c r="E172" s="129"/>
      <c r="F172" s="129"/>
      <c r="H172" s="129"/>
      <c r="I172" s="129"/>
      <c r="J172" s="129"/>
      <c r="L172" s="135"/>
      <c r="M172" s="135"/>
      <c r="N172" s="129"/>
      <c r="O172" s="129"/>
      <c r="P172" s="129"/>
      <c r="R172" s="129"/>
    </row>
    <row customHeight="1" ht="12">
      <c r="A173" s="118" t="s">
        <v>6285</v>
      </c>
      <c r="B173" s="384" t="s">
        <v>6450</v>
      </c>
      <c r="C173" s="118"/>
      <c r="D173" s="129"/>
      <c r="E173" s="129"/>
      <c r="F173" s="129"/>
      <c r="H173" s="129"/>
      <c r="I173" s="129"/>
      <c r="J173" s="129"/>
      <c r="L173" s="135"/>
      <c r="M173" s="135"/>
      <c r="N173" s="129"/>
      <c r="O173" s="129"/>
      <c r="P173" s="129"/>
      <c r="R173" s="129"/>
    </row>
    <row customHeight="1" ht="12">
      <c r="A174" s="118" t="s">
        <v>6288</v>
      </c>
      <c r="B174" s="384" t="s">
        <v>6451</v>
      </c>
      <c r="C174" s="118"/>
      <c r="D174" s="129"/>
      <c r="E174" s="129"/>
      <c r="F174" s="129"/>
      <c r="H174" s="129"/>
      <c r="I174" s="129"/>
      <c r="J174" s="129"/>
      <c r="L174" s="135"/>
      <c r="M174" s="135"/>
      <c r="N174" s="129"/>
      <c r="O174" s="129"/>
      <c r="P174" s="129"/>
      <c r="R174" s="129"/>
    </row>
    <row customHeight="1" ht="12">
      <c r="A175" s="118" t="s">
        <v>6291</v>
      </c>
      <c r="B175" s="384" t="s">
        <v>6452</v>
      </c>
      <c r="C175" s="118"/>
      <c r="D175" s="129"/>
      <c r="E175" s="129"/>
      <c r="F175" s="129"/>
      <c r="H175" s="129"/>
      <c r="I175" s="129"/>
      <c r="J175" s="129"/>
      <c r="L175" s="135"/>
      <c r="M175" s="135"/>
      <c r="N175" s="129"/>
      <c r="O175" s="129"/>
      <c r="P175" s="129"/>
      <c r="R175" s="129"/>
    </row>
    <row customHeight="1" ht="12">
      <c r="A176" s="118" t="s">
        <v>6294</v>
      </c>
      <c r="B176" s="384" t="s">
        <v>6453</v>
      </c>
      <c r="C176" s="118"/>
    </row>
    <row customHeight="1" ht="12">
      <c r="A177" s="118" t="s">
        <v>6297</v>
      </c>
      <c r="B177" s="384" t="s">
        <v>6454</v>
      </c>
      <c r="C177" s="118"/>
    </row>
    <row customHeight="1" ht="12">
      <c r="A178" s="118" t="s">
        <v>6299</v>
      </c>
      <c r="B178" s="384" t="s">
        <v>6455</v>
      </c>
      <c r="C178" s="118"/>
    </row>
    <row customHeight="1" ht="12">
      <c r="A179" s="118" t="s">
        <v>6302</v>
      </c>
      <c r="B179" s="384" t="s">
        <v>6456</v>
      </c>
      <c r="C179" s="118"/>
    </row>
    <row customHeight="1" ht="12">
      <c r="A180" s="118" t="s">
        <v>6306</v>
      </c>
      <c r="B180" s="384" t="s">
        <v>6457</v>
      </c>
      <c r="C180" s="118"/>
    </row>
    <row customHeight="1" ht="12">
      <c r="A181" s="118" t="s">
        <v>6310</v>
      </c>
      <c r="B181" s="384" t="s">
        <v>6458</v>
      </c>
      <c r="C181" s="118"/>
    </row>
    <row customHeight="1" ht="12">
      <c r="A182" s="118" t="s">
        <v>6313</v>
      </c>
      <c r="B182" s="384" t="s">
        <v>6459</v>
      </c>
      <c r="C182" s="118"/>
    </row>
    <row customHeight="1" ht="12">
      <c r="A183" s="118" t="s">
        <v>6316</v>
      </c>
      <c r="B183" s="384" t="s">
        <v>6460</v>
      </c>
      <c r="C183" s="118"/>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3E8B28-9D88-E0C8-1DC8-A3195EFDF5D7}" mc:Ignorable="x14ac xr xr2 xr3">
  <sheetPr>
    <tabColor rgb="FFFFCC99"/>
  </sheetPr>
  <dimension ref="A1:A5"/>
  <sheetViews>
    <sheetView topLeftCell="A1" workbookViewId="0">
      <selection activeCell="A1" sqref="A1"/>
    </sheetView>
  </sheetViews>
  <sheetFormatPr defaultColWidth="8.8515625" customHeight="1" defaultRowHeight="15"/>
  <sheetData>
    <row customHeight="1" ht="15">
      <c r="A1" s="0" t="s">
        <v>6461</v>
      </c>
    </row>
    <row customHeight="1" ht="15">
      <c r="A2" s="0" t="s">
        <v>6462</v>
      </c>
    </row>
    <row customHeight="1" ht="15">
      <c r="A3" s="0" t="s">
        <v>6463</v>
      </c>
    </row>
    <row customHeight="1" ht="15">
      <c r="A4" s="0" t="s">
        <v>6464</v>
      </c>
    </row>
    <row customHeight="1" ht="15">
      <c r="A5" s="0" t="s">
        <v>6465</v>
      </c>
    </row>
  </sheetData>
  <sheetProtection sort="0" autoFilter="0" insertRows="0" insertColumns="1" deleteRows="0" deleteColum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6DA918-B838-05B7-367C-42D9682A6178}" mc:Ignorable="x14ac xr xr2 xr3">
  <sheetPr>
    <tabColor rgb="FFFFCC99"/>
  </sheetPr>
  <dimension ref="A1:A16"/>
  <sheetViews>
    <sheetView topLeftCell="A1" workbookViewId="0">
      <selection activeCell="A1" sqref="A1"/>
    </sheetView>
  </sheetViews>
  <sheetFormatPr defaultColWidth="8.8515625" customHeight="1" defaultRowHeight="15"/>
  <sheetData>
    <row customHeight="1" ht="15">
      <c r="A1" s="0" t="s">
        <v>6466</v>
      </c>
    </row>
    <row customHeight="1" ht="15">
      <c r="A2" s="0" t="s">
        <v>353</v>
      </c>
    </row>
    <row customHeight="1" ht="15">
      <c r="A3" s="0" t="s">
        <v>5715</v>
      </c>
    </row>
    <row customHeight="1" ht="15">
      <c r="A4" s="0" t="s">
        <v>5719</v>
      </c>
    </row>
    <row customHeight="1" ht="15">
      <c r="A5" s="0" t="s">
        <v>6467</v>
      </c>
    </row>
    <row customHeight="1" ht="15">
      <c r="A6" s="0" t="s">
        <v>5729</v>
      </c>
    </row>
    <row customHeight="1" ht="15">
      <c r="A7" s="0" t="s">
        <v>5677</v>
      </c>
    </row>
    <row customHeight="1" ht="15">
      <c r="A8" s="0" t="s">
        <v>6468</v>
      </c>
    </row>
    <row customHeight="1" ht="15">
      <c r="A9" s="0" t="s">
        <v>5725</v>
      </c>
    </row>
    <row customHeight="1" ht="15">
      <c r="A10" s="0" t="s">
        <v>6469</v>
      </c>
    </row>
    <row customHeight="1" ht="15">
      <c r="A11" s="0" t="s">
        <v>6470</v>
      </c>
    </row>
    <row customHeight="1" ht="15">
      <c r="A12" s="0" t="s">
        <v>6471</v>
      </c>
    </row>
    <row customHeight="1" ht="15">
      <c r="A13" s="0" t="s">
        <v>6472</v>
      </c>
    </row>
    <row customHeight="1" ht="15">
      <c r="A14" s="0" t="s">
        <v>6473</v>
      </c>
    </row>
    <row customHeight="1" ht="15">
      <c r="A15" s="0" t="s">
        <v>6474</v>
      </c>
    </row>
    <row customHeight="1" ht="15">
      <c r="A16" s="0" t="s">
        <v>6475</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0CD518-4383-C238-53F8-B4ECFB306CC8}" mc:Ignorable="x14ac xr xr2 xr3">
  <sheetPr>
    <tabColor theme="3" tint="0.6"/>
    <pageSetUpPr fitToPage="1"/>
  </sheetPr>
  <dimension ref="A1:BA223"/>
  <sheetViews>
    <sheetView topLeftCell="AD39" showGridLines="0" zoomScale="110" workbookViewId="0" tabSelected="1">
      <selection activeCell="AE49" sqref="AE49"/>
    </sheetView>
  </sheetViews>
  <sheetFormatPr defaultColWidth="9.140625" customHeight="1" defaultRowHeight="19.5"/>
  <cols>
    <col min="1" max="1" style="1277" width="13.7109375" hidden="1" customWidth="1"/>
    <col min="2" max="2" style="955" width="14.28125" hidden="1" customWidth="1"/>
    <col min="3" max="4" style="1277" width="3.57421875" hidden="1" customWidth="1"/>
    <col min="5" max="5" style="596" width="4.7109375" hidden="1" customWidth="1"/>
    <col min="6" max="21" style="1277" width="3.57421875" hidden="1" customWidth="1"/>
    <col min="22" max="22" style="1277" width="5.8515625" hidden="1" customWidth="1"/>
    <col min="23" max="23" style="1277" width="12.140625" hidden="1" customWidth="1"/>
    <col min="24" max="25" style="1277" width="6.140625" hidden="1" customWidth="1"/>
    <col min="26" max="26" style="1624" width="12.57421875" hidden="1" customWidth="1"/>
    <col min="27" max="27" style="1277" width="3.43359375" customWidth="1"/>
    <col min="28" max="28" style="1379" width="12.00390625" customWidth="1"/>
    <col min="29" max="29" style="1379" width="18.00390625" customWidth="1"/>
    <col min="30" max="30" style="1379" width="56.86328125" customWidth="1"/>
    <col min="31" max="31" style="1379" width="70.00390625" customWidth="1"/>
    <col min="32" max="32" style="353" width="3.00390625" customWidth="1"/>
    <col min="33" max="33" style="1277" width="29.8515625" hidden="1" customWidth="1"/>
    <col min="34" max="34" style="1277" width="18.57421875" hidden="1" customWidth="1"/>
    <col min="35" max="53" style="1277" width="12.00390625" hidden="1" customWidth="1"/>
  </cols>
  <sheetData>
    <row customHeight="1" ht="11.25" hidden="1">
      <c r="E1" s="73"/>
      <c r="V1" s="73" t="s">
        <v>91</v>
      </c>
      <c r="W1" s="474" t="s">
        <v>92</v>
      </c>
      <c r="X1" s="439" t="s">
        <v>93</v>
      </c>
      <c r="Y1" s="439" t="s">
        <v>94</v>
      </c>
      <c r="Z1" s="476" t="s">
        <v>95</v>
      </c>
      <c r="AA1" s="476" t="s">
        <v>96</v>
      </c>
      <c r="AB1" s="477"/>
      <c r="AC1" s="477"/>
      <c r="AD1" s="475" t="s">
        <v>97</v>
      </c>
      <c r="AE1" s="475" t="s">
        <v>98</v>
      </c>
      <c r="AF1" s="474" t="s">
        <v>99</v>
      </c>
    </row>
    <row s="955" customFormat="1" customHeight="1" ht="11.25" hidden="1">
      <c r="B2" s="417" t="s">
        <v>18</v>
      </c>
      <c r="W2" s="62"/>
      <c r="X2" s="62"/>
      <c r="Y2" s="62"/>
      <c r="Z2" s="537"/>
      <c r="AA2" s="62"/>
      <c r="AB2" s="399"/>
      <c r="AC2" s="399"/>
      <c r="AD2" s="399"/>
      <c r="AE2" s="399"/>
      <c r="AF2" s="448"/>
      <c r="AG2" s="62"/>
      <c r="AH2" s="62"/>
      <c r="AI2" s="62"/>
      <c r="AJ2" s="62"/>
      <c r="AK2" s="62"/>
      <c r="AL2" s="62"/>
      <c r="AM2" s="62"/>
      <c r="AN2" s="62"/>
      <c r="AO2" s="62"/>
      <c r="AP2" s="62"/>
      <c r="AQ2" s="62"/>
      <c r="AR2" s="62"/>
      <c r="AS2" s="62"/>
      <c r="AT2" s="62"/>
      <c r="AU2" s="62"/>
      <c r="AV2" s="62"/>
      <c r="AW2" s="62"/>
      <c r="AX2" s="62"/>
      <c r="AY2" s="62"/>
      <c r="AZ2" s="62"/>
      <c r="BA2" s="62"/>
    </row>
    <row s="955" customFormat="1" customHeight="1" ht="11.25" hidden="1">
      <c r="B3" s="399"/>
      <c r="W3" s="62"/>
      <c r="X3" s="62"/>
      <c r="Y3" s="62"/>
      <c r="Z3" s="537"/>
      <c r="AA3" s="62"/>
      <c r="AB3" s="399"/>
      <c r="AC3" s="399"/>
      <c r="AD3" s="399"/>
      <c r="AE3" s="399"/>
      <c r="AF3" s="448"/>
      <c r="AG3" s="62"/>
      <c r="AH3" s="62"/>
      <c r="AI3" s="62"/>
      <c r="AJ3" s="62"/>
      <c r="AK3" s="62"/>
      <c r="AL3" s="62"/>
      <c r="AM3" s="62"/>
      <c r="AN3" s="62"/>
      <c r="AO3" s="62"/>
      <c r="AP3" s="62"/>
      <c r="AQ3" s="62"/>
      <c r="AR3" s="62"/>
      <c r="AS3" s="62"/>
      <c r="AT3" s="62"/>
      <c r="AU3" s="62"/>
      <c r="AV3" s="62"/>
      <c r="AW3" s="62"/>
      <c r="AX3" s="62"/>
      <c r="AY3" s="62"/>
      <c r="AZ3" s="62"/>
      <c r="BA3" s="62"/>
    </row>
    <row s="955" customFormat="1" customHeight="1" ht="11.25" hidden="1">
      <c r="B4" s="399"/>
      <c r="W4" s="62"/>
      <c r="X4" s="62"/>
      <c r="Y4" s="62"/>
      <c r="Z4" s="537"/>
      <c r="AA4" s="62"/>
      <c r="AB4" s="399"/>
      <c r="AC4" s="399"/>
      <c r="AD4" s="399"/>
      <c r="AE4" s="399"/>
      <c r="AF4" s="448"/>
      <c r="AG4" s="62"/>
      <c r="AH4" s="62"/>
      <c r="AI4" s="62"/>
      <c r="AJ4" s="62"/>
      <c r="AK4" s="62"/>
      <c r="AL4" s="62"/>
      <c r="AM4" s="62"/>
      <c r="AN4" s="62"/>
      <c r="AO4" s="62"/>
      <c r="AP4" s="62"/>
      <c r="AQ4" s="62"/>
      <c r="AR4" s="62"/>
      <c r="AS4" s="62"/>
      <c r="AT4" s="62"/>
      <c r="AU4" s="62"/>
      <c r="AV4" s="62"/>
      <c r="AW4" s="62"/>
      <c r="AX4" s="62"/>
      <c r="AY4" s="62"/>
      <c r="AZ4" s="62"/>
      <c r="BA4" s="62"/>
    </row>
    <row s="597" customFormat="1" customHeight="1" ht="11.25" hidden="1">
      <c r="A5" s="404"/>
      <c r="B5" s="399"/>
      <c r="C5" s="404"/>
      <c r="D5" s="404"/>
      <c r="E5" s="598" t="s">
        <v>19</v>
      </c>
      <c r="V5" s="404"/>
      <c r="W5" s="600"/>
      <c r="X5" s="600"/>
      <c r="Y5" s="600"/>
      <c r="Z5" s="601"/>
      <c r="AA5" s="600">
        <v>3.43</v>
      </c>
      <c r="AB5" s="600">
        <v>12</v>
      </c>
      <c r="AC5" s="600">
        <v>18</v>
      </c>
      <c r="AD5" s="600">
        <v>56.86</v>
      </c>
      <c r="AE5" s="600">
        <v>65</v>
      </c>
      <c r="AF5" s="600">
        <v>3</v>
      </c>
      <c r="AG5" s="600"/>
      <c r="AH5" s="600"/>
      <c r="AI5" s="600"/>
      <c r="AJ5" s="600"/>
      <c r="AK5" s="600"/>
      <c r="AL5" s="600"/>
      <c r="AM5" s="600"/>
      <c r="AN5" s="600"/>
      <c r="AO5" s="600"/>
      <c r="AP5" s="600"/>
      <c r="AQ5" s="600"/>
      <c r="AR5" s="600"/>
      <c r="AS5" s="600"/>
      <c r="AT5" s="600"/>
      <c r="AU5" s="600"/>
      <c r="AV5" s="600"/>
      <c r="AW5" s="600"/>
      <c r="AX5" s="600"/>
      <c r="AY5" s="600"/>
      <c r="AZ5" s="600"/>
      <c r="BA5" s="600"/>
    </row>
    <row s="955" customFormat="1" customHeight="1" ht="11.25" hidden="1">
      <c r="B6" s="399"/>
      <c r="E6" s="597"/>
      <c r="W6" s="62"/>
      <c r="X6" s="62"/>
      <c r="Y6" s="62"/>
      <c r="Z6" s="537"/>
      <c r="AA6" s="62"/>
      <c r="AB6" s="399"/>
      <c r="AC6" s="399"/>
      <c r="AD6" s="399"/>
      <c r="AE6" s="399"/>
      <c r="AF6" s="448"/>
      <c r="AG6" s="62"/>
      <c r="AH6" s="62"/>
      <c r="AI6" s="62"/>
      <c r="AJ6" s="62"/>
      <c r="AK6" s="62"/>
      <c r="AL6" s="62"/>
      <c r="AM6" s="62"/>
      <c r="AN6" s="62"/>
      <c r="AO6" s="62"/>
      <c r="AP6" s="62"/>
      <c r="AQ6" s="62"/>
      <c r="AR6" s="62"/>
      <c r="AS6" s="62"/>
      <c r="AT6" s="62"/>
      <c r="AU6" s="62"/>
      <c r="AV6" s="62"/>
      <c r="AW6" s="62"/>
      <c r="AX6" s="62"/>
      <c r="AY6" s="62"/>
      <c r="AZ6" s="62"/>
      <c r="BA6" s="62"/>
    </row>
    <row s="955" customFormat="1" customHeight="1" ht="11.25" hidden="1">
      <c r="B7" s="399"/>
      <c r="E7" s="597"/>
      <c r="W7" s="62"/>
      <c r="X7" s="62"/>
      <c r="Y7" s="62"/>
      <c r="Z7" s="537"/>
      <c r="AA7" s="62"/>
      <c r="AB7" s="399"/>
      <c r="AC7" s="399"/>
      <c r="AD7" s="399"/>
      <c r="AE7" s="399"/>
      <c r="AF7" s="448"/>
      <c r="AG7" s="62"/>
      <c r="AH7" s="62"/>
      <c r="AI7" s="62"/>
      <c r="AJ7" s="62"/>
      <c r="AK7" s="62"/>
      <c r="AL7" s="62"/>
      <c r="AM7" s="62"/>
      <c r="AN7" s="62"/>
      <c r="AO7" s="62"/>
      <c r="AP7" s="62"/>
      <c r="AQ7" s="62"/>
      <c r="AR7" s="62"/>
      <c r="AS7" s="62"/>
      <c r="AT7" s="62"/>
      <c r="AU7" s="62"/>
      <c r="AV7" s="62"/>
      <c r="AW7" s="62"/>
      <c r="AX7" s="62"/>
      <c r="AY7" s="62"/>
      <c r="AZ7" s="62"/>
      <c r="BA7" s="62"/>
    </row>
    <row s="955" customFormat="1" customHeight="1" ht="11.25" hidden="1">
      <c r="B8" s="399"/>
      <c r="E8" s="597"/>
      <c r="W8" s="62"/>
      <c r="X8" s="62"/>
      <c r="Y8" s="62"/>
      <c r="Z8" s="537"/>
      <c r="AA8" s="62"/>
      <c r="AB8" s="399"/>
      <c r="AC8" s="399"/>
      <c r="AD8" s="399"/>
      <c r="AE8" s="399"/>
      <c r="AF8" s="448"/>
      <c r="AG8" s="62"/>
      <c r="AH8" s="62"/>
      <c r="AI8" s="62"/>
      <c r="AJ8" s="62"/>
      <c r="AK8" s="62"/>
      <c r="AL8" s="62"/>
      <c r="AM8" s="62"/>
      <c r="AN8" s="62"/>
      <c r="AO8" s="62"/>
      <c r="AP8" s="62"/>
      <c r="AQ8" s="62"/>
      <c r="AR8" s="62"/>
      <c r="AS8" s="62"/>
      <c r="AT8" s="62"/>
      <c r="AU8" s="62"/>
      <c r="AV8" s="62"/>
      <c r="AW8" s="62"/>
      <c r="AX8" s="62"/>
      <c r="AY8" s="62"/>
      <c r="AZ8" s="62"/>
      <c r="BA8" s="62"/>
    </row>
    <row s="955" customFormat="1" customHeight="1" ht="11.25" hidden="1">
      <c r="B9" s="399"/>
      <c r="E9" s="597"/>
      <c r="W9" s="62"/>
      <c r="X9" s="62"/>
      <c r="Y9" s="62"/>
      <c r="Z9" s="537"/>
      <c r="AA9" s="62"/>
      <c r="AB9" s="399"/>
      <c r="AC9" s="399"/>
      <c r="AD9" s="399"/>
      <c r="AE9" s="399"/>
      <c r="AF9" s="448"/>
      <c r="AG9" s="62"/>
      <c r="AH9" s="62"/>
      <c r="AI9" s="62"/>
      <c r="AJ9" s="62"/>
      <c r="AK9" s="62"/>
      <c r="AL9" s="62"/>
      <c r="AM9" s="62"/>
      <c r="AN9" s="62"/>
      <c r="AO9" s="62"/>
      <c r="AP9" s="62"/>
      <c r="AQ9" s="62"/>
      <c r="AR9" s="62"/>
      <c r="AS9" s="62"/>
      <c r="AT9" s="62"/>
      <c r="AU9" s="62"/>
      <c r="AV9" s="62"/>
      <c r="AW9" s="62"/>
      <c r="AX9" s="62"/>
      <c r="AY9" s="62"/>
      <c r="AZ9" s="62"/>
      <c r="BA9" s="62"/>
    </row>
    <row s="955" customFormat="1" customHeight="1" ht="11.25" hidden="1">
      <c r="B10" s="399"/>
      <c r="E10" s="597"/>
      <c r="W10" s="62"/>
      <c r="X10" s="62"/>
      <c r="Y10" s="62"/>
      <c r="Z10" s="537"/>
      <c r="AA10" s="62"/>
      <c r="AB10" s="399"/>
      <c r="AC10" s="399"/>
      <c r="AD10" s="399"/>
      <c r="AE10" s="399"/>
      <c r="AF10" s="448"/>
      <c r="AG10" s="62"/>
      <c r="AH10" s="62"/>
      <c r="AI10" s="62"/>
      <c r="AJ10" s="62"/>
      <c r="AK10" s="62"/>
      <c r="AL10" s="62"/>
      <c r="AM10" s="62"/>
      <c r="AN10" s="62"/>
      <c r="AO10" s="62"/>
      <c r="AP10" s="62"/>
      <c r="AQ10" s="62"/>
      <c r="AR10" s="62"/>
      <c r="AS10" s="62"/>
      <c r="AT10" s="62"/>
      <c r="AU10" s="62"/>
      <c r="AV10" s="62"/>
      <c r="AW10" s="62"/>
      <c r="AX10" s="62"/>
      <c r="AY10" s="62"/>
      <c r="AZ10" s="62"/>
      <c r="BA10" s="62"/>
    </row>
    <row s="955" customFormat="1" customHeight="1" ht="11.25" hidden="1">
      <c r="B11" s="399"/>
      <c r="E11" s="597"/>
      <c r="W11" s="62"/>
      <c r="X11" s="62"/>
      <c r="Y11" s="62"/>
      <c r="Z11" s="537"/>
      <c r="AA11" s="62"/>
      <c r="AB11" s="399"/>
      <c r="AC11" s="399"/>
      <c r="AD11" s="399"/>
      <c r="AE11" s="399"/>
      <c r="AF11" s="448"/>
      <c r="AG11" s="62"/>
      <c r="AH11" s="62"/>
      <c r="AI11" s="62"/>
      <c r="AJ11" s="62"/>
      <c r="AK11" s="62"/>
      <c r="AL11" s="62"/>
      <c r="AM11" s="62"/>
      <c r="AN11" s="62"/>
      <c r="AO11" s="62"/>
      <c r="AP11" s="62"/>
      <c r="AQ11" s="62"/>
      <c r="AR11" s="62"/>
      <c r="AS11" s="62"/>
      <c r="AT11" s="62"/>
      <c r="AU11" s="62"/>
      <c r="AV11" s="62"/>
      <c r="AW11" s="62"/>
      <c r="AX11" s="62"/>
      <c r="AY11" s="62"/>
      <c r="AZ11" s="62"/>
      <c r="BA11" s="62"/>
    </row>
    <row s="955" customFormat="1" customHeight="1" ht="11.25" hidden="1">
      <c r="B12" s="399"/>
      <c r="E12" s="597"/>
      <c r="W12" s="62"/>
      <c r="X12" s="62"/>
      <c r="Y12" s="62"/>
      <c r="Z12" s="537"/>
      <c r="AA12" s="62"/>
      <c r="AB12" s="399"/>
      <c r="AC12" s="399"/>
      <c r="AD12" s="399"/>
      <c r="AE12" s="399"/>
      <c r="AF12" s="448"/>
      <c r="AG12" s="62"/>
      <c r="AH12" s="62"/>
      <c r="AI12" s="62"/>
      <c r="AJ12" s="62"/>
      <c r="AK12" s="62"/>
      <c r="AL12" s="62"/>
      <c r="AM12" s="62"/>
      <c r="AN12" s="62"/>
      <c r="AO12" s="62"/>
      <c r="AP12" s="62"/>
      <c r="AQ12" s="62"/>
      <c r="AR12" s="62"/>
      <c r="AS12" s="62"/>
      <c r="AT12" s="62"/>
      <c r="AU12" s="62"/>
      <c r="AV12" s="62"/>
      <c r="AW12" s="62"/>
      <c r="AX12" s="62"/>
      <c r="AY12" s="62"/>
      <c r="AZ12" s="62"/>
      <c r="BA12" s="62"/>
    </row>
    <row s="955" customFormat="1" customHeight="1" ht="11.25" hidden="1">
      <c r="B13" s="399"/>
      <c r="E13" s="597"/>
      <c r="W13" s="62"/>
      <c r="X13" s="62"/>
      <c r="Y13" s="62"/>
      <c r="Z13" s="537"/>
      <c r="AA13" s="62"/>
      <c r="AB13" s="399"/>
      <c r="AC13" s="399"/>
      <c r="AD13" s="399"/>
      <c r="AE13" s="399"/>
      <c r="AF13" s="448"/>
      <c r="AG13" s="62"/>
      <c r="AH13" s="62"/>
      <c r="AI13" s="62"/>
      <c r="AJ13" s="62"/>
      <c r="AK13" s="62"/>
      <c r="AL13" s="62"/>
      <c r="AM13" s="62"/>
      <c r="AN13" s="62"/>
      <c r="AO13" s="62"/>
      <c r="AP13" s="62"/>
      <c r="AQ13" s="62"/>
      <c r="AR13" s="62"/>
      <c r="AS13" s="62"/>
      <c r="AT13" s="62"/>
      <c r="AU13" s="62"/>
      <c r="AV13" s="62"/>
      <c r="AW13" s="62"/>
      <c r="AX13" s="62"/>
      <c r="AY13" s="62"/>
      <c r="AZ13" s="62"/>
      <c r="BA13" s="62"/>
    </row>
    <row s="955" customFormat="1" customHeight="1" ht="11.25" hidden="1">
      <c r="B14" s="399"/>
      <c r="E14" s="597"/>
      <c r="W14" s="62"/>
      <c r="X14" s="62"/>
      <c r="Y14" s="62"/>
      <c r="Z14" s="537"/>
      <c r="AA14" s="62"/>
      <c r="AB14" s="399"/>
      <c r="AC14" s="399"/>
      <c r="AD14" s="399"/>
      <c r="AE14" s="399"/>
      <c r="AF14" s="448"/>
      <c r="AG14" s="62"/>
      <c r="AH14" s="62"/>
      <c r="AI14" s="62"/>
      <c r="AJ14" s="62"/>
      <c r="AK14" s="62"/>
      <c r="AL14" s="62"/>
      <c r="AM14" s="62"/>
      <c r="AN14" s="62"/>
      <c r="AO14" s="62"/>
      <c r="AP14" s="62"/>
      <c r="AQ14" s="62"/>
      <c r="AR14" s="62"/>
      <c r="AS14" s="62"/>
      <c r="AT14" s="62"/>
      <c r="AU14" s="62"/>
      <c r="AV14" s="62"/>
      <c r="AW14" s="62"/>
      <c r="AX14" s="62"/>
      <c r="AY14" s="62"/>
      <c r="AZ14" s="62"/>
      <c r="BA14" s="62"/>
    </row>
    <row s="955" customFormat="1" customHeight="1" ht="11.25" hidden="1">
      <c r="B15" s="399"/>
      <c r="E15" s="597"/>
      <c r="W15" s="62"/>
      <c r="X15" s="62"/>
      <c r="Y15" s="62"/>
      <c r="Z15" s="537"/>
      <c r="AA15" s="62"/>
      <c r="AB15" s="399"/>
      <c r="AC15" s="399"/>
      <c r="AD15" s="399"/>
      <c r="AE15" s="399"/>
      <c r="AF15" s="448"/>
      <c r="AG15" s="62"/>
      <c r="AH15" s="62"/>
      <c r="AI15" s="62"/>
      <c r="AJ15" s="62"/>
      <c r="AK15" s="62"/>
      <c r="AL15" s="62"/>
      <c r="AM15" s="62"/>
      <c r="AN15" s="62"/>
      <c r="AO15" s="62"/>
      <c r="AP15" s="62"/>
      <c r="AQ15" s="62"/>
      <c r="AR15" s="62"/>
      <c r="AS15" s="62"/>
      <c r="AT15" s="62"/>
      <c r="AU15" s="62"/>
      <c r="AV15" s="62"/>
      <c r="AW15" s="62"/>
      <c r="AX15" s="62"/>
      <c r="AY15" s="62"/>
      <c r="AZ15" s="62"/>
      <c r="BA15" s="62"/>
    </row>
    <row s="955" customFormat="1" customHeight="1" ht="11.25" hidden="1">
      <c r="B16" s="399"/>
      <c r="E16" s="597"/>
      <c r="W16" s="62"/>
      <c r="X16" s="62"/>
      <c r="Y16" s="62"/>
      <c r="Z16" s="537"/>
      <c r="AA16" s="62"/>
      <c r="AB16" s="399"/>
      <c r="AC16" s="399"/>
      <c r="AD16" s="399"/>
      <c r="AE16" s="399"/>
      <c r="AF16" s="448"/>
      <c r="AG16" s="62"/>
      <c r="AH16" s="62"/>
      <c r="AI16" s="62"/>
      <c r="AJ16" s="62"/>
      <c r="AK16" s="62"/>
      <c r="AL16" s="62"/>
      <c r="AM16" s="62"/>
      <c r="AN16" s="62"/>
      <c r="AO16" s="62"/>
      <c r="AP16" s="62"/>
      <c r="AQ16" s="62"/>
      <c r="AR16" s="62"/>
      <c r="AS16" s="62"/>
      <c r="AT16" s="62"/>
      <c r="AU16" s="62"/>
      <c r="AV16" s="62"/>
      <c r="AW16" s="62"/>
      <c r="AX16" s="62"/>
      <c r="AY16" s="62"/>
      <c r="AZ16" s="62"/>
      <c r="BA16" s="62"/>
    </row>
    <row s="955" customFormat="1" customHeight="1" ht="11.25" hidden="1">
      <c r="B17" s="399"/>
      <c r="E17" s="597"/>
      <c r="W17" s="62"/>
      <c r="X17" s="62"/>
      <c r="Y17" s="62"/>
      <c r="Z17" s="537"/>
      <c r="AA17" s="62"/>
      <c r="AB17" s="399"/>
      <c r="AC17" s="399"/>
      <c r="AD17" s="399"/>
      <c r="AE17" s="399"/>
      <c r="AF17" s="448"/>
      <c r="AG17" s="62"/>
      <c r="AH17" s="62"/>
      <c r="AI17" s="62"/>
      <c r="AJ17" s="62"/>
      <c r="AK17" s="62"/>
      <c r="AL17" s="62"/>
      <c r="AM17" s="62"/>
      <c r="AN17" s="62"/>
      <c r="AO17" s="62"/>
      <c r="AP17" s="62"/>
      <c r="AQ17" s="62"/>
      <c r="AR17" s="62"/>
      <c r="AS17" s="62"/>
      <c r="AT17" s="62"/>
      <c r="AU17" s="62"/>
      <c r="AV17" s="62"/>
      <c r="AW17" s="62"/>
      <c r="AX17" s="62"/>
      <c r="AY17" s="62"/>
      <c r="AZ17" s="62"/>
      <c r="BA17" s="62"/>
    </row>
    <row s="955" customFormat="1" customHeight="1" ht="11.25" hidden="1">
      <c r="B18" s="399"/>
      <c r="E18" s="597"/>
      <c r="W18" s="62"/>
      <c r="X18" s="62"/>
      <c r="Y18" s="62"/>
      <c r="Z18" s="537"/>
      <c r="AA18" s="62"/>
      <c r="AB18" s="399"/>
      <c r="AC18" s="399"/>
      <c r="AD18" s="399"/>
      <c r="AE18" s="399"/>
      <c r="AF18" s="448"/>
      <c r="AG18" s="62"/>
      <c r="AH18" s="62"/>
      <c r="AI18" s="62"/>
      <c r="AJ18" s="62"/>
      <c r="AK18" s="62"/>
      <c r="AL18" s="62"/>
      <c r="AM18" s="62"/>
      <c r="AN18" s="62"/>
      <c r="AO18" s="62"/>
      <c r="AP18" s="62"/>
      <c r="AQ18" s="62"/>
      <c r="AR18" s="62"/>
      <c r="AS18" s="62"/>
      <c r="AT18" s="62"/>
      <c r="AU18" s="62"/>
      <c r="AV18" s="62"/>
      <c r="AW18" s="62"/>
      <c r="AX18" s="62"/>
      <c r="AY18" s="62"/>
      <c r="AZ18" s="62"/>
      <c r="BA18" s="62"/>
    </row>
    <row customHeight="1" ht="11.25" hidden="1"/>
    <row customHeight="1" ht="11.25" hidden="1"/>
    <row customHeight="1" ht="10.96875">
      <c r="E21" s="614">
        <v>11.25</v>
      </c>
      <c r="AA21" s="397"/>
      <c r="AF21" s="73"/>
    </row>
    <row customHeight="1" ht="20.546868064186786">
      <c r="E22" s="614">
        <v>19.5</v>
      </c>
      <c r="AB22" s="1455" t="s">
        <v>100</v>
      </c>
      <c r="AC22" s="1456"/>
      <c r="AD22" s="1457"/>
      <c r="AE22" s="240" t="s">
        <v>101</v>
      </c>
      <c r="AF22" s="618" cm="1" t="str">
        <f t="array" ref="AF22:AF22">INDEX(TEHSHEET!B1:B90,MATCH(region_name,REGION,0))</f>
        <v>RU42</v>
      </c>
    </row>
    <row customHeight="1" ht="21.22868624600497">
      <c r="E23" s="614">
        <v>19.5</v>
      </c>
      <c r="AB23" s="426"/>
      <c r="AC23" s="427"/>
      <c r="AD23" s="428" t="s">
        <v>102</v>
      </c>
      <c r="AE23" s="929" t="s">
        <v>103</v>
      </c>
      <c r="AH23" s="73" t="str">
        <f>IF(AND(AE23="Метод индексации",god=first_year),"методом индексации установленных тарифов",IF(AND(AE23="Метод индексации",god&lt;&gt;first_year),"методом индексации установленных тарифов (при корректировке тарифов, начиная со второго года долгосрочного периода регулирования)",IF(AE23="Метод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сравнения аналогов</v>
      </c>
      <c r="AI23" s="73" t="str">
        <f>IF(method_reg="Метод индексации","INDEX",IF(method_reg="Метод экономически обоснованных расходов","EOR",IF(method_reg="Метод сравнения аналогов","ANALOG","RAB")))</f>
        <v>ANALOG</v>
      </c>
    </row>
    <row customHeight="1" ht="20.546868064186786">
      <c r="E24" s="614">
        <v>19.5</v>
      </c>
      <c r="AB24" s="1455" t="s">
        <v>104</v>
      </c>
      <c r="AC24" s="1456"/>
      <c r="AD24" s="1457"/>
      <c r="AE24" s="430">
        <v>2026</v>
      </c>
      <c r="AF24" s="354"/>
      <c r="AI24" s="73" t="str">
        <f>ORG_SHORT_NAME&amp;"_ИНН:"&amp;inn&amp;"_КПП:"&amp;kpp</f>
        <v>ОАО «СКЭК»_ИНН:4205153492_КПП:420501001</v>
      </c>
    </row>
    <row customHeight="1" ht="19.0125" hidden="1">
      <c r="A25" s="1277"/>
      <c r="B25" s="417">
        <f>AND(NOT(method_reg="Метод экономически обоснованных расходов"),NOT(method_reg="Метод сравнения аналогов"))</f>
        <v>0</v>
      </c>
      <c r="C25" s="1277"/>
      <c r="D25" s="1277"/>
      <c r="E25" s="614">
        <v>19.5</v>
      </c>
      <c r="F25" s="1277"/>
      <c r="G25" s="1277"/>
      <c r="H25" s="1277"/>
      <c r="I25" s="1277"/>
      <c r="J25" s="1277"/>
      <c r="K25" s="1277"/>
      <c r="L25" s="1277"/>
      <c r="M25" s="1277"/>
      <c r="N25" s="1277"/>
      <c r="O25" s="1277"/>
      <c r="P25" s="1277"/>
      <c r="Q25" s="1277"/>
      <c r="R25" s="1277"/>
      <c r="S25" s="1277"/>
      <c r="T25" s="1277"/>
      <c r="U25" s="1277"/>
      <c r="V25" s="1277"/>
      <c r="W25" s="1277"/>
      <c r="X25" s="1277"/>
      <c r="Y25" s="1277"/>
      <c r="Z25" s="1624"/>
      <c r="AA25" s="1277"/>
      <c r="AB25" s="1455" t="s">
        <v>105</v>
      </c>
      <c r="AC25" s="1456"/>
      <c r="AD25" s="1457"/>
      <c r="AE25" s="1628">
        <v>2026</v>
      </c>
      <c r="AF25" s="620">
        <f>first_year+PERIOD_LENGTH-1</f>
        <v>2026</v>
      </c>
      <c r="AG25" s="73" cm="1" t="str">
        <f t="array" ref="AG25:AG25">IF(AE222="да",god,last_year)</f>
        <v>2026</v>
      </c>
      <c r="AH25" s="1277"/>
      <c r="AI25" s="1277"/>
      <c r="AJ25" s="1277"/>
      <c r="AK25" s="1277"/>
      <c r="AL25" s="1277"/>
      <c r="AM25" s="1277"/>
      <c r="AN25" s="1277"/>
      <c r="AO25" s="1277"/>
      <c r="AP25" s="1277"/>
      <c r="AQ25" s="1277"/>
      <c r="AR25" s="1277"/>
      <c r="AS25" s="1277"/>
      <c r="AT25" s="1277"/>
      <c r="AU25" s="1277"/>
      <c r="AV25" s="1277"/>
      <c r="AW25" s="1277"/>
      <c r="AX25" s="1277"/>
      <c r="AY25" s="1277"/>
      <c r="AZ25" s="1277"/>
      <c r="BA25" s="1277"/>
    </row>
    <row customHeight="1" ht="19.0125" hidden="1">
      <c r="A26" s="1277"/>
      <c r="B26" s="417">
        <f>AND(NOT(method_reg="Метод экономически обоснованных расходов"),NOT(method_reg="Метод сравнения аналогов"))</f>
        <v>0</v>
      </c>
      <c r="C26" s="1277"/>
      <c r="D26" s="1277"/>
      <c r="E26" s="614">
        <v>19.5</v>
      </c>
      <c r="F26" s="1277"/>
      <c r="G26" s="1277"/>
      <c r="H26" s="1277"/>
      <c r="I26" s="1277"/>
      <c r="J26" s="1277"/>
      <c r="K26" s="1277"/>
      <c r="L26" s="1277"/>
      <c r="M26" s="1277"/>
      <c r="N26" s="1277"/>
      <c r="O26" s="1277"/>
      <c r="P26" s="1277"/>
      <c r="Q26" s="1277"/>
      <c r="R26" s="1277"/>
      <c r="S26" s="1277"/>
      <c r="T26" s="1277"/>
      <c r="U26" s="1277"/>
      <c r="V26" s="1277"/>
      <c r="W26" s="1277"/>
      <c r="X26" s="1277"/>
      <c r="Y26" s="1277"/>
      <c r="Z26" s="1624"/>
      <c r="AA26" s="1277"/>
      <c r="AB26" s="1455" t="s">
        <v>106</v>
      </c>
      <c r="AC26" s="1456"/>
      <c r="AD26" s="1457"/>
      <c r="AE26" s="1628">
        <v>1</v>
      </c>
      <c r="AF26" s="354"/>
      <c r="AG26" s="1277"/>
      <c r="AH26" s="1277"/>
      <c r="AI26" s="1277"/>
      <c r="AJ26" s="1277"/>
      <c r="AK26" s="1277"/>
      <c r="AL26" s="1277"/>
      <c r="AM26" s="1277"/>
      <c r="AN26" s="1277"/>
      <c r="AO26" s="1277"/>
      <c r="AP26" s="1277"/>
      <c r="AQ26" s="1277"/>
      <c r="AR26" s="1277"/>
      <c r="AS26" s="1277"/>
      <c r="AT26" s="1277"/>
      <c r="AU26" s="1277"/>
      <c r="AV26" s="1277"/>
      <c r="AW26" s="1277"/>
      <c r="AX26" s="1277"/>
      <c r="AY26" s="1277"/>
      <c r="AZ26" s="1277"/>
      <c r="BA26" s="1277"/>
    </row>
    <row customHeight="1" ht="19.0125" hidden="1">
      <c r="A27" s="1277"/>
      <c r="B27" s="417">
        <f>AND(NOT(method_reg="Метод экономически обоснованных расходов"),NOT(method_reg="Метод сравнения аналогов"),NOT(god=first_year))</f>
        <v>0</v>
      </c>
      <c r="C27" s="1277"/>
      <c r="D27" s="1277"/>
      <c r="E27" s="614">
        <v>19.5</v>
      </c>
      <c r="F27" s="1277"/>
      <c r="G27" s="1277"/>
      <c r="H27" s="1277"/>
      <c r="I27" s="1277"/>
      <c r="J27" s="1277"/>
      <c r="K27" s="1277"/>
      <c r="L27" s="1277"/>
      <c r="M27" s="1277"/>
      <c r="N27" s="1277"/>
      <c r="O27" s="1277"/>
      <c r="P27" s="1277"/>
      <c r="Q27" s="1277"/>
      <c r="R27" s="1277"/>
      <c r="S27" s="1277"/>
      <c r="T27" s="1277"/>
      <c r="U27" s="1277"/>
      <c r="V27" s="1277"/>
      <c r="W27" s="1277"/>
      <c r="X27" s="1277"/>
      <c r="Y27" s="1277"/>
      <c r="Z27" s="1624"/>
      <c r="AA27" s="1277"/>
      <c r="AB27" s="1455" t="s">
        <v>107</v>
      </c>
      <c r="AC27" s="1456"/>
      <c r="AD27" s="1457"/>
      <c r="AE27" s="240">
        <f>IF(OR(PERIOD_LENGTH-god+first_year&lt;=0,PERIOD_LENGTH-god+first_year&gt;10),"",PERIOD_LENGTH-god+first_year)</f>
        <v>1</v>
      </c>
      <c r="AF27" s="354"/>
      <c r="AG27" s="1277"/>
      <c r="AH27" s="1277"/>
      <c r="AI27" s="1277"/>
      <c r="AJ27" s="1277"/>
      <c r="AK27" s="1277"/>
      <c r="AL27" s="1277"/>
      <c r="AM27" s="1277"/>
      <c r="AN27" s="1277"/>
      <c r="AO27" s="1277"/>
      <c r="AP27" s="1277"/>
      <c r="AQ27" s="1277"/>
      <c r="AR27" s="1277"/>
      <c r="AS27" s="1277"/>
      <c r="AT27" s="1277"/>
      <c r="AU27" s="1277"/>
      <c r="AV27" s="1277"/>
      <c r="AW27" s="1277"/>
      <c r="AX27" s="1277"/>
      <c r="AY27" s="1277"/>
      <c r="AZ27" s="1277"/>
      <c r="BA27" s="1277"/>
    </row>
    <row customHeight="1" ht="7.3125">
      <c r="E28" s="614">
        <v>7.5</v>
      </c>
    </row>
    <row customHeight="1" ht="7.3125">
      <c r="E29" s="614">
        <v>7.5</v>
      </c>
    </row>
    <row customHeight="1" ht="23.274140791459516">
      <c r="E30" s="614">
        <v>19.5</v>
      </c>
      <c r="AB30" s="1458" t="s">
        <v>108</v>
      </c>
      <c r="AC30" s="1458"/>
      <c r="AD30" s="1458"/>
      <c r="AE30" s="1458"/>
      <c r="AF30" s="355"/>
      <c r="AG30" s="75"/>
      <c r="AH30" s="75"/>
      <c r="AI30" s="75"/>
      <c r="AJ30" s="75"/>
      <c r="AK30" s="75"/>
      <c r="AL30" s="75"/>
    </row>
    <row customHeight="1" ht="22.592322609641332">
      <c r="E31" s="614">
        <v>19.5</v>
      </c>
      <c r="AB31" s="1459" t="s">
        <v>109</v>
      </c>
      <c r="AC31" s="1459"/>
      <c r="AD31" s="1459"/>
      <c r="AE31" s="1459"/>
      <c r="AF31" s="355"/>
      <c r="AG31" s="75"/>
      <c r="AH31" s="75"/>
      <c r="AI31" s="75"/>
      <c r="AJ31" s="75"/>
      <c r="AK31" s="75"/>
      <c r="AL31" s="75"/>
    </row>
    <row customHeight="1" ht="21.910504427823152">
      <c r="E32" s="614">
        <v>19.5</v>
      </c>
      <c r="AB32" s="1460" t="s">
        <v>110</v>
      </c>
      <c r="AC32" s="1460"/>
      <c r="AD32" s="1460"/>
      <c r="AE32" s="1460"/>
      <c r="AF32" s="355"/>
      <c r="AG32" s="75"/>
      <c r="AH32" s="75"/>
      <c r="AI32" s="75"/>
      <c r="AJ32" s="75"/>
      <c r="AK32" s="75"/>
      <c r="AL32" s="75"/>
    </row>
    <row customHeight="1" ht="19.0125">
      <c r="E33" s="614">
        <v>19.5</v>
      </c>
      <c r="AA33" s="619">
        <v>26322895</v>
      </c>
      <c r="AB33" s="1461" t="s">
        <v>111</v>
      </c>
      <c r="AC33" s="1461"/>
      <c r="AD33" s="1461"/>
      <c r="AE33" s="1461"/>
      <c r="AG33" s="75"/>
      <c r="AH33" s="75"/>
      <c r="AI33" s="75"/>
      <c r="AJ33" s="75"/>
      <c r="AK33" s="75"/>
      <c r="AL33" s="73" t="str">
        <f>_xlfn.IFERROR(region_name&amp;" / "&amp;god&amp;" / "&amp;org&amp;" (ИНН:"&amp;inn&amp;", КПП:"&amp;kpp&amp;") / ДПР: "&amp;first_year&amp;"-"&amp;last_year,"")</f>
        <v>Кемеровская область / 2026 / ОАО «СКЭК» (ИНН:4205153492, КПП:420501001) / ДПР: 2026-2026</v>
      </c>
    </row>
    <row customHeight="1" ht="22.592322609641332">
      <c r="E34" s="614">
        <v>19.5</v>
      </c>
      <c r="AB34" s="1462" t="str">
        <f>"об установлении тарифов в сфере "&amp;IF(AND(OR(hasVS,hasTranspVS),OR(hasVO,hasTranspVO)),"холодного водоснабжения / водоотведения",IF(OR(hasVS,hasTranspVS),"холодного водоснабжения",IF(OR(hasVO,hasTranspVO),"водоотведения","&lt;не указано&gt;")))&amp;" "&amp;AH23</f>
        <v>об установлении тарифов в сфере водоотведения методом сравнения аналогов</v>
      </c>
      <c r="AC34" s="1462"/>
      <c r="AD34" s="1462"/>
      <c r="AE34" s="1462"/>
      <c r="AG34" s="75"/>
      <c r="AH34" s="75"/>
      <c r="AI34" s="75"/>
      <c r="AJ34" s="75"/>
      <c r="AK34" s="75"/>
      <c r="AL34" s="75"/>
    </row>
    <row customHeight="1" ht="21.22868624600497">
      <c r="E35" s="614">
        <v>19.5</v>
      </c>
      <c r="AB35" s="1463" t="str">
        <f>IF(god="","",IF(AND(method_reg&lt;&gt;"Метод сравнения аналогов",method_reg&lt;&gt;"Метод экономически обоснованных расходов"),"долгосрочного периода регулирования тарифов "&amp;first_year&amp;"-"&amp;last_year&amp;" гг.","на "&amp;god&amp;" год"))</f>
        <v>на 2026 год</v>
      </c>
      <c r="AC35" s="1463"/>
      <c r="AD35" s="1463"/>
      <c r="AE35" s="1463"/>
      <c r="AF35" s="355"/>
      <c r="AG35" s="75"/>
      <c r="AH35" s="75"/>
      <c r="AI35" s="75"/>
      <c r="AJ35" s="75"/>
      <c r="AK35" s="75"/>
      <c r="AL35" s="75"/>
    </row>
    <row customHeight="1" ht="10.96875">
      <c r="E36" s="614">
        <v>11.25</v>
      </c>
      <c r="AB36" s="1464"/>
      <c r="AC36" s="1465"/>
      <c r="AD36" s="1465"/>
      <c r="AE36" s="1466"/>
      <c r="AF36" s="449"/>
      <c r="AG36" s="77"/>
      <c r="AH36" s="62"/>
      <c r="AI36" s="1467"/>
      <c r="AJ36" s="1467"/>
      <c r="AK36" s="62"/>
      <c r="AL36" s="77"/>
    </row>
    <row customHeight="1" ht="19.0125">
      <c r="E37" s="614">
        <v>19.5</v>
      </c>
      <c r="AB37" s="1468" t="s">
        <v>112</v>
      </c>
      <c r="AC37" s="1468"/>
      <c r="AD37" s="1468"/>
      <c r="AE37" s="1468"/>
      <c r="AF37" s="450"/>
      <c r="AG37" s="78"/>
      <c r="AH37" s="78"/>
      <c r="AI37" s="78"/>
      <c r="AJ37" s="78"/>
      <c r="AK37" s="78"/>
      <c r="AL37" s="74"/>
    </row>
    <row customHeight="1" ht="35.1">
      <c r="E38" s="614">
        <v>36</v>
      </c>
      <c r="AB38" s="1441" t="s">
        <v>113</v>
      </c>
      <c r="AC38" s="1441"/>
      <c r="AD38" s="1441"/>
      <c r="AE38" s="731" t="s">
        <v>114</v>
      </c>
      <c r="AF38" s="451"/>
      <c r="AG38" s="74"/>
      <c r="AH38" s="74"/>
      <c r="AI38" s="74"/>
    </row>
    <row customHeight="1" ht="35.1">
      <c r="E39" s="614">
        <v>36</v>
      </c>
      <c r="AB39" s="1441" t="s">
        <v>115</v>
      </c>
      <c r="AC39" s="1441"/>
      <c r="AD39" s="1441"/>
      <c r="AE39" s="731" t="s">
        <v>111</v>
      </c>
      <c r="AF39" s="451"/>
    </row>
    <row customHeight="1" ht="19.0125">
      <c r="E40" s="614">
        <v>19.5</v>
      </c>
      <c r="AB40" s="1441" t="s">
        <v>116</v>
      </c>
      <c r="AC40" s="1441"/>
      <c r="AD40" s="1441"/>
      <c r="AE40" s="1145"/>
      <c r="AF40" s="354"/>
    </row>
    <row customHeight="1" ht="19.0125">
      <c r="E41" s="614">
        <v>19.5</v>
      </c>
      <c r="AB41" s="1441" t="s">
        <v>117</v>
      </c>
      <c r="AC41" s="1441"/>
      <c r="AD41" s="1441"/>
      <c r="AE41" s="732" t="s">
        <v>118</v>
      </c>
      <c r="AF41" s="354"/>
    </row>
    <row customHeight="1" ht="19.0125">
      <c r="E42" s="614">
        <v>19.5</v>
      </c>
      <c r="AB42" s="1441" t="s">
        <v>119</v>
      </c>
      <c r="AC42" s="1441"/>
      <c r="AD42" s="1441"/>
      <c r="AE42" s="732" t="s">
        <v>120</v>
      </c>
      <c r="AF42" s="354"/>
    </row>
    <row customHeight="1" ht="19.0125">
      <c r="E43" s="614">
        <v>19.5</v>
      </c>
      <c r="AB43" s="1441" t="s">
        <v>121</v>
      </c>
      <c r="AC43" s="1441"/>
      <c r="AD43" s="1441"/>
      <c r="AE43" s="732" t="s">
        <v>122</v>
      </c>
      <c r="AF43" s="354"/>
    </row>
    <row customHeight="1" ht="19.0125">
      <c r="E44" s="614">
        <v>19.5</v>
      </c>
      <c r="AB44" s="1441" t="s">
        <v>123</v>
      </c>
      <c r="AC44" s="1441"/>
      <c r="AD44" s="1441"/>
      <c r="AE44" s="351" t="s">
        <v>124</v>
      </c>
      <c r="AF44" s="354"/>
      <c r="AG44" s="73" t="s">
        <v>125</v>
      </c>
    </row>
    <row customHeight="1" ht="19.0125">
      <c r="E45" s="614">
        <v>19.5</v>
      </c>
      <c r="AB45" s="1441" t="s">
        <v>126</v>
      </c>
      <c r="AC45" s="1441"/>
      <c r="AD45" s="1441"/>
      <c r="AE45" s="356" t="s">
        <v>127</v>
      </c>
      <c r="AF45" s="354"/>
      <c r="AG45" s="73" t="s">
        <v>128</v>
      </c>
    </row>
    <row customHeight="1" ht="19.0125">
      <c r="E46" s="614">
        <v>19.5</v>
      </c>
      <c r="AB46" s="1441" t="s">
        <v>129</v>
      </c>
      <c r="AC46" s="1441"/>
      <c r="AD46" s="1441"/>
      <c r="AE46" s="356" t="s">
        <v>130</v>
      </c>
      <c r="AG46" s="73" t="s">
        <v>131</v>
      </c>
    </row>
    <row customHeight="1" ht="19.0125">
      <c r="E47" s="614">
        <v>19.5</v>
      </c>
      <c r="AB47" s="1441" t="s">
        <v>132</v>
      </c>
      <c r="AC47" s="1441"/>
      <c r="AD47" s="1441"/>
      <c r="AE47" s="356" t="s">
        <v>130</v>
      </c>
      <c r="AG47" s="73" t="s">
        <v>133</v>
      </c>
    </row>
    <row customHeight="1" ht="19.0125">
      <c r="E48" s="614">
        <v>19.5</v>
      </c>
      <c r="AB48" s="1441" t="s">
        <v>134</v>
      </c>
      <c r="AC48" s="1441"/>
      <c r="AD48" s="1441"/>
      <c r="AE48" s="356" t="s">
        <v>135</v>
      </c>
      <c r="AG48" s="73" t="s">
        <v>136</v>
      </c>
    </row>
    <row customHeight="1" ht="19.0125">
      <c r="E49" s="614">
        <v>19.5</v>
      </c>
      <c r="AB49" s="1441" t="s">
        <v>137</v>
      </c>
      <c r="AC49" s="1441"/>
      <c r="AD49" s="1441"/>
      <c r="AE49" s="357" t="s">
        <v>138</v>
      </c>
      <c r="AG49" s="73" t="s">
        <v>139</v>
      </c>
    </row>
    <row customHeight="1" ht="19.0125">
      <c r="E50" s="614">
        <v>19.5</v>
      </c>
      <c r="AB50" s="1441" t="s">
        <v>140</v>
      </c>
      <c r="AC50" s="1441"/>
      <c r="AD50" s="1441"/>
      <c r="AE50" s="356" t="s">
        <v>141</v>
      </c>
      <c r="AG50" s="73" t="s">
        <v>142</v>
      </c>
    </row>
    <row customHeight="1" ht="19.0125">
      <c r="E51" s="614">
        <v>19.5</v>
      </c>
      <c r="AB51" s="1441" t="s">
        <v>143</v>
      </c>
      <c r="AC51" s="1441"/>
      <c r="AD51" s="1441"/>
      <c r="AE51" s="356" t="s">
        <v>144</v>
      </c>
      <c r="AG51" s="73" t="s">
        <v>145</v>
      </c>
    </row>
    <row customHeight="1" ht="19.0125">
      <c r="E52" s="614">
        <v>19.5</v>
      </c>
      <c r="AB52" s="1441" t="s">
        <v>146</v>
      </c>
      <c r="AC52" s="1441"/>
      <c r="AD52" s="1441"/>
      <c r="AE52" s="358" t="s">
        <v>147</v>
      </c>
      <c r="AG52" s="73" t="s">
        <v>148</v>
      </c>
    </row>
    <row customHeight="1" ht="19.0125">
      <c r="E53" s="614">
        <v>19.5</v>
      </c>
      <c r="AB53" s="1441" t="s">
        <v>149</v>
      </c>
      <c r="AC53" s="1441"/>
      <c r="AD53" s="63" t="s">
        <v>150</v>
      </c>
      <c r="AE53" s="359" t="s">
        <v>151</v>
      </c>
      <c r="AG53" s="73" t="s">
        <v>152</v>
      </c>
    </row>
    <row customHeight="1" ht="19.0125">
      <c r="E54" s="614">
        <v>19.5</v>
      </c>
      <c r="AB54" s="1441"/>
      <c r="AC54" s="1441"/>
      <c r="AD54" s="63" t="s">
        <v>153</v>
      </c>
      <c r="AE54" s="1633" t="s">
        <v>154</v>
      </c>
      <c r="AG54" s="73" t="s">
        <v>155</v>
      </c>
    </row>
    <row customHeight="1" ht="19.0125">
      <c r="E55" s="614">
        <v>19.5</v>
      </c>
      <c r="AB55" s="1441"/>
      <c r="AC55" s="1441"/>
      <c r="AD55" s="63" t="s">
        <v>156</v>
      </c>
      <c r="AE55" s="1633" t="s">
        <v>157</v>
      </c>
      <c r="AG55" s="73" t="s">
        <v>158</v>
      </c>
    </row>
    <row customHeight="1" ht="24.862499999999997">
      <c r="E56" s="614">
        <v>25.5</v>
      </c>
      <c r="AB56" s="1441" t="s">
        <v>159</v>
      </c>
      <c r="AC56" s="1441"/>
      <c r="AD56" s="1441"/>
      <c r="AE56" s="359" t="s">
        <v>160</v>
      </c>
      <c r="AF56" s="452"/>
      <c r="AG56" s="73" t="s">
        <v>161</v>
      </c>
    </row>
    <row customHeight="1" ht="24.862499999999997">
      <c r="E57" s="614">
        <v>25.5</v>
      </c>
      <c r="AB57" s="1441" t="s">
        <v>162</v>
      </c>
      <c r="AC57" s="1441"/>
      <c r="AD57" s="1441"/>
      <c r="AE57" s="359" t="s">
        <v>163</v>
      </c>
      <c r="AF57" s="621"/>
      <c r="AG57" s="545"/>
    </row>
    <row customHeight="1" ht="19.0125">
      <c r="E58" s="614">
        <v>19.5</v>
      </c>
      <c r="AB58" s="1441" t="s">
        <v>164</v>
      </c>
      <c r="AC58" s="1441"/>
      <c r="AD58" s="1441"/>
      <c r="AE58" s="359" t="s">
        <v>160</v>
      </c>
      <c r="AG58" s="73" t="s">
        <v>165</v>
      </c>
    </row>
    <row customHeight="1" ht="24.862499999999997">
      <c r="E59" s="614">
        <v>25.5</v>
      </c>
      <c r="AB59" s="1441" t="s">
        <v>166</v>
      </c>
      <c r="AC59" s="1441"/>
      <c r="AD59" s="1441"/>
      <c r="AE59" s="359" t="s">
        <v>160</v>
      </c>
      <c r="AF59" s="452"/>
      <c r="AG59" s="73" t="s">
        <v>167</v>
      </c>
    </row>
    <row customHeight="1" ht="19.0125" hidden="1">
      <c r="A60" s="1277"/>
      <c r="B60" s="417">
        <f>NOT(method_reg="Метод сравнения аналогов")</f>
        <v>0</v>
      </c>
      <c r="C60" s="1277"/>
      <c r="D60" s="1277"/>
      <c r="E60" s="614">
        <v>19.5</v>
      </c>
      <c r="F60" s="73" t="s">
        <v>168</v>
      </c>
      <c r="G60" s="1277"/>
      <c r="H60" s="1277"/>
      <c r="I60" s="1277"/>
      <c r="J60" s="1277"/>
      <c r="K60" s="1277"/>
      <c r="L60" s="1277"/>
      <c r="M60" s="1277"/>
      <c r="N60" s="1277"/>
      <c r="O60" s="1277"/>
      <c r="P60" s="1277"/>
      <c r="Q60" s="1277"/>
      <c r="R60" s="1277"/>
      <c r="S60" s="1277"/>
      <c r="T60" s="1277"/>
      <c r="U60" s="1277"/>
      <c r="V60" s="1277"/>
      <c r="W60" s="1277"/>
      <c r="X60" s="1277"/>
      <c r="Y60" s="1277"/>
      <c r="Z60" s="1624"/>
      <c r="AA60" s="1277"/>
      <c r="AB60" s="1441" t="s">
        <v>169</v>
      </c>
      <c r="AC60" s="1441"/>
      <c r="AD60" s="1441"/>
      <c r="AE60" s="1635"/>
      <c r="AF60" s="353"/>
      <c r="AG60" s="73" t="s">
        <v>170</v>
      </c>
      <c r="AH60" s="1277"/>
      <c r="AI60" s="1277"/>
      <c r="AJ60" s="1277"/>
      <c r="AK60" s="1277"/>
      <c r="AL60" s="1277"/>
      <c r="AM60" s="1277"/>
      <c r="AN60" s="1277"/>
      <c r="AO60" s="1277"/>
      <c r="AP60" s="1277"/>
      <c r="AQ60" s="1277"/>
      <c r="AR60" s="1277"/>
      <c r="AS60" s="1277"/>
      <c r="AT60" s="1277"/>
      <c r="AU60" s="1277"/>
      <c r="AV60" s="1277"/>
      <c r="AW60" s="1277"/>
      <c r="AX60" s="1277"/>
      <c r="AY60" s="1277"/>
      <c r="AZ60" s="1277"/>
      <c r="BA60" s="1277"/>
    </row>
    <row customHeight="1" ht="11.700000000000001" hidden="1">
      <c r="A61" s="1277"/>
      <c r="B61" s="417">
        <f>AND(NOT(method_reg="Метод сравнения аналогов"),STATUS_GO="да")</f>
        <v>0</v>
      </c>
      <c r="C61" s="1277"/>
      <c r="D61" s="1277"/>
      <c r="E61" s="614">
        <v>12</v>
      </c>
      <c r="F61" s="1277"/>
      <c r="G61" s="1277"/>
      <c r="H61" s="1277"/>
      <c r="I61" s="1277"/>
      <c r="J61" s="1277"/>
      <c r="K61" s="1277"/>
      <c r="L61" s="1277"/>
      <c r="M61" s="1277"/>
      <c r="N61" s="1277"/>
      <c r="O61" s="1277"/>
      <c r="P61" s="1277"/>
      <c r="Q61" s="1277"/>
      <c r="R61" s="1277"/>
      <c r="S61" s="1277"/>
      <c r="T61" s="1277"/>
      <c r="U61" s="1277"/>
      <c r="V61" s="1277"/>
      <c r="W61" s="1277"/>
      <c r="X61" s="1277"/>
      <c r="Y61" s="1277"/>
      <c r="Z61" s="1624"/>
      <c r="AA61" s="613"/>
      <c r="AB61" s="1441" t="s">
        <v>171</v>
      </c>
      <c r="AC61" s="1441"/>
      <c r="AD61" s="1441"/>
      <c r="AE61" s="388"/>
      <c r="AF61" s="613"/>
      <c r="AG61" s="1277"/>
      <c r="AH61" s="1277"/>
      <c r="AI61" s="1277"/>
      <c r="AJ61" s="1277"/>
      <c r="AK61" s="1277"/>
      <c r="AL61" s="1277"/>
      <c r="AM61" s="1277"/>
      <c r="AN61" s="1277"/>
      <c r="AO61" s="1277"/>
      <c r="AP61" s="1277"/>
      <c r="AQ61" s="1277"/>
      <c r="AR61" s="1277"/>
      <c r="AS61" s="1277"/>
      <c r="AT61" s="1277"/>
      <c r="AU61" s="1277"/>
      <c r="AV61" s="1277"/>
      <c r="AW61" s="1277"/>
      <c r="AX61" s="1277"/>
      <c r="AY61" s="1277"/>
      <c r="AZ61" s="1277"/>
      <c r="BA61" s="1277"/>
    </row>
    <row customHeight="1" ht="11.700000000000001" hidden="1">
      <c r="A62" s="1277"/>
      <c r="B62" s="417">
        <f>AND(NOT(method_reg="Метод сравнения аналогов"),STATUS_GO="да")</f>
        <v>0</v>
      </c>
      <c r="C62" s="1277"/>
      <c r="D62" s="1277"/>
      <c r="E62" s="614">
        <v>12</v>
      </c>
      <c r="F62" s="1277"/>
      <c r="G62" s="1277"/>
      <c r="H62" s="1277"/>
      <c r="I62" s="1277"/>
      <c r="J62" s="1277"/>
      <c r="K62" s="1277"/>
      <c r="L62" s="1277"/>
      <c r="M62" s="1277"/>
      <c r="N62" s="1277"/>
      <c r="O62" s="1277"/>
      <c r="P62" s="1277"/>
      <c r="Q62" s="1277"/>
      <c r="R62" s="1277"/>
      <c r="S62" s="1277"/>
      <c r="T62" s="1277"/>
      <c r="U62" s="1277"/>
      <c r="V62" s="1277"/>
      <c r="W62" s="474">
        <f>ROW(Y62)&gt;ROW(Y$62)</f>
        <v>0</v>
      </c>
      <c r="X62" s="1277"/>
      <c r="Y62" s="73" t="s">
        <v>172</v>
      </c>
      <c r="Z62" s="1624"/>
      <c r="AA62" s="613" t="s">
        <v>173</v>
      </c>
      <c r="AB62" s="1441" t="s">
        <v>171</v>
      </c>
      <c r="AC62" s="1441"/>
      <c r="AD62" s="1441"/>
      <c r="AE62" s="388"/>
      <c r="AF62" s="613"/>
      <c r="AG62" s="1277"/>
      <c r="AH62" s="1277"/>
      <c r="AI62" s="1277"/>
      <c r="AJ62" s="1277"/>
      <c r="AK62" s="1277"/>
      <c r="AL62" s="1277"/>
      <c r="AM62" s="1277"/>
      <c r="AN62" s="1277"/>
      <c r="AO62" s="1277"/>
      <c r="AP62" s="1277"/>
      <c r="AQ62" s="1277"/>
      <c r="AR62" s="1277"/>
      <c r="AS62" s="1277"/>
      <c r="AT62" s="1277"/>
      <c r="AU62" s="1277"/>
      <c r="AV62" s="1277"/>
      <c r="AW62" s="1277"/>
      <c r="AX62" s="1277"/>
      <c r="AY62" s="1277"/>
      <c r="AZ62" s="1277"/>
      <c r="BA62" s="1277"/>
    </row>
    <row customHeight="1" ht="13.649999999999999" hidden="1">
      <c r="A63" s="1277"/>
      <c r="B63" s="417">
        <f>AND(NOT(method_reg="Метод сравнения аналогов"),STATUS_GO="да")</f>
        <v>0</v>
      </c>
      <c r="C63" s="1277"/>
      <c r="D63" s="1277"/>
      <c r="E63" s="614">
        <v>14</v>
      </c>
      <c r="F63" s="73" t="s">
        <v>174</v>
      </c>
      <c r="G63" s="1277"/>
      <c r="H63" s="1277"/>
      <c r="I63" s="1277"/>
      <c r="J63" s="1277"/>
      <c r="K63" s="1277"/>
      <c r="L63" s="1277"/>
      <c r="M63" s="1277"/>
      <c r="N63" s="1277"/>
      <c r="O63" s="1277"/>
      <c r="P63" s="1277"/>
      <c r="Q63" s="1277"/>
      <c r="R63" s="1277"/>
      <c r="S63" s="1277"/>
      <c r="T63" s="1277"/>
      <c r="U63" s="1277"/>
      <c r="V63" s="1277"/>
      <c r="W63" s="1277"/>
      <c r="X63" s="1277"/>
      <c r="Y63" s="74" t="s">
        <v>175</v>
      </c>
      <c r="Z63" s="1624"/>
      <c r="AA63" s="1277"/>
      <c r="AB63" s="231"/>
      <c r="AC63" s="230"/>
      <c r="AD63" s="230"/>
      <c r="AE63" s="334" t="s">
        <v>176</v>
      </c>
      <c r="AF63" s="1065"/>
      <c r="AG63" s="1277"/>
      <c r="AH63" s="1277"/>
      <c r="AI63" s="1277"/>
      <c r="AJ63" s="1277"/>
      <c r="AK63" s="1277"/>
      <c r="AL63" s="1277"/>
      <c r="AM63" s="1277"/>
      <c r="AN63" s="1277"/>
      <c r="AO63" s="1277"/>
      <c r="AP63" s="1277"/>
      <c r="AQ63" s="1277"/>
      <c r="AR63" s="1277"/>
      <c r="AS63" s="1277"/>
      <c r="AT63" s="1277"/>
      <c r="AU63" s="1277"/>
      <c r="AV63" s="1277"/>
      <c r="AW63" s="1277"/>
      <c r="AX63" s="1277"/>
      <c r="AY63" s="1277"/>
      <c r="AZ63" s="1277"/>
      <c r="BA63" s="1277"/>
    </row>
    <row customHeight="1" ht="13.649999999999999">
      <c r="A64" s="1277"/>
      <c r="B64" s="417">
        <f>method_reg="Метод сравнения аналогов"</f>
        <v>1</v>
      </c>
      <c r="C64" s="1277"/>
      <c r="D64" s="1277"/>
      <c r="E64" s="614">
        <v>14</v>
      </c>
      <c r="F64" s="1277"/>
      <c r="G64" s="1277"/>
      <c r="H64" s="1277"/>
      <c r="I64" s="1277"/>
      <c r="J64" s="1277"/>
      <c r="K64" s="1277"/>
      <c r="L64" s="1277"/>
      <c r="M64" s="1277"/>
      <c r="N64" s="1277"/>
      <c r="O64" s="1277"/>
      <c r="P64" s="1277"/>
      <c r="Q64" s="1277"/>
      <c r="R64" s="1277"/>
      <c r="S64" s="1277"/>
      <c r="T64" s="1277"/>
      <c r="U64" s="1277"/>
      <c r="V64" s="1277"/>
      <c r="W64" s="1277"/>
      <c r="X64" s="1277"/>
      <c r="Y64" s="1277"/>
      <c r="Z64" s="1624"/>
      <c r="AA64" s="1277"/>
      <c r="AB64" s="539"/>
      <c r="AC64" s="540"/>
      <c r="AD64" s="540"/>
      <c r="AE64" s="541"/>
      <c r="AF64" s="1065"/>
      <c r="AG64" s="1277"/>
      <c r="AH64" s="1277"/>
      <c r="AI64" s="1277"/>
      <c r="AJ64" s="1277"/>
      <c r="AK64" s="1277"/>
      <c r="AL64" s="1277"/>
      <c r="AM64" s="1277"/>
      <c r="AN64" s="1277"/>
      <c r="AO64" s="1277"/>
      <c r="AP64" s="1277"/>
      <c r="AQ64" s="1277"/>
      <c r="AR64" s="1277"/>
      <c r="AS64" s="1277"/>
      <c r="AT64" s="1277"/>
      <c r="AU64" s="1277"/>
      <c r="AV64" s="1277"/>
      <c r="AW64" s="1277"/>
      <c r="AX64" s="1277"/>
      <c r="AY64" s="1277"/>
      <c r="AZ64" s="1277"/>
      <c r="BA64" s="1277"/>
    </row>
    <row customHeight="1" ht="19.0125">
      <c r="A65" s="1277"/>
      <c r="B65" s="417">
        <f>method_reg="Метод сравнения аналогов"</f>
        <v>1</v>
      </c>
      <c r="C65" s="1277"/>
      <c r="D65" s="1277"/>
      <c r="E65" s="614">
        <v>19.5</v>
      </c>
      <c r="F65" s="1277"/>
      <c r="G65" s="1277"/>
      <c r="H65" s="1277"/>
      <c r="I65" s="1277"/>
      <c r="J65" s="1277"/>
      <c r="K65" s="1277"/>
      <c r="L65" s="1277"/>
      <c r="M65" s="1277"/>
      <c r="N65" s="1277"/>
      <c r="O65" s="1277"/>
      <c r="P65" s="1277"/>
      <c r="Q65" s="1277"/>
      <c r="R65" s="1277"/>
      <c r="S65" s="1277"/>
      <c r="T65" s="1277"/>
      <c r="U65" s="1277"/>
      <c r="V65" s="1277"/>
      <c r="W65" s="1277"/>
      <c r="X65" s="1277"/>
      <c r="Y65" s="1277"/>
      <c r="Z65" s="1624"/>
      <c r="AA65" s="1277"/>
      <c r="AB65" s="1454" t="s">
        <v>177</v>
      </c>
      <c r="AC65" s="1454"/>
      <c r="AD65" s="1454"/>
      <c r="AE65" s="731" t="s">
        <v>178</v>
      </c>
      <c r="AF65" s="1065"/>
      <c r="AG65" s="931" t="s">
        <v>179</v>
      </c>
      <c r="AH65" s="1277"/>
      <c r="AI65" s="1277"/>
      <c r="AJ65" s="1277"/>
      <c r="AK65" s="1277"/>
      <c r="AL65" s="1277"/>
      <c r="AM65" s="1277"/>
      <c r="AN65" s="1277"/>
      <c r="AO65" s="1277"/>
      <c r="AP65" s="1277"/>
      <c r="AQ65" s="1277"/>
      <c r="AR65" s="1277"/>
      <c r="AS65" s="1277"/>
      <c r="AT65" s="1277"/>
      <c r="AU65" s="1277"/>
      <c r="AV65" s="1277"/>
      <c r="AW65" s="1277"/>
      <c r="AX65" s="1277"/>
      <c r="AY65" s="1277"/>
      <c r="AZ65" s="1277"/>
      <c r="BA65" s="1277"/>
    </row>
    <row customHeight="1" ht="19.0125">
      <c r="A66" s="1277"/>
      <c r="B66" s="417">
        <f>method_reg="Метод сравнения аналогов"</f>
        <v>1</v>
      </c>
      <c r="C66" s="1277"/>
      <c r="D66" s="1277"/>
      <c r="E66" s="614">
        <v>19.5</v>
      </c>
      <c r="F66" s="1277"/>
      <c r="G66" s="1277"/>
      <c r="H66" s="1277"/>
      <c r="I66" s="1277"/>
      <c r="J66" s="1277"/>
      <c r="K66" s="1277"/>
      <c r="L66" s="1277"/>
      <c r="M66" s="1277"/>
      <c r="N66" s="1277"/>
      <c r="O66" s="1277"/>
      <c r="P66" s="1277"/>
      <c r="Q66" s="1277"/>
      <c r="R66" s="1277"/>
      <c r="S66" s="1277"/>
      <c r="T66" s="1277"/>
      <c r="U66" s="1277"/>
      <c r="V66" s="1277"/>
      <c r="W66" s="1277"/>
      <c r="X66" s="1277"/>
      <c r="Y66" s="1277"/>
      <c r="Z66" s="1624"/>
      <c r="AA66" s="1277"/>
      <c r="AB66" s="1454" t="s">
        <v>180</v>
      </c>
      <c r="AC66" s="1454"/>
      <c r="AD66" s="1454"/>
      <c r="AE66" s="731" t="s">
        <v>181</v>
      </c>
      <c r="AF66" s="1065"/>
      <c r="AG66" s="931" t="s">
        <v>182</v>
      </c>
      <c r="AH66" s="1277"/>
      <c r="AI66" s="1277"/>
      <c r="AJ66" s="1277"/>
      <c r="AK66" s="1277"/>
      <c r="AL66" s="1277"/>
      <c r="AM66" s="1277"/>
      <c r="AN66" s="1277"/>
      <c r="AO66" s="1277"/>
      <c r="AP66" s="1277"/>
      <c r="AQ66" s="1277"/>
      <c r="AR66" s="1277"/>
      <c r="AS66" s="1277"/>
      <c r="AT66" s="1277"/>
      <c r="AU66" s="1277"/>
      <c r="AV66" s="1277"/>
      <c r="AW66" s="1277"/>
      <c r="AX66" s="1277"/>
      <c r="AY66" s="1277"/>
      <c r="AZ66" s="1277"/>
      <c r="BA66" s="1277"/>
    </row>
    <row customHeight="1" ht="19.0125">
      <c r="A67" s="1277"/>
      <c r="B67" s="417">
        <f>method_reg="Метод сравнения аналогов"</f>
        <v>1</v>
      </c>
      <c r="C67" s="1277"/>
      <c r="D67" s="1277"/>
      <c r="E67" s="614">
        <v>19.5</v>
      </c>
      <c r="F67" s="1277"/>
      <c r="G67" s="1277"/>
      <c r="H67" s="1277"/>
      <c r="I67" s="1277"/>
      <c r="J67" s="1277"/>
      <c r="K67" s="1277"/>
      <c r="L67" s="1277"/>
      <c r="M67" s="1277"/>
      <c r="N67" s="1277"/>
      <c r="O67" s="1277"/>
      <c r="P67" s="1277"/>
      <c r="Q67" s="1277"/>
      <c r="R67" s="1277"/>
      <c r="S67" s="1277"/>
      <c r="T67" s="1277"/>
      <c r="U67" s="1277"/>
      <c r="V67" s="1277"/>
      <c r="W67" s="1277"/>
      <c r="X67" s="1277"/>
      <c r="Y67" s="1277"/>
      <c r="Z67" s="1624"/>
      <c r="AA67" s="1277"/>
      <c r="AB67" s="1454" t="s">
        <v>183</v>
      </c>
      <c r="AC67" s="1454"/>
      <c r="AD67" s="1454"/>
      <c r="AE67" s="731" t="s">
        <v>184</v>
      </c>
      <c r="AF67" s="1065"/>
      <c r="AG67" s="931" t="s">
        <v>185</v>
      </c>
      <c r="AH67" s="1277"/>
      <c r="AI67" s="1277"/>
      <c r="AJ67" s="1277"/>
      <c r="AK67" s="1277"/>
      <c r="AL67" s="1277"/>
      <c r="AM67" s="1277"/>
      <c r="AN67" s="1277"/>
      <c r="AO67" s="1277"/>
      <c r="AP67" s="1277"/>
      <c r="AQ67" s="1277"/>
      <c r="AR67" s="1277"/>
      <c r="AS67" s="1277"/>
      <c r="AT67" s="1277"/>
      <c r="AU67" s="1277"/>
      <c r="AV67" s="1277"/>
      <c r="AW67" s="1277"/>
      <c r="AX67" s="1277"/>
      <c r="AY67" s="1277"/>
      <c r="AZ67" s="1277"/>
      <c r="BA67" s="1277"/>
    </row>
    <row customHeight="1" ht="19.0125">
      <c r="A68" s="1277"/>
      <c r="B68" s="417">
        <f>method_reg="Метод сравнения аналогов"</f>
        <v>1</v>
      </c>
      <c r="C68" s="1277"/>
      <c r="D68" s="1277"/>
      <c r="E68" s="614">
        <v>19.5</v>
      </c>
      <c r="F68" s="1277"/>
      <c r="G68" s="1277"/>
      <c r="H68" s="1277"/>
      <c r="I68" s="1277"/>
      <c r="J68" s="1277"/>
      <c r="K68" s="1277"/>
      <c r="L68" s="1277"/>
      <c r="M68" s="1277"/>
      <c r="N68" s="1277"/>
      <c r="O68" s="1277"/>
      <c r="P68" s="1277"/>
      <c r="Q68" s="1277"/>
      <c r="R68" s="1277"/>
      <c r="S68" s="1277"/>
      <c r="T68" s="1277"/>
      <c r="U68" s="1277"/>
      <c r="V68" s="1277"/>
      <c r="W68" s="1277"/>
      <c r="X68" s="1277"/>
      <c r="Y68" s="1277"/>
      <c r="Z68" s="1624"/>
      <c r="AA68" s="1277"/>
      <c r="AB68" s="1441" t="s">
        <v>186</v>
      </c>
      <c r="AC68" s="1441"/>
      <c r="AD68" s="1441"/>
      <c r="AE68" s="538" t="s">
        <v>187</v>
      </c>
      <c r="AF68" s="1065"/>
      <c r="AG68" s="931" t="s">
        <v>188</v>
      </c>
      <c r="AH68" s="1277"/>
      <c r="AI68" s="1277"/>
      <c r="AJ68" s="1277"/>
      <c r="AK68" s="1277"/>
      <c r="AL68" s="1277"/>
      <c r="AM68" s="1277"/>
      <c r="AN68" s="1277"/>
      <c r="AO68" s="1277"/>
      <c r="AP68" s="1277"/>
      <c r="AQ68" s="1277"/>
      <c r="AR68" s="1277"/>
      <c r="AS68" s="1277"/>
      <c r="AT68" s="1277"/>
      <c r="AU68" s="1277"/>
      <c r="AV68" s="1277"/>
      <c r="AW68" s="1277"/>
      <c r="AX68" s="1277"/>
      <c r="AY68" s="1277"/>
      <c r="AZ68" s="1277"/>
      <c r="BA68" s="1277"/>
    </row>
    <row customHeight="1" ht="19.0125">
      <c r="A69" s="1277"/>
      <c r="B69" s="417">
        <f>method_reg="Метод сравнения аналогов"</f>
        <v>1</v>
      </c>
      <c r="C69" s="1277"/>
      <c r="D69" s="1277"/>
      <c r="E69" s="614">
        <v>19.5</v>
      </c>
      <c r="F69" s="1277"/>
      <c r="G69" s="1277"/>
      <c r="H69" s="1277"/>
      <c r="I69" s="1277"/>
      <c r="J69" s="1277"/>
      <c r="K69" s="1277"/>
      <c r="L69" s="1277"/>
      <c r="M69" s="1277"/>
      <c r="N69" s="1277"/>
      <c r="O69" s="1277"/>
      <c r="P69" s="1277"/>
      <c r="Q69" s="1277"/>
      <c r="R69" s="1277"/>
      <c r="S69" s="1277"/>
      <c r="T69" s="1277"/>
      <c r="U69" s="1277"/>
      <c r="V69" s="1277"/>
      <c r="W69" s="1277"/>
      <c r="X69" s="1277"/>
      <c r="Y69" s="1277"/>
      <c r="Z69" s="1624"/>
      <c r="AA69" s="1277"/>
      <c r="AB69" s="1441" t="s">
        <v>189</v>
      </c>
      <c r="AC69" s="1441"/>
      <c r="AD69" s="1441"/>
      <c r="AE69" s="433" t="s">
        <v>160</v>
      </c>
      <c r="AF69" s="1065"/>
      <c r="AG69" s="931" t="s">
        <v>190</v>
      </c>
      <c r="AH69" s="1277"/>
      <c r="AI69" s="1277"/>
      <c r="AJ69" s="1277"/>
      <c r="AK69" s="1277"/>
      <c r="AL69" s="1277"/>
      <c r="AM69" s="1277"/>
      <c r="AN69" s="1277"/>
      <c r="AO69" s="1277"/>
      <c r="AP69" s="1277"/>
      <c r="AQ69" s="1277"/>
      <c r="AR69" s="1277"/>
      <c r="AS69" s="1277"/>
      <c r="AT69" s="1277"/>
      <c r="AU69" s="1277"/>
      <c r="AV69" s="1277"/>
      <c r="AW69" s="1277"/>
      <c r="AX69" s="1277"/>
      <c r="AY69" s="1277"/>
      <c r="AZ69" s="1277"/>
      <c r="BA69" s="1277"/>
    </row>
    <row customHeight="1" ht="13.649999999999999">
      <c r="B70" s="73"/>
      <c r="E70" s="614">
        <v>14</v>
      </c>
      <c r="AB70" s="539"/>
      <c r="AC70" s="540"/>
      <c r="AD70" s="540"/>
      <c r="AE70" s="541"/>
      <c r="AF70" s="1065"/>
    </row>
    <row customHeight="1" ht="19.0125">
      <c r="B71" s="73"/>
      <c r="E71" s="614">
        <v>19.5</v>
      </c>
      <c r="AB71" s="1441" t="s">
        <v>191</v>
      </c>
      <c r="AC71" s="1441"/>
      <c r="AD71" s="1441"/>
      <c r="AE71" s="359" t="s">
        <v>160</v>
      </c>
      <c r="AF71" s="1065"/>
      <c r="AG71" s="73" t="s">
        <v>192</v>
      </c>
    </row>
    <row customHeight="1" ht="19.0125">
      <c r="B72" s="73"/>
      <c r="E72" s="614">
        <v>19.5</v>
      </c>
      <c r="F72" s="73" t="s">
        <v>193</v>
      </c>
      <c r="AB72" s="1441" t="s">
        <v>194</v>
      </c>
      <c r="AC72" s="1441"/>
      <c r="AD72" s="1441"/>
      <c r="AE72" s="359" t="s">
        <v>160</v>
      </c>
      <c r="AF72" s="1065"/>
      <c r="AG72" s="73" t="s">
        <v>195</v>
      </c>
    </row>
    <row customHeight="1" ht="45.77414079145951">
      <c r="A73" s="1277"/>
      <c r="B73" s="417">
        <f>HAS_DOC2="да"</f>
        <v>1</v>
      </c>
      <c r="C73" s="1277"/>
      <c r="D73" s="1277"/>
      <c r="E73" s="614">
        <v>19.5</v>
      </c>
      <c r="F73" s="1277"/>
      <c r="G73" s="1277"/>
      <c r="H73" s="1277"/>
      <c r="I73" s="1277"/>
      <c r="J73" s="1277"/>
      <c r="K73" s="1277"/>
      <c r="L73" s="1277"/>
      <c r="M73" s="1277"/>
      <c r="N73" s="1277"/>
      <c r="O73" s="1277"/>
      <c r="P73" s="1277"/>
      <c r="Q73" s="1277"/>
      <c r="R73" s="1277"/>
      <c r="S73" s="1277"/>
      <c r="T73" s="1277"/>
      <c r="U73" s="1277"/>
      <c r="V73" s="1277"/>
      <c r="W73" s="1277"/>
      <c r="X73" s="1277"/>
      <c r="Y73" s="1277"/>
      <c r="Z73" s="1624"/>
      <c r="AA73" s="1277"/>
      <c r="AB73" s="1443" t="s">
        <v>196</v>
      </c>
      <c r="AC73" s="1451" t="s">
        <v>197</v>
      </c>
      <c r="AD73" s="1453"/>
      <c r="AE73" s="351" t="s">
        <v>198</v>
      </c>
      <c r="AF73" s="1065"/>
      <c r="AG73" s="1277"/>
      <c r="AH73" s="1277"/>
      <c r="AI73" s="1277"/>
      <c r="AJ73" s="1277"/>
      <c r="AK73" s="1277"/>
      <c r="AL73" s="1277"/>
      <c r="AM73" s="1277"/>
      <c r="AN73" s="1277"/>
      <c r="AO73" s="1277"/>
      <c r="AP73" s="1277"/>
      <c r="AQ73" s="1277"/>
      <c r="AR73" s="1277"/>
      <c r="AS73" s="1277"/>
      <c r="AT73" s="1277"/>
      <c r="AU73" s="1277"/>
      <c r="AV73" s="1277"/>
      <c r="AW73" s="1277"/>
      <c r="AX73" s="1277"/>
      <c r="AY73" s="1277"/>
      <c r="AZ73" s="1277"/>
      <c r="BA73" s="1277"/>
    </row>
    <row customHeight="1" ht="19.0125">
      <c r="A74" s="1277"/>
      <c r="B74" s="417">
        <f>HAS_DOC2="да"</f>
        <v>1</v>
      </c>
      <c r="C74" s="1277"/>
      <c r="D74" s="1277"/>
      <c r="E74" s="614">
        <v>19.5</v>
      </c>
      <c r="F74" s="1277"/>
      <c r="G74" s="1277"/>
      <c r="H74" s="1277"/>
      <c r="I74" s="1277"/>
      <c r="J74" s="1277"/>
      <c r="K74" s="1277"/>
      <c r="L74" s="1277"/>
      <c r="M74" s="1277"/>
      <c r="N74" s="1277"/>
      <c r="O74" s="1277"/>
      <c r="P74" s="1277"/>
      <c r="Q74" s="1277"/>
      <c r="R74" s="1277"/>
      <c r="S74" s="1277"/>
      <c r="T74" s="1277"/>
      <c r="U74" s="1277"/>
      <c r="V74" s="1277"/>
      <c r="W74" s="1277"/>
      <c r="X74" s="1277"/>
      <c r="Y74" s="1277"/>
      <c r="Z74" s="1624"/>
      <c r="AA74" s="1277"/>
      <c r="AB74" s="1444"/>
      <c r="AC74" s="1451" t="s">
        <v>199</v>
      </c>
      <c r="AD74" s="1453"/>
      <c r="AE74" s="352" t="s">
        <v>200</v>
      </c>
      <c r="AF74" s="1065"/>
      <c r="AG74" s="1277"/>
      <c r="AH74" s="1277"/>
      <c r="AI74" s="1277"/>
      <c r="AJ74" s="1277"/>
      <c r="AK74" s="1277"/>
      <c r="AL74" s="1277"/>
      <c r="AM74" s="1277"/>
      <c r="AN74" s="1277"/>
      <c r="AO74" s="1277"/>
      <c r="AP74" s="1277"/>
      <c r="AQ74" s="1277"/>
      <c r="AR74" s="1277"/>
      <c r="AS74" s="1277"/>
      <c r="AT74" s="1277"/>
      <c r="AU74" s="1277"/>
      <c r="AV74" s="1277"/>
      <c r="AW74" s="1277"/>
      <c r="AX74" s="1277"/>
      <c r="AY74" s="1277"/>
      <c r="AZ74" s="1277"/>
      <c r="BA74" s="1277"/>
    </row>
    <row customHeight="1" ht="19.0125">
      <c r="A75" s="1277"/>
      <c r="B75" s="417">
        <f>HAS_DOC2="да"</f>
        <v>1</v>
      </c>
      <c r="C75" s="1277"/>
      <c r="D75" s="1277"/>
      <c r="E75" s="614">
        <v>19.5</v>
      </c>
      <c r="F75" s="1277"/>
      <c r="G75" s="1277"/>
      <c r="H75" s="1277"/>
      <c r="I75" s="1277"/>
      <c r="J75" s="1277"/>
      <c r="K75" s="1277"/>
      <c r="L75" s="1277"/>
      <c r="M75" s="1277"/>
      <c r="N75" s="1277"/>
      <c r="O75" s="1277"/>
      <c r="P75" s="1277"/>
      <c r="Q75" s="1277"/>
      <c r="R75" s="1277"/>
      <c r="S75" s="1277"/>
      <c r="T75" s="1277"/>
      <c r="U75" s="1277"/>
      <c r="V75" s="1277"/>
      <c r="W75" s="1277"/>
      <c r="X75" s="1277"/>
      <c r="Y75" s="1277"/>
      <c r="Z75" s="1624"/>
      <c r="AA75" s="1277"/>
      <c r="AB75" s="1444"/>
      <c r="AC75" s="1451" t="s">
        <v>201</v>
      </c>
      <c r="AD75" s="1453"/>
      <c r="AE75" s="351" t="s">
        <v>202</v>
      </c>
      <c r="AF75" s="1065"/>
      <c r="AG75" s="1277"/>
      <c r="AH75" s="1277"/>
      <c r="AI75" s="1277"/>
      <c r="AJ75" s="1277"/>
      <c r="AK75" s="1277"/>
      <c r="AL75" s="1277"/>
      <c r="AM75" s="1277"/>
      <c r="AN75" s="1277"/>
      <c r="AO75" s="1277"/>
      <c r="AP75" s="1277"/>
      <c r="AQ75" s="1277"/>
      <c r="AR75" s="1277"/>
      <c r="AS75" s="1277"/>
      <c r="AT75" s="1277"/>
      <c r="AU75" s="1277"/>
      <c r="AV75" s="1277"/>
      <c r="AW75" s="1277"/>
      <c r="AX75" s="1277"/>
      <c r="AY75" s="1277"/>
      <c r="AZ75" s="1277"/>
      <c r="BA75" s="1277"/>
    </row>
    <row customHeight="1" ht="19.0125">
      <c r="A76" s="1277"/>
      <c r="B76" s="417">
        <f>HAS_DOC2="да"</f>
        <v>1</v>
      </c>
      <c r="C76" s="1277"/>
      <c r="D76" s="1277"/>
      <c r="E76" s="614">
        <v>19.5</v>
      </c>
      <c r="F76" s="1277"/>
      <c r="G76" s="1277"/>
      <c r="H76" s="1277"/>
      <c r="I76" s="1277"/>
      <c r="J76" s="1277"/>
      <c r="K76" s="1277"/>
      <c r="L76" s="1277"/>
      <c r="M76" s="1277"/>
      <c r="N76" s="1277"/>
      <c r="O76" s="1277"/>
      <c r="P76" s="1277"/>
      <c r="Q76" s="1277"/>
      <c r="R76" s="1277"/>
      <c r="S76" s="1277"/>
      <c r="T76" s="1277"/>
      <c r="U76" s="1277"/>
      <c r="V76" s="1277"/>
      <c r="W76" s="1277"/>
      <c r="X76" s="1277"/>
      <c r="Y76" s="1277"/>
      <c r="Z76" s="1624"/>
      <c r="AA76" s="1277"/>
      <c r="AB76" s="1444"/>
      <c r="AC76" s="1451" t="s">
        <v>203</v>
      </c>
      <c r="AD76" s="1453"/>
      <c r="AE76" s="391" t="s">
        <v>204</v>
      </c>
      <c r="AF76" s="353"/>
      <c r="AG76" s="1277"/>
      <c r="AH76" s="1277"/>
      <c r="AI76" s="1277"/>
      <c r="AJ76" s="1277"/>
      <c r="AK76" s="1277"/>
      <c r="AL76" s="1277"/>
      <c r="AM76" s="1277"/>
      <c r="AN76" s="1277"/>
      <c r="AO76" s="1277"/>
      <c r="AP76" s="1277"/>
      <c r="AQ76" s="1277"/>
      <c r="AR76" s="1277"/>
      <c r="AS76" s="1277"/>
      <c r="AT76" s="1277"/>
      <c r="AU76" s="1277"/>
      <c r="AV76" s="1277"/>
      <c r="AW76" s="1277"/>
      <c r="AX76" s="1277"/>
      <c r="AY76" s="1277"/>
      <c r="AZ76" s="1277"/>
      <c r="BA76" s="1277"/>
    </row>
    <row customHeight="1" ht="19.0125">
      <c r="A77" s="1277"/>
      <c r="B77" s="417">
        <f>HAS_DOC2="да"</f>
        <v>1</v>
      </c>
      <c r="C77" s="1277"/>
      <c r="D77" s="1277"/>
      <c r="E77" s="614">
        <v>19.5</v>
      </c>
      <c r="F77" s="1277"/>
      <c r="G77" s="1277"/>
      <c r="H77" s="1277"/>
      <c r="I77" s="1277"/>
      <c r="J77" s="1277"/>
      <c r="K77" s="1277"/>
      <c r="L77" s="1277"/>
      <c r="M77" s="1277"/>
      <c r="N77" s="1277"/>
      <c r="O77" s="1277"/>
      <c r="P77" s="1277"/>
      <c r="Q77" s="1277"/>
      <c r="R77" s="1277"/>
      <c r="S77" s="1277"/>
      <c r="T77" s="1277"/>
      <c r="U77" s="1277"/>
      <c r="V77" s="1277"/>
      <c r="W77" s="1277"/>
      <c r="X77" s="1277"/>
      <c r="Y77" s="1277"/>
      <c r="Z77" s="1624"/>
      <c r="AA77" s="1277"/>
      <c r="AB77" s="1445"/>
      <c r="AC77" s="1451" t="s">
        <v>205</v>
      </c>
      <c r="AD77" s="1453"/>
      <c r="AE77" s="372"/>
      <c r="AF77" s="353"/>
      <c r="AG77" s="1277"/>
      <c r="AH77" s="1277"/>
      <c r="AI77" s="1277"/>
      <c r="AJ77" s="1277"/>
      <c r="AK77" s="1277"/>
      <c r="AL77" s="1277"/>
      <c r="AM77" s="1277"/>
      <c r="AN77" s="1277"/>
      <c r="AO77" s="1277"/>
      <c r="AP77" s="1277"/>
      <c r="AQ77" s="1277"/>
      <c r="AR77" s="1277"/>
      <c r="AS77" s="1277"/>
      <c r="AT77" s="1277"/>
      <c r="AU77" s="1277"/>
      <c r="AV77" s="1277"/>
      <c r="AW77" s="1277"/>
      <c r="AX77" s="1277"/>
      <c r="AY77" s="1277"/>
      <c r="AZ77" s="1277"/>
      <c r="BA77" s="1277"/>
    </row>
    <row customHeight="1" ht="19.0125" hidden="1">
      <c r="A78" s="1277"/>
      <c r="B78" s="417">
        <f>HAS_DOC2="да"</f>
        <v>1</v>
      </c>
      <c r="C78" s="1277"/>
      <c r="D78" s="1277"/>
      <c r="E78" s="614">
        <v>19.5</v>
      </c>
      <c r="F78" s="1277"/>
      <c r="G78" s="1277"/>
      <c r="H78" s="1277"/>
      <c r="I78" s="1277"/>
      <c r="J78" s="1277"/>
      <c r="K78" s="1277"/>
      <c r="L78" s="1277"/>
      <c r="M78" s="1277"/>
      <c r="N78" s="1277"/>
      <c r="O78" s="1277"/>
      <c r="P78" s="1277"/>
      <c r="Q78" s="1277"/>
      <c r="R78" s="1277"/>
      <c r="S78" s="1277"/>
      <c r="T78" s="1277"/>
      <c r="U78" s="1277"/>
      <c r="V78" s="1277"/>
      <c r="W78" s="474">
        <f>ROW(Y78)&gt;ROW(Y$78)</f>
        <v>0</v>
      </c>
      <c r="X78" s="1277"/>
      <c r="Y78" s="73" t="s">
        <v>172</v>
      </c>
      <c r="Z78" s="1624"/>
      <c r="AA78" s="1442" t="s">
        <v>173</v>
      </c>
      <c r="AB78" s="1443" t="s">
        <v>196</v>
      </c>
      <c r="AC78" s="1451" t="s">
        <v>197</v>
      </c>
      <c r="AD78" s="1453"/>
      <c r="AE78" s="1662"/>
      <c r="AF78" s="353"/>
      <c r="AG78" s="1277"/>
      <c r="AH78" s="1277"/>
      <c r="AI78" s="1277"/>
      <c r="AJ78" s="1277"/>
      <c r="AK78" s="1277"/>
      <c r="AL78" s="1277"/>
      <c r="AM78" s="1277"/>
      <c r="AN78" s="1277"/>
      <c r="AO78" s="1277"/>
      <c r="AP78" s="1277"/>
      <c r="AQ78" s="1277"/>
      <c r="AR78" s="1277"/>
      <c r="AS78" s="1277"/>
      <c r="AT78" s="1277"/>
      <c r="AU78" s="1277"/>
      <c r="AV78" s="1277"/>
      <c r="AW78" s="1277"/>
      <c r="AX78" s="1277"/>
      <c r="AY78" s="1277"/>
      <c r="AZ78" s="1277"/>
      <c r="BA78" s="1277"/>
    </row>
    <row customHeight="1" ht="19.0125" hidden="1">
      <c r="A79" s="1277"/>
      <c r="B79" s="417">
        <f>HAS_DOC2="да"</f>
        <v>1</v>
      </c>
      <c r="C79" s="1277"/>
      <c r="D79" s="1277"/>
      <c r="E79" s="614">
        <v>19.5</v>
      </c>
      <c r="F79" s="1277"/>
      <c r="G79" s="1277"/>
      <c r="H79" s="1277"/>
      <c r="I79" s="1277"/>
      <c r="J79" s="1277"/>
      <c r="K79" s="1277"/>
      <c r="L79" s="1277"/>
      <c r="M79" s="1277"/>
      <c r="N79" s="1277"/>
      <c r="O79" s="1277"/>
      <c r="P79" s="1277"/>
      <c r="Q79" s="1277"/>
      <c r="R79" s="1277"/>
      <c r="S79" s="1277"/>
      <c r="T79" s="1277"/>
      <c r="U79" s="1277"/>
      <c r="V79" s="1277"/>
      <c r="W79" s="474" cm="1" t="str">
        <f t="array" ref="W79:W79">W78</f>
        <v>false</v>
      </c>
      <c r="X79" s="1277"/>
      <c r="Y79" s="1277"/>
      <c r="Z79" s="1624"/>
      <c r="AA79" s="1442"/>
      <c r="AB79" s="1444"/>
      <c r="AC79" s="1451" t="s">
        <v>199</v>
      </c>
      <c r="AD79" s="1453"/>
      <c r="AE79" s="1663"/>
      <c r="AF79" s="353"/>
      <c r="AG79" s="1277"/>
      <c r="AH79" s="1277"/>
      <c r="AI79" s="1277"/>
      <c r="AJ79" s="1277"/>
      <c r="AK79" s="1277"/>
      <c r="AL79" s="1277"/>
      <c r="AM79" s="1277"/>
      <c r="AN79" s="1277"/>
      <c r="AO79" s="1277"/>
      <c r="AP79" s="1277"/>
      <c r="AQ79" s="1277"/>
      <c r="AR79" s="1277"/>
      <c r="AS79" s="1277"/>
      <c r="AT79" s="1277"/>
      <c r="AU79" s="1277"/>
      <c r="AV79" s="1277"/>
      <c r="AW79" s="1277"/>
      <c r="AX79" s="1277"/>
      <c r="AY79" s="1277"/>
      <c r="AZ79" s="1277"/>
      <c r="BA79" s="1277"/>
    </row>
    <row customHeight="1" ht="19.0125" hidden="1">
      <c r="A80" s="1277"/>
      <c r="B80" s="417">
        <f>HAS_DOC2="да"</f>
        <v>1</v>
      </c>
      <c r="C80" s="1277"/>
      <c r="D80" s="1277"/>
      <c r="E80" s="614">
        <v>19.5</v>
      </c>
      <c r="F80" s="1277"/>
      <c r="G80" s="1277"/>
      <c r="H80" s="1277"/>
      <c r="I80" s="1277"/>
      <c r="J80" s="1277"/>
      <c r="K80" s="1277"/>
      <c r="L80" s="1277"/>
      <c r="M80" s="1277"/>
      <c r="N80" s="1277"/>
      <c r="O80" s="1277"/>
      <c r="P80" s="1277"/>
      <c r="Q80" s="1277"/>
      <c r="R80" s="1277"/>
      <c r="S80" s="1277"/>
      <c r="T80" s="1277"/>
      <c r="U80" s="1277"/>
      <c r="V80" s="1277"/>
      <c r="W80" s="474" cm="1" t="str">
        <f t="array" ref="W80:W80">W79</f>
        <v>false</v>
      </c>
      <c r="X80" s="1277"/>
      <c r="Y80" s="1277"/>
      <c r="Z80" s="1624"/>
      <c r="AA80" s="1442"/>
      <c r="AB80" s="1444"/>
      <c r="AC80" s="1451" t="s">
        <v>201</v>
      </c>
      <c r="AD80" s="1453"/>
      <c r="AE80" s="1662"/>
      <c r="AF80" s="353"/>
      <c r="AG80" s="1277"/>
      <c r="AH80" s="1277"/>
      <c r="AI80" s="1277"/>
      <c r="AJ80" s="1277"/>
      <c r="AK80" s="1277"/>
      <c r="AL80" s="1277"/>
      <c r="AM80" s="1277"/>
      <c r="AN80" s="1277"/>
      <c r="AO80" s="1277"/>
      <c r="AP80" s="1277"/>
      <c r="AQ80" s="1277"/>
      <c r="AR80" s="1277"/>
      <c r="AS80" s="1277"/>
      <c r="AT80" s="1277"/>
      <c r="AU80" s="1277"/>
      <c r="AV80" s="1277"/>
      <c r="AW80" s="1277"/>
      <c r="AX80" s="1277"/>
      <c r="AY80" s="1277"/>
      <c r="AZ80" s="1277"/>
      <c r="BA80" s="1277"/>
    </row>
    <row customHeight="1" ht="19.0125" hidden="1">
      <c r="A81" s="1277"/>
      <c r="B81" s="417">
        <f>HAS_DOC2="да"</f>
        <v>1</v>
      </c>
      <c r="C81" s="1277"/>
      <c r="D81" s="1277"/>
      <c r="E81" s="614">
        <v>19.5</v>
      </c>
      <c r="F81" s="1277"/>
      <c r="G81" s="1277"/>
      <c r="H81" s="1277"/>
      <c r="I81" s="1277"/>
      <c r="J81" s="1277"/>
      <c r="K81" s="1277"/>
      <c r="L81" s="1277"/>
      <c r="M81" s="1277"/>
      <c r="N81" s="1277"/>
      <c r="O81" s="1277"/>
      <c r="P81" s="1277"/>
      <c r="Q81" s="1277"/>
      <c r="R81" s="1277"/>
      <c r="S81" s="1277"/>
      <c r="T81" s="1277"/>
      <c r="U81" s="1277"/>
      <c r="V81" s="1277"/>
      <c r="W81" s="474" cm="1" t="str">
        <f t="array" ref="W81:W81">W80</f>
        <v>false</v>
      </c>
      <c r="X81" s="1277"/>
      <c r="Y81" s="1277"/>
      <c r="Z81" s="1624"/>
      <c r="AA81" s="1442"/>
      <c r="AB81" s="1444"/>
      <c r="AC81" s="1451" t="s">
        <v>203</v>
      </c>
      <c r="AD81" s="1453"/>
      <c r="AE81" s="1664"/>
      <c r="AF81" s="353"/>
      <c r="AG81" s="1277"/>
      <c r="AH81" s="1277"/>
      <c r="AI81" s="1277"/>
      <c r="AJ81" s="1277"/>
      <c r="AK81" s="1277"/>
      <c r="AL81" s="1277"/>
      <c r="AM81" s="1277"/>
      <c r="AN81" s="1277"/>
      <c r="AO81" s="1277"/>
      <c r="AP81" s="1277"/>
      <c r="AQ81" s="1277"/>
      <c r="AR81" s="1277"/>
      <c r="AS81" s="1277"/>
      <c r="AT81" s="1277"/>
      <c r="AU81" s="1277"/>
      <c r="AV81" s="1277"/>
      <c r="AW81" s="1277"/>
      <c r="AX81" s="1277"/>
      <c r="AY81" s="1277"/>
      <c r="AZ81" s="1277"/>
      <c r="BA81" s="1277"/>
    </row>
    <row customHeight="1" ht="19.0125" hidden="1">
      <c r="A82" s="1277"/>
      <c r="B82" s="417">
        <f>HAS_DOC2="да"</f>
        <v>1</v>
      </c>
      <c r="C82" s="1277"/>
      <c r="D82" s="1277"/>
      <c r="E82" s="614">
        <v>19.5</v>
      </c>
      <c r="F82" s="1277"/>
      <c r="G82" s="1277"/>
      <c r="H82" s="1277"/>
      <c r="I82" s="1277"/>
      <c r="J82" s="1277"/>
      <c r="K82" s="1277"/>
      <c r="L82" s="1277"/>
      <c r="M82" s="1277"/>
      <c r="N82" s="1277"/>
      <c r="O82" s="1277"/>
      <c r="P82" s="1277"/>
      <c r="Q82" s="1277"/>
      <c r="R82" s="1277"/>
      <c r="S82" s="1277"/>
      <c r="T82" s="1277"/>
      <c r="U82" s="1277"/>
      <c r="V82" s="1277"/>
      <c r="W82" s="474" cm="1" t="str">
        <f t="array" ref="W82:W82">W81</f>
        <v>false</v>
      </c>
      <c r="X82" s="1277"/>
      <c r="Y82" s="1277"/>
      <c r="Z82" s="1624"/>
      <c r="AA82" s="1442"/>
      <c r="AB82" s="1445"/>
      <c r="AC82" s="1451" t="s">
        <v>205</v>
      </c>
      <c r="AD82" s="1453"/>
      <c r="AE82" s="1665"/>
      <c r="AF82" s="353"/>
      <c r="AG82" s="1277"/>
      <c r="AH82" s="1277"/>
      <c r="AI82" s="1277"/>
      <c r="AJ82" s="1277"/>
      <c r="AK82" s="1277"/>
      <c r="AL82" s="1277"/>
      <c r="AM82" s="1277"/>
      <c r="AN82" s="1277"/>
      <c r="AO82" s="1277"/>
      <c r="AP82" s="1277"/>
      <c r="AQ82" s="1277"/>
      <c r="AR82" s="1277"/>
      <c r="AS82" s="1277"/>
      <c r="AT82" s="1277"/>
      <c r="AU82" s="1277"/>
      <c r="AV82" s="1277"/>
      <c r="AW82" s="1277"/>
      <c r="AX82" s="1277"/>
      <c r="AY82" s="1277"/>
      <c r="AZ82" s="1277"/>
      <c r="BA82" s="1277"/>
    </row>
    <row customHeight="1" ht="14.625">
      <c r="A83" s="1277"/>
      <c r="B83" s="417">
        <f>HAS_DOC2="да"</f>
        <v>1</v>
      </c>
      <c r="C83" s="1277"/>
      <c r="D83" s="1277"/>
      <c r="E83" s="614">
        <v>15</v>
      </c>
      <c r="F83" s="73" t="s">
        <v>193</v>
      </c>
      <c r="G83" s="1277"/>
      <c r="H83" s="1277"/>
      <c r="I83" s="1277"/>
      <c r="J83" s="1277"/>
      <c r="K83" s="1277"/>
      <c r="L83" s="1277"/>
      <c r="M83" s="1277"/>
      <c r="N83" s="1277"/>
      <c r="O83" s="1277"/>
      <c r="P83" s="1277"/>
      <c r="Q83" s="1277"/>
      <c r="R83" s="1277"/>
      <c r="S83" s="1277"/>
      <c r="T83" s="1277"/>
      <c r="U83" s="1277"/>
      <c r="V83" s="1277"/>
      <c r="W83" s="1277"/>
      <c r="X83" s="1277"/>
      <c r="Y83" s="74" t="s">
        <v>175</v>
      </c>
      <c r="Z83" s="1624"/>
      <c r="AA83" s="1277"/>
      <c r="AB83" s="231"/>
      <c r="AC83" s="230"/>
      <c r="AD83" s="230"/>
      <c r="AE83" s="334" t="s">
        <v>176</v>
      </c>
      <c r="AF83" s="353"/>
      <c r="AG83" s="1277"/>
      <c r="AH83" s="1277"/>
      <c r="AI83" s="1277"/>
      <c r="AJ83" s="1277"/>
      <c r="AK83" s="1277"/>
      <c r="AL83" s="1277"/>
      <c r="AM83" s="1277"/>
      <c r="AN83" s="1277"/>
      <c r="AO83" s="1277"/>
      <c r="AP83" s="1277"/>
      <c r="AQ83" s="1277"/>
      <c r="AR83" s="1277"/>
      <c r="AS83" s="1277"/>
      <c r="AT83" s="1277"/>
      <c r="AU83" s="1277"/>
      <c r="AV83" s="1277"/>
      <c r="AW83" s="1277"/>
      <c r="AX83" s="1277"/>
      <c r="AY83" s="1277"/>
      <c r="AZ83" s="1277"/>
      <c r="BA83" s="1277"/>
    </row>
    <row customHeight="1" ht="19.0125">
      <c r="B84" s="73"/>
      <c r="E84" s="614">
        <v>19.5</v>
      </c>
      <c r="F84" s="73" t="s">
        <v>206</v>
      </c>
      <c r="AB84" s="1441" t="s">
        <v>207</v>
      </c>
      <c r="AC84" s="1441"/>
      <c r="AD84" s="1441"/>
      <c r="AE84" s="359" t="s">
        <v>160</v>
      </c>
      <c r="AG84" s="73" t="s">
        <v>208</v>
      </c>
    </row>
    <row customHeight="1" ht="27.36504988236861">
      <c r="A85" s="1277"/>
      <c r="B85" s="417">
        <f>HAS_DOC3="да"</f>
        <v>1</v>
      </c>
      <c r="C85" s="1277"/>
      <c r="D85" s="1277"/>
      <c r="E85" s="614">
        <v>19.5</v>
      </c>
      <c r="F85" s="1277"/>
      <c r="G85" s="1277"/>
      <c r="H85" s="1277"/>
      <c r="I85" s="1277"/>
      <c r="J85" s="1277"/>
      <c r="K85" s="1277"/>
      <c r="L85" s="1277"/>
      <c r="M85" s="1277"/>
      <c r="N85" s="1277"/>
      <c r="O85" s="1277"/>
      <c r="P85" s="1277"/>
      <c r="Q85" s="1277"/>
      <c r="R85" s="1277"/>
      <c r="S85" s="1277"/>
      <c r="T85" s="1277"/>
      <c r="U85" s="1277"/>
      <c r="V85" s="1277"/>
      <c r="W85" s="1277"/>
      <c r="X85" s="1277"/>
      <c r="Y85" s="1277"/>
      <c r="Z85" s="1624"/>
      <c r="AA85" s="1277"/>
      <c r="AB85" s="1446" t="s">
        <v>196</v>
      </c>
      <c r="AC85" s="1441" t="s">
        <v>197</v>
      </c>
      <c r="AD85" s="1441"/>
      <c r="AE85" s="351" t="s">
        <v>209</v>
      </c>
      <c r="AF85" s="353"/>
      <c r="AG85" s="1277"/>
      <c r="AH85" s="1277"/>
      <c r="AI85" s="1277"/>
      <c r="AJ85" s="1277"/>
      <c r="AK85" s="1277"/>
      <c r="AL85" s="1277"/>
      <c r="AM85" s="1277"/>
      <c r="AN85" s="1277"/>
      <c r="AO85" s="1277"/>
      <c r="AP85" s="1277"/>
      <c r="AQ85" s="1277"/>
      <c r="AR85" s="1277"/>
      <c r="AS85" s="1277"/>
      <c r="AT85" s="1277"/>
      <c r="AU85" s="1277"/>
      <c r="AV85" s="1277"/>
      <c r="AW85" s="1277"/>
      <c r="AX85" s="1277"/>
      <c r="AY85" s="1277"/>
      <c r="AZ85" s="1277"/>
      <c r="BA85" s="1277"/>
    </row>
    <row customHeight="1" ht="19.0125">
      <c r="A86" s="1277"/>
      <c r="B86" s="417">
        <f>HAS_DOC3="да"</f>
        <v>1</v>
      </c>
      <c r="C86" s="1277"/>
      <c r="D86" s="1277"/>
      <c r="E86" s="614">
        <v>19.5</v>
      </c>
      <c r="F86" s="1277"/>
      <c r="G86" s="1277"/>
      <c r="H86" s="1277"/>
      <c r="I86" s="1277"/>
      <c r="J86" s="1277"/>
      <c r="K86" s="1277"/>
      <c r="L86" s="1277"/>
      <c r="M86" s="1277"/>
      <c r="N86" s="1277"/>
      <c r="O86" s="1277"/>
      <c r="P86" s="1277"/>
      <c r="Q86" s="1277"/>
      <c r="R86" s="1277"/>
      <c r="S86" s="1277"/>
      <c r="T86" s="1277"/>
      <c r="U86" s="1277"/>
      <c r="V86" s="1277"/>
      <c r="W86" s="1277"/>
      <c r="X86" s="1277"/>
      <c r="Y86" s="1277"/>
      <c r="Z86" s="1624"/>
      <c r="AA86" s="1277"/>
      <c r="AB86" s="1446"/>
      <c r="AC86" s="1441" t="s">
        <v>199</v>
      </c>
      <c r="AD86" s="1441"/>
      <c r="AE86" s="352" t="s">
        <v>200</v>
      </c>
      <c r="AF86" s="353"/>
      <c r="AG86" s="1277"/>
      <c r="AH86" s="1277"/>
      <c r="AI86" s="1277"/>
      <c r="AJ86" s="1277"/>
      <c r="AK86" s="1277"/>
      <c r="AL86" s="1277"/>
      <c r="AM86" s="1277"/>
      <c r="AN86" s="1277"/>
      <c r="AO86" s="1277"/>
      <c r="AP86" s="1277"/>
      <c r="AQ86" s="1277"/>
      <c r="AR86" s="1277"/>
      <c r="AS86" s="1277"/>
      <c r="AT86" s="1277"/>
      <c r="AU86" s="1277"/>
      <c r="AV86" s="1277"/>
      <c r="AW86" s="1277"/>
      <c r="AX86" s="1277"/>
      <c r="AY86" s="1277"/>
      <c r="AZ86" s="1277"/>
      <c r="BA86" s="1277"/>
    </row>
    <row customHeight="1" ht="19.0125">
      <c r="A87" s="1277"/>
      <c r="B87" s="417">
        <f>HAS_DOC3="да"</f>
        <v>1</v>
      </c>
      <c r="C87" s="1277"/>
      <c r="D87" s="1277"/>
      <c r="E87" s="614">
        <v>19.5</v>
      </c>
      <c r="F87" s="1277"/>
      <c r="G87" s="1277"/>
      <c r="H87" s="1277"/>
      <c r="I87" s="1277"/>
      <c r="J87" s="1277"/>
      <c r="K87" s="1277"/>
      <c r="L87" s="1277"/>
      <c r="M87" s="1277"/>
      <c r="N87" s="1277"/>
      <c r="O87" s="1277"/>
      <c r="P87" s="1277"/>
      <c r="Q87" s="1277"/>
      <c r="R87" s="1277"/>
      <c r="S87" s="1277"/>
      <c r="T87" s="1277"/>
      <c r="U87" s="1277"/>
      <c r="V87" s="1277"/>
      <c r="W87" s="1277"/>
      <c r="X87" s="1277"/>
      <c r="Y87" s="1277"/>
      <c r="Z87" s="1624"/>
      <c r="AA87" s="1277"/>
      <c r="AB87" s="1446"/>
      <c r="AC87" s="1441" t="s">
        <v>201</v>
      </c>
      <c r="AD87" s="1441"/>
      <c r="AE87" s="351" t="s">
        <v>210</v>
      </c>
      <c r="AF87" s="353"/>
      <c r="AG87" s="1277"/>
      <c r="AH87" s="1277"/>
      <c r="AI87" s="1277"/>
      <c r="AJ87" s="1277"/>
      <c r="AK87" s="1277"/>
      <c r="AL87" s="1277"/>
      <c r="AM87" s="1277"/>
      <c r="AN87" s="1277"/>
      <c r="AO87" s="1277"/>
      <c r="AP87" s="1277"/>
      <c r="AQ87" s="1277"/>
      <c r="AR87" s="1277"/>
      <c r="AS87" s="1277"/>
      <c r="AT87" s="1277"/>
      <c r="AU87" s="1277"/>
      <c r="AV87" s="1277"/>
      <c r="AW87" s="1277"/>
      <c r="AX87" s="1277"/>
      <c r="AY87" s="1277"/>
      <c r="AZ87" s="1277"/>
      <c r="BA87" s="1277"/>
    </row>
    <row customHeight="1" ht="19.0125">
      <c r="A88" s="1277"/>
      <c r="B88" s="417">
        <f>HAS_DOC3="да"</f>
        <v>1</v>
      </c>
      <c r="C88" s="1277"/>
      <c r="D88" s="1277"/>
      <c r="E88" s="614">
        <v>19.5</v>
      </c>
      <c r="F88" s="1277"/>
      <c r="G88" s="1277"/>
      <c r="H88" s="1277"/>
      <c r="I88" s="1277"/>
      <c r="J88" s="1277"/>
      <c r="K88" s="1277"/>
      <c r="L88" s="1277"/>
      <c r="M88" s="1277"/>
      <c r="N88" s="1277"/>
      <c r="O88" s="1277"/>
      <c r="P88" s="1277"/>
      <c r="Q88" s="1277"/>
      <c r="R88" s="1277"/>
      <c r="S88" s="1277"/>
      <c r="T88" s="1277"/>
      <c r="U88" s="1277"/>
      <c r="V88" s="1277"/>
      <c r="W88" s="1277"/>
      <c r="X88" s="1277"/>
      <c r="Y88" s="1277"/>
      <c r="Z88" s="1624"/>
      <c r="AA88" s="1277"/>
      <c r="AB88" s="1446"/>
      <c r="AC88" s="1441" t="s">
        <v>203</v>
      </c>
      <c r="AD88" s="1441"/>
      <c r="AE88" s="391">
        <v>42688</v>
      </c>
      <c r="AF88" s="353"/>
      <c r="AG88" s="1277"/>
      <c r="AH88" s="1277"/>
      <c r="AI88" s="1277"/>
      <c r="AJ88" s="1277"/>
      <c r="AK88" s="1277"/>
      <c r="AL88" s="1277"/>
      <c r="AM88" s="1277"/>
      <c r="AN88" s="1277"/>
      <c r="AO88" s="1277"/>
      <c r="AP88" s="1277"/>
      <c r="AQ88" s="1277"/>
      <c r="AR88" s="1277"/>
      <c r="AS88" s="1277"/>
      <c r="AT88" s="1277"/>
      <c r="AU88" s="1277"/>
      <c r="AV88" s="1277"/>
      <c r="AW88" s="1277"/>
      <c r="AX88" s="1277"/>
      <c r="AY88" s="1277"/>
      <c r="AZ88" s="1277"/>
      <c r="BA88" s="1277"/>
    </row>
    <row customHeight="1" ht="19.0125">
      <c r="A89" s="1277"/>
      <c r="B89" s="417">
        <f>HAS_DOC3="да"</f>
        <v>1</v>
      </c>
      <c r="C89" s="1277"/>
      <c r="D89" s="1277"/>
      <c r="E89" s="614">
        <v>19.5</v>
      </c>
      <c r="F89" s="1277"/>
      <c r="G89" s="1277"/>
      <c r="H89" s="1277"/>
      <c r="I89" s="1277"/>
      <c r="J89" s="1277"/>
      <c r="K89" s="1277"/>
      <c r="L89" s="1277"/>
      <c r="M89" s="1277"/>
      <c r="N89" s="1277"/>
      <c r="O89" s="1277"/>
      <c r="P89" s="1277"/>
      <c r="Q89" s="1277"/>
      <c r="R89" s="1277"/>
      <c r="S89" s="1277"/>
      <c r="T89" s="1277"/>
      <c r="U89" s="1277"/>
      <c r="V89" s="1277"/>
      <c r="W89" s="1277"/>
      <c r="X89" s="1277"/>
      <c r="Y89" s="1277"/>
      <c r="Z89" s="1624"/>
      <c r="AA89" s="1277"/>
      <c r="AB89" s="1446"/>
      <c r="AC89" s="1441" t="s">
        <v>205</v>
      </c>
      <c r="AD89" s="1441"/>
      <c r="AE89" s="372"/>
      <c r="AF89" s="353"/>
      <c r="AG89" s="1277"/>
      <c r="AH89" s="1277"/>
      <c r="AI89" s="1277"/>
      <c r="AJ89" s="1277"/>
      <c r="AK89" s="1277"/>
      <c r="AL89" s="1277"/>
      <c r="AM89" s="1277"/>
      <c r="AN89" s="1277"/>
      <c r="AO89" s="1277"/>
      <c r="AP89" s="1277"/>
      <c r="AQ89" s="1277"/>
      <c r="AR89" s="1277"/>
      <c r="AS89" s="1277"/>
      <c r="AT89" s="1277"/>
      <c r="AU89" s="1277"/>
      <c r="AV89" s="1277"/>
      <c r="AW89" s="1277"/>
      <c r="AX89" s="1277"/>
      <c r="AY89" s="1277"/>
      <c r="AZ89" s="1277"/>
      <c r="BA89" s="1277"/>
    </row>
    <row customHeight="1" ht="19.0125" hidden="1">
      <c r="A90" s="1277"/>
      <c r="B90" s="417">
        <f>HAS_DOC3="да"</f>
        <v>1</v>
      </c>
      <c r="C90" s="1277"/>
      <c r="D90" s="1277"/>
      <c r="E90" s="614">
        <v>19.5</v>
      </c>
      <c r="F90" s="1277"/>
      <c r="G90" s="1277"/>
      <c r="H90" s="1277"/>
      <c r="I90" s="1277"/>
      <c r="J90" s="1277"/>
      <c r="K90" s="1277"/>
      <c r="L90" s="1277"/>
      <c r="M90" s="1277"/>
      <c r="N90" s="1277"/>
      <c r="O90" s="1277"/>
      <c r="P90" s="1277"/>
      <c r="Q90" s="1277"/>
      <c r="R90" s="1277"/>
      <c r="S90" s="1277"/>
      <c r="T90" s="1277"/>
      <c r="U90" s="1277"/>
      <c r="V90" s="1277"/>
      <c r="W90" s="474">
        <f>ROW(Y90)&gt;ROW(Y$90)</f>
        <v>0</v>
      </c>
      <c r="X90" s="1277"/>
      <c r="Y90" s="73" t="s">
        <v>172</v>
      </c>
      <c r="Z90" s="1624"/>
      <c r="AA90" s="1442" t="s">
        <v>173</v>
      </c>
      <c r="AB90" s="1443" t="s">
        <v>196</v>
      </c>
      <c r="AC90" s="1451" t="s">
        <v>197</v>
      </c>
      <c r="AD90" s="1453"/>
      <c r="AE90" s="1662"/>
      <c r="AF90" s="353"/>
      <c r="AG90" s="1277"/>
      <c r="AH90" s="1277"/>
      <c r="AI90" s="1277"/>
      <c r="AJ90" s="1277"/>
      <c r="AK90" s="1277"/>
      <c r="AL90" s="1277"/>
      <c r="AM90" s="1277"/>
      <c r="AN90" s="1277"/>
      <c r="AO90" s="1277"/>
      <c r="AP90" s="1277"/>
      <c r="AQ90" s="1277"/>
      <c r="AR90" s="1277"/>
      <c r="AS90" s="1277"/>
      <c r="AT90" s="1277"/>
      <c r="AU90" s="1277"/>
      <c r="AV90" s="1277"/>
      <c r="AW90" s="1277"/>
      <c r="AX90" s="1277"/>
      <c r="AY90" s="1277"/>
      <c r="AZ90" s="1277"/>
      <c r="BA90" s="1277"/>
    </row>
    <row customHeight="1" ht="19.0125" hidden="1">
      <c r="A91" s="1277"/>
      <c r="B91" s="417">
        <f>HAS_DOC3="да"</f>
        <v>1</v>
      </c>
      <c r="C91" s="1277"/>
      <c r="D91" s="1277"/>
      <c r="E91" s="614">
        <v>19.5</v>
      </c>
      <c r="F91" s="1277"/>
      <c r="G91" s="1277"/>
      <c r="H91" s="1277"/>
      <c r="I91" s="1277"/>
      <c r="J91" s="1277"/>
      <c r="K91" s="1277"/>
      <c r="L91" s="1277"/>
      <c r="M91" s="1277"/>
      <c r="N91" s="1277"/>
      <c r="O91" s="1277"/>
      <c r="P91" s="1277"/>
      <c r="Q91" s="1277"/>
      <c r="R91" s="1277"/>
      <c r="S91" s="1277"/>
      <c r="T91" s="1277"/>
      <c r="U91" s="1277"/>
      <c r="V91" s="1277"/>
      <c r="W91" s="474" cm="1" t="str">
        <f t="array" ref="W91:W91">W90</f>
        <v>false</v>
      </c>
      <c r="X91" s="1277"/>
      <c r="Y91" s="1277"/>
      <c r="Z91" s="1624"/>
      <c r="AA91" s="1442"/>
      <c r="AB91" s="1444"/>
      <c r="AC91" s="1451" t="s">
        <v>199</v>
      </c>
      <c r="AD91" s="1453"/>
      <c r="AE91" s="1663"/>
      <c r="AF91" s="353"/>
      <c r="AG91" s="1277"/>
      <c r="AH91" s="1277"/>
      <c r="AI91" s="1277"/>
      <c r="AJ91" s="1277"/>
      <c r="AK91" s="1277"/>
      <c r="AL91" s="1277"/>
      <c r="AM91" s="1277"/>
      <c r="AN91" s="1277"/>
      <c r="AO91" s="1277"/>
      <c r="AP91" s="1277"/>
      <c r="AQ91" s="1277"/>
      <c r="AR91" s="1277"/>
      <c r="AS91" s="1277"/>
      <c r="AT91" s="1277"/>
      <c r="AU91" s="1277"/>
      <c r="AV91" s="1277"/>
      <c r="AW91" s="1277"/>
      <c r="AX91" s="1277"/>
      <c r="AY91" s="1277"/>
      <c r="AZ91" s="1277"/>
      <c r="BA91" s="1277"/>
    </row>
    <row customHeight="1" ht="19.0125" hidden="1">
      <c r="A92" s="1277"/>
      <c r="B92" s="417">
        <f>HAS_DOC3="да"</f>
        <v>1</v>
      </c>
      <c r="C92" s="1277"/>
      <c r="D92" s="1277"/>
      <c r="E92" s="614">
        <v>19.5</v>
      </c>
      <c r="F92" s="1277"/>
      <c r="G92" s="1277"/>
      <c r="H92" s="1277"/>
      <c r="I92" s="1277"/>
      <c r="J92" s="1277"/>
      <c r="K92" s="1277"/>
      <c r="L92" s="1277"/>
      <c r="M92" s="1277"/>
      <c r="N92" s="1277"/>
      <c r="O92" s="1277"/>
      <c r="P92" s="1277"/>
      <c r="Q92" s="1277"/>
      <c r="R92" s="1277"/>
      <c r="S92" s="1277"/>
      <c r="T92" s="1277"/>
      <c r="U92" s="1277"/>
      <c r="V92" s="1277"/>
      <c r="W92" s="474" cm="1" t="str">
        <f t="array" ref="W92:W92">W91</f>
        <v>false</v>
      </c>
      <c r="X92" s="1277"/>
      <c r="Y92" s="1277"/>
      <c r="Z92" s="1624"/>
      <c r="AA92" s="1442"/>
      <c r="AB92" s="1444"/>
      <c r="AC92" s="1451" t="s">
        <v>201</v>
      </c>
      <c r="AD92" s="1453"/>
      <c r="AE92" s="1662"/>
      <c r="AF92" s="353"/>
      <c r="AG92" s="1277"/>
      <c r="AH92" s="1277"/>
      <c r="AI92" s="1277"/>
      <c r="AJ92" s="1277"/>
      <c r="AK92" s="1277"/>
      <c r="AL92" s="1277"/>
      <c r="AM92" s="1277"/>
      <c r="AN92" s="1277"/>
      <c r="AO92" s="1277"/>
      <c r="AP92" s="1277"/>
      <c r="AQ92" s="1277"/>
      <c r="AR92" s="1277"/>
      <c r="AS92" s="1277"/>
      <c r="AT92" s="1277"/>
      <c r="AU92" s="1277"/>
      <c r="AV92" s="1277"/>
      <c r="AW92" s="1277"/>
      <c r="AX92" s="1277"/>
      <c r="AY92" s="1277"/>
      <c r="AZ92" s="1277"/>
      <c r="BA92" s="1277"/>
    </row>
    <row customHeight="1" ht="19.0125" hidden="1">
      <c r="A93" s="1277"/>
      <c r="B93" s="417">
        <f>HAS_DOC3="да"</f>
        <v>1</v>
      </c>
      <c r="C93" s="1277"/>
      <c r="D93" s="1277"/>
      <c r="E93" s="614">
        <v>19.5</v>
      </c>
      <c r="F93" s="1277"/>
      <c r="G93" s="1277"/>
      <c r="H93" s="1277"/>
      <c r="I93" s="1277"/>
      <c r="J93" s="1277"/>
      <c r="K93" s="1277"/>
      <c r="L93" s="1277"/>
      <c r="M93" s="1277"/>
      <c r="N93" s="1277"/>
      <c r="O93" s="1277"/>
      <c r="P93" s="1277"/>
      <c r="Q93" s="1277"/>
      <c r="R93" s="1277"/>
      <c r="S93" s="1277"/>
      <c r="T93" s="1277"/>
      <c r="U93" s="1277"/>
      <c r="V93" s="1277"/>
      <c r="W93" s="474" cm="1" t="str">
        <f t="array" ref="W93:W93">W92</f>
        <v>false</v>
      </c>
      <c r="X93" s="1277"/>
      <c r="Y93" s="1277"/>
      <c r="Z93" s="1624"/>
      <c r="AA93" s="1442"/>
      <c r="AB93" s="1444"/>
      <c r="AC93" s="1451" t="s">
        <v>203</v>
      </c>
      <c r="AD93" s="1453"/>
      <c r="AE93" s="1664"/>
      <c r="AF93" s="353"/>
      <c r="AG93" s="1277"/>
      <c r="AH93" s="1277"/>
      <c r="AI93" s="1277"/>
      <c r="AJ93" s="1277"/>
      <c r="AK93" s="1277"/>
      <c r="AL93" s="1277"/>
      <c r="AM93" s="1277"/>
      <c r="AN93" s="1277"/>
      <c r="AO93" s="1277"/>
      <c r="AP93" s="1277"/>
      <c r="AQ93" s="1277"/>
      <c r="AR93" s="1277"/>
      <c r="AS93" s="1277"/>
      <c r="AT93" s="1277"/>
      <c r="AU93" s="1277"/>
      <c r="AV93" s="1277"/>
      <c r="AW93" s="1277"/>
      <c r="AX93" s="1277"/>
      <c r="AY93" s="1277"/>
      <c r="AZ93" s="1277"/>
      <c r="BA93" s="1277"/>
    </row>
    <row customHeight="1" ht="19.0125" hidden="1">
      <c r="A94" s="1277"/>
      <c r="B94" s="417">
        <f>HAS_DOC3="да"</f>
        <v>1</v>
      </c>
      <c r="C94" s="1277"/>
      <c r="D94" s="1277"/>
      <c r="E94" s="614">
        <v>19.5</v>
      </c>
      <c r="F94" s="1277"/>
      <c r="G94" s="1277"/>
      <c r="H94" s="1277"/>
      <c r="I94" s="1277"/>
      <c r="J94" s="1277"/>
      <c r="K94" s="1277"/>
      <c r="L94" s="1277"/>
      <c r="M94" s="1277"/>
      <c r="N94" s="1277"/>
      <c r="O94" s="1277"/>
      <c r="P94" s="1277"/>
      <c r="Q94" s="1277"/>
      <c r="R94" s="1277"/>
      <c r="S94" s="1277"/>
      <c r="T94" s="1277"/>
      <c r="U94" s="1277"/>
      <c r="V94" s="1277"/>
      <c r="W94" s="474" cm="1" t="str">
        <f t="array" ref="W94:W94">W93</f>
        <v>false</v>
      </c>
      <c r="X94" s="1277"/>
      <c r="Y94" s="1277"/>
      <c r="Z94" s="1624"/>
      <c r="AA94" s="1442"/>
      <c r="AB94" s="1445"/>
      <c r="AC94" s="1451" t="s">
        <v>205</v>
      </c>
      <c r="AD94" s="1453"/>
      <c r="AE94" s="1665"/>
      <c r="AF94" s="353"/>
      <c r="AG94" s="1277"/>
      <c r="AH94" s="1277"/>
      <c r="AI94" s="1277"/>
      <c r="AJ94" s="1277"/>
      <c r="AK94" s="1277"/>
      <c r="AL94" s="1277"/>
      <c r="AM94" s="1277"/>
      <c r="AN94" s="1277"/>
      <c r="AO94" s="1277"/>
      <c r="AP94" s="1277"/>
      <c r="AQ94" s="1277"/>
      <c r="AR94" s="1277"/>
      <c r="AS94" s="1277"/>
      <c r="AT94" s="1277"/>
      <c r="AU94" s="1277"/>
      <c r="AV94" s="1277"/>
      <c r="AW94" s="1277"/>
      <c r="AX94" s="1277"/>
      <c r="AY94" s="1277"/>
      <c r="AZ94" s="1277"/>
      <c r="BA94" s="1277"/>
    </row>
    <row customHeight="1" ht="14.625">
      <c r="A95" s="1277"/>
      <c r="B95" s="417">
        <f>HAS_DOC3="да"</f>
        <v>1</v>
      </c>
      <c r="C95" s="1277"/>
      <c r="D95" s="1277"/>
      <c r="E95" s="614">
        <v>15</v>
      </c>
      <c r="F95" s="73" t="s">
        <v>206</v>
      </c>
      <c r="G95" s="1277"/>
      <c r="H95" s="1277"/>
      <c r="I95" s="1277"/>
      <c r="J95" s="1277"/>
      <c r="K95" s="1277"/>
      <c r="L95" s="1277"/>
      <c r="M95" s="1277"/>
      <c r="N95" s="1277"/>
      <c r="O95" s="1277"/>
      <c r="P95" s="1277"/>
      <c r="Q95" s="1277"/>
      <c r="R95" s="1277"/>
      <c r="S95" s="1277"/>
      <c r="T95" s="1277"/>
      <c r="U95" s="1277"/>
      <c r="V95" s="1277"/>
      <c r="W95" s="1277"/>
      <c r="X95" s="1277"/>
      <c r="Y95" s="74" t="s">
        <v>175</v>
      </c>
      <c r="Z95" s="1624"/>
      <c r="AA95" s="1277"/>
      <c r="AB95" s="231"/>
      <c r="AC95" s="230"/>
      <c r="AD95" s="230"/>
      <c r="AE95" s="334" t="s">
        <v>176</v>
      </c>
      <c r="AF95" s="353"/>
      <c r="AG95" s="1277"/>
      <c r="AH95" s="1277"/>
      <c r="AI95" s="1277"/>
      <c r="AJ95" s="1277"/>
      <c r="AK95" s="1277"/>
      <c r="AL95" s="1277"/>
      <c r="AM95" s="1277"/>
      <c r="AN95" s="1277"/>
      <c r="AO95" s="1277"/>
      <c r="AP95" s="1277"/>
      <c r="AQ95" s="1277"/>
      <c r="AR95" s="1277"/>
      <c r="AS95" s="1277"/>
      <c r="AT95" s="1277"/>
      <c r="AU95" s="1277"/>
      <c r="AV95" s="1277"/>
      <c r="AW95" s="1277"/>
      <c r="AX95" s="1277"/>
      <c r="AY95" s="1277"/>
      <c r="AZ95" s="1277"/>
      <c r="BA95" s="1277"/>
    </row>
    <row customHeight="1" ht="19.0125" hidden="1">
      <c r="A96" s="1277"/>
      <c r="B96" s="417">
        <f>NOT(method_reg="Метод сравнения аналогов")</f>
        <v>0</v>
      </c>
      <c r="C96" s="1277"/>
      <c r="D96" s="1277"/>
      <c r="E96" s="614">
        <v>19.5</v>
      </c>
      <c r="F96" s="73" t="s">
        <v>211</v>
      </c>
      <c r="G96" s="1277"/>
      <c r="H96" s="1277"/>
      <c r="I96" s="1277"/>
      <c r="J96" s="1277"/>
      <c r="K96" s="1277"/>
      <c r="L96" s="1277"/>
      <c r="M96" s="1277"/>
      <c r="N96" s="1277"/>
      <c r="O96" s="1277"/>
      <c r="P96" s="1277"/>
      <c r="Q96" s="1277"/>
      <c r="R96" s="1277"/>
      <c r="S96" s="1277"/>
      <c r="T96" s="1277"/>
      <c r="U96" s="1277"/>
      <c r="V96" s="1277"/>
      <c r="W96" s="1277"/>
      <c r="X96" s="1277"/>
      <c r="Y96" s="1277"/>
      <c r="Z96" s="1624"/>
      <c r="AA96" s="1277"/>
      <c r="AB96" s="1441" t="s">
        <v>212</v>
      </c>
      <c r="AC96" s="1441"/>
      <c r="AD96" s="1441"/>
      <c r="AE96" s="1635"/>
      <c r="AF96" s="353"/>
      <c r="AG96" s="73" t="s">
        <v>213</v>
      </c>
      <c r="AH96" s="1277"/>
      <c r="AI96" s="1277"/>
      <c r="AJ96" s="1277"/>
      <c r="AK96" s="1277"/>
      <c r="AL96" s="1277"/>
      <c r="AM96" s="1277"/>
      <c r="AN96" s="1277"/>
      <c r="AO96" s="1277"/>
      <c r="AP96" s="1277"/>
      <c r="AQ96" s="1277"/>
      <c r="AR96" s="1277"/>
      <c r="AS96" s="1277"/>
      <c r="AT96" s="1277"/>
      <c r="AU96" s="1277"/>
      <c r="AV96" s="1277"/>
      <c r="AW96" s="1277"/>
      <c r="AX96" s="1277"/>
      <c r="AY96" s="1277"/>
      <c r="AZ96" s="1277"/>
      <c r="BA96" s="1277"/>
    </row>
    <row customHeight="1" ht="19.0125" hidden="1">
      <c r="A97" s="1277"/>
      <c r="B97" s="417">
        <f>AND(NOT(method_reg="Метод сравнения аналогов"),HAS_DOC4="да")</f>
        <v>0</v>
      </c>
      <c r="C97" s="1277"/>
      <c r="D97" s="1277"/>
      <c r="E97" s="614">
        <v>19.5</v>
      </c>
      <c r="F97" s="1277"/>
      <c r="G97" s="1277"/>
      <c r="H97" s="1277"/>
      <c r="I97" s="1277"/>
      <c r="J97" s="1277"/>
      <c r="K97" s="1277"/>
      <c r="L97" s="1277"/>
      <c r="M97" s="1277"/>
      <c r="N97" s="1277"/>
      <c r="O97" s="1277"/>
      <c r="P97" s="1277"/>
      <c r="Q97" s="1277"/>
      <c r="R97" s="1277"/>
      <c r="S97" s="1277"/>
      <c r="T97" s="1277"/>
      <c r="U97" s="1277"/>
      <c r="V97" s="1277"/>
      <c r="W97" s="1277"/>
      <c r="X97" s="1277"/>
      <c r="Y97" s="1277"/>
      <c r="Z97" s="1624"/>
      <c r="AA97" s="1277"/>
      <c r="AB97" s="1446" t="s">
        <v>196</v>
      </c>
      <c r="AC97" s="1441" t="s">
        <v>197</v>
      </c>
      <c r="AD97" s="1441"/>
      <c r="AE97" s="1662"/>
      <c r="AF97" s="353"/>
      <c r="AG97" s="1277"/>
      <c r="AH97" s="1277"/>
      <c r="AI97" s="1277"/>
      <c r="AJ97" s="1277"/>
      <c r="AK97" s="1277"/>
      <c r="AL97" s="1277"/>
      <c r="AM97" s="1277"/>
      <c r="AN97" s="1277"/>
      <c r="AO97" s="1277"/>
      <c r="AP97" s="1277"/>
      <c r="AQ97" s="1277"/>
      <c r="AR97" s="1277"/>
      <c r="AS97" s="1277"/>
      <c r="AT97" s="1277"/>
      <c r="AU97" s="1277"/>
      <c r="AV97" s="1277"/>
      <c r="AW97" s="1277"/>
      <c r="AX97" s="1277"/>
      <c r="AY97" s="1277"/>
      <c r="AZ97" s="1277"/>
      <c r="BA97" s="1277"/>
    </row>
    <row customHeight="1" ht="19.0125" hidden="1">
      <c r="A98" s="1277"/>
      <c r="B98" s="417">
        <f>AND(NOT(method_reg="Метод сравнения аналогов"),HAS_DOC4="да")</f>
        <v>0</v>
      </c>
      <c r="C98" s="1277"/>
      <c r="D98" s="1277"/>
      <c r="E98" s="614">
        <v>19.5</v>
      </c>
      <c r="F98" s="1277"/>
      <c r="G98" s="1277"/>
      <c r="H98" s="1277"/>
      <c r="I98" s="1277"/>
      <c r="J98" s="1277"/>
      <c r="K98" s="1277"/>
      <c r="L98" s="1277"/>
      <c r="M98" s="1277"/>
      <c r="N98" s="1277"/>
      <c r="O98" s="1277"/>
      <c r="P98" s="1277"/>
      <c r="Q98" s="1277"/>
      <c r="R98" s="1277"/>
      <c r="S98" s="1277"/>
      <c r="T98" s="1277"/>
      <c r="U98" s="1277"/>
      <c r="V98" s="1277"/>
      <c r="W98" s="1277"/>
      <c r="X98" s="1277"/>
      <c r="Y98" s="1277"/>
      <c r="Z98" s="1624"/>
      <c r="AA98" s="1277"/>
      <c r="AB98" s="1446"/>
      <c r="AC98" s="1441" t="s">
        <v>199</v>
      </c>
      <c r="AD98" s="1441"/>
      <c r="AE98" s="1663"/>
      <c r="AF98" s="353"/>
      <c r="AG98" s="1277"/>
      <c r="AH98" s="1277"/>
      <c r="AI98" s="1277"/>
      <c r="AJ98" s="1277"/>
      <c r="AK98" s="1277"/>
      <c r="AL98" s="1277"/>
      <c r="AM98" s="1277"/>
      <c r="AN98" s="1277"/>
      <c r="AO98" s="1277"/>
      <c r="AP98" s="1277"/>
      <c r="AQ98" s="1277"/>
      <c r="AR98" s="1277"/>
      <c r="AS98" s="1277"/>
      <c r="AT98" s="1277"/>
      <c r="AU98" s="1277"/>
      <c r="AV98" s="1277"/>
      <c r="AW98" s="1277"/>
      <c r="AX98" s="1277"/>
      <c r="AY98" s="1277"/>
      <c r="AZ98" s="1277"/>
      <c r="BA98" s="1277"/>
    </row>
    <row customHeight="1" ht="19.0125" hidden="1">
      <c r="A99" s="1277"/>
      <c r="B99" s="417">
        <f>AND(NOT(method_reg="Метод сравнения аналогов"),HAS_DOC4="да")</f>
        <v>0</v>
      </c>
      <c r="C99" s="1277"/>
      <c r="D99" s="1277"/>
      <c r="E99" s="614">
        <v>19.5</v>
      </c>
      <c r="F99" s="1277"/>
      <c r="G99" s="1277"/>
      <c r="H99" s="1277"/>
      <c r="I99" s="1277"/>
      <c r="J99" s="1277"/>
      <c r="K99" s="1277"/>
      <c r="L99" s="1277"/>
      <c r="M99" s="1277"/>
      <c r="N99" s="1277"/>
      <c r="O99" s="1277"/>
      <c r="P99" s="1277"/>
      <c r="Q99" s="1277"/>
      <c r="R99" s="1277"/>
      <c r="S99" s="1277"/>
      <c r="T99" s="1277"/>
      <c r="U99" s="1277"/>
      <c r="V99" s="1277"/>
      <c r="W99" s="1277"/>
      <c r="X99" s="1277"/>
      <c r="Y99" s="1277"/>
      <c r="Z99" s="1624"/>
      <c r="AA99" s="1277"/>
      <c r="AB99" s="1446"/>
      <c r="AC99" s="1441" t="s">
        <v>201</v>
      </c>
      <c r="AD99" s="1441"/>
      <c r="AE99" s="1662"/>
      <c r="AF99" s="353"/>
      <c r="AG99" s="1277"/>
      <c r="AH99" s="1277"/>
      <c r="AI99" s="1277"/>
      <c r="AJ99" s="1277"/>
      <c r="AK99" s="1277"/>
      <c r="AL99" s="1277"/>
      <c r="AM99" s="1277"/>
      <c r="AN99" s="1277"/>
      <c r="AO99" s="1277"/>
      <c r="AP99" s="1277"/>
      <c r="AQ99" s="1277"/>
      <c r="AR99" s="1277"/>
      <c r="AS99" s="1277"/>
      <c r="AT99" s="1277"/>
      <c r="AU99" s="1277"/>
      <c r="AV99" s="1277"/>
      <c r="AW99" s="1277"/>
      <c r="AX99" s="1277"/>
      <c r="AY99" s="1277"/>
      <c r="AZ99" s="1277"/>
      <c r="BA99" s="1277"/>
    </row>
    <row customHeight="1" ht="19.0125" hidden="1">
      <c r="A100" s="1277"/>
      <c r="B100" s="417">
        <f>AND(NOT(method_reg="Метод сравнения аналогов"),HAS_DOC4="да")</f>
        <v>0</v>
      </c>
      <c r="C100" s="1277"/>
      <c r="D100" s="1277"/>
      <c r="E100" s="614">
        <v>19.5</v>
      </c>
      <c r="F100" s="1277"/>
      <c r="G100" s="1277"/>
      <c r="H100" s="1277"/>
      <c r="I100" s="1277"/>
      <c r="J100" s="1277"/>
      <c r="K100" s="1277"/>
      <c r="L100" s="1277"/>
      <c r="M100" s="1277"/>
      <c r="N100" s="1277"/>
      <c r="O100" s="1277"/>
      <c r="P100" s="1277"/>
      <c r="Q100" s="1277"/>
      <c r="R100" s="1277"/>
      <c r="S100" s="1277"/>
      <c r="T100" s="1277"/>
      <c r="U100" s="1277"/>
      <c r="V100" s="1277"/>
      <c r="W100" s="1277"/>
      <c r="X100" s="1277"/>
      <c r="Y100" s="1277"/>
      <c r="Z100" s="1624"/>
      <c r="AA100" s="1277"/>
      <c r="AB100" s="1446"/>
      <c r="AC100" s="1441" t="s">
        <v>203</v>
      </c>
      <c r="AD100" s="1441"/>
      <c r="AE100" s="1664"/>
      <c r="AF100" s="353"/>
      <c r="AG100" s="1277"/>
      <c r="AH100" s="1277"/>
      <c r="AI100" s="1277"/>
      <c r="AJ100" s="1277"/>
      <c r="AK100" s="1277"/>
      <c r="AL100" s="1277"/>
      <c r="AM100" s="1277"/>
      <c r="AN100" s="1277"/>
      <c r="AO100" s="1277"/>
      <c r="AP100" s="1277"/>
      <c r="AQ100" s="1277"/>
      <c r="AR100" s="1277"/>
      <c r="AS100" s="1277"/>
      <c r="AT100" s="1277"/>
      <c r="AU100" s="1277"/>
      <c r="AV100" s="1277"/>
      <c r="AW100" s="1277"/>
      <c r="AX100" s="1277"/>
      <c r="AY100" s="1277"/>
      <c r="AZ100" s="1277"/>
      <c r="BA100" s="1277"/>
    </row>
    <row customHeight="1" ht="19.0125" hidden="1">
      <c r="A101" s="1277"/>
      <c r="B101" s="417">
        <f>AND(NOT(method_reg="Метод сравнения аналогов"),HAS_DOC4="да")</f>
        <v>0</v>
      </c>
      <c r="C101" s="1277"/>
      <c r="D101" s="1277"/>
      <c r="E101" s="614">
        <v>19.5</v>
      </c>
      <c r="F101" s="1277"/>
      <c r="G101" s="1277"/>
      <c r="H101" s="1277"/>
      <c r="I101" s="1277"/>
      <c r="J101" s="1277"/>
      <c r="K101" s="1277"/>
      <c r="L101" s="1277"/>
      <c r="M101" s="1277"/>
      <c r="N101" s="1277"/>
      <c r="O101" s="1277"/>
      <c r="P101" s="1277"/>
      <c r="Q101" s="1277"/>
      <c r="R101" s="1277"/>
      <c r="S101" s="1277"/>
      <c r="T101" s="1277"/>
      <c r="U101" s="1277"/>
      <c r="V101" s="1277"/>
      <c r="W101" s="1277"/>
      <c r="X101" s="1277"/>
      <c r="Y101" s="1277"/>
      <c r="Z101" s="1624"/>
      <c r="AA101" s="1277"/>
      <c r="AB101" s="1446"/>
      <c r="AC101" s="1441" t="s">
        <v>205</v>
      </c>
      <c r="AD101" s="1441"/>
      <c r="AE101" s="1665"/>
      <c r="AF101" s="353"/>
      <c r="AG101" s="1277"/>
      <c r="AH101" s="1277"/>
      <c r="AI101" s="1277"/>
      <c r="AJ101" s="1277"/>
      <c r="AK101" s="1277"/>
      <c r="AL101" s="1277"/>
      <c r="AM101" s="1277"/>
      <c r="AN101" s="1277"/>
      <c r="AO101" s="1277"/>
      <c r="AP101" s="1277"/>
      <c r="AQ101" s="1277"/>
      <c r="AR101" s="1277"/>
      <c r="AS101" s="1277"/>
      <c r="AT101" s="1277"/>
      <c r="AU101" s="1277"/>
      <c r="AV101" s="1277"/>
      <c r="AW101" s="1277"/>
      <c r="AX101" s="1277"/>
      <c r="AY101" s="1277"/>
      <c r="AZ101" s="1277"/>
      <c r="BA101" s="1277"/>
    </row>
    <row customHeight="1" ht="19.0125" hidden="1">
      <c r="A102" s="1277"/>
      <c r="B102" s="417">
        <f>AND(NOT(method_reg="Метод сравнения аналогов"),HAS_DOC4="да")</f>
        <v>0</v>
      </c>
      <c r="C102" s="1277"/>
      <c r="D102" s="1277"/>
      <c r="E102" s="614">
        <v>19.5</v>
      </c>
      <c r="F102" s="1277"/>
      <c r="G102" s="1277"/>
      <c r="H102" s="1277"/>
      <c r="I102" s="1277"/>
      <c r="J102" s="1277"/>
      <c r="K102" s="1277"/>
      <c r="L102" s="1277"/>
      <c r="M102" s="1277"/>
      <c r="N102" s="1277"/>
      <c r="O102" s="1277"/>
      <c r="P102" s="1277"/>
      <c r="Q102" s="1277"/>
      <c r="R102" s="1277"/>
      <c r="S102" s="1277"/>
      <c r="T102" s="1277"/>
      <c r="U102" s="1277"/>
      <c r="V102" s="1277"/>
      <c r="W102" s="474">
        <f>ROW(Y102)&gt;ROW(Y$102)</f>
        <v>0</v>
      </c>
      <c r="X102" s="1277"/>
      <c r="Y102" s="73" t="s">
        <v>172</v>
      </c>
      <c r="Z102" s="1624"/>
      <c r="AA102" s="1442" t="s">
        <v>173</v>
      </c>
      <c r="AB102" s="1443" t="s">
        <v>196</v>
      </c>
      <c r="AC102" s="1451" t="s">
        <v>197</v>
      </c>
      <c r="AD102" s="1453"/>
      <c r="AE102" s="1662"/>
      <c r="AF102" s="353"/>
      <c r="AG102" s="1277"/>
      <c r="AH102" s="1277"/>
      <c r="AI102" s="1277"/>
      <c r="AJ102" s="1277"/>
      <c r="AK102" s="1277"/>
      <c r="AL102" s="1277"/>
      <c r="AM102" s="1277"/>
      <c r="AN102" s="1277"/>
      <c r="AO102" s="1277"/>
      <c r="AP102" s="1277"/>
      <c r="AQ102" s="1277"/>
      <c r="AR102" s="1277"/>
      <c r="AS102" s="1277"/>
      <c r="AT102" s="1277"/>
      <c r="AU102" s="1277"/>
      <c r="AV102" s="1277"/>
      <c r="AW102" s="1277"/>
      <c r="AX102" s="1277"/>
      <c r="AY102" s="1277"/>
      <c r="AZ102" s="1277"/>
      <c r="BA102" s="1277"/>
    </row>
    <row customHeight="1" ht="19.0125" hidden="1">
      <c r="A103" s="1277"/>
      <c r="B103" s="417">
        <f>AND(NOT(method_reg="Метод сравнения аналогов"),HAS_DOC4="да")</f>
        <v>0</v>
      </c>
      <c r="C103" s="1277"/>
      <c r="D103" s="1277"/>
      <c r="E103" s="614">
        <v>19.5</v>
      </c>
      <c r="F103" s="1277"/>
      <c r="G103" s="1277"/>
      <c r="H103" s="1277"/>
      <c r="I103" s="1277"/>
      <c r="J103" s="1277"/>
      <c r="K103" s="1277"/>
      <c r="L103" s="1277"/>
      <c r="M103" s="1277"/>
      <c r="N103" s="1277"/>
      <c r="O103" s="1277"/>
      <c r="P103" s="1277"/>
      <c r="Q103" s="1277"/>
      <c r="R103" s="1277"/>
      <c r="S103" s="1277"/>
      <c r="T103" s="1277"/>
      <c r="U103" s="1277"/>
      <c r="V103" s="1277"/>
      <c r="W103" s="474" cm="1" t="str">
        <f t="array" ref="W103:W103">W102</f>
        <v>false</v>
      </c>
      <c r="X103" s="1277"/>
      <c r="Y103" s="1277"/>
      <c r="Z103" s="1624"/>
      <c r="AA103" s="1442"/>
      <c r="AB103" s="1444"/>
      <c r="AC103" s="1451" t="s">
        <v>199</v>
      </c>
      <c r="AD103" s="1453"/>
      <c r="AE103" s="1663"/>
      <c r="AF103" s="353"/>
      <c r="AG103" s="1277"/>
      <c r="AH103" s="1277"/>
      <c r="AI103" s="1277"/>
      <c r="AJ103" s="1277"/>
      <c r="AK103" s="1277"/>
      <c r="AL103" s="1277"/>
      <c r="AM103" s="1277"/>
      <c r="AN103" s="1277"/>
      <c r="AO103" s="1277"/>
      <c r="AP103" s="1277"/>
      <c r="AQ103" s="1277"/>
      <c r="AR103" s="1277"/>
      <c r="AS103" s="1277"/>
      <c r="AT103" s="1277"/>
      <c r="AU103" s="1277"/>
      <c r="AV103" s="1277"/>
      <c r="AW103" s="1277"/>
      <c r="AX103" s="1277"/>
      <c r="AY103" s="1277"/>
      <c r="AZ103" s="1277"/>
      <c r="BA103" s="1277"/>
    </row>
    <row customHeight="1" ht="19.0125" hidden="1">
      <c r="A104" s="1277"/>
      <c r="B104" s="417">
        <f>AND(NOT(method_reg="Метод сравнения аналогов"),HAS_DOC4="да")</f>
        <v>0</v>
      </c>
      <c r="C104" s="1277"/>
      <c r="D104" s="1277"/>
      <c r="E104" s="614">
        <v>19.5</v>
      </c>
      <c r="F104" s="1277"/>
      <c r="G104" s="1277"/>
      <c r="H104" s="1277"/>
      <c r="I104" s="1277"/>
      <c r="J104" s="1277"/>
      <c r="K104" s="1277"/>
      <c r="L104" s="1277"/>
      <c r="M104" s="1277"/>
      <c r="N104" s="1277"/>
      <c r="O104" s="1277"/>
      <c r="P104" s="1277"/>
      <c r="Q104" s="1277"/>
      <c r="R104" s="1277"/>
      <c r="S104" s="1277"/>
      <c r="T104" s="1277"/>
      <c r="U104" s="1277"/>
      <c r="V104" s="1277"/>
      <c r="W104" s="474" cm="1" t="str">
        <f t="array" ref="W104:W104">W103</f>
        <v>false</v>
      </c>
      <c r="X104" s="1277"/>
      <c r="Y104" s="1277"/>
      <c r="Z104" s="1624"/>
      <c r="AA104" s="1442"/>
      <c r="AB104" s="1444"/>
      <c r="AC104" s="1451" t="s">
        <v>201</v>
      </c>
      <c r="AD104" s="1453"/>
      <c r="AE104" s="1662"/>
      <c r="AF104" s="353"/>
      <c r="AG104" s="1277"/>
      <c r="AH104" s="1277"/>
      <c r="AI104" s="1277"/>
      <c r="AJ104" s="1277"/>
      <c r="AK104" s="1277"/>
      <c r="AL104" s="1277"/>
      <c r="AM104" s="1277"/>
      <c r="AN104" s="1277"/>
      <c r="AO104" s="1277"/>
      <c r="AP104" s="1277"/>
      <c r="AQ104" s="1277"/>
      <c r="AR104" s="1277"/>
      <c r="AS104" s="1277"/>
      <c r="AT104" s="1277"/>
      <c r="AU104" s="1277"/>
      <c r="AV104" s="1277"/>
      <c r="AW104" s="1277"/>
      <c r="AX104" s="1277"/>
      <c r="AY104" s="1277"/>
      <c r="AZ104" s="1277"/>
      <c r="BA104" s="1277"/>
    </row>
    <row customHeight="1" ht="19.0125" hidden="1">
      <c r="A105" s="1277"/>
      <c r="B105" s="417">
        <f>AND(NOT(method_reg="Метод сравнения аналогов"),HAS_DOC4="да")</f>
        <v>0</v>
      </c>
      <c r="C105" s="1277"/>
      <c r="D105" s="1277"/>
      <c r="E105" s="614">
        <v>19.5</v>
      </c>
      <c r="F105" s="1277"/>
      <c r="G105" s="1277"/>
      <c r="H105" s="1277"/>
      <c r="I105" s="1277"/>
      <c r="J105" s="1277"/>
      <c r="K105" s="1277"/>
      <c r="L105" s="1277"/>
      <c r="M105" s="1277"/>
      <c r="N105" s="1277"/>
      <c r="O105" s="1277"/>
      <c r="P105" s="1277"/>
      <c r="Q105" s="1277"/>
      <c r="R105" s="1277"/>
      <c r="S105" s="1277"/>
      <c r="T105" s="1277"/>
      <c r="U105" s="1277"/>
      <c r="V105" s="1277"/>
      <c r="W105" s="474" cm="1" t="str">
        <f t="array" ref="W105:W105">W104</f>
        <v>false</v>
      </c>
      <c r="X105" s="1277"/>
      <c r="Y105" s="1277"/>
      <c r="Z105" s="1624"/>
      <c r="AA105" s="1442"/>
      <c r="AB105" s="1444"/>
      <c r="AC105" s="1451" t="s">
        <v>203</v>
      </c>
      <c r="AD105" s="1453"/>
      <c r="AE105" s="1664"/>
      <c r="AF105" s="353"/>
      <c r="AG105" s="1277"/>
      <c r="AH105" s="1277"/>
      <c r="AI105" s="1277"/>
      <c r="AJ105" s="1277"/>
      <c r="AK105" s="1277"/>
      <c r="AL105" s="1277"/>
      <c r="AM105" s="1277"/>
      <c r="AN105" s="1277"/>
      <c r="AO105" s="1277"/>
      <c r="AP105" s="1277"/>
      <c r="AQ105" s="1277"/>
      <c r="AR105" s="1277"/>
      <c r="AS105" s="1277"/>
      <c r="AT105" s="1277"/>
      <c r="AU105" s="1277"/>
      <c r="AV105" s="1277"/>
      <c r="AW105" s="1277"/>
      <c r="AX105" s="1277"/>
      <c r="AY105" s="1277"/>
      <c r="AZ105" s="1277"/>
      <c r="BA105" s="1277"/>
    </row>
    <row customHeight="1" ht="19.0125" hidden="1">
      <c r="A106" s="1277"/>
      <c r="B106" s="417">
        <f>AND(NOT(method_reg="Метод сравнения аналогов"),HAS_DOC4="да")</f>
        <v>0</v>
      </c>
      <c r="C106" s="1277"/>
      <c r="D106" s="1277"/>
      <c r="E106" s="614">
        <v>19.5</v>
      </c>
      <c r="F106" s="1277"/>
      <c r="G106" s="1277"/>
      <c r="H106" s="1277"/>
      <c r="I106" s="1277"/>
      <c r="J106" s="1277"/>
      <c r="K106" s="1277"/>
      <c r="L106" s="1277"/>
      <c r="M106" s="1277"/>
      <c r="N106" s="1277"/>
      <c r="O106" s="1277"/>
      <c r="P106" s="1277"/>
      <c r="Q106" s="1277"/>
      <c r="R106" s="1277"/>
      <c r="S106" s="1277"/>
      <c r="T106" s="1277"/>
      <c r="U106" s="1277"/>
      <c r="V106" s="1277"/>
      <c r="W106" s="474" cm="1" t="str">
        <f t="array" ref="W106:W106">W105</f>
        <v>false</v>
      </c>
      <c r="X106" s="1277"/>
      <c r="Y106" s="1277"/>
      <c r="Z106" s="1624"/>
      <c r="AA106" s="1442"/>
      <c r="AB106" s="1445"/>
      <c r="AC106" s="1451" t="s">
        <v>205</v>
      </c>
      <c r="AD106" s="1453"/>
      <c r="AE106" s="1665"/>
      <c r="AF106" s="353"/>
      <c r="AG106" s="1277"/>
      <c r="AH106" s="1277"/>
      <c r="AI106" s="1277"/>
      <c r="AJ106" s="1277"/>
      <c r="AK106" s="1277"/>
      <c r="AL106" s="1277"/>
      <c r="AM106" s="1277"/>
      <c r="AN106" s="1277"/>
      <c r="AO106" s="1277"/>
      <c r="AP106" s="1277"/>
      <c r="AQ106" s="1277"/>
      <c r="AR106" s="1277"/>
      <c r="AS106" s="1277"/>
      <c r="AT106" s="1277"/>
      <c r="AU106" s="1277"/>
      <c r="AV106" s="1277"/>
      <c r="AW106" s="1277"/>
      <c r="AX106" s="1277"/>
      <c r="AY106" s="1277"/>
      <c r="AZ106" s="1277"/>
      <c r="BA106" s="1277"/>
    </row>
    <row customHeight="1" ht="14.625" hidden="1">
      <c r="A107" s="1277"/>
      <c r="B107" s="417">
        <f>AND(NOT(method_reg="Метод сравнения аналогов"),HAS_DOC4="да")</f>
        <v>0</v>
      </c>
      <c r="C107" s="1277"/>
      <c r="D107" s="1277"/>
      <c r="E107" s="614">
        <v>15</v>
      </c>
      <c r="F107" s="73" t="s">
        <v>211</v>
      </c>
      <c r="G107" s="1277"/>
      <c r="H107" s="1277"/>
      <c r="I107" s="1277"/>
      <c r="J107" s="1277"/>
      <c r="K107" s="1277"/>
      <c r="L107" s="1277"/>
      <c r="M107" s="1277"/>
      <c r="N107" s="1277"/>
      <c r="O107" s="1277"/>
      <c r="P107" s="1277"/>
      <c r="Q107" s="1277"/>
      <c r="R107" s="1277"/>
      <c r="S107" s="1277"/>
      <c r="T107" s="1277"/>
      <c r="U107" s="1277"/>
      <c r="V107" s="1277"/>
      <c r="W107" s="1277"/>
      <c r="X107" s="1277"/>
      <c r="Y107" s="74" t="s">
        <v>175</v>
      </c>
      <c r="Z107" s="1624"/>
      <c r="AA107" s="1277"/>
      <c r="AB107" s="231"/>
      <c r="AC107" s="230"/>
      <c r="AD107" s="230"/>
      <c r="AE107" s="334" t="s">
        <v>176</v>
      </c>
      <c r="AF107" s="353"/>
      <c r="AG107" s="1277"/>
      <c r="AH107" s="1277"/>
      <c r="AI107" s="1277"/>
      <c r="AJ107" s="1277"/>
      <c r="AK107" s="1277"/>
      <c r="AL107" s="1277"/>
      <c r="AM107" s="1277"/>
      <c r="AN107" s="1277"/>
      <c r="AO107" s="1277"/>
      <c r="AP107" s="1277"/>
      <c r="AQ107" s="1277"/>
      <c r="AR107" s="1277"/>
      <c r="AS107" s="1277"/>
      <c r="AT107" s="1277"/>
      <c r="AU107" s="1277"/>
      <c r="AV107" s="1277"/>
      <c r="AW107" s="1277"/>
      <c r="AX107" s="1277"/>
      <c r="AY107" s="1277"/>
      <c r="AZ107" s="1277"/>
      <c r="BA107" s="1277"/>
    </row>
    <row customHeight="1" ht="24.862499999999997" hidden="1">
      <c r="A108" s="1277"/>
      <c r="B108" s="417">
        <f>NOT(method_reg="Метод сравнения аналогов")</f>
        <v>0</v>
      </c>
      <c r="C108" s="1277"/>
      <c r="D108" s="1277"/>
      <c r="E108" s="614">
        <v>25.5</v>
      </c>
      <c r="F108" s="73" t="s">
        <v>214</v>
      </c>
      <c r="G108" s="1277"/>
      <c r="H108" s="1277"/>
      <c r="I108" s="1277"/>
      <c r="J108" s="1277"/>
      <c r="K108" s="1277"/>
      <c r="L108" s="1277"/>
      <c r="M108" s="1277"/>
      <c r="N108" s="1277"/>
      <c r="O108" s="1277"/>
      <c r="P108" s="1277"/>
      <c r="Q108" s="1277"/>
      <c r="R108" s="1277"/>
      <c r="S108" s="1277"/>
      <c r="T108" s="1277"/>
      <c r="U108" s="1277"/>
      <c r="V108" s="1277"/>
      <c r="W108" s="1277"/>
      <c r="X108" s="1277"/>
      <c r="Y108" s="1277"/>
      <c r="Z108" s="1624"/>
      <c r="AA108" s="1277"/>
      <c r="AB108" s="1441" t="str">
        <f>"Наличие утверждённых ОИВ инвестиционных программ, действующих в течение "&amp;god-2&amp;"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2024 года, для организации, оказывающей услуги холодного водоснабжения/водоотведения</v>
      </c>
      <c r="AC108" s="1441"/>
      <c r="AD108" s="1441"/>
      <c r="AE108" s="1635"/>
      <c r="AF108" s="452"/>
      <c r="AG108" s="73" t="s">
        <v>215</v>
      </c>
      <c r="AH108" s="1277"/>
      <c r="AI108" s="1277"/>
      <c r="AJ108" s="1277"/>
      <c r="AK108" s="1277"/>
      <c r="AL108" s="1277"/>
      <c r="AM108" s="1277"/>
      <c r="AN108" s="1277"/>
      <c r="AO108" s="1277"/>
      <c r="AP108" s="1277"/>
      <c r="AQ108" s="1277"/>
      <c r="AR108" s="1277"/>
      <c r="AS108" s="1277"/>
      <c r="AT108" s="1277"/>
      <c r="AU108" s="1277"/>
      <c r="AV108" s="1277"/>
      <c r="AW108" s="1277"/>
      <c r="AX108" s="1277"/>
      <c r="AY108" s="1277"/>
      <c r="AZ108" s="1277"/>
      <c r="BA108" s="1277"/>
    </row>
    <row customHeight="1" ht="19.0125" hidden="1">
      <c r="A109" s="1277"/>
      <c r="B109" s="417">
        <f>AND(NOT(method_reg="Метод сравнения аналогов"),HAS_DOC5="да")</f>
        <v>0</v>
      </c>
      <c r="C109" s="1277"/>
      <c r="D109" s="1277"/>
      <c r="E109" s="614">
        <v>19.5</v>
      </c>
      <c r="F109" s="1277"/>
      <c r="G109" s="1277"/>
      <c r="H109" s="1277"/>
      <c r="I109" s="1277"/>
      <c r="J109" s="1277"/>
      <c r="K109" s="1277"/>
      <c r="L109" s="1277"/>
      <c r="M109" s="1277"/>
      <c r="N109" s="1277"/>
      <c r="O109" s="1277"/>
      <c r="P109" s="1277"/>
      <c r="Q109" s="1277"/>
      <c r="R109" s="1277"/>
      <c r="S109" s="1277"/>
      <c r="T109" s="1277"/>
      <c r="U109" s="1277"/>
      <c r="V109" s="1277"/>
      <c r="W109" s="1277"/>
      <c r="X109" s="1277"/>
      <c r="Y109" s="1277"/>
      <c r="Z109" s="1624"/>
      <c r="AA109" s="1277"/>
      <c r="AB109" s="1443" t="s">
        <v>196</v>
      </c>
      <c r="AC109" s="1441" t="s">
        <v>197</v>
      </c>
      <c r="AD109" s="1441"/>
      <c r="AE109" s="389"/>
      <c r="AF109" s="353"/>
      <c r="AG109" s="1277"/>
      <c r="AH109" s="1277"/>
      <c r="AI109" s="1277"/>
      <c r="AJ109" s="1277"/>
      <c r="AK109" s="1277"/>
      <c r="AL109" s="1277"/>
      <c r="AM109" s="1277"/>
      <c r="AN109" s="1277"/>
      <c r="AO109" s="1277"/>
      <c r="AP109" s="1277"/>
      <c r="AQ109" s="1277"/>
      <c r="AR109" s="1277"/>
      <c r="AS109" s="1277"/>
      <c r="AT109" s="1277"/>
      <c r="AU109" s="1277"/>
      <c r="AV109" s="1277"/>
      <c r="AW109" s="1277"/>
      <c r="AX109" s="1277"/>
      <c r="AY109" s="1277"/>
      <c r="AZ109" s="1277"/>
      <c r="BA109" s="1277"/>
    </row>
    <row customHeight="1" ht="19.0125" hidden="1">
      <c r="A110" s="1277"/>
      <c r="B110" s="417">
        <f>AND(NOT(method_reg="Метод сравнения аналогов"),HAS_DOC5="да")</f>
        <v>0</v>
      </c>
      <c r="C110" s="1277"/>
      <c r="D110" s="1277"/>
      <c r="E110" s="614">
        <v>19.5</v>
      </c>
      <c r="F110" s="1277"/>
      <c r="G110" s="1277"/>
      <c r="H110" s="1277"/>
      <c r="I110" s="1277"/>
      <c r="J110" s="1277"/>
      <c r="K110" s="1277"/>
      <c r="L110" s="1277"/>
      <c r="M110" s="1277"/>
      <c r="N110" s="1277"/>
      <c r="O110" s="1277"/>
      <c r="P110" s="1277"/>
      <c r="Q110" s="1277"/>
      <c r="R110" s="1277"/>
      <c r="S110" s="1277"/>
      <c r="T110" s="1277"/>
      <c r="U110" s="1277"/>
      <c r="V110" s="1277"/>
      <c r="W110" s="1277"/>
      <c r="X110" s="1277"/>
      <c r="Y110" s="1277"/>
      <c r="Z110" s="1624"/>
      <c r="AA110" s="1277"/>
      <c r="AB110" s="1444"/>
      <c r="AC110" s="1441" t="s">
        <v>199</v>
      </c>
      <c r="AD110" s="1441"/>
      <c r="AE110" s="390"/>
      <c r="AF110" s="353"/>
      <c r="AG110" s="1277"/>
      <c r="AH110" s="1277"/>
      <c r="AI110" s="1277"/>
      <c r="AJ110" s="1277"/>
      <c r="AK110" s="1277"/>
      <c r="AL110" s="1277"/>
      <c r="AM110" s="1277"/>
      <c r="AN110" s="1277"/>
      <c r="AO110" s="1277"/>
      <c r="AP110" s="1277"/>
      <c r="AQ110" s="1277"/>
      <c r="AR110" s="1277"/>
      <c r="AS110" s="1277"/>
      <c r="AT110" s="1277"/>
      <c r="AU110" s="1277"/>
      <c r="AV110" s="1277"/>
      <c r="AW110" s="1277"/>
      <c r="AX110" s="1277"/>
      <c r="AY110" s="1277"/>
      <c r="AZ110" s="1277"/>
      <c r="BA110" s="1277"/>
    </row>
    <row customHeight="1" ht="19.0125" hidden="1">
      <c r="A111" s="1277"/>
      <c r="B111" s="417">
        <f>AND(NOT(method_reg="Метод сравнения аналогов"),HAS_DOC5="да")</f>
        <v>0</v>
      </c>
      <c r="C111" s="1277"/>
      <c r="D111" s="1277"/>
      <c r="E111" s="614">
        <v>19.5</v>
      </c>
      <c r="F111" s="1277"/>
      <c r="G111" s="1277"/>
      <c r="H111" s="1277"/>
      <c r="I111" s="1277"/>
      <c r="J111" s="1277"/>
      <c r="K111" s="1277"/>
      <c r="L111" s="1277"/>
      <c r="M111" s="1277"/>
      <c r="N111" s="1277"/>
      <c r="O111" s="1277"/>
      <c r="P111" s="1277"/>
      <c r="Q111" s="1277"/>
      <c r="R111" s="1277"/>
      <c r="S111" s="1277"/>
      <c r="T111" s="1277"/>
      <c r="U111" s="1277"/>
      <c r="V111" s="1277"/>
      <c r="W111" s="1277"/>
      <c r="X111" s="1277"/>
      <c r="Y111" s="1277"/>
      <c r="Z111" s="1624"/>
      <c r="AA111" s="1277"/>
      <c r="AB111" s="1444"/>
      <c r="AC111" s="1441" t="s">
        <v>201</v>
      </c>
      <c r="AD111" s="1441"/>
      <c r="AE111" s="389"/>
      <c r="AF111" s="353"/>
      <c r="AG111" s="1277"/>
      <c r="AH111" s="1277"/>
      <c r="AI111" s="1277"/>
      <c r="AJ111" s="1277"/>
      <c r="AK111" s="1277"/>
      <c r="AL111" s="1277"/>
      <c r="AM111" s="1277"/>
      <c r="AN111" s="1277"/>
      <c r="AO111" s="1277"/>
      <c r="AP111" s="1277"/>
      <c r="AQ111" s="1277"/>
      <c r="AR111" s="1277"/>
      <c r="AS111" s="1277"/>
      <c r="AT111" s="1277"/>
      <c r="AU111" s="1277"/>
      <c r="AV111" s="1277"/>
      <c r="AW111" s="1277"/>
      <c r="AX111" s="1277"/>
      <c r="AY111" s="1277"/>
      <c r="AZ111" s="1277"/>
      <c r="BA111" s="1277"/>
    </row>
    <row customHeight="1" ht="19.0125" hidden="1">
      <c r="A112" s="1277"/>
      <c r="B112" s="417">
        <f>AND(NOT(method_reg="Метод сравнения аналогов"),HAS_DOC5="да")</f>
        <v>0</v>
      </c>
      <c r="C112" s="1277"/>
      <c r="D112" s="1277"/>
      <c r="E112" s="614">
        <v>19.5</v>
      </c>
      <c r="F112" s="1277"/>
      <c r="G112" s="1277"/>
      <c r="H112" s="1277"/>
      <c r="I112" s="1277"/>
      <c r="J112" s="1277"/>
      <c r="K112" s="1277"/>
      <c r="L112" s="1277"/>
      <c r="M112" s="1277"/>
      <c r="N112" s="1277"/>
      <c r="O112" s="1277"/>
      <c r="P112" s="1277"/>
      <c r="Q112" s="1277"/>
      <c r="R112" s="1277"/>
      <c r="S112" s="1277"/>
      <c r="T112" s="1277"/>
      <c r="U112" s="1277"/>
      <c r="V112" s="1277"/>
      <c r="W112" s="1277"/>
      <c r="X112" s="1277"/>
      <c r="Y112" s="1277"/>
      <c r="Z112" s="1624"/>
      <c r="AA112" s="1277"/>
      <c r="AB112" s="1444"/>
      <c r="AC112" s="1441" t="s">
        <v>203</v>
      </c>
      <c r="AD112" s="1441"/>
      <c r="AE112" s="1664"/>
      <c r="AF112" s="353"/>
      <c r="AG112" s="1277"/>
      <c r="AH112" s="1277"/>
      <c r="AI112" s="1277"/>
      <c r="AJ112" s="1277"/>
      <c r="AK112" s="1277"/>
      <c r="AL112" s="1277"/>
      <c r="AM112" s="1277"/>
      <c r="AN112" s="1277"/>
      <c r="AO112" s="1277"/>
      <c r="AP112" s="1277"/>
      <c r="AQ112" s="1277"/>
      <c r="AR112" s="1277"/>
      <c r="AS112" s="1277"/>
      <c r="AT112" s="1277"/>
      <c r="AU112" s="1277"/>
      <c r="AV112" s="1277"/>
      <c r="AW112" s="1277"/>
      <c r="AX112" s="1277"/>
      <c r="AY112" s="1277"/>
      <c r="AZ112" s="1277"/>
      <c r="BA112" s="1277"/>
    </row>
    <row customHeight="1" ht="19.0125" hidden="1">
      <c r="A113" s="1277"/>
      <c r="B113" s="417">
        <f>AND(NOT(method_reg="Метод сравнения аналогов"),HAS_DOC5="да")</f>
        <v>0</v>
      </c>
      <c r="C113" s="1277"/>
      <c r="D113" s="1277"/>
      <c r="E113" s="614">
        <v>19.5</v>
      </c>
      <c r="F113" s="1277"/>
      <c r="G113" s="1277"/>
      <c r="H113" s="1277"/>
      <c r="I113" s="1277"/>
      <c r="J113" s="1277"/>
      <c r="K113" s="1277"/>
      <c r="L113" s="1277"/>
      <c r="M113" s="1277"/>
      <c r="N113" s="1277"/>
      <c r="O113" s="1277"/>
      <c r="P113" s="1277"/>
      <c r="Q113" s="1277"/>
      <c r="R113" s="1277"/>
      <c r="S113" s="1277"/>
      <c r="T113" s="1277"/>
      <c r="U113" s="1277"/>
      <c r="V113" s="1277"/>
      <c r="W113" s="1277"/>
      <c r="X113" s="1277"/>
      <c r="Y113" s="1277"/>
      <c r="Z113" s="1624"/>
      <c r="AA113" s="1277"/>
      <c r="AB113" s="1444"/>
      <c r="AC113" s="1441" t="s">
        <v>216</v>
      </c>
      <c r="AD113" s="1441"/>
      <c r="AE113" s="1664"/>
      <c r="AF113" s="353"/>
      <c r="AG113" s="1277"/>
      <c r="AH113" s="1277"/>
      <c r="AI113" s="1277"/>
      <c r="AJ113" s="1277"/>
      <c r="AK113" s="1277"/>
      <c r="AL113" s="1277"/>
      <c r="AM113" s="1277"/>
      <c r="AN113" s="1277"/>
      <c r="AO113" s="1277"/>
      <c r="AP113" s="1277"/>
      <c r="AQ113" s="1277"/>
      <c r="AR113" s="1277"/>
      <c r="AS113" s="1277"/>
      <c r="AT113" s="1277"/>
      <c r="AU113" s="1277"/>
      <c r="AV113" s="1277"/>
      <c r="AW113" s="1277"/>
      <c r="AX113" s="1277"/>
      <c r="AY113" s="1277"/>
      <c r="AZ113" s="1277"/>
      <c r="BA113" s="1277"/>
    </row>
    <row customHeight="1" ht="19.0125" hidden="1">
      <c r="A114" s="1277"/>
      <c r="B114" s="417">
        <f>AND(NOT(method_reg="Метод сравнения аналогов"),HAS_DOC5="да")</f>
        <v>0</v>
      </c>
      <c r="C114" s="1277"/>
      <c r="D114" s="1277"/>
      <c r="E114" s="614">
        <v>19.5</v>
      </c>
      <c r="F114" s="1277"/>
      <c r="G114" s="1277"/>
      <c r="H114" s="1277"/>
      <c r="I114" s="1277"/>
      <c r="J114" s="1277"/>
      <c r="K114" s="1277"/>
      <c r="L114" s="1277"/>
      <c r="M114" s="1277"/>
      <c r="N114" s="1277"/>
      <c r="O114" s="1277"/>
      <c r="P114" s="1277"/>
      <c r="Q114" s="1277"/>
      <c r="R114" s="1277"/>
      <c r="S114" s="1277"/>
      <c r="T114" s="1277"/>
      <c r="U114" s="1277"/>
      <c r="V114" s="1277"/>
      <c r="W114" s="1277"/>
      <c r="X114" s="1277"/>
      <c r="Y114" s="1277"/>
      <c r="Z114" s="1624"/>
      <c r="AA114" s="1277"/>
      <c r="AB114" s="1445"/>
      <c r="AC114" s="1441" t="s">
        <v>217</v>
      </c>
      <c r="AD114" s="1441"/>
      <c r="AE114" s="1664"/>
      <c r="AF114" s="353"/>
      <c r="AG114" s="1277"/>
      <c r="AH114" s="1277"/>
      <c r="AI114" s="1277"/>
      <c r="AJ114" s="1277"/>
      <c r="AK114" s="1277"/>
      <c r="AL114" s="1277"/>
      <c r="AM114" s="1277"/>
      <c r="AN114" s="1277"/>
      <c r="AO114" s="1277"/>
      <c r="AP114" s="1277"/>
      <c r="AQ114" s="1277"/>
      <c r="AR114" s="1277"/>
      <c r="AS114" s="1277"/>
      <c r="AT114" s="1277"/>
      <c r="AU114" s="1277"/>
      <c r="AV114" s="1277"/>
      <c r="AW114" s="1277"/>
      <c r="AX114" s="1277"/>
      <c r="AY114" s="1277"/>
      <c r="AZ114" s="1277"/>
      <c r="BA114" s="1277"/>
    </row>
    <row customHeight="1" ht="19.0125" hidden="1">
      <c r="A115" s="1277"/>
      <c r="B115" s="417">
        <f>AND(NOT(method_reg="Метод сравнения аналогов"),HAS_DOC5="да")</f>
        <v>0</v>
      </c>
      <c r="C115" s="1277"/>
      <c r="D115" s="1277"/>
      <c r="E115" s="614">
        <v>19.5</v>
      </c>
      <c r="F115" s="1277"/>
      <c r="G115" s="1277"/>
      <c r="H115" s="1277"/>
      <c r="I115" s="1277"/>
      <c r="J115" s="1277"/>
      <c r="K115" s="1277"/>
      <c r="L115" s="1277"/>
      <c r="M115" s="1277"/>
      <c r="N115" s="1277"/>
      <c r="O115" s="1277"/>
      <c r="P115" s="1277"/>
      <c r="Q115" s="1277"/>
      <c r="R115" s="1277"/>
      <c r="S115" s="1277"/>
      <c r="T115" s="1277"/>
      <c r="U115" s="1277"/>
      <c r="V115" s="1277"/>
      <c r="W115" s="474">
        <f>ROW(Y115)&gt;ROW(Y$115)</f>
        <v>0</v>
      </c>
      <c r="X115" s="1277"/>
      <c r="Y115" s="73" t="s">
        <v>172</v>
      </c>
      <c r="Z115" s="1624"/>
      <c r="AA115" s="1442" t="s">
        <v>173</v>
      </c>
      <c r="AB115" s="1443" t="s">
        <v>196</v>
      </c>
      <c r="AC115" s="1441" t="s">
        <v>197</v>
      </c>
      <c r="AD115" s="1441"/>
      <c r="AE115" s="389"/>
      <c r="AF115" s="353"/>
      <c r="AG115" s="1277"/>
      <c r="AH115" s="1277"/>
      <c r="AI115" s="1277"/>
      <c r="AJ115" s="1277"/>
      <c r="AK115" s="1277"/>
      <c r="AL115" s="1277"/>
      <c r="AM115" s="1277"/>
      <c r="AN115" s="1277"/>
      <c r="AO115" s="1277"/>
      <c r="AP115" s="1277"/>
      <c r="AQ115" s="1277"/>
      <c r="AR115" s="1277"/>
      <c r="AS115" s="1277"/>
      <c r="AT115" s="1277"/>
      <c r="AU115" s="1277"/>
      <c r="AV115" s="1277"/>
      <c r="AW115" s="1277"/>
      <c r="AX115" s="1277"/>
      <c r="AY115" s="1277"/>
      <c r="AZ115" s="1277"/>
      <c r="BA115" s="1277"/>
    </row>
    <row customHeight="1" ht="19.0125" hidden="1">
      <c r="A116" s="1277"/>
      <c r="B116" s="417">
        <f>AND(NOT(method_reg="Метод сравнения аналогов"),HAS_DOC5="да")</f>
        <v>0</v>
      </c>
      <c r="C116" s="1277"/>
      <c r="D116" s="1277"/>
      <c r="E116" s="614">
        <v>19.5</v>
      </c>
      <c r="F116" s="1277"/>
      <c r="G116" s="1277"/>
      <c r="H116" s="1277"/>
      <c r="I116" s="1277"/>
      <c r="J116" s="1277"/>
      <c r="K116" s="1277"/>
      <c r="L116" s="1277"/>
      <c r="M116" s="1277"/>
      <c r="N116" s="1277"/>
      <c r="O116" s="1277"/>
      <c r="P116" s="1277"/>
      <c r="Q116" s="1277"/>
      <c r="R116" s="1277"/>
      <c r="S116" s="1277"/>
      <c r="T116" s="1277"/>
      <c r="U116" s="1277"/>
      <c r="V116" s="1277"/>
      <c r="W116" s="474" cm="1" t="str">
        <f t="array" ref="W116:W116">W115</f>
        <v>false</v>
      </c>
      <c r="X116" s="1277"/>
      <c r="Y116" s="1277"/>
      <c r="Z116" s="1624"/>
      <c r="AA116" s="1442"/>
      <c r="AB116" s="1444"/>
      <c r="AC116" s="1441" t="s">
        <v>199</v>
      </c>
      <c r="AD116" s="1441"/>
      <c r="AE116" s="390"/>
      <c r="AF116" s="353"/>
      <c r="AG116" s="1277"/>
      <c r="AH116" s="1277"/>
      <c r="AI116" s="1277"/>
      <c r="AJ116" s="1277"/>
      <c r="AK116" s="1277"/>
      <c r="AL116" s="1277"/>
      <c r="AM116" s="1277"/>
      <c r="AN116" s="1277"/>
      <c r="AO116" s="1277"/>
      <c r="AP116" s="1277"/>
      <c r="AQ116" s="1277"/>
      <c r="AR116" s="1277"/>
      <c r="AS116" s="1277"/>
      <c r="AT116" s="1277"/>
      <c r="AU116" s="1277"/>
      <c r="AV116" s="1277"/>
      <c r="AW116" s="1277"/>
      <c r="AX116" s="1277"/>
      <c r="AY116" s="1277"/>
      <c r="AZ116" s="1277"/>
      <c r="BA116" s="1277"/>
    </row>
    <row customHeight="1" ht="19.0125" hidden="1">
      <c r="A117" s="1277"/>
      <c r="B117" s="417">
        <f>AND(NOT(method_reg="Метод сравнения аналогов"),HAS_DOC5="да")</f>
        <v>0</v>
      </c>
      <c r="C117" s="1277"/>
      <c r="D117" s="1277"/>
      <c r="E117" s="614">
        <v>19.5</v>
      </c>
      <c r="F117" s="1277"/>
      <c r="G117" s="1277"/>
      <c r="H117" s="1277"/>
      <c r="I117" s="1277"/>
      <c r="J117" s="1277"/>
      <c r="K117" s="1277"/>
      <c r="L117" s="1277"/>
      <c r="M117" s="1277"/>
      <c r="N117" s="1277"/>
      <c r="O117" s="1277"/>
      <c r="P117" s="1277"/>
      <c r="Q117" s="1277"/>
      <c r="R117" s="1277"/>
      <c r="S117" s="1277"/>
      <c r="T117" s="1277"/>
      <c r="U117" s="1277"/>
      <c r="V117" s="1277"/>
      <c r="W117" s="474" cm="1" t="str">
        <f t="array" ref="W117:W117">W116</f>
        <v>false</v>
      </c>
      <c r="X117" s="1277"/>
      <c r="Y117" s="1277"/>
      <c r="Z117" s="1624"/>
      <c r="AA117" s="1442"/>
      <c r="AB117" s="1444"/>
      <c r="AC117" s="1441" t="s">
        <v>201</v>
      </c>
      <c r="AD117" s="1441"/>
      <c r="AE117" s="389"/>
      <c r="AF117" s="353"/>
      <c r="AG117" s="1277"/>
      <c r="AH117" s="1277"/>
      <c r="AI117" s="1277"/>
      <c r="AJ117" s="1277"/>
      <c r="AK117" s="1277"/>
      <c r="AL117" s="1277"/>
      <c r="AM117" s="1277"/>
      <c r="AN117" s="1277"/>
      <c r="AO117" s="1277"/>
      <c r="AP117" s="1277"/>
      <c r="AQ117" s="1277"/>
      <c r="AR117" s="1277"/>
      <c r="AS117" s="1277"/>
      <c r="AT117" s="1277"/>
      <c r="AU117" s="1277"/>
      <c r="AV117" s="1277"/>
      <c r="AW117" s="1277"/>
      <c r="AX117" s="1277"/>
      <c r="AY117" s="1277"/>
      <c r="AZ117" s="1277"/>
      <c r="BA117" s="1277"/>
    </row>
    <row customHeight="1" ht="19.0125" hidden="1">
      <c r="A118" s="1277"/>
      <c r="B118" s="417">
        <f>AND(NOT(method_reg="Метод сравнения аналогов"),HAS_DOC5="да")</f>
        <v>0</v>
      </c>
      <c r="C118" s="1277"/>
      <c r="D118" s="1277"/>
      <c r="E118" s="614">
        <v>19.5</v>
      </c>
      <c r="F118" s="1277"/>
      <c r="G118" s="1277"/>
      <c r="H118" s="1277"/>
      <c r="I118" s="1277"/>
      <c r="J118" s="1277"/>
      <c r="K118" s="1277"/>
      <c r="L118" s="1277"/>
      <c r="M118" s="1277"/>
      <c r="N118" s="1277"/>
      <c r="O118" s="1277"/>
      <c r="P118" s="1277"/>
      <c r="Q118" s="1277"/>
      <c r="R118" s="1277"/>
      <c r="S118" s="1277"/>
      <c r="T118" s="1277"/>
      <c r="U118" s="1277"/>
      <c r="V118" s="1277"/>
      <c r="W118" s="474" cm="1" t="str">
        <f t="array" ref="W118:W118">W117</f>
        <v>false</v>
      </c>
      <c r="X118" s="1277"/>
      <c r="Y118" s="1277"/>
      <c r="Z118" s="1624"/>
      <c r="AA118" s="1442"/>
      <c r="AB118" s="1444"/>
      <c r="AC118" s="1441" t="s">
        <v>203</v>
      </c>
      <c r="AD118" s="1441"/>
      <c r="AE118" s="1664"/>
      <c r="AF118" s="353"/>
      <c r="AG118" s="1277"/>
      <c r="AH118" s="1277"/>
      <c r="AI118" s="1277"/>
      <c r="AJ118" s="1277"/>
      <c r="AK118" s="1277"/>
      <c r="AL118" s="1277"/>
      <c r="AM118" s="1277"/>
      <c r="AN118" s="1277"/>
      <c r="AO118" s="1277"/>
      <c r="AP118" s="1277"/>
      <c r="AQ118" s="1277"/>
      <c r="AR118" s="1277"/>
      <c r="AS118" s="1277"/>
      <c r="AT118" s="1277"/>
      <c r="AU118" s="1277"/>
      <c r="AV118" s="1277"/>
      <c r="AW118" s="1277"/>
      <c r="AX118" s="1277"/>
      <c r="AY118" s="1277"/>
      <c r="AZ118" s="1277"/>
      <c r="BA118" s="1277"/>
    </row>
    <row customHeight="1" ht="19.0125" hidden="1">
      <c r="A119" s="1277"/>
      <c r="B119" s="417">
        <f>AND(NOT(method_reg="Метод сравнения аналогов"),HAS_DOC5="да")</f>
        <v>0</v>
      </c>
      <c r="C119" s="1277"/>
      <c r="D119" s="1277"/>
      <c r="E119" s="614">
        <v>19.5</v>
      </c>
      <c r="F119" s="1277"/>
      <c r="G119" s="1277"/>
      <c r="H119" s="1277"/>
      <c r="I119" s="1277"/>
      <c r="J119" s="1277"/>
      <c r="K119" s="1277"/>
      <c r="L119" s="1277"/>
      <c r="M119" s="1277"/>
      <c r="N119" s="1277"/>
      <c r="O119" s="1277"/>
      <c r="P119" s="1277"/>
      <c r="Q119" s="1277"/>
      <c r="R119" s="1277"/>
      <c r="S119" s="1277"/>
      <c r="T119" s="1277"/>
      <c r="U119" s="1277"/>
      <c r="V119" s="1277"/>
      <c r="W119" s="474" cm="1" t="str">
        <f t="array" ref="W119:W119">W118</f>
        <v>false</v>
      </c>
      <c r="X119" s="1277"/>
      <c r="Y119" s="1277"/>
      <c r="Z119" s="1624"/>
      <c r="AA119" s="1442"/>
      <c r="AB119" s="1444"/>
      <c r="AC119" s="1441" t="s">
        <v>216</v>
      </c>
      <c r="AD119" s="1441"/>
      <c r="AE119" s="1664"/>
      <c r="AF119" s="353"/>
      <c r="AG119" s="1277"/>
      <c r="AH119" s="1277"/>
      <c r="AI119" s="1277"/>
      <c r="AJ119" s="1277"/>
      <c r="AK119" s="1277"/>
      <c r="AL119" s="1277"/>
      <c r="AM119" s="1277"/>
      <c r="AN119" s="1277"/>
      <c r="AO119" s="1277"/>
      <c r="AP119" s="1277"/>
      <c r="AQ119" s="1277"/>
      <c r="AR119" s="1277"/>
      <c r="AS119" s="1277"/>
      <c r="AT119" s="1277"/>
      <c r="AU119" s="1277"/>
      <c r="AV119" s="1277"/>
      <c r="AW119" s="1277"/>
      <c r="AX119" s="1277"/>
      <c r="AY119" s="1277"/>
      <c r="AZ119" s="1277"/>
      <c r="BA119" s="1277"/>
    </row>
    <row customHeight="1" ht="19.0125" hidden="1">
      <c r="A120" s="1277"/>
      <c r="B120" s="417">
        <f>AND(NOT(method_reg="Метод сравнения аналогов"),HAS_DOC5="да")</f>
        <v>0</v>
      </c>
      <c r="C120" s="1277"/>
      <c r="D120" s="1277"/>
      <c r="E120" s="614">
        <v>19.5</v>
      </c>
      <c r="F120" s="1277"/>
      <c r="G120" s="1277"/>
      <c r="H120" s="1277"/>
      <c r="I120" s="1277"/>
      <c r="J120" s="1277"/>
      <c r="K120" s="1277"/>
      <c r="L120" s="1277"/>
      <c r="M120" s="1277"/>
      <c r="N120" s="1277"/>
      <c r="O120" s="1277"/>
      <c r="P120" s="1277"/>
      <c r="Q120" s="1277"/>
      <c r="R120" s="1277"/>
      <c r="S120" s="1277"/>
      <c r="T120" s="1277"/>
      <c r="U120" s="1277"/>
      <c r="V120" s="1277"/>
      <c r="W120" s="474" cm="1" t="str">
        <f t="array" ref="W120:W120">W119</f>
        <v>false</v>
      </c>
      <c r="X120" s="1277"/>
      <c r="Y120" s="1277"/>
      <c r="Z120" s="1624"/>
      <c r="AA120" s="1442"/>
      <c r="AB120" s="1445"/>
      <c r="AC120" s="1441" t="s">
        <v>217</v>
      </c>
      <c r="AD120" s="1441"/>
      <c r="AE120" s="1664"/>
      <c r="AF120" s="353"/>
      <c r="AG120" s="1277"/>
      <c r="AH120" s="1277"/>
      <c r="AI120" s="1277"/>
      <c r="AJ120" s="1277"/>
      <c r="AK120" s="1277"/>
      <c r="AL120" s="1277"/>
      <c r="AM120" s="1277"/>
      <c r="AN120" s="1277"/>
      <c r="AO120" s="1277"/>
      <c r="AP120" s="1277"/>
      <c r="AQ120" s="1277"/>
      <c r="AR120" s="1277"/>
      <c r="AS120" s="1277"/>
      <c r="AT120" s="1277"/>
      <c r="AU120" s="1277"/>
      <c r="AV120" s="1277"/>
      <c r="AW120" s="1277"/>
      <c r="AX120" s="1277"/>
      <c r="AY120" s="1277"/>
      <c r="AZ120" s="1277"/>
      <c r="BA120" s="1277"/>
    </row>
    <row customHeight="1" ht="14.625" hidden="1">
      <c r="A121" s="1277"/>
      <c r="B121" s="417">
        <f>AND(NOT(method_reg="Метод сравнения аналогов"),HAS_DOC5="да")</f>
        <v>0</v>
      </c>
      <c r="C121" s="1277"/>
      <c r="D121" s="1277"/>
      <c r="E121" s="614">
        <v>15</v>
      </c>
      <c r="F121" s="73" t="s">
        <v>214</v>
      </c>
      <c r="G121" s="1277"/>
      <c r="H121" s="1277"/>
      <c r="I121" s="1277"/>
      <c r="J121" s="1277"/>
      <c r="K121" s="1277"/>
      <c r="L121" s="1277"/>
      <c r="M121" s="1277"/>
      <c r="N121" s="1277"/>
      <c r="O121" s="1277"/>
      <c r="P121" s="1277"/>
      <c r="Q121" s="1277"/>
      <c r="R121" s="1277"/>
      <c r="S121" s="1277"/>
      <c r="T121" s="1277"/>
      <c r="U121" s="1277"/>
      <c r="V121" s="1277"/>
      <c r="W121" s="1277"/>
      <c r="X121" s="1277"/>
      <c r="Y121" s="74" t="s">
        <v>175</v>
      </c>
      <c r="Z121" s="1624"/>
      <c r="AA121" s="1277"/>
      <c r="AB121" s="231"/>
      <c r="AC121" s="230"/>
      <c r="AD121" s="230"/>
      <c r="AE121" s="334" t="s">
        <v>176</v>
      </c>
      <c r="AF121" s="353"/>
      <c r="AG121" s="1277"/>
      <c r="AH121" s="1277"/>
      <c r="AI121" s="1277"/>
      <c r="AJ121" s="1277"/>
      <c r="AK121" s="1277"/>
      <c r="AL121" s="1277"/>
      <c r="AM121" s="1277"/>
      <c r="AN121" s="1277"/>
      <c r="AO121" s="1277"/>
      <c r="AP121" s="1277"/>
      <c r="AQ121" s="1277"/>
      <c r="AR121" s="1277"/>
      <c r="AS121" s="1277"/>
      <c r="AT121" s="1277"/>
      <c r="AU121" s="1277"/>
      <c r="AV121" s="1277"/>
      <c r="AW121" s="1277"/>
      <c r="AX121" s="1277"/>
      <c r="AY121" s="1277"/>
      <c r="AZ121" s="1277"/>
      <c r="BA121" s="1277"/>
    </row>
    <row customHeight="1" ht="24.862499999999997" hidden="1">
      <c r="A122" s="1277"/>
      <c r="B122" s="417">
        <f>NOT(method_reg="Метод сравнения аналогов")</f>
        <v>0</v>
      </c>
      <c r="C122" s="1277"/>
      <c r="D122" s="1277"/>
      <c r="E122" s="614">
        <v>25.5</v>
      </c>
      <c r="F122" s="73" t="s">
        <v>218</v>
      </c>
      <c r="G122" s="1277"/>
      <c r="H122" s="1277"/>
      <c r="I122" s="1277"/>
      <c r="J122" s="1277"/>
      <c r="K122" s="1277"/>
      <c r="L122" s="1277"/>
      <c r="M122" s="1277"/>
      <c r="N122" s="1277"/>
      <c r="O122" s="1277"/>
      <c r="P122" s="1277"/>
      <c r="Q122" s="1277"/>
      <c r="R122" s="1277"/>
      <c r="S122" s="1277"/>
      <c r="T122" s="1277"/>
      <c r="U122" s="1277"/>
      <c r="V122" s="1277"/>
      <c r="W122" s="1277"/>
      <c r="X122" s="1277"/>
      <c r="Y122" s="1277"/>
      <c r="Z122" s="1624"/>
      <c r="AA122" s="1277"/>
      <c r="AB122" s="1441" t="str">
        <f>"Наличие утверждённых ОИВ инвестиционных программ, действующих в течение "&amp;god&amp;"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2026 года, для организации, оказывающей услуги холодного водоснабжения/водоотведения</v>
      </c>
      <c r="AC122" s="1441"/>
      <c r="AD122" s="1441"/>
      <c r="AE122" s="1635"/>
      <c r="AF122" s="452"/>
      <c r="AG122" s="73" t="s">
        <v>219</v>
      </c>
      <c r="AH122" s="1277"/>
      <c r="AI122" s="1277"/>
      <c r="AJ122" s="1277"/>
      <c r="AK122" s="1277"/>
      <c r="AL122" s="1277"/>
      <c r="AM122" s="1277"/>
      <c r="AN122" s="1277"/>
      <c r="AO122" s="1277"/>
      <c r="AP122" s="1277"/>
      <c r="AQ122" s="1277"/>
      <c r="AR122" s="1277"/>
      <c r="AS122" s="1277"/>
      <c r="AT122" s="1277"/>
      <c r="AU122" s="1277"/>
      <c r="AV122" s="1277"/>
      <c r="AW122" s="1277"/>
      <c r="AX122" s="1277"/>
      <c r="AY122" s="1277"/>
      <c r="AZ122" s="1277"/>
      <c r="BA122" s="1277"/>
    </row>
    <row customHeight="1" ht="19.0125" hidden="1">
      <c r="A123" s="1277"/>
      <c r="B123" s="417">
        <f>AND(NOT(method_reg="Метод сравнения аналогов"),HAS_DOC6="да")</f>
        <v>0</v>
      </c>
      <c r="C123" s="1277"/>
      <c r="D123" s="1277"/>
      <c r="E123" s="614">
        <v>19.5</v>
      </c>
      <c r="F123" s="1277"/>
      <c r="G123" s="1277"/>
      <c r="H123" s="1277"/>
      <c r="I123" s="1277"/>
      <c r="J123" s="1277"/>
      <c r="K123" s="1277"/>
      <c r="L123" s="1277"/>
      <c r="M123" s="1277"/>
      <c r="N123" s="1277"/>
      <c r="O123" s="1277"/>
      <c r="P123" s="1277"/>
      <c r="Q123" s="1277"/>
      <c r="R123" s="1277"/>
      <c r="S123" s="1277"/>
      <c r="T123" s="1277"/>
      <c r="U123" s="1277"/>
      <c r="V123" s="1277"/>
      <c r="W123" s="1277"/>
      <c r="X123" s="1277"/>
      <c r="Y123" s="1277"/>
      <c r="Z123" s="1624"/>
      <c r="AA123" s="1277"/>
      <c r="AB123" s="1446" t="s">
        <v>196</v>
      </c>
      <c r="AC123" s="1441" t="s">
        <v>197</v>
      </c>
      <c r="AD123" s="1441"/>
      <c r="AE123" s="389"/>
      <c r="AF123" s="353"/>
      <c r="AG123" s="1277"/>
      <c r="AH123" s="1277"/>
      <c r="AI123" s="1277"/>
      <c r="AJ123" s="1277"/>
      <c r="AK123" s="1277"/>
      <c r="AL123" s="1277"/>
      <c r="AM123" s="1277"/>
      <c r="AN123" s="1277"/>
      <c r="AO123" s="1277"/>
      <c r="AP123" s="1277"/>
      <c r="AQ123" s="1277"/>
      <c r="AR123" s="1277"/>
      <c r="AS123" s="1277"/>
      <c r="AT123" s="1277"/>
      <c r="AU123" s="1277"/>
      <c r="AV123" s="1277"/>
      <c r="AW123" s="1277"/>
      <c r="AX123" s="1277"/>
      <c r="AY123" s="1277"/>
      <c r="AZ123" s="1277"/>
      <c r="BA123" s="1277"/>
    </row>
    <row customHeight="1" ht="19.0125" hidden="1">
      <c r="A124" s="1277"/>
      <c r="B124" s="417">
        <f>AND(NOT(method_reg="Метод сравнения аналогов"),HAS_DOC6="да")</f>
        <v>0</v>
      </c>
      <c r="C124" s="1277"/>
      <c r="D124" s="1277"/>
      <c r="E124" s="614">
        <v>19.5</v>
      </c>
      <c r="F124" s="1277"/>
      <c r="G124" s="1277"/>
      <c r="H124" s="1277"/>
      <c r="I124" s="1277"/>
      <c r="J124" s="1277"/>
      <c r="K124" s="1277"/>
      <c r="L124" s="1277"/>
      <c r="M124" s="1277"/>
      <c r="N124" s="1277"/>
      <c r="O124" s="1277"/>
      <c r="P124" s="1277"/>
      <c r="Q124" s="1277"/>
      <c r="R124" s="1277"/>
      <c r="S124" s="1277"/>
      <c r="T124" s="1277"/>
      <c r="U124" s="1277"/>
      <c r="V124" s="1277"/>
      <c r="W124" s="1277"/>
      <c r="X124" s="1277"/>
      <c r="Y124" s="1277"/>
      <c r="Z124" s="1624"/>
      <c r="AA124" s="1277"/>
      <c r="AB124" s="1446"/>
      <c r="AC124" s="1441" t="s">
        <v>199</v>
      </c>
      <c r="AD124" s="1441"/>
      <c r="AE124" s="390"/>
      <c r="AF124" s="353"/>
      <c r="AG124" s="1277"/>
      <c r="AH124" s="1277"/>
      <c r="AI124" s="1277"/>
      <c r="AJ124" s="1277"/>
      <c r="AK124" s="1277"/>
      <c r="AL124" s="1277"/>
      <c r="AM124" s="1277"/>
      <c r="AN124" s="1277"/>
      <c r="AO124" s="1277"/>
      <c r="AP124" s="1277"/>
      <c r="AQ124" s="1277"/>
      <c r="AR124" s="1277"/>
      <c r="AS124" s="1277"/>
      <c r="AT124" s="1277"/>
      <c r="AU124" s="1277"/>
      <c r="AV124" s="1277"/>
      <c r="AW124" s="1277"/>
      <c r="AX124" s="1277"/>
      <c r="AY124" s="1277"/>
      <c r="AZ124" s="1277"/>
      <c r="BA124" s="1277"/>
    </row>
    <row customHeight="1" ht="19.0125" hidden="1">
      <c r="A125" s="1277"/>
      <c r="B125" s="417">
        <f>AND(NOT(method_reg="Метод сравнения аналогов"),HAS_DOC6="да")</f>
        <v>0</v>
      </c>
      <c r="C125" s="1277"/>
      <c r="D125" s="1277"/>
      <c r="E125" s="614">
        <v>19.5</v>
      </c>
      <c r="F125" s="1277"/>
      <c r="G125" s="1277"/>
      <c r="H125" s="1277"/>
      <c r="I125" s="1277"/>
      <c r="J125" s="1277"/>
      <c r="K125" s="1277"/>
      <c r="L125" s="1277"/>
      <c r="M125" s="1277"/>
      <c r="N125" s="1277"/>
      <c r="O125" s="1277"/>
      <c r="P125" s="1277"/>
      <c r="Q125" s="1277"/>
      <c r="R125" s="1277"/>
      <c r="S125" s="1277"/>
      <c r="T125" s="1277"/>
      <c r="U125" s="1277"/>
      <c r="V125" s="1277"/>
      <c r="W125" s="1277"/>
      <c r="X125" s="1277"/>
      <c r="Y125" s="1277"/>
      <c r="Z125" s="1624"/>
      <c r="AA125" s="1277"/>
      <c r="AB125" s="1446"/>
      <c r="AC125" s="1441" t="s">
        <v>201</v>
      </c>
      <c r="AD125" s="1441"/>
      <c r="AE125" s="389"/>
      <c r="AF125" s="353"/>
      <c r="AG125" s="1277"/>
      <c r="AH125" s="1277"/>
      <c r="AI125" s="1277"/>
      <c r="AJ125" s="1277"/>
      <c r="AK125" s="1277"/>
      <c r="AL125" s="1277"/>
      <c r="AM125" s="1277"/>
      <c r="AN125" s="1277"/>
      <c r="AO125" s="1277"/>
      <c r="AP125" s="1277"/>
      <c r="AQ125" s="1277"/>
      <c r="AR125" s="1277"/>
      <c r="AS125" s="1277"/>
      <c r="AT125" s="1277"/>
      <c r="AU125" s="1277"/>
      <c r="AV125" s="1277"/>
      <c r="AW125" s="1277"/>
      <c r="AX125" s="1277"/>
      <c r="AY125" s="1277"/>
      <c r="AZ125" s="1277"/>
      <c r="BA125" s="1277"/>
    </row>
    <row customHeight="1" ht="19.0125" hidden="1">
      <c r="A126" s="1277"/>
      <c r="B126" s="417">
        <f>AND(NOT(method_reg="Метод сравнения аналогов"),HAS_DOC6="да")</f>
        <v>0</v>
      </c>
      <c r="C126" s="1277"/>
      <c r="D126" s="1277"/>
      <c r="E126" s="614">
        <v>19.5</v>
      </c>
      <c r="F126" s="1277"/>
      <c r="G126" s="1277"/>
      <c r="H126" s="1277"/>
      <c r="I126" s="1277"/>
      <c r="J126" s="1277"/>
      <c r="K126" s="1277"/>
      <c r="L126" s="1277"/>
      <c r="M126" s="1277"/>
      <c r="N126" s="1277"/>
      <c r="O126" s="1277"/>
      <c r="P126" s="1277"/>
      <c r="Q126" s="1277"/>
      <c r="R126" s="1277"/>
      <c r="S126" s="1277"/>
      <c r="T126" s="1277"/>
      <c r="U126" s="1277"/>
      <c r="V126" s="1277"/>
      <c r="W126" s="1277"/>
      <c r="X126" s="1277"/>
      <c r="Y126" s="1277"/>
      <c r="Z126" s="1624"/>
      <c r="AA126" s="1277"/>
      <c r="AB126" s="1446"/>
      <c r="AC126" s="1441" t="s">
        <v>203</v>
      </c>
      <c r="AD126" s="1441"/>
      <c r="AE126" s="1664"/>
      <c r="AF126" s="353"/>
      <c r="AG126" s="1277"/>
      <c r="AH126" s="1277"/>
      <c r="AI126" s="1277"/>
      <c r="AJ126" s="1277"/>
      <c r="AK126" s="1277"/>
      <c r="AL126" s="1277"/>
      <c r="AM126" s="1277"/>
      <c r="AN126" s="1277"/>
      <c r="AO126" s="1277"/>
      <c r="AP126" s="1277"/>
      <c r="AQ126" s="1277"/>
      <c r="AR126" s="1277"/>
      <c r="AS126" s="1277"/>
      <c r="AT126" s="1277"/>
      <c r="AU126" s="1277"/>
      <c r="AV126" s="1277"/>
      <c r="AW126" s="1277"/>
      <c r="AX126" s="1277"/>
      <c r="AY126" s="1277"/>
      <c r="AZ126" s="1277"/>
      <c r="BA126" s="1277"/>
    </row>
    <row customHeight="1" ht="19.0125" hidden="1">
      <c r="A127" s="1277"/>
      <c r="B127" s="417">
        <f>AND(NOT(method_reg="Метод сравнения аналогов"),HAS_DOC6="да")</f>
        <v>0</v>
      </c>
      <c r="C127" s="1277"/>
      <c r="D127" s="1277"/>
      <c r="E127" s="614">
        <v>19.5</v>
      </c>
      <c r="F127" s="1277"/>
      <c r="G127" s="1277"/>
      <c r="H127" s="1277"/>
      <c r="I127" s="1277"/>
      <c r="J127" s="1277"/>
      <c r="K127" s="1277"/>
      <c r="L127" s="1277"/>
      <c r="M127" s="1277"/>
      <c r="N127" s="1277"/>
      <c r="O127" s="1277"/>
      <c r="P127" s="1277"/>
      <c r="Q127" s="1277"/>
      <c r="R127" s="1277"/>
      <c r="S127" s="1277"/>
      <c r="T127" s="1277"/>
      <c r="U127" s="1277"/>
      <c r="V127" s="1277"/>
      <c r="W127" s="1277"/>
      <c r="X127" s="1277"/>
      <c r="Y127" s="1277"/>
      <c r="Z127" s="1624"/>
      <c r="AA127" s="1277"/>
      <c r="AB127" s="1446"/>
      <c r="AC127" s="1441" t="s">
        <v>216</v>
      </c>
      <c r="AD127" s="1441"/>
      <c r="AE127" s="1664"/>
      <c r="AF127" s="353"/>
      <c r="AG127" s="1277"/>
      <c r="AH127" s="1277"/>
      <c r="AI127" s="1277"/>
      <c r="AJ127" s="1277"/>
      <c r="AK127" s="1277"/>
      <c r="AL127" s="1277"/>
      <c r="AM127" s="1277"/>
      <c r="AN127" s="1277"/>
      <c r="AO127" s="1277"/>
      <c r="AP127" s="1277"/>
      <c r="AQ127" s="1277"/>
      <c r="AR127" s="1277"/>
      <c r="AS127" s="1277"/>
      <c r="AT127" s="1277"/>
      <c r="AU127" s="1277"/>
      <c r="AV127" s="1277"/>
      <c r="AW127" s="1277"/>
      <c r="AX127" s="1277"/>
      <c r="AY127" s="1277"/>
      <c r="AZ127" s="1277"/>
      <c r="BA127" s="1277"/>
    </row>
    <row customHeight="1" ht="19.0125" hidden="1">
      <c r="A128" s="1277"/>
      <c r="B128" s="417">
        <f>AND(NOT(method_reg="Метод сравнения аналогов"),HAS_DOC6="да")</f>
        <v>0</v>
      </c>
      <c r="C128" s="1277"/>
      <c r="D128" s="1277"/>
      <c r="E128" s="614">
        <v>19.5</v>
      </c>
      <c r="F128" s="1277"/>
      <c r="G128" s="1277"/>
      <c r="H128" s="1277"/>
      <c r="I128" s="1277"/>
      <c r="J128" s="1277"/>
      <c r="K128" s="1277"/>
      <c r="L128" s="1277"/>
      <c r="M128" s="1277"/>
      <c r="N128" s="1277"/>
      <c r="O128" s="1277"/>
      <c r="P128" s="1277"/>
      <c r="Q128" s="1277"/>
      <c r="R128" s="1277"/>
      <c r="S128" s="1277"/>
      <c r="T128" s="1277"/>
      <c r="U128" s="1277"/>
      <c r="V128" s="1277"/>
      <c r="W128" s="1277"/>
      <c r="X128" s="1277"/>
      <c r="Y128" s="1277"/>
      <c r="Z128" s="1624"/>
      <c r="AA128" s="1277"/>
      <c r="AB128" s="1446"/>
      <c r="AC128" s="1441" t="s">
        <v>217</v>
      </c>
      <c r="AD128" s="1441"/>
      <c r="AE128" s="1664"/>
      <c r="AF128" s="353"/>
      <c r="AG128" s="1277"/>
      <c r="AH128" s="1277"/>
      <c r="AI128" s="1277"/>
      <c r="AJ128" s="1277"/>
      <c r="AK128" s="1277"/>
      <c r="AL128" s="1277"/>
      <c r="AM128" s="1277"/>
      <c r="AN128" s="1277"/>
      <c r="AO128" s="1277"/>
      <c r="AP128" s="1277"/>
      <c r="AQ128" s="1277"/>
      <c r="AR128" s="1277"/>
      <c r="AS128" s="1277"/>
      <c r="AT128" s="1277"/>
      <c r="AU128" s="1277"/>
      <c r="AV128" s="1277"/>
      <c r="AW128" s="1277"/>
      <c r="AX128" s="1277"/>
      <c r="AY128" s="1277"/>
      <c r="AZ128" s="1277"/>
      <c r="BA128" s="1277"/>
    </row>
    <row customHeight="1" ht="19.0125" hidden="1">
      <c r="A129" s="1277"/>
      <c r="B129" s="417">
        <f>AND(NOT(method_reg="Метод сравнения аналогов"),HAS_DOC6="да")</f>
        <v>0</v>
      </c>
      <c r="C129" s="1277"/>
      <c r="D129" s="1277"/>
      <c r="E129" s="614">
        <v>19.5</v>
      </c>
      <c r="F129" s="1277"/>
      <c r="G129" s="1277"/>
      <c r="H129" s="1277"/>
      <c r="I129" s="1277"/>
      <c r="J129" s="1277"/>
      <c r="K129" s="1277"/>
      <c r="L129" s="1277"/>
      <c r="M129" s="1277"/>
      <c r="N129" s="1277"/>
      <c r="O129" s="1277"/>
      <c r="P129" s="1277"/>
      <c r="Q129" s="1277"/>
      <c r="R129" s="1277"/>
      <c r="S129" s="1277"/>
      <c r="T129" s="1277"/>
      <c r="U129" s="1277"/>
      <c r="V129" s="1277"/>
      <c r="W129" s="474">
        <f>ROW(Y129)&gt;ROW(Y$129)</f>
        <v>0</v>
      </c>
      <c r="X129" s="1277"/>
      <c r="Y129" s="73" t="s">
        <v>172</v>
      </c>
      <c r="Z129" s="1624"/>
      <c r="AA129" s="1442" t="s">
        <v>173</v>
      </c>
      <c r="AB129" s="1446" t="s">
        <v>196</v>
      </c>
      <c r="AC129" s="1441" t="s">
        <v>197</v>
      </c>
      <c r="AD129" s="1441"/>
      <c r="AE129" s="389"/>
      <c r="AF129" s="353"/>
      <c r="AG129" s="1277"/>
      <c r="AH129" s="1277"/>
      <c r="AI129" s="1277"/>
      <c r="AJ129" s="1277"/>
      <c r="AK129" s="1277"/>
      <c r="AL129" s="1277"/>
      <c r="AM129" s="1277"/>
      <c r="AN129" s="1277"/>
      <c r="AO129" s="1277"/>
      <c r="AP129" s="1277"/>
      <c r="AQ129" s="1277"/>
      <c r="AR129" s="1277"/>
      <c r="AS129" s="1277"/>
      <c r="AT129" s="1277"/>
      <c r="AU129" s="1277"/>
      <c r="AV129" s="1277"/>
      <c r="AW129" s="1277"/>
      <c r="AX129" s="1277"/>
      <c r="AY129" s="1277"/>
      <c r="AZ129" s="1277"/>
      <c r="BA129" s="1277"/>
    </row>
    <row customHeight="1" ht="19.0125" hidden="1">
      <c r="A130" s="1277"/>
      <c r="B130" s="417">
        <f>AND(NOT(method_reg="Метод сравнения аналогов"),HAS_DOC6="да")</f>
        <v>0</v>
      </c>
      <c r="C130" s="1277"/>
      <c r="D130" s="1277"/>
      <c r="E130" s="614">
        <v>19.5</v>
      </c>
      <c r="F130" s="1277"/>
      <c r="G130" s="1277"/>
      <c r="H130" s="1277"/>
      <c r="I130" s="1277"/>
      <c r="J130" s="1277"/>
      <c r="K130" s="1277"/>
      <c r="L130" s="1277"/>
      <c r="M130" s="1277"/>
      <c r="N130" s="1277"/>
      <c r="O130" s="1277"/>
      <c r="P130" s="1277"/>
      <c r="Q130" s="1277"/>
      <c r="R130" s="1277"/>
      <c r="S130" s="1277"/>
      <c r="T130" s="1277"/>
      <c r="U130" s="1277"/>
      <c r="V130" s="1277"/>
      <c r="W130" s="474" cm="1" t="str">
        <f t="array" ref="W130:W130">W129</f>
        <v>false</v>
      </c>
      <c r="X130" s="1277"/>
      <c r="Y130" s="1277"/>
      <c r="Z130" s="1624"/>
      <c r="AA130" s="1442"/>
      <c r="AB130" s="1446"/>
      <c r="AC130" s="1441" t="s">
        <v>199</v>
      </c>
      <c r="AD130" s="1441"/>
      <c r="AE130" s="390"/>
      <c r="AF130" s="353"/>
      <c r="AG130" s="1277"/>
      <c r="AH130" s="1277"/>
      <c r="AI130" s="1277"/>
      <c r="AJ130" s="1277"/>
      <c r="AK130" s="1277"/>
      <c r="AL130" s="1277"/>
      <c r="AM130" s="1277"/>
      <c r="AN130" s="1277"/>
      <c r="AO130" s="1277"/>
      <c r="AP130" s="1277"/>
      <c r="AQ130" s="1277"/>
      <c r="AR130" s="1277"/>
      <c r="AS130" s="1277"/>
      <c r="AT130" s="1277"/>
      <c r="AU130" s="1277"/>
      <c r="AV130" s="1277"/>
      <c r="AW130" s="1277"/>
      <c r="AX130" s="1277"/>
      <c r="AY130" s="1277"/>
      <c r="AZ130" s="1277"/>
      <c r="BA130" s="1277"/>
    </row>
    <row customHeight="1" ht="19.0125" hidden="1">
      <c r="A131" s="1277"/>
      <c r="B131" s="417">
        <f>AND(NOT(method_reg="Метод сравнения аналогов"),HAS_DOC6="да")</f>
        <v>0</v>
      </c>
      <c r="C131" s="1277"/>
      <c r="D131" s="1277"/>
      <c r="E131" s="614">
        <v>19.5</v>
      </c>
      <c r="F131" s="1277"/>
      <c r="G131" s="1277"/>
      <c r="H131" s="1277"/>
      <c r="I131" s="1277"/>
      <c r="J131" s="1277"/>
      <c r="K131" s="1277"/>
      <c r="L131" s="1277"/>
      <c r="M131" s="1277"/>
      <c r="N131" s="1277"/>
      <c r="O131" s="1277"/>
      <c r="P131" s="1277"/>
      <c r="Q131" s="1277"/>
      <c r="R131" s="1277"/>
      <c r="S131" s="1277"/>
      <c r="T131" s="1277"/>
      <c r="U131" s="1277"/>
      <c r="V131" s="1277"/>
      <c r="W131" s="474" cm="1" t="str">
        <f t="array" ref="W131:W131">W130</f>
        <v>false</v>
      </c>
      <c r="X131" s="1277"/>
      <c r="Y131" s="1277"/>
      <c r="Z131" s="1624"/>
      <c r="AA131" s="1442"/>
      <c r="AB131" s="1446"/>
      <c r="AC131" s="1441" t="s">
        <v>201</v>
      </c>
      <c r="AD131" s="1441"/>
      <c r="AE131" s="389"/>
      <c r="AF131" s="353"/>
      <c r="AG131" s="1277"/>
      <c r="AH131" s="1277"/>
      <c r="AI131" s="1277"/>
      <c r="AJ131" s="1277"/>
      <c r="AK131" s="1277"/>
      <c r="AL131" s="1277"/>
      <c r="AM131" s="1277"/>
      <c r="AN131" s="1277"/>
      <c r="AO131" s="1277"/>
      <c r="AP131" s="1277"/>
      <c r="AQ131" s="1277"/>
      <c r="AR131" s="1277"/>
      <c r="AS131" s="1277"/>
      <c r="AT131" s="1277"/>
      <c r="AU131" s="1277"/>
      <c r="AV131" s="1277"/>
      <c r="AW131" s="1277"/>
      <c r="AX131" s="1277"/>
      <c r="AY131" s="1277"/>
      <c r="AZ131" s="1277"/>
      <c r="BA131" s="1277"/>
    </row>
    <row customHeight="1" ht="19.0125" hidden="1">
      <c r="A132" s="1277"/>
      <c r="B132" s="417">
        <f>AND(NOT(method_reg="Метод сравнения аналогов"),HAS_DOC6="да")</f>
        <v>0</v>
      </c>
      <c r="C132" s="1277"/>
      <c r="D132" s="1277"/>
      <c r="E132" s="614">
        <v>19.5</v>
      </c>
      <c r="F132" s="1277"/>
      <c r="G132" s="1277"/>
      <c r="H132" s="1277"/>
      <c r="I132" s="1277"/>
      <c r="J132" s="1277"/>
      <c r="K132" s="1277"/>
      <c r="L132" s="1277"/>
      <c r="M132" s="1277"/>
      <c r="N132" s="1277"/>
      <c r="O132" s="1277"/>
      <c r="P132" s="1277"/>
      <c r="Q132" s="1277"/>
      <c r="R132" s="1277"/>
      <c r="S132" s="1277"/>
      <c r="T132" s="1277"/>
      <c r="U132" s="1277"/>
      <c r="V132" s="1277"/>
      <c r="W132" s="474" cm="1" t="str">
        <f t="array" ref="W132:W132">W131</f>
        <v>false</v>
      </c>
      <c r="X132" s="1277"/>
      <c r="Y132" s="1277"/>
      <c r="Z132" s="1624"/>
      <c r="AA132" s="1442"/>
      <c r="AB132" s="1446"/>
      <c r="AC132" s="1441" t="s">
        <v>203</v>
      </c>
      <c r="AD132" s="1441"/>
      <c r="AE132" s="1664"/>
      <c r="AF132" s="353"/>
      <c r="AG132" s="1277"/>
      <c r="AH132" s="1277"/>
      <c r="AI132" s="1277"/>
      <c r="AJ132" s="1277"/>
      <c r="AK132" s="1277"/>
      <c r="AL132" s="1277"/>
      <c r="AM132" s="1277"/>
      <c r="AN132" s="1277"/>
      <c r="AO132" s="1277"/>
      <c r="AP132" s="1277"/>
      <c r="AQ132" s="1277"/>
      <c r="AR132" s="1277"/>
      <c r="AS132" s="1277"/>
      <c r="AT132" s="1277"/>
      <c r="AU132" s="1277"/>
      <c r="AV132" s="1277"/>
      <c r="AW132" s="1277"/>
      <c r="AX132" s="1277"/>
      <c r="AY132" s="1277"/>
      <c r="AZ132" s="1277"/>
      <c r="BA132" s="1277"/>
    </row>
    <row customHeight="1" ht="19.0125" hidden="1">
      <c r="A133" s="1277"/>
      <c r="B133" s="417">
        <f>AND(NOT(method_reg="Метод сравнения аналогов"),HAS_DOC6="да")</f>
        <v>0</v>
      </c>
      <c r="C133" s="1277"/>
      <c r="D133" s="1277"/>
      <c r="E133" s="614">
        <v>19.5</v>
      </c>
      <c r="F133" s="1277"/>
      <c r="G133" s="1277"/>
      <c r="H133" s="1277"/>
      <c r="I133" s="1277"/>
      <c r="J133" s="1277"/>
      <c r="K133" s="1277"/>
      <c r="L133" s="1277"/>
      <c r="M133" s="1277"/>
      <c r="N133" s="1277"/>
      <c r="O133" s="1277"/>
      <c r="P133" s="1277"/>
      <c r="Q133" s="1277"/>
      <c r="R133" s="1277"/>
      <c r="S133" s="1277"/>
      <c r="T133" s="1277"/>
      <c r="U133" s="1277"/>
      <c r="V133" s="1277"/>
      <c r="W133" s="474" cm="1" t="str">
        <f t="array" ref="W133:W133">W132</f>
        <v>false</v>
      </c>
      <c r="X133" s="1277"/>
      <c r="Y133" s="1277"/>
      <c r="Z133" s="1624"/>
      <c r="AA133" s="1442"/>
      <c r="AB133" s="1446"/>
      <c r="AC133" s="1441" t="s">
        <v>216</v>
      </c>
      <c r="AD133" s="1441"/>
      <c r="AE133" s="1664"/>
      <c r="AF133" s="353"/>
      <c r="AG133" s="1277"/>
      <c r="AH133" s="1277"/>
      <c r="AI133" s="1277"/>
      <c r="AJ133" s="1277"/>
      <c r="AK133" s="1277"/>
      <c r="AL133" s="1277"/>
      <c r="AM133" s="1277"/>
      <c r="AN133" s="1277"/>
      <c r="AO133" s="1277"/>
      <c r="AP133" s="1277"/>
      <c r="AQ133" s="1277"/>
      <c r="AR133" s="1277"/>
      <c r="AS133" s="1277"/>
      <c r="AT133" s="1277"/>
      <c r="AU133" s="1277"/>
      <c r="AV133" s="1277"/>
      <c r="AW133" s="1277"/>
      <c r="AX133" s="1277"/>
      <c r="AY133" s="1277"/>
      <c r="AZ133" s="1277"/>
      <c r="BA133" s="1277"/>
    </row>
    <row customHeight="1" ht="19.0125" hidden="1">
      <c r="A134" s="1277"/>
      <c r="B134" s="417">
        <f>AND(NOT(method_reg="Метод сравнения аналогов"),HAS_DOC6="да")</f>
        <v>0</v>
      </c>
      <c r="C134" s="1277"/>
      <c r="D134" s="1277"/>
      <c r="E134" s="614">
        <v>19.5</v>
      </c>
      <c r="F134" s="1277"/>
      <c r="G134" s="1277"/>
      <c r="H134" s="1277"/>
      <c r="I134" s="1277"/>
      <c r="J134" s="1277"/>
      <c r="K134" s="1277"/>
      <c r="L134" s="1277"/>
      <c r="M134" s="1277"/>
      <c r="N134" s="1277"/>
      <c r="O134" s="1277"/>
      <c r="P134" s="1277"/>
      <c r="Q134" s="1277"/>
      <c r="R134" s="1277"/>
      <c r="S134" s="1277"/>
      <c r="T134" s="1277"/>
      <c r="U134" s="1277"/>
      <c r="V134" s="1277"/>
      <c r="W134" s="474" cm="1" t="str">
        <f t="array" ref="W134:W134">W133</f>
        <v>false</v>
      </c>
      <c r="X134" s="1277"/>
      <c r="Y134" s="1277"/>
      <c r="Z134" s="1624"/>
      <c r="AA134" s="1442"/>
      <c r="AB134" s="1446"/>
      <c r="AC134" s="1441" t="s">
        <v>217</v>
      </c>
      <c r="AD134" s="1441"/>
      <c r="AE134" s="1664"/>
      <c r="AF134" s="353"/>
      <c r="AG134" s="1277"/>
      <c r="AH134" s="1277"/>
      <c r="AI134" s="1277"/>
      <c r="AJ134" s="1277"/>
      <c r="AK134" s="1277"/>
      <c r="AL134" s="1277"/>
      <c r="AM134" s="1277"/>
      <c r="AN134" s="1277"/>
      <c r="AO134" s="1277"/>
      <c r="AP134" s="1277"/>
      <c r="AQ134" s="1277"/>
      <c r="AR134" s="1277"/>
      <c r="AS134" s="1277"/>
      <c r="AT134" s="1277"/>
      <c r="AU134" s="1277"/>
      <c r="AV134" s="1277"/>
      <c r="AW134" s="1277"/>
      <c r="AX134" s="1277"/>
      <c r="AY134" s="1277"/>
      <c r="AZ134" s="1277"/>
      <c r="BA134" s="1277"/>
    </row>
    <row customHeight="1" ht="14.625" hidden="1">
      <c r="A135" s="1277"/>
      <c r="B135" s="417">
        <f>AND(NOT(method_reg="Метод сравнения аналогов"),HAS_DOC6="да")</f>
        <v>0</v>
      </c>
      <c r="C135" s="1277"/>
      <c r="D135" s="1277"/>
      <c r="E135" s="614">
        <v>15</v>
      </c>
      <c r="F135" s="73" t="s">
        <v>218</v>
      </c>
      <c r="G135" s="1277"/>
      <c r="H135" s="1277"/>
      <c r="I135" s="1277"/>
      <c r="J135" s="1277"/>
      <c r="K135" s="1277"/>
      <c r="L135" s="1277"/>
      <c r="M135" s="1277"/>
      <c r="N135" s="1277"/>
      <c r="O135" s="1277"/>
      <c r="P135" s="1277"/>
      <c r="Q135" s="1277"/>
      <c r="R135" s="1277"/>
      <c r="S135" s="1277"/>
      <c r="T135" s="1277"/>
      <c r="U135" s="1277"/>
      <c r="V135" s="1277"/>
      <c r="W135" s="1277"/>
      <c r="X135" s="1277"/>
      <c r="Y135" s="74" t="s">
        <v>175</v>
      </c>
      <c r="Z135" s="1624"/>
      <c r="AA135" s="1277"/>
      <c r="AB135" s="231"/>
      <c r="AC135" s="230"/>
      <c r="AD135" s="230"/>
      <c r="AE135" s="334" t="s">
        <v>176</v>
      </c>
      <c r="AF135" s="353"/>
      <c r="AG135" s="1277"/>
      <c r="AH135" s="1277"/>
      <c r="AI135" s="1277"/>
      <c r="AJ135" s="1277"/>
      <c r="AK135" s="1277"/>
      <c r="AL135" s="1277"/>
      <c r="AM135" s="1277"/>
      <c r="AN135" s="1277"/>
      <c r="AO135" s="1277"/>
      <c r="AP135" s="1277"/>
      <c r="AQ135" s="1277"/>
      <c r="AR135" s="1277"/>
      <c r="AS135" s="1277"/>
      <c r="AT135" s="1277"/>
      <c r="AU135" s="1277"/>
      <c r="AV135" s="1277"/>
      <c r="AW135" s="1277"/>
      <c r="AX135" s="1277"/>
      <c r="AY135" s="1277"/>
      <c r="AZ135" s="1277"/>
      <c r="BA135" s="1277"/>
    </row>
    <row customHeight="1" ht="24.862499999999997" hidden="1">
      <c r="A136" s="1277"/>
      <c r="B136" s="417">
        <f>NOT(method_reg="Метод сравнения аналогов")</f>
        <v>0</v>
      </c>
      <c r="C136" s="1277"/>
      <c r="D136" s="1277"/>
      <c r="E136" s="614">
        <v>25.5</v>
      </c>
      <c r="F136" s="73" t="s">
        <v>220</v>
      </c>
      <c r="G136" s="1277"/>
      <c r="H136" s="1277"/>
      <c r="I136" s="1277"/>
      <c r="J136" s="1277"/>
      <c r="K136" s="1277"/>
      <c r="L136" s="1277"/>
      <c r="M136" s="1277"/>
      <c r="N136" s="1277"/>
      <c r="O136" s="1277"/>
      <c r="P136" s="1277"/>
      <c r="Q136" s="1277"/>
      <c r="R136" s="1277"/>
      <c r="S136" s="1277"/>
      <c r="T136" s="1277"/>
      <c r="U136" s="1277"/>
      <c r="V136" s="1277"/>
      <c r="W136" s="1277"/>
      <c r="X136" s="1277"/>
      <c r="Y136" s="1277"/>
      <c r="Z136" s="1624"/>
      <c r="AA136" s="1277"/>
      <c r="AB136" s="1441" t="str">
        <f>"Наличие утверждённых ОИВ концессионных соглашений, действующих в течение "&amp;god&amp;" года, для организации, оказывающей услуги холодного водоснабжения/водоотведения"</f>
        <v>Наличие утверждённых ОИВ концессионных соглашений, действующих в течение 2026 года, для организации, оказывающей услуги холодного водоснабжения/водоотведения</v>
      </c>
      <c r="AC136" s="1441"/>
      <c r="AD136" s="1441"/>
      <c r="AE136" s="1635"/>
      <c r="AF136" s="452"/>
      <c r="AG136" s="73" t="s">
        <v>221</v>
      </c>
      <c r="AH136" s="1277"/>
      <c r="AI136" s="1277"/>
      <c r="AJ136" s="1277"/>
      <c r="AK136" s="1277"/>
      <c r="AL136" s="1277"/>
      <c r="AM136" s="1277"/>
      <c r="AN136" s="1277"/>
      <c r="AO136" s="1277"/>
      <c r="AP136" s="1277"/>
      <c r="AQ136" s="1277"/>
      <c r="AR136" s="1277"/>
      <c r="AS136" s="1277"/>
      <c r="AT136" s="1277"/>
      <c r="AU136" s="1277"/>
      <c r="AV136" s="1277"/>
      <c r="AW136" s="1277"/>
      <c r="AX136" s="1277"/>
      <c r="AY136" s="1277"/>
      <c r="AZ136" s="1277"/>
      <c r="BA136" s="1277"/>
    </row>
    <row customHeight="1" ht="19.0125" hidden="1">
      <c r="A137" s="1277"/>
      <c r="B137" s="417">
        <f>AND(NOT(method_reg="Метод сравнения аналогов"),HAS_DOC7="да")</f>
        <v>0</v>
      </c>
      <c r="C137" s="1277"/>
      <c r="D137" s="1277"/>
      <c r="E137" s="614">
        <v>19.5</v>
      </c>
      <c r="F137" s="1277"/>
      <c r="G137" s="1277"/>
      <c r="H137" s="1277"/>
      <c r="I137" s="1277"/>
      <c r="J137" s="1277"/>
      <c r="K137" s="1277"/>
      <c r="L137" s="1277"/>
      <c r="M137" s="1277"/>
      <c r="N137" s="1277"/>
      <c r="O137" s="1277"/>
      <c r="P137" s="1277"/>
      <c r="Q137" s="1277"/>
      <c r="R137" s="1277"/>
      <c r="S137" s="1277"/>
      <c r="T137" s="1277"/>
      <c r="U137" s="1277"/>
      <c r="V137" s="1277"/>
      <c r="W137" s="1277"/>
      <c r="X137" s="1277"/>
      <c r="Y137" s="1277"/>
      <c r="Z137" s="1624"/>
      <c r="AA137" s="1277"/>
      <c r="AB137" s="1446" t="s">
        <v>196</v>
      </c>
      <c r="AC137" s="1441" t="s">
        <v>197</v>
      </c>
      <c r="AD137" s="1441"/>
      <c r="AE137" s="389"/>
      <c r="AF137" s="353"/>
      <c r="AG137" s="1277"/>
      <c r="AH137" s="1277"/>
      <c r="AI137" s="1277"/>
      <c r="AJ137" s="1277"/>
      <c r="AK137" s="1277"/>
      <c r="AL137" s="1277"/>
      <c r="AM137" s="1277"/>
      <c r="AN137" s="1277"/>
      <c r="AO137" s="1277"/>
      <c r="AP137" s="1277"/>
      <c r="AQ137" s="1277"/>
      <c r="AR137" s="1277"/>
      <c r="AS137" s="1277"/>
      <c r="AT137" s="1277"/>
      <c r="AU137" s="1277"/>
      <c r="AV137" s="1277"/>
      <c r="AW137" s="1277"/>
      <c r="AX137" s="1277"/>
      <c r="AY137" s="1277"/>
      <c r="AZ137" s="1277"/>
      <c r="BA137" s="1277"/>
    </row>
    <row customHeight="1" ht="19.0125" hidden="1">
      <c r="A138" s="1277"/>
      <c r="B138" s="417">
        <f>AND(NOT(method_reg="Метод сравнения аналогов"),HAS_DOC7="да")</f>
        <v>0</v>
      </c>
      <c r="C138" s="1277"/>
      <c r="D138" s="1277"/>
      <c r="E138" s="614">
        <v>19.5</v>
      </c>
      <c r="F138" s="1277"/>
      <c r="G138" s="1277"/>
      <c r="H138" s="1277"/>
      <c r="I138" s="1277"/>
      <c r="J138" s="1277"/>
      <c r="K138" s="1277"/>
      <c r="L138" s="1277"/>
      <c r="M138" s="1277"/>
      <c r="N138" s="1277"/>
      <c r="O138" s="1277"/>
      <c r="P138" s="1277"/>
      <c r="Q138" s="1277"/>
      <c r="R138" s="1277"/>
      <c r="S138" s="1277"/>
      <c r="T138" s="1277"/>
      <c r="U138" s="1277"/>
      <c r="V138" s="1277"/>
      <c r="W138" s="1277"/>
      <c r="X138" s="1277"/>
      <c r="Y138" s="1277"/>
      <c r="Z138" s="1624"/>
      <c r="AA138" s="1277"/>
      <c r="AB138" s="1446"/>
      <c r="AC138" s="1441" t="s">
        <v>199</v>
      </c>
      <c r="AD138" s="1441"/>
      <c r="AE138" s="389"/>
      <c r="AF138" s="353"/>
      <c r="AG138" s="1277"/>
      <c r="AH138" s="1277"/>
      <c r="AI138" s="1277"/>
      <c r="AJ138" s="1277"/>
      <c r="AK138" s="1277"/>
      <c r="AL138" s="1277"/>
      <c r="AM138" s="1277"/>
      <c r="AN138" s="1277"/>
      <c r="AO138" s="1277"/>
      <c r="AP138" s="1277"/>
      <c r="AQ138" s="1277"/>
      <c r="AR138" s="1277"/>
      <c r="AS138" s="1277"/>
      <c r="AT138" s="1277"/>
      <c r="AU138" s="1277"/>
      <c r="AV138" s="1277"/>
      <c r="AW138" s="1277"/>
      <c r="AX138" s="1277"/>
      <c r="AY138" s="1277"/>
      <c r="AZ138" s="1277"/>
      <c r="BA138" s="1277"/>
    </row>
    <row customHeight="1" ht="19.0125" hidden="1">
      <c r="A139" s="1277"/>
      <c r="B139" s="417">
        <f>AND(NOT(method_reg="Метод сравнения аналогов"),HAS_DOC7="да")</f>
        <v>0</v>
      </c>
      <c r="C139" s="1277"/>
      <c r="D139" s="1277"/>
      <c r="E139" s="614">
        <v>19.5</v>
      </c>
      <c r="F139" s="1277"/>
      <c r="G139" s="1277"/>
      <c r="H139" s="1277"/>
      <c r="I139" s="1277"/>
      <c r="J139" s="1277"/>
      <c r="K139" s="1277"/>
      <c r="L139" s="1277"/>
      <c r="M139" s="1277"/>
      <c r="N139" s="1277"/>
      <c r="O139" s="1277"/>
      <c r="P139" s="1277"/>
      <c r="Q139" s="1277"/>
      <c r="R139" s="1277"/>
      <c r="S139" s="1277"/>
      <c r="T139" s="1277"/>
      <c r="U139" s="1277"/>
      <c r="V139" s="1277"/>
      <c r="W139" s="1277"/>
      <c r="X139" s="1277"/>
      <c r="Y139" s="1277"/>
      <c r="Z139" s="1624"/>
      <c r="AA139" s="1277"/>
      <c r="AB139" s="1446"/>
      <c r="AC139" s="1441" t="s">
        <v>201</v>
      </c>
      <c r="AD139" s="1441"/>
      <c r="AE139" s="389"/>
      <c r="AF139" s="353"/>
      <c r="AG139" s="1277"/>
      <c r="AH139" s="1277"/>
      <c r="AI139" s="1277"/>
      <c r="AJ139" s="1277"/>
      <c r="AK139" s="1277"/>
      <c r="AL139" s="1277"/>
      <c r="AM139" s="1277"/>
      <c r="AN139" s="1277"/>
      <c r="AO139" s="1277"/>
      <c r="AP139" s="1277"/>
      <c r="AQ139" s="1277"/>
      <c r="AR139" s="1277"/>
      <c r="AS139" s="1277"/>
      <c r="AT139" s="1277"/>
      <c r="AU139" s="1277"/>
      <c r="AV139" s="1277"/>
      <c r="AW139" s="1277"/>
      <c r="AX139" s="1277"/>
      <c r="AY139" s="1277"/>
      <c r="AZ139" s="1277"/>
      <c r="BA139" s="1277"/>
    </row>
    <row customHeight="1" ht="19.0125" hidden="1">
      <c r="A140" s="1277"/>
      <c r="B140" s="417">
        <f>AND(NOT(method_reg="Метод сравнения аналогов"),HAS_DOC7="да")</f>
        <v>0</v>
      </c>
      <c r="C140" s="1277"/>
      <c r="D140" s="1277"/>
      <c r="E140" s="614">
        <v>19.5</v>
      </c>
      <c r="F140" s="1277"/>
      <c r="G140" s="1277"/>
      <c r="H140" s="1277"/>
      <c r="I140" s="1277"/>
      <c r="J140" s="1277"/>
      <c r="K140" s="1277"/>
      <c r="L140" s="1277"/>
      <c r="M140" s="1277"/>
      <c r="N140" s="1277"/>
      <c r="O140" s="1277"/>
      <c r="P140" s="1277"/>
      <c r="Q140" s="1277"/>
      <c r="R140" s="1277"/>
      <c r="S140" s="1277"/>
      <c r="T140" s="1277"/>
      <c r="U140" s="1277"/>
      <c r="V140" s="1277"/>
      <c r="W140" s="1277"/>
      <c r="X140" s="1277"/>
      <c r="Y140" s="1277"/>
      <c r="Z140" s="1624"/>
      <c r="AA140" s="1277"/>
      <c r="AB140" s="1446"/>
      <c r="AC140" s="1441" t="s">
        <v>203</v>
      </c>
      <c r="AD140" s="1441"/>
      <c r="AE140" s="1664"/>
      <c r="AF140" s="353"/>
      <c r="AG140" s="1277"/>
      <c r="AH140" s="1277"/>
      <c r="AI140" s="1277"/>
      <c r="AJ140" s="1277"/>
      <c r="AK140" s="1277"/>
      <c r="AL140" s="1277"/>
      <c r="AM140" s="1277"/>
      <c r="AN140" s="1277"/>
      <c r="AO140" s="1277"/>
      <c r="AP140" s="1277"/>
      <c r="AQ140" s="1277"/>
      <c r="AR140" s="1277"/>
      <c r="AS140" s="1277"/>
      <c r="AT140" s="1277"/>
      <c r="AU140" s="1277"/>
      <c r="AV140" s="1277"/>
      <c r="AW140" s="1277"/>
      <c r="AX140" s="1277"/>
      <c r="AY140" s="1277"/>
      <c r="AZ140" s="1277"/>
      <c r="BA140" s="1277"/>
    </row>
    <row customHeight="1" ht="19.0125" hidden="1">
      <c r="A141" s="1277"/>
      <c r="B141" s="417">
        <f>AND(NOT(method_reg="Метод сравнения аналогов"),HAS_DOC7="да")</f>
        <v>0</v>
      </c>
      <c r="C141" s="1277"/>
      <c r="D141" s="1277"/>
      <c r="E141" s="614">
        <v>19.5</v>
      </c>
      <c r="F141" s="1277"/>
      <c r="G141" s="1277"/>
      <c r="H141" s="1277"/>
      <c r="I141" s="1277"/>
      <c r="J141" s="1277"/>
      <c r="K141" s="1277"/>
      <c r="L141" s="1277"/>
      <c r="M141" s="1277"/>
      <c r="N141" s="1277"/>
      <c r="O141" s="1277"/>
      <c r="P141" s="1277"/>
      <c r="Q141" s="1277"/>
      <c r="R141" s="1277"/>
      <c r="S141" s="1277"/>
      <c r="T141" s="1277"/>
      <c r="U141" s="1277"/>
      <c r="V141" s="1277"/>
      <c r="W141" s="1277"/>
      <c r="X141" s="1277"/>
      <c r="Y141" s="1277"/>
      <c r="Z141" s="1624"/>
      <c r="AA141" s="1277"/>
      <c r="AB141" s="1446"/>
      <c r="AC141" s="1441" t="s">
        <v>222</v>
      </c>
      <c r="AD141" s="1441"/>
      <c r="AE141" s="1664"/>
      <c r="AF141" s="353"/>
      <c r="AG141" s="1277"/>
      <c r="AH141" s="1277"/>
      <c r="AI141" s="1277"/>
      <c r="AJ141" s="1277"/>
      <c r="AK141" s="1277"/>
      <c r="AL141" s="1277"/>
      <c r="AM141" s="1277"/>
      <c r="AN141" s="1277"/>
      <c r="AO141" s="1277"/>
      <c r="AP141" s="1277"/>
      <c r="AQ141" s="1277"/>
      <c r="AR141" s="1277"/>
      <c r="AS141" s="1277"/>
      <c r="AT141" s="1277"/>
      <c r="AU141" s="1277"/>
      <c r="AV141" s="1277"/>
      <c r="AW141" s="1277"/>
      <c r="AX141" s="1277"/>
      <c r="AY141" s="1277"/>
      <c r="AZ141" s="1277"/>
      <c r="BA141" s="1277"/>
    </row>
    <row customHeight="1" ht="19.0125" hidden="1">
      <c r="A142" s="1277"/>
      <c r="B142" s="417">
        <f>AND(NOT(method_reg="Метод сравнения аналогов"),HAS_DOC7="да")</f>
        <v>0</v>
      </c>
      <c r="C142" s="1277"/>
      <c r="D142" s="1277"/>
      <c r="E142" s="614">
        <v>19.5</v>
      </c>
      <c r="F142" s="1277"/>
      <c r="G142" s="1277"/>
      <c r="H142" s="1277"/>
      <c r="I142" s="1277"/>
      <c r="J142" s="1277"/>
      <c r="K142" s="1277"/>
      <c r="L142" s="1277"/>
      <c r="M142" s="1277"/>
      <c r="N142" s="1277"/>
      <c r="O142" s="1277"/>
      <c r="P142" s="1277"/>
      <c r="Q142" s="1277"/>
      <c r="R142" s="1277"/>
      <c r="S142" s="1277"/>
      <c r="T142" s="1277"/>
      <c r="U142" s="1277"/>
      <c r="V142" s="1277"/>
      <c r="W142" s="1277"/>
      <c r="X142" s="1277"/>
      <c r="Y142" s="1277"/>
      <c r="Z142" s="1624"/>
      <c r="AA142" s="1277"/>
      <c r="AB142" s="1446"/>
      <c r="AC142" s="1441" t="s">
        <v>223</v>
      </c>
      <c r="AD142" s="1441"/>
      <c r="AE142" s="1664"/>
      <c r="AF142" s="353"/>
      <c r="AG142" s="1277"/>
      <c r="AH142" s="1277"/>
      <c r="AI142" s="1277"/>
      <c r="AJ142" s="1277"/>
      <c r="AK142" s="1277"/>
      <c r="AL142" s="1277"/>
      <c r="AM142" s="1277"/>
      <c r="AN142" s="1277"/>
      <c r="AO142" s="1277"/>
      <c r="AP142" s="1277"/>
      <c r="AQ142" s="1277"/>
      <c r="AR142" s="1277"/>
      <c r="AS142" s="1277"/>
      <c r="AT142" s="1277"/>
      <c r="AU142" s="1277"/>
      <c r="AV142" s="1277"/>
      <c r="AW142" s="1277"/>
      <c r="AX142" s="1277"/>
      <c r="AY142" s="1277"/>
      <c r="AZ142" s="1277"/>
      <c r="BA142" s="1277"/>
    </row>
    <row customHeight="1" ht="19.0125" hidden="1">
      <c r="A143" s="1277"/>
      <c r="B143" s="417">
        <f>AND(NOT(method_reg="Метод сравнения аналогов"),HAS_DOC7="да")</f>
        <v>0</v>
      </c>
      <c r="C143" s="1277"/>
      <c r="D143" s="1277"/>
      <c r="E143" s="614">
        <v>19.5</v>
      </c>
      <c r="F143" s="1277"/>
      <c r="G143" s="1277"/>
      <c r="H143" s="1277"/>
      <c r="I143" s="1277"/>
      <c r="J143" s="1277"/>
      <c r="K143" s="1277"/>
      <c r="L143" s="1277"/>
      <c r="M143" s="1277"/>
      <c r="N143" s="1277"/>
      <c r="O143" s="1277"/>
      <c r="P143" s="1277"/>
      <c r="Q143" s="1277"/>
      <c r="R143" s="1277"/>
      <c r="S143" s="1277"/>
      <c r="T143" s="1277"/>
      <c r="U143" s="1277"/>
      <c r="V143" s="1277"/>
      <c r="W143" s="474">
        <f>ROW(Y143)&gt;ROW(Y$143)</f>
        <v>0</v>
      </c>
      <c r="X143" s="1277"/>
      <c r="Y143" s="73" t="s">
        <v>172</v>
      </c>
      <c r="Z143" s="1624"/>
      <c r="AA143" s="1442" t="s">
        <v>173</v>
      </c>
      <c r="AB143" s="1446" t="s">
        <v>196</v>
      </c>
      <c r="AC143" s="1441" t="s">
        <v>197</v>
      </c>
      <c r="AD143" s="1441"/>
      <c r="AE143" s="389"/>
      <c r="AF143" s="353"/>
      <c r="AG143" s="1277"/>
      <c r="AH143" s="1277"/>
      <c r="AI143" s="1277"/>
      <c r="AJ143" s="1277"/>
      <c r="AK143" s="1277"/>
      <c r="AL143" s="1277"/>
      <c r="AM143" s="1277"/>
      <c r="AN143" s="1277"/>
      <c r="AO143" s="1277"/>
      <c r="AP143" s="1277"/>
      <c r="AQ143" s="1277"/>
      <c r="AR143" s="1277"/>
      <c r="AS143" s="1277"/>
      <c r="AT143" s="1277"/>
      <c r="AU143" s="1277"/>
      <c r="AV143" s="1277"/>
      <c r="AW143" s="1277"/>
      <c r="AX143" s="1277"/>
      <c r="AY143" s="1277"/>
      <c r="AZ143" s="1277"/>
      <c r="BA143" s="1277"/>
    </row>
    <row customHeight="1" ht="19.0125" hidden="1">
      <c r="A144" s="1277"/>
      <c r="B144" s="417">
        <f>AND(NOT(method_reg="Метод сравнения аналогов"),HAS_DOC7="да")</f>
        <v>0</v>
      </c>
      <c r="C144" s="1277"/>
      <c r="D144" s="1277"/>
      <c r="E144" s="614">
        <v>19.5</v>
      </c>
      <c r="F144" s="1277"/>
      <c r="G144" s="1277"/>
      <c r="H144" s="1277"/>
      <c r="I144" s="1277"/>
      <c r="J144" s="1277"/>
      <c r="K144" s="1277"/>
      <c r="L144" s="1277"/>
      <c r="M144" s="1277"/>
      <c r="N144" s="1277"/>
      <c r="O144" s="1277"/>
      <c r="P144" s="1277"/>
      <c r="Q144" s="1277"/>
      <c r="R144" s="1277"/>
      <c r="S144" s="1277"/>
      <c r="T144" s="1277"/>
      <c r="U144" s="1277"/>
      <c r="V144" s="1277"/>
      <c r="W144" s="474" cm="1" t="str">
        <f t="array" ref="W144:W144">W143</f>
        <v>false</v>
      </c>
      <c r="X144" s="1277"/>
      <c r="Y144" s="1277"/>
      <c r="Z144" s="1624"/>
      <c r="AA144" s="1442"/>
      <c r="AB144" s="1446"/>
      <c r="AC144" s="1441" t="s">
        <v>199</v>
      </c>
      <c r="AD144" s="1441"/>
      <c r="AE144" s="1663"/>
      <c r="AF144" s="353"/>
      <c r="AG144" s="1277"/>
      <c r="AH144" s="1277"/>
      <c r="AI144" s="1277"/>
      <c r="AJ144" s="1277"/>
      <c r="AK144" s="1277"/>
      <c r="AL144" s="1277"/>
      <c r="AM144" s="1277"/>
      <c r="AN144" s="1277"/>
      <c r="AO144" s="1277"/>
      <c r="AP144" s="1277"/>
      <c r="AQ144" s="1277"/>
      <c r="AR144" s="1277"/>
      <c r="AS144" s="1277"/>
      <c r="AT144" s="1277"/>
      <c r="AU144" s="1277"/>
      <c r="AV144" s="1277"/>
      <c r="AW144" s="1277"/>
      <c r="AX144" s="1277"/>
      <c r="AY144" s="1277"/>
      <c r="AZ144" s="1277"/>
      <c r="BA144" s="1277"/>
    </row>
    <row customHeight="1" ht="19.0125" hidden="1">
      <c r="A145" s="1277"/>
      <c r="B145" s="417">
        <f>AND(NOT(method_reg="Метод сравнения аналогов"),HAS_DOC7="да")</f>
        <v>0</v>
      </c>
      <c r="C145" s="1277"/>
      <c r="D145" s="1277"/>
      <c r="E145" s="614">
        <v>19.5</v>
      </c>
      <c r="F145" s="1277"/>
      <c r="G145" s="1277"/>
      <c r="H145" s="1277"/>
      <c r="I145" s="1277"/>
      <c r="J145" s="1277"/>
      <c r="K145" s="1277"/>
      <c r="L145" s="1277"/>
      <c r="M145" s="1277"/>
      <c r="N145" s="1277"/>
      <c r="O145" s="1277"/>
      <c r="P145" s="1277"/>
      <c r="Q145" s="1277"/>
      <c r="R145" s="1277"/>
      <c r="S145" s="1277"/>
      <c r="T145" s="1277"/>
      <c r="U145" s="1277"/>
      <c r="V145" s="1277"/>
      <c r="W145" s="474" cm="1" t="str">
        <f t="array" ref="W145:W145">W144</f>
        <v>false</v>
      </c>
      <c r="X145" s="1277"/>
      <c r="Y145" s="1277"/>
      <c r="Z145" s="1624"/>
      <c r="AA145" s="1442"/>
      <c r="AB145" s="1446"/>
      <c r="AC145" s="1441" t="s">
        <v>201</v>
      </c>
      <c r="AD145" s="1441"/>
      <c r="AE145" s="389"/>
      <c r="AF145" s="353"/>
      <c r="AG145" s="1277"/>
      <c r="AH145" s="1277"/>
      <c r="AI145" s="1277"/>
      <c r="AJ145" s="1277"/>
      <c r="AK145" s="1277"/>
      <c r="AL145" s="1277"/>
      <c r="AM145" s="1277"/>
      <c r="AN145" s="1277"/>
      <c r="AO145" s="1277"/>
      <c r="AP145" s="1277"/>
      <c r="AQ145" s="1277"/>
      <c r="AR145" s="1277"/>
      <c r="AS145" s="1277"/>
      <c r="AT145" s="1277"/>
      <c r="AU145" s="1277"/>
      <c r="AV145" s="1277"/>
      <c r="AW145" s="1277"/>
      <c r="AX145" s="1277"/>
      <c r="AY145" s="1277"/>
      <c r="AZ145" s="1277"/>
      <c r="BA145" s="1277"/>
    </row>
    <row customHeight="1" ht="19.0125" hidden="1">
      <c r="A146" s="1277"/>
      <c r="B146" s="417">
        <f>AND(NOT(method_reg="Метод сравнения аналогов"),HAS_DOC7="да")</f>
        <v>0</v>
      </c>
      <c r="C146" s="1277"/>
      <c r="D146" s="1277"/>
      <c r="E146" s="614">
        <v>19.5</v>
      </c>
      <c r="F146" s="1277"/>
      <c r="G146" s="1277"/>
      <c r="H146" s="1277"/>
      <c r="I146" s="1277"/>
      <c r="J146" s="1277"/>
      <c r="K146" s="1277"/>
      <c r="L146" s="1277"/>
      <c r="M146" s="1277"/>
      <c r="N146" s="1277"/>
      <c r="O146" s="1277"/>
      <c r="P146" s="1277"/>
      <c r="Q146" s="1277"/>
      <c r="R146" s="1277"/>
      <c r="S146" s="1277"/>
      <c r="T146" s="1277"/>
      <c r="U146" s="1277"/>
      <c r="V146" s="1277"/>
      <c r="W146" s="474" cm="1" t="str">
        <f t="array" ref="W146:W146">W145</f>
        <v>false</v>
      </c>
      <c r="X146" s="1277"/>
      <c r="Y146" s="1277"/>
      <c r="Z146" s="1624"/>
      <c r="AA146" s="1442"/>
      <c r="AB146" s="1446"/>
      <c r="AC146" s="1441" t="s">
        <v>203</v>
      </c>
      <c r="AD146" s="1441"/>
      <c r="AE146" s="1664"/>
      <c r="AF146" s="353"/>
      <c r="AG146" s="1277"/>
      <c r="AH146" s="1277"/>
      <c r="AI146" s="1277"/>
      <c r="AJ146" s="1277"/>
      <c r="AK146" s="1277"/>
      <c r="AL146" s="1277"/>
      <c r="AM146" s="1277"/>
      <c r="AN146" s="1277"/>
      <c r="AO146" s="1277"/>
      <c r="AP146" s="1277"/>
      <c r="AQ146" s="1277"/>
      <c r="AR146" s="1277"/>
      <c r="AS146" s="1277"/>
      <c r="AT146" s="1277"/>
      <c r="AU146" s="1277"/>
      <c r="AV146" s="1277"/>
      <c r="AW146" s="1277"/>
      <c r="AX146" s="1277"/>
      <c r="AY146" s="1277"/>
      <c r="AZ146" s="1277"/>
      <c r="BA146" s="1277"/>
    </row>
    <row customHeight="1" ht="19.0125" hidden="1">
      <c r="A147" s="1277"/>
      <c r="B147" s="417">
        <f>AND(NOT(method_reg="Метод сравнения аналогов"),HAS_DOC7="да")</f>
        <v>0</v>
      </c>
      <c r="C147" s="1277"/>
      <c r="D147" s="1277"/>
      <c r="E147" s="614">
        <v>19.5</v>
      </c>
      <c r="F147" s="1277"/>
      <c r="G147" s="1277"/>
      <c r="H147" s="1277"/>
      <c r="I147" s="1277"/>
      <c r="J147" s="1277"/>
      <c r="K147" s="1277"/>
      <c r="L147" s="1277"/>
      <c r="M147" s="1277"/>
      <c r="N147" s="1277"/>
      <c r="O147" s="1277"/>
      <c r="P147" s="1277"/>
      <c r="Q147" s="1277"/>
      <c r="R147" s="1277"/>
      <c r="S147" s="1277"/>
      <c r="T147" s="1277"/>
      <c r="U147" s="1277"/>
      <c r="V147" s="1277"/>
      <c r="W147" s="474" cm="1" t="str">
        <f t="array" ref="W147:W147">W146</f>
        <v>false</v>
      </c>
      <c r="X147" s="1277"/>
      <c r="Y147" s="1277"/>
      <c r="Z147" s="1624"/>
      <c r="AA147" s="1442"/>
      <c r="AB147" s="1446"/>
      <c r="AC147" s="1441" t="s">
        <v>222</v>
      </c>
      <c r="AD147" s="1441"/>
      <c r="AE147" s="1664"/>
      <c r="AF147" s="353"/>
      <c r="AG147" s="1277"/>
      <c r="AH147" s="1277"/>
      <c r="AI147" s="1277"/>
      <c r="AJ147" s="1277"/>
      <c r="AK147" s="1277"/>
      <c r="AL147" s="1277"/>
      <c r="AM147" s="1277"/>
      <c r="AN147" s="1277"/>
      <c r="AO147" s="1277"/>
      <c r="AP147" s="1277"/>
      <c r="AQ147" s="1277"/>
      <c r="AR147" s="1277"/>
      <c r="AS147" s="1277"/>
      <c r="AT147" s="1277"/>
      <c r="AU147" s="1277"/>
      <c r="AV147" s="1277"/>
      <c r="AW147" s="1277"/>
      <c r="AX147" s="1277"/>
      <c r="AY147" s="1277"/>
      <c r="AZ147" s="1277"/>
      <c r="BA147" s="1277"/>
    </row>
    <row customHeight="1" ht="19.0125" hidden="1">
      <c r="A148" s="1277"/>
      <c r="B148" s="417">
        <f>AND(NOT(method_reg="Метод сравнения аналогов"),HAS_DOC7="да")</f>
        <v>0</v>
      </c>
      <c r="C148" s="1277"/>
      <c r="D148" s="1277"/>
      <c r="E148" s="614">
        <v>19.5</v>
      </c>
      <c r="F148" s="1277"/>
      <c r="G148" s="1277"/>
      <c r="H148" s="1277"/>
      <c r="I148" s="1277"/>
      <c r="J148" s="1277"/>
      <c r="K148" s="1277"/>
      <c r="L148" s="1277"/>
      <c r="M148" s="1277"/>
      <c r="N148" s="1277"/>
      <c r="O148" s="1277"/>
      <c r="P148" s="1277"/>
      <c r="Q148" s="1277"/>
      <c r="R148" s="1277"/>
      <c r="S148" s="1277"/>
      <c r="T148" s="1277"/>
      <c r="U148" s="1277"/>
      <c r="V148" s="1277"/>
      <c r="W148" s="474" cm="1" t="str">
        <f t="array" ref="W148:W148">W147</f>
        <v>false</v>
      </c>
      <c r="X148" s="1277"/>
      <c r="Y148" s="1277"/>
      <c r="Z148" s="1624"/>
      <c r="AA148" s="1442"/>
      <c r="AB148" s="1446"/>
      <c r="AC148" s="1441" t="s">
        <v>223</v>
      </c>
      <c r="AD148" s="1441"/>
      <c r="AE148" s="1664"/>
      <c r="AF148" s="353"/>
      <c r="AG148" s="1277"/>
      <c r="AH148" s="1277"/>
      <c r="AI148" s="1277"/>
      <c r="AJ148" s="1277"/>
      <c r="AK148" s="1277"/>
      <c r="AL148" s="1277"/>
      <c r="AM148" s="1277"/>
      <c r="AN148" s="1277"/>
      <c r="AO148" s="1277"/>
      <c r="AP148" s="1277"/>
      <c r="AQ148" s="1277"/>
      <c r="AR148" s="1277"/>
      <c r="AS148" s="1277"/>
      <c r="AT148" s="1277"/>
      <c r="AU148" s="1277"/>
      <c r="AV148" s="1277"/>
      <c r="AW148" s="1277"/>
      <c r="AX148" s="1277"/>
      <c r="AY148" s="1277"/>
      <c r="AZ148" s="1277"/>
      <c r="BA148" s="1277"/>
    </row>
    <row customHeight="1" ht="14.625" hidden="1">
      <c r="A149" s="1277"/>
      <c r="B149" s="417">
        <f>AND(NOT(method_reg="Метод сравнения аналогов"),HAS_DOC7="да")</f>
        <v>0</v>
      </c>
      <c r="C149" s="1277"/>
      <c r="D149" s="1277"/>
      <c r="E149" s="614">
        <v>15</v>
      </c>
      <c r="F149" s="73" t="s">
        <v>220</v>
      </c>
      <c r="G149" s="1277"/>
      <c r="H149" s="1277"/>
      <c r="I149" s="1277"/>
      <c r="J149" s="1277"/>
      <c r="K149" s="1277"/>
      <c r="L149" s="1277"/>
      <c r="M149" s="1277"/>
      <c r="N149" s="1277"/>
      <c r="O149" s="1277"/>
      <c r="P149" s="1277"/>
      <c r="Q149" s="1277"/>
      <c r="R149" s="1277"/>
      <c r="S149" s="1277"/>
      <c r="T149" s="1277"/>
      <c r="U149" s="1277"/>
      <c r="V149" s="1277"/>
      <c r="W149" s="1277"/>
      <c r="X149" s="1277"/>
      <c r="Y149" s="74" t="s">
        <v>175</v>
      </c>
      <c r="Z149" s="1624"/>
      <c r="AA149" s="1277"/>
      <c r="AB149" s="231"/>
      <c r="AC149" s="230"/>
      <c r="AD149" s="230"/>
      <c r="AE149" s="334" t="s">
        <v>176</v>
      </c>
      <c r="AF149" s="353"/>
      <c r="AG149" s="1277"/>
      <c r="AH149" s="1277"/>
      <c r="AI149" s="1277"/>
      <c r="AJ149" s="1277"/>
      <c r="AK149" s="1277"/>
      <c r="AL149" s="1277"/>
      <c r="AM149" s="1277"/>
      <c r="AN149" s="1277"/>
      <c r="AO149" s="1277"/>
      <c r="AP149" s="1277"/>
      <c r="AQ149" s="1277"/>
      <c r="AR149" s="1277"/>
      <c r="AS149" s="1277"/>
      <c r="AT149" s="1277"/>
      <c r="AU149" s="1277"/>
      <c r="AV149" s="1277"/>
      <c r="AW149" s="1277"/>
      <c r="AX149" s="1277"/>
      <c r="AY149" s="1277"/>
      <c r="AZ149" s="1277"/>
      <c r="BA149" s="1277"/>
    </row>
    <row customHeight="1" ht="19.0125">
      <c r="B150" s="73"/>
      <c r="E150" s="614">
        <v>19.5</v>
      </c>
      <c r="AB150" s="1441" t="s">
        <v>224</v>
      </c>
      <c r="AC150" s="1441"/>
      <c r="AD150" s="1441"/>
      <c r="AE150" s="351"/>
      <c r="AG150" s="73" t="s">
        <v>225</v>
      </c>
    </row>
    <row customHeight="1" ht="24.862499999999997">
      <c r="B151" s="73"/>
      <c r="E151" s="614">
        <v>25.5</v>
      </c>
      <c r="F151" s="73" t="s">
        <v>168</v>
      </c>
      <c r="AB151" s="1441" t="s">
        <v>226</v>
      </c>
      <c r="AC151" s="1441"/>
      <c r="AD151" s="1441"/>
      <c r="AE151" s="359" t="s">
        <v>151</v>
      </c>
      <c r="AF151" s="452"/>
      <c r="AG151" s="350" t="s">
        <v>227</v>
      </c>
    </row>
    <row customHeight="1" ht="10.96875">
      <c r="B152" s="73"/>
      <c r="E152" s="614">
        <v>11.25</v>
      </c>
      <c r="AE152" s="109" t="s">
        <v>228</v>
      </c>
    </row>
    <row customHeight="1" ht="19.0125">
      <c r="B153" s="73"/>
      <c r="E153" s="614">
        <v>19.5</v>
      </c>
      <c r="AB153" s="1441" t="s">
        <v>229</v>
      </c>
      <c r="AC153" s="1441"/>
      <c r="AD153" s="63" t="s">
        <v>230</v>
      </c>
      <c r="AE153" s="351" t="s">
        <v>231</v>
      </c>
      <c r="AG153" s="73" t="s">
        <v>232</v>
      </c>
    </row>
    <row customHeight="1" ht="19.0125">
      <c r="B154" s="73"/>
      <c r="E154" s="614">
        <v>19.5</v>
      </c>
      <c r="AB154" s="1441"/>
      <c r="AC154" s="1441"/>
      <c r="AD154" s="63" t="s">
        <v>233</v>
      </c>
      <c r="AE154" s="351" t="s">
        <v>234</v>
      </c>
      <c r="AG154" s="73" t="s">
        <v>235</v>
      </c>
    </row>
    <row customHeight="1" ht="19.0125">
      <c r="B155" s="73"/>
      <c r="E155" s="614">
        <v>19.5</v>
      </c>
      <c r="AB155" s="1441"/>
      <c r="AC155" s="1441"/>
      <c r="AD155" s="63" t="s">
        <v>236</v>
      </c>
      <c r="AE155" s="351" t="s">
        <v>237</v>
      </c>
      <c r="AG155" s="73" t="s">
        <v>238</v>
      </c>
    </row>
    <row customHeight="1" ht="19.0125">
      <c r="B156" s="73"/>
      <c r="E156" s="614">
        <v>19.5</v>
      </c>
      <c r="AB156" s="1441"/>
      <c r="AC156" s="1441"/>
      <c r="AD156" s="63" t="s">
        <v>239</v>
      </c>
      <c r="AE156" s="351" t="s">
        <v>240</v>
      </c>
      <c r="AG156" s="73" t="s">
        <v>241</v>
      </c>
    </row>
    <row customHeight="1" ht="10.96875">
      <c r="B157" s="73"/>
      <c r="E157" s="614">
        <v>11.25</v>
      </c>
      <c r="AB157" s="170"/>
      <c r="AC157" s="170"/>
      <c r="AD157" s="170"/>
      <c r="AE157" s="263"/>
    </row>
    <row customHeight="1" ht="14.625">
      <c r="B158" s="73"/>
      <c r="E158" s="614">
        <v>15</v>
      </c>
      <c r="AB158" s="1470" t="s">
        <v>242</v>
      </c>
      <c r="AC158" s="1470"/>
      <c r="AD158" s="1470"/>
      <c r="AE158" s="1470"/>
    </row>
    <row customHeight="1" ht="14.625">
      <c r="B159" s="73"/>
      <c r="E159" s="614">
        <v>15</v>
      </c>
      <c r="AB159" s="1471" t="s">
        <v>243</v>
      </c>
      <c r="AC159" s="1471"/>
      <c r="AD159" s="1471"/>
      <c r="AE159" s="1471"/>
      <c r="AF159" s="453"/>
    </row>
    <row customHeight="1" ht="14.625">
      <c r="B160" s="73"/>
      <c r="E160" s="614">
        <v>15</v>
      </c>
      <c r="AB160" s="1469" t="s">
        <v>244</v>
      </c>
      <c r="AC160" s="1469"/>
      <c r="AD160" s="1469"/>
      <c r="AE160" s="1469"/>
      <c r="AF160" s="453"/>
    </row>
    <row customHeight="1" ht="14.625">
      <c r="B161" s="73"/>
      <c r="E161" s="614">
        <v>15</v>
      </c>
      <c r="AB161" s="1469" t="s">
        <v>245</v>
      </c>
      <c r="AC161" s="1469"/>
      <c r="AD161" s="1469"/>
      <c r="AE161" s="1469"/>
      <c r="AF161" s="453"/>
    </row>
    <row customHeight="1" ht="14.625">
      <c r="B162" s="73"/>
      <c r="E162" s="614">
        <v>15</v>
      </c>
      <c r="AB162" s="1469" t="s">
        <v>246</v>
      </c>
      <c r="AC162" s="1469"/>
      <c r="AD162" s="1469"/>
      <c r="AE162" s="1469"/>
      <c r="AF162" s="453"/>
    </row>
    <row customHeight="1" ht="14.625">
      <c r="B163" s="73"/>
      <c r="E163" s="614">
        <v>15</v>
      </c>
      <c r="AB163" s="1469" t="s">
        <v>247</v>
      </c>
      <c r="AC163" s="1469"/>
      <c r="AD163" s="1469"/>
      <c r="AE163" s="1469"/>
      <c r="AF163" s="453"/>
    </row>
    <row customHeight="1" ht="26.568750000000005">
      <c r="B164" s="73"/>
      <c r="E164" s="614">
        <v>27.25</v>
      </c>
      <c r="AB164" s="1469" t="s">
        <v>248</v>
      </c>
      <c r="AC164" s="1469"/>
      <c r="AD164" s="1469"/>
      <c r="AE164" s="1469"/>
      <c r="AF164" s="454"/>
    </row>
    <row customHeight="1" ht="14.625">
      <c r="B165" s="73"/>
      <c r="E165" s="614">
        <v>15</v>
      </c>
      <c r="AB165" s="1469" t="s">
        <v>249</v>
      </c>
      <c r="AC165" s="1469"/>
      <c r="AD165" s="1469"/>
      <c r="AE165" s="1469"/>
      <c r="AF165" s="453"/>
    </row>
    <row customHeight="1" ht="26.568750000000005">
      <c r="B166" s="73"/>
      <c r="E166" s="614">
        <v>27.25</v>
      </c>
      <c r="AB166" s="1469" t="s">
        <v>250</v>
      </c>
      <c r="AC166" s="1469"/>
      <c r="AD166" s="1469"/>
      <c r="AE166" s="1469"/>
      <c r="AF166" s="454"/>
    </row>
    <row customHeight="1" ht="14.625">
      <c r="B167" s="73"/>
      <c r="E167" s="614">
        <v>15</v>
      </c>
      <c r="AB167" s="1469" t="s">
        <v>251</v>
      </c>
      <c r="AC167" s="1469"/>
      <c r="AD167" s="1469"/>
      <c r="AE167" s="1469"/>
      <c r="AF167" s="453"/>
    </row>
    <row customHeight="1" ht="14.625">
      <c r="B168" s="73"/>
      <c r="E168" s="614">
        <v>15</v>
      </c>
      <c r="AB168" s="1469" t="s">
        <v>252</v>
      </c>
      <c r="AC168" s="1469"/>
      <c r="AD168" s="1469"/>
      <c r="AE168" s="1469"/>
      <c r="AF168" s="453"/>
    </row>
    <row customHeight="1" ht="26.568750000000005">
      <c r="B169" s="73"/>
      <c r="E169" s="614">
        <v>27.25</v>
      </c>
      <c r="AB169" s="1469" t="s">
        <v>253</v>
      </c>
      <c r="AC169" s="1469"/>
      <c r="AD169" s="1469"/>
      <c r="AE169" s="1469"/>
      <c r="AF169" s="454"/>
    </row>
    <row customHeight="1" ht="35.1">
      <c r="B170" s="73"/>
      <c r="E170" s="614">
        <v>36</v>
      </c>
      <c r="AB170" s="1469" t="s">
        <v>254</v>
      </c>
      <c r="AC170" s="1469"/>
      <c r="AD170" s="1469"/>
      <c r="AE170" s="1469"/>
      <c r="AF170" s="454"/>
    </row>
    <row customHeight="1" ht="14.625" hidden="1">
      <c r="A171" s="1277"/>
      <c r="B171" s="73"/>
      <c r="C171" s="1277"/>
      <c r="D171" s="1277"/>
      <c r="E171" s="614">
        <v>15</v>
      </c>
      <c r="F171" s="1277"/>
      <c r="G171" s="1277"/>
      <c r="H171" s="1277"/>
      <c r="I171" s="1277"/>
      <c r="J171" s="1277"/>
      <c r="K171" s="1277"/>
      <c r="L171" s="1277"/>
      <c r="M171" s="1277"/>
      <c r="N171" s="1277"/>
      <c r="O171" s="1277"/>
      <c r="P171" s="1277"/>
      <c r="Q171" s="1277"/>
      <c r="R171" s="1277"/>
      <c r="S171" s="1277"/>
      <c r="T171" s="1277"/>
      <c r="U171" s="1277"/>
      <c r="V171" s="1277"/>
      <c r="W171" s="474">
        <f>NOT(method_reg="Метод сравнения аналогов")</f>
        <v>0</v>
      </c>
      <c r="X171" s="1277"/>
      <c r="Y171" s="1277"/>
      <c r="Z171" s="1624"/>
      <c r="AA171" s="1277"/>
      <c r="AB171" s="1469" t="s">
        <v>255</v>
      </c>
      <c r="AC171" s="1469"/>
      <c r="AD171" s="1469"/>
      <c r="AE171" s="1469"/>
      <c r="AF171" s="453"/>
      <c r="AG171" s="1277"/>
      <c r="AH171" s="1277"/>
      <c r="AI171" s="1277"/>
      <c r="AJ171" s="1277"/>
      <c r="AK171" s="1277"/>
      <c r="AL171" s="1277"/>
      <c r="AM171" s="1277"/>
      <c r="AN171" s="1277"/>
      <c r="AO171" s="1277"/>
      <c r="AP171" s="1277"/>
      <c r="AQ171" s="1277"/>
      <c r="AR171" s="1277"/>
      <c r="AS171" s="1277"/>
      <c r="AT171" s="1277"/>
      <c r="AU171" s="1277"/>
      <c r="AV171" s="1277"/>
      <c r="AW171" s="1277"/>
      <c r="AX171" s="1277"/>
      <c r="AY171" s="1277"/>
      <c r="AZ171" s="1277"/>
      <c r="BA171" s="1277"/>
    </row>
    <row customHeight="1" ht="14.625">
      <c r="B172" s="73"/>
      <c r="E172" s="614">
        <v>15</v>
      </c>
      <c r="AB172" s="1479" t="str">
        <f>IF(W171,"14","13")&amp;". Иные нормативные правовые акты Российской Федерации."</f>
        <v>13. Иные нормативные правовые акты Российской Федерации.</v>
      </c>
      <c r="AC172" s="1479"/>
      <c r="AD172" s="1479"/>
      <c r="AE172" s="1479"/>
      <c r="AF172" s="453"/>
    </row>
    <row customHeight="1" ht="11.700000000000001">
      <c r="B173" s="73"/>
      <c r="E173" s="614">
        <v>12</v>
      </c>
      <c r="AB173" s="466"/>
      <c r="AC173" s="466"/>
      <c r="AD173" s="617">
        <f>COUNTIF(AE193:AE208,"Водоснабжение")&gt;0</f>
        <v>0</v>
      </c>
      <c r="AE173" s="617">
        <f>COUNTIF(AE193:AE208,"Водоотведение")&gt;0</f>
        <v>1</v>
      </c>
      <c r="AF173" s="618">
        <f>COUNTIF(AE193:AE208,"Транспортировка воды")&gt;0</f>
        <v>0</v>
      </c>
      <c r="AG173" s="619">
        <f>COUNTIF(AE193:AE208,"Транспортировка сточных вод")&gt;0</f>
        <v>1</v>
      </c>
    </row>
    <row customHeight="1" ht="19.0125">
      <c r="B174" s="73"/>
      <c r="E174" s="614">
        <v>19.5</v>
      </c>
      <c r="AB174" s="1480" t="s">
        <v>256</v>
      </c>
      <c r="AC174" s="1480"/>
      <c r="AD174" s="1480"/>
      <c r="AE174" s="1481"/>
      <c r="AF174" s="450"/>
      <c r="AG174" s="78"/>
      <c r="AH174" s="78"/>
      <c r="AI174" s="78"/>
      <c r="AJ174" s="78"/>
      <c r="AK174" s="78"/>
      <c r="AL174" s="74"/>
    </row>
    <row customHeight="1" ht="24.862499999999997">
      <c r="B175" s="73"/>
      <c r="E175" s="614">
        <v>25.5</v>
      </c>
      <c r="AB175" s="1478" t="s">
        <v>257</v>
      </c>
      <c r="AC175" s="1478"/>
      <c r="AD175" s="1478"/>
      <c r="AE175" s="571" t="s">
        <v>151</v>
      </c>
      <c r="AF175" s="452"/>
      <c r="AG175" s="78" t="s">
        <v>258</v>
      </c>
      <c r="AH175" s="78"/>
      <c r="AI175" s="78"/>
      <c r="AJ175" s="78"/>
      <c r="AK175" s="78"/>
      <c r="AL175" s="74"/>
    </row>
    <row customHeight="1" ht="19.0125">
      <c r="A176" s="1277"/>
      <c r="B176" s="417">
        <f>FIRST_TIME_REG="нет"</f>
        <v>1</v>
      </c>
      <c r="C176" s="1277"/>
      <c r="D176" s="1277"/>
      <c r="E176" s="614">
        <v>19.5</v>
      </c>
      <c r="F176" s="1277"/>
      <c r="G176" s="1277"/>
      <c r="H176" s="1277"/>
      <c r="I176" s="1277"/>
      <c r="J176" s="1277"/>
      <c r="K176" s="1277"/>
      <c r="L176" s="1277"/>
      <c r="M176" s="1277"/>
      <c r="N176" s="1277"/>
      <c r="O176" s="1277"/>
      <c r="P176" s="1277"/>
      <c r="Q176" s="1277"/>
      <c r="R176" s="1277"/>
      <c r="S176" s="1277"/>
      <c r="T176" s="1277"/>
      <c r="U176" s="1277"/>
      <c r="V176" s="1277"/>
      <c r="W176" s="1277"/>
      <c r="X176" s="1277"/>
      <c r="Y176" s="1277"/>
      <c r="Z176" s="1624"/>
      <c r="AA176" s="1277"/>
      <c r="AB176" s="1474" t="s">
        <v>259</v>
      </c>
      <c r="AC176" s="1475"/>
      <c r="AD176" s="572" t="s">
        <v>199</v>
      </c>
      <c r="AE176" s="1675" t="s">
        <v>200</v>
      </c>
      <c r="AF176" s="353"/>
      <c r="AG176" s="78" t="s">
        <v>260</v>
      </c>
      <c r="AH176" s="78"/>
      <c r="AI176" s="78"/>
      <c r="AJ176" s="78"/>
      <c r="AK176" s="78"/>
      <c r="AL176" s="74"/>
      <c r="AM176" s="1277"/>
      <c r="AN176" s="1277"/>
      <c r="AO176" s="1277"/>
      <c r="AP176" s="1277"/>
      <c r="AQ176" s="1277"/>
      <c r="AR176" s="1277"/>
      <c r="AS176" s="1277"/>
      <c r="AT176" s="1277"/>
      <c r="AU176" s="1277"/>
      <c r="AV176" s="1277"/>
      <c r="AW176" s="1277"/>
      <c r="AX176" s="1277"/>
      <c r="AY176" s="1277"/>
      <c r="AZ176" s="1277"/>
      <c r="BA176" s="1277"/>
    </row>
    <row customHeight="1" ht="19.0125">
      <c r="A177" s="1277"/>
      <c r="B177" s="417">
        <f>FIRST_TIME_REG="нет"</f>
        <v>1</v>
      </c>
      <c r="C177" s="1277"/>
      <c r="D177" s="1277"/>
      <c r="E177" s="614">
        <v>19.5</v>
      </c>
      <c r="F177" s="1277"/>
      <c r="G177" s="1277"/>
      <c r="H177" s="1277"/>
      <c r="I177" s="1277"/>
      <c r="J177" s="1277"/>
      <c r="K177" s="1277"/>
      <c r="L177" s="1277"/>
      <c r="M177" s="1277"/>
      <c r="N177" s="1277"/>
      <c r="O177" s="1277"/>
      <c r="P177" s="1277"/>
      <c r="Q177" s="1277"/>
      <c r="R177" s="1277"/>
      <c r="S177" s="1277"/>
      <c r="T177" s="1277"/>
      <c r="U177" s="1277"/>
      <c r="V177" s="1277"/>
      <c r="W177" s="1277"/>
      <c r="X177" s="1277"/>
      <c r="Y177" s="1277"/>
      <c r="Z177" s="1624"/>
      <c r="AA177" s="1277"/>
      <c r="AB177" s="1474"/>
      <c r="AC177" s="1475"/>
      <c r="AD177" s="361" t="s">
        <v>201</v>
      </c>
      <c r="AE177" s="1678" t="s">
        <v>261</v>
      </c>
      <c r="AF177" s="353"/>
      <c r="AG177" s="73" t="s">
        <v>262</v>
      </c>
      <c r="AH177" s="1277"/>
      <c r="AI177" s="1277"/>
      <c r="AJ177" s="1277"/>
      <c r="AK177" s="1277"/>
      <c r="AL177" s="1277"/>
      <c r="AM177" s="1277"/>
      <c r="AN177" s="1277"/>
      <c r="AO177" s="1277"/>
      <c r="AP177" s="1277"/>
      <c r="AQ177" s="1277"/>
      <c r="AR177" s="1277"/>
      <c r="AS177" s="1277"/>
      <c r="AT177" s="1277"/>
      <c r="AU177" s="1277"/>
      <c r="AV177" s="1277"/>
      <c r="AW177" s="1277"/>
      <c r="AX177" s="1277"/>
      <c r="AY177" s="1277"/>
      <c r="AZ177" s="1277"/>
      <c r="BA177" s="1277"/>
    </row>
    <row customHeight="1" ht="19.0125">
      <c r="A178" s="1277"/>
      <c r="B178" s="417">
        <f>FIRST_TIME_REG="нет"</f>
        <v>1</v>
      </c>
      <c r="C178" s="1277"/>
      <c r="D178" s="1277"/>
      <c r="E178" s="614">
        <v>19.5</v>
      </c>
      <c r="F178" s="1277"/>
      <c r="G178" s="1277"/>
      <c r="H178" s="1277"/>
      <c r="I178" s="1277"/>
      <c r="J178" s="1277"/>
      <c r="K178" s="1277"/>
      <c r="L178" s="1277"/>
      <c r="M178" s="1277"/>
      <c r="N178" s="1277"/>
      <c r="O178" s="1277"/>
      <c r="P178" s="1277"/>
      <c r="Q178" s="1277"/>
      <c r="R178" s="1277"/>
      <c r="S178" s="1277"/>
      <c r="T178" s="1277"/>
      <c r="U178" s="1277"/>
      <c r="V178" s="1277"/>
      <c r="W178" s="1277"/>
      <c r="X178" s="1277"/>
      <c r="Y178" s="1277"/>
      <c r="Z178" s="1624"/>
      <c r="AA178" s="1277"/>
      <c r="AB178" s="1476"/>
      <c r="AC178" s="1477"/>
      <c r="AD178" s="361" t="s">
        <v>203</v>
      </c>
      <c r="AE178" s="1681">
        <v>45610</v>
      </c>
      <c r="AF178" s="353"/>
      <c r="AG178" s="73" t="s">
        <v>263</v>
      </c>
      <c r="AH178" s="1277"/>
      <c r="AI178" s="1277"/>
      <c r="AJ178" s="1277"/>
      <c r="AK178" s="1277"/>
      <c r="AL178" s="1277"/>
      <c r="AM178" s="1277"/>
      <c r="AN178" s="1277"/>
      <c r="AO178" s="1277"/>
      <c r="AP178" s="1277"/>
      <c r="AQ178" s="1277"/>
      <c r="AR178" s="1277"/>
      <c r="AS178" s="1277"/>
      <c r="AT178" s="1277"/>
      <c r="AU178" s="1277"/>
      <c r="AV178" s="1277"/>
      <c r="AW178" s="1277"/>
      <c r="AX178" s="1277"/>
      <c r="AY178" s="1277"/>
      <c r="AZ178" s="1277"/>
      <c r="BA178" s="1277"/>
    </row>
    <row customHeight="1" ht="19.9875">
      <c r="B179" s="73"/>
      <c r="E179" s="614">
        <v>20.5</v>
      </c>
      <c r="F179" s="138" t="s">
        <v>264</v>
      </c>
      <c r="AB179" s="1482" t="s">
        <v>265</v>
      </c>
      <c r="AC179" s="1483"/>
      <c r="AD179" s="463"/>
      <c r="AE179" s="464"/>
      <c r="AF179" s="455"/>
      <c r="AG179" s="455"/>
      <c r="AN179" s="73" t="s">
        <v>266</v>
      </c>
    </row>
    <row customHeight="1" ht="18.28125" hidden="1">
      <c r="A180" s="1277"/>
      <c r="B180" s="73"/>
      <c r="C180" s="1277"/>
      <c r="D180" s="1277"/>
      <c r="E180" s="614">
        <v>18.75</v>
      </c>
      <c r="F180" s="73" cm="1" t="str">
        <f t="array" ref="F180:F180">Z180</f>
        <v>0</v>
      </c>
      <c r="G180" s="1277"/>
      <c r="H180" s="1277"/>
      <c r="I180" s="1277"/>
      <c r="J180" s="1277"/>
      <c r="K180" s="1277"/>
      <c r="L180" s="1277"/>
      <c r="M180" s="1277"/>
      <c r="N180" s="1277"/>
      <c r="O180" s="1277"/>
      <c r="P180" s="1277"/>
      <c r="Q180" s="1277"/>
      <c r="R180" s="1277"/>
      <c r="S180" s="1277"/>
      <c r="T180" s="1277"/>
      <c r="U180" s="1277"/>
      <c r="V180" s="219" cm="1" t="str">
        <f t="array" ref="V180:V180">AE181</f>
        <v>0</v>
      </c>
      <c r="W180" s="474">
        <f>Z180&gt;0</f>
        <v>0</v>
      </c>
      <c r="X180" s="73" t="s">
        <v>267</v>
      </c>
      <c r="Y180" s="1277"/>
      <c r="Z180" s="1472">
        <v>0</v>
      </c>
      <c r="AA180" s="1488"/>
      <c r="AB180" s="1685"/>
      <c r="AC180" s="1686"/>
      <c r="AD180" s="367" t="str">
        <f>"Тариф "&amp;Z180</f>
        <v>Тариф 0</v>
      </c>
      <c r="AE180" s="368"/>
      <c r="AF180" s="1473" t="s">
        <v>173</v>
      </c>
      <c r="AG180" s="73" t="str">
        <f>AD180&amp;" ("&amp;AE180&amp;") - "&amp;AE182&amp;IF(AE186="",""," ("&amp;AE186&amp;")")</f>
        <v>Тариф 0 () - тариф на транспортировку сточных вод</v>
      </c>
      <c r="AH180" s="73" cm="1" t="str">
        <f t="array" ref="AH180:AH180">AE185</f>
        <v>0</v>
      </c>
      <c r="AI180" s="219" cm="1" t="str">
        <f t="array" ref="AI180:AI180">AE182</f>
        <v>тариф на транспортировку сточных вод</v>
      </c>
      <c r="AJ180" s="73" cm="1" t="str">
        <f t="array" ref="AJ180:AJ180">AE186</f>
        <v>0</v>
      </c>
      <c r="AK180" s="73" cm="1" t="str">
        <f t="array" ref="AK180:AK180">AE183</f>
        <v>одноставочный</v>
      </c>
      <c r="AL180" s="885" cm="1" t="str">
        <f t="array" ref="AL180:AL180">AE190</f>
        <v/>
      </c>
      <c r="AM180" s="471" cm="1" t="str">
        <f t="array" ref="AM180:AM180">AE191</f>
        <v>0</v>
      </c>
      <c r="AN180" s="73">
        <f>IF(ISERR(SEARCH("трансп",AI180)),FALSE,TRUE)</f>
        <v>1</v>
      </c>
      <c r="AO180" s="1277"/>
      <c r="AP180" s="1277"/>
      <c r="AQ180" s="1277"/>
      <c r="AR180" s="1277"/>
      <c r="AS180" s="1277"/>
      <c r="AT180" s="1277"/>
      <c r="AU180" s="1277"/>
      <c r="AV180" s="1277"/>
      <c r="AW180" s="1277"/>
      <c r="AX180" s="1277"/>
      <c r="AY180" s="1277"/>
      <c r="AZ180" s="1277"/>
      <c r="BA180" s="1277"/>
    </row>
    <row customHeight="1" ht="16.0875" hidden="1">
      <c r="A181" s="1277"/>
      <c r="B181" s="73"/>
      <c r="C181" s="1277"/>
      <c r="D181" s="1277"/>
      <c r="E181" s="614">
        <v>16.5</v>
      </c>
      <c r="F181" s="73" cm="1" t="str">
        <f t="array" ref="F181:F181">F180</f>
        <v>0</v>
      </c>
      <c r="G181" s="1277"/>
      <c r="H181" s="1277"/>
      <c r="I181" s="1277"/>
      <c r="J181" s="1277"/>
      <c r="K181" s="1277"/>
      <c r="L181" s="1277"/>
      <c r="M181" s="1277"/>
      <c r="N181" s="1277"/>
      <c r="O181" s="1277"/>
      <c r="P181" s="1277"/>
      <c r="Q181" s="1277"/>
      <c r="R181" s="1277"/>
      <c r="S181" s="1277"/>
      <c r="T181" s="1277"/>
      <c r="U181" s="1277"/>
      <c r="V181" s="219"/>
      <c r="W181" s="474" cm="1" t="str">
        <f t="array" ref="W181:W181">W180</f>
        <v>false</v>
      </c>
      <c r="X181" s="1277"/>
      <c r="Y181" s="1277"/>
      <c r="Z181" s="1472"/>
      <c r="AA181" s="1488"/>
      <c r="AB181" s="1685"/>
      <c r="AC181" s="1686"/>
      <c r="AD181" s="369" t="s">
        <v>268</v>
      </c>
      <c r="AE181" s="360"/>
      <c r="AF181" s="1473"/>
      <c r="AG181" s="1277"/>
      <c r="AH181" s="1277"/>
      <c r="AI181" s="1277"/>
      <c r="AJ181" s="1277"/>
      <c r="AK181" s="1277"/>
      <c r="AL181" s="1277"/>
      <c r="AM181" s="1277"/>
      <c r="AN181" s="1277"/>
      <c r="AO181" s="1277"/>
      <c r="AP181" s="1277"/>
      <c r="AQ181" s="1277"/>
      <c r="AR181" s="1277"/>
      <c r="AS181" s="1277"/>
      <c r="AT181" s="1277"/>
      <c r="AU181" s="1277"/>
      <c r="AV181" s="1277"/>
      <c r="AW181" s="1277"/>
      <c r="AX181" s="1277"/>
      <c r="AY181" s="1277"/>
      <c r="AZ181" s="1277"/>
      <c r="BA181" s="1277"/>
    </row>
    <row customHeight="1" ht="16.0875" hidden="1">
      <c r="A182" s="1277"/>
      <c r="B182" s="73"/>
      <c r="C182" s="1277"/>
      <c r="D182" s="1277"/>
      <c r="E182" s="614">
        <v>16.5</v>
      </c>
      <c r="F182" s="73" cm="1" t="str">
        <f t="array" ref="F182:F182">F181</f>
        <v>0</v>
      </c>
      <c r="G182" s="1277"/>
      <c r="H182" s="1277"/>
      <c r="I182" s="1277"/>
      <c r="J182" s="1277"/>
      <c r="K182" s="1277"/>
      <c r="L182" s="1277"/>
      <c r="M182" s="1277"/>
      <c r="N182" s="1277"/>
      <c r="O182" s="1277"/>
      <c r="P182" s="1277"/>
      <c r="Q182" s="1277"/>
      <c r="R182" s="1277"/>
      <c r="S182" s="1277"/>
      <c r="T182" s="1277"/>
      <c r="U182" s="1277"/>
      <c r="V182" s="219"/>
      <c r="W182" s="474" cm="1" t="str">
        <f t="array" ref="W182:W182">W181</f>
        <v>false</v>
      </c>
      <c r="X182" s="1277"/>
      <c r="Y182" s="1277"/>
      <c r="Z182" s="1472"/>
      <c r="AA182" s="1488"/>
      <c r="AB182" s="1685"/>
      <c r="AC182" s="1686"/>
      <c r="AD182" s="369" t="s">
        <v>269</v>
      </c>
      <c r="AE182" s="1694" t="s">
        <v>270</v>
      </c>
      <c r="AF182" s="1473"/>
      <c r="AG182" s="1277"/>
      <c r="AH182" s="1277"/>
      <c r="AI182" s="1277"/>
      <c r="AJ182" s="1277"/>
      <c r="AK182" s="1277"/>
      <c r="AL182" s="1277"/>
      <c r="AM182" s="1277"/>
      <c r="AN182" s="1277"/>
      <c r="AO182" s="1277"/>
      <c r="AP182" s="1277"/>
      <c r="AQ182" s="1277"/>
      <c r="AR182" s="1277"/>
      <c r="AS182" s="1277"/>
      <c r="AT182" s="1277"/>
      <c r="AU182" s="1277"/>
      <c r="AV182" s="1277"/>
      <c r="AW182" s="1277"/>
      <c r="AX182" s="1277"/>
      <c r="AY182" s="1277"/>
      <c r="AZ182" s="1277"/>
      <c r="BA182" s="1277"/>
    </row>
    <row customHeight="1" ht="16.0875" hidden="1">
      <c r="A183" s="1277"/>
      <c r="B183" s="73"/>
      <c r="C183" s="1277"/>
      <c r="D183" s="1277"/>
      <c r="E183" s="614">
        <v>16.5</v>
      </c>
      <c r="F183" s="73" cm="1" t="str">
        <f t="array" ref="F183:F183">F182</f>
        <v>0</v>
      </c>
      <c r="G183" s="1277"/>
      <c r="H183" s="1277"/>
      <c r="I183" s="1277"/>
      <c r="J183" s="1277"/>
      <c r="K183" s="1277"/>
      <c r="L183" s="1277"/>
      <c r="M183" s="1277"/>
      <c r="N183" s="1277"/>
      <c r="O183" s="1277"/>
      <c r="P183" s="1277"/>
      <c r="Q183" s="1277"/>
      <c r="R183" s="1277"/>
      <c r="S183" s="1277"/>
      <c r="T183" s="1277"/>
      <c r="U183" s="1277"/>
      <c r="V183" s="219"/>
      <c r="W183" s="474" cm="1" t="str">
        <f t="array" ref="W183:W183">W182</f>
        <v>false</v>
      </c>
      <c r="X183" s="1277"/>
      <c r="Y183" s="1277"/>
      <c r="Z183" s="1472"/>
      <c r="AA183" s="1488"/>
      <c r="AB183" s="1685"/>
      <c r="AC183" s="1686"/>
      <c r="AD183" s="369" t="s">
        <v>271</v>
      </c>
      <c r="AE183" s="1694" t="s">
        <v>272</v>
      </c>
      <c r="AF183" s="1473"/>
      <c r="AG183" s="1277"/>
      <c r="AH183" s="1277"/>
      <c r="AI183" s="1277"/>
      <c r="AJ183" s="1277"/>
      <c r="AK183" s="1277"/>
      <c r="AL183" s="1277"/>
      <c r="AM183" s="1277"/>
      <c r="AN183" s="1277"/>
      <c r="AO183" s="1277"/>
      <c r="AP183" s="1277"/>
      <c r="AQ183" s="1277"/>
      <c r="AR183" s="1277"/>
      <c r="AS183" s="1277"/>
      <c r="AT183" s="1277"/>
      <c r="AU183" s="1277"/>
      <c r="AV183" s="1277"/>
      <c r="AW183" s="1277"/>
      <c r="AX183" s="1277"/>
      <c r="AY183" s="1277"/>
      <c r="AZ183" s="1277"/>
      <c r="BA183" s="1277"/>
    </row>
    <row customHeight="1" ht="16.0875" hidden="1">
      <c r="A184" s="1277"/>
      <c r="B184" s="73"/>
      <c r="C184" s="1277"/>
      <c r="D184" s="1277"/>
      <c r="E184" s="614">
        <v>16.5</v>
      </c>
      <c r="F184" s="73" cm="1" t="str">
        <f t="array" ref="F184:F184">F183</f>
        <v>0</v>
      </c>
      <c r="G184" s="1277"/>
      <c r="H184" s="1277"/>
      <c r="I184" s="1277"/>
      <c r="J184" s="1277"/>
      <c r="K184" s="1277"/>
      <c r="L184" s="1277"/>
      <c r="M184" s="1277"/>
      <c r="N184" s="1277"/>
      <c r="O184" s="1277"/>
      <c r="P184" s="1277"/>
      <c r="Q184" s="1277"/>
      <c r="R184" s="1277"/>
      <c r="S184" s="1277"/>
      <c r="T184" s="1277"/>
      <c r="U184" s="1277"/>
      <c r="V184" s="219"/>
      <c r="W184" s="474" cm="1" t="str">
        <f t="array" ref="W184:W184">W183</f>
        <v>false</v>
      </c>
      <c r="X184" s="1277"/>
      <c r="Y184" s="1277"/>
      <c r="Z184" s="1472"/>
      <c r="AA184" s="1488"/>
      <c r="AB184" s="1685"/>
      <c r="AC184" s="1686"/>
      <c r="AD184" s="369" t="s">
        <v>273</v>
      </c>
      <c r="AE184" s="1695" t="s">
        <v>274</v>
      </c>
      <c r="AF184" s="1473"/>
      <c r="AG184" s="1277"/>
      <c r="AH184" s="1277"/>
      <c r="AI184" s="1277"/>
      <c r="AJ184" s="1277"/>
      <c r="AK184" s="1277"/>
      <c r="AL184" s="1277"/>
      <c r="AM184" s="1277"/>
      <c r="AN184" s="1277"/>
      <c r="AO184" s="1277"/>
      <c r="AP184" s="1277"/>
      <c r="AQ184" s="1277"/>
      <c r="AR184" s="1277"/>
      <c r="AS184" s="1277"/>
      <c r="AT184" s="1277"/>
      <c r="AU184" s="1277"/>
      <c r="AV184" s="1277"/>
      <c r="AW184" s="1277"/>
      <c r="AX184" s="1277"/>
      <c r="AY184" s="1277"/>
      <c r="AZ184" s="1277"/>
      <c r="BA184" s="1277"/>
    </row>
    <row customHeight="1" ht="16.0875" hidden="1">
      <c r="A185" s="1277"/>
      <c r="B185" s="73"/>
      <c r="C185" s="1277"/>
      <c r="D185" s="1277"/>
      <c r="E185" s="614">
        <v>16.5</v>
      </c>
      <c r="F185" s="73" cm="1" t="str">
        <f t="array" ref="F185:F185">F184</f>
        <v>0</v>
      </c>
      <c r="G185" s="1277"/>
      <c r="H185" s="1277"/>
      <c r="I185" s="1277"/>
      <c r="J185" s="1277"/>
      <c r="K185" s="1277"/>
      <c r="L185" s="1277"/>
      <c r="M185" s="1277"/>
      <c r="N185" s="1277"/>
      <c r="O185" s="1277"/>
      <c r="P185" s="1277"/>
      <c r="Q185" s="1277"/>
      <c r="R185" s="1277"/>
      <c r="S185" s="1277"/>
      <c r="T185" s="1277"/>
      <c r="U185" s="1277"/>
      <c r="V185" s="219"/>
      <c r="W185" s="474" cm="1" t="str">
        <f t="array" ref="W185:W185">W184</f>
        <v>false</v>
      </c>
      <c r="X185" s="1277"/>
      <c r="Y185" s="1277"/>
      <c r="Z185" s="1472"/>
      <c r="AA185" s="1488"/>
      <c r="AB185" s="1685"/>
      <c r="AC185" s="1686"/>
      <c r="AD185" s="65" t="str">
        <f>IF(AE180="Водоотведение","Вид сточных вод","Вид воды")</f>
        <v>Вид воды</v>
      </c>
      <c r="AE185" s="1697"/>
      <c r="AF185" s="1473"/>
      <c r="AG185" s="1277"/>
      <c r="AH185" s="1277"/>
      <c r="AI185" s="1277"/>
      <c r="AJ185" s="1277"/>
      <c r="AK185" s="1277"/>
      <c r="AL185" s="1277"/>
      <c r="AM185" s="1277"/>
      <c r="AN185" s="1277"/>
      <c r="AO185" s="1277"/>
      <c r="AP185" s="1277"/>
      <c r="AQ185" s="1277"/>
      <c r="AR185" s="1277"/>
      <c r="AS185" s="1277"/>
      <c r="AT185" s="1277"/>
      <c r="AU185" s="1277"/>
      <c r="AV185" s="1277"/>
      <c r="AW185" s="1277"/>
      <c r="AX185" s="1277"/>
      <c r="AY185" s="1277"/>
      <c r="AZ185" s="1277"/>
      <c r="BA185" s="1277"/>
    </row>
    <row customHeight="1" ht="16.0875" hidden="1">
      <c r="A186" s="1277"/>
      <c r="B186" s="73"/>
      <c r="C186" s="1277"/>
      <c r="D186" s="1277"/>
      <c r="E186" s="614">
        <v>16.5</v>
      </c>
      <c r="F186" s="73" cm="1" t="str">
        <f t="array" ref="F186:F186">F185</f>
        <v>0</v>
      </c>
      <c r="G186" s="1277"/>
      <c r="H186" s="1277"/>
      <c r="I186" s="1277"/>
      <c r="J186" s="1277"/>
      <c r="K186" s="1277"/>
      <c r="L186" s="1277"/>
      <c r="M186" s="1277"/>
      <c r="N186" s="1277"/>
      <c r="O186" s="1277"/>
      <c r="P186" s="1277"/>
      <c r="Q186" s="1277"/>
      <c r="R186" s="1277"/>
      <c r="S186" s="1277"/>
      <c r="T186" s="1277"/>
      <c r="U186" s="1277"/>
      <c r="V186" s="219"/>
      <c r="W186" s="474" cm="1" t="str">
        <f t="array" ref="W186:W186">W185</f>
        <v>false</v>
      </c>
      <c r="X186" s="1277"/>
      <c r="Y186" s="1277"/>
      <c r="Z186" s="1472"/>
      <c r="AA186" s="1488"/>
      <c r="AB186" s="1685"/>
      <c r="AC186" s="1686"/>
      <c r="AD186" s="65" t="s">
        <v>275</v>
      </c>
      <c r="AE186" s="730"/>
      <c r="AF186" s="1473"/>
      <c r="AG186" s="1277"/>
      <c r="AH186" s="1277"/>
      <c r="AI186" s="1277"/>
      <c r="AJ186" s="1277"/>
      <c r="AK186" s="1277"/>
      <c r="AL186" s="1277"/>
      <c r="AM186" s="1277"/>
      <c r="AN186" s="1277"/>
      <c r="AO186" s="1277"/>
      <c r="AP186" s="1277"/>
      <c r="AQ186" s="1277"/>
      <c r="AR186" s="1277"/>
      <c r="AS186" s="1277"/>
      <c r="AT186" s="1277"/>
      <c r="AU186" s="1277"/>
      <c r="AV186" s="1277"/>
      <c r="AW186" s="1277"/>
      <c r="AX186" s="1277"/>
      <c r="AY186" s="1277"/>
      <c r="AZ186" s="1277"/>
      <c r="BA186" s="1277"/>
    </row>
    <row customHeight="1" ht="16.0875" hidden="1">
      <c r="A187" s="1277"/>
      <c r="B187" s="417">
        <f>org_declaration="Заявление организации"</f>
        <v>1</v>
      </c>
      <c r="C187" s="1277"/>
      <c r="D187" s="1277"/>
      <c r="E187" s="614">
        <v>16.5</v>
      </c>
      <c r="F187" s="73" cm="1" t="str">
        <f t="array" ref="F187:F187">F186</f>
        <v>0</v>
      </c>
      <c r="G187" s="1277"/>
      <c r="H187" s="1277"/>
      <c r="I187" s="1277"/>
      <c r="J187" s="1277"/>
      <c r="K187" s="1277"/>
      <c r="L187" s="1277"/>
      <c r="M187" s="1277"/>
      <c r="N187" s="1277"/>
      <c r="O187" s="1277"/>
      <c r="P187" s="1277"/>
      <c r="Q187" s="1277"/>
      <c r="R187" s="1277"/>
      <c r="S187" s="1277"/>
      <c r="T187" s="1277"/>
      <c r="U187" s="1277"/>
      <c r="V187" s="219"/>
      <c r="W187" s="474" cm="1" t="str">
        <f t="array" ref="W187:W187">W186</f>
        <v>false</v>
      </c>
      <c r="X187" s="1277"/>
      <c r="Y187" s="1277"/>
      <c r="Z187" s="1472"/>
      <c r="AA187" s="1488"/>
      <c r="AB187" s="1685"/>
      <c r="AC187" s="1686"/>
      <c r="AD187" s="369" t="s">
        <v>276</v>
      </c>
      <c r="AE187" s="1699"/>
      <c r="AF187" s="1473"/>
      <c r="AG187" s="1277"/>
      <c r="AH187" s="1277"/>
      <c r="AI187" s="1277"/>
      <c r="AJ187" s="1277"/>
      <c r="AK187" s="1277"/>
      <c r="AL187" s="1277"/>
      <c r="AM187" s="1277"/>
      <c r="AN187" s="1277"/>
      <c r="AO187" s="1277"/>
      <c r="AP187" s="1277"/>
      <c r="AQ187" s="1277"/>
      <c r="AR187" s="1277"/>
      <c r="AS187" s="1277"/>
      <c r="AT187" s="1277"/>
      <c r="AU187" s="1277"/>
      <c r="AV187" s="1277"/>
      <c r="AW187" s="1277"/>
      <c r="AX187" s="1277"/>
      <c r="AY187" s="1277"/>
      <c r="AZ187" s="1277"/>
      <c r="BA187" s="1277"/>
    </row>
    <row customHeight="1" ht="16.0875" hidden="1">
      <c r="A188" s="1277"/>
      <c r="B188" s="417">
        <f>org_declaration="Заявление организации"</f>
        <v>1</v>
      </c>
      <c r="C188" s="1277"/>
      <c r="D188" s="1277"/>
      <c r="E188" s="614">
        <v>16.5</v>
      </c>
      <c r="F188" s="73" cm="1" t="str">
        <f t="array" ref="F188:F188">F187</f>
        <v>0</v>
      </c>
      <c r="G188" s="1277"/>
      <c r="H188" s="1277"/>
      <c r="I188" s="1277"/>
      <c r="J188" s="1277"/>
      <c r="K188" s="1277"/>
      <c r="L188" s="1277"/>
      <c r="M188" s="1277"/>
      <c r="N188" s="1277"/>
      <c r="O188" s="1277"/>
      <c r="P188" s="1277"/>
      <c r="Q188" s="1277"/>
      <c r="R188" s="1277"/>
      <c r="S188" s="1277"/>
      <c r="T188" s="1277"/>
      <c r="U188" s="1277"/>
      <c r="V188" s="219"/>
      <c r="W188" s="474" cm="1" t="str">
        <f t="array" ref="W188:W188">W187</f>
        <v>false</v>
      </c>
      <c r="X188" s="1277"/>
      <c r="Y188" s="1277"/>
      <c r="Z188" s="1472"/>
      <c r="AA188" s="1488"/>
      <c r="AB188" s="1685"/>
      <c r="AC188" s="1686"/>
      <c r="AD188" s="369" t="s">
        <v>277</v>
      </c>
      <c r="AE188" s="1700"/>
      <c r="AF188" s="1473"/>
      <c r="AG188" s="1277"/>
      <c r="AH188" s="1277"/>
      <c r="AI188" s="1277"/>
      <c r="AJ188" s="1277"/>
      <c r="AK188" s="1277"/>
      <c r="AL188" s="1277"/>
      <c r="AM188" s="1277"/>
      <c r="AN188" s="1277"/>
      <c r="AO188" s="1277"/>
      <c r="AP188" s="1277"/>
      <c r="AQ188" s="1277"/>
      <c r="AR188" s="1277"/>
      <c r="AS188" s="1277"/>
      <c r="AT188" s="1277"/>
      <c r="AU188" s="1277"/>
      <c r="AV188" s="1277"/>
      <c r="AW188" s="1277"/>
      <c r="AX188" s="1277"/>
      <c r="AY188" s="1277"/>
      <c r="AZ188" s="1277"/>
      <c r="BA188" s="1277"/>
    </row>
    <row customHeight="1" ht="16.0875" hidden="1">
      <c r="A189" s="1277"/>
      <c r="B189" s="417">
        <f>org_declaration="Заявление организации"</f>
        <v>1</v>
      </c>
      <c r="C189" s="1277"/>
      <c r="D189" s="1277"/>
      <c r="E189" s="614">
        <v>16.5</v>
      </c>
      <c r="F189" s="73" cm="1" t="str">
        <f t="array" ref="F189:F189">F188</f>
        <v>0</v>
      </c>
      <c r="G189" s="1277"/>
      <c r="H189" s="1277"/>
      <c r="I189" s="1277"/>
      <c r="J189" s="1277"/>
      <c r="K189" s="1277"/>
      <c r="L189" s="1277"/>
      <c r="M189" s="1277"/>
      <c r="N189" s="1277"/>
      <c r="O189" s="1277"/>
      <c r="P189" s="1277"/>
      <c r="Q189" s="1277"/>
      <c r="R189" s="1277"/>
      <c r="S189" s="1277"/>
      <c r="T189" s="1277"/>
      <c r="U189" s="1277"/>
      <c r="V189" s="219"/>
      <c r="W189" s="474" cm="1" t="str">
        <f t="array" ref="W189:W189">W188</f>
        <v>false</v>
      </c>
      <c r="X189" s="1277"/>
      <c r="Y189" s="1277"/>
      <c r="Z189" s="1472"/>
      <c r="AA189" s="1488"/>
      <c r="AB189" s="1685"/>
      <c r="AC189" s="1686"/>
      <c r="AD189" s="369" t="s">
        <v>278</v>
      </c>
      <c r="AE189" s="1701"/>
      <c r="AF189" s="1473"/>
      <c r="AG189" s="1277"/>
      <c r="AH189" s="1277"/>
      <c r="AI189" s="1277"/>
      <c r="AJ189" s="1277"/>
      <c r="AK189" s="1277"/>
      <c r="AL189" s="1277"/>
      <c r="AM189" s="1277"/>
      <c r="AN189" s="1277"/>
      <c r="AO189" s="1277"/>
      <c r="AP189" s="1277"/>
      <c r="AQ189" s="1277"/>
      <c r="AR189" s="1277"/>
      <c r="AS189" s="1277"/>
      <c r="AT189" s="1277"/>
      <c r="AU189" s="1277"/>
      <c r="AV189" s="1277"/>
      <c r="AW189" s="1277"/>
      <c r="AX189" s="1277"/>
      <c r="AY189" s="1277"/>
      <c r="AZ189" s="1277"/>
      <c r="BA189" s="1277"/>
    </row>
    <row customHeight="1" ht="16.0875" hidden="1">
      <c r="A190" s="1277"/>
      <c r="B190" s="417">
        <f>org_declaration="Заявление организации"</f>
        <v>1</v>
      </c>
      <c r="C190" s="1277"/>
      <c r="D190" s="1277"/>
      <c r="E190" s="614">
        <v>16.5</v>
      </c>
      <c r="F190" s="73" cm="1" t="str">
        <f t="array" ref="F190:F190">F189</f>
        <v>0</v>
      </c>
      <c r="G190" s="1277"/>
      <c r="H190" s="1277"/>
      <c r="I190" s="1277"/>
      <c r="J190" s="1277"/>
      <c r="K190" s="1277"/>
      <c r="L190" s="1277"/>
      <c r="M190" s="1277"/>
      <c r="N190" s="1277"/>
      <c r="O190" s="1277"/>
      <c r="P190" s="1277"/>
      <c r="Q190" s="1277"/>
      <c r="R190" s="1277"/>
      <c r="S190" s="1277"/>
      <c r="T190" s="1277"/>
      <c r="U190" s="1277"/>
      <c r="V190" s="219"/>
      <c r="W190" s="474" cm="1" t="str">
        <f t="array" ref="W190:W190">W189</f>
        <v>false</v>
      </c>
      <c r="X190" s="1277"/>
      <c r="Y190" s="1277"/>
      <c r="Z190" s="1472"/>
      <c r="AA190" s="1488"/>
      <c r="AB190" s="1685"/>
      <c r="AC190" s="1686"/>
      <c r="AD190" s="369" t="s">
        <v>279</v>
      </c>
      <c r="AE190" s="1702" t="str">
        <f>IF(ISBLANK(AE192),"",DATE(AE192,7,1))</f>
        <v/>
      </c>
      <c r="AF190" s="1473"/>
      <c r="AG190" s="1277"/>
      <c r="AH190" s="1277"/>
      <c r="AI190" s="1277"/>
      <c r="AJ190" s="1277"/>
      <c r="AK190" s="1277"/>
      <c r="AL190" s="1277"/>
      <c r="AM190" s="1277"/>
      <c r="AN190" s="1277"/>
      <c r="AO190" s="1277"/>
      <c r="AP190" s="1277"/>
      <c r="AQ190" s="1277"/>
      <c r="AR190" s="1277"/>
      <c r="AS190" s="1277"/>
      <c r="AT190" s="1277"/>
      <c r="AU190" s="1277"/>
      <c r="AV190" s="1277"/>
      <c r="AW190" s="1277"/>
      <c r="AX190" s="1277"/>
      <c r="AY190" s="1277"/>
      <c r="AZ190" s="1277"/>
      <c r="BA190" s="1277"/>
    </row>
    <row customHeight="1" ht="16.0875" hidden="1">
      <c r="A191" s="1277"/>
      <c r="B191" s="417">
        <f>org_declaration="Заявление организации"</f>
        <v>1</v>
      </c>
      <c r="C191" s="1277"/>
      <c r="D191" s="1277"/>
      <c r="E191" s="614">
        <v>16.5</v>
      </c>
      <c r="F191" s="73" cm="1" t="str">
        <f t="array" ref="F191:F191">F190</f>
        <v>0</v>
      </c>
      <c r="G191" s="1277"/>
      <c r="H191" s="1277"/>
      <c r="I191" s="1277"/>
      <c r="J191" s="1277"/>
      <c r="K191" s="1277"/>
      <c r="L191" s="1277"/>
      <c r="M191" s="1277"/>
      <c r="N191" s="1277"/>
      <c r="O191" s="1277"/>
      <c r="P191" s="1277"/>
      <c r="Q191" s="1277"/>
      <c r="R191" s="1277"/>
      <c r="S191" s="1277"/>
      <c r="T191" s="1277"/>
      <c r="U191" s="1277"/>
      <c r="V191" s="219"/>
      <c r="W191" s="474" cm="1" t="str">
        <f t="array" ref="W191:W191">W190</f>
        <v>false</v>
      </c>
      <c r="X191" s="1277"/>
      <c r="Y191" s="1277"/>
      <c r="Z191" s="1472"/>
      <c r="AA191" s="1488"/>
      <c r="AB191" s="1685"/>
      <c r="AC191" s="1686"/>
      <c r="AD191" s="369" t="s">
        <v>280</v>
      </c>
      <c r="AE191" s="1703"/>
      <c r="AF191" s="1473"/>
      <c r="AG191" s="1277"/>
      <c r="AH191" s="1277"/>
      <c r="AI191" s="1277"/>
      <c r="AJ191" s="1277"/>
      <c r="AK191" s="1277"/>
      <c r="AL191" s="1277"/>
      <c r="AM191" s="1277"/>
      <c r="AN191" s="1277"/>
      <c r="AO191" s="1277"/>
      <c r="AP191" s="1277"/>
      <c r="AQ191" s="1277"/>
      <c r="AR191" s="1277"/>
      <c r="AS191" s="1277"/>
      <c r="AT191" s="1277"/>
      <c r="AU191" s="1277"/>
      <c r="AV191" s="1277"/>
      <c r="AW191" s="1277"/>
      <c r="AX191" s="1277"/>
      <c r="AY191" s="1277"/>
      <c r="AZ191" s="1277"/>
      <c r="BA191" s="1277"/>
    </row>
    <row customHeight="1" ht="21.9375" hidden="1">
      <c r="A192" s="1277"/>
      <c r="B192" s="417">
        <f>org_declaration="Заявление организации"</f>
        <v>1</v>
      </c>
      <c r="C192" s="1277"/>
      <c r="D192" s="1277"/>
      <c r="E192" s="614">
        <v>22.5</v>
      </c>
      <c r="F192" s="73" cm="1" t="str">
        <f t="array" ref="F192:F192">F191</f>
        <v>0</v>
      </c>
      <c r="G192" s="1277"/>
      <c r="H192" s="1277"/>
      <c r="I192" s="1277"/>
      <c r="J192" s="1277"/>
      <c r="K192" s="1277"/>
      <c r="L192" s="1277"/>
      <c r="M192" s="1277"/>
      <c r="N192" s="1277"/>
      <c r="O192" s="1277"/>
      <c r="P192" s="1277"/>
      <c r="Q192" s="1277"/>
      <c r="R192" s="1277"/>
      <c r="S192" s="1277"/>
      <c r="T192" s="1277"/>
      <c r="U192" s="1277"/>
      <c r="V192" s="219"/>
      <c r="W192" s="474">
        <f>AND(W191,AE191&lt;&gt;"Метод экономически обоснованных расходов",AE191&lt;&gt;"Метод сравнения аналогов")</f>
        <v>0</v>
      </c>
      <c r="X192" s="1277"/>
      <c r="Y192" s="1277"/>
      <c r="Z192" s="1472"/>
      <c r="AA192" s="1488"/>
      <c r="AB192" s="1685"/>
      <c r="AC192" s="1686"/>
      <c r="AD192" s="65" t="str">
        <f>IF(OR(AE191="экономически обоснованных расходов (затрат)",AE191="сравнения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92" s="1704"/>
      <c r="AF192" s="1473"/>
      <c r="AG192" s="1277"/>
      <c r="AH192" s="1277"/>
      <c r="AI192" s="1277"/>
      <c r="AJ192" s="1277"/>
      <c r="AK192" s="1277"/>
      <c r="AL192" s="1277"/>
      <c r="AM192" s="1277"/>
      <c r="AN192" s="1277"/>
      <c r="AO192" s="1277"/>
      <c r="AP192" s="1277"/>
      <c r="AQ192" s="1277"/>
      <c r="AR192" s="1277"/>
      <c r="AS192" s="1277"/>
      <c r="AT192" s="1277"/>
      <c r="AU192" s="1277"/>
      <c r="AV192" s="1277"/>
      <c r="AW192" s="1277"/>
      <c r="AX192" s="1277"/>
      <c r="AY192" s="1277"/>
      <c r="AZ192" s="1277"/>
      <c r="BA192" s="1277"/>
    </row>
    <row customHeight="1" ht="16.0875" hidden="1">
      <c r="A193" s="1277"/>
      <c r="B193" s="417">
        <f>org_declaration="Заявление организации"</f>
        <v>1</v>
      </c>
      <c r="C193" s="1277"/>
      <c r="D193" s="1277"/>
      <c r="E193" s="614">
        <v>16.5</v>
      </c>
      <c r="F193" s="73" cm="1" t="str">
        <f t="array" ref="F193:F193">F192</f>
        <v>0</v>
      </c>
      <c r="G193" s="1277"/>
      <c r="H193" s="1277"/>
      <c r="I193" s="1277"/>
      <c r="J193" s="1277"/>
      <c r="K193" s="1277"/>
      <c r="L193" s="1277"/>
      <c r="M193" s="1277"/>
      <c r="N193" s="1277"/>
      <c r="O193" s="1277"/>
      <c r="P193" s="1277"/>
      <c r="Q193" s="1277"/>
      <c r="R193" s="1277"/>
      <c r="S193" s="1277"/>
      <c r="T193" s="1277"/>
      <c r="U193" s="1277"/>
      <c r="V193" s="219"/>
      <c r="W193" s="474">
        <f>AND(W192,AE191&lt;&gt;"Метод экономически обоснованных расходов",AE191&lt;&gt;"Метод сравнения аналогов")</f>
        <v>0</v>
      </c>
      <c r="X193" s="1277"/>
      <c r="Y193" s="1277"/>
      <c r="Z193" s="1472"/>
      <c r="AA193" s="1488"/>
      <c r="AB193" s="1685"/>
      <c r="AC193" s="1686"/>
      <c r="AD193" s="369" t="s">
        <v>106</v>
      </c>
      <c r="AE193" s="1704"/>
      <c r="AF193" s="1473"/>
      <c r="AG193" s="1277"/>
      <c r="AH193" s="1277"/>
      <c r="AI193" s="1277"/>
      <c r="AJ193" s="1277"/>
      <c r="AK193" s="1277"/>
      <c r="AL193" s="1277"/>
      <c r="AM193" s="1277"/>
      <c r="AN193" s="1277"/>
      <c r="AO193" s="1277"/>
      <c r="AP193" s="1277"/>
      <c r="AQ193" s="1277"/>
      <c r="AR193" s="1277"/>
      <c r="AS193" s="1277"/>
      <c r="AT193" s="1277"/>
      <c r="AU193" s="1277"/>
      <c r="AV193" s="1277"/>
      <c r="AW193" s="1277"/>
      <c r="AX193" s="1277"/>
      <c r="AY193" s="1277"/>
      <c r="AZ193" s="1277"/>
      <c r="BA193" s="1277"/>
    </row>
    <row s="1624" customFormat="1" customHeight="1" ht="21.22868624600497">
      <c r="A194" s="1277"/>
      <c r="B194" s="73"/>
      <c r="C194" s="1277"/>
      <c r="D194" s="1277"/>
      <c r="E194" s="614">
        <v>18.75</v>
      </c>
      <c r="F194" s="73" cm="1" t="str">
        <f t="array" ref="F194:F194">Z194</f>
        <v>1</v>
      </c>
      <c r="G194" s="1277"/>
      <c r="H194" s="1277"/>
      <c r="I194" s="1277"/>
      <c r="J194" s="1277"/>
      <c r="K194" s="1277"/>
      <c r="L194" s="1277"/>
      <c r="M194" s="1277"/>
      <c r="N194" s="1277"/>
      <c r="O194" s="1277"/>
      <c r="P194" s="1277"/>
      <c r="Q194" s="1277"/>
      <c r="R194" s="1277"/>
      <c r="S194" s="1277"/>
      <c r="T194" s="1277"/>
      <c r="U194" s="1277"/>
      <c r="V194" s="219" cm="1" t="str">
        <f t="array" ref="V194:V194">AE195</f>
        <v>ВО.42.26322895.0022</v>
      </c>
      <c r="W194" s="474">
        <f>Z194&gt;0</f>
        <v>1</v>
      </c>
      <c r="X194" s="73"/>
      <c r="Y194" s="1277"/>
      <c r="Z194" s="1472" t="s">
        <v>281</v>
      </c>
      <c r="AA194" s="1488"/>
      <c r="AB194" s="1484"/>
      <c r="AC194" s="1485"/>
      <c r="AD194" s="367" t="str">
        <f>"Тариф "&amp;Z194</f>
        <v>Тариф 1</v>
      </c>
      <c r="AE194" s="368" t="s">
        <v>282</v>
      </c>
      <c r="AF194" s="1473" t="s">
        <v>173</v>
      </c>
      <c r="AG194" s="73" t="str">
        <f>AD194&amp;" ("&amp;AE194&amp;") - "&amp;AE196&amp;IF(AE200="",""," ("&amp;AE200&amp;")")</f>
        <v>Тариф 1 (Водоотведение) - тариф на транспортировку сточных вод</v>
      </c>
      <c r="AH194" s="73" cm="1" t="str">
        <f t="array" ref="AH194:AH194">AE199</f>
        <v>без дифференциации</v>
      </c>
      <c r="AI194" s="219" cm="1" t="str">
        <f t="array" ref="AI194:AI194">AE196</f>
        <v>тариф на транспортировку сточных вод</v>
      </c>
      <c r="AJ194" s="73" cm="1" t="str">
        <f t="array" ref="AJ194:AJ194">AE200</f>
        <v>0</v>
      </c>
      <c r="AK194" s="73" cm="1" t="str">
        <f t="array" ref="AK194:AK194">AE197</f>
        <v>одноставочный</v>
      </c>
      <c r="AL194" s="885" cm="1" t="str">
        <f t="array" ref="AL194:AL194">AE204</f>
        <v>45839</v>
      </c>
      <c r="AM194" s="471" cm="1" t="str">
        <f t="array" ref="AM194:AM194">AE205</f>
        <v>Метод сравнения аналогов</v>
      </c>
      <c r="AN194" s="73">
        <f>IF(ISERR(SEARCH("трансп",AI194)),FALSE,TRUE)</f>
        <v>1</v>
      </c>
      <c r="AO194" s="1277"/>
      <c r="AP194" s="1277"/>
      <c r="AQ194" s="1277"/>
      <c r="AR194" s="1277"/>
      <c r="AS194" s="1277"/>
      <c r="AT194" s="1277"/>
      <c r="AU194" s="1277"/>
      <c r="AV194" s="1277"/>
      <c r="AW194" s="1277"/>
      <c r="AX194" s="1277"/>
      <c r="AY194" s="1277"/>
      <c r="AZ194" s="1277"/>
      <c r="BA194" s="1277"/>
    </row>
    <row s="1624" customFormat="1" customHeight="1" ht="24.637777155095876">
      <c r="A195" s="1277"/>
      <c r="B195" s="73"/>
      <c r="C195" s="1277"/>
      <c r="D195" s="1277"/>
      <c r="E195" s="614">
        <v>16.5</v>
      </c>
      <c r="F195" s="73" cm="1" t="str">
        <f t="array" ref="F195:F195">F194</f>
        <v>1</v>
      </c>
      <c r="G195" s="1277"/>
      <c r="H195" s="1277"/>
      <c r="I195" s="1277"/>
      <c r="J195" s="1277"/>
      <c r="K195" s="1277"/>
      <c r="L195" s="1277"/>
      <c r="M195" s="1277"/>
      <c r="N195" s="1277"/>
      <c r="O195" s="1277"/>
      <c r="P195" s="1277"/>
      <c r="Q195" s="1277"/>
      <c r="R195" s="1277"/>
      <c r="S195" s="1277"/>
      <c r="T195" s="1277"/>
      <c r="U195" s="1277"/>
      <c r="V195" s="219"/>
      <c r="W195" s="474" cm="1" t="str">
        <f t="array" ref="W195:W195">W194</f>
        <v>true</v>
      </c>
      <c r="X195" s="1277"/>
      <c r="Y195" s="1277"/>
      <c r="Z195" s="1472"/>
      <c r="AA195" s="1488"/>
      <c r="AB195" s="1484"/>
      <c r="AC195" s="1485"/>
      <c r="AD195" s="369" t="s">
        <v>268</v>
      </c>
      <c r="AE195" s="360" t="s">
        <v>283</v>
      </c>
      <c r="AF195" s="1473"/>
      <c r="AG195" s="1277"/>
      <c r="AH195" s="1277">
        <v>8218476367</v>
      </c>
      <c r="AI195" s="1277"/>
      <c r="AJ195" s="1277"/>
      <c r="AK195" s="1277"/>
      <c r="AL195" s="1277"/>
      <c r="AM195" s="1277"/>
      <c r="AN195" s="1277"/>
      <c r="AO195" s="1277"/>
      <c r="AP195" s="1277"/>
      <c r="AQ195" s="1277"/>
      <c r="AR195" s="1277"/>
      <c r="AS195" s="1277"/>
      <c r="AT195" s="1277"/>
      <c r="AU195" s="1277"/>
      <c r="AV195" s="1277"/>
      <c r="AW195" s="1277"/>
      <c r="AX195" s="1277"/>
      <c r="AY195" s="1277"/>
      <c r="AZ195" s="1277"/>
      <c r="BA195" s="1277"/>
    </row>
    <row s="1624" customFormat="1" customHeight="1" ht="23.9559589732777">
      <c r="A196" s="1277"/>
      <c r="B196" s="73"/>
      <c r="C196" s="1277"/>
      <c r="D196" s="1277"/>
      <c r="E196" s="614">
        <v>16.5</v>
      </c>
      <c r="F196" s="73" cm="1" t="str">
        <f t="array" ref="F196:F196">F195</f>
        <v>1</v>
      </c>
      <c r="G196" s="1277"/>
      <c r="H196" s="1277"/>
      <c r="I196" s="1277"/>
      <c r="J196" s="1277"/>
      <c r="K196" s="1277"/>
      <c r="L196" s="1277"/>
      <c r="M196" s="1277"/>
      <c r="N196" s="1277"/>
      <c r="O196" s="1277"/>
      <c r="P196" s="1277"/>
      <c r="Q196" s="1277"/>
      <c r="R196" s="1277"/>
      <c r="S196" s="1277"/>
      <c r="T196" s="1277"/>
      <c r="U196" s="1277"/>
      <c r="V196" s="219"/>
      <c r="W196" s="474" cm="1" t="str">
        <f t="array" ref="W196:W196">W195</f>
        <v>true</v>
      </c>
      <c r="X196" s="1277"/>
      <c r="Y196" s="1277"/>
      <c r="Z196" s="1472"/>
      <c r="AA196" s="1488"/>
      <c r="AB196" s="1484"/>
      <c r="AC196" s="1485"/>
      <c r="AD196" s="369" t="s">
        <v>269</v>
      </c>
      <c r="AE196" s="1694" t="s">
        <v>270</v>
      </c>
      <c r="AF196" s="1473"/>
      <c r="AG196" s="1277"/>
      <c r="AH196" s="1277"/>
      <c r="AI196" s="1277"/>
      <c r="AJ196" s="1277"/>
      <c r="AK196" s="1277"/>
      <c r="AL196" s="1277"/>
      <c r="AM196" s="1277"/>
      <c r="AN196" s="1277"/>
      <c r="AO196" s="1277"/>
      <c r="AP196" s="1277"/>
      <c r="AQ196" s="1277"/>
      <c r="AR196" s="1277"/>
      <c r="AS196" s="1277"/>
      <c r="AT196" s="1277"/>
      <c r="AU196" s="1277"/>
      <c r="AV196" s="1277"/>
      <c r="AW196" s="1277"/>
      <c r="AX196" s="1277"/>
      <c r="AY196" s="1277"/>
      <c r="AZ196" s="1277"/>
      <c r="BA196" s="1277"/>
    </row>
    <row s="1624" customFormat="1" customHeight="1" ht="22.592322609641332">
      <c r="A197" s="1277"/>
      <c r="B197" s="73"/>
      <c r="C197" s="1277"/>
      <c r="D197" s="1277"/>
      <c r="E197" s="614">
        <v>16.5</v>
      </c>
      <c r="F197" s="73" cm="1" t="str">
        <f t="array" ref="F197:F197">F196</f>
        <v>1</v>
      </c>
      <c r="G197" s="1277"/>
      <c r="H197" s="1277"/>
      <c r="I197" s="1277"/>
      <c r="J197" s="1277"/>
      <c r="K197" s="1277"/>
      <c r="L197" s="1277"/>
      <c r="M197" s="1277"/>
      <c r="N197" s="1277"/>
      <c r="O197" s="1277"/>
      <c r="P197" s="1277"/>
      <c r="Q197" s="1277"/>
      <c r="R197" s="1277"/>
      <c r="S197" s="1277"/>
      <c r="T197" s="1277"/>
      <c r="U197" s="1277"/>
      <c r="V197" s="219"/>
      <c r="W197" s="474" cm="1" t="str">
        <f t="array" ref="W197:W197">W196</f>
        <v>true</v>
      </c>
      <c r="X197" s="1277"/>
      <c r="Y197" s="1277"/>
      <c r="Z197" s="1472"/>
      <c r="AA197" s="1488"/>
      <c r="AB197" s="1484"/>
      <c r="AC197" s="1485"/>
      <c r="AD197" s="369" t="s">
        <v>271</v>
      </c>
      <c r="AE197" s="1694" t="s">
        <v>272</v>
      </c>
      <c r="AF197" s="1473"/>
      <c r="AG197" s="1277"/>
      <c r="AH197" s="1277"/>
      <c r="AI197" s="1277"/>
      <c r="AJ197" s="1277"/>
      <c r="AK197" s="1277"/>
      <c r="AL197" s="1277"/>
      <c r="AM197" s="1277"/>
      <c r="AN197" s="1277"/>
      <c r="AO197" s="1277"/>
      <c r="AP197" s="1277"/>
      <c r="AQ197" s="1277"/>
      <c r="AR197" s="1277"/>
      <c r="AS197" s="1277"/>
      <c r="AT197" s="1277"/>
      <c r="AU197" s="1277"/>
      <c r="AV197" s="1277"/>
      <c r="AW197" s="1277"/>
      <c r="AX197" s="1277"/>
      <c r="AY197" s="1277"/>
      <c r="AZ197" s="1277"/>
      <c r="BA197" s="1277"/>
    </row>
    <row s="1624" customFormat="1" customHeight="1" ht="22.592322609641332">
      <c r="A198" s="1277"/>
      <c r="B198" s="73"/>
      <c r="C198" s="1277"/>
      <c r="D198" s="1277"/>
      <c r="E198" s="614">
        <v>16.5</v>
      </c>
      <c r="F198" s="73" cm="1" t="str">
        <f t="array" ref="F198:F198">F197</f>
        <v>1</v>
      </c>
      <c r="G198" s="1277"/>
      <c r="H198" s="1277"/>
      <c r="I198" s="1277"/>
      <c r="J198" s="1277"/>
      <c r="K198" s="1277"/>
      <c r="L198" s="1277"/>
      <c r="M198" s="1277"/>
      <c r="N198" s="1277"/>
      <c r="O198" s="1277"/>
      <c r="P198" s="1277"/>
      <c r="Q198" s="1277"/>
      <c r="R198" s="1277"/>
      <c r="S198" s="1277"/>
      <c r="T198" s="1277"/>
      <c r="U198" s="1277"/>
      <c r="V198" s="219"/>
      <c r="W198" s="474" cm="1" t="str">
        <f t="array" ref="W198:W198">W197</f>
        <v>true</v>
      </c>
      <c r="X198" s="1277"/>
      <c r="Y198" s="1277"/>
      <c r="Z198" s="1472"/>
      <c r="AA198" s="1488"/>
      <c r="AB198" s="1484"/>
      <c r="AC198" s="1485"/>
      <c r="AD198" s="369" t="s">
        <v>273</v>
      </c>
      <c r="AE198" s="1695" t="s">
        <v>274</v>
      </c>
      <c r="AF198" s="1473"/>
      <c r="AG198" s="1277"/>
      <c r="AH198" s="1277"/>
      <c r="AI198" s="1277"/>
      <c r="AJ198" s="1277"/>
      <c r="AK198" s="1277"/>
      <c r="AL198" s="1277"/>
      <c r="AM198" s="1277"/>
      <c r="AN198" s="1277"/>
      <c r="AO198" s="1277"/>
      <c r="AP198" s="1277"/>
      <c r="AQ198" s="1277"/>
      <c r="AR198" s="1277"/>
      <c r="AS198" s="1277"/>
      <c r="AT198" s="1277"/>
      <c r="AU198" s="1277"/>
      <c r="AV198" s="1277"/>
      <c r="AW198" s="1277"/>
      <c r="AX198" s="1277"/>
      <c r="AY198" s="1277"/>
      <c r="AZ198" s="1277"/>
      <c r="BA198" s="1277"/>
    </row>
    <row s="1624" customFormat="1" customHeight="1" ht="20.546868064186786">
      <c r="A199" s="1277"/>
      <c r="B199" s="73"/>
      <c r="C199" s="1277"/>
      <c r="D199" s="1277"/>
      <c r="E199" s="614">
        <v>16.5</v>
      </c>
      <c r="F199" s="73" cm="1" t="str">
        <f t="array" ref="F199:F199">F198</f>
        <v>1</v>
      </c>
      <c r="G199" s="1277"/>
      <c r="H199" s="1277"/>
      <c r="I199" s="1277"/>
      <c r="J199" s="1277"/>
      <c r="K199" s="1277"/>
      <c r="L199" s="1277"/>
      <c r="M199" s="1277"/>
      <c r="N199" s="1277"/>
      <c r="O199" s="1277"/>
      <c r="P199" s="1277"/>
      <c r="Q199" s="1277"/>
      <c r="R199" s="1277"/>
      <c r="S199" s="1277"/>
      <c r="T199" s="1277"/>
      <c r="U199" s="1277"/>
      <c r="V199" s="219"/>
      <c r="W199" s="474" cm="1" t="str">
        <f t="array" ref="W199:W199">W198</f>
        <v>true</v>
      </c>
      <c r="X199" s="1277"/>
      <c r="Y199" s="1277"/>
      <c r="Z199" s="1472"/>
      <c r="AA199" s="1488"/>
      <c r="AB199" s="1484"/>
      <c r="AC199" s="1485"/>
      <c r="AD199" s="65" t="str">
        <f>IF(AE194="Водоотведение","Вид сточных вод","Вид воды")</f>
        <v>Вид сточных вод</v>
      </c>
      <c r="AE199" s="362" t="s">
        <v>284</v>
      </c>
      <c r="AF199" s="1473"/>
      <c r="AG199" s="1277"/>
      <c r="AH199" s="1277"/>
      <c r="AI199" s="1277"/>
      <c r="AJ199" s="1277"/>
      <c r="AK199" s="1277"/>
      <c r="AL199" s="1277"/>
      <c r="AM199" s="1277"/>
      <c r="AN199" s="1277"/>
      <c r="AO199" s="1277"/>
      <c r="AP199" s="1277"/>
      <c r="AQ199" s="1277"/>
      <c r="AR199" s="1277"/>
      <c r="AS199" s="1277"/>
      <c r="AT199" s="1277"/>
      <c r="AU199" s="1277"/>
      <c r="AV199" s="1277"/>
      <c r="AW199" s="1277"/>
      <c r="AX199" s="1277"/>
      <c r="AY199" s="1277"/>
      <c r="AZ199" s="1277"/>
      <c r="BA199" s="1277"/>
    </row>
    <row s="1624" customFormat="1" customHeight="1" ht="19.865049882368606">
      <c r="A200" s="1277"/>
      <c r="B200" s="73"/>
      <c r="C200" s="1277"/>
      <c r="D200" s="1277"/>
      <c r="E200" s="614">
        <v>16.5</v>
      </c>
      <c r="F200" s="73" cm="1" t="str">
        <f t="array" ref="F200:F200">F199</f>
        <v>1</v>
      </c>
      <c r="G200" s="1277"/>
      <c r="H200" s="1277"/>
      <c r="I200" s="1277"/>
      <c r="J200" s="1277"/>
      <c r="K200" s="1277"/>
      <c r="L200" s="1277"/>
      <c r="M200" s="1277"/>
      <c r="N200" s="1277"/>
      <c r="O200" s="1277"/>
      <c r="P200" s="1277"/>
      <c r="Q200" s="1277"/>
      <c r="R200" s="1277"/>
      <c r="S200" s="1277"/>
      <c r="T200" s="1277"/>
      <c r="U200" s="1277"/>
      <c r="V200" s="219"/>
      <c r="W200" s="474" cm="1" t="str">
        <f t="array" ref="W200:W200">W199</f>
        <v>true</v>
      </c>
      <c r="X200" s="1277"/>
      <c r="Y200" s="1277"/>
      <c r="Z200" s="1472"/>
      <c r="AA200" s="1488"/>
      <c r="AB200" s="1484"/>
      <c r="AC200" s="1485"/>
      <c r="AD200" s="65" t="s">
        <v>275</v>
      </c>
      <c r="AE200" s="730"/>
      <c r="AF200" s="1473"/>
      <c r="AG200" s="1277"/>
      <c r="AH200" s="1277"/>
      <c r="AI200" s="1277"/>
      <c r="AJ200" s="1277"/>
      <c r="AK200" s="1277"/>
      <c r="AL200" s="1277"/>
      <c r="AM200" s="1277"/>
      <c r="AN200" s="1277"/>
      <c r="AO200" s="1277"/>
      <c r="AP200" s="1277"/>
      <c r="AQ200" s="1277"/>
      <c r="AR200" s="1277"/>
      <c r="AS200" s="1277"/>
      <c r="AT200" s="1277"/>
      <c r="AU200" s="1277"/>
      <c r="AV200" s="1277"/>
      <c r="AW200" s="1277"/>
      <c r="AX200" s="1277"/>
      <c r="AY200" s="1277"/>
      <c r="AZ200" s="1277"/>
      <c r="BA200" s="1277"/>
    </row>
    <row s="1624" customFormat="1" customHeight="1" ht="17.81959533691406">
      <c r="A201" s="1277"/>
      <c r="B201" s="417">
        <f>org_declaration="Заявление организации"</f>
        <v>1</v>
      </c>
      <c r="C201" s="1277"/>
      <c r="D201" s="1277"/>
      <c r="E201" s="614">
        <v>16.5</v>
      </c>
      <c r="F201" s="73" cm="1" t="str">
        <f t="array" ref="F201:F201">F200</f>
        <v>1</v>
      </c>
      <c r="G201" s="1277"/>
      <c r="H201" s="1277"/>
      <c r="I201" s="1277"/>
      <c r="J201" s="1277"/>
      <c r="K201" s="1277"/>
      <c r="L201" s="1277"/>
      <c r="M201" s="1277"/>
      <c r="N201" s="1277"/>
      <c r="O201" s="1277"/>
      <c r="P201" s="1277"/>
      <c r="Q201" s="1277"/>
      <c r="R201" s="1277"/>
      <c r="S201" s="1277"/>
      <c r="T201" s="1277"/>
      <c r="U201" s="1277"/>
      <c r="V201" s="219"/>
      <c r="W201" s="474" cm="1" t="str">
        <f t="array" ref="W201:W201">W200</f>
        <v>true</v>
      </c>
      <c r="X201" s="1277"/>
      <c r="Y201" s="1277"/>
      <c r="Z201" s="1472"/>
      <c r="AA201" s="1488"/>
      <c r="AB201" s="1484"/>
      <c r="AC201" s="1485"/>
      <c r="AD201" s="369" t="s">
        <v>276</v>
      </c>
      <c r="AE201" s="370">
        <v>2497</v>
      </c>
      <c r="AF201" s="1473"/>
      <c r="AG201" s="1277"/>
      <c r="AH201" s="1277"/>
      <c r="AI201" s="1277"/>
      <c r="AJ201" s="1277"/>
      <c r="AK201" s="1277"/>
      <c r="AL201" s="1277"/>
      <c r="AM201" s="1277"/>
      <c r="AN201" s="1277"/>
      <c r="AO201" s="1277"/>
      <c r="AP201" s="1277"/>
      <c r="AQ201" s="1277"/>
      <c r="AR201" s="1277"/>
      <c r="AS201" s="1277"/>
      <c r="AT201" s="1277"/>
      <c r="AU201" s="1277"/>
      <c r="AV201" s="1277"/>
      <c r="AW201" s="1277"/>
      <c r="AX201" s="1277"/>
      <c r="AY201" s="1277"/>
      <c r="AZ201" s="1277"/>
      <c r="BA201" s="1277"/>
    </row>
    <row s="1624" customFormat="1" customHeight="1" ht="19.183231700550426">
      <c r="A202" s="1277"/>
      <c r="B202" s="417">
        <f>org_declaration="Заявление организации"</f>
        <v>1</v>
      </c>
      <c r="C202" s="1277"/>
      <c r="D202" s="1277"/>
      <c r="E202" s="614">
        <v>16.5</v>
      </c>
      <c r="F202" s="73" cm="1" t="str">
        <f t="array" ref="F202:F202">F201</f>
        <v>1</v>
      </c>
      <c r="G202" s="1277"/>
      <c r="H202" s="1277"/>
      <c r="I202" s="1277"/>
      <c r="J202" s="1277"/>
      <c r="K202" s="1277"/>
      <c r="L202" s="1277"/>
      <c r="M202" s="1277"/>
      <c r="N202" s="1277"/>
      <c r="O202" s="1277"/>
      <c r="P202" s="1277"/>
      <c r="Q202" s="1277"/>
      <c r="R202" s="1277"/>
      <c r="S202" s="1277"/>
      <c r="T202" s="1277"/>
      <c r="U202" s="1277"/>
      <c r="V202" s="219"/>
      <c r="W202" s="474" cm="1" t="str">
        <f t="array" ref="W202:W202">W201</f>
        <v>true</v>
      </c>
      <c r="X202" s="1277"/>
      <c r="Y202" s="1277"/>
      <c r="Z202" s="1472"/>
      <c r="AA202" s="1488"/>
      <c r="AB202" s="1484"/>
      <c r="AC202" s="1485"/>
      <c r="AD202" s="369" t="s">
        <v>277</v>
      </c>
      <c r="AE202" s="1055">
        <v>45775</v>
      </c>
      <c r="AF202" s="1473"/>
      <c r="AG202" s="1277"/>
      <c r="AH202" s="1277"/>
      <c r="AI202" s="1277"/>
      <c r="AJ202" s="1277"/>
      <c r="AK202" s="1277"/>
      <c r="AL202" s="1277"/>
      <c r="AM202" s="1277"/>
      <c r="AN202" s="1277"/>
      <c r="AO202" s="1277"/>
      <c r="AP202" s="1277"/>
      <c r="AQ202" s="1277"/>
      <c r="AR202" s="1277"/>
      <c r="AS202" s="1277"/>
      <c r="AT202" s="1277"/>
      <c r="AU202" s="1277"/>
      <c r="AV202" s="1277"/>
      <c r="AW202" s="1277"/>
      <c r="AX202" s="1277"/>
      <c r="AY202" s="1277"/>
      <c r="AZ202" s="1277"/>
      <c r="BA202" s="1277"/>
    </row>
    <row s="1624" customFormat="1" customHeight="1" ht="18.501413518732242">
      <c r="A203" s="1277"/>
      <c r="B203" s="417">
        <f>org_declaration="Заявление организации"</f>
        <v>1</v>
      </c>
      <c r="C203" s="1277"/>
      <c r="D203" s="1277"/>
      <c r="E203" s="614">
        <v>16.5</v>
      </c>
      <c r="F203" s="73" cm="1" t="str">
        <f t="array" ref="F203:F203">F202</f>
        <v>1</v>
      </c>
      <c r="G203" s="1277"/>
      <c r="H203" s="1277"/>
      <c r="I203" s="1277"/>
      <c r="J203" s="1277"/>
      <c r="K203" s="1277"/>
      <c r="L203" s="1277"/>
      <c r="M203" s="1277"/>
      <c r="N203" s="1277"/>
      <c r="O203" s="1277"/>
      <c r="P203" s="1277"/>
      <c r="Q203" s="1277"/>
      <c r="R203" s="1277"/>
      <c r="S203" s="1277"/>
      <c r="T203" s="1277"/>
      <c r="U203" s="1277"/>
      <c r="V203" s="219"/>
      <c r="W203" s="474" cm="1" t="str">
        <f t="array" ref="W203:W203">W202</f>
        <v>true</v>
      </c>
      <c r="X203" s="1277"/>
      <c r="Y203" s="1277"/>
      <c r="Z203" s="1472"/>
      <c r="AA203" s="1488"/>
      <c r="AB203" s="1484"/>
      <c r="AC203" s="1485"/>
      <c r="AD203" s="369" t="s">
        <v>278</v>
      </c>
      <c r="AE203" s="371"/>
      <c r="AF203" s="1473"/>
      <c r="AG203" s="1277"/>
      <c r="AH203" s="1277"/>
      <c r="AI203" s="1277"/>
      <c r="AJ203" s="1277"/>
      <c r="AK203" s="1277"/>
      <c r="AL203" s="1277"/>
      <c r="AM203" s="1277"/>
      <c r="AN203" s="1277"/>
      <c r="AO203" s="1277"/>
      <c r="AP203" s="1277"/>
      <c r="AQ203" s="1277"/>
      <c r="AR203" s="1277"/>
      <c r="AS203" s="1277"/>
      <c r="AT203" s="1277"/>
      <c r="AU203" s="1277"/>
      <c r="AV203" s="1277"/>
      <c r="AW203" s="1277"/>
      <c r="AX203" s="1277"/>
      <c r="AY203" s="1277"/>
      <c r="AZ203" s="1277"/>
      <c r="BA203" s="1277"/>
    </row>
    <row s="1624" customFormat="1" customHeight="1" ht="23.274140791459516">
      <c r="A204" s="1277"/>
      <c r="B204" s="417">
        <f>org_declaration="Заявление организации"</f>
        <v>1</v>
      </c>
      <c r="C204" s="1277"/>
      <c r="D204" s="1277"/>
      <c r="E204" s="614">
        <v>16.5</v>
      </c>
      <c r="F204" s="73" cm="1" t="str">
        <f t="array" ref="F204:F204">F203</f>
        <v>1</v>
      </c>
      <c r="G204" s="1277"/>
      <c r="H204" s="1277"/>
      <c r="I204" s="1277"/>
      <c r="J204" s="1277"/>
      <c r="K204" s="1277"/>
      <c r="L204" s="1277"/>
      <c r="M204" s="1277"/>
      <c r="N204" s="1277"/>
      <c r="O204" s="1277"/>
      <c r="P204" s="1277"/>
      <c r="Q204" s="1277"/>
      <c r="R204" s="1277"/>
      <c r="S204" s="1277"/>
      <c r="T204" s="1277"/>
      <c r="U204" s="1277"/>
      <c r="V204" s="219"/>
      <c r="W204" s="474" cm="1" t="str">
        <f t="array" ref="W204:W204">W203</f>
        <v>true</v>
      </c>
      <c r="X204" s="1277"/>
      <c r="Y204" s="1277"/>
      <c r="Z204" s="1472"/>
      <c r="AA204" s="1488"/>
      <c r="AB204" s="1484"/>
      <c r="AC204" s="1485"/>
      <c r="AD204" s="369" t="s">
        <v>279</v>
      </c>
      <c r="AE204" s="917">
        <v>45839</v>
      </c>
      <c r="AF204" s="1473"/>
      <c r="AG204" s="1277"/>
      <c r="AH204" s="1277"/>
      <c r="AI204" s="1277"/>
      <c r="AJ204" s="1277"/>
      <c r="AK204" s="1277"/>
      <c r="AL204" s="1277"/>
      <c r="AM204" s="1277"/>
      <c r="AN204" s="1277"/>
      <c r="AO204" s="1277"/>
      <c r="AP204" s="1277"/>
      <c r="AQ204" s="1277"/>
      <c r="AR204" s="1277"/>
      <c r="AS204" s="1277"/>
      <c r="AT204" s="1277"/>
      <c r="AU204" s="1277"/>
      <c r="AV204" s="1277"/>
      <c r="AW204" s="1277"/>
      <c r="AX204" s="1277"/>
      <c r="AY204" s="1277"/>
      <c r="AZ204" s="1277"/>
      <c r="BA204" s="1277"/>
    </row>
    <row s="1624" customFormat="1" customHeight="1" ht="21.22868624600497">
      <c r="A205" s="1277"/>
      <c r="B205" s="417">
        <f>org_declaration="Заявление организации"</f>
        <v>1</v>
      </c>
      <c r="C205" s="1277"/>
      <c r="D205" s="1277"/>
      <c r="E205" s="614">
        <v>16.5</v>
      </c>
      <c r="F205" s="73" cm="1" t="str">
        <f t="array" ref="F205:F205">F204</f>
        <v>1</v>
      </c>
      <c r="G205" s="1277"/>
      <c r="H205" s="1277"/>
      <c r="I205" s="1277"/>
      <c r="J205" s="1277"/>
      <c r="K205" s="1277"/>
      <c r="L205" s="1277"/>
      <c r="M205" s="1277"/>
      <c r="N205" s="1277"/>
      <c r="O205" s="1277"/>
      <c r="P205" s="1277"/>
      <c r="Q205" s="1277"/>
      <c r="R205" s="1277"/>
      <c r="S205" s="1277"/>
      <c r="T205" s="1277"/>
      <c r="U205" s="1277"/>
      <c r="V205" s="219"/>
      <c r="W205" s="474" cm="1" t="str">
        <f t="array" ref="W205:W205">W204</f>
        <v>true</v>
      </c>
      <c r="X205" s="1277"/>
      <c r="Y205" s="1277"/>
      <c r="Z205" s="1472"/>
      <c r="AA205" s="1488"/>
      <c r="AB205" s="1484"/>
      <c r="AC205" s="1485"/>
      <c r="AD205" s="369" t="s">
        <v>280</v>
      </c>
      <c r="AE205" s="429" t="s">
        <v>103</v>
      </c>
      <c r="AF205" s="1473"/>
      <c r="AG205" s="1277"/>
      <c r="AH205" s="1277"/>
      <c r="AI205" s="1277"/>
      <c r="AJ205" s="1277"/>
      <c r="AK205" s="1277"/>
      <c r="AL205" s="1277"/>
      <c r="AM205" s="1277"/>
      <c r="AN205" s="1277"/>
      <c r="AO205" s="1277"/>
      <c r="AP205" s="1277"/>
      <c r="AQ205" s="1277"/>
      <c r="AR205" s="1277"/>
      <c r="AS205" s="1277"/>
      <c r="AT205" s="1277"/>
      <c r="AU205" s="1277"/>
      <c r="AV205" s="1277"/>
      <c r="AW205" s="1277"/>
      <c r="AX205" s="1277"/>
      <c r="AY205" s="1277"/>
      <c r="AZ205" s="1277"/>
      <c r="BA205" s="1277"/>
    </row>
    <row s="1624" customFormat="1" customHeight="1" ht="21.75" hidden="1">
      <c r="A206" s="1277"/>
      <c r="B206" s="417">
        <f>org_declaration="Заявление организации"</f>
        <v>1</v>
      </c>
      <c r="C206" s="1277"/>
      <c r="D206" s="1277"/>
      <c r="E206" s="614">
        <v>22.5</v>
      </c>
      <c r="F206" s="73" cm="1" t="str">
        <f t="array" ref="F206:F206">F205</f>
        <v>1</v>
      </c>
      <c r="G206" s="1277"/>
      <c r="H206" s="1277"/>
      <c r="I206" s="1277"/>
      <c r="J206" s="1277"/>
      <c r="K206" s="1277"/>
      <c r="L206" s="1277"/>
      <c r="M206" s="1277"/>
      <c r="N206" s="1277"/>
      <c r="O206" s="1277"/>
      <c r="P206" s="1277"/>
      <c r="Q206" s="1277"/>
      <c r="R206" s="1277"/>
      <c r="S206" s="1277"/>
      <c r="T206" s="1277"/>
      <c r="U206" s="1277"/>
      <c r="V206" s="219"/>
      <c r="W206" s="474">
        <f>AND(W205,AE205&lt;&gt;"Метод экономически обоснованных расходов",AE205&lt;&gt;"Метод сравнения аналогов")</f>
        <v>0</v>
      </c>
      <c r="X206" s="1277"/>
      <c r="Y206" s="1277"/>
      <c r="Z206" s="1472"/>
      <c r="AA206" s="1488"/>
      <c r="AB206" s="1685"/>
      <c r="AC206" s="1686"/>
      <c r="AD206" s="65" t="str">
        <f>IF(OR(AE205="экономически обоснованных расходов (затрат)",AE205="сравнения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6" s="1704">
        <v>0</v>
      </c>
      <c r="AF206" s="1473"/>
      <c r="AG206" s="1277"/>
      <c r="AH206" s="1277"/>
      <c r="AI206" s="1277"/>
      <c r="AJ206" s="1277"/>
      <c r="AK206" s="1277"/>
      <c r="AL206" s="1277"/>
      <c r="AM206" s="1277"/>
      <c r="AN206" s="1277"/>
      <c r="AO206" s="1277"/>
      <c r="AP206" s="1277"/>
      <c r="AQ206" s="1277"/>
      <c r="AR206" s="1277"/>
      <c r="AS206" s="1277"/>
      <c r="AT206" s="1277"/>
      <c r="AU206" s="1277"/>
      <c r="AV206" s="1277"/>
      <c r="AW206" s="1277"/>
      <c r="AX206" s="1277"/>
      <c r="AY206" s="1277"/>
      <c r="AZ206" s="1277"/>
      <c r="BA206" s="1277"/>
    </row>
    <row s="1624" customFormat="1" customHeight="1" ht="15.75" hidden="1">
      <c r="A207" s="1277"/>
      <c r="B207" s="417">
        <f>org_declaration="Заявление организации"</f>
        <v>1</v>
      </c>
      <c r="C207" s="1277"/>
      <c r="D207" s="1277"/>
      <c r="E207" s="614">
        <v>16.5</v>
      </c>
      <c r="F207" s="73" cm="1" t="str">
        <f t="array" ref="F207:F207">F206</f>
        <v>1</v>
      </c>
      <c r="G207" s="1277"/>
      <c r="H207" s="1277"/>
      <c r="I207" s="1277"/>
      <c r="J207" s="1277"/>
      <c r="K207" s="1277"/>
      <c r="L207" s="1277"/>
      <c r="M207" s="1277"/>
      <c r="N207" s="1277"/>
      <c r="O207" s="1277"/>
      <c r="P207" s="1277"/>
      <c r="Q207" s="1277"/>
      <c r="R207" s="1277"/>
      <c r="S207" s="1277"/>
      <c r="T207" s="1277"/>
      <c r="U207" s="1277"/>
      <c r="V207" s="219"/>
      <c r="W207" s="474">
        <f>AND(W206,AE205&lt;&gt;"Метод экономически обоснованных расходов",AE205&lt;&gt;"Метод сравнения аналогов")</f>
        <v>0</v>
      </c>
      <c r="X207" s="1277"/>
      <c r="Y207" s="1277"/>
      <c r="Z207" s="1472"/>
      <c r="AA207" s="1488"/>
      <c r="AB207" s="1685"/>
      <c r="AC207" s="1686"/>
      <c r="AD207" s="369" t="s">
        <v>106</v>
      </c>
      <c r="AE207" s="1704" t="s">
        <v>228</v>
      </c>
      <c r="AF207" s="1473"/>
      <c r="AG207" s="1277"/>
      <c r="AH207" s="1277"/>
      <c r="AI207" s="1277"/>
      <c r="AJ207" s="1277"/>
      <c r="AK207" s="1277"/>
      <c r="AL207" s="1277"/>
      <c r="AM207" s="1277"/>
      <c r="AN207" s="1277"/>
      <c r="AO207" s="1277"/>
      <c r="AP207" s="1277"/>
      <c r="AQ207" s="1277"/>
      <c r="AR207" s="1277"/>
      <c r="AS207" s="1277"/>
      <c r="AT207" s="1277"/>
      <c r="AU207" s="1277"/>
      <c r="AV207" s="1277"/>
      <c r="AW207" s="1277"/>
      <c r="AX207" s="1277"/>
      <c r="AY207" s="1277"/>
      <c r="AZ207" s="1277"/>
      <c r="BA207" s="1277"/>
    </row>
    <row customHeight="1" ht="19.0125">
      <c r="E208" s="614">
        <v>19.5</v>
      </c>
      <c r="F208" s="138" t="s">
        <v>285</v>
      </c>
      <c r="X208" s="263" t="s">
        <v>286</v>
      </c>
      <c r="Z208" s="73"/>
      <c r="AB208" s="1486"/>
      <c r="AC208" s="1487"/>
      <c r="AD208" s="465" t="s">
        <v>287</v>
      </c>
      <c r="AE208" s="229"/>
    </row>
    <row customHeight="1" ht="19.0125">
      <c r="E209" s="614">
        <v>19.5</v>
      </c>
      <c r="Z209" s="73"/>
      <c r="AB209" s="1447" t="s">
        <v>288</v>
      </c>
      <c r="AC209" s="1448"/>
      <c r="AD209" s="363" t="s">
        <v>289</v>
      </c>
      <c r="AE209" s="351" t="s">
        <v>290</v>
      </c>
      <c r="AG209" s="73" t="s">
        <v>291</v>
      </c>
    </row>
    <row customHeight="1" ht="19.0125">
      <c r="E210" s="614">
        <v>19.5</v>
      </c>
      <c r="Z210" s="73"/>
      <c r="AB210" s="1447"/>
      <c r="AC210" s="1448"/>
      <c r="AD210" s="363" t="s">
        <v>292</v>
      </c>
      <c r="AE210" s="351" t="s">
        <v>293</v>
      </c>
      <c r="AG210" s="73" t="s">
        <v>294</v>
      </c>
    </row>
    <row customHeight="1" ht="19.0125">
      <c r="E211" s="614">
        <v>19.5</v>
      </c>
      <c r="Z211" s="73"/>
      <c r="AB211" s="1447"/>
      <c r="AC211" s="1448"/>
      <c r="AD211" s="363" t="s">
        <v>295</v>
      </c>
      <c r="AE211" s="351" t="s">
        <v>296</v>
      </c>
      <c r="AG211" s="73" t="s">
        <v>297</v>
      </c>
    </row>
    <row customHeight="1" ht="21.910504427823152">
      <c r="E212" s="614">
        <v>19.5</v>
      </c>
      <c r="Z212" s="73"/>
      <c r="AB212" s="1447"/>
      <c r="AC212" s="1448"/>
      <c r="AD212" s="363" t="s">
        <v>298</v>
      </c>
      <c r="AE212" s="351" t="s">
        <v>299</v>
      </c>
      <c r="AG212" s="73" t="s">
        <v>300</v>
      </c>
    </row>
    <row customHeight="1" ht="21.22868624600497">
      <c r="E213" s="614">
        <v>19.5</v>
      </c>
      <c r="Z213" s="73"/>
      <c r="AB213" s="1447"/>
      <c r="AC213" s="1448"/>
      <c r="AD213" s="363" t="s">
        <v>301</v>
      </c>
      <c r="AE213" s="351" t="s">
        <v>302</v>
      </c>
      <c r="AG213" s="73" t="s">
        <v>303</v>
      </c>
    </row>
    <row customHeight="1" ht="19.0125" hidden="1">
      <c r="A214" s="1277"/>
      <c r="B214" s="955"/>
      <c r="C214" s="1277"/>
      <c r="D214" s="1277"/>
      <c r="E214" s="614">
        <v>19.5</v>
      </c>
      <c r="F214" s="1277"/>
      <c r="G214" s="1277"/>
      <c r="H214" s="1277"/>
      <c r="I214" s="1277"/>
      <c r="J214" s="1277"/>
      <c r="K214" s="1277"/>
      <c r="L214" s="1277"/>
      <c r="M214" s="1277"/>
      <c r="N214" s="1277"/>
      <c r="O214" s="1277"/>
      <c r="P214" s="1277"/>
      <c r="Q214" s="1277"/>
      <c r="R214" s="1277"/>
      <c r="S214" s="1277"/>
      <c r="T214" s="1277"/>
      <c r="U214" s="1277"/>
      <c r="V214" s="1277"/>
      <c r="W214" s="474">
        <f>ROW(X214)&gt;ROW(X$214)</f>
        <v>0</v>
      </c>
      <c r="X214" s="73" t="s">
        <v>267</v>
      </c>
      <c r="Y214" s="1277"/>
      <c r="Z214" s="73"/>
      <c r="AA214" s="1277"/>
      <c r="AB214" s="1447"/>
      <c r="AC214" s="1448"/>
      <c r="AD214" s="1715"/>
      <c r="AE214" s="1663"/>
      <c r="AF214" s="613" t="s">
        <v>173</v>
      </c>
      <c r="AG214" s="1277"/>
      <c r="AH214" s="1277"/>
      <c r="AI214" s="1277"/>
      <c r="AJ214" s="1277"/>
      <c r="AK214" s="1277"/>
      <c r="AL214" s="1277"/>
      <c r="AM214" s="1277"/>
      <c r="AN214" s="1277"/>
      <c r="AO214" s="1277"/>
      <c r="AP214" s="1277"/>
      <c r="AQ214" s="1277"/>
      <c r="AR214" s="1277"/>
      <c r="AS214" s="1277"/>
      <c r="AT214" s="1277"/>
      <c r="AU214" s="1277"/>
      <c r="AV214" s="1277"/>
      <c r="AW214" s="1277"/>
      <c r="AX214" s="1277"/>
      <c r="AY214" s="1277"/>
      <c r="AZ214" s="1277"/>
      <c r="BA214" s="1277"/>
    </row>
    <row customHeight="1" ht="14.625">
      <c r="E215" s="614">
        <v>15</v>
      </c>
      <c r="X215" s="263" t="s">
        <v>175</v>
      </c>
      <c r="Z215" s="73"/>
      <c r="AB215" s="1447"/>
      <c r="AC215" s="1448"/>
      <c r="AD215" s="364" t="s">
        <v>304</v>
      </c>
      <c r="AE215" s="334"/>
    </row>
    <row customHeight="1" ht="23.9559589732777">
      <c r="E216" s="614">
        <v>19.5</v>
      </c>
      <c r="Z216" s="73"/>
      <c r="AB216" s="1447"/>
      <c r="AC216" s="1448"/>
      <c r="AD216" s="363" t="s">
        <v>305</v>
      </c>
      <c r="AE216" s="365" cm="1" t="str">
        <f t="array" ref="AE216:AE216">method_reg</f>
        <v>Метод сравнения аналогов</v>
      </c>
    </row>
    <row customHeight="1" ht="21.910504427823152">
      <c r="E217" s="614">
        <v>19.5</v>
      </c>
      <c r="Z217" s="73"/>
      <c r="AB217" s="1447"/>
      <c r="AC217" s="1448"/>
      <c r="AD217" s="363" t="s">
        <v>104</v>
      </c>
      <c r="AE217" s="366" cm="1" t="str">
        <f t="array" ref="AE217:AE217">god</f>
        <v>2026</v>
      </c>
    </row>
    <row customHeight="1" ht="19.0125" hidden="1">
      <c r="A218" s="1277"/>
      <c r="B218" s="417">
        <f>AND(NOT(method_reg="Метод экономически обоснованных расходов"),NOT(method_reg="Метод сравнения аналогов"))</f>
        <v>0</v>
      </c>
      <c r="C218" s="1277"/>
      <c r="D218" s="1277"/>
      <c r="E218" s="614">
        <v>19.5</v>
      </c>
      <c r="F218" s="1277"/>
      <c r="G218" s="1277"/>
      <c r="H218" s="1277"/>
      <c r="I218" s="1277"/>
      <c r="J218" s="1277"/>
      <c r="K218" s="1277"/>
      <c r="L218" s="1277"/>
      <c r="M218" s="1277"/>
      <c r="N218" s="1277"/>
      <c r="O218" s="1277"/>
      <c r="P218" s="1277"/>
      <c r="Q218" s="1277"/>
      <c r="R218" s="1277"/>
      <c r="S218" s="1277"/>
      <c r="T218" s="1277"/>
      <c r="U218" s="1277"/>
      <c r="V218" s="1277"/>
      <c r="W218" s="1277"/>
      <c r="X218" s="1277"/>
      <c r="Y218" s="1277"/>
      <c r="Z218" s="73"/>
      <c r="AA218" s="1277"/>
      <c r="AB218" s="1447"/>
      <c r="AC218" s="1448"/>
      <c r="AD218" s="363" t="s">
        <v>105</v>
      </c>
      <c r="AE218" s="366" cm="1" t="str">
        <f t="array" ref="AE218:AE218">first_year</f>
        <v>2026</v>
      </c>
      <c r="AF218" s="353"/>
      <c r="AG218" s="1277"/>
      <c r="AH218" s="1277"/>
      <c r="AI218" s="1277"/>
      <c r="AJ218" s="1277"/>
      <c r="AK218" s="1277"/>
      <c r="AL218" s="1277"/>
      <c r="AM218" s="1277"/>
      <c r="AN218" s="1277"/>
      <c r="AO218" s="1277"/>
      <c r="AP218" s="1277"/>
      <c r="AQ218" s="1277"/>
      <c r="AR218" s="1277"/>
      <c r="AS218" s="1277"/>
      <c r="AT218" s="1277"/>
      <c r="AU218" s="1277"/>
      <c r="AV218" s="1277"/>
      <c r="AW218" s="1277"/>
      <c r="AX218" s="1277"/>
      <c r="AY218" s="1277"/>
      <c r="AZ218" s="1277"/>
      <c r="BA218" s="1277"/>
    </row>
    <row customHeight="1" ht="19.0125" hidden="1">
      <c r="A219" s="1277"/>
      <c r="B219" s="417">
        <f>AND(NOT(method_reg="Метод экономически обоснованных расходов"),NOT(method_reg="Метод сравнения аналогов"))</f>
        <v>0</v>
      </c>
      <c r="C219" s="1277"/>
      <c r="D219" s="1277"/>
      <c r="E219" s="614">
        <v>19.5</v>
      </c>
      <c r="F219" s="1277"/>
      <c r="G219" s="1277"/>
      <c r="H219" s="1277"/>
      <c r="I219" s="1277"/>
      <c r="J219" s="1277"/>
      <c r="K219" s="1277"/>
      <c r="L219" s="1277"/>
      <c r="M219" s="1277"/>
      <c r="N219" s="1277"/>
      <c r="O219" s="1277"/>
      <c r="P219" s="1277"/>
      <c r="Q219" s="1277"/>
      <c r="R219" s="1277"/>
      <c r="S219" s="1277"/>
      <c r="T219" s="1277"/>
      <c r="U219" s="1277"/>
      <c r="V219" s="1277"/>
      <c r="W219" s="1277"/>
      <c r="X219" s="1277"/>
      <c r="Y219" s="1277"/>
      <c r="Z219" s="73"/>
      <c r="AA219" s="1277"/>
      <c r="AB219" s="1449"/>
      <c r="AC219" s="1450"/>
      <c r="AD219" s="363" t="s">
        <v>106</v>
      </c>
      <c r="AE219" s="366" cm="1" t="str">
        <f t="array" ref="AE219:AE219">PERIOD_LENGTH</f>
        <v>1</v>
      </c>
      <c r="AF219" s="353"/>
      <c r="AG219" s="1277"/>
      <c r="AH219" s="1277"/>
      <c r="AI219" s="1277"/>
      <c r="AJ219" s="1277"/>
      <c r="AK219" s="1277"/>
      <c r="AL219" s="1277"/>
      <c r="AM219" s="1277"/>
      <c r="AN219" s="1277"/>
      <c r="AO219" s="1277"/>
      <c r="AP219" s="1277"/>
      <c r="AQ219" s="1277"/>
      <c r="AR219" s="1277"/>
      <c r="AS219" s="1277"/>
      <c r="AT219" s="1277"/>
      <c r="AU219" s="1277"/>
      <c r="AV219" s="1277"/>
      <c r="AW219" s="1277"/>
      <c r="AX219" s="1277"/>
      <c r="AY219" s="1277"/>
      <c r="AZ219" s="1277"/>
      <c r="BA219" s="1277"/>
    </row>
    <row customHeight="1" ht="37.05">
      <c r="E220" s="614">
        <v>38</v>
      </c>
      <c r="Z220" s="73"/>
      <c r="AB220" s="1451" t="s">
        <v>306</v>
      </c>
      <c r="AC220" s="1452"/>
      <c r="AD220" s="1453"/>
      <c r="AE220" s="359" t="s">
        <v>160</v>
      </c>
      <c r="AF220" s="452"/>
    </row>
    <row customHeight="1" ht="10.96875">
      <c r="E221" s="614">
        <v>11.25</v>
      </c>
      <c r="Z221" s="73"/>
      <c r="AF221" s="398"/>
    </row>
    <row s="1624" customFormat="1" customHeight="1" ht="19.0125" hidden="1">
      <c r="A222" s="1624"/>
      <c r="B222" s="417">
        <f>AND(NOT(god=first_year),(method_reg="Метод индексации"))</f>
        <v>0</v>
      </c>
      <c r="C222" s="1624"/>
      <c r="D222" s="1624"/>
      <c r="E222" s="615">
        <v>19.5</v>
      </c>
      <c r="F222" s="1624"/>
      <c r="G222" s="1624"/>
      <c r="H222" s="1624"/>
      <c r="I222" s="1624"/>
      <c r="J222" s="1624"/>
      <c r="K222" s="1624"/>
      <c r="L222" s="1624"/>
      <c r="M222" s="1624"/>
      <c r="N222" s="1624"/>
      <c r="O222" s="1624"/>
      <c r="P222" s="1624"/>
      <c r="Q222" s="1624"/>
      <c r="R222" s="1624"/>
      <c r="S222" s="1624"/>
      <c r="T222" s="1624"/>
      <c r="U222" s="1624"/>
      <c r="V222" s="1624"/>
      <c r="W222" s="1624"/>
      <c r="X222" s="377"/>
      <c r="Y222" s="1624"/>
      <c r="Z222" s="73"/>
      <c r="AA222" s="1624"/>
      <c r="AB222" s="1451" t="s">
        <v>307</v>
      </c>
      <c r="AC222" s="1452"/>
      <c r="AD222" s="1453"/>
      <c r="AE222" s="1723"/>
      <c r="AF222" s="613"/>
      <c r="AG222" s="0" t="s">
        <v>308</v>
      </c>
      <c r="AH222" s="0"/>
      <c r="AI222" s="0"/>
      <c r="AJ222" s="455"/>
      <c r="AK222" s="455"/>
      <c r="AL222" s="455"/>
      <c r="AM222" s="455"/>
      <c r="AN222" s="455"/>
      <c r="AO222" s="0"/>
      <c r="AP222" s="0"/>
      <c r="AQ222" s="0"/>
      <c r="AR222" s="0"/>
      <c r="AS222" s="0"/>
      <c r="AT222" s="0"/>
      <c r="AU222" s="0"/>
      <c r="AV222" s="0"/>
      <c r="AW222" s="0"/>
      <c r="AX222" s="0"/>
      <c r="AY222" s="0"/>
      <c r="AZ222" s="0"/>
      <c r="BA222" s="0"/>
    </row>
    <row customHeight="1" ht="11.25">
      <c r="Z223" s="73"/>
      <c r="AF223" s="398"/>
    </row>
  </sheetData>
  <sheetProtection formatColumns="0" formatRows="0" insertRows="0" deleteColumns="0" deleteRows="0" sort="0" autoFilter="0" insertColumns="1"/>
  <mergeCells count="164">
    <mergeCell ref="Z180:Z193"/>
    <mergeCell ref="AF180:AF193"/>
    <mergeCell ref="AB176:AC178"/>
    <mergeCell ref="AB175:AD175"/>
    <mergeCell ref="AC143:AD143"/>
    <mergeCell ref="AC144:AD144"/>
    <mergeCell ref="AC145:AD145"/>
    <mergeCell ref="AC146:AD146"/>
    <mergeCell ref="AC147:AD147"/>
    <mergeCell ref="AC148:AD148"/>
    <mergeCell ref="AB168:AE168"/>
    <mergeCell ref="AB169:AE169"/>
    <mergeCell ref="AB170:AE170"/>
    <mergeCell ref="AB171:AE171"/>
    <mergeCell ref="AB172:AE172"/>
    <mergeCell ref="AB174:AE174"/>
    <mergeCell ref="AB162:AE162"/>
    <mergeCell ref="AB163:AE163"/>
    <mergeCell ref="AB164:AE164"/>
    <mergeCell ref="AB165:AE165"/>
    <mergeCell ref="AB166:AE166"/>
    <mergeCell ref="AB167:AE167"/>
    <mergeCell ref="AB179:AC208"/>
    <mergeCell ref="AA180:AA193"/>
    <mergeCell ref="AB161:AE161"/>
    <mergeCell ref="AB136:AD136"/>
    <mergeCell ref="AB137:AB142"/>
    <mergeCell ref="AC137:AD137"/>
    <mergeCell ref="AC138:AD138"/>
    <mergeCell ref="AC139:AD139"/>
    <mergeCell ref="AC140:AD140"/>
    <mergeCell ref="AC141:AD141"/>
    <mergeCell ref="AC142:AD142"/>
    <mergeCell ref="AB151:AD151"/>
    <mergeCell ref="AB150:AD150"/>
    <mergeCell ref="AB153:AC156"/>
    <mergeCell ref="AB158:AE158"/>
    <mergeCell ref="AB159:AE159"/>
    <mergeCell ref="AB160:AE160"/>
    <mergeCell ref="AB143:AB148"/>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B59:AD59"/>
    <mergeCell ref="AB60:AD60"/>
    <mergeCell ref="AB62:AD62"/>
    <mergeCell ref="AB71:AD71"/>
    <mergeCell ref="AB72:AD72"/>
    <mergeCell ref="AB73:AB77"/>
    <mergeCell ref="AC78:AD78"/>
    <mergeCell ref="AC79:AD79"/>
    <mergeCell ref="AC80:AD80"/>
    <mergeCell ref="AB65:AD65"/>
    <mergeCell ref="AB66:AD66"/>
    <mergeCell ref="AB67:AD67"/>
    <mergeCell ref="AB68:AD68"/>
    <mergeCell ref="AB69:AD69"/>
    <mergeCell ref="AC73:AD73"/>
    <mergeCell ref="AC74:AD74"/>
    <mergeCell ref="AC75:AD75"/>
    <mergeCell ref="AC76:AD76"/>
    <mergeCell ref="AC77:AD77"/>
    <mergeCell ref="AB78:AB82"/>
    <mergeCell ref="AC81:AD81"/>
    <mergeCell ref="AC82:AD82"/>
    <mergeCell ref="AB61:AD61"/>
    <mergeCell ref="AC88:AD88"/>
    <mergeCell ref="AB108:AD108"/>
    <mergeCell ref="AB109:AB114"/>
    <mergeCell ref="AC109:AD109"/>
    <mergeCell ref="AC110:AD110"/>
    <mergeCell ref="AC111:AD111"/>
    <mergeCell ref="AC112:AD112"/>
    <mergeCell ref="AC113:AD113"/>
    <mergeCell ref="AC114:AD114"/>
    <mergeCell ref="AB96:AD96"/>
    <mergeCell ref="AB97:AB101"/>
    <mergeCell ref="AC97:AD97"/>
    <mergeCell ref="AC98:AD98"/>
    <mergeCell ref="AC99:AD99"/>
    <mergeCell ref="AC100:AD100"/>
    <mergeCell ref="AC101:AD101"/>
    <mergeCell ref="AC89:AD89"/>
    <mergeCell ref="AB209:AC219"/>
    <mergeCell ref="AB220:AD220"/>
    <mergeCell ref="AB222:AD222"/>
    <mergeCell ref="AA78:AA82"/>
    <mergeCell ref="AA90:AA94"/>
    <mergeCell ref="AB90:AB94"/>
    <mergeCell ref="AC90:AD90"/>
    <mergeCell ref="AC91:AD91"/>
    <mergeCell ref="AC92:AD92"/>
    <mergeCell ref="AC93:AD93"/>
    <mergeCell ref="AC94:AD94"/>
    <mergeCell ref="AA102:AA106"/>
    <mergeCell ref="AB102:AB106"/>
    <mergeCell ref="AC102:AD102"/>
    <mergeCell ref="AC103:AD103"/>
    <mergeCell ref="AC104:AD104"/>
    <mergeCell ref="AC105:AD105"/>
    <mergeCell ref="AC106:AD106"/>
    <mergeCell ref="AB84:AD84"/>
    <mergeCell ref="AB85:AB89"/>
    <mergeCell ref="AC85:AD85"/>
    <mergeCell ref="AC125:AD125"/>
    <mergeCell ref="AC126:AD126"/>
    <mergeCell ref="AC127:AD127"/>
    <mergeCell ref="AC86:AD86"/>
    <mergeCell ref="AA143:AA148"/>
    <mergeCell ref="AB115:AB120"/>
    <mergeCell ref="AC115:AD115"/>
    <mergeCell ref="AC116:AD116"/>
    <mergeCell ref="AC117:AD117"/>
    <mergeCell ref="AC118:AD118"/>
    <mergeCell ref="AC119:AD119"/>
    <mergeCell ref="AC120:AD120"/>
    <mergeCell ref="AB129:AB134"/>
    <mergeCell ref="AC129:AD129"/>
    <mergeCell ref="AC130:AD130"/>
    <mergeCell ref="AC131:AD131"/>
    <mergeCell ref="AC132:AD132"/>
    <mergeCell ref="AC133:AD133"/>
    <mergeCell ref="AC134:AD134"/>
    <mergeCell ref="AA115:AA120"/>
    <mergeCell ref="AA129:AA134"/>
    <mergeCell ref="AB122:AD122"/>
    <mergeCell ref="AC128:AD128"/>
    <mergeCell ref="AB123:AB128"/>
    <mergeCell ref="AC123:AD123"/>
    <mergeCell ref="AC124:AD124"/>
    <mergeCell ref="AC87:AD87"/>
    <mergeCell ref="Z194:Z207"/>
    <mergeCell ref="AF194:AF207"/>
    <mergeCell ref="AA194:AA207"/>
  </mergeCells>
  <dataValidations count="28">
    <dataValidation type="list" allowBlank="1" showInputMessage="1" showErrorMessage="1" errorTitle="Внимание" error="Пожалуйста, выберите значение из списка!" sqref="AE57">
      <formula1>NALOG_SYSTEM_LIST</formula1>
    </dataValidation>
    <dataValidation type="textLength" operator="lessThanOrEqual" allowBlank="1" showInputMessage="1" showErrorMessage="1" errorTitle="Ошибка" error="Допускается ввод не более 900 символов!" sqref="AE65:AE67">
      <formula1>900</formula1>
    </dataValidation>
    <dataValidation type="list" allowBlank="1" showInputMessage="1" showErrorMessage="1" errorTitle="Ошибка" error="Выберите значение из списка" prompt="Выберите значение из списка" sqref="AE185">
      <formula1>COLDVSNA_VTOV</formula1>
    </dataValidation>
    <dataValidation type="list" allowBlank="1" showInputMessage="1" showErrorMessage="1" errorTitle="Ошибка" error="Выберите значение из списка" prompt="Выберите значение из списка" sqref="AE182">
      <formula1>COLDVSNA_VTARIFF</formula1>
    </dataValidation>
    <dataValidation type="list" allowBlank="1" showInputMessage="1" showErrorMessage="1" sqref="AB179">
      <formula1>"Заявление организации,Заявление организации (отсутствует)"</formula1>
    </dataValidation>
    <dataValidation type="list" allowBlank="1" showInputMessage="1" showErrorMessage="1" sqref="AE222">
      <formula1>YES_NO</formula1>
    </dataValidation>
    <dataValidation type="list" allowBlank="1" showInputMessage="1" showErrorMessage="1" sqref="AE23">
      <formula1>metod_list</formula1>
    </dataValidation>
    <dataValidation type="list" allowBlank="1" showInputMessage="1" showErrorMessage="1" errorTitle="Ошибка" error="Выберите значение из списка" prompt="Выберите значение из списка" sqref="AE183 AE197">
      <formula1>tariff_type_list</formula1>
    </dataValidation>
    <dataValidation type="list" allowBlank="1" showInputMessage="1" showErrorMessage="1" errorTitle="Внимание" error="Пожалуйста, выберите значение из списка!" sqref="AE191 AE205">
      <formula1>TARIFF_CALC_METHOD</formula1>
    </dataValidation>
    <dataValidation type="list" allowBlank="1" showInputMessage="1" showErrorMessage="1" errorTitle="Ошибка" error="Выберите значение из списка" prompt="Выберите значение из списка" sqref="AE193 AE207">
      <formula1>period_list</formula1>
    </dataValidation>
    <dataValidation type="list" allowBlank="1" showInputMessage="1" showErrorMessage="1" errorTitle="Ошибка" error="Выберите значение из списка" prompt="Выберите значение из списка" sqref="AE192 AE206">
      <formula1>YEAR_LIST</formula1>
    </dataValidation>
    <dataValidation type="list" allowBlank="1" showInputMessage="1" showErrorMessage="1" errorTitle="Внимание" error="Пожалуйста, выберите значение из списка" prompt="Выберите значение из списка" sqref="AE45">
      <formula1>okopf_list</formula1>
    </dataValidation>
    <dataValidation type="list" showInputMessage="1" showErrorMessage="1" errorTitle="Внимание" error="Пожалуйста, выберите значение из списка!" sqref="AE25">
      <formula1>YEAR_LIST</formula1>
    </dataValidation>
    <dataValidation type="list" showDropDown="1" sqref="Z40">
      <formula1>subsidiary_list</formula1>
    </dataValidation>
    <dataValidation type="list" showDropDown="1" showInputMessage="1" showErrorMessage="1" sqref="Z94 Z77 Z61:Z62 Z82 Z89 Z101 Z106">
      <formula1>"FAS_URL"</formula1>
    </dataValidation>
    <dataValidation type="list" showInputMessage="1" showErrorMessage="1" errorTitle="Внимание" error="Пожалуйста, выберите значение из списка!" sqref="AE26">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79 AE86 AE98 AE110 AE124 AE138 AE176 AE74 AE91 AE103 AE116 AE130 AE144">
      <formula1>DOCUMENT_TYPES</formula1>
    </dataValidation>
    <dataValidation type="date" operator="notEqual" allowBlank="1" showInputMessage="1" showErrorMessage="1" sqref="Z81 Z88 Z100 Z126:Z134 Z140:Z148 Z76 Z93 Z105 Z112:Z120 Z178:Z179 Z208">
      <formula1>1</formula1>
    </dataValidation>
    <dataValidation type="list" showDropDown="1" showInputMessage="1" showErrorMessage="1" sqref="Z55">
      <formula1>OWNERSHIP_TYPE</formula1>
    </dataValidation>
    <dataValidation type="list" showDropDown="1" sqref="Z53 Z220 Z71:Z72 Z84 Z96 Z108 Z122 Z136 Z151 Z56:Z60">
      <formula1>YES_NO</formula1>
    </dataValidation>
    <dataValidation type="list" showDropDown="1" sqref="Z45">
      <formula1>okopf_list</formula1>
    </dataValidation>
    <dataValidation type="list" showDropDown="1" sqref="Z26">
      <formula1>period_list</formula1>
    </dataValidation>
    <dataValidation type="list" showDropDown="1" sqref="Z24">
      <formula1>year_list2</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108 AE84 AE96 AE122 AE136 AE69 AE71:AE72 AE220 AE175 AE151 AE56 AE58:AE60">
      <formula1>YES_NO</formula1>
    </dataValidation>
    <dataValidation type="list" allowBlank="1" showInputMessage="1" showErrorMessage="1" errorTitle="Ошибка" error="Выберите значение из списка" sqref="AE196">
      <formula1>VOTV_VTARIFF</formula1>
    </dataValidation>
    <dataValidation type="list" allowBlank="1" showInputMessage="1" showErrorMessage="1" errorTitle="Ошибка" error="Выберите значение из списка" sqref="AE199">
      <formula1>VOTV_VTOV</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51" man="1" max="1048576"/>
  </rowBreaks>
  <extLst>
    <ext xmlns:x14="http://schemas.microsoft.com/office/spreadsheetml/2009/9/main" uri="{CCE6A557-97BC-4b89-ADB6-D9C93CAAB3DF}">
      <x14:dataValidations xmlns:xm="http://schemas.microsoft.com/office/excel/2006/main" count="1">
        <x14:dataValidation type="list" allowBlank="1" showInputMessage="1" showErrorMessage="1" errorTitle="Ошибка" error="Выберите значение из списка" prompt="Выберите значение из списка">
          <x14:formula1>
            <xm:f>TEHSHEET!$Q$15:$Q$16</xm:f>
          </x14:formula1>
          <xm:sqref>AE24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515FB9-1578-3844-E3B8-BD61838088A8}" mc:Ignorable="x14ac xr xr2 xr3">
  <sheetPr>
    <tabColor theme="3" tint="0.6"/>
    <outlinePr summaryRight="0" summaryBelow="0"/>
    <pageSetUpPr fitToPage="1"/>
  </sheetPr>
  <dimension ref="A1:AR34"/>
  <sheetViews>
    <sheetView showGridLines="0" zoomScale="120" workbookViewId="0">
      <pane xSplit="31" ySplit="24" topLeftCell="AF29" activePane="bottomRight" state="frozen"/>
      <selection pane="bottomLeft" activeCell="A25" sqref="A25"/>
      <selection pane="topRight" activeCell="AF1" sqref="AF1"/>
      <selection pane="bottomRight" activeCell="AA21" sqref="AA21"/>
    </sheetView>
  </sheetViews>
  <sheetFormatPr defaultColWidth="9.140625" customHeight="1" defaultRowHeight="11.25"/>
  <cols>
    <col min="1" max="1" style="543" width="3.57421875" hidden="1" customWidth="1"/>
    <col min="2" max="2" style="1401" width="8.57421875" hidden="1" customWidth="1"/>
    <col min="3" max="4" style="543" width="3.57421875" hidden="1" customWidth="1"/>
    <col min="5" max="5" style="940" width="3.57421875" hidden="1" customWidth="1"/>
    <col min="6" max="16" style="543" width="3.57421875" hidden="1" customWidth="1"/>
    <col min="17" max="17" style="936" width="3.57421875" hidden="1" customWidth="1"/>
    <col min="18" max="19" style="543" width="3.57421875" hidden="1" customWidth="1"/>
    <col min="20" max="20" style="1395" width="3.57421875" hidden="1" customWidth="1"/>
    <col min="21" max="21" style="543" width="8.57421875" hidden="1" customWidth="1"/>
    <col min="22" max="25" style="543" width="6.00390625" hidden="1" customWidth="1"/>
    <col min="26" max="26" style="543" width="5.140625" hidden="1" customWidth="1"/>
    <col min="27" max="27" style="543" width="3.7109375" customWidth="1"/>
    <col min="28" max="28" style="80" width="11.00390625" customWidth="1"/>
    <col min="29" max="30" style="80" width="45.00390625" customWidth="1"/>
    <col min="31" max="31" style="86" width="14.00390625" customWidth="1"/>
    <col min="32" max="32" style="86" width="35.00390625" customWidth="1"/>
    <col min="33" max="33" style="80" width="35.00390625" customWidth="1"/>
    <col min="34" max="34" style="80" width="9.140625"/>
    <col min="35" max="41" style="543" width="9.140625" hidden="1"/>
    <col min="42" max="44" style="80" width="9.140625" hidden="1"/>
  </cols>
  <sheetData>
    <row customHeight="1" ht="11.25" hidden="1">
      <c r="E1" s="114"/>
      <c r="F1" s="114" t="s">
        <v>309</v>
      </c>
      <c r="G1" s="114" t="s">
        <v>310</v>
      </c>
      <c r="U1" s="440" t="s">
        <v>92</v>
      </c>
      <c r="V1" s="438" t="s">
        <v>97</v>
      </c>
      <c r="W1" s="438" t="s">
        <v>93</v>
      </c>
      <c r="X1" s="438" t="s">
        <v>94</v>
      </c>
      <c r="Y1" s="438" t="s">
        <v>95</v>
      </c>
      <c r="Z1" s="438" t="s">
        <v>99</v>
      </c>
      <c r="AA1" s="440" t="s">
        <v>96</v>
      </c>
      <c r="AB1" s="439" t="s">
        <v>311</v>
      </c>
      <c r="AC1" s="439" t="s">
        <v>98</v>
      </c>
      <c r="AI1" s="114" t="s">
        <v>312</v>
      </c>
      <c r="AJ1" s="114" t="s">
        <v>313</v>
      </c>
      <c r="AK1" s="114" t="s">
        <v>314</v>
      </c>
      <c r="AL1" s="114" t="s">
        <v>315</v>
      </c>
      <c r="AM1" s="114" t="s">
        <v>316</v>
      </c>
      <c r="AN1" s="114" t="s">
        <v>317</v>
      </c>
      <c r="AO1" s="114" t="s">
        <v>318</v>
      </c>
    </row>
    <row s="411" customFormat="1" customHeight="1" ht="11.25" hidden="1">
      <c r="A2" s="401"/>
      <c r="B2" s="938" t="s">
        <v>18</v>
      </c>
      <c r="C2" s="401"/>
      <c r="D2" s="401"/>
      <c r="E2" s="401"/>
      <c r="F2" s="401"/>
      <c r="G2" s="401"/>
      <c r="H2" s="401"/>
      <c r="I2" s="401"/>
      <c r="J2" s="401"/>
      <c r="K2" s="401"/>
      <c r="L2" s="401"/>
      <c r="M2" s="401"/>
      <c r="N2" s="401"/>
      <c r="O2" s="401"/>
      <c r="P2" s="401"/>
      <c r="Q2" s="401"/>
      <c r="R2" s="401"/>
      <c r="S2" s="401"/>
      <c r="T2" s="631"/>
      <c r="U2" s="263"/>
      <c r="V2" s="401"/>
      <c r="W2" s="401"/>
      <c r="X2" s="401"/>
      <c r="Y2" s="401"/>
      <c r="Z2" s="401"/>
      <c r="AA2" s="401"/>
      <c r="AI2" s="401"/>
      <c r="AJ2" s="401"/>
      <c r="AK2" s="401"/>
      <c r="AL2" s="401"/>
      <c r="AM2" s="401"/>
      <c r="AN2" s="401"/>
      <c r="AO2" s="401"/>
    </row>
    <row customHeight="1" ht="11.25" hidden="1">
      <c r="E3" s="114"/>
    </row>
    <row customHeight="1" ht="11.25" hidden="1">
      <c r="E4" s="114"/>
    </row>
    <row s="602" customFormat="1" customHeight="1" ht="11.25" hidden="1">
      <c r="A5" s="114"/>
      <c r="B5" s="401"/>
      <c r="C5" s="114"/>
      <c r="D5" s="114"/>
      <c r="E5" s="939" t="s">
        <v>19</v>
      </c>
      <c r="F5" s="940"/>
      <c r="G5" s="940"/>
      <c r="H5" s="940"/>
      <c r="I5" s="940"/>
      <c r="J5" s="940"/>
      <c r="K5" s="940"/>
      <c r="L5" s="940"/>
      <c r="M5" s="940"/>
      <c r="N5" s="940"/>
      <c r="O5" s="940"/>
      <c r="P5" s="940"/>
      <c r="Q5" s="941"/>
      <c r="R5" s="940"/>
      <c r="S5" s="940"/>
      <c r="T5" s="942"/>
      <c r="U5" s="940"/>
      <c r="V5" s="940"/>
      <c r="W5" s="940"/>
      <c r="X5" s="940"/>
      <c r="Y5" s="940"/>
      <c r="Z5" s="940"/>
      <c r="AA5" s="596" t="s">
        <v>319</v>
      </c>
      <c r="AB5" s="614">
        <v>11</v>
      </c>
      <c r="AC5" s="614">
        <v>45</v>
      </c>
      <c r="AD5" s="614">
        <v>45</v>
      </c>
      <c r="AE5" s="614">
        <v>14</v>
      </c>
      <c r="AF5" s="614">
        <v>35</v>
      </c>
      <c r="AG5" s="614">
        <v>35</v>
      </c>
      <c r="AH5" s="602" t="s">
        <v>319</v>
      </c>
      <c r="AI5" s="940"/>
      <c r="AJ5" s="940"/>
      <c r="AK5" s="940"/>
      <c r="AL5" s="940"/>
      <c r="AM5" s="940"/>
      <c r="AN5" s="940"/>
      <c r="AO5" s="940"/>
    </row>
    <row customHeight="1" ht="11.25" hidden="1">
      <c r="A6" s="114" t="s">
        <v>320</v>
      </c>
      <c r="AC6" s="68" t="s">
        <v>321</v>
      </c>
      <c r="AD6" s="68" t="s">
        <v>322</v>
      </c>
      <c r="AE6" s="68" t="s">
        <v>323</v>
      </c>
      <c r="AF6" s="86" t="s">
        <v>324</v>
      </c>
      <c r="AG6" s="68" t="s">
        <v>325</v>
      </c>
    </row>
    <row s="543" customFormat="1" customHeight="1" ht="11.25" hidden="1">
      <c r="B7" s="401"/>
      <c r="E7" s="940"/>
      <c r="Q7" s="936"/>
      <c r="T7" s="937"/>
      <c r="AE7" s="170"/>
      <c r="AF7" s="170"/>
    </row>
    <row s="543" customFormat="1" customHeight="1" ht="11.25" hidden="1">
      <c r="B8" s="401"/>
      <c r="E8" s="940"/>
      <c r="Q8" s="936"/>
      <c r="T8" s="937"/>
      <c r="AE8" s="170"/>
      <c r="AF8" s="170"/>
    </row>
    <row s="543" customFormat="1" customHeight="1" ht="11.25" hidden="1">
      <c r="A9" s="114" t="s">
        <v>326</v>
      </c>
      <c r="B9" s="401"/>
      <c r="E9" s="940"/>
      <c r="Q9" s="936"/>
      <c r="T9" s="937"/>
      <c r="AE9" s="170"/>
      <c r="AF9" s="170" cm="1" t="str">
        <f t="array" ref="AF9:AF9">AF24</f>
        <v>Тип муниципального образования </v>
      </c>
      <c r="AG9" s="170" cm="1" t="str">
        <f t="array" ref="AG9:AG9">AG24</f>
        <v>Дополнительные сведения</v>
      </c>
    </row>
    <row s="543" customFormat="1" customHeight="1" ht="11.25" hidden="1">
      <c r="A10" s="114" t="s">
        <v>327</v>
      </c>
      <c r="B10" s="401"/>
      <c r="E10" s="940"/>
      <c r="Q10" s="936"/>
      <c r="T10" s="937"/>
      <c r="AC10" s="114" t="s">
        <v>314</v>
      </c>
      <c r="AD10" s="114" t="s">
        <v>315</v>
      </c>
      <c r="AE10" s="170" t="s">
        <v>316</v>
      </c>
      <c r="AF10" s="170"/>
    </row>
    <row s="543" customFormat="1" customHeight="1" ht="11.25" hidden="1">
      <c r="B11" s="401"/>
      <c r="E11" s="940"/>
      <c r="Q11" s="943"/>
      <c r="T11" s="937"/>
      <c r="AE11" s="170"/>
    </row>
    <row s="543" customFormat="1" customHeight="1" ht="11.25" hidden="1">
      <c r="B12" s="401"/>
      <c r="E12" s="940"/>
      <c r="Q12" s="943"/>
      <c r="T12" s="937"/>
    </row>
    <row s="543" customFormat="1" customHeight="1" ht="11.25" hidden="1">
      <c r="B13" s="401"/>
      <c r="E13" s="940"/>
      <c r="Q13" s="943"/>
      <c r="T13" s="937"/>
    </row>
    <row s="543" customFormat="1" customHeight="1" ht="11.25" hidden="1">
      <c r="B14" s="401"/>
      <c r="E14" s="940"/>
      <c r="Q14" s="943"/>
      <c r="T14" s="937"/>
    </row>
    <row s="543" customFormat="1" customHeight="1" ht="11.25" hidden="1">
      <c r="B15" s="401"/>
      <c r="E15" s="940"/>
      <c r="Q15" s="943"/>
      <c r="T15" s="937"/>
    </row>
    <row s="543" customFormat="1" customHeight="1" ht="11.25" hidden="1">
      <c r="B16" s="401"/>
      <c r="E16" s="940"/>
      <c r="Q16" s="943"/>
      <c r="T16" s="937"/>
    </row>
    <row customHeight="1" ht="11.25" hidden="1">
      <c r="Q17" s="943"/>
      <c r="AE17" s="68"/>
      <c r="AF17" s="68"/>
    </row>
    <row customHeight="1" ht="11.25" hidden="1">
      <c r="A18" s="114"/>
      <c r="Q18" s="943"/>
      <c r="AC18" s="68" t="s">
        <v>328</v>
      </c>
      <c r="AD18" s="68" t="s">
        <v>329</v>
      </c>
      <c r="AE18" s="68"/>
      <c r="AF18" s="68"/>
    </row>
    <row customHeight="1" ht="11.25" hidden="1">
      <c r="Q19" s="943"/>
      <c r="AE19" s="68"/>
      <c r="AF19" s="68"/>
    </row>
    <row customHeight="1" ht="11.25" hidden="1">
      <c r="Q20" s="943"/>
      <c r="AE20" s="68"/>
      <c r="AF20" s="68"/>
    </row>
    <row customHeight="1" ht="15">
      <c r="E21" s="940" t="s">
        <v>330</v>
      </c>
      <c r="Q21" s="943"/>
      <c r="U21" s="937"/>
      <c r="V21" s="937"/>
      <c r="W21" s="937"/>
      <c r="X21" s="937"/>
      <c r="Y21" s="937"/>
      <c r="Z21" s="937"/>
      <c r="AA21" s="937"/>
      <c r="AB21" s="79"/>
      <c r="AC21" s="331" cm="1" t="str">
        <f t="array" ref="AC21:AC21">tpl_title</f>
        <v>Кемеровская область / 2026 / ОАО «СКЭК» (ИНН:4205153492, КПП:420501001) / ДПР: 2026-2026</v>
      </c>
      <c r="AD21" s="79"/>
      <c r="AE21" s="79"/>
      <c r="AF21" s="79"/>
    </row>
    <row customHeight="1" ht="30">
      <c r="E22" s="940" t="s">
        <v>331</v>
      </c>
      <c r="Q22" s="943"/>
      <c r="S22" s="937"/>
      <c r="U22" s="937"/>
      <c r="V22" s="937"/>
      <c r="W22" s="937"/>
      <c r="X22" s="937"/>
      <c r="Y22" s="937"/>
      <c r="Z22" s="937"/>
      <c r="AA22" s="937"/>
      <c r="AB22" s="1489" t="s">
        <v>34</v>
      </c>
      <c r="AC22" s="1490"/>
      <c r="AD22" s="1490"/>
      <c r="AE22" s="1490"/>
      <c r="AF22" s="1490"/>
      <c r="AG22" s="1490"/>
    </row>
    <row customHeight="1" ht="11.25">
      <c r="E23" s="608" t="s">
        <v>332</v>
      </c>
      <c r="Q23" s="943"/>
      <c r="U23" s="944"/>
      <c r="V23" s="944"/>
      <c r="W23" s="944"/>
      <c r="X23" s="944"/>
      <c r="Y23" s="944"/>
      <c r="Z23" s="944"/>
      <c r="AA23" s="944"/>
      <c r="AB23" s="81"/>
      <c r="AC23" s="81"/>
      <c r="AD23" s="81"/>
      <c r="AE23" s="82"/>
      <c r="AF23" s="82"/>
      <c r="AG23" s="82"/>
    </row>
    <row customHeight="1" ht="28.5">
      <c r="E24" s="940" t="s">
        <v>333</v>
      </c>
      <c r="U24" s="944"/>
      <c r="V24" s="944"/>
      <c r="W24" s="944"/>
      <c r="X24" s="944"/>
      <c r="Y24" s="944"/>
      <c r="Z24" s="944"/>
      <c r="AA24" s="944"/>
      <c r="AB24" s="83" t="s">
        <v>21</v>
      </c>
      <c r="AC24" s="84" t="s">
        <v>328</v>
      </c>
      <c r="AD24" s="84" t="s">
        <v>329</v>
      </c>
      <c r="AE24" s="84" t="s">
        <v>334</v>
      </c>
      <c r="AF24" s="338" t="s">
        <v>335</v>
      </c>
      <c r="AG24" s="85" t="s">
        <v>278</v>
      </c>
    </row>
    <row customHeight="1" ht="11.25" hidden="1">
      <c r="E25" s="940">
        <v>0</v>
      </c>
      <c r="U25" s="944"/>
      <c r="V25" s="944"/>
      <c r="W25" s="944"/>
      <c r="X25" s="944"/>
      <c r="Y25" s="944"/>
      <c r="Z25" s="944"/>
      <c r="AA25" s="944"/>
      <c r="AB25" s="699"/>
      <c r="AC25" s="699"/>
      <c r="AD25" s="699"/>
      <c r="AE25" s="699"/>
      <c r="AF25" s="699"/>
      <c r="AG25" s="699"/>
    </row>
    <row customHeight="1" ht="15" hidden="1">
      <c r="A26" s="543"/>
      <c r="B26" s="1401"/>
      <c r="C26" s="543"/>
      <c r="D26" s="543"/>
      <c r="E26" s="940" t="s">
        <v>330</v>
      </c>
      <c r="F26" s="109" cm="1" t="str">
        <f t="array" ref="F26:F26">Y26</f>
        <v>0</v>
      </c>
      <c r="G26" s="543"/>
      <c r="H26" s="543"/>
      <c r="I26" s="543"/>
      <c r="J26" s="543"/>
      <c r="K26" s="543"/>
      <c r="L26" s="543"/>
      <c r="M26" s="543"/>
      <c r="N26" s="543"/>
      <c r="O26" s="543"/>
      <c r="P26" s="543"/>
      <c r="Q26" s="936"/>
      <c r="R26" s="543"/>
      <c r="S26" s="543"/>
      <c r="T26" s="1395"/>
      <c r="U26" s="440">
        <f>Y26&gt;0</f>
        <v>0</v>
      </c>
      <c r="V26" s="443"/>
      <c r="W26" s="444" t="s">
        <v>267</v>
      </c>
      <c r="X26" s="443"/>
      <c r="Y26" s="1491">
        <v>0</v>
      </c>
      <c r="Z26" s="1492"/>
      <c r="AA26" s="945"/>
      <c r="AB26" s="146" cm="1" t="str">
        <f t="array" ref="AB26:AB26">INDEX('Общие сведения'!$AG$179:$AG$208,MATCH($Y26,'Общие сведения'!$Z$179:$Z$208,0))</f>
        <v>Тариф 0 () - тариф на транспортировку сточных вод</v>
      </c>
      <c r="AC26" s="140"/>
      <c r="AD26" s="140"/>
      <c r="AE26" s="140"/>
      <c r="AF26" s="140"/>
      <c r="AG26" s="140"/>
      <c r="AH26" s="80"/>
      <c r="AI26" s="543"/>
      <c r="AJ26" s="543"/>
      <c r="AK26" s="543"/>
      <c r="AL26" s="543"/>
      <c r="AM26" s="543"/>
      <c r="AN26" s="543"/>
      <c r="AO26" s="543"/>
      <c r="AP26" s="80"/>
      <c r="AQ26" s="80"/>
      <c r="AR26" s="80"/>
    </row>
    <row customHeight="1" ht="15" hidden="1">
      <c r="A27" s="543"/>
      <c r="B27" s="1401"/>
      <c r="C27" s="543"/>
      <c r="D27" s="543"/>
      <c r="E27" s="940" t="s">
        <v>330</v>
      </c>
      <c r="F27" s="109" cm="1" t="str">
        <f t="array" ref="F27:F27">OFFSET(E27,-1,1)</f>
        <v>0</v>
      </c>
      <c r="G27" s="114" cm="1" t="str">
        <f t="array" ref="G27:G27">AB27</f>
        <v>0</v>
      </c>
      <c r="H27" s="543"/>
      <c r="I27" s="543"/>
      <c r="J27" s="543"/>
      <c r="K27" s="543"/>
      <c r="L27" s="543"/>
      <c r="M27" s="543"/>
      <c r="N27" s="543"/>
      <c r="O27" s="543"/>
      <c r="P27" s="543"/>
      <c r="Q27" s="936"/>
      <c r="R27" s="543"/>
      <c r="S27" s="543"/>
      <c r="T27" s="946"/>
      <c r="U27" s="440">
        <f>AND(F27&gt;0,AB27&gt;0)</f>
        <v>0</v>
      </c>
      <c r="V27" s="445"/>
      <c r="W27" s="446"/>
      <c r="X27" s="733" t="s">
        <v>172</v>
      </c>
      <c r="Y27" s="1491"/>
      <c r="Z27" s="1492"/>
      <c r="AA27" s="638" t="s">
        <v>173</v>
      </c>
      <c r="AB27" s="622">
        <v>0</v>
      </c>
      <c r="AC27" s="734"/>
      <c r="AD27" s="145"/>
      <c r="AE27" s="145"/>
      <c r="AF27" s="1746"/>
      <c r="AG27" s="1747"/>
      <c r="AH27" s="80"/>
      <c r="AI27" s="114" t="s">
        <v>336</v>
      </c>
      <c r="AJ27" s="114" t="s">
        <v>337</v>
      </c>
      <c r="AK27" s="114" cm="1" t="str">
        <f t="array" ref="AK27:AK27">AC27</f>
        <v>0</v>
      </c>
      <c r="AL27" s="114" cm="1" t="str">
        <f t="array" ref="AL27:AL27">AD27</f>
        <v>0</v>
      </c>
      <c r="AM27" s="114" cm="1" t="str">
        <f t="array" ref="AM27:AM27">AE27</f>
        <v>0</v>
      </c>
      <c r="AN27" s="543"/>
      <c r="AO27" s="114" t="b">
        <v>1</v>
      </c>
      <c r="AP27" s="80"/>
      <c r="AQ27" s="80"/>
      <c r="AR27" s="80"/>
    </row>
    <row customHeight="1" ht="15" hidden="1">
      <c r="A28" s="543"/>
      <c r="B28" s="1401"/>
      <c r="C28" s="543"/>
      <c r="D28" s="543"/>
      <c r="E28" s="940" t="s">
        <v>330</v>
      </c>
      <c r="F28" s="109" cm="1" t="str">
        <f t="array" ref="F28:F28">OFFSET(E28,-1,1)</f>
        <v>0</v>
      </c>
      <c r="G28" s="114" t="s">
        <v>338</v>
      </c>
      <c r="H28" s="543"/>
      <c r="I28" s="543"/>
      <c r="J28" s="543"/>
      <c r="K28" s="543"/>
      <c r="L28" s="543"/>
      <c r="M28" s="543"/>
      <c r="N28" s="543"/>
      <c r="O28" s="543"/>
      <c r="P28" s="733"/>
      <c r="Q28" s="936"/>
      <c r="R28" s="543"/>
      <c r="S28" s="543"/>
      <c r="T28" s="1395"/>
      <c r="U28" s="440" cm="1" t="str">
        <f t="array" ref="U28:U28">U26</f>
        <v>false</v>
      </c>
      <c r="V28" s="543"/>
      <c r="W28" s="543"/>
      <c r="X28" s="733" t="s">
        <v>339</v>
      </c>
      <c r="Y28" s="1491"/>
      <c r="Z28" s="1492"/>
      <c r="AA28" s="441"/>
      <c r="AB28" s="141"/>
      <c r="AC28" s="226" t="s">
        <v>340</v>
      </c>
      <c r="AD28" s="142"/>
      <c r="AE28" s="142"/>
      <c r="AF28" s="142"/>
      <c r="AG28" s="143"/>
      <c r="AH28" s="80"/>
      <c r="AI28" s="543"/>
      <c r="AJ28" s="543"/>
      <c r="AK28" s="543"/>
      <c r="AL28" s="543"/>
      <c r="AM28" s="543"/>
      <c r="AN28" s="114" t="s">
        <v>337</v>
      </c>
      <c r="AO28" s="543"/>
      <c r="AP28" s="80"/>
      <c r="AQ28" s="80"/>
      <c r="AR28" s="80"/>
    </row>
    <row s="1624" customFormat="1" customHeight="1" ht="18.83462905883789">
      <c r="A29" s="543"/>
      <c r="B29" s="1401"/>
      <c r="C29" s="543"/>
      <c r="D29" s="543"/>
      <c r="E29" s="940" t="s">
        <v>330</v>
      </c>
      <c r="F29" s="109" cm="1" t="str">
        <f t="array" ref="F29:F29">Y29</f>
        <v>1</v>
      </c>
      <c r="G29" s="543"/>
      <c r="H29" s="543"/>
      <c r="I29" s="543"/>
      <c r="J29" s="543"/>
      <c r="K29" s="543"/>
      <c r="L29" s="543"/>
      <c r="M29" s="543"/>
      <c r="N29" s="543"/>
      <c r="O29" s="543"/>
      <c r="P29" s="543"/>
      <c r="Q29" s="936"/>
      <c r="R29" s="543"/>
      <c r="S29" s="543"/>
      <c r="T29" s="1395"/>
      <c r="U29" s="440">
        <f>Y29&gt;0</f>
        <v>1</v>
      </c>
      <c r="V29" s="443"/>
      <c r="W29" s="444" cm="1" t="str">
        <f t="array" ref="W29:W29">'Общие сведения'!$AG$194</f>
        <v>Тариф 1 (Водоотведение) - тариф на транспортировку сточных вод</v>
      </c>
      <c r="X29" s="443"/>
      <c r="Y29" s="1491" t="s">
        <v>281</v>
      </c>
      <c r="Z29" s="1492"/>
      <c r="AA29" s="945"/>
      <c r="AB29" s="146" cm="1" t="str">
        <f t="array" ref="AB29:AB29">'Общие сведения'!$AG$194</f>
        <v>Тариф 1 (Водоотведение) - тариф на транспортировку сточных вод</v>
      </c>
      <c r="AC29" s="140"/>
      <c r="AD29" s="140"/>
      <c r="AE29" s="140"/>
      <c r="AF29" s="140"/>
      <c r="AG29" s="140"/>
      <c r="AH29" s="80"/>
      <c r="AI29" s="543"/>
      <c r="AJ29" s="543"/>
      <c r="AK29" s="543"/>
      <c r="AL29" s="543"/>
      <c r="AM29" s="543"/>
      <c r="AN29" s="543"/>
      <c r="AO29" s="543"/>
      <c r="AP29" s="80"/>
      <c r="AQ29" s="80"/>
      <c r="AR29" s="80"/>
    </row>
    <row s="1624" customFormat="1" customHeight="1" ht="15" hidden="1">
      <c r="A30" s="543"/>
      <c r="B30" s="1401"/>
      <c r="C30" s="543"/>
      <c r="D30" s="543"/>
      <c r="E30" s="940" t="s">
        <v>330</v>
      </c>
      <c r="F30" s="109" cm="1" t="str">
        <f t="array" ref="F30:F30">OFFSET(E30,-1,1)</f>
        <v>1</v>
      </c>
      <c r="G30" s="114" cm="1" t="str">
        <f t="array" ref="G30:G30">AB30</f>
        <v>0</v>
      </c>
      <c r="H30" s="543"/>
      <c r="I30" s="543"/>
      <c r="J30" s="543"/>
      <c r="K30" s="543"/>
      <c r="L30" s="543"/>
      <c r="M30" s="543"/>
      <c r="N30" s="543"/>
      <c r="O30" s="543"/>
      <c r="P30" s="543"/>
      <c r="Q30" s="936"/>
      <c r="R30" s="543"/>
      <c r="S30" s="543"/>
      <c r="T30" s="946"/>
      <c r="U30" s="440">
        <f>AND(F30&gt;0,AB30&gt;0)</f>
        <v>0</v>
      </c>
      <c r="V30" s="445"/>
      <c r="W30" s="446"/>
      <c r="X30" s="733" t="s">
        <v>172</v>
      </c>
      <c r="Y30" s="1491"/>
      <c r="Z30" s="1492"/>
      <c r="AA30" s="638" t="s">
        <v>173</v>
      </c>
      <c r="AB30" s="622">
        <v>0</v>
      </c>
      <c r="AC30" s="734"/>
      <c r="AD30" s="145"/>
      <c r="AE30" s="145"/>
      <c r="AF30" s="1746"/>
      <c r="AG30" s="1747"/>
      <c r="AH30" s="80"/>
      <c r="AI30" s="114" t="s">
        <v>336</v>
      </c>
      <c r="AJ30" s="114" t="s">
        <v>337</v>
      </c>
      <c r="AK30" s="114" cm="1" t="str">
        <f t="array" ref="AK30:AK30">AC30</f>
        <v>0</v>
      </c>
      <c r="AL30" s="114" cm="1" t="str">
        <f t="array" ref="AL30:AL30">AD30</f>
        <v>0</v>
      </c>
      <c r="AM30" s="114" cm="1" t="str">
        <f t="array" ref="AM30:AM30">AE30</f>
        <v>0</v>
      </c>
      <c r="AN30" s="543"/>
      <c r="AO30" s="114" t="b">
        <v>1</v>
      </c>
      <c r="AP30" s="80"/>
      <c r="AQ30" s="80"/>
      <c r="AR30" s="80"/>
    </row>
    <row s="1624" customFormat="1" customHeight="1" ht="21.33462905883789">
      <c r="A31" s="543"/>
      <c r="B31" s="1401"/>
      <c r="C31" s="543"/>
      <c r="D31" s="543"/>
      <c r="E31" s="940" t="s">
        <v>330</v>
      </c>
      <c r="F31" s="109" cm="1" t="str">
        <f t="array" ref="F31:F31">OFFSET(E31,-1,1)</f>
        <v>1</v>
      </c>
      <c r="G31" s="114" cm="1" t="str">
        <f t="array" ref="G31:G31">AB31</f>
        <v>1</v>
      </c>
      <c r="H31" s="543"/>
      <c r="I31" s="543"/>
      <c r="J31" s="543"/>
      <c r="K31" s="543"/>
      <c r="L31" s="543"/>
      <c r="M31" s="543"/>
      <c r="N31" s="543"/>
      <c r="O31" s="543"/>
      <c r="P31" s="543"/>
      <c r="Q31" s="936"/>
      <c r="R31" s="543"/>
      <c r="S31" s="543"/>
      <c r="T31" s="946"/>
      <c r="U31" s="440">
        <f>AND(F31&gt;0,AB31&gt;0)</f>
        <v>1</v>
      </c>
      <c r="V31" s="445"/>
      <c r="W31" s="446"/>
      <c r="X31" s="733"/>
      <c r="Y31" s="1491"/>
      <c r="Z31" s="1492"/>
      <c r="AA31" s="638" t="s">
        <v>173</v>
      </c>
      <c r="AB31" s="622" t="s">
        <v>281</v>
      </c>
      <c r="AC31" s="734" t="s">
        <v>341</v>
      </c>
      <c r="AD31" s="145" t="s">
        <v>341</v>
      </c>
      <c r="AE31" s="145" t="s">
        <v>342</v>
      </c>
      <c r="AF31" s="915" t="s">
        <v>343</v>
      </c>
      <c r="AG31" s="162" t="s">
        <v>344</v>
      </c>
      <c r="AH31" s="80"/>
      <c r="AI31" s="114" t="s">
        <v>336</v>
      </c>
      <c r="AJ31" s="114" t="s">
        <v>337</v>
      </c>
      <c r="AK31" s="114" cm="1" t="str">
        <f t="array" ref="AK31:AK31">AC31</f>
        <v>город Полысаево</v>
      </c>
      <c r="AL31" s="114" cm="1" t="str">
        <f t="array" ref="AL31:AL31">AD31</f>
        <v>город Полысаево</v>
      </c>
      <c r="AM31" s="114" cm="1" t="str">
        <f t="array" ref="AM31:AM31">AE31</f>
        <v>32732000</v>
      </c>
      <c r="AN31" s="543"/>
      <c r="AO31" s="114" t="b">
        <v>1</v>
      </c>
      <c r="AP31" s="80"/>
      <c r="AQ31" s="80"/>
      <c r="AR31" s="80"/>
    </row>
    <row s="1624" customFormat="1" customHeight="1" ht="15">
      <c r="A32" s="543"/>
      <c r="B32" s="1401"/>
      <c r="C32" s="543"/>
      <c r="D32" s="543"/>
      <c r="E32" s="940" t="s">
        <v>330</v>
      </c>
      <c r="F32" s="109" cm="1" t="str">
        <f t="array" ref="F32:F32">OFFSET(E32,-1,1)</f>
        <v>1</v>
      </c>
      <c r="G32" s="114" t="s">
        <v>338</v>
      </c>
      <c r="H32" s="543"/>
      <c r="I32" s="543"/>
      <c r="J32" s="543"/>
      <c r="K32" s="543"/>
      <c r="L32" s="543"/>
      <c r="M32" s="543"/>
      <c r="N32" s="543"/>
      <c r="O32" s="543"/>
      <c r="P32" s="733"/>
      <c r="Q32" s="936"/>
      <c r="R32" s="543"/>
      <c r="S32" s="543"/>
      <c r="T32" s="1395"/>
      <c r="U32" s="440" cm="1" t="str">
        <f t="array" ref="U32:U32">U29</f>
        <v>true</v>
      </c>
      <c r="V32" s="543"/>
      <c r="W32" s="543"/>
      <c r="X32" s="733" t="s">
        <v>339</v>
      </c>
      <c r="Y32" s="1491"/>
      <c r="Z32" s="1492"/>
      <c r="AA32" s="441"/>
      <c r="AB32" s="141"/>
      <c r="AC32" s="226" t="s">
        <v>340</v>
      </c>
      <c r="AD32" s="142"/>
      <c r="AE32" s="142"/>
      <c r="AF32" s="142"/>
      <c r="AG32" s="143"/>
      <c r="AH32" s="80"/>
      <c r="AI32" s="543"/>
      <c r="AJ32" s="543"/>
      <c r="AK32" s="543"/>
      <c r="AL32" s="543"/>
      <c r="AM32" s="543"/>
      <c r="AN32" s="114" t="s">
        <v>337</v>
      </c>
      <c r="AO32" s="543"/>
      <c r="AP32" s="80"/>
      <c r="AQ32" s="80"/>
      <c r="AR32" s="80"/>
    </row>
    <row s="1624" customFormat="1" customHeight="1" ht="14.25">
      <c r="A33" s="472"/>
      <c r="B33" s="634"/>
      <c r="C33" s="472"/>
      <c r="D33" s="472"/>
      <c r="E33" s="842" t="s">
        <v>332</v>
      </c>
      <c r="F33" s="455"/>
      <c r="G33" s="472"/>
      <c r="H33" s="472"/>
      <c r="I33" s="472"/>
      <c r="J33" s="472"/>
      <c r="K33" s="472"/>
      <c r="L33" s="472"/>
      <c r="M33" s="472"/>
      <c r="N33" s="472"/>
      <c r="O33" s="472"/>
      <c r="P33" s="472"/>
      <c r="Q33" s="472"/>
      <c r="R33" s="472"/>
      <c r="S33" s="472"/>
      <c r="T33" s="472"/>
      <c r="U33" s="442"/>
      <c r="V33" s="447" t="s">
        <v>176</v>
      </c>
      <c r="W33" s="733" t="s">
        <v>345</v>
      </c>
      <c r="X33" s="472"/>
      <c r="Y33" s="472"/>
      <c r="Z33" s="472"/>
      <c r="AA33" s="472"/>
      <c r="AC33" s="66"/>
      <c r="AD33" s="66"/>
      <c r="AE33" s="66"/>
      <c r="AF33" s="66"/>
      <c r="AH33" s="0"/>
      <c r="AI33" s="472"/>
      <c r="AJ33" s="472"/>
      <c r="AK33" s="472"/>
      <c r="AL33" s="472"/>
      <c r="AM33" s="472"/>
      <c r="AN33" s="472"/>
      <c r="AO33" s="472"/>
      <c r="AQ33" s="67"/>
    </row>
    <row s="1624" customFormat="1" customHeight="1" ht="11.25" hidden="1">
      <c r="A34" s="472"/>
      <c r="B34" s="634"/>
      <c r="C34" s="472"/>
      <c r="D34" s="472"/>
      <c r="E34" s="635"/>
      <c r="F34" s="947"/>
      <c r="G34" s="472"/>
      <c r="H34" s="472"/>
      <c r="I34" s="472"/>
      <c r="J34" s="472"/>
      <c r="K34" s="472"/>
      <c r="L34" s="472"/>
      <c r="M34" s="472"/>
      <c r="N34" s="472"/>
      <c r="O34" s="472"/>
      <c r="P34" s="472"/>
      <c r="Q34" s="472"/>
      <c r="R34" s="472"/>
      <c r="S34" s="472"/>
      <c r="T34" s="472"/>
      <c r="U34" s="442"/>
      <c r="V34" s="472"/>
      <c r="W34" s="472"/>
      <c r="X34" s="472"/>
      <c r="Y34" s="472"/>
      <c r="Z34" s="472"/>
      <c r="AA34" s="472"/>
      <c r="AC34" s="66"/>
      <c r="AD34" s="66"/>
      <c r="AE34" s="66"/>
      <c r="AF34" s="66"/>
      <c r="AG34" s="66"/>
      <c r="AI34" s="472"/>
      <c r="AJ34" s="472"/>
      <c r="AK34" s="472"/>
      <c r="AL34" s="472"/>
      <c r="AM34" s="472"/>
      <c r="AN34" s="472"/>
      <c r="AO34" s="472"/>
      <c r="AR34" s="67"/>
    </row>
  </sheetData>
  <sheetProtection formatColumns="0" formatRows="0" insertRows="0" deleteColumns="0" deleteRows="0" sort="0" autoFilter="0" insertColumns="1"/>
  <mergeCells count="5">
    <mergeCell ref="AB22:AG22"/>
    <mergeCell ref="Y26:Y28"/>
    <mergeCell ref="Z26:Z28"/>
    <mergeCell ref="Y29:Y32"/>
    <mergeCell ref="Z29:Z32"/>
  </mergeCells>
  <dataValidations count="10">
    <dataValidation type="whole" allowBlank="1" showInputMessage="1" showErrorMessage="1" errorTitle="Внимание" error="Необходимо указать целое положительное значение!" sqref="WRO27 WHS27 VXW27 VOA27 VEE27 UUI27 UKM27 UAQ27 TQU27 TGY27 SXC27 SNG27 SDK27 RTO27 RJS27 QZW27 QQA27 QGE27 PWI27 PMM27 PCQ27 OSU27 OIY27 NZC27 NPG27 NFK27 MVO27 MLS27 MBW27 LSA27 LIE27 KYI27 KOM27 KEQ27 JUU27 JKY27 JBC27 IRG27 IHK27 HXO27 HNS27 HDW27 GUA27 GKE27 GAI27 FQM27 FGQ27 EWU27 EMY27 EDC27 DTG27 DJK27 CZO27 CPS27 CFW27 BWA27 BME27 BCI27 ASM27 AIQ27 YU27 OY27 FC27">
      <formula1>0</formula1>
      <formula2>10000000</formula2>
    </dataValidation>
    <dataValidation type="list" showInputMessage="1" showErrorMessage="1" errorTitle="Внимание" error="Пожалуйста, выберите значение из списка" sqref="WTP27 WJT27 VZX27 VQB27 VGF27 UWJ27 UMN27 UCR27 TSV27 TIZ27 SZD27 SPH27 SFL27 RVP27 RLT27 RBX27 QSB27 QIF27 PYJ27 PON27 PER27 OUV27 OKZ27 OBD27 NRH27 NHL27 MXP27 MNT27 MDX27 LUB27 LKF27 LAJ27 KQN27 KGR27 JWV27 JMZ27 JDD27 ITH27 IJL27 HZP27 HPT27 HFX27 GWB27 GMF27 GCJ27 FSN27 FIR27 EYV27 EOZ27 EFD27 DVH27 DLL27 DBP27 CRT27 CHX27 BYB27 BOF27 BEJ27 AUN27 AKR27 AAV27 QZ27 HD27">
      <formula1>TF_START_YEAR_LIST</formula1>
    </dataValidation>
    <dataValidation type="list" showInputMessage="1" showErrorMessage="1" errorTitle="Внимание" error="Пожалуйста, выберите значение из списка" sqref="WTS27 WJW27 WAA27 VQE27 VGI27 UWM27 UMQ27 UCU27 TSY27 TJC27 SZG27 SPK27 SFO27 RVS27 RLW27 RCA27 QSE27 QII27 PYM27 POQ27 PEU27 OUY27 OLC27 OBG27 NRK27 NHO27 MXS27 MNW27 MEA27 LUE27 LKI27 LAM27 KQQ27 KGU27 JWY27 JNC27 JDG27 ITK27 IJO27 HZS27 HPW27 HGA27 GWE27 GMI27 GCM27 FSQ27 FIU27 EYY27 EPC27 EFG27 DVK27 DLO27 DBS27 CRW27 CIA27 BYE27 BOI27 BEM27 AUQ27 AKU27 AAY27 RC27 HG27">
      <formula1>TF_END_YEAR_LIST</formula1>
    </dataValidation>
    <dataValidation type="list" allowBlank="1" showInputMessage="1" showErrorMessage="1" errorTitle="Внимание" error="Пожалуйста, выберите значение из списка!" sqref="WUQ27 WKU27 WAY27 VRC27 VHG27 UXK27 UNO27 UDS27 TTW27 TKA27 TAE27 SQI27 SGM27 RWQ27 RMU27 RCY27 QTC27 QJG27 PZK27 PPO27 PFS27 OVW27 OMA27 OCE27 NSI27 NIM27 MYQ27 MOU27 MEY27 LVC27 LLG27 LBK27 KRO27 KHS27 JXW27 JOA27 JEE27 IUI27 IKM27 IAQ27 HQU27 HGY27 GXC27 GNG27 GDK27 FTO27 FJS27 EZW27 EQA27 EGE27 DWI27 DMM27 DCQ27 CSU27 CIY27 BZC27 BPG27 BFK27 AVO27 ALS27 ABW27 SA27 IE27 WUK27 WKO27 WAS27 VQW27 VHA27 UXE27 UNI27 UDM27 TTQ27 TJU27 SZY27 SQC27 SGG27 RWK27 RMO27 RCS27 QSW27 QJA27 PZE27 PPI27 PFM27 OVQ27 OLU27 OBY27 NSC27 NIG27 MYK27 MOO27 MES27 LUW27 LLA27 LBE27 KRI27 KHM27 JXQ27 JNU27 JDY27 IUC27 IKG27 IAK27 HQO27 HGS27 GWW27 GNA27 GDE27 FTI27 FJM27 EZQ27 EPU27 EFY27 DWC27 DMG27 DCK27 CSO27 CIS27 BYW27 BPA27 BFE27 AVI27 ALM27 ABQ27 RU27 HY27 WUW27 WLA27 WBE27 VRI27 VHM27 UXQ27 UNU27 UDY27 TUC27 TKG27 TAK27 SQO27 SGS27 RWW27 RNA27 RDE27 QTI27 QJM27 PZQ27 PPU27 PFY27 OWC27 OMG27 OCK27 NSO27 NIS27 MYW27 MPA27 MFE27 LVI27 LLM27 LBQ27 KRU27 KHY27 JYC27 JOG27 JEK27 IUO27 IKS27 IAW27 HRA27 HHE27 GXI27 GNM27 GDQ27 FTU27 FJY27 FAC27 EQG27 EGK27 DWO27 DMS27 DCW27 CTA27 CJE27 BZI27 BPM27 BFQ27 AVU27 ALY27 ACC27 SG27 IK27">
      <formula1>YES_NO</formula1>
    </dataValidation>
    <dataValidation type="list" showInputMessage="1" showErrorMessage="1" errorTitle="Внимание" error="Пожалуйста, выберите значение из списка" sqref="WTH27 WJL27 VZP27 VPT27 VFX27 UWB27 UMF27 UCJ27 TSN27 TIR27 SYV27 SOZ27 SFD27 RVH27 RLL27 RBP27 QRT27 QHX27 PYB27 POF27 PEJ27 OUN27 OKR27 OAV27 NQZ27 NHD27 MXH27 MNL27 MDP27 LTT27 LJX27 LAB27 KQF27 KGJ27 JWN27 JMR27 JCV27 ISZ27 IJD27 HZH27 HPL27 HFP27 GVT27 GLX27 GCB27 FSF27 FIJ27 EYN27 EOR27 EEV27 DUZ27 DLD27 DBH27 CRL27 CHP27 BXT27 BNX27 BEB27 AUF27 AKJ27 AAN27 QR27 GV27">
      <formula1>YES_NO</formula1>
    </dataValidation>
    <dataValidation type="whole" allowBlank="1" showInputMessage="1" showErrorMessage="1" errorTitle="Внимание" error="Пожалуйста, укажите число!" sqref="WTR27 WJV27 VZZ27 VQD27 VGH27 UWL27 UMP27 UCT27 TSX27 TJB27 SZF27 SPJ27 SFN27 RVR27 RLV27 RBZ27 QSD27 QIH27 PYL27 POP27 PET27 OUX27 OLB27 OBF27 NRJ27 NHN27 MXR27 MNV27 MDZ27 LUD27 LKH27 LAL27 KQP27 KGT27 JWX27 JNB27 JDF27 ITJ27 IJN27 HZR27 HPV27 HFZ27 GWD27 GMH27 GCL27 FSP27 FIT27 EYX27 EPB27 EFF27 DVJ27 DLN27 DBR27 CRV27 CHZ27 BYD27 BOH27 BEL27 AUP27 AKT27 AAX27 RB27 HF27 WTU27 WJY27 WAC27 VQG27 VGK27 UWO27 UMS27 UCW27 TTA27 TJE27 SZI27 SPM27 SFQ27 RVU27 RLY27 RCC27 QSG27 QIK27 PYO27 POS27 PEW27 OVA27 OLE27 OBI27 NRM27 NHQ27 MXU27 MNY27 MEC27 LUG27 LKK27 LAO27 KQS27 KGW27 JXA27 JNE27 JDI27 ITM27 IJQ27 HZU27 HPY27 HGC27 GWG27 GMK27 GCO27 FSS27 FIW27 EZA27 EPE27 EFI27 DVM27 DLQ27 DBU27 CRY27 CIC27 BYG27 BOK27 BEO27 AUS27 AKW27 ABA27 RE27 HI27">
      <formula1>1</formula1>
      <formula2>31</formula2>
    </dataValidation>
    <dataValidation type="list" showInputMessage="1" showErrorMessage="1" errorTitle="Внимание" error="Пожалуйста, выберите значение из списка" sqref="WTQ27 WJU27 VZY27 VQC27 VGG27 UWK27 UMO27 UCS27 TSW27 TJA27 SZE27 SPI27 SFM27 RVQ27 RLU27 RBY27 QSC27 QIG27 PYK27 POO27 PES27 OUW27 OLA27 OBE27 NRI27 NHM27 MXQ27 MNU27 MDY27 LUC27 LKG27 LAK27 KQO27 KGS27 JWW27 JNA27 JDE27 ITI27 IJM27 HZQ27 HPU27 HFY27 GWC27 GMG27 GCK27 FSO27 FIS27 EYW27 EPA27 EFE27 DVI27 DLM27 DBQ27 CRU27 CHY27 BYC27 BOG27 BEK27 AUO27 AKS27 AAW27 RA27 HE27 WTT27 WJX27 WAB27 VQF27 VGJ27 UWN27 UMR27 UCV27 TSZ27 TJD27 SZH27 SPL27 SFP27 RVT27 RLX27 RCB27 QSF27 QIJ27 PYN27 POR27 PEV27 OUZ27 OLD27 OBH27 NRL27 NHP27 MXT27 MNX27 MEB27 LUF27 LKJ27 LAN27 KQR27 KGV27 JWZ27 JND27 JDH27 ITL27 IJP27 HZT27 HPX27 HGB27 GWF27 GMJ27 GCN27 FSR27 FIV27 EYZ27 EPD27 EFH27 DVL27 DLP27 DBT27 CRX27 CIB27 BYF27 BOJ27 BEN27 AUR27 AKV27 AAZ27 RD27 HH27">
      <formula1>MONTH_LIST</formula1>
    </dataValidation>
    <dataValidation type="list" allowBlank="1" showInputMessage="1" showErrorMessage="1" errorTitle="Внимание" error="Пожалуйста, выберите МР из списка!" sqref="WQU27 WGY27 VXC27 VNG27 VDK27 UTO27 UJS27 TZW27 TQA27 TGE27 SWI27 SMM27 SCQ27 RSU27 RIY27 QZC27 QPG27 QFK27 PVO27 PLS27 PBW27 OSA27 OIE27 NYI27 NOM27 NEQ27 MUU27 MKY27 MBC27 LRG27 LHK27 KXO27 KNS27 KDW27 JUA27 JKE27 JAI27 IQM27 IGQ27 HWU27 HMY27 HDC27 GTG27 GJK27 FZO27 FPS27 FFW27 EWA27 EME27 ECI27 DSM27 DIQ27 CYU27 COY27 CFC27 BVG27 BLK27 BBO27 ARS27 AHW27 YA27 OE27 EI27">
      <formula1>MR_LIST</formula1>
    </dataValidation>
    <dataValidation type="list" showInputMessage="1" showErrorMessage="1" errorTitle="Внимание" error="Пожалуйста, выберите значение из списка" sqref="WUS27 WKW27 WBA27 VRE27 VHI27 UXM27 UNQ27 UDU27 TTY27 TKC27 TAG27 SQK27 SGO27 RWS27 RMW27 RDA27 QTE27 QJI27 PZM27 PPQ27 PFU27 OVY27 OMC27 OCG27 NSK27 NIO27 MYS27 MOW27 MFA27 LVE27 LLI27 LBM27 KRQ27 KHU27 JXY27 JOC27 JEG27 IUK27 IKO27 IAS27 HQW27 HHA27 GXE27 GNI27 GDM27 FTQ27 FJU27 EZY27 EQC27 EGG27 DWK27 DMO27 DCS27 CSW27 CJA27 BZE27 BPI27 BFM27 AVQ27 ALU27 ABY27 SC27 IG27">
      <formula1>DOCUMENT_TYPES</formula1>
    </dataValidation>
    <dataValidation type="list" showInputMessage="1" showErrorMessage="1" errorTitle="Внимание" error="Пожалуйста, выберите МО из списка" sqref="WQV27 WGZ27 VXD27 VNH27 VDL27 UTP27 UJT27 TZX27 TQB27 TGF27 SWJ27 SMN27 SCR27 RSV27 RIZ27 QZD27 QPH27 QFL27 PVP27 PLT27 PBX27 OSB27 OIF27 NYJ27 NON27 NER27 MUV27 MKZ27 MBD27 LRH27 LHL27 KXP27 KNT27 KDX27 JUB27 JKF27 JAJ27 IQN27 IGR27 HWV27 HMZ27 HDD27 GTH27 GJL27 FZP27 FPT27 FFX27 EWB27 EMF27 ECJ27 DSN27 DIR27 CYV27 COZ27 CFD27 BVH27 BLL27 BBP27 ART27 AHX27 YB27 OF27 EJ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729959-61DC-4E89-8BA8-90AC37730D69}" mc:Ignorable="x14ac xr xr2 xr3">
  <sheetPr>
    <tabColor theme="3" tint="0.6"/>
    <outlinePr summaryRight="0" summaryBelow="0"/>
    <pageSetUpPr fitToPage="1"/>
  </sheetPr>
  <dimension ref="A1:BE59"/>
  <sheetViews>
    <sheetView showGridLines="0" zoomScale="110" workbookViewId="0">
      <pane xSplit="31" ySplit="25" topLeftCell="AH26" activePane="bottomRight" state="frozen"/>
      <selection pane="bottomLeft" activeCell="A26" sqref="A26"/>
      <selection pane="topRight" activeCell="AF1" sqref="AF1"/>
      <selection pane="bottomRight" activeCell="AB49" sqref="AB49"/>
    </sheetView>
  </sheetViews>
  <sheetFormatPr defaultColWidth="8.7109375" customHeight="1" defaultRowHeight="11.25"/>
  <cols>
    <col min="1" max="1" style="80" width="3.57421875" hidden="1" customWidth="1"/>
    <col min="2" max="2" style="1401" width="8.57421875" hidden="1" customWidth="1"/>
    <col min="3" max="4" style="80" width="3.57421875" hidden="1" customWidth="1"/>
    <col min="5" max="5" style="610" width="3.57421875" hidden="1" customWidth="1"/>
    <col min="6" max="7" style="80" width="4.00390625" hidden="1" customWidth="1"/>
    <col min="8" max="9" style="80" width="3.57421875" hidden="1" customWidth="1"/>
    <col min="10" max="10" style="80" width="12.421875" hidden="1" customWidth="1"/>
    <col min="11" max="11" style="80" width="9.7109375" hidden="1" customWidth="1"/>
    <col min="12" max="16" style="80" width="3.57421875" hidden="1" customWidth="1"/>
    <col min="17" max="17" style="80" width="5.57421875" hidden="1" customWidth="1"/>
    <col min="18" max="19" style="80" width="3.57421875" hidden="1" customWidth="1"/>
    <col min="20" max="20" style="1624" width="3.57421875" hidden="1" customWidth="1"/>
    <col min="21" max="21" style="1624" width="6.140625" hidden="1" customWidth="1"/>
    <col min="22" max="22" style="1624" width="10.140625" hidden="1" customWidth="1"/>
    <col min="23" max="23" style="1624" width="5.8515625" hidden="1" customWidth="1"/>
    <col min="24" max="25" style="1624" width="6.140625" hidden="1" customWidth="1"/>
    <col min="26" max="26" style="1624" width="5.57421875" hidden="1" customWidth="1"/>
    <col min="27" max="27" style="1624" width="5.28125" hidden="1" customWidth="1"/>
    <col min="28" max="28" style="80" width="3.00390625" customWidth="1"/>
    <col min="29" max="29" style="80" width="11.00390625" customWidth="1"/>
    <col min="30" max="30" style="80" width="70.00390625" customWidth="1"/>
    <col min="31" max="31" style="80" width="15.00390625" customWidth="1"/>
    <col min="32" max="32" style="80" width="20.00390625" hidden="1" customWidth="1"/>
    <col min="33" max="33" style="86" width="20.00390625" hidden="1" customWidth="1"/>
    <col min="34" max="35" style="80" width="20.00390625" customWidth="1"/>
    <col min="36" max="36" style="86" width="20.00390625" customWidth="1"/>
    <col min="37" max="37" style="80" width="3.7109375" customWidth="1"/>
    <col min="38" max="38" style="80" width="8.7109375" hidden="1"/>
    <col min="39" max="42" style="980" width="8.7109375" hidden="1"/>
    <col min="43" max="44" style="602" width="8.7109375" hidden="1"/>
    <col min="45" max="57" style="80" width="8.7109375" hidden="1"/>
  </cols>
  <sheetData>
    <row s="543" customFormat="1" customHeight="1" ht="11.25" hidden="1">
      <c r="B1" s="401"/>
      <c r="E1" s="843"/>
      <c r="F1" s="114" t="s">
        <v>309</v>
      </c>
      <c r="H1" s="114" t="s">
        <v>320</v>
      </c>
      <c r="J1" s="114" t="s">
        <v>346</v>
      </c>
      <c r="P1" s="114" t="s">
        <v>347</v>
      </c>
      <c r="T1" s="937"/>
      <c r="U1" s="440" t="s">
        <v>311</v>
      </c>
      <c r="V1" s="438" t="s">
        <v>92</v>
      </c>
      <c r="W1" s="438" t="s">
        <v>97</v>
      </c>
      <c r="X1" s="438" t="s">
        <v>93</v>
      </c>
      <c r="Y1" s="438" t="s">
        <v>94</v>
      </c>
      <c r="Z1" s="438" t="s">
        <v>95</v>
      </c>
      <c r="AA1" s="438" t="s">
        <v>99</v>
      </c>
      <c r="AB1" s="440" t="s">
        <v>96</v>
      </c>
      <c r="AC1" s="440"/>
      <c r="AD1" s="440" t="s">
        <v>98</v>
      </c>
      <c r="AF1" s="543"/>
      <c r="AG1" s="170"/>
      <c r="AJ1" s="170"/>
      <c r="AM1" s="971" t="s">
        <v>312</v>
      </c>
      <c r="AN1" s="971" t="s">
        <v>313</v>
      </c>
      <c r="AO1" s="971" t="s">
        <v>314</v>
      </c>
      <c r="AP1" s="971" t="s">
        <v>348</v>
      </c>
      <c r="AQ1" s="940" t="s">
        <v>317</v>
      </c>
      <c r="AR1" s="940" t="s">
        <v>318</v>
      </c>
    </row>
    <row s="1401" customFormat="1" customHeight="1" ht="11.25" hidden="1">
      <c r="B2" s="938" t="s">
        <v>18</v>
      </c>
      <c r="T2" s="631"/>
      <c r="U2" s="631"/>
      <c r="V2" s="631"/>
      <c r="W2" s="631"/>
      <c r="X2" s="631"/>
      <c r="Y2" s="631"/>
      <c r="Z2" s="631"/>
      <c r="AA2" s="631"/>
      <c r="AF2" s="938">
        <f>method_reg&lt;&gt;"Метод сравнения аналогов"</f>
        <v>0</v>
      </c>
      <c r="AG2" s="938">
        <f>method_reg&lt;&gt;"Метод сравнения аналогов"</f>
        <v>0</v>
      </c>
      <c r="AM2" s="970"/>
      <c r="AN2" s="970"/>
      <c r="AO2" s="970"/>
      <c r="AP2" s="970"/>
      <c r="AQ2" s="979"/>
      <c r="AR2" s="979"/>
    </row>
    <row s="543" customFormat="1" customHeight="1" ht="11.25" hidden="1">
      <c r="B3" s="401"/>
      <c r="E3" s="843"/>
      <c r="T3" s="937"/>
      <c r="U3" s="937"/>
      <c r="V3" s="937"/>
      <c r="W3" s="937"/>
      <c r="X3" s="937"/>
      <c r="Y3" s="937"/>
      <c r="Z3" s="937"/>
      <c r="AA3" s="937"/>
      <c r="AF3" s="543"/>
      <c r="AG3" s="170"/>
      <c r="AJ3" s="170"/>
      <c r="AM3" s="971"/>
      <c r="AN3" s="971"/>
      <c r="AO3" s="971"/>
      <c r="AP3" s="971"/>
      <c r="AQ3" s="940"/>
      <c r="AR3" s="940"/>
    </row>
    <row s="543" customFormat="1" customHeight="1" ht="11.25" hidden="1">
      <c r="B4" s="401"/>
      <c r="E4" s="843"/>
      <c r="T4" s="937"/>
      <c r="U4" s="937"/>
      <c r="V4" s="937"/>
      <c r="W4" s="937"/>
      <c r="X4" s="937"/>
      <c r="Y4" s="937"/>
      <c r="Z4" s="937"/>
      <c r="AA4" s="937"/>
      <c r="AF4" s="543"/>
      <c r="AG4" s="170"/>
      <c r="AJ4" s="170"/>
      <c r="AM4" s="971"/>
      <c r="AN4" s="971"/>
      <c r="AO4" s="971"/>
      <c r="AP4" s="971"/>
      <c r="AQ4" s="940"/>
      <c r="AR4" s="940"/>
    </row>
    <row s="852" customFormat="1" customHeight="1" ht="11.25" hidden="1">
      <c r="A5" s="843"/>
      <c r="B5" s="401"/>
      <c r="C5" s="843"/>
      <c r="D5" s="843"/>
      <c r="E5" s="844" t="s">
        <v>19</v>
      </c>
      <c r="T5" s="967"/>
      <c r="U5" s="967"/>
      <c r="V5" s="967"/>
      <c r="W5" s="967"/>
      <c r="X5" s="967"/>
      <c r="Y5" s="967"/>
      <c r="Z5" s="967"/>
      <c r="AA5" s="967"/>
      <c r="AB5" s="596">
        <v>3</v>
      </c>
      <c r="AC5" s="596">
        <v>11</v>
      </c>
      <c r="AD5" s="596">
        <v>70</v>
      </c>
      <c r="AE5" s="596">
        <v>15</v>
      </c>
      <c r="AF5" s="596">
        <v>20</v>
      </c>
      <c r="AG5" s="596">
        <v>20</v>
      </c>
      <c r="AH5" s="596">
        <v>20</v>
      </c>
      <c r="AI5" s="596">
        <v>20</v>
      </c>
      <c r="AJ5" s="596">
        <v>20</v>
      </c>
      <c r="AK5" s="844" t="s">
        <v>319</v>
      </c>
      <c r="AM5" s="972"/>
      <c r="AN5" s="972"/>
      <c r="AO5" s="972"/>
      <c r="AP5" s="972"/>
    </row>
    <row s="543" customFormat="1" customHeight="1" ht="11.25" hidden="1">
      <c r="A6" s="114" t="s">
        <v>349</v>
      </c>
      <c r="B6" s="401"/>
      <c r="E6" s="844"/>
      <c r="T6" s="937"/>
      <c r="U6" s="937"/>
      <c r="V6" s="937"/>
      <c r="W6" s="937"/>
      <c r="X6" s="937"/>
      <c r="Y6" s="937"/>
      <c r="Z6" s="937"/>
      <c r="AA6" s="937"/>
      <c r="AF6" s="114">
        <f>god-2</f>
        <v>2024</v>
      </c>
      <c r="AG6" s="114">
        <f>god-1</f>
        <v>2025</v>
      </c>
      <c r="AH6" s="114" cm="1" t="str">
        <f t="array" ref="AH6:AH6">god</f>
        <v>2026</v>
      </c>
      <c r="AI6" s="114" cm="1" t="str">
        <f t="array" ref="AI6:AI6">god</f>
        <v>2026</v>
      </c>
      <c r="AJ6" s="114" cm="1" t="str">
        <f t="array" ref="AJ6:AJ6">god</f>
        <v>2026</v>
      </c>
      <c r="AM6" s="971"/>
      <c r="AN6" s="971"/>
      <c r="AO6" s="971"/>
      <c r="AP6" s="971"/>
      <c r="AQ6" s="940"/>
      <c r="AR6" s="940"/>
    </row>
    <row s="543" customFormat="1" customHeight="1" ht="11.25" hidden="1">
      <c r="A7" s="114" t="s">
        <v>350</v>
      </c>
      <c r="B7" s="401"/>
      <c r="E7" s="844"/>
      <c r="T7" s="937"/>
      <c r="U7" s="937"/>
      <c r="V7" s="937"/>
      <c r="W7" s="937"/>
      <c r="X7" s="937"/>
      <c r="Y7" s="937"/>
      <c r="Z7" s="937"/>
      <c r="AA7" s="937"/>
      <c r="AF7" s="339" cm="1" t="str">
        <f t="array" ref="AF7:AF7">AF25</f>
        <v>Принято органом регулирования</v>
      </c>
      <c r="AG7" s="339" t="s">
        <v>351</v>
      </c>
      <c r="AH7" s="340" t="s">
        <v>352</v>
      </c>
      <c r="AI7" s="340" t="s">
        <v>351</v>
      </c>
      <c r="AJ7" s="339" t="s">
        <v>353</v>
      </c>
      <c r="AM7" s="971"/>
      <c r="AN7" s="971"/>
      <c r="AO7" s="971"/>
      <c r="AP7" s="971"/>
      <c r="AQ7" s="940"/>
      <c r="AR7" s="940"/>
    </row>
    <row s="543" customFormat="1" customHeight="1" ht="11.25" hidden="1">
      <c r="B8" s="401"/>
      <c r="E8" s="844"/>
      <c r="T8" s="937"/>
      <c r="U8" s="937"/>
      <c r="V8" s="937"/>
      <c r="W8" s="937"/>
      <c r="X8" s="937"/>
      <c r="Y8" s="937"/>
      <c r="Z8" s="937"/>
      <c r="AA8" s="937"/>
      <c r="AF8" s="543"/>
      <c r="AG8" s="170"/>
      <c r="AJ8" s="170"/>
      <c r="AM8" s="971"/>
      <c r="AN8" s="971"/>
      <c r="AO8" s="971"/>
      <c r="AP8" s="971"/>
      <c r="AQ8" s="940"/>
      <c r="AR8" s="940"/>
    </row>
    <row s="971" customFormat="1" customHeight="1" ht="11.25" hidden="1">
      <c r="A9" s="971" t="s">
        <v>354</v>
      </c>
      <c r="B9" s="970"/>
      <c r="E9" s="972"/>
      <c r="T9" s="973"/>
      <c r="U9" s="973"/>
      <c r="V9" s="973"/>
      <c r="W9" s="973"/>
      <c r="X9" s="973"/>
      <c r="Y9" s="973"/>
      <c r="Z9" s="973"/>
      <c r="AA9" s="973"/>
      <c r="AF9" s="971" cm="1" t="str">
        <f t="array" ref="AF9:AF9">AF6</f>
        <v>2024</v>
      </c>
      <c r="AG9" s="971" cm="1" t="str">
        <f t="array" ref="AG9:AG9">AG6</f>
        <v>2025</v>
      </c>
      <c r="AH9" s="971" cm="1" t="str">
        <f t="array" ref="AH9:AH9">AH6</f>
        <v>2026</v>
      </c>
      <c r="AI9" s="971" cm="1" t="str">
        <f t="array" ref="AI9:AI9">AI6</f>
        <v>2026</v>
      </c>
      <c r="AQ9" s="940"/>
      <c r="AR9" s="940"/>
    </row>
    <row s="971" customFormat="1" customHeight="1" ht="11.25" hidden="1">
      <c r="A10" s="971" t="s">
        <v>355</v>
      </c>
      <c r="B10" s="970"/>
      <c r="E10" s="972"/>
      <c r="T10" s="973"/>
      <c r="U10" s="973"/>
      <c r="V10" s="973"/>
      <c r="W10" s="973"/>
      <c r="X10" s="973"/>
      <c r="Y10" s="973"/>
      <c r="Z10" s="973"/>
      <c r="AA10" s="973"/>
      <c r="AF10" s="971" cm="1" t="str">
        <f t="array" ref="AF10:AF10">AF25</f>
        <v>Принято органом регулирования</v>
      </c>
      <c r="AG10" s="971" cm="1" t="str">
        <f t="array" ref="AG10:AG10">AG25</f>
        <v>Принято органом регулирования</v>
      </c>
      <c r="AH10" s="971" cm="1" t="str">
        <f t="array" ref="AH10:AH10">AH25</f>
        <v>Предложение организации</v>
      </c>
      <c r="AI10" s="971" cm="1" t="str">
        <f t="array" ref="AI10:AI10">AI25</f>
        <v>Принято органом регулирования</v>
      </c>
      <c r="AQ10" s="940"/>
      <c r="AR10" s="940"/>
    </row>
    <row s="971" customFormat="1" customHeight="1" ht="11.25" hidden="1">
      <c r="A11" s="971" t="s">
        <v>356</v>
      </c>
      <c r="B11" s="970"/>
      <c r="E11" s="972"/>
      <c r="T11" s="973"/>
      <c r="U11" s="973"/>
      <c r="V11" s="973"/>
      <c r="W11" s="973"/>
      <c r="X11" s="973"/>
      <c r="Y11" s="973"/>
      <c r="Z11" s="973"/>
      <c r="AA11" s="973"/>
      <c r="AF11" s="971"/>
      <c r="AG11" s="969"/>
      <c r="AJ11" s="969" cm="1" t="str">
        <f t="array" ref="AJ11:AJ11">AJ24</f>
        <v>Комментарии</v>
      </c>
      <c r="AQ11" s="940"/>
      <c r="AR11" s="940"/>
    </row>
    <row s="971" customFormat="1" customHeight="1" ht="11.25" hidden="1">
      <c r="A12" s="971" t="s">
        <v>327</v>
      </c>
      <c r="B12" s="970"/>
      <c r="E12" s="972"/>
      <c r="T12" s="973"/>
      <c r="U12" s="973"/>
      <c r="V12" s="973"/>
      <c r="W12" s="973"/>
      <c r="X12" s="973"/>
      <c r="Y12" s="973"/>
      <c r="Z12" s="973"/>
      <c r="AA12" s="973"/>
      <c r="AB12" s="973"/>
      <c r="AD12" s="971" t="s">
        <v>314</v>
      </c>
      <c r="AE12" s="971" t="s">
        <v>348</v>
      </c>
      <c r="AF12" s="971"/>
      <c r="AG12" s="969"/>
      <c r="AJ12" s="969"/>
      <c r="AQ12" s="940"/>
      <c r="AR12" s="940"/>
    </row>
    <row s="543" customFormat="1" customHeight="1" ht="11.25" hidden="1">
      <c r="B13" s="401"/>
      <c r="E13" s="844"/>
      <c r="T13" s="937"/>
      <c r="U13" s="937"/>
      <c r="V13" s="937"/>
      <c r="W13" s="937"/>
      <c r="X13" s="937"/>
      <c r="Y13" s="937"/>
      <c r="Z13" s="937"/>
      <c r="AA13" s="937"/>
      <c r="AB13" s="937"/>
      <c r="AC13" s="937"/>
      <c r="AD13" s="968"/>
      <c r="AE13" s="968"/>
      <c r="AF13" s="968"/>
      <c r="AG13" s="968"/>
      <c r="AJ13" s="968"/>
      <c r="AM13" s="971"/>
      <c r="AN13" s="971"/>
      <c r="AO13" s="971"/>
      <c r="AP13" s="971"/>
      <c r="AQ13" s="940"/>
      <c r="AR13" s="940"/>
    </row>
    <row s="543" customFormat="1" customHeight="1" ht="11.25" hidden="1">
      <c r="B14" s="401"/>
      <c r="E14" s="844"/>
      <c r="T14" s="937"/>
      <c r="U14" s="937"/>
      <c r="V14" s="937"/>
      <c r="W14" s="937"/>
      <c r="X14" s="937"/>
      <c r="Y14" s="937"/>
      <c r="Z14" s="937"/>
      <c r="AA14" s="937"/>
      <c r="AB14" s="937"/>
      <c r="AC14" s="937"/>
      <c r="AD14" s="968"/>
      <c r="AE14" s="968"/>
      <c r="AF14" s="968"/>
      <c r="AG14" s="968"/>
      <c r="AJ14" s="968"/>
      <c r="AM14" s="971"/>
      <c r="AN14" s="971"/>
      <c r="AO14" s="971"/>
      <c r="AP14" s="971"/>
      <c r="AQ14" s="940"/>
      <c r="AR14" s="940"/>
    </row>
    <row s="543" customFormat="1" customHeight="1" ht="11.25" hidden="1">
      <c r="B15" s="401"/>
      <c r="E15" s="844"/>
      <c r="T15" s="937"/>
      <c r="U15" s="937"/>
      <c r="V15" s="937"/>
      <c r="W15" s="937"/>
      <c r="X15" s="937"/>
      <c r="Y15" s="937"/>
      <c r="Z15" s="937"/>
      <c r="AA15" s="937"/>
      <c r="AB15" s="937"/>
      <c r="AC15" s="937"/>
      <c r="AD15" s="968"/>
      <c r="AE15" s="968"/>
      <c r="AF15" s="968"/>
      <c r="AG15" s="968"/>
      <c r="AJ15" s="968"/>
      <c r="AM15" s="971"/>
      <c r="AN15" s="971"/>
      <c r="AO15" s="971"/>
      <c r="AP15" s="971"/>
      <c r="AQ15" s="940"/>
      <c r="AR15" s="940"/>
    </row>
    <row s="543" customFormat="1" customHeight="1" ht="11.25" hidden="1">
      <c r="B16" s="401"/>
      <c r="E16" s="844"/>
      <c r="T16" s="937"/>
      <c r="U16" s="937"/>
      <c r="V16" s="937"/>
      <c r="W16" s="937"/>
      <c r="X16" s="937"/>
      <c r="Y16" s="937"/>
      <c r="Z16" s="937"/>
      <c r="AA16" s="937"/>
      <c r="AB16" s="937"/>
      <c r="AC16" s="937"/>
      <c r="AD16" s="968"/>
      <c r="AE16" s="968"/>
      <c r="AF16" s="968"/>
      <c r="AG16" s="968"/>
      <c r="AJ16" s="968"/>
      <c r="AM16" s="971"/>
      <c r="AN16" s="971"/>
      <c r="AO16" s="971"/>
      <c r="AP16" s="971"/>
      <c r="AQ16" s="940"/>
      <c r="AR16" s="940"/>
    </row>
    <row s="543" customFormat="1" customHeight="1" ht="11.25" hidden="1">
      <c r="B17" s="401"/>
      <c r="E17" s="844"/>
      <c r="T17" s="937"/>
      <c r="U17" s="937"/>
      <c r="V17" s="937"/>
      <c r="W17" s="937"/>
      <c r="X17" s="937"/>
      <c r="Y17" s="937"/>
      <c r="Z17" s="937"/>
      <c r="AA17" s="937"/>
      <c r="AB17" s="937"/>
      <c r="AC17" s="937"/>
      <c r="AD17" s="968"/>
      <c r="AE17" s="968"/>
      <c r="AF17" s="968"/>
      <c r="AG17" s="968"/>
      <c r="AJ17" s="968"/>
      <c r="AM17" s="971"/>
      <c r="AN17" s="971"/>
      <c r="AO17" s="971"/>
      <c r="AP17" s="971"/>
      <c r="AQ17" s="940"/>
      <c r="AR17" s="940"/>
    </row>
    <row s="543" customFormat="1" customHeight="1" ht="11.25" hidden="1">
      <c r="A18" s="114" t="s">
        <v>357</v>
      </c>
      <c r="B18" s="401"/>
      <c r="E18" s="844"/>
      <c r="T18" s="937"/>
      <c r="U18" s="937"/>
      <c r="V18" s="937"/>
      <c r="W18" s="937"/>
      <c r="X18" s="937"/>
      <c r="Y18" s="937"/>
      <c r="Z18" s="937"/>
      <c r="AA18" s="937"/>
      <c r="AB18" s="937"/>
      <c r="AC18" s="937"/>
      <c r="AD18" s="925" t="s">
        <v>197</v>
      </c>
      <c r="AE18" s="968"/>
      <c r="AF18" s="968"/>
      <c r="AG18" s="968"/>
      <c r="AJ18" s="968"/>
      <c r="AM18" s="971"/>
      <c r="AN18" s="971"/>
      <c r="AO18" s="971"/>
      <c r="AP18" s="971"/>
      <c r="AQ18" s="940"/>
      <c r="AR18" s="940"/>
    </row>
    <row s="543" customFormat="1" customHeight="1" ht="11.25" hidden="1">
      <c r="B19" s="401"/>
      <c r="E19" s="844"/>
      <c r="T19" s="937"/>
      <c r="U19" s="937"/>
      <c r="V19" s="937"/>
      <c r="W19" s="937"/>
      <c r="X19" s="937"/>
      <c r="Y19" s="937"/>
      <c r="Z19" s="937"/>
      <c r="AA19" s="937"/>
      <c r="AB19" s="937"/>
      <c r="AC19" s="937"/>
      <c r="AD19" s="968"/>
      <c r="AE19" s="968"/>
      <c r="AF19" s="968"/>
      <c r="AG19" s="968"/>
      <c r="AJ19" s="968"/>
      <c r="AM19" s="971"/>
      <c r="AN19" s="971"/>
      <c r="AO19" s="971"/>
      <c r="AP19" s="971"/>
      <c r="AQ19" s="940"/>
      <c r="AR19" s="940"/>
    </row>
    <row s="543" customFormat="1" customHeight="1" ht="11.25" hidden="1">
      <c r="B20" s="401"/>
      <c r="E20" s="844"/>
      <c r="T20" s="937"/>
      <c r="U20" s="937"/>
      <c r="V20" s="937"/>
      <c r="W20" s="937"/>
      <c r="X20" s="937"/>
      <c r="Y20" s="937"/>
      <c r="Z20" s="937"/>
      <c r="AA20" s="937"/>
      <c r="AB20" s="937"/>
      <c r="AC20" s="937"/>
      <c r="AD20" s="968"/>
      <c r="AE20" s="968"/>
      <c r="AF20" s="968"/>
      <c r="AG20" s="968"/>
      <c r="AJ20" s="968"/>
      <c r="AM20" s="971"/>
      <c r="AN20" s="971"/>
      <c r="AO20" s="971"/>
      <c r="AP20" s="971"/>
      <c r="AQ20" s="940"/>
      <c r="AR20" s="940"/>
    </row>
    <row s="543" customFormat="1" customHeight="1" ht="14.625">
      <c r="B21" s="401"/>
      <c r="E21" s="844">
        <v>15</v>
      </c>
      <c r="T21" s="937"/>
      <c r="U21" s="937"/>
      <c r="V21" s="937"/>
      <c r="W21" s="937"/>
      <c r="X21" s="937"/>
      <c r="Y21" s="937"/>
      <c r="Z21" s="937"/>
      <c r="AA21" s="937"/>
      <c r="AB21" s="633"/>
      <c r="AC21" s="441"/>
      <c r="AD21" s="331" cm="1" t="str">
        <f t="array" ref="AD21:AD21">tpl_title</f>
        <v>Кемеровская область / 2026 / ОАО «СКЭК» (ИНН:4205153492, КПП:420501001) / ДПР: 2026-2026</v>
      </c>
      <c r="AE21" s="441"/>
      <c r="AF21" s="441"/>
      <c r="AG21" s="441"/>
      <c r="AJ21" s="441"/>
      <c r="AM21" s="971"/>
      <c r="AN21" s="971"/>
      <c r="AO21" s="971"/>
      <c r="AP21" s="971"/>
      <c r="AQ21" s="940"/>
      <c r="AR21" s="940"/>
    </row>
    <row customHeight="1" ht="20.475">
      <c r="E22" s="610">
        <v>21</v>
      </c>
      <c r="S22" s="0"/>
      <c r="AB22" s="0"/>
      <c r="AC22" s="1489" t="s">
        <v>36</v>
      </c>
      <c r="AD22" s="1490"/>
      <c r="AE22" s="1490"/>
      <c r="AF22" s="1490"/>
      <c r="AG22" s="1490"/>
      <c r="AH22" s="1490"/>
      <c r="AI22" s="1490"/>
      <c r="AJ22" s="1490"/>
    </row>
    <row customHeight="1" ht="8.775">
      <c r="E23" s="610">
        <v>9</v>
      </c>
      <c r="AB23" s="81"/>
      <c r="AC23" s="81"/>
      <c r="AD23" s="81"/>
      <c r="AE23" s="81"/>
      <c r="AF23" s="81"/>
      <c r="AG23" s="1507"/>
      <c r="AH23" s="1507"/>
      <c r="AI23" s="61"/>
      <c r="AJ23" s="61"/>
    </row>
    <row customHeight="1" ht="20.475">
      <c r="E24" s="610">
        <v>21</v>
      </c>
      <c r="AB24" s="81"/>
      <c r="AC24" s="1508" t="s">
        <v>21</v>
      </c>
      <c r="AD24" s="1508" t="s">
        <v>358</v>
      </c>
      <c r="AE24" s="1508" t="s">
        <v>359</v>
      </c>
      <c r="AF24" s="324" t="str">
        <f>god-2&amp;" год"</f>
        <v>2024 год</v>
      </c>
      <c r="AG24" s="58" t="str">
        <f>god-1&amp;" год"</f>
        <v>2025 год</v>
      </c>
      <c r="AH24" s="1096" t="str">
        <f>god&amp;" год"</f>
        <v>2026 год</v>
      </c>
      <c r="AI24" s="58" t="str">
        <f>god&amp;" год"</f>
        <v>2026 год</v>
      </c>
      <c r="AJ24" s="1509" t="s">
        <v>360</v>
      </c>
    </row>
    <row s="1363" customFormat="1" customHeight="1" ht="35.1">
      <c r="B25" s="400"/>
      <c r="E25" s="604">
        <v>36</v>
      </c>
      <c r="F25" s="88" t="s">
        <v>361</v>
      </c>
      <c r="AC25" s="1508"/>
      <c r="AD25" s="1508"/>
      <c r="AE25" s="1508"/>
      <c r="AF25" s="58" t="s">
        <v>351</v>
      </c>
      <c r="AG25" s="58" t="s">
        <v>351</v>
      </c>
      <c r="AH25" s="1096" t="s">
        <v>352</v>
      </c>
      <c r="AI25" s="58" t="s">
        <v>351</v>
      </c>
      <c r="AJ25" s="1510"/>
      <c r="AM25" s="974"/>
      <c r="AN25" s="974"/>
      <c r="AO25" s="974"/>
      <c r="AP25" s="974"/>
      <c r="AQ25" s="593"/>
      <c r="AR25" s="593"/>
    </row>
    <row s="1624" customFormat="1" customHeight="1" ht="11.25">
      <c r="B26" s="634"/>
      <c r="E26" s="611" t="s">
        <v>362</v>
      </c>
      <c r="F26" s="138"/>
      <c r="G26" s="138"/>
      <c r="T26" s="0" t="s">
        <v>363</v>
      </c>
      <c r="AD26" s="66"/>
      <c r="AE26" s="66"/>
      <c r="AF26" s="66"/>
      <c r="AG26" s="66"/>
      <c r="AM26" s="981"/>
      <c r="AN26" s="981"/>
      <c r="AO26" s="981"/>
      <c r="AP26" s="981"/>
      <c r="AQ26" s="599"/>
      <c r="AR26" s="984"/>
    </row>
    <row s="1363" customFormat="1" customHeight="1" ht="14.625" hidden="1">
      <c r="A27" s="1363"/>
      <c r="B27" s="400"/>
      <c r="C27" s="1363"/>
      <c r="D27" s="1363"/>
      <c r="E27" s="604">
        <v>15</v>
      </c>
      <c r="F27" s="88" cm="1" t="str">
        <f t="array" ref="F27:F27">Z27</f>
        <v>0</v>
      </c>
      <c r="G27" s="1363"/>
      <c r="H27" s="1363"/>
      <c r="I27" s="1363"/>
      <c r="J27" s="1363"/>
      <c r="K27" s="1363"/>
      <c r="L27" s="1363"/>
      <c r="M27" s="1363"/>
      <c r="N27" s="1363"/>
      <c r="O27" s="1363"/>
      <c r="P27" s="1363"/>
      <c r="Q27" s="1363"/>
      <c r="R27" s="1363"/>
      <c r="S27" s="1363"/>
      <c r="T27" s="1058" cm="1" t="str">
        <f t="array" ref="T27:T27">INDEX('Общие сведения'!$AE$179:$AE$208,MATCH($Z27,'Общие сведения'!$Z$179:$Z$208,0))</f>
        <v>0</v>
      </c>
      <c r="U27" s="1363"/>
      <c r="V27" s="438">
        <f>Z27&gt;0</f>
        <v>0</v>
      </c>
      <c r="W27" s="1363"/>
      <c r="X27" s="88" t="s">
        <v>267</v>
      </c>
      <c r="Y27" s="1363"/>
      <c r="Z27" s="1493">
        <v>0</v>
      </c>
      <c r="AA27" s="1494"/>
      <c r="AB27" s="1363"/>
      <c r="AC27" s="146" cm="1" t="str">
        <f t="array" ref="AC27:AC27">INDEX('Общие сведения'!$AG$179:$AG$208,MATCH($Z27,'Общие сведения'!$Z$179:$Z$208,0))</f>
        <v>Тариф 0 () - тариф на транспортировку сточных вод</v>
      </c>
      <c r="AD27" s="146"/>
      <c r="AE27" s="140"/>
      <c r="AF27" s="140"/>
      <c r="AG27" s="140"/>
      <c r="AH27" s="140"/>
      <c r="AI27" s="140"/>
      <c r="AJ27" s="140"/>
      <c r="AK27" s="1363"/>
      <c r="AL27" s="1363"/>
      <c r="AM27" s="974"/>
      <c r="AN27" s="974"/>
      <c r="AO27" s="974"/>
      <c r="AP27" s="974"/>
      <c r="AQ27" s="593"/>
      <c r="AR27" s="593"/>
      <c r="AS27" s="1363"/>
      <c r="AT27" s="1363"/>
      <c r="AU27" s="1363"/>
      <c r="AV27" s="1363"/>
      <c r="AW27" s="1363"/>
      <c r="AX27" s="1363"/>
      <c r="AY27" s="1363"/>
      <c r="AZ27" s="1363"/>
      <c r="BA27" s="1363"/>
      <c r="BB27" s="1363"/>
      <c r="BC27" s="1363"/>
      <c r="BD27" s="1363"/>
      <c r="BE27" s="1363"/>
    </row>
    <row s="1363" customFormat="1" customHeight="1" ht="14.625" hidden="1">
      <c r="A28" s="1363"/>
      <c r="B28" s="938">
        <f>AND(T27="Водоснабжение",method_reg&lt;&gt;"Метод сравнения аналогов")</f>
        <v>0</v>
      </c>
      <c r="C28" s="1363"/>
      <c r="D28" s="1363"/>
      <c r="E28" s="604">
        <v>15</v>
      </c>
      <c r="F28" s="109" cm="1" t="str">
        <f t="array" ref="F28:F28">OFFSET(E28,-1,1)</f>
        <v>0</v>
      </c>
      <c r="G28" s="457"/>
      <c r="H28" s="88" t="s">
        <v>321</v>
      </c>
      <c r="I28" s="88" t="s">
        <v>364</v>
      </c>
      <c r="J28" s="88" t="str">
        <f>AD28&amp;"::"&amp;AE28</f>
        <v>Водонасосные станции (водозаборные узлы)::ед.</v>
      </c>
      <c r="K28" s="90"/>
      <c r="L28" s="1363"/>
      <c r="M28" s="1363"/>
      <c r="N28" s="1363"/>
      <c r="O28" s="1363"/>
      <c r="P28" s="1363"/>
      <c r="Q28" s="1363"/>
      <c r="R28" s="1363"/>
      <c r="S28" s="1363"/>
      <c r="T28" s="1363"/>
      <c r="U28" s="1363"/>
      <c r="V28" s="438" cm="1" t="str">
        <f t="array" ref="V28:V28">V27</f>
        <v>false</v>
      </c>
      <c r="W28" s="1363"/>
      <c r="X28" s="1363"/>
      <c r="Y28" s="1363"/>
      <c r="Z28" s="1493"/>
      <c r="AA28" s="1494"/>
      <c r="AB28" s="1363"/>
      <c r="AC28" s="150">
        <v>1</v>
      </c>
      <c r="AD28" s="148" t="s">
        <v>365</v>
      </c>
      <c r="AE28" s="89" t="s">
        <v>366</v>
      </c>
      <c r="AF28" s="1789"/>
      <c r="AG28" s="1789"/>
      <c r="AH28" s="1789"/>
      <c r="AI28" s="1789"/>
      <c r="AJ28" s="1790"/>
      <c r="AK28" s="1363"/>
      <c r="AL28" s="1363"/>
      <c r="AM28" s="974" t="s">
        <v>367</v>
      </c>
      <c r="AN28" s="974"/>
      <c r="AO28" s="974"/>
      <c r="AP28" s="974"/>
      <c r="AQ28" s="593"/>
      <c r="AR28" s="593"/>
      <c r="AS28" s="1363"/>
      <c r="AT28" s="1363"/>
      <c r="AU28" s="1363"/>
      <c r="AV28" s="1363"/>
      <c r="AW28" s="1363"/>
      <c r="AX28" s="1363"/>
      <c r="AY28" s="1363"/>
      <c r="AZ28" s="1363"/>
      <c r="BA28" s="1363"/>
      <c r="BB28" s="1363"/>
      <c r="BC28" s="1363"/>
      <c r="BD28" s="1363"/>
      <c r="BE28" s="1363"/>
    </row>
    <row s="1363" customFormat="1" customHeight="1" ht="14.625" hidden="1">
      <c r="A29" s="1363"/>
      <c r="B29" s="938" cm="1" t="str">
        <f t="array" ref="B29:B29">B28</f>
        <v>false</v>
      </c>
      <c r="C29" s="1363"/>
      <c r="D29" s="1363"/>
      <c r="E29" s="604">
        <v>15</v>
      </c>
      <c r="F29" s="109" cm="1" t="str">
        <f t="array" ref="F29:F29">OFFSET(E29,-1,1)</f>
        <v>0</v>
      </c>
      <c r="G29" s="109"/>
      <c r="H29" s="88" t="s">
        <v>321</v>
      </c>
      <c r="I29" s="88" t="s">
        <v>364</v>
      </c>
      <c r="J29" s="88" t="str">
        <f>AD29&amp;"::"&amp;AE29</f>
        <v>Скважины::ед.</v>
      </c>
      <c r="K29" s="1363"/>
      <c r="L29" s="1363"/>
      <c r="M29" s="1363"/>
      <c r="N29" s="1363"/>
      <c r="O29" s="1363"/>
      <c r="P29" s="1363"/>
      <c r="Q29" s="1363"/>
      <c r="R29" s="1363"/>
      <c r="S29" s="1363"/>
      <c r="T29" s="1363"/>
      <c r="U29" s="1363"/>
      <c r="V29" s="438" cm="1" t="str">
        <f t="array" ref="V29:V29">V28</f>
        <v>false</v>
      </c>
      <c r="W29" s="1363"/>
      <c r="X29" s="1363"/>
      <c r="Y29" s="1363"/>
      <c r="Z29" s="1493"/>
      <c r="AA29" s="1494"/>
      <c r="AB29" s="1363"/>
      <c r="AC29" s="150">
        <v>2</v>
      </c>
      <c r="AD29" s="148" t="s">
        <v>368</v>
      </c>
      <c r="AE29" s="89" t="s">
        <v>366</v>
      </c>
      <c r="AF29" s="1789"/>
      <c r="AG29" s="1789"/>
      <c r="AH29" s="1789"/>
      <c r="AI29" s="1789"/>
      <c r="AJ29" s="1790"/>
      <c r="AK29" s="1363"/>
      <c r="AL29" s="1363"/>
      <c r="AM29" s="974" t="s">
        <v>369</v>
      </c>
      <c r="AN29" s="974"/>
      <c r="AO29" s="974"/>
      <c r="AP29" s="974"/>
      <c r="AQ29" s="593"/>
      <c r="AR29" s="593"/>
      <c r="AS29" s="1363"/>
      <c r="AT29" s="1363"/>
      <c r="AU29" s="1363"/>
      <c r="AV29" s="1363"/>
      <c r="AW29" s="1363"/>
      <c r="AX29" s="1363"/>
      <c r="AY29" s="1363"/>
      <c r="AZ29" s="1363"/>
      <c r="BA29" s="1363"/>
      <c r="BB29" s="1363"/>
      <c r="BC29" s="1363"/>
      <c r="BD29" s="1363"/>
      <c r="BE29" s="1363"/>
    </row>
    <row s="1363" customFormat="1" customHeight="1" ht="14.625" hidden="1">
      <c r="A30" s="1363"/>
      <c r="B30" s="938">
        <f>T27="Водоснабжение"</f>
        <v>0</v>
      </c>
      <c r="C30" s="1363"/>
      <c r="D30" s="1363"/>
      <c r="E30" s="604">
        <v>15</v>
      </c>
      <c r="F30" s="109" cm="1" t="str">
        <f t="array" ref="F30:F30">OFFSET(E30,-1,1)</f>
        <v>0</v>
      </c>
      <c r="G30" s="109" t="s">
        <v>50</v>
      </c>
      <c r="H30" s="88" t="s">
        <v>321</v>
      </c>
      <c r="I30" s="88" t="s">
        <v>364</v>
      </c>
      <c r="J30" s="88" t="str">
        <f>AD30&amp;"::"&amp;AE30</f>
        <v>Подкачивающие насосные станции::ед.</v>
      </c>
      <c r="K30" s="1363"/>
      <c r="L30" s="88" t="s">
        <v>50</v>
      </c>
      <c r="M30" s="1363"/>
      <c r="N30" s="1363"/>
      <c r="O30" s="1363"/>
      <c r="P30" s="1363"/>
      <c r="Q30" s="1363"/>
      <c r="R30" s="1363"/>
      <c r="S30" s="1363"/>
      <c r="T30" s="1363"/>
      <c r="U30" s="1363"/>
      <c r="V30" s="438" cm="1" t="str">
        <f t="array" ref="V30:V30">V29</f>
        <v>false</v>
      </c>
      <c r="W30" s="1363"/>
      <c r="X30" s="1363"/>
      <c r="Y30" s="1363"/>
      <c r="Z30" s="1493"/>
      <c r="AA30" s="1494"/>
      <c r="AB30" s="1363"/>
      <c r="AC30" s="150">
        <f>IF(B29,3,1)</f>
        <v>1</v>
      </c>
      <c r="AD30" s="148" t="s">
        <v>370</v>
      </c>
      <c r="AE30" s="89" t="s">
        <v>366</v>
      </c>
      <c r="AF30" s="1789"/>
      <c r="AG30" s="1789"/>
      <c r="AH30" s="1789"/>
      <c r="AI30" s="1789"/>
      <c r="AJ30" s="1790"/>
      <c r="AK30" s="1363"/>
      <c r="AL30" s="1363"/>
      <c r="AM30" s="974" t="s">
        <v>371</v>
      </c>
      <c r="AN30" s="974"/>
      <c r="AO30" s="974"/>
      <c r="AP30" s="974"/>
      <c r="AQ30" s="593"/>
      <c r="AR30" s="593"/>
      <c r="AS30" s="1363"/>
      <c r="AT30" s="1363"/>
      <c r="AU30" s="1363"/>
      <c r="AV30" s="1363"/>
      <c r="AW30" s="1363"/>
      <c r="AX30" s="1363"/>
      <c r="AY30" s="1363"/>
      <c r="AZ30" s="1363"/>
      <c r="BA30" s="1363"/>
      <c r="BB30" s="1363"/>
      <c r="BC30" s="1363"/>
      <c r="BD30" s="1363"/>
      <c r="BE30" s="1363"/>
    </row>
    <row s="1363" customFormat="1" customHeight="1" ht="14.625" hidden="1">
      <c r="A31" s="1363"/>
      <c r="B31" s="938" cm="1" t="str">
        <f t="array" ref="B31:B31">B29</f>
        <v>false</v>
      </c>
      <c r="C31" s="1363"/>
      <c r="D31" s="1363"/>
      <c r="E31" s="604">
        <v>15</v>
      </c>
      <c r="F31" s="109" cm="1" t="str">
        <f t="array" ref="F31:F31">OFFSET(E31,-1,1)</f>
        <v>0</v>
      </c>
      <c r="G31" s="109"/>
      <c r="H31" s="88" t="s">
        <v>321</v>
      </c>
      <c r="I31" s="88" t="s">
        <v>364</v>
      </c>
      <c r="J31" s="88" t="str">
        <f>AD31&amp;"::"&amp;AE31</f>
        <v>Водонапорные башни::ед.</v>
      </c>
      <c r="K31" s="1363"/>
      <c r="L31" s="1363"/>
      <c r="M31" s="1363"/>
      <c r="N31" s="1363"/>
      <c r="O31" s="1363"/>
      <c r="P31" s="1363"/>
      <c r="Q31" s="1363"/>
      <c r="R31" s="1363"/>
      <c r="S31" s="1363"/>
      <c r="T31" s="1363"/>
      <c r="U31" s="1363"/>
      <c r="V31" s="438" cm="1" t="str">
        <f t="array" ref="V31:V31">V30</f>
        <v>false</v>
      </c>
      <c r="W31" s="1363"/>
      <c r="X31" s="1363"/>
      <c r="Y31" s="1363"/>
      <c r="Z31" s="1493"/>
      <c r="AA31" s="1494"/>
      <c r="AB31" s="1363"/>
      <c r="AC31" s="150">
        <v>4</v>
      </c>
      <c r="AD31" s="148" t="s">
        <v>372</v>
      </c>
      <c r="AE31" s="89" t="s">
        <v>366</v>
      </c>
      <c r="AF31" s="1789"/>
      <c r="AG31" s="1789"/>
      <c r="AH31" s="1789"/>
      <c r="AI31" s="1789"/>
      <c r="AJ31" s="1790"/>
      <c r="AK31" s="1363"/>
      <c r="AL31" s="1363"/>
      <c r="AM31" s="974" t="s">
        <v>373</v>
      </c>
      <c r="AN31" s="974"/>
      <c r="AO31" s="974"/>
      <c r="AP31" s="974"/>
      <c r="AQ31" s="593"/>
      <c r="AR31" s="593"/>
      <c r="AS31" s="1363"/>
      <c r="AT31" s="1363"/>
      <c r="AU31" s="1363"/>
      <c r="AV31" s="1363"/>
      <c r="AW31" s="1363"/>
      <c r="AX31" s="1363"/>
      <c r="AY31" s="1363"/>
      <c r="AZ31" s="1363"/>
      <c r="BA31" s="1363"/>
      <c r="BB31" s="1363"/>
      <c r="BC31" s="1363"/>
      <c r="BD31" s="1363"/>
      <c r="BE31" s="1363"/>
    </row>
    <row s="1363" customFormat="1" customHeight="1" ht="14.625" hidden="1">
      <c r="A32" s="1363"/>
      <c r="B32" s="938">
        <f>T27="Водоснабжение"</f>
        <v>0</v>
      </c>
      <c r="C32" s="1363"/>
      <c r="D32" s="1363"/>
      <c r="E32" s="604">
        <v>15</v>
      </c>
      <c r="F32" s="109" cm="1" t="str">
        <f t="array" ref="F32:F32">OFFSET(E32,-1,1)</f>
        <v>0</v>
      </c>
      <c r="G32" s="109"/>
      <c r="H32" s="88" t="s">
        <v>321</v>
      </c>
      <c r="I32" s="88" t="s">
        <v>364</v>
      </c>
      <c r="J32" s="88" t="str">
        <f>AD32&amp;"::"&amp;AE32</f>
        <v>Водопроводные сети::км</v>
      </c>
      <c r="K32" s="1363"/>
      <c r="L32" s="1363"/>
      <c r="M32" s="1363"/>
      <c r="N32" s="1363"/>
      <c r="O32" s="1363"/>
      <c r="P32" s="88" t="s">
        <v>374</v>
      </c>
      <c r="Q32" s="88" t="s">
        <v>375</v>
      </c>
      <c r="R32" s="1363"/>
      <c r="S32" s="1363"/>
      <c r="T32" s="1363"/>
      <c r="U32" s="1363"/>
      <c r="V32" s="438" cm="1" t="str">
        <f t="array" ref="V32:V32">V31</f>
        <v>false</v>
      </c>
      <c r="W32" s="1363"/>
      <c r="X32" s="1363"/>
      <c r="Y32" s="1363"/>
      <c r="Z32" s="1493"/>
      <c r="AA32" s="1494"/>
      <c r="AB32" s="1363"/>
      <c r="AC32" s="150">
        <f>IF(B29,5,2)</f>
        <v>2</v>
      </c>
      <c r="AD32" s="148" t="s">
        <v>376</v>
      </c>
      <c r="AE32" s="89" t="s">
        <v>377</v>
      </c>
      <c r="AF32" s="1791"/>
      <c r="AG32" s="1791"/>
      <c r="AH32" s="1792">
        <f>_xlfn.SUMIFS('Условные метры'!$AK$29:$AK$36,'Условные метры'!$F$29:$F$36,$F32,'Условные метры'!$G$29:$G$36,"Итог")</f>
        <v>0</v>
      </c>
      <c r="AI32" s="1792">
        <f>_xlfn.SUMIFS('Условные метры'!$AM$29:$AM$36,'Условные метры'!$F$29:$F$36,$F32,'Условные метры'!$G$29:$G$36,"Итог")</f>
        <v>0</v>
      </c>
      <c r="AJ32" s="1790"/>
      <c r="AK32" s="1363"/>
      <c r="AL32" s="1363"/>
      <c r="AM32" s="974" t="s">
        <v>378</v>
      </c>
      <c r="AN32" s="974"/>
      <c r="AO32" s="974"/>
      <c r="AP32" s="974"/>
      <c r="AQ32" s="593"/>
      <c r="AR32" s="593"/>
      <c r="AS32" s="1363"/>
      <c r="AT32" s="1363"/>
      <c r="AU32" s="1363"/>
      <c r="AV32" s="1363"/>
      <c r="AW32" s="1363"/>
      <c r="AX32" s="1363"/>
      <c r="AY32" s="1363"/>
      <c r="AZ32" s="1363"/>
      <c r="BA32" s="1363"/>
      <c r="BB32" s="1363"/>
      <c r="BC32" s="1363"/>
      <c r="BD32" s="1363"/>
      <c r="BE32" s="1363"/>
    </row>
    <row s="1363" customFormat="1" customHeight="1" ht="14.625" hidden="1">
      <c r="A33" s="1363"/>
      <c r="B33" s="938">
        <f>AND(T27="Водоотведение",method_reg&lt;&gt;"Метод сравнения аналогов")</f>
        <v>0</v>
      </c>
      <c r="C33" s="1363"/>
      <c r="D33" s="1363"/>
      <c r="E33" s="604">
        <v>15</v>
      </c>
      <c r="F33" s="109" cm="1" t="str">
        <f t="array" ref="F33:F33">OFFSET(E33,-1,1)</f>
        <v>0</v>
      </c>
      <c r="G33" s="457"/>
      <c r="H33" s="88" t="s">
        <v>321</v>
      </c>
      <c r="I33" s="88" t="s">
        <v>364</v>
      </c>
      <c r="J33" s="88" t="str">
        <f>AD33&amp;"::"&amp;AE33</f>
        <v>Биологические очистные сооружения::ед.</v>
      </c>
      <c r="K33" s="90"/>
      <c r="L33" s="1363"/>
      <c r="M33" s="1363"/>
      <c r="N33" s="1363"/>
      <c r="O33" s="1363"/>
      <c r="P33" s="1363"/>
      <c r="Q33" s="1363"/>
      <c r="R33" s="1363"/>
      <c r="S33" s="1363"/>
      <c r="T33" s="1363"/>
      <c r="U33" s="1363"/>
      <c r="V33" s="438" cm="1" t="str">
        <f t="array" ref="V33:V33">V32</f>
        <v>false</v>
      </c>
      <c r="W33" s="1363"/>
      <c r="X33" s="1363"/>
      <c r="Y33" s="1363"/>
      <c r="Z33" s="1493"/>
      <c r="AA33" s="1494"/>
      <c r="AB33" s="1363"/>
      <c r="AC33" s="150">
        <v>1</v>
      </c>
      <c r="AD33" s="148" t="s">
        <v>379</v>
      </c>
      <c r="AE33" s="89" t="s">
        <v>366</v>
      </c>
      <c r="AF33" s="1789"/>
      <c r="AG33" s="1789"/>
      <c r="AH33" s="1789"/>
      <c r="AI33" s="1789"/>
      <c r="AJ33" s="1790"/>
      <c r="AK33" s="1363"/>
      <c r="AL33" s="1363"/>
      <c r="AM33" s="974" t="s">
        <v>380</v>
      </c>
      <c r="AN33" s="974"/>
      <c r="AO33" s="974"/>
      <c r="AP33" s="974"/>
      <c r="AQ33" s="593"/>
      <c r="AR33" s="593"/>
      <c r="AS33" s="1363"/>
      <c r="AT33" s="1363"/>
      <c r="AU33" s="1363"/>
      <c r="AV33" s="1363"/>
      <c r="AW33" s="1363"/>
      <c r="AX33" s="1363"/>
      <c r="AY33" s="1363"/>
      <c r="AZ33" s="1363"/>
      <c r="BA33" s="1363"/>
      <c r="BB33" s="1363"/>
      <c r="BC33" s="1363"/>
      <c r="BD33" s="1363"/>
      <c r="BE33" s="1363"/>
    </row>
    <row s="1363" customFormat="1" customHeight="1" ht="14.625" hidden="1">
      <c r="A34" s="1363"/>
      <c r="B34" s="938">
        <f>T27="Водоотведение"</f>
        <v>0</v>
      </c>
      <c r="C34" s="1363"/>
      <c r="D34" s="1363"/>
      <c r="E34" s="604">
        <v>15</v>
      </c>
      <c r="F34" s="109" cm="1" t="str">
        <f t="array" ref="F34:F34">OFFSET(E34,-1,1)</f>
        <v>0</v>
      </c>
      <c r="G34" s="109" t="s">
        <v>50</v>
      </c>
      <c r="H34" s="88" t="s">
        <v>321</v>
      </c>
      <c r="I34" s="88" t="s">
        <v>364</v>
      </c>
      <c r="J34" s="88" t="str">
        <f>AD34&amp;"::"&amp;AE34</f>
        <v>Канализационные насосные станции::ед.</v>
      </c>
      <c r="K34" s="1363"/>
      <c r="L34" s="1363"/>
      <c r="M34" s="1363"/>
      <c r="N34" s="1363"/>
      <c r="O34" s="1363"/>
      <c r="P34" s="1363"/>
      <c r="Q34" s="1363"/>
      <c r="R34" s="1363"/>
      <c r="S34" s="1363"/>
      <c r="T34" s="1363"/>
      <c r="U34" s="1363"/>
      <c r="V34" s="438" cm="1" t="str">
        <f t="array" ref="V34:V34">V33</f>
        <v>false</v>
      </c>
      <c r="W34" s="1363"/>
      <c r="X34" s="1363"/>
      <c r="Y34" s="1363"/>
      <c r="Z34" s="1493"/>
      <c r="AA34" s="1494"/>
      <c r="AB34" s="1363"/>
      <c r="AC34" s="150">
        <f>IF(B33,2,1)</f>
        <v>1</v>
      </c>
      <c r="AD34" s="148" t="s">
        <v>381</v>
      </c>
      <c r="AE34" s="89" t="s">
        <v>366</v>
      </c>
      <c r="AF34" s="1789"/>
      <c r="AG34" s="1789"/>
      <c r="AH34" s="1789"/>
      <c r="AI34" s="1789"/>
      <c r="AJ34" s="1790"/>
      <c r="AK34" s="1363"/>
      <c r="AL34" s="1363"/>
      <c r="AM34" s="974" t="s">
        <v>382</v>
      </c>
      <c r="AN34" s="974"/>
      <c r="AO34" s="974"/>
      <c r="AP34" s="974"/>
      <c r="AQ34" s="593"/>
      <c r="AR34" s="593"/>
      <c r="AS34" s="1363"/>
      <c r="AT34" s="1363"/>
      <c r="AU34" s="1363"/>
      <c r="AV34" s="1363"/>
      <c r="AW34" s="1363"/>
      <c r="AX34" s="1363"/>
      <c r="AY34" s="1363"/>
      <c r="AZ34" s="1363"/>
      <c r="BA34" s="1363"/>
      <c r="BB34" s="1363"/>
      <c r="BC34" s="1363"/>
      <c r="BD34" s="1363"/>
      <c r="BE34" s="1363"/>
    </row>
    <row s="1363" customFormat="1" customHeight="1" ht="14.625" hidden="1">
      <c r="A35" s="1363"/>
      <c r="B35" s="938" cm="1" t="str">
        <f t="array" ref="B35:B35">B34</f>
        <v>false</v>
      </c>
      <c r="C35" s="1363"/>
      <c r="D35" s="1363"/>
      <c r="E35" s="604">
        <v>15</v>
      </c>
      <c r="F35" s="109" cm="1" t="str">
        <f t="array" ref="F35:F35">OFFSET(E35,-1,1)</f>
        <v>0</v>
      </c>
      <c r="G35" s="109"/>
      <c r="H35" s="88" t="s">
        <v>321</v>
      </c>
      <c r="I35" s="88" t="s">
        <v>364</v>
      </c>
      <c r="J35" s="88" t="str">
        <f>AD35&amp;"::"&amp;AE35</f>
        <v>Канализационные сети::км</v>
      </c>
      <c r="K35" s="1363"/>
      <c r="L35" s="88" t="s">
        <v>50</v>
      </c>
      <c r="M35" s="1363"/>
      <c r="N35" s="1363"/>
      <c r="O35" s="1363"/>
      <c r="P35" s="88" t="s">
        <v>374</v>
      </c>
      <c r="Q35" s="88" t="s">
        <v>375</v>
      </c>
      <c r="R35" s="1363"/>
      <c r="S35" s="1363"/>
      <c r="T35" s="1363"/>
      <c r="U35" s="1363"/>
      <c r="V35" s="438" cm="1" t="str">
        <f t="array" ref="V35:V35">V34</f>
        <v>false</v>
      </c>
      <c r="W35" s="1363"/>
      <c r="X35" s="1363"/>
      <c r="Y35" s="1363"/>
      <c r="Z35" s="1493"/>
      <c r="AA35" s="1494"/>
      <c r="AB35" s="1363"/>
      <c r="AC35" s="150">
        <f>AC34+1</f>
        <v>2</v>
      </c>
      <c r="AD35" s="148" t="s">
        <v>383</v>
      </c>
      <c r="AE35" s="89" t="s">
        <v>377</v>
      </c>
      <c r="AF35" s="1791"/>
      <c r="AG35" s="1791"/>
      <c r="AH35" s="1792">
        <f>_xlfn.SUMIFS('Условные метры'!$AK$29:$AK$36,'Условные метры'!$F$29:$F$36,$F35,'Условные метры'!$G$29:$G$36,"Итог")</f>
        <v>0</v>
      </c>
      <c r="AI35" s="1792">
        <f>_xlfn.SUMIFS('Условные метры'!$AM$29:$AM$36,'Условные метры'!$F$29:$F$36,$F35,'Условные метры'!$G$29:$G$36,"Итог")</f>
        <v>0</v>
      </c>
      <c r="AJ35" s="1790"/>
      <c r="AK35" s="1363"/>
      <c r="AL35" s="1363"/>
      <c r="AM35" s="974" t="s">
        <v>384</v>
      </c>
      <c r="AN35" s="974"/>
      <c r="AO35" s="974"/>
      <c r="AP35" s="974"/>
      <c r="AQ35" s="593"/>
      <c r="AR35" s="593"/>
      <c r="AS35" s="1363"/>
      <c r="AT35" s="1363"/>
      <c r="AU35" s="1363"/>
      <c r="AV35" s="1363"/>
      <c r="AW35" s="1363"/>
      <c r="AX35" s="1363"/>
      <c r="AY35" s="1363"/>
      <c r="AZ35" s="1363"/>
      <c r="BA35" s="1363"/>
      <c r="BB35" s="1363"/>
      <c r="BC35" s="1363"/>
      <c r="BD35" s="1363"/>
      <c r="BE35" s="1363"/>
    </row>
    <row s="998" customFormat="1" customHeight="1" ht="14.625" hidden="1">
      <c r="A36" s="998"/>
      <c r="B36" s="400"/>
      <c r="C36" s="998"/>
      <c r="D36" s="998"/>
      <c r="E36" s="612">
        <v>15</v>
      </c>
      <c r="F36" s="109" cm="1" t="str">
        <f t="array" ref="F36:F36">OFFSET(E36,-1,1)</f>
        <v>0</v>
      </c>
      <c r="G36" s="109"/>
      <c r="H36" s="90" t="s">
        <v>321</v>
      </c>
      <c r="I36" s="90" t="s">
        <v>364</v>
      </c>
      <c r="J36" s="90" t="str">
        <f>AD36&amp;"::"&amp;AE36</f>
        <v>::</v>
      </c>
      <c r="K36" s="998"/>
      <c r="L36" s="998"/>
      <c r="M36" s="998"/>
      <c r="N36" s="998"/>
      <c r="O36" s="998"/>
      <c r="P36" s="998"/>
      <c r="Q36" s="998"/>
      <c r="R36" s="998"/>
      <c r="S36" s="998"/>
      <c r="T36" s="998"/>
      <c r="U36" s="88">
        <v>0</v>
      </c>
      <c r="V36" s="438">
        <f>AND(F36&gt;0,U36&gt;0)</f>
        <v>0</v>
      </c>
      <c r="W36" s="998"/>
      <c r="X36" s="998"/>
      <c r="Y36" s="733" t="s">
        <v>172</v>
      </c>
      <c r="Z36" s="1493"/>
      <c r="AA36" s="1494"/>
      <c r="AB36" s="392" t="s">
        <v>173</v>
      </c>
      <c r="AC36" s="150">
        <f>IF(OFFSET(C36,-8-U36,-1),5,IF(OFFSET(C36,-3-U36,-1),3,2))+U36</f>
        <v>2</v>
      </c>
      <c r="AD36" s="1795"/>
      <c r="AE36" s="1796"/>
      <c r="AF36" s="1797"/>
      <c r="AG36" s="1797"/>
      <c r="AH36" s="1797"/>
      <c r="AI36" s="1797"/>
      <c r="AJ36" s="1798"/>
      <c r="AK36" s="998"/>
      <c r="AL36" s="998"/>
      <c r="AM36" s="982" t="s">
        <v>385</v>
      </c>
      <c r="AN36" s="982" t="s">
        <v>386</v>
      </c>
      <c r="AO36" s="985" cm="1" t="str">
        <f t="array" ref="AO36:AO36">AD36</f>
        <v>0</v>
      </c>
      <c r="AP36" s="985" cm="1" t="str">
        <f t="array" ref="AP36:AP36">AE36</f>
        <v>0</v>
      </c>
      <c r="AQ36" s="668"/>
      <c r="AR36" s="668" t="b">
        <v>1</v>
      </c>
      <c r="AS36" s="998"/>
      <c r="AT36" s="998"/>
      <c r="AU36" s="998"/>
      <c r="AV36" s="998"/>
      <c r="AW36" s="998"/>
      <c r="AX36" s="998"/>
      <c r="AY36" s="998"/>
      <c r="AZ36" s="998"/>
      <c r="BA36" s="998"/>
      <c r="BB36" s="998"/>
      <c r="BC36" s="998"/>
      <c r="BD36" s="998"/>
      <c r="BE36" s="998"/>
    </row>
    <row s="1363" customFormat="1" customHeight="1" ht="14.625" hidden="1">
      <c r="A37" s="1363"/>
      <c r="B37" s="400"/>
      <c r="C37" s="1363"/>
      <c r="D37" s="1363"/>
      <c r="E37" s="604">
        <v>15</v>
      </c>
      <c r="F37" s="109" cm="1" t="str">
        <f t="array" ref="F37:F37">OFFSET(E37,-1,1)</f>
        <v>0</v>
      </c>
      <c r="G37" s="109"/>
      <c r="H37" s="1363"/>
      <c r="I37" s="1363"/>
      <c r="J37" s="87" t="s">
        <v>387</v>
      </c>
      <c r="K37" s="1363"/>
      <c r="L37" s="1363"/>
      <c r="M37" s="1363"/>
      <c r="N37" s="1363"/>
      <c r="O37" s="1363"/>
      <c r="P37" s="1363"/>
      <c r="Q37" s="1363"/>
      <c r="R37" s="1363"/>
      <c r="S37" s="1363"/>
      <c r="T37" s="1363"/>
      <c r="U37" s="1363"/>
      <c r="V37" s="438" cm="1" t="str">
        <f t="array" ref="V37:V37">V35</f>
        <v>false</v>
      </c>
      <c r="W37" s="1363"/>
      <c r="X37" s="1363"/>
      <c r="Y37" s="733" t="s">
        <v>388</v>
      </c>
      <c r="Z37" s="1493"/>
      <c r="AA37" s="1494"/>
      <c r="AB37" s="1363"/>
      <c r="AC37" s="141"/>
      <c r="AD37" s="274" t="s">
        <v>176</v>
      </c>
      <c r="AE37" s="142"/>
      <c r="AF37" s="142"/>
      <c r="AG37" s="142"/>
      <c r="AH37" s="142"/>
      <c r="AI37" s="142"/>
      <c r="AJ37" s="153"/>
      <c r="AK37" s="1363"/>
      <c r="AL37" s="1363"/>
      <c r="AM37" s="974"/>
      <c r="AN37" s="974"/>
      <c r="AO37" s="974"/>
      <c r="AP37" s="974"/>
      <c r="AQ37" s="593" t="s">
        <v>386</v>
      </c>
      <c r="AR37" s="593"/>
      <c r="AS37" s="1363"/>
      <c r="AT37" s="1363"/>
      <c r="AU37" s="1363"/>
      <c r="AV37" s="1363"/>
      <c r="AW37" s="1363"/>
      <c r="AX37" s="1363"/>
      <c r="AY37" s="1363"/>
      <c r="AZ37" s="1363"/>
      <c r="BA37" s="1363"/>
      <c r="BB37" s="1363"/>
      <c r="BC37" s="1363"/>
      <c r="BD37" s="1363"/>
      <c r="BE37" s="1363"/>
    </row>
    <row s="1363" customFormat="1" customHeight="1" ht="14.625" hidden="1">
      <c r="A38" s="1363"/>
      <c r="B38" s="400"/>
      <c r="C38" s="1363"/>
      <c r="D38" s="1363"/>
      <c r="E38" s="604">
        <v>15</v>
      </c>
      <c r="F38" s="109" cm="1" t="str">
        <f t="array" ref="F38:F38">OFFSET(E38,-1,1)</f>
        <v>0</v>
      </c>
      <c r="G38" s="109"/>
      <c r="H38" s="88" t="s">
        <v>322</v>
      </c>
      <c r="I38" s="88" t="s">
        <v>364</v>
      </c>
      <c r="J38" s="335" cm="1" t="str">
        <f t="array" ref="J38:J38">AD38</f>
        <v>Краткое описание технологического процесса</v>
      </c>
      <c r="K38" s="1363"/>
      <c r="L38" s="1363"/>
      <c r="M38" s="1363"/>
      <c r="N38" s="1363"/>
      <c r="O38" s="1363"/>
      <c r="P38" s="1363"/>
      <c r="Q38" s="1363"/>
      <c r="R38" s="1363"/>
      <c r="S38" s="1363"/>
      <c r="T38" s="1363"/>
      <c r="U38" s="1363"/>
      <c r="V38" s="438" cm="1" t="str">
        <f t="array" ref="V38:V38">V37</f>
        <v>false</v>
      </c>
      <c r="W38" s="1363"/>
      <c r="X38" s="1363"/>
      <c r="Y38" s="1363"/>
      <c r="Z38" s="1493"/>
      <c r="AA38" s="1494"/>
      <c r="AB38" s="1363"/>
      <c r="AC38" s="150"/>
      <c r="AD38" s="148" t="s">
        <v>389</v>
      </c>
      <c r="AE38" s="89"/>
      <c r="AF38" s="1806"/>
      <c r="AG38" s="1807"/>
      <c r="AH38" s="1807"/>
      <c r="AI38" s="1807"/>
      <c r="AJ38" s="1808"/>
      <c r="AK38" s="1363"/>
      <c r="AL38" s="1363"/>
      <c r="AM38" s="974" t="s">
        <v>390</v>
      </c>
      <c r="AN38" s="974"/>
      <c r="AO38" s="974"/>
      <c r="AP38" s="974"/>
      <c r="AQ38" s="593"/>
      <c r="AR38" s="593"/>
      <c r="AS38" s="1363"/>
      <c r="AT38" s="1363"/>
      <c r="AU38" s="1363"/>
      <c r="AV38" s="1363"/>
      <c r="AW38" s="1363"/>
      <c r="AX38" s="1363"/>
      <c r="AY38" s="1363"/>
      <c r="AZ38" s="1363"/>
      <c r="BA38" s="1363"/>
      <c r="BB38" s="1363"/>
      <c r="BC38" s="1363"/>
      <c r="BD38" s="1363"/>
      <c r="BE38" s="1363"/>
    </row>
    <row s="511" customFormat="1" customHeight="1" ht="21.85155487060547">
      <c r="A39" s="1363"/>
      <c r="B39" s="400"/>
      <c r="C39" s="1363"/>
      <c r="D39" s="1363"/>
      <c r="E39" s="604">
        <v>15</v>
      </c>
      <c r="F39" s="88" cm="1" t="str">
        <f t="array" ref="F39:F39">Z39</f>
        <v>1</v>
      </c>
      <c r="G39" s="1363"/>
      <c r="H39" s="1363"/>
      <c r="I39" s="1363"/>
      <c r="J39" s="1363"/>
      <c r="K39" s="1363"/>
      <c r="L39" s="1363"/>
      <c r="M39" s="1363"/>
      <c r="N39" s="1363"/>
      <c r="O39" s="1363"/>
      <c r="P39" s="1363"/>
      <c r="Q39" s="1363"/>
      <c r="R39" s="1363"/>
      <c r="S39" s="1363"/>
      <c r="T39" s="1058" cm="1" t="str">
        <f t="array" ref="T39:T39">INDEX('Общие сведения'!$AE$179:$AE$208,MATCH($Z39,'Общие сведения'!$Z$179:$Z$208,0))</f>
        <v>Водоотведение</v>
      </c>
      <c r="U39" s="1363"/>
      <c r="V39" s="438">
        <f>Z39&gt;0</f>
        <v>1</v>
      </c>
      <c r="W39" s="1363"/>
      <c r="X39" s="88" cm="1" t="str">
        <f t="array" ref="X39:X39">'Список территорий'!$AB$29</f>
        <v>Тариф 1 (Водоотведение) - тариф на транспортировку сточных вод</v>
      </c>
      <c r="Y39" s="1363"/>
      <c r="Z39" s="1493" t="s">
        <v>281</v>
      </c>
      <c r="AA39" s="1494"/>
      <c r="AB39" s="1363"/>
      <c r="AC39" s="146" cm="1" t="str">
        <f t="array" ref="AC39:AC39">'Список территорий'!$AB$29</f>
        <v>Тариф 1 (Водоотведение) - тариф на транспортировку сточных вод</v>
      </c>
      <c r="AD39" s="146"/>
      <c r="AE39" s="140"/>
      <c r="AF39" s="140"/>
      <c r="AG39" s="140"/>
      <c r="AH39" s="140"/>
      <c r="AI39" s="140"/>
      <c r="AJ39" s="140"/>
      <c r="AK39" s="1363"/>
      <c r="AL39" s="1363"/>
      <c r="AM39" s="974"/>
      <c r="AN39" s="974"/>
      <c r="AO39" s="974"/>
      <c r="AP39" s="974"/>
      <c r="AQ39" s="593"/>
      <c r="AR39" s="593"/>
      <c r="AS39" s="1363"/>
      <c r="AT39" s="1363"/>
      <c r="AU39" s="1363"/>
      <c r="AV39" s="1363"/>
      <c r="AW39" s="1363"/>
      <c r="AX39" s="1363"/>
      <c r="AY39" s="1363"/>
      <c r="AZ39" s="1363"/>
      <c r="BA39" s="1363"/>
      <c r="BB39" s="1363"/>
      <c r="BC39" s="1363"/>
      <c r="BD39" s="1363"/>
      <c r="BE39" s="1363"/>
    </row>
    <row s="511" customFormat="1" customHeight="1" ht="14.25" hidden="1">
      <c r="A40" s="1363"/>
      <c r="B40" s="938">
        <f>AND(T39="Водоснабжение",method_reg&lt;&gt;"Метод сравнения аналогов")</f>
        <v>0</v>
      </c>
      <c r="C40" s="1363"/>
      <c r="D40" s="1363"/>
      <c r="E40" s="604">
        <v>15</v>
      </c>
      <c r="F40" s="109" cm="1" t="str">
        <f t="array" ref="F40:F40">OFFSET(E40,-1,1)</f>
        <v>1</v>
      </c>
      <c r="G40" s="457"/>
      <c r="H40" s="88" t="s">
        <v>321</v>
      </c>
      <c r="I40" s="88" t="s">
        <v>364</v>
      </c>
      <c r="J40" s="88" t="str">
        <f>AD40&amp;"::"&amp;AE40</f>
        <v>Водонасосные станции (водозаборные узлы)::ед.</v>
      </c>
      <c r="K40" s="90"/>
      <c r="L40" s="1363"/>
      <c r="M40" s="1363"/>
      <c r="N40" s="1363"/>
      <c r="O40" s="1363"/>
      <c r="P40" s="1363"/>
      <c r="Q40" s="1363"/>
      <c r="R40" s="1363"/>
      <c r="S40" s="1363"/>
      <c r="T40" s="1363"/>
      <c r="U40" s="1363"/>
      <c r="V40" s="438" cm="1" t="str">
        <f t="array" ref="V40:V40">V39</f>
        <v>true</v>
      </c>
      <c r="W40" s="1363"/>
      <c r="X40" s="1363"/>
      <c r="Y40" s="1363"/>
      <c r="Z40" s="1493"/>
      <c r="AA40" s="1494"/>
      <c r="AB40" s="1363"/>
      <c r="AC40" s="150">
        <v>1</v>
      </c>
      <c r="AD40" s="148" t="s">
        <v>365</v>
      </c>
      <c r="AE40" s="89" t="s">
        <v>366</v>
      </c>
      <c r="AF40" s="1789"/>
      <c r="AG40" s="1789"/>
      <c r="AH40" s="1789"/>
      <c r="AI40" s="1789"/>
      <c r="AJ40" s="1790"/>
      <c r="AK40" s="1363"/>
      <c r="AL40" s="1363"/>
      <c r="AM40" s="974" t="s">
        <v>367</v>
      </c>
      <c r="AN40" s="974"/>
      <c r="AO40" s="974"/>
      <c r="AP40" s="974"/>
      <c r="AQ40" s="593"/>
      <c r="AR40" s="593"/>
      <c r="AS40" s="1363"/>
      <c r="AT40" s="1363"/>
      <c r="AU40" s="1363"/>
      <c r="AV40" s="1363"/>
      <c r="AW40" s="1363"/>
      <c r="AX40" s="1363"/>
      <c r="AY40" s="1363"/>
      <c r="AZ40" s="1363"/>
      <c r="BA40" s="1363"/>
      <c r="BB40" s="1363"/>
      <c r="BC40" s="1363"/>
      <c r="BD40" s="1363"/>
      <c r="BE40" s="1363"/>
    </row>
    <row s="511" customFormat="1" customHeight="1" ht="14.25" hidden="1">
      <c r="A41" s="1363"/>
      <c r="B41" s="938" cm="1" t="str">
        <f t="array" ref="B41:B41">B40</f>
        <v>false</v>
      </c>
      <c r="C41" s="1363"/>
      <c r="D41" s="1363"/>
      <c r="E41" s="604">
        <v>15</v>
      </c>
      <c r="F41" s="109" cm="1" t="str">
        <f t="array" ref="F41:F41">OFFSET(E41,-1,1)</f>
        <v>1</v>
      </c>
      <c r="G41" s="109"/>
      <c r="H41" s="88" t="s">
        <v>321</v>
      </c>
      <c r="I41" s="88" t="s">
        <v>364</v>
      </c>
      <c r="J41" s="88" t="str">
        <f>AD41&amp;"::"&amp;AE41</f>
        <v>Скважины::ед.</v>
      </c>
      <c r="K41" s="1363"/>
      <c r="L41" s="1363"/>
      <c r="M41" s="1363"/>
      <c r="N41" s="1363"/>
      <c r="O41" s="1363"/>
      <c r="P41" s="1363"/>
      <c r="Q41" s="1363"/>
      <c r="R41" s="1363"/>
      <c r="S41" s="1363"/>
      <c r="T41" s="1363"/>
      <c r="U41" s="1363"/>
      <c r="V41" s="438" cm="1" t="str">
        <f t="array" ref="V41:V41">V40</f>
        <v>true</v>
      </c>
      <c r="W41" s="1363"/>
      <c r="X41" s="1363"/>
      <c r="Y41" s="1363"/>
      <c r="Z41" s="1493"/>
      <c r="AA41" s="1494"/>
      <c r="AB41" s="1363"/>
      <c r="AC41" s="150">
        <v>2</v>
      </c>
      <c r="AD41" s="148" t="s">
        <v>368</v>
      </c>
      <c r="AE41" s="89" t="s">
        <v>366</v>
      </c>
      <c r="AF41" s="1789"/>
      <c r="AG41" s="1789"/>
      <c r="AH41" s="1789"/>
      <c r="AI41" s="1789"/>
      <c r="AJ41" s="1790"/>
      <c r="AK41" s="1363"/>
      <c r="AL41" s="1363"/>
      <c r="AM41" s="974" t="s">
        <v>369</v>
      </c>
      <c r="AN41" s="974"/>
      <c r="AO41" s="974"/>
      <c r="AP41" s="974"/>
      <c r="AQ41" s="593"/>
      <c r="AR41" s="593"/>
      <c r="AS41" s="1363"/>
      <c r="AT41" s="1363"/>
      <c r="AU41" s="1363"/>
      <c r="AV41" s="1363"/>
      <c r="AW41" s="1363"/>
      <c r="AX41" s="1363"/>
      <c r="AY41" s="1363"/>
      <c r="AZ41" s="1363"/>
      <c r="BA41" s="1363"/>
      <c r="BB41" s="1363"/>
      <c r="BC41" s="1363"/>
      <c r="BD41" s="1363"/>
      <c r="BE41" s="1363"/>
    </row>
    <row s="511" customFormat="1" customHeight="1" ht="14.25" hidden="1">
      <c r="A42" s="1363"/>
      <c r="B42" s="938">
        <f>T39="Водоснабжение"</f>
        <v>0</v>
      </c>
      <c r="C42" s="1363"/>
      <c r="D42" s="1363"/>
      <c r="E42" s="604">
        <v>15</v>
      </c>
      <c r="F42" s="109" cm="1" t="str">
        <f t="array" ref="F42:F42">OFFSET(E42,-1,1)</f>
        <v>1</v>
      </c>
      <c r="G42" s="109" t="s">
        <v>50</v>
      </c>
      <c r="H42" s="88" t="s">
        <v>321</v>
      </c>
      <c r="I42" s="88" t="s">
        <v>364</v>
      </c>
      <c r="J42" s="88" t="str">
        <f>AD42&amp;"::"&amp;AE42</f>
        <v>Подкачивающие насосные станции::ед.</v>
      </c>
      <c r="K42" s="1363"/>
      <c r="L42" s="88" t="s">
        <v>50</v>
      </c>
      <c r="M42" s="1363"/>
      <c r="N42" s="1363"/>
      <c r="O42" s="1363"/>
      <c r="P42" s="1363"/>
      <c r="Q42" s="1363"/>
      <c r="R42" s="1363"/>
      <c r="S42" s="1363"/>
      <c r="T42" s="1363"/>
      <c r="U42" s="1363"/>
      <c r="V42" s="438" cm="1" t="str">
        <f t="array" ref="V42:V42">V41</f>
        <v>true</v>
      </c>
      <c r="W42" s="1363"/>
      <c r="X42" s="1363"/>
      <c r="Y42" s="1363"/>
      <c r="Z42" s="1493"/>
      <c r="AA42" s="1494"/>
      <c r="AB42" s="1363"/>
      <c r="AC42" s="150">
        <f>IF(B41,3,1)</f>
        <v>1</v>
      </c>
      <c r="AD42" s="148" t="s">
        <v>370</v>
      </c>
      <c r="AE42" s="89" t="s">
        <v>366</v>
      </c>
      <c r="AF42" s="1789"/>
      <c r="AG42" s="1789"/>
      <c r="AH42" s="1789"/>
      <c r="AI42" s="1789"/>
      <c r="AJ42" s="1790"/>
      <c r="AK42" s="1363"/>
      <c r="AL42" s="1363"/>
      <c r="AM42" s="974" t="s">
        <v>371</v>
      </c>
      <c r="AN42" s="974"/>
      <c r="AO42" s="974"/>
      <c r="AP42" s="974"/>
      <c r="AQ42" s="593"/>
      <c r="AR42" s="593"/>
      <c r="AS42" s="1363"/>
      <c r="AT42" s="1363"/>
      <c r="AU42" s="1363"/>
      <c r="AV42" s="1363"/>
      <c r="AW42" s="1363"/>
      <c r="AX42" s="1363"/>
      <c r="AY42" s="1363"/>
      <c r="AZ42" s="1363"/>
      <c r="BA42" s="1363"/>
      <c r="BB42" s="1363"/>
      <c r="BC42" s="1363"/>
      <c r="BD42" s="1363"/>
      <c r="BE42" s="1363"/>
    </row>
    <row s="511" customFormat="1" customHeight="1" ht="14.25" hidden="1">
      <c r="A43" s="1363"/>
      <c r="B43" s="938" cm="1" t="str">
        <f t="array" ref="B43:B43">B41</f>
        <v>false</v>
      </c>
      <c r="C43" s="1363"/>
      <c r="D43" s="1363"/>
      <c r="E43" s="604">
        <v>15</v>
      </c>
      <c r="F43" s="109" cm="1" t="str">
        <f t="array" ref="F43:F43">OFFSET(E43,-1,1)</f>
        <v>1</v>
      </c>
      <c r="G43" s="109"/>
      <c r="H43" s="88" t="s">
        <v>321</v>
      </c>
      <c r="I43" s="88" t="s">
        <v>364</v>
      </c>
      <c r="J43" s="88" t="str">
        <f>AD43&amp;"::"&amp;AE43</f>
        <v>Водонапорные башни::ед.</v>
      </c>
      <c r="K43" s="1363"/>
      <c r="L43" s="1363"/>
      <c r="M43" s="1363"/>
      <c r="N43" s="1363"/>
      <c r="O43" s="1363"/>
      <c r="P43" s="1363"/>
      <c r="Q43" s="1363"/>
      <c r="R43" s="1363"/>
      <c r="S43" s="1363"/>
      <c r="T43" s="1363"/>
      <c r="U43" s="1363"/>
      <c r="V43" s="438" cm="1" t="str">
        <f t="array" ref="V43:V43">V42</f>
        <v>true</v>
      </c>
      <c r="W43" s="1363"/>
      <c r="X43" s="1363"/>
      <c r="Y43" s="1363"/>
      <c r="Z43" s="1493"/>
      <c r="AA43" s="1494"/>
      <c r="AB43" s="1363"/>
      <c r="AC43" s="150">
        <v>4</v>
      </c>
      <c r="AD43" s="148" t="s">
        <v>372</v>
      </c>
      <c r="AE43" s="89" t="s">
        <v>366</v>
      </c>
      <c r="AF43" s="1789"/>
      <c r="AG43" s="1789"/>
      <c r="AH43" s="1789"/>
      <c r="AI43" s="1789"/>
      <c r="AJ43" s="1790"/>
      <c r="AK43" s="1363"/>
      <c r="AL43" s="1363"/>
      <c r="AM43" s="974" t="s">
        <v>373</v>
      </c>
      <c r="AN43" s="974"/>
      <c r="AO43" s="974"/>
      <c r="AP43" s="974"/>
      <c r="AQ43" s="593"/>
      <c r="AR43" s="593"/>
      <c r="AS43" s="1363"/>
      <c r="AT43" s="1363"/>
      <c r="AU43" s="1363"/>
      <c r="AV43" s="1363"/>
      <c r="AW43" s="1363"/>
      <c r="AX43" s="1363"/>
      <c r="AY43" s="1363"/>
      <c r="AZ43" s="1363"/>
      <c r="BA43" s="1363"/>
      <c r="BB43" s="1363"/>
      <c r="BC43" s="1363"/>
      <c r="BD43" s="1363"/>
      <c r="BE43" s="1363"/>
    </row>
    <row s="511" customFormat="1" customHeight="1" ht="14.25" hidden="1">
      <c r="A44" s="1363"/>
      <c r="B44" s="938">
        <f>T39="Водоснабжение"</f>
        <v>0</v>
      </c>
      <c r="C44" s="1363"/>
      <c r="D44" s="1363"/>
      <c r="E44" s="604">
        <v>15</v>
      </c>
      <c r="F44" s="109" cm="1" t="str">
        <f t="array" ref="F44:F44">OFFSET(E44,-1,1)</f>
        <v>1</v>
      </c>
      <c r="G44" s="109"/>
      <c r="H44" s="88" t="s">
        <v>321</v>
      </c>
      <c r="I44" s="88" t="s">
        <v>364</v>
      </c>
      <c r="J44" s="88" t="str">
        <f>AD44&amp;"::"&amp;AE44</f>
        <v>Водопроводные сети::км</v>
      </c>
      <c r="K44" s="1363"/>
      <c r="L44" s="1363"/>
      <c r="M44" s="1363"/>
      <c r="N44" s="1363"/>
      <c r="O44" s="1363"/>
      <c r="P44" s="88" t="s">
        <v>374</v>
      </c>
      <c r="Q44" s="88" t="s">
        <v>375</v>
      </c>
      <c r="R44" s="1363"/>
      <c r="S44" s="1363"/>
      <c r="T44" s="1363"/>
      <c r="U44" s="1363"/>
      <c r="V44" s="438" cm="1" t="str">
        <f t="array" ref="V44:V44">V43</f>
        <v>true</v>
      </c>
      <c r="W44" s="1363"/>
      <c r="X44" s="1363"/>
      <c r="Y44" s="1363"/>
      <c r="Z44" s="1493"/>
      <c r="AA44" s="1494"/>
      <c r="AB44" s="1363"/>
      <c r="AC44" s="150">
        <f>IF(B41,5,2)</f>
        <v>2</v>
      </c>
      <c r="AD44" s="148" t="s">
        <v>376</v>
      </c>
      <c r="AE44" s="89" t="s">
        <v>377</v>
      </c>
      <c r="AF44" s="1791"/>
      <c r="AG44" s="1791"/>
      <c r="AH44" s="1792">
        <f>_xlfn.SUMIFS('Условные метры'!$AK$29:$AK$36,'Условные метры'!$F$29:$F$36,$F44,'Условные метры'!$G$29:$G$36,"Итог")</f>
        <v>1.053</v>
      </c>
      <c r="AI44" s="1792">
        <f>_xlfn.SUMIFS('Условные метры'!$AM$29:$AM$36,'Условные метры'!$F$29:$F$36,$F44,'Условные метры'!$G$29:$G$36,"Итог")</f>
        <v>1.053</v>
      </c>
      <c r="AJ44" s="1790"/>
      <c r="AK44" s="1363"/>
      <c r="AL44" s="1363"/>
      <c r="AM44" s="974" t="s">
        <v>378</v>
      </c>
      <c r="AN44" s="974"/>
      <c r="AO44" s="974"/>
      <c r="AP44" s="974"/>
      <c r="AQ44" s="593"/>
      <c r="AR44" s="593"/>
      <c r="AS44" s="1363"/>
      <c r="AT44" s="1363"/>
      <c r="AU44" s="1363"/>
      <c r="AV44" s="1363"/>
      <c r="AW44" s="1363"/>
      <c r="AX44" s="1363"/>
      <c r="AY44" s="1363"/>
      <c r="AZ44" s="1363"/>
      <c r="BA44" s="1363"/>
      <c r="BB44" s="1363"/>
      <c r="BC44" s="1363"/>
      <c r="BD44" s="1363"/>
      <c r="BE44" s="1363"/>
    </row>
    <row s="511" customFormat="1" customHeight="1" ht="14.25" hidden="1">
      <c r="A45" s="1363"/>
      <c r="B45" s="938">
        <f>AND(T39="Водоотведение",method_reg&lt;&gt;"Метод сравнения аналогов")</f>
        <v>0</v>
      </c>
      <c r="C45" s="1363"/>
      <c r="D45" s="1363"/>
      <c r="E45" s="604">
        <v>15</v>
      </c>
      <c r="F45" s="109" cm="1" t="str">
        <f t="array" ref="F45:F45">OFFSET(E45,-1,1)</f>
        <v>1</v>
      </c>
      <c r="G45" s="457"/>
      <c r="H45" s="88" t="s">
        <v>321</v>
      </c>
      <c r="I45" s="88" t="s">
        <v>364</v>
      </c>
      <c r="J45" s="88" t="str">
        <f>AD45&amp;"::"&amp;AE45</f>
        <v>Биологические очистные сооружения::ед.</v>
      </c>
      <c r="K45" s="90"/>
      <c r="L45" s="1363"/>
      <c r="M45" s="1363"/>
      <c r="N45" s="1363"/>
      <c r="O45" s="1363"/>
      <c r="P45" s="1363"/>
      <c r="Q45" s="1363"/>
      <c r="R45" s="1363"/>
      <c r="S45" s="1363"/>
      <c r="T45" s="1363"/>
      <c r="U45" s="1363"/>
      <c r="V45" s="438" cm="1" t="str">
        <f t="array" ref="V45:V45">V44</f>
        <v>true</v>
      </c>
      <c r="W45" s="1363"/>
      <c r="X45" s="1363"/>
      <c r="Y45" s="1363"/>
      <c r="Z45" s="1493"/>
      <c r="AA45" s="1494"/>
      <c r="AB45" s="1363"/>
      <c r="AC45" s="150">
        <v>1</v>
      </c>
      <c r="AD45" s="148" t="s">
        <v>379</v>
      </c>
      <c r="AE45" s="89" t="s">
        <v>366</v>
      </c>
      <c r="AF45" s="1789"/>
      <c r="AG45" s="1789"/>
      <c r="AH45" s="1789"/>
      <c r="AI45" s="1789"/>
      <c r="AJ45" s="1790"/>
      <c r="AK45" s="1363"/>
      <c r="AL45" s="1363"/>
      <c r="AM45" s="974" t="s">
        <v>380</v>
      </c>
      <c r="AN45" s="974"/>
      <c r="AO45" s="974"/>
      <c r="AP45" s="974"/>
      <c r="AQ45" s="593"/>
      <c r="AR45" s="593"/>
      <c r="AS45" s="1363"/>
      <c r="AT45" s="1363"/>
      <c r="AU45" s="1363"/>
      <c r="AV45" s="1363"/>
      <c r="AW45" s="1363"/>
      <c r="AX45" s="1363"/>
      <c r="AY45" s="1363"/>
      <c r="AZ45" s="1363"/>
      <c r="BA45" s="1363"/>
      <c r="BB45" s="1363"/>
      <c r="BC45" s="1363"/>
      <c r="BD45" s="1363"/>
      <c r="BE45" s="1363"/>
    </row>
    <row s="511" customFormat="1" customHeight="1" ht="24.10155487060547">
      <c r="A46" s="1363"/>
      <c r="B46" s="938">
        <f>T39="Водоотведение"</f>
        <v>1</v>
      </c>
      <c r="C46" s="1363"/>
      <c r="D46" s="1363"/>
      <c r="E46" s="604">
        <v>15</v>
      </c>
      <c r="F46" s="109" cm="1" t="str">
        <f t="array" ref="F46:F46">OFFSET(E46,-1,1)</f>
        <v>1</v>
      </c>
      <c r="G46" s="109" t="s">
        <v>50</v>
      </c>
      <c r="H46" s="88" t="s">
        <v>321</v>
      </c>
      <c r="I46" s="88" t="s">
        <v>364</v>
      </c>
      <c r="J46" s="88" t="str">
        <f>AD46&amp;"::"&amp;AE46</f>
        <v>Канализационные насосные станции::ед.</v>
      </c>
      <c r="K46" s="1363"/>
      <c r="L46" s="1363"/>
      <c r="M46" s="1363"/>
      <c r="N46" s="1363"/>
      <c r="O46" s="1363"/>
      <c r="P46" s="1363"/>
      <c r="Q46" s="1363"/>
      <c r="R46" s="1363"/>
      <c r="S46" s="1363"/>
      <c r="T46" s="1363"/>
      <c r="U46" s="1363"/>
      <c r="V46" s="438" cm="1" t="str">
        <f t="array" ref="V46:V46">V45</f>
        <v>true</v>
      </c>
      <c r="W46" s="1363"/>
      <c r="X46" s="1363"/>
      <c r="Y46" s="1363"/>
      <c r="Z46" s="1493"/>
      <c r="AA46" s="1494"/>
      <c r="AB46" s="1363"/>
      <c r="AC46" s="150">
        <f>IF(B45,2,1)</f>
        <v>1</v>
      </c>
      <c r="AD46" s="148" t="s">
        <v>381</v>
      </c>
      <c r="AE46" s="89" t="s">
        <v>366</v>
      </c>
      <c r="AF46" s="154"/>
      <c r="AG46" s="154"/>
      <c r="AH46" s="154"/>
      <c r="AI46" s="154"/>
      <c r="AJ46" s="155"/>
      <c r="AK46" s="1363"/>
      <c r="AL46" s="1363"/>
      <c r="AM46" s="974" t="s">
        <v>382</v>
      </c>
      <c r="AN46" s="974"/>
      <c r="AO46" s="974"/>
      <c r="AP46" s="974"/>
      <c r="AQ46" s="593"/>
      <c r="AR46" s="593"/>
      <c r="AS46" s="1363"/>
      <c r="AT46" s="1363"/>
      <c r="AU46" s="1363"/>
      <c r="AV46" s="1363"/>
      <c r="AW46" s="1363"/>
      <c r="AX46" s="1363"/>
      <c r="AY46" s="1363"/>
      <c r="AZ46" s="1363"/>
      <c r="BA46" s="1363"/>
      <c r="BB46" s="1363"/>
      <c r="BC46" s="1363"/>
      <c r="BD46" s="1363"/>
      <c r="BE46" s="1363"/>
    </row>
    <row s="511" customFormat="1" customHeight="1" ht="27.85155487060547">
      <c r="A47" s="1363"/>
      <c r="B47" s="938" cm="1" t="str">
        <f t="array" ref="B47:B47">B46</f>
        <v>true</v>
      </c>
      <c r="C47" s="1363"/>
      <c r="D47" s="1363"/>
      <c r="E47" s="604">
        <v>15</v>
      </c>
      <c r="F47" s="109" cm="1" t="str">
        <f t="array" ref="F47:F47">OFFSET(E47,-1,1)</f>
        <v>1</v>
      </c>
      <c r="G47" s="109"/>
      <c r="H47" s="88" t="s">
        <v>321</v>
      </c>
      <c r="I47" s="88" t="s">
        <v>364</v>
      </c>
      <c r="J47" s="88" t="str">
        <f>AD47&amp;"::"&amp;AE47</f>
        <v>Канализационные сети::км</v>
      </c>
      <c r="K47" s="1363"/>
      <c r="L47" s="88" t="s">
        <v>50</v>
      </c>
      <c r="M47" s="1363"/>
      <c r="N47" s="1363"/>
      <c r="O47" s="1363"/>
      <c r="P47" s="88" t="s">
        <v>374</v>
      </c>
      <c r="Q47" s="88" t="s">
        <v>375</v>
      </c>
      <c r="R47" s="1363"/>
      <c r="S47" s="1363"/>
      <c r="T47" s="1363"/>
      <c r="U47" s="1363"/>
      <c r="V47" s="438" cm="1" t="str">
        <f t="array" ref="V47:V47">V46</f>
        <v>true</v>
      </c>
      <c r="W47" s="1363"/>
      <c r="X47" s="1363"/>
      <c r="Y47" s="1363"/>
      <c r="Z47" s="1493"/>
      <c r="AA47" s="1494"/>
      <c r="AB47" s="1363"/>
      <c r="AC47" s="150">
        <f>AC46+1</f>
        <v>2</v>
      </c>
      <c r="AD47" s="148" t="s">
        <v>383</v>
      </c>
      <c r="AE47" s="89" t="s">
        <v>377</v>
      </c>
      <c r="AF47" s="107"/>
      <c r="AG47" s="107"/>
      <c r="AH47" s="1792">
        <f>_xlfn.SUMIFS('Условные метры'!$AK$29:$AK$36,'Условные метры'!$F$29:$F$36,$F47,'Условные метры'!$G$29:$G$36,"Итог")</f>
        <v>1.053</v>
      </c>
      <c r="AI47" s="1792">
        <f>_xlfn.SUMIFS('Условные метры'!$AM$29:$AM$36,'Условные метры'!$F$29:$F$36,$F47,'Условные метры'!$G$29:$G$36,"Итог")</f>
        <v>1.053</v>
      </c>
      <c r="AJ47" s="155"/>
      <c r="AK47" s="1363"/>
      <c r="AL47" s="1363"/>
      <c r="AM47" s="974" t="s">
        <v>384</v>
      </c>
      <c r="AN47" s="974"/>
      <c r="AO47" s="974"/>
      <c r="AP47" s="974"/>
      <c r="AQ47" s="593"/>
      <c r="AR47" s="593"/>
      <c r="AS47" s="1363"/>
      <c r="AT47" s="1363"/>
      <c r="AU47" s="1363"/>
      <c r="AV47" s="1363"/>
      <c r="AW47" s="1363"/>
      <c r="AX47" s="1363"/>
      <c r="AY47" s="1363"/>
      <c r="AZ47" s="1363"/>
      <c r="BA47" s="1363"/>
      <c r="BB47" s="1363"/>
      <c r="BC47" s="1363"/>
      <c r="BD47" s="1363"/>
      <c r="BE47" s="1363"/>
    </row>
    <row s="998" customFormat="1" customHeight="1" ht="14.25" hidden="1">
      <c r="A48" s="998"/>
      <c r="B48" s="400"/>
      <c r="C48" s="998"/>
      <c r="D48" s="998"/>
      <c r="E48" s="612">
        <v>15</v>
      </c>
      <c r="F48" s="109" cm="1" t="str">
        <f t="array" ref="F48:F48">OFFSET(E48,-1,1)</f>
        <v>1</v>
      </c>
      <c r="G48" s="109"/>
      <c r="H48" s="90" t="s">
        <v>321</v>
      </c>
      <c r="I48" s="90" t="s">
        <v>364</v>
      </c>
      <c r="J48" s="90" t="str">
        <f>AD48&amp;"::"&amp;AE48</f>
        <v>::</v>
      </c>
      <c r="K48" s="998"/>
      <c r="L48" s="998"/>
      <c r="M48" s="998"/>
      <c r="N48" s="998"/>
      <c r="O48" s="998"/>
      <c r="P48" s="998"/>
      <c r="Q48" s="998"/>
      <c r="R48" s="998"/>
      <c r="S48" s="998"/>
      <c r="T48" s="998"/>
      <c r="U48" s="88">
        <v>0</v>
      </c>
      <c r="V48" s="438">
        <f>AND(F48&gt;0,U48&gt;0)</f>
        <v>0</v>
      </c>
      <c r="W48" s="998"/>
      <c r="X48" s="998"/>
      <c r="Y48" s="733" t="s">
        <v>172</v>
      </c>
      <c r="Z48" s="1493"/>
      <c r="AA48" s="1494"/>
      <c r="AB48" s="392" t="s">
        <v>173</v>
      </c>
      <c r="AC48" s="150">
        <f>IF(OFFSET(C48,-8-U48,-1),5,IF(OFFSET(C48,-3-U48,-1),3,2))+U48</f>
        <v>2</v>
      </c>
      <c r="AD48" s="1795"/>
      <c r="AE48" s="1796"/>
      <c r="AF48" s="1797"/>
      <c r="AG48" s="1797"/>
      <c r="AH48" s="1797"/>
      <c r="AI48" s="1797"/>
      <c r="AJ48" s="1798"/>
      <c r="AK48" s="998"/>
      <c r="AL48" s="998"/>
      <c r="AM48" s="982" t="s">
        <v>385</v>
      </c>
      <c r="AN48" s="982" t="s">
        <v>386</v>
      </c>
      <c r="AO48" s="985" cm="1" t="str">
        <f t="array" ref="AO48:AO48">AD48</f>
        <v>0</v>
      </c>
      <c r="AP48" s="985" cm="1" t="str">
        <f t="array" ref="AP48:AP48">AE48</f>
        <v>0</v>
      </c>
      <c r="AQ48" s="668"/>
      <c r="AR48" s="668" t="b">
        <v>1</v>
      </c>
      <c r="AS48" s="998"/>
      <c r="AT48" s="998"/>
      <c r="AU48" s="998"/>
      <c r="AV48" s="998"/>
      <c r="AW48" s="998"/>
      <c r="AX48" s="998"/>
      <c r="AY48" s="998"/>
      <c r="AZ48" s="998"/>
      <c r="BA48" s="998"/>
      <c r="BB48" s="998"/>
      <c r="BC48" s="998"/>
      <c r="BD48" s="998"/>
      <c r="BE48" s="998"/>
    </row>
    <row s="511" customFormat="1" customHeight="1" ht="14.25">
      <c r="A49" s="1363"/>
      <c r="B49" s="400"/>
      <c r="C49" s="1363"/>
      <c r="D49" s="1363"/>
      <c r="E49" s="604">
        <v>15</v>
      </c>
      <c r="F49" s="109" cm="1" t="str">
        <f t="array" ref="F49:F49">OFFSET(E49,-1,1)</f>
        <v>1</v>
      </c>
      <c r="G49" s="109"/>
      <c r="H49" s="1363"/>
      <c r="I49" s="1363"/>
      <c r="J49" s="87" t="s">
        <v>387</v>
      </c>
      <c r="K49" s="1363"/>
      <c r="L49" s="1363"/>
      <c r="M49" s="1363"/>
      <c r="N49" s="1363"/>
      <c r="O49" s="1363"/>
      <c r="P49" s="1363"/>
      <c r="Q49" s="1363"/>
      <c r="R49" s="1363"/>
      <c r="S49" s="1363"/>
      <c r="T49" s="1363"/>
      <c r="U49" s="1363"/>
      <c r="V49" s="438" cm="1" t="str">
        <f t="array" ref="V49:V49">V47</f>
        <v>true</v>
      </c>
      <c r="W49" s="1363"/>
      <c r="X49" s="1363"/>
      <c r="Y49" s="733" t="s">
        <v>388</v>
      </c>
      <c r="Z49" s="1493"/>
      <c r="AA49" s="1494"/>
      <c r="AB49" s="1363"/>
      <c r="AC49" s="141"/>
      <c r="AD49" s="274" t="s">
        <v>176</v>
      </c>
      <c r="AE49" s="142"/>
      <c r="AF49" s="142"/>
      <c r="AG49" s="142"/>
      <c r="AH49" s="142"/>
      <c r="AI49" s="142"/>
      <c r="AJ49" s="153"/>
      <c r="AK49" s="1363"/>
      <c r="AL49" s="1363"/>
      <c r="AM49" s="974"/>
      <c r="AN49" s="974"/>
      <c r="AO49" s="974"/>
      <c r="AP49" s="974"/>
      <c r="AQ49" s="593" t="s">
        <v>386</v>
      </c>
      <c r="AR49" s="593"/>
      <c r="AS49" s="1363"/>
      <c r="AT49" s="1363"/>
      <c r="AU49" s="1363"/>
      <c r="AV49" s="1363"/>
      <c r="AW49" s="1363"/>
      <c r="AX49" s="1363"/>
      <c r="AY49" s="1363"/>
      <c r="AZ49" s="1363"/>
      <c r="BA49" s="1363"/>
      <c r="BB49" s="1363"/>
      <c r="BC49" s="1363"/>
      <c r="BD49" s="1363"/>
      <c r="BE49" s="1363"/>
    </row>
    <row s="511" customFormat="1" customHeight="1" ht="14.25">
      <c r="A50" s="1363"/>
      <c r="B50" s="400"/>
      <c r="C50" s="1363"/>
      <c r="D50" s="1363"/>
      <c r="E50" s="604">
        <v>15</v>
      </c>
      <c r="F50" s="109" cm="1" t="str">
        <f t="array" ref="F50:F50">OFFSET(E50,-1,1)</f>
        <v>1</v>
      </c>
      <c r="G50" s="109"/>
      <c r="H50" s="88" t="s">
        <v>322</v>
      </c>
      <c r="I50" s="88" t="s">
        <v>364</v>
      </c>
      <c r="J50" s="335" cm="1" t="str">
        <f t="array" ref="J50:J50">AD50</f>
        <v>Краткое описание технологического процесса</v>
      </c>
      <c r="K50" s="1363"/>
      <c r="L50" s="1363"/>
      <c r="M50" s="1363"/>
      <c r="N50" s="1363"/>
      <c r="O50" s="1363"/>
      <c r="P50" s="1363"/>
      <c r="Q50" s="1363"/>
      <c r="R50" s="1363"/>
      <c r="S50" s="1363"/>
      <c r="T50" s="1363"/>
      <c r="U50" s="1363"/>
      <c r="V50" s="438" cm="1" t="str">
        <f t="array" ref="V50:V50">V49</f>
        <v>true</v>
      </c>
      <c r="W50" s="1363"/>
      <c r="X50" s="1363"/>
      <c r="Y50" s="1363"/>
      <c r="Z50" s="1493"/>
      <c r="AA50" s="1494"/>
      <c r="AB50" s="1363"/>
      <c r="AC50" s="150"/>
      <c r="AD50" s="148" t="s">
        <v>389</v>
      </c>
      <c r="AE50" s="89"/>
      <c r="AF50" s="1495"/>
      <c r="AG50" s="1496"/>
      <c r="AH50" s="1496"/>
      <c r="AI50" s="1496"/>
      <c r="AJ50" s="1497"/>
      <c r="AK50" s="1363"/>
      <c r="AL50" s="1363"/>
      <c r="AM50" s="974" t="s">
        <v>390</v>
      </c>
      <c r="AN50" s="974"/>
      <c r="AO50" s="974"/>
      <c r="AP50" s="974"/>
      <c r="AQ50" s="593"/>
      <c r="AR50" s="593"/>
      <c r="AS50" s="1363"/>
      <c r="AT50" s="1363"/>
      <c r="AU50" s="1363"/>
      <c r="AV50" s="1363"/>
      <c r="AW50" s="1363"/>
      <c r="AX50" s="1363"/>
      <c r="AY50" s="1363"/>
      <c r="AZ50" s="1363"/>
      <c r="BA50" s="1363"/>
      <c r="BB50" s="1363"/>
      <c r="BC50" s="1363"/>
      <c r="BD50" s="1363"/>
      <c r="BE50" s="1363"/>
    </row>
    <row s="1363" customFormat="1" customHeight="1" ht="14.625">
      <c r="B51" s="400"/>
      <c r="E51" s="604">
        <v>15</v>
      </c>
      <c r="F51" s="335"/>
      <c r="G51" s="335"/>
      <c r="J51" s="335"/>
      <c r="W51" s="88" t="s">
        <v>176</v>
      </c>
      <c r="X51" s="106" t="s">
        <v>391</v>
      </c>
      <c r="Z51" s="64"/>
      <c r="AC51" s="485"/>
      <c r="AD51" s="80"/>
      <c r="AE51" s="486"/>
      <c r="AF51" s="925"/>
      <c r="AG51" s="925"/>
      <c r="AH51" s="925"/>
      <c r="AI51" s="925"/>
      <c r="AJ51" s="925"/>
      <c r="AM51" s="974"/>
      <c r="AN51" s="974"/>
      <c r="AO51" s="974"/>
      <c r="AP51" s="974"/>
      <c r="AQ51" s="593"/>
      <c r="AR51" s="593"/>
    </row>
    <row s="1282" customFormat="1" customHeight="1" ht="12.101554870605469">
      <c r="B52" s="484"/>
      <c r="E52" s="609">
        <v>12</v>
      </c>
      <c r="Q52" s="455"/>
      <c r="R52" s="455"/>
      <c r="S52" s="455"/>
      <c r="T52" s="455"/>
      <c r="U52" s="462"/>
      <c r="V52" s="462"/>
      <c r="W52" s="477"/>
      <c r="X52" s="462"/>
      <c r="Y52" s="462"/>
      <c r="Z52" s="462"/>
      <c r="AA52" s="462"/>
      <c r="AB52" s="462"/>
      <c r="AC52" s="1498" t="s">
        <v>392</v>
      </c>
      <c r="AD52" s="1499"/>
      <c r="AE52" s="1499"/>
      <c r="AF52" s="1499"/>
      <c r="AG52" s="1499"/>
      <c r="AH52" s="1499"/>
      <c r="AI52" s="1499"/>
      <c r="AJ52" s="1500"/>
      <c r="AK52" s="51"/>
      <c r="AL52" s="51"/>
      <c r="AM52" s="983"/>
      <c r="AN52" s="983"/>
      <c r="AO52" s="983"/>
      <c r="AP52" s="983"/>
      <c r="AQ52" s="651"/>
      <c r="AR52" s="651"/>
      <c r="AS52" s="51"/>
      <c r="AT52" s="51"/>
      <c r="AU52" s="51"/>
      <c r="AV52" s="51"/>
      <c r="AW52" s="51"/>
      <c r="AX52" s="51"/>
      <c r="AY52" s="51"/>
      <c r="AZ52" s="51"/>
      <c r="BA52" s="51"/>
      <c r="BB52" s="51"/>
      <c r="BC52" s="51"/>
      <c r="BD52" s="51"/>
      <c r="BE52" s="462"/>
    </row>
    <row s="1282" customFormat="1" customHeight="1" ht="46.455958973277696">
      <c r="B53" s="399"/>
      <c r="E53" s="607">
        <v>15</v>
      </c>
      <c r="Q53" s="387"/>
      <c r="R53" s="387"/>
      <c r="S53" s="387"/>
      <c r="T53" s="387"/>
      <c r="U53" s="462"/>
      <c r="V53" s="462"/>
      <c r="W53" s="477"/>
      <c r="X53" s="462"/>
      <c r="Y53" s="462"/>
      <c r="Z53" s="462"/>
      <c r="AA53" s="462"/>
      <c r="AB53" s="637"/>
      <c r="AC53" s="1501" t="s">
        <v>393</v>
      </c>
      <c r="AD53" s="1502"/>
      <c r="AE53" s="1502"/>
      <c r="AF53" s="1825"/>
      <c r="AG53" s="1825"/>
      <c r="AH53" s="1502"/>
      <c r="AI53" s="1502"/>
      <c r="AJ53" s="1503"/>
      <c r="AK53" s="51"/>
      <c r="AL53" s="51"/>
      <c r="AM53" s="983"/>
      <c r="AN53" s="983"/>
      <c r="AO53" s="983"/>
      <c r="AP53" s="983"/>
      <c r="AQ53" s="651"/>
      <c r="AR53" s="651"/>
      <c r="AS53" s="51"/>
      <c r="AT53" s="51"/>
      <c r="AU53" s="51"/>
      <c r="AV53" s="51"/>
      <c r="AW53" s="51"/>
      <c r="AX53" s="51"/>
      <c r="AY53" s="51"/>
      <c r="AZ53" s="51"/>
      <c r="BA53" s="51"/>
      <c r="BB53" s="51"/>
      <c r="BC53" s="51"/>
      <c r="BD53" s="51"/>
      <c r="BE53" s="462"/>
    </row>
    <row s="1282" customFormat="1" customHeight="1" ht="14.625" hidden="1">
      <c r="A54" s="1282"/>
      <c r="B54" s="399"/>
      <c r="C54" s="1282"/>
      <c r="D54" s="1282"/>
      <c r="E54" s="607">
        <v>15</v>
      </c>
      <c r="F54" s="1282"/>
      <c r="G54" s="1282"/>
      <c r="H54" s="1282"/>
      <c r="I54" s="1282"/>
      <c r="J54" s="1282"/>
      <c r="K54" s="1282"/>
      <c r="L54" s="1282"/>
      <c r="M54" s="1282"/>
      <c r="N54" s="1282"/>
      <c r="O54" s="1282"/>
      <c r="P54" s="1282"/>
      <c r="Q54" s="387"/>
      <c r="R54" s="387"/>
      <c r="S54" s="387"/>
      <c r="T54" s="387"/>
      <c r="U54" s="1282"/>
      <c r="V54" s="438">
        <f>ROW(Y54)&gt;ROW(X$54)</f>
        <v>0</v>
      </c>
      <c r="W54" s="477"/>
      <c r="X54" s="1282"/>
      <c r="Y54" s="733" t="s">
        <v>172</v>
      </c>
      <c r="Z54" s="462"/>
      <c r="AA54" s="462"/>
      <c r="AB54" s="638" t="s">
        <v>173</v>
      </c>
      <c r="AC54" s="1831"/>
      <c r="AD54" s="1832"/>
      <c r="AE54" s="1832"/>
      <c r="AF54" s="1832"/>
      <c r="AG54" s="1832"/>
      <c r="AH54" s="1832"/>
      <c r="AI54" s="1832"/>
      <c r="AJ54" s="1833"/>
      <c r="AK54" s="51"/>
      <c r="AL54" s="51"/>
      <c r="AM54" s="983"/>
      <c r="AN54" s="983"/>
      <c r="AO54" s="983"/>
      <c r="AP54" s="983"/>
      <c r="AQ54" s="651"/>
      <c r="AR54" s="651"/>
      <c r="AS54" s="51"/>
      <c r="AT54" s="51"/>
      <c r="AU54" s="51"/>
      <c r="AV54" s="51"/>
      <c r="AW54" s="51"/>
      <c r="AX54" s="51"/>
      <c r="AY54" s="51"/>
      <c r="AZ54" s="51"/>
      <c r="BA54" s="51"/>
      <c r="BB54" s="51"/>
      <c r="BC54" s="51"/>
      <c r="BD54" s="51"/>
      <c r="BE54" s="462"/>
    </row>
    <row s="1837" customFormat="1" customHeight="1" ht="61.45595897327769">
      <c r="A55" s="1282"/>
      <c r="B55" s="399"/>
      <c r="C55" s="1282"/>
      <c r="D55" s="1282"/>
      <c r="E55" s="607">
        <v>15</v>
      </c>
      <c r="F55" s="1282"/>
      <c r="G55" s="1282"/>
      <c r="H55" s="1282"/>
      <c r="I55" s="1282"/>
      <c r="J55" s="1282"/>
      <c r="K55" s="1282"/>
      <c r="L55" s="1282"/>
      <c r="M55" s="1282"/>
      <c r="N55" s="1282"/>
      <c r="O55" s="1282"/>
      <c r="P55" s="1282"/>
      <c r="Q55" s="387"/>
      <c r="R55" s="387"/>
      <c r="S55" s="387"/>
      <c r="T55" s="387"/>
      <c r="U55" s="1282" t="s">
        <v>228</v>
      </c>
      <c r="V55" s="438">
        <f>ROW(Y55)&gt;ROW(X$54)</f>
        <v>1</v>
      </c>
      <c r="W55" s="477"/>
      <c r="X55" s="1282"/>
      <c r="Y55" s="733"/>
      <c r="Z55" s="462"/>
      <c r="AA55" s="462"/>
      <c r="AB55" s="638" t="s">
        <v>173</v>
      </c>
      <c r="AC55" s="1504" t="s">
        <v>394</v>
      </c>
      <c r="AD55" s="1505"/>
      <c r="AE55" s="1505"/>
      <c r="AF55" s="1505"/>
      <c r="AG55" s="1505"/>
      <c r="AH55" s="1505"/>
      <c r="AI55" s="1505"/>
      <c r="AJ55" s="1506"/>
      <c r="AK55" s="51"/>
      <c r="AL55" s="51"/>
      <c r="AM55" s="983"/>
      <c r="AN55" s="983"/>
      <c r="AO55" s="983"/>
      <c r="AP55" s="983"/>
      <c r="AQ55" s="651"/>
      <c r="AR55" s="651"/>
      <c r="AS55" s="51"/>
      <c r="AT55" s="51"/>
      <c r="AU55" s="51"/>
      <c r="AV55" s="51"/>
      <c r="AW55" s="51"/>
      <c r="AX55" s="51"/>
      <c r="AY55" s="51"/>
      <c r="AZ55" s="51"/>
      <c r="BA55" s="51"/>
      <c r="BB55" s="51"/>
      <c r="BC55" s="51"/>
      <c r="BD55" s="51"/>
      <c r="BE55" s="462"/>
    </row>
    <row s="1841" customFormat="1" customHeight="1" ht="48.50141351873224">
      <c r="A56" s="1282"/>
      <c r="B56" s="399"/>
      <c r="C56" s="1282"/>
      <c r="D56" s="1282"/>
      <c r="E56" s="607">
        <v>15</v>
      </c>
      <c r="F56" s="1282"/>
      <c r="G56" s="1282"/>
      <c r="H56" s="1282"/>
      <c r="I56" s="1282"/>
      <c r="J56" s="1282"/>
      <c r="K56" s="1282"/>
      <c r="L56" s="1282"/>
      <c r="M56" s="1282"/>
      <c r="N56" s="1282"/>
      <c r="O56" s="1282"/>
      <c r="P56" s="1282"/>
      <c r="Q56" s="387"/>
      <c r="R56" s="387"/>
      <c r="S56" s="387"/>
      <c r="T56" s="387"/>
      <c r="U56" s="1282" t="s">
        <v>228</v>
      </c>
      <c r="V56" s="438">
        <f>ROW(Y56)&gt;ROW(X$54)</f>
        <v>1</v>
      </c>
      <c r="W56" s="477"/>
      <c r="X56" s="1282"/>
      <c r="Y56" s="733"/>
      <c r="Z56" s="462"/>
      <c r="AA56" s="462"/>
      <c r="AB56" s="638" t="s">
        <v>173</v>
      </c>
      <c r="AC56" s="1504" t="s">
        <v>395</v>
      </c>
      <c r="AD56" s="1505"/>
      <c r="AE56" s="1505"/>
      <c r="AF56" s="1505"/>
      <c r="AG56" s="1505"/>
      <c r="AH56" s="1505"/>
      <c r="AI56" s="1505"/>
      <c r="AJ56" s="1506"/>
      <c r="AK56" s="51"/>
      <c r="AL56" s="51"/>
      <c r="AM56" s="983"/>
      <c r="AN56" s="983"/>
      <c r="AO56" s="983"/>
      <c r="AP56" s="983"/>
      <c r="AQ56" s="651"/>
      <c r="AR56" s="651"/>
      <c r="AS56" s="51"/>
      <c r="AT56" s="51"/>
      <c r="AU56" s="51"/>
      <c r="AV56" s="51"/>
      <c r="AW56" s="51"/>
      <c r="AX56" s="51"/>
      <c r="AY56" s="51"/>
      <c r="AZ56" s="51"/>
      <c r="BA56" s="51"/>
      <c r="BB56" s="51"/>
      <c r="BC56" s="51"/>
      <c r="BD56" s="51"/>
      <c r="BE56" s="462"/>
    </row>
    <row s="1282" customFormat="1" customHeight="1" ht="14.625">
      <c r="B57" s="399"/>
      <c r="E57" s="607">
        <v>15</v>
      </c>
      <c r="Q57" s="387"/>
      <c r="R57" s="387"/>
      <c r="S57" s="387"/>
      <c r="T57" s="387"/>
      <c r="U57" s="462"/>
      <c r="V57" s="462"/>
      <c r="W57" s="462"/>
      <c r="Y57" s="733" t="s">
        <v>396</v>
      </c>
      <c r="Z57" s="462"/>
      <c r="AA57" s="462"/>
      <c r="AB57" s="462"/>
      <c r="AC57" s="623"/>
      <c r="AD57" s="144" t="s">
        <v>397</v>
      </c>
      <c r="AE57" s="478"/>
      <c r="AF57" s="479"/>
      <c r="AG57" s="479"/>
      <c r="AH57" s="479"/>
      <c r="AI57" s="479"/>
      <c r="AJ57" s="640"/>
      <c r="AK57" s="51"/>
      <c r="AL57" s="51"/>
      <c r="AM57" s="983"/>
      <c r="AN57" s="983"/>
      <c r="AO57" s="983"/>
      <c r="AP57" s="983"/>
      <c r="AQ57" s="651"/>
      <c r="AR57" s="651"/>
      <c r="AS57" s="51"/>
      <c r="AT57" s="51"/>
      <c r="AU57" s="51"/>
      <c r="AV57" s="51"/>
      <c r="AW57" s="51"/>
      <c r="AX57" s="51"/>
      <c r="AY57" s="51"/>
      <c r="AZ57" s="51"/>
      <c r="BA57" s="51"/>
      <c r="BB57" s="51"/>
      <c r="BC57" s="51"/>
      <c r="BD57" s="51"/>
      <c r="BE57" s="462"/>
    </row>
    <row s="1624" customFormat="1" customHeight="1" ht="11.25">
      <c r="B58" s="634"/>
      <c r="E58" s="611"/>
      <c r="F58" s="51"/>
      <c r="G58" s="51"/>
      <c r="H58" s="51"/>
      <c r="I58" s="51"/>
      <c r="J58" s="51"/>
      <c r="AD58" s="66"/>
      <c r="AE58" s="66"/>
      <c r="AF58" s="66"/>
      <c r="AG58" s="66"/>
      <c r="AK58" s="0"/>
      <c r="AM58" s="981"/>
      <c r="AN58" s="981"/>
      <c r="AO58" s="981"/>
      <c r="AP58" s="981"/>
      <c r="AQ58" s="599"/>
      <c r="AR58" s="984"/>
    </row>
    <row s="1624" customFormat="1" customHeight="1" ht="11.25" hidden="1">
      <c r="B59" s="634"/>
      <c r="E59" s="611"/>
      <c r="F59" s="51"/>
      <c r="G59" s="51"/>
      <c r="H59" s="51"/>
      <c r="I59" s="51"/>
      <c r="J59" s="51"/>
      <c r="AD59" s="66"/>
      <c r="AE59" s="66"/>
      <c r="AF59" s="66"/>
      <c r="AG59" s="66"/>
      <c r="AM59" s="981"/>
      <c r="AN59" s="981"/>
      <c r="AO59" s="981"/>
      <c r="AP59" s="981"/>
      <c r="AQ59" s="599"/>
      <c r="AR59" s="984"/>
    </row>
  </sheetData>
  <sheetProtection formatColumns="0" formatRows="0" insertRows="0" deleteColumns="0" deleteRows="0" sort="0" autoFilter="0" insertColumns="1"/>
  <mergeCells count="17">
    <mergeCell ref="AC54:AJ54"/>
    <mergeCell ref="AC22:AJ22"/>
    <mergeCell ref="AG23:AH23"/>
    <mergeCell ref="AC24:AC25"/>
    <mergeCell ref="AD24:AD25"/>
    <mergeCell ref="AE24:AE25"/>
    <mergeCell ref="AJ24:AJ25"/>
    <mergeCell ref="Z27:Z38"/>
    <mergeCell ref="AA27:AA38"/>
    <mergeCell ref="AF38:AJ38"/>
    <mergeCell ref="AC52:AJ52"/>
    <mergeCell ref="AC53:AJ53"/>
    <mergeCell ref="Z39:Z50"/>
    <mergeCell ref="AA39:AA50"/>
    <mergeCell ref="AF50:AJ50"/>
    <mergeCell ref="AC55:AJ55"/>
    <mergeCell ref="AC56:AJ56"/>
  </mergeCells>
  <dataValidations count="2">
    <dataValidation type="decimal" allowBlank="1" showErrorMessage="1" errorTitle="Ошибка" error="Допускается ввод только неотрицательных чисел!" sqref="AF32:AI32 AF35:AI36 AF44 AG44 AH44 AI44 AF47 AG47 AH47 AI47 AF48 AG48 AH48 AI48">
      <formula1>0</formula1>
      <formula2>9.99999999999999E+23</formula2>
    </dataValidation>
    <dataValidation type="whole" allowBlank="1" showErrorMessage="1" errorTitle="Ошибка" error="Допускается ввод только неотрицательных целых чисел!" sqref="AF33:AI34 AF28:AI31 AF40 AG40 AH40 AI40 AF41 AG41 AH41 AI41 AF42 AG42 AH42 AI42 AF43 AG43 AH43 AI43 AF45 AG45 AH45 AI45 AF46 AG46 AH46 AI46">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8A9708-E71C-9CF8-0A24-28EA3F3BA358}" mc:Ignorable="x14ac xr xr2 xr3">
  <sheetPr>
    <tabColor theme="3" tint="0.6"/>
    <outlinePr summaryRight="0" summaryBelow="0"/>
    <pageSetUpPr fitToPage="1"/>
  </sheetPr>
  <dimension ref="A1:AS48"/>
  <sheetViews>
    <sheetView showGridLines="0" zoomScale="120" workbookViewId="0">
      <pane xSplit="29" ySplit="24" topLeftCell="AD30" activePane="bottomRight" state="frozen"/>
      <selection pane="bottomLeft" activeCell="A25" sqref="A25"/>
      <selection pane="topRight" activeCell="AD1" sqref="AD1"/>
      <selection pane="bottomRight" activeCell="AH34" sqref="AH34"/>
    </sheetView>
  </sheetViews>
  <sheetFormatPr defaultColWidth="8.7109375" customHeight="1" defaultRowHeight="11.25"/>
  <cols>
    <col min="1" max="1" style="543" width="3.57421875" hidden="1" customWidth="1"/>
    <col min="2" max="2" style="1401" width="8.57421875" hidden="1" customWidth="1"/>
    <col min="3" max="4" style="543" width="3.57421875" hidden="1" customWidth="1"/>
    <col min="5" max="5" style="852" width="3.57421875" hidden="1" customWidth="1"/>
    <col min="6" max="6" style="543" width="4.00390625" hidden="1" customWidth="1"/>
    <col min="7" max="8" style="543" width="3.57421875" hidden="1" customWidth="1"/>
    <col min="9" max="9" style="543" width="12.421875" hidden="1" customWidth="1"/>
    <col min="10" max="18" style="543" width="3.57421875" hidden="1" customWidth="1"/>
    <col min="19" max="19" style="1395" width="3.57421875" hidden="1" customWidth="1"/>
    <col min="20" max="20" style="1395" width="6.140625" hidden="1" customWidth="1"/>
    <col min="21" max="21" style="1395" width="10.140625" hidden="1" customWidth="1"/>
    <col min="22" max="22" style="1395" width="5.8515625" hidden="1" customWidth="1"/>
    <col min="23" max="24" style="1395" width="6.140625" hidden="1" customWidth="1"/>
    <col min="25" max="25" style="1395" width="5.57421875" hidden="1" customWidth="1"/>
    <col min="26" max="26" style="1395" width="5.28125" hidden="1" customWidth="1"/>
    <col min="27" max="27" style="543" width="3.00390625" customWidth="1"/>
    <col min="28" max="28" style="80" width="11.00390625" customWidth="1"/>
    <col min="29" max="29" style="80" width="70.00390625" customWidth="1"/>
    <col min="30" max="30" style="80" width="15.00390625" customWidth="1"/>
    <col min="31" max="31" style="80" width="20.00390625" customWidth="1"/>
    <col min="32" max="32" style="86" width="20.00390625" customWidth="1"/>
    <col min="33" max="34" style="80" width="20.00390625" customWidth="1"/>
    <col min="35" max="35" style="543" width="3.00390625" customWidth="1"/>
    <col min="36" max="36" style="543" width="8.7109375" hidden="1"/>
    <col min="37" max="43" style="971" width="8.7109375" hidden="1"/>
    <col min="44" max="44" style="940" width="8.7109375" hidden="1"/>
    <col min="45" max="45" style="602" width="8.7109375" hidden="1"/>
  </cols>
  <sheetData>
    <row s="543" customFormat="1" customHeight="1" ht="11.25" hidden="1">
      <c r="B1" s="401"/>
      <c r="E1" s="843"/>
      <c r="F1" s="114" t="s">
        <v>309</v>
      </c>
      <c r="S1" s="937"/>
      <c r="T1" s="937"/>
      <c r="U1" s="438" t="s">
        <v>92</v>
      </c>
      <c r="V1" s="438" t="s">
        <v>97</v>
      </c>
      <c r="W1" s="438" t="s">
        <v>93</v>
      </c>
      <c r="X1" s="438" t="s">
        <v>94</v>
      </c>
      <c r="Y1" s="438" t="s">
        <v>95</v>
      </c>
      <c r="Z1" s="438" t="s">
        <v>99</v>
      </c>
      <c r="AA1" s="440" t="s">
        <v>96</v>
      </c>
      <c r="AB1" s="440" t="s">
        <v>311</v>
      </c>
      <c r="AC1" s="440" t="s">
        <v>98</v>
      </c>
      <c r="AF1" s="170"/>
      <c r="AK1" s="965" t="s">
        <v>312</v>
      </c>
      <c r="AL1" s="969" t="s">
        <v>313</v>
      </c>
      <c r="AM1" s="969" t="s">
        <v>314</v>
      </c>
      <c r="AN1" s="969" t="s">
        <v>398</v>
      </c>
      <c r="AO1" s="969" t="s">
        <v>399</v>
      </c>
      <c r="AP1" s="969" t="s">
        <v>400</v>
      </c>
      <c r="AQ1" s="969" t="s">
        <v>401</v>
      </c>
      <c r="AR1" s="232" t="s">
        <v>317</v>
      </c>
      <c r="AS1" s="232" t="s">
        <v>318</v>
      </c>
    </row>
    <row s="1401" customFormat="1" customHeight="1" ht="11.25" hidden="1">
      <c r="B2" s="938" t="s">
        <v>18</v>
      </c>
      <c r="S2" s="631"/>
      <c r="T2" s="631"/>
      <c r="U2" s="631"/>
      <c r="V2" s="631"/>
      <c r="W2" s="631"/>
      <c r="X2" s="631"/>
      <c r="Y2" s="631"/>
      <c r="Z2" s="631"/>
      <c r="AK2" s="970"/>
      <c r="AL2" s="970"/>
      <c r="AM2" s="970"/>
      <c r="AN2" s="970"/>
      <c r="AO2" s="970"/>
      <c r="AP2" s="970"/>
      <c r="AQ2" s="970"/>
      <c r="AR2" s="979"/>
      <c r="AS2" s="979"/>
    </row>
    <row s="543" customFormat="1" customHeight="1" ht="11.25" hidden="1">
      <c r="B3" s="401"/>
      <c r="E3" s="843"/>
      <c r="S3" s="937"/>
      <c r="T3" s="937"/>
      <c r="U3" s="937"/>
      <c r="V3" s="937"/>
      <c r="W3" s="937"/>
      <c r="X3" s="937"/>
      <c r="Y3" s="937"/>
      <c r="Z3" s="937"/>
      <c r="AF3" s="170"/>
      <c r="AK3" s="971"/>
      <c r="AL3" s="971"/>
      <c r="AM3" s="971"/>
      <c r="AN3" s="971"/>
      <c r="AO3" s="971"/>
      <c r="AP3" s="971"/>
      <c r="AQ3" s="971"/>
      <c r="AR3" s="940"/>
      <c r="AS3" s="940"/>
    </row>
    <row s="543" customFormat="1" customHeight="1" ht="11.25" hidden="1">
      <c r="B4" s="401"/>
      <c r="E4" s="843"/>
      <c r="S4" s="937"/>
      <c r="T4" s="937"/>
      <c r="U4" s="937"/>
      <c r="V4" s="937"/>
      <c r="W4" s="937"/>
      <c r="X4" s="937"/>
      <c r="Y4" s="937"/>
      <c r="Z4" s="937"/>
      <c r="AF4" s="170"/>
      <c r="AK4" s="971"/>
      <c r="AL4" s="971"/>
      <c r="AM4" s="971"/>
      <c r="AN4" s="971"/>
      <c r="AO4" s="971"/>
      <c r="AP4" s="971"/>
      <c r="AQ4" s="971"/>
      <c r="AR4" s="940"/>
      <c r="AS4" s="940"/>
    </row>
    <row s="852" customFormat="1" customHeight="1" ht="11.25" hidden="1">
      <c r="A5" s="843"/>
      <c r="B5" s="401"/>
      <c r="C5" s="843"/>
      <c r="D5" s="843"/>
      <c r="E5" s="844" t="s">
        <v>19</v>
      </c>
      <c r="S5" s="967"/>
      <c r="T5" s="967"/>
      <c r="U5" s="967"/>
      <c r="V5" s="967"/>
      <c r="W5" s="967"/>
      <c r="X5" s="967"/>
      <c r="Y5" s="967"/>
      <c r="Z5" s="967"/>
      <c r="AA5" s="596">
        <v>3</v>
      </c>
      <c r="AB5" s="596">
        <v>11</v>
      </c>
      <c r="AC5" s="596">
        <v>70</v>
      </c>
      <c r="AD5" s="596">
        <v>15</v>
      </c>
      <c r="AE5" s="596">
        <v>20</v>
      </c>
      <c r="AF5" s="596">
        <v>20</v>
      </c>
      <c r="AG5" s="596">
        <v>20</v>
      </c>
      <c r="AH5" s="596">
        <v>20</v>
      </c>
      <c r="AI5" s="844">
        <v>3</v>
      </c>
      <c r="AK5" s="972"/>
      <c r="AL5" s="972"/>
      <c r="AM5" s="972"/>
      <c r="AN5" s="972"/>
      <c r="AO5" s="972"/>
      <c r="AP5" s="972"/>
      <c r="AQ5" s="972"/>
    </row>
    <row s="543" customFormat="1" customHeight="1" ht="11.25" hidden="1">
      <c r="B6" s="401"/>
      <c r="E6" s="844"/>
      <c r="S6" s="937"/>
      <c r="T6" s="937"/>
      <c r="U6" s="937"/>
      <c r="V6" s="937"/>
      <c r="W6" s="937"/>
      <c r="X6" s="937"/>
      <c r="Y6" s="937"/>
      <c r="Z6" s="937"/>
      <c r="AK6" s="971"/>
      <c r="AL6" s="971"/>
      <c r="AM6" s="971"/>
      <c r="AN6" s="971"/>
      <c r="AO6" s="971"/>
      <c r="AP6" s="971"/>
      <c r="AQ6" s="971"/>
      <c r="AR6" s="940"/>
      <c r="AS6" s="940"/>
    </row>
    <row s="543" customFormat="1" customHeight="1" ht="11.25" hidden="1">
      <c r="B7" s="401"/>
      <c r="E7" s="844"/>
      <c r="S7" s="937"/>
      <c r="T7" s="937"/>
      <c r="U7" s="937"/>
      <c r="V7" s="937"/>
      <c r="W7" s="937"/>
      <c r="X7" s="937"/>
      <c r="Y7" s="937"/>
      <c r="Z7" s="937"/>
      <c r="AE7" s="339"/>
      <c r="AF7" s="339"/>
      <c r="AG7" s="340"/>
      <c r="AH7" s="340"/>
      <c r="AK7" s="971"/>
      <c r="AL7" s="971"/>
      <c r="AM7" s="971"/>
      <c r="AN7" s="971"/>
      <c r="AO7" s="971"/>
      <c r="AP7" s="971"/>
      <c r="AQ7" s="971"/>
      <c r="AR7" s="940"/>
      <c r="AS7" s="940"/>
    </row>
    <row s="543" customFormat="1" customHeight="1" ht="11.25" hidden="1">
      <c r="B8" s="401"/>
      <c r="E8" s="844"/>
      <c r="S8" s="937"/>
      <c r="T8" s="937"/>
      <c r="U8" s="937"/>
      <c r="V8" s="937"/>
      <c r="W8" s="937"/>
      <c r="X8" s="937"/>
      <c r="Y8" s="937"/>
      <c r="Z8" s="937"/>
      <c r="AF8" s="170"/>
      <c r="AK8" s="971"/>
      <c r="AL8" s="971"/>
      <c r="AM8" s="971"/>
      <c r="AN8" s="971"/>
      <c r="AO8" s="971"/>
      <c r="AP8" s="971"/>
      <c r="AQ8" s="971"/>
      <c r="AR8" s="940"/>
      <c r="AS8" s="940"/>
    </row>
    <row s="971" customFormat="1" customHeight="1" ht="11.25" hidden="1">
      <c r="A9" s="965" t="s">
        <v>402</v>
      </c>
      <c r="B9" s="970"/>
      <c r="E9" s="972"/>
      <c r="S9" s="973"/>
      <c r="T9" s="973"/>
      <c r="U9" s="973"/>
      <c r="V9" s="973"/>
      <c r="W9" s="973"/>
      <c r="X9" s="973"/>
      <c r="Y9" s="973"/>
      <c r="Z9" s="973"/>
      <c r="AF9" s="969"/>
      <c r="AH9" s="971" cm="1" t="str">
        <f t="array" ref="AH9:AH9">AH24</f>
        <v>Срок действия</v>
      </c>
      <c r="AR9" s="940"/>
      <c r="AS9" s="940"/>
    </row>
    <row s="971" customFormat="1" customHeight="1" ht="11.25" hidden="1">
      <c r="A10" s="965" t="s">
        <v>327</v>
      </c>
      <c r="B10" s="970"/>
      <c r="E10" s="972"/>
      <c r="S10" s="973"/>
      <c r="T10" s="973"/>
      <c r="U10" s="973"/>
      <c r="V10" s="973"/>
      <c r="W10" s="973"/>
      <c r="X10" s="973"/>
      <c r="Y10" s="973"/>
      <c r="Z10" s="973"/>
      <c r="AC10" s="966" t="s">
        <v>314</v>
      </c>
      <c r="AD10" s="966" t="s">
        <v>398</v>
      </c>
      <c r="AE10" s="966" t="s">
        <v>399</v>
      </c>
      <c r="AF10" s="966" t="s">
        <v>400</v>
      </c>
      <c r="AG10" s="966" t="s">
        <v>401</v>
      </c>
      <c r="AR10" s="940"/>
      <c r="AS10" s="940"/>
    </row>
    <row s="543" customFormat="1" customHeight="1" ht="11.25" hidden="1">
      <c r="B11" s="401"/>
      <c r="E11" s="844"/>
      <c r="S11" s="937"/>
      <c r="T11" s="937"/>
      <c r="U11" s="937"/>
      <c r="V11" s="937"/>
      <c r="W11" s="937"/>
      <c r="X11" s="937"/>
      <c r="Y11" s="937"/>
      <c r="Z11" s="937"/>
      <c r="AF11" s="170"/>
      <c r="AK11" s="971"/>
      <c r="AL11" s="971"/>
      <c r="AM11" s="971"/>
      <c r="AN11" s="971"/>
      <c r="AO11" s="971"/>
      <c r="AP11" s="971"/>
      <c r="AQ11" s="971"/>
      <c r="AR11" s="940"/>
      <c r="AS11" s="940"/>
    </row>
    <row s="543" customFormat="1" customHeight="1" ht="11.25" hidden="1">
      <c r="B12" s="401"/>
      <c r="E12" s="844"/>
      <c r="S12" s="937"/>
      <c r="T12" s="937"/>
      <c r="U12" s="937"/>
      <c r="V12" s="937"/>
      <c r="W12" s="937"/>
      <c r="X12" s="937"/>
      <c r="Y12" s="937"/>
      <c r="Z12" s="937"/>
      <c r="AA12" s="937"/>
      <c r="AB12" s="937"/>
      <c r="AC12" s="968"/>
      <c r="AD12" s="968"/>
      <c r="AF12" s="170"/>
      <c r="AK12" s="971"/>
      <c r="AL12" s="971"/>
      <c r="AM12" s="971"/>
      <c r="AN12" s="971"/>
      <c r="AO12" s="971"/>
      <c r="AP12" s="971"/>
      <c r="AQ12" s="971"/>
      <c r="AR12" s="940"/>
      <c r="AS12" s="940"/>
    </row>
    <row s="543" customFormat="1" customHeight="1" ht="11.25" hidden="1">
      <c r="B13" s="401"/>
      <c r="E13" s="844"/>
      <c r="S13" s="937"/>
      <c r="T13" s="937"/>
      <c r="U13" s="937"/>
      <c r="V13" s="937"/>
      <c r="W13" s="937"/>
      <c r="X13" s="937"/>
      <c r="Y13" s="937"/>
      <c r="Z13" s="937"/>
      <c r="AA13" s="937"/>
      <c r="AB13" s="937"/>
      <c r="AC13" s="968"/>
      <c r="AD13" s="968"/>
      <c r="AE13" s="968"/>
      <c r="AF13" s="968"/>
      <c r="AK13" s="971"/>
      <c r="AL13" s="971"/>
      <c r="AM13" s="971"/>
      <c r="AN13" s="971"/>
      <c r="AO13" s="971"/>
      <c r="AP13" s="971"/>
      <c r="AQ13" s="971"/>
      <c r="AR13" s="940"/>
      <c r="AS13" s="940"/>
    </row>
    <row s="543" customFormat="1" customHeight="1" ht="11.25" hidden="1">
      <c r="B14" s="401"/>
      <c r="E14" s="844"/>
      <c r="S14" s="937"/>
      <c r="T14" s="937"/>
      <c r="U14" s="937"/>
      <c r="V14" s="937"/>
      <c r="W14" s="937"/>
      <c r="X14" s="937"/>
      <c r="Y14" s="937"/>
      <c r="Z14" s="937"/>
      <c r="AA14" s="937"/>
      <c r="AB14" s="937"/>
      <c r="AC14" s="968"/>
      <c r="AD14" s="968"/>
      <c r="AE14" s="968"/>
      <c r="AF14" s="968"/>
      <c r="AK14" s="971"/>
      <c r="AL14" s="971"/>
      <c r="AM14" s="971"/>
      <c r="AN14" s="971"/>
      <c r="AO14" s="971"/>
      <c r="AP14" s="971"/>
      <c r="AQ14" s="971"/>
      <c r="AR14" s="940"/>
      <c r="AS14" s="940"/>
    </row>
    <row s="543" customFormat="1" customHeight="1" ht="11.25" hidden="1">
      <c r="B15" s="401"/>
      <c r="E15" s="844"/>
      <c r="S15" s="937"/>
      <c r="T15" s="937"/>
      <c r="U15" s="937"/>
      <c r="V15" s="937"/>
      <c r="W15" s="937"/>
      <c r="X15" s="937"/>
      <c r="Y15" s="937"/>
      <c r="Z15" s="937"/>
      <c r="AA15" s="937"/>
      <c r="AB15" s="937"/>
      <c r="AC15" s="968"/>
      <c r="AD15" s="968"/>
      <c r="AE15" s="968"/>
      <c r="AF15" s="968"/>
      <c r="AK15" s="971"/>
      <c r="AL15" s="971"/>
      <c r="AM15" s="971"/>
      <c r="AN15" s="971"/>
      <c r="AO15" s="971"/>
      <c r="AP15" s="971"/>
      <c r="AQ15" s="971"/>
      <c r="AR15" s="940"/>
      <c r="AS15" s="940"/>
    </row>
    <row s="543" customFormat="1" customHeight="1" ht="11.25" hidden="1">
      <c r="B16" s="401"/>
      <c r="E16" s="844"/>
      <c r="S16" s="937"/>
      <c r="T16" s="937"/>
      <c r="U16" s="937"/>
      <c r="V16" s="937"/>
      <c r="W16" s="937"/>
      <c r="X16" s="937"/>
      <c r="Y16" s="937"/>
      <c r="Z16" s="937"/>
      <c r="AA16" s="937"/>
      <c r="AB16" s="937"/>
      <c r="AC16" s="968"/>
      <c r="AD16" s="968"/>
      <c r="AE16" s="968"/>
      <c r="AF16" s="968"/>
      <c r="AK16" s="971"/>
      <c r="AL16" s="971"/>
      <c r="AM16" s="971"/>
      <c r="AN16" s="971"/>
      <c r="AO16" s="971"/>
      <c r="AP16" s="971"/>
      <c r="AQ16" s="971"/>
      <c r="AR16" s="940"/>
      <c r="AS16" s="940"/>
    </row>
    <row s="543" customFormat="1" customHeight="1" ht="11.25" hidden="1">
      <c r="B17" s="401"/>
      <c r="E17" s="844"/>
      <c r="S17" s="937"/>
      <c r="T17" s="937"/>
      <c r="U17" s="937"/>
      <c r="V17" s="937"/>
      <c r="W17" s="937"/>
      <c r="X17" s="937"/>
      <c r="Y17" s="937"/>
      <c r="Z17" s="937"/>
      <c r="AA17" s="937"/>
      <c r="AB17" s="937"/>
      <c r="AC17" s="968"/>
      <c r="AD17" s="968"/>
      <c r="AE17" s="968"/>
      <c r="AF17" s="968"/>
      <c r="AK17" s="971"/>
      <c r="AL17" s="971"/>
      <c r="AM17" s="971"/>
      <c r="AN17" s="971"/>
      <c r="AO17" s="971"/>
      <c r="AP17" s="971"/>
      <c r="AQ17" s="971"/>
      <c r="AR17" s="940"/>
      <c r="AS17" s="940"/>
    </row>
    <row s="543" customFormat="1" customHeight="1" ht="11.25" hidden="1">
      <c r="A18" s="114"/>
      <c r="B18" s="401"/>
      <c r="E18" s="844"/>
      <c r="S18" s="937"/>
      <c r="T18" s="937"/>
      <c r="U18" s="937"/>
      <c r="V18" s="937"/>
      <c r="W18" s="937"/>
      <c r="X18" s="937"/>
      <c r="Y18" s="937"/>
      <c r="Z18" s="937"/>
      <c r="AA18" s="937"/>
      <c r="AB18" s="937"/>
      <c r="AC18" s="925"/>
      <c r="AD18" s="968"/>
      <c r="AE18" s="968"/>
      <c r="AF18" s="968"/>
      <c r="AK18" s="971"/>
      <c r="AL18" s="971"/>
      <c r="AM18" s="971"/>
      <c r="AN18" s="971"/>
      <c r="AO18" s="971"/>
      <c r="AP18" s="971"/>
      <c r="AQ18" s="971"/>
      <c r="AR18" s="940"/>
      <c r="AS18" s="940"/>
    </row>
    <row s="543" customFormat="1" customHeight="1" ht="11.25" hidden="1">
      <c r="B19" s="401"/>
      <c r="E19" s="844"/>
      <c r="S19" s="937"/>
      <c r="T19" s="937"/>
      <c r="U19" s="937"/>
      <c r="V19" s="937"/>
      <c r="W19" s="937"/>
      <c r="X19" s="937"/>
      <c r="Y19" s="937"/>
      <c r="Z19" s="937"/>
      <c r="AA19" s="937"/>
      <c r="AB19" s="937"/>
      <c r="AC19" s="968"/>
      <c r="AD19" s="968"/>
      <c r="AE19" s="968"/>
      <c r="AF19" s="968"/>
      <c r="AK19" s="971"/>
      <c r="AL19" s="971"/>
      <c r="AM19" s="971"/>
      <c r="AN19" s="971"/>
      <c r="AO19" s="971"/>
      <c r="AP19" s="971"/>
      <c r="AQ19" s="971"/>
      <c r="AR19" s="940"/>
      <c r="AS19" s="940"/>
    </row>
    <row s="543" customFormat="1" customHeight="1" ht="11.25" hidden="1">
      <c r="B20" s="401"/>
      <c r="E20" s="844"/>
      <c r="S20" s="937"/>
      <c r="T20" s="937"/>
      <c r="U20" s="937"/>
      <c r="V20" s="937"/>
      <c r="W20" s="937"/>
      <c r="X20" s="937"/>
      <c r="Y20" s="937"/>
      <c r="Z20" s="937"/>
      <c r="AA20" s="937"/>
      <c r="AB20" s="937"/>
      <c r="AC20" s="968"/>
      <c r="AD20" s="968"/>
      <c r="AE20" s="968"/>
      <c r="AF20" s="968"/>
      <c r="AK20" s="971"/>
      <c r="AL20" s="971"/>
      <c r="AM20" s="971"/>
      <c r="AN20" s="971"/>
      <c r="AO20" s="971"/>
      <c r="AP20" s="971"/>
      <c r="AQ20" s="971"/>
      <c r="AR20" s="940"/>
      <c r="AS20" s="940"/>
    </row>
    <row s="543" customFormat="1" customHeight="1" ht="14.625">
      <c r="B21" s="401"/>
      <c r="E21" s="844">
        <v>15</v>
      </c>
      <c r="S21" s="937"/>
      <c r="T21" s="937"/>
      <c r="U21" s="937"/>
      <c r="V21" s="937"/>
      <c r="W21" s="937"/>
      <c r="X21" s="937"/>
      <c r="Y21" s="937"/>
      <c r="Z21" s="937"/>
      <c r="AA21" s="633"/>
      <c r="AB21" s="441"/>
      <c r="AC21" s="331" cm="1" t="str">
        <f t="array" ref="AC21:AC21">tpl_title</f>
        <v>Кемеровская область / 2026 / ОАО «СКЭК» (ИНН:4205153492, КПП:420501001) / ДПР: 2026-2026</v>
      </c>
      <c r="AD21" s="441"/>
      <c r="AE21" s="441"/>
      <c r="AF21" s="441"/>
      <c r="AK21" s="971"/>
      <c r="AL21" s="971"/>
      <c r="AM21" s="971"/>
      <c r="AN21" s="971"/>
      <c r="AO21" s="971"/>
      <c r="AP21" s="971"/>
      <c r="AQ21" s="971"/>
      <c r="AR21" s="940"/>
      <c r="AS21" s="940"/>
    </row>
    <row customHeight="1" ht="20.475">
      <c r="E22" s="610">
        <v>21</v>
      </c>
      <c r="R22" s="937"/>
      <c r="AA22" s="937"/>
      <c r="AB22" s="1489" t="s">
        <v>403</v>
      </c>
      <c r="AC22" s="1490"/>
      <c r="AD22" s="1490"/>
      <c r="AE22" s="1490"/>
      <c r="AF22" s="1490"/>
      <c r="AG22" s="1490"/>
      <c r="AH22" s="1490"/>
    </row>
    <row customHeight="1" ht="8.775">
      <c r="E23" s="610">
        <v>9</v>
      </c>
      <c r="AA23" s="944"/>
      <c r="AB23" s="81"/>
      <c r="AC23" s="81"/>
      <c r="AD23" s="81"/>
      <c r="AE23" s="81"/>
      <c r="AF23" s="1507"/>
      <c r="AG23" s="1507"/>
      <c r="AH23" s="61"/>
    </row>
    <row s="1363" customFormat="1" customHeight="1" ht="20.475">
      <c r="B24" s="400"/>
      <c r="E24" s="610">
        <v>21</v>
      </c>
      <c r="AB24" s="152" t="s">
        <v>21</v>
      </c>
      <c r="AC24" s="151" t="s">
        <v>404</v>
      </c>
      <c r="AD24" s="151" t="s">
        <v>405</v>
      </c>
      <c r="AE24" s="151" t="s">
        <v>406</v>
      </c>
      <c r="AF24" s="151" t="s">
        <v>407</v>
      </c>
      <c r="AG24" s="151" t="s">
        <v>408</v>
      </c>
      <c r="AH24" s="151" t="s">
        <v>409</v>
      </c>
      <c r="AK24" s="974"/>
      <c r="AL24" s="974"/>
      <c r="AM24" s="974"/>
      <c r="AN24" s="974"/>
      <c r="AO24" s="974"/>
      <c r="AP24" s="974"/>
      <c r="AQ24" s="974"/>
      <c r="AR24" s="593"/>
      <c r="AS24" s="593"/>
    </row>
    <row s="1624" customFormat="1" customHeight="1" ht="11.25" hidden="1">
      <c r="A25" s="472"/>
      <c r="B25" s="634"/>
      <c r="C25" s="472"/>
      <c r="D25" s="472"/>
      <c r="E25" s="604">
        <v>0</v>
      </c>
      <c r="F25" s="630"/>
      <c r="G25" s="472"/>
      <c r="H25" s="472"/>
      <c r="I25" s="472"/>
      <c r="J25" s="472"/>
      <c r="K25" s="472"/>
      <c r="L25" s="472"/>
      <c r="M25" s="472"/>
      <c r="N25" s="472"/>
      <c r="O25" s="472"/>
      <c r="P25" s="472"/>
      <c r="Q25" s="472"/>
      <c r="R25" s="472"/>
      <c r="S25" s="472"/>
      <c r="T25" s="472"/>
      <c r="U25" s="472"/>
      <c r="V25" s="472"/>
      <c r="W25" s="472"/>
      <c r="X25" s="472"/>
      <c r="Y25" s="472"/>
      <c r="Z25" s="472"/>
      <c r="AA25" s="472"/>
      <c r="AB25" s="935"/>
      <c r="AC25" s="66"/>
      <c r="AD25" s="66"/>
      <c r="AE25" s="66"/>
      <c r="AF25" s="66"/>
      <c r="AI25" s="472"/>
      <c r="AJ25" s="472"/>
      <c r="AK25" s="975"/>
      <c r="AL25" s="975"/>
      <c r="AM25" s="975"/>
      <c r="AN25" s="975"/>
      <c r="AO25" s="975"/>
      <c r="AP25" s="976"/>
      <c r="AQ25" s="975"/>
      <c r="AR25" s="635"/>
      <c r="AS25" s="599"/>
    </row>
    <row s="1363" customFormat="1" customHeight="1" ht="15" hidden="1">
      <c r="A26" s="1363"/>
      <c r="B26" s="400"/>
      <c r="C26" s="1363"/>
      <c r="D26" s="1363"/>
      <c r="E26" s="611" t="s">
        <v>330</v>
      </c>
      <c r="F26" s="88" cm="1" t="str">
        <f t="array" ref="F26:F26">Y26</f>
        <v>0</v>
      </c>
      <c r="G26" s="1363"/>
      <c r="H26" s="1363"/>
      <c r="I26" s="1363"/>
      <c r="J26" s="1363"/>
      <c r="K26" s="1363"/>
      <c r="L26" s="1363"/>
      <c r="M26" s="1363"/>
      <c r="N26" s="1363"/>
      <c r="O26" s="1363"/>
      <c r="P26" s="1363"/>
      <c r="Q26" s="1363"/>
      <c r="R26" s="1363"/>
      <c r="S26" s="1363"/>
      <c r="T26" s="1363"/>
      <c r="U26" s="438">
        <f>Y26&gt;0</f>
        <v>0</v>
      </c>
      <c r="V26" s="1363"/>
      <c r="W26" s="88" t="s">
        <v>267</v>
      </c>
      <c r="X26" s="1363"/>
      <c r="Y26" s="1511">
        <v>0</v>
      </c>
      <c r="Z26" s="1494"/>
      <c r="AA26" s="1363"/>
      <c r="AB26" s="146" cm="1" t="str">
        <f t="array" ref="AB26:AB26">INDEX('Общие сведения'!$AG$179:$AG$208,MATCH($Y26,'Общие сведения'!$Z$179:$Z$208,0))</f>
        <v>Тариф 0 () - тариф на транспортировку сточных вод</v>
      </c>
      <c r="AC26" s="146"/>
      <c r="AD26" s="140"/>
      <c r="AE26" s="140"/>
      <c r="AF26" s="140"/>
      <c r="AG26" s="140"/>
      <c r="AH26" s="140"/>
      <c r="AI26" s="1363"/>
      <c r="AJ26" s="1363"/>
      <c r="AK26" s="974"/>
      <c r="AL26" s="974"/>
      <c r="AM26" s="974"/>
      <c r="AN26" s="974"/>
      <c r="AO26" s="974"/>
      <c r="AP26" s="974"/>
      <c r="AQ26" s="974"/>
      <c r="AR26" s="593"/>
      <c r="AS26" s="593"/>
    </row>
    <row s="1363" customFormat="1" customHeight="1" ht="15" hidden="1">
      <c r="A27" s="1363"/>
      <c r="B27" s="400"/>
      <c r="C27" s="1363"/>
      <c r="D27" s="1363"/>
      <c r="E27" s="604">
        <v>0</v>
      </c>
      <c r="F27" s="88" cm="1" t="str">
        <f t="array" ref="F27:F27">OFFSET(G27,-1,-1)</f>
        <v>0</v>
      </c>
      <c r="G27" s="1363"/>
      <c r="H27" s="1363"/>
      <c r="I27" s="1363"/>
      <c r="J27" s="1363"/>
      <c r="K27" s="1363"/>
      <c r="L27" s="1363"/>
      <c r="M27" s="1363"/>
      <c r="N27" s="1363"/>
      <c r="O27" s="1363"/>
      <c r="P27" s="1363"/>
      <c r="Q27" s="1363"/>
      <c r="R27" s="1363"/>
      <c r="S27" s="1363"/>
      <c r="T27" s="1363"/>
      <c r="U27" s="438" t="b">
        <v>0</v>
      </c>
      <c r="V27" s="1363"/>
      <c r="W27" s="1363"/>
      <c r="X27" s="1363"/>
      <c r="Y27" s="1511"/>
      <c r="Z27" s="1494"/>
      <c r="AA27" s="1363"/>
      <c r="AB27" s="146"/>
      <c r="AC27" s="146"/>
      <c r="AD27" s="140"/>
      <c r="AE27" s="140"/>
      <c r="AF27" s="140"/>
      <c r="AG27" s="140"/>
      <c r="AH27" s="140"/>
      <c r="AI27" s="1363"/>
      <c r="AJ27" s="1363"/>
      <c r="AK27" s="974"/>
      <c r="AL27" s="974"/>
      <c r="AM27" s="974"/>
      <c r="AN27" s="974"/>
      <c r="AO27" s="974"/>
      <c r="AP27" s="974"/>
      <c r="AQ27" s="974"/>
      <c r="AR27" s="593"/>
      <c r="AS27" s="593"/>
    </row>
    <row s="1412" customFormat="1" customHeight="1" ht="14.625" hidden="1">
      <c r="A28" s="1412"/>
      <c r="B28" s="400"/>
      <c r="C28" s="1412"/>
      <c r="D28" s="1412"/>
      <c r="E28" s="604">
        <v>15</v>
      </c>
      <c r="F28" s="70" cm="1" t="str">
        <f t="array" ref="F28:F28">OFFSET(G28,-1,-1)</f>
        <v>0</v>
      </c>
      <c r="G28" s="1412"/>
      <c r="H28" s="1412"/>
      <c r="I28" s="70" t="s">
        <v>410</v>
      </c>
      <c r="J28" s="1412"/>
      <c r="K28" s="70" t="s">
        <v>411</v>
      </c>
      <c r="L28" s="1412"/>
      <c r="M28" s="1412"/>
      <c r="N28" s="1412"/>
      <c r="O28" s="1412"/>
      <c r="P28" s="1412"/>
      <c r="Q28" s="1412"/>
      <c r="R28" s="1412"/>
      <c r="S28" s="1412"/>
      <c r="T28" s="1412"/>
      <c r="U28" s="438">
        <f>AND(F28&gt;0,AB28&gt;0)</f>
        <v>0</v>
      </c>
      <c r="V28" s="1412"/>
      <c r="W28" s="1412"/>
      <c r="X28" s="733" t="s">
        <v>172</v>
      </c>
      <c r="Y28" s="1511"/>
      <c r="Z28" s="1494"/>
      <c r="AA28" s="638" t="s">
        <v>173</v>
      </c>
      <c r="AB28" s="54">
        <v>0</v>
      </c>
      <c r="AC28" s="240" t="str">
        <f>I28&amp;" :: "&amp;K28</f>
        <v>Наименование объекта :: адрес</v>
      </c>
      <c r="AD28" s="240"/>
      <c r="AE28" s="240"/>
      <c r="AF28" s="376"/>
      <c r="AG28" s="376"/>
      <c r="AH28" s="1790"/>
      <c r="AI28" s="1412"/>
      <c r="AJ28" s="1412"/>
      <c r="AK28" s="977" t="s">
        <v>412</v>
      </c>
      <c r="AL28" s="977" t="s">
        <v>413</v>
      </c>
      <c r="AM28" s="977" cm="1" t="str">
        <f t="array" ref="AM28:AM28">AC28</f>
        <v>Наименование объекта :: адрес</v>
      </c>
      <c r="AN28" s="977" cm="1" t="str">
        <f t="array" ref="AN28:AN28">AD28</f>
        <v>0</v>
      </c>
      <c r="AO28" s="977" cm="1" t="str">
        <f t="array" ref="AO28:AO28">AE28</f>
        <v>0</v>
      </c>
      <c r="AP28" s="977" cm="1" t="str">
        <f t="array" ref="AP28:AP28">AF28</f>
        <v>0</v>
      </c>
      <c r="AQ28" s="977" cm="1" t="str">
        <f t="array" ref="AQ28:AQ28">AG28</f>
        <v>0</v>
      </c>
      <c r="AR28" s="603"/>
      <c r="AS28" s="603" t="b">
        <v>1</v>
      </c>
    </row>
    <row s="1363" customFormat="1" customHeight="1" ht="10.725000000000001" hidden="1">
      <c r="A29" s="1363"/>
      <c r="B29" s="400"/>
      <c r="C29" s="1363"/>
      <c r="D29" s="1363"/>
      <c r="E29" s="604">
        <v>11</v>
      </c>
      <c r="F29" s="88" cm="1" t="str">
        <f t="array" ref="F29:F29">OFFSET(G29,-1,-1)</f>
        <v>0</v>
      </c>
      <c r="G29" s="1363"/>
      <c r="H29" s="1363"/>
      <c r="I29" s="1363"/>
      <c r="J29" s="1363"/>
      <c r="K29" s="1363"/>
      <c r="L29" s="1363"/>
      <c r="M29" s="1363"/>
      <c r="N29" s="1363"/>
      <c r="O29" s="1363"/>
      <c r="P29" s="1363"/>
      <c r="Q29" s="1363"/>
      <c r="R29" s="1363"/>
      <c r="S29" s="1363"/>
      <c r="T29" s="1363"/>
      <c r="U29" s="438">
        <f>F29&gt;0</f>
        <v>0</v>
      </c>
      <c r="V29" s="1363"/>
      <c r="W29" s="1363"/>
      <c r="X29" s="733" t="s">
        <v>414</v>
      </c>
      <c r="Y29" s="1511"/>
      <c r="Z29" s="1494"/>
      <c r="AA29" s="1363"/>
      <c r="AB29" s="141"/>
      <c r="AC29" s="144" t="s">
        <v>415</v>
      </c>
      <c r="AD29" s="142"/>
      <c r="AE29" s="142"/>
      <c r="AF29" s="142"/>
      <c r="AG29" s="142"/>
      <c r="AH29" s="153"/>
      <c r="AI29" s="1363"/>
      <c r="AJ29" s="1363"/>
      <c r="AK29" s="974"/>
      <c r="AL29" s="974"/>
      <c r="AM29" s="974"/>
      <c r="AN29" s="974"/>
      <c r="AO29" s="974"/>
      <c r="AP29" s="974"/>
      <c r="AQ29" s="974"/>
      <c r="AR29" s="593" t="s">
        <v>413</v>
      </c>
      <c r="AS29" s="593"/>
    </row>
    <row s="511" customFormat="1" customHeight="1" ht="35.70962905883789">
      <c r="A30" s="1363"/>
      <c r="B30" s="400"/>
      <c r="C30" s="1363"/>
      <c r="D30" s="1363"/>
      <c r="E30" s="611" t="s">
        <v>330</v>
      </c>
      <c r="F30" s="88" cm="1" t="str">
        <f t="array" ref="F30:F30">Y30</f>
        <v>1</v>
      </c>
      <c r="G30" s="1363"/>
      <c r="H30" s="1363"/>
      <c r="I30" s="1363"/>
      <c r="J30" s="1363"/>
      <c r="K30" s="1363"/>
      <c r="L30" s="1363"/>
      <c r="M30" s="1363"/>
      <c r="N30" s="1363"/>
      <c r="O30" s="1363"/>
      <c r="P30" s="1363"/>
      <c r="Q30" s="1363"/>
      <c r="R30" s="1363"/>
      <c r="S30" s="1363"/>
      <c r="T30" s="1363"/>
      <c r="U30" s="438">
        <f>Y30&gt;0</f>
        <v>1</v>
      </c>
      <c r="V30" s="1363"/>
      <c r="W30" s="88" cm="1" t="str">
        <f t="array" ref="W30:W30">'Перечень объектов'!$AC$39</f>
        <v>Тариф 1 (Водоотведение) - тариф на транспортировку сточных вод</v>
      </c>
      <c r="X30" s="1363"/>
      <c r="Y30" s="1511" t="s">
        <v>281</v>
      </c>
      <c r="Z30" s="1494"/>
      <c r="AA30" s="1363"/>
      <c r="AB30" s="146" cm="1" t="str">
        <f t="array" ref="AB30:AB30">'Перечень объектов'!$AC$39</f>
        <v>Тариф 1 (Водоотведение) - тариф на транспортировку сточных вод</v>
      </c>
      <c r="AC30" s="146"/>
      <c r="AD30" s="140"/>
      <c r="AE30" s="140"/>
      <c r="AF30" s="140"/>
      <c r="AG30" s="140"/>
      <c r="AH30" s="140"/>
      <c r="AI30" s="1363"/>
      <c r="AJ30" s="1363"/>
      <c r="AK30" s="974"/>
      <c r="AL30" s="974"/>
      <c r="AM30" s="974"/>
      <c r="AN30" s="974"/>
      <c r="AO30" s="974"/>
      <c r="AP30" s="974"/>
      <c r="AQ30" s="974"/>
      <c r="AR30" s="593"/>
      <c r="AS30" s="593"/>
    </row>
    <row s="511" customFormat="1" customHeight="1" ht="15" hidden="1">
      <c r="A31" s="1363"/>
      <c r="B31" s="400"/>
      <c r="C31" s="1363"/>
      <c r="D31" s="1363"/>
      <c r="E31" s="604">
        <v>0</v>
      </c>
      <c r="F31" s="88" cm="1" t="str">
        <f t="array" ref="F31:F31">OFFSET(G31,-1,-1)</f>
        <v>1</v>
      </c>
      <c r="G31" s="1363"/>
      <c r="H31" s="1363"/>
      <c r="I31" s="1363"/>
      <c r="J31" s="1363"/>
      <c r="K31" s="1363"/>
      <c r="L31" s="1363"/>
      <c r="M31" s="1363"/>
      <c r="N31" s="1363"/>
      <c r="O31" s="1363"/>
      <c r="P31" s="1363"/>
      <c r="Q31" s="1363"/>
      <c r="R31" s="1363"/>
      <c r="S31" s="1363"/>
      <c r="T31" s="1363"/>
      <c r="U31" s="438" t="b">
        <v>0</v>
      </c>
      <c r="V31" s="1363"/>
      <c r="W31" s="1363"/>
      <c r="X31" s="1363"/>
      <c r="Y31" s="1511"/>
      <c r="Z31" s="1494"/>
      <c r="AA31" s="1363"/>
      <c r="AB31" s="146"/>
      <c r="AC31" s="146"/>
      <c r="AD31" s="140"/>
      <c r="AE31" s="140"/>
      <c r="AF31" s="140"/>
      <c r="AG31" s="140"/>
      <c r="AH31" s="140"/>
      <c r="AI31" s="1363"/>
      <c r="AJ31" s="1363"/>
      <c r="AK31" s="974"/>
      <c r="AL31" s="974"/>
      <c r="AM31" s="974"/>
      <c r="AN31" s="974"/>
      <c r="AO31" s="974"/>
      <c r="AP31" s="974"/>
      <c r="AQ31" s="974"/>
      <c r="AR31" s="593"/>
      <c r="AS31" s="593"/>
    </row>
    <row s="1412" customFormat="1" customHeight="1" ht="14.25" hidden="1">
      <c r="A32" s="1412"/>
      <c r="B32" s="400"/>
      <c r="C32" s="1412"/>
      <c r="D32" s="1412"/>
      <c r="E32" s="604">
        <v>15</v>
      </c>
      <c r="F32" s="70" cm="1" t="str">
        <f t="array" ref="F32:F32">OFFSET(G32,-1,-1)</f>
        <v>1</v>
      </c>
      <c r="G32" s="1412"/>
      <c r="H32" s="1412"/>
      <c r="I32" s="70" t="s">
        <v>410</v>
      </c>
      <c r="J32" s="1412"/>
      <c r="K32" s="70" t="s">
        <v>411</v>
      </c>
      <c r="L32" s="1412"/>
      <c r="M32" s="1412"/>
      <c r="N32" s="1412"/>
      <c r="O32" s="1412"/>
      <c r="P32" s="1412"/>
      <c r="Q32" s="1412"/>
      <c r="R32" s="1412"/>
      <c r="S32" s="1412"/>
      <c r="T32" s="1412"/>
      <c r="U32" s="438">
        <f>AND(F32&gt;0,AB32&gt;0)</f>
        <v>0</v>
      </c>
      <c r="V32" s="1412"/>
      <c r="W32" s="1412"/>
      <c r="X32" s="733" t="s">
        <v>172</v>
      </c>
      <c r="Y32" s="1511"/>
      <c r="Z32" s="1494"/>
      <c r="AA32" s="638" t="s">
        <v>173</v>
      </c>
      <c r="AB32" s="54">
        <v>0</v>
      </c>
      <c r="AC32" s="240" t="str">
        <f>I32&amp;" :: "&amp;K32</f>
        <v>Наименование объекта :: адрес</v>
      </c>
      <c r="AD32" s="240"/>
      <c r="AE32" s="240"/>
      <c r="AF32" s="376"/>
      <c r="AG32" s="376"/>
      <c r="AH32" s="1790"/>
      <c r="AI32" s="1412"/>
      <c r="AJ32" s="1412"/>
      <c r="AK32" s="977" t="s">
        <v>412</v>
      </c>
      <c r="AL32" s="977" t="s">
        <v>413</v>
      </c>
      <c r="AM32" s="977" cm="1" t="str">
        <f t="array" ref="AM32:AM32">AC32</f>
        <v>Наименование объекта :: адрес</v>
      </c>
      <c r="AN32" s="977" cm="1" t="str">
        <f t="array" ref="AN32:AN32">AD32</f>
        <v>0</v>
      </c>
      <c r="AO32" s="977" cm="1" t="str">
        <f t="array" ref="AO32:AO32">AE32</f>
        <v>0</v>
      </c>
      <c r="AP32" s="977" cm="1" t="str">
        <f t="array" ref="AP32:AP32">AF32</f>
        <v>0</v>
      </c>
      <c r="AQ32" s="977" cm="1" t="str">
        <f t="array" ref="AQ32:AQ32">AG32</f>
        <v>0</v>
      </c>
      <c r="AR32" s="603"/>
      <c r="AS32" s="603" t="b">
        <v>1</v>
      </c>
    </row>
    <row s="1412" customFormat="1" customHeight="1" ht="35.0846290588379">
      <c r="A33" s="1412"/>
      <c r="B33" s="400"/>
      <c r="C33" s="1412"/>
      <c r="D33" s="1412"/>
      <c r="E33" s="604">
        <v>15</v>
      </c>
      <c r="F33" s="70" cm="1" t="str">
        <f t="array" ref="F33:F33">OFFSET(G33,-1,-1)</f>
        <v>1</v>
      </c>
      <c r="G33" s="1412"/>
      <c r="H33" s="1412"/>
      <c r="I33" s="70" t="s">
        <v>416</v>
      </c>
      <c r="J33" s="1412"/>
      <c r="K33" s="70" t="s">
        <v>417</v>
      </c>
      <c r="L33" s="1412"/>
      <c r="M33" s="1412"/>
      <c r="N33" s="1412"/>
      <c r="O33" s="1412"/>
      <c r="P33" s="1412"/>
      <c r="Q33" s="1412"/>
      <c r="R33" s="1412"/>
      <c r="S33" s="1412"/>
      <c r="T33" s="1412"/>
      <c r="U33" s="438">
        <f>AND(F33&gt;0,AB33&gt;0)</f>
        <v>1</v>
      </c>
      <c r="V33" s="1412"/>
      <c r="W33" s="1412"/>
      <c r="X33" s="733"/>
      <c r="Y33" s="1511"/>
      <c r="Z33" s="1494"/>
      <c r="AA33" s="638" t="s">
        <v>173</v>
      </c>
      <c r="AB33" s="54" t="s">
        <v>281</v>
      </c>
      <c r="AC33" s="240" t="str">
        <f>I33&amp;" :: "&amp;K33</f>
        <v>Сети водоотведения (транспортировка) :: г Полысаево, г. Полысаево, б/н</v>
      </c>
      <c r="AD33" s="240" t="s">
        <v>418</v>
      </c>
      <c r="AE33" s="240" t="s">
        <v>419</v>
      </c>
      <c r="AF33" s="376" t="s">
        <v>319</v>
      </c>
      <c r="AG33" s="376" t="s">
        <v>420</v>
      </c>
      <c r="AH33" s="155" t="s">
        <v>421</v>
      </c>
      <c r="AI33" s="1412"/>
      <c r="AJ33" s="1412"/>
      <c r="AK33" s="977" t="s">
        <v>412</v>
      </c>
      <c r="AL33" s="977" t="s">
        <v>413</v>
      </c>
      <c r="AM33" s="977" cm="1" t="str">
        <f t="array" ref="AM33:AM33">AC33</f>
        <v>Сети водоотведения (транспортировка) :: г Полысаево, г. Полысаево, б/н</v>
      </c>
      <c r="AN33" s="977" cm="1" t="str">
        <f t="array" ref="AN33:AN33">AD33</f>
        <v>концессионное соглашение</v>
      </c>
      <c r="AO33" s="977" cm="1" t="str">
        <f t="array" ref="AO33:AO33">AE33</f>
        <v>соглашение</v>
      </c>
      <c r="AP33" s="977" cm="1" t="str">
        <f t="array" ref="AP33:AP33">AF33</f>
        <v>3</v>
      </c>
      <c r="AQ33" s="977" cm="1" t="str">
        <f t="array" ref="AQ33:AQ33">AG33</f>
        <v>14.11.2019</v>
      </c>
      <c r="AR33" s="603"/>
      <c r="AS33" s="603" t="b">
        <v>1</v>
      </c>
    </row>
    <row s="511" customFormat="1" customHeight="1" ht="16.95962905883789">
      <c r="A34" s="1363"/>
      <c r="B34" s="400"/>
      <c r="C34" s="1363"/>
      <c r="D34" s="1363"/>
      <c r="E34" s="604">
        <v>11</v>
      </c>
      <c r="F34" s="88" cm="1" t="str">
        <f t="array" ref="F34:F34">OFFSET(G34,-1,-1)</f>
        <v>1</v>
      </c>
      <c r="G34" s="1363"/>
      <c r="H34" s="1363"/>
      <c r="I34" s="1363"/>
      <c r="J34" s="1363"/>
      <c r="K34" s="1363"/>
      <c r="L34" s="1363"/>
      <c r="M34" s="1363"/>
      <c r="N34" s="1363"/>
      <c r="O34" s="1363"/>
      <c r="P34" s="1363"/>
      <c r="Q34" s="1363"/>
      <c r="R34" s="1363"/>
      <c r="S34" s="1363"/>
      <c r="T34" s="1363"/>
      <c r="U34" s="438">
        <f>F34&gt;0</f>
        <v>1</v>
      </c>
      <c r="V34" s="1363"/>
      <c r="W34" s="1363"/>
      <c r="X34" s="733" t="s">
        <v>414</v>
      </c>
      <c r="Y34" s="1511"/>
      <c r="Z34" s="1494"/>
      <c r="AA34" s="1363"/>
      <c r="AB34" s="141"/>
      <c r="AC34" s="144" t="s">
        <v>415</v>
      </c>
      <c r="AD34" s="142"/>
      <c r="AE34" s="142"/>
      <c r="AF34" s="142"/>
      <c r="AG34" s="142"/>
      <c r="AH34" s="153"/>
      <c r="AI34" s="1363"/>
      <c r="AJ34" s="1363"/>
      <c r="AK34" s="974"/>
      <c r="AL34" s="974"/>
      <c r="AM34" s="974"/>
      <c r="AN34" s="974"/>
      <c r="AO34" s="974"/>
      <c r="AP34" s="974"/>
      <c r="AQ34" s="974"/>
      <c r="AR34" s="593" t="s">
        <v>413</v>
      </c>
      <c r="AS34" s="593"/>
    </row>
    <row customHeight="1" ht="10.725000000000001">
      <c r="A35" s="387"/>
      <c r="B35" s="387"/>
      <c r="C35" s="387"/>
      <c r="D35" s="387"/>
      <c r="E35" s="604">
        <v>11</v>
      </c>
      <c r="F35" s="387"/>
      <c r="G35" s="387"/>
      <c r="H35" s="387"/>
      <c r="I35" s="387"/>
      <c r="J35" s="387"/>
      <c r="K35" s="387"/>
      <c r="L35" s="387"/>
      <c r="M35" s="387"/>
      <c r="N35" s="387"/>
      <c r="O35" s="387"/>
      <c r="P35" s="387"/>
      <c r="Q35" s="387"/>
      <c r="R35" s="387"/>
      <c r="S35" s="387"/>
      <c r="T35" s="387"/>
      <c r="U35" s="387"/>
      <c r="V35" s="88" t="s">
        <v>176</v>
      </c>
      <c r="W35" s="106" t="s">
        <v>422</v>
      </c>
      <c r="X35" s="387"/>
      <c r="Y35" s="387"/>
      <c r="Z35" s="387"/>
      <c r="AA35" s="387"/>
      <c r="AI35" s="387"/>
      <c r="AJ35" s="387"/>
      <c r="AK35" s="978"/>
      <c r="AL35" s="978"/>
      <c r="AM35" s="978"/>
      <c r="AN35" s="978"/>
      <c r="AO35" s="978"/>
      <c r="AP35" s="978"/>
      <c r="AQ35" s="978"/>
      <c r="AR35" s="632"/>
      <c r="AS35" s="651"/>
    </row>
    <row s="1624" customFormat="1" customHeight="1" ht="11.25" hidden="1">
      <c r="A36" s="472"/>
      <c r="B36" s="634"/>
      <c r="C36" s="472"/>
      <c r="D36" s="472"/>
      <c r="E36" s="604"/>
      <c r="F36" s="387"/>
      <c r="G36" s="387"/>
      <c r="H36" s="387"/>
      <c r="I36" s="387"/>
      <c r="J36" s="472"/>
      <c r="K36" s="472"/>
      <c r="L36" s="472"/>
      <c r="M36" s="472"/>
      <c r="N36" s="472"/>
      <c r="O36" s="472"/>
      <c r="P36" s="472"/>
      <c r="Q36" s="472"/>
      <c r="R36" s="472"/>
      <c r="S36" s="472"/>
      <c r="T36" s="472"/>
      <c r="U36" s="472"/>
      <c r="V36" s="472"/>
      <c r="W36" s="472"/>
      <c r="X36" s="472"/>
      <c r="Y36" s="472"/>
      <c r="Z36" s="472"/>
      <c r="AA36" s="472"/>
      <c r="AC36" s="66"/>
      <c r="AD36" s="66"/>
      <c r="AE36" s="66"/>
      <c r="AF36" s="66"/>
      <c r="AI36" s="472"/>
      <c r="AJ36" s="472"/>
      <c r="AK36" s="975"/>
      <c r="AL36" s="975"/>
      <c r="AM36" s="975"/>
      <c r="AN36" s="975"/>
      <c r="AO36" s="975"/>
      <c r="AP36" s="976"/>
      <c r="AQ36" s="975"/>
      <c r="AR36" s="635"/>
      <c r="AS36" s="599"/>
    </row>
    <row customHeight="1" ht="11.25" hidden="1">
      <c r="E37" s="604"/>
    </row>
    <row customHeight="1" ht="11.25" hidden="1">
      <c r="E38" s="604"/>
    </row>
    <row customHeight="1" ht="11.25" hidden="1">
      <c r="E39" s="604"/>
    </row>
    <row customHeight="1" ht="11.25" hidden="1">
      <c r="E40" s="604"/>
    </row>
    <row customHeight="1" ht="11.25" hidden="1">
      <c r="E41" s="612"/>
    </row>
    <row customHeight="1" ht="11.25" hidden="1">
      <c r="E42" s="604"/>
    </row>
    <row customHeight="1" ht="11.25" hidden="1">
      <c r="E43" s="604"/>
    </row>
    <row customHeight="1" ht="11.25" hidden="1">
      <c r="E44" s="604"/>
    </row>
    <row customHeight="1" ht="11.25" hidden="1">
      <c r="E45" s="609"/>
    </row>
    <row customHeight="1" ht="11.25" hidden="1">
      <c r="E46" s="607"/>
    </row>
    <row customHeight="1" ht="11.25" hidden="1">
      <c r="E47" s="607"/>
    </row>
    <row customHeight="1" ht="11.25" hidden="1">
      <c r="E48" s="607"/>
    </row>
  </sheetData>
  <sheetProtection formatColumns="0" formatRows="0" insertRows="0" deleteColumns="0" deleteRows="0" sort="0" autoFilter="0" insertColumns="1"/>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040EB6-B6D8-9108-64DA-7CC749B566B8}" mc:Ignorable="x14ac xr xr2 xr3">
  <sheetPr>
    <tabColor theme="3" tint="0.6"/>
    <outlinePr summaryRight="0" summaryBelow="0"/>
    <pageSetUpPr fitToPage="1"/>
  </sheetPr>
  <dimension ref="A1:BM82"/>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363" width="3.57421875" hidden="1" customWidth="1"/>
    <col min="2" max="2" style="1369" width="8.7109375" hidden="1" customWidth="1"/>
    <col min="3" max="4" style="1363" width="3.57421875" hidden="1" customWidth="1"/>
    <col min="5" max="5" style="1370" width="3.57421875" hidden="1" customWidth="1"/>
    <col min="6" max="6" style="1364" width="8.57421875" hidden="1" customWidth="1"/>
    <col min="7" max="7" style="1363" width="7.57421875" hidden="1" customWidth="1"/>
    <col min="8" max="20" style="1363" width="3.57421875" hidden="1" customWidth="1"/>
    <col min="21" max="21" style="1363" width="8.57421875" hidden="1" customWidth="1"/>
    <col min="22" max="26" style="1363" width="6.00390625" hidden="1" customWidth="1"/>
    <col min="27" max="27" style="1363" width="3.00390625" customWidth="1"/>
    <col min="28" max="28" style="1412" width="11.00390625" customWidth="1"/>
    <col min="29" max="29" style="1411" width="40.00390625" customWidth="1"/>
    <col min="30" max="33" style="1363" width="15.00390625" customWidth="1"/>
    <col min="34" max="34" style="1363" width="17.7109375" customWidth="1"/>
    <col min="35" max="40" style="1363" width="15.00390625" customWidth="1"/>
    <col min="41" max="58" style="1363" width="15.00390625" hidden="1" customWidth="1"/>
    <col min="59" max="59" style="1363" width="3.00390625" customWidth="1"/>
    <col min="60" max="60" style="1363" width="9.140625" hidden="1"/>
    <col min="61" max="63" style="1374" width="9.140625" hidden="1"/>
    <col min="64" max="65" style="1370" width="9.140625" hidden="1"/>
  </cols>
  <sheetData>
    <row customHeight="1" ht="11.25" hidden="1">
      <c r="E1" s="88"/>
      <c r="F1" s="725" t="s">
        <v>309</v>
      </c>
      <c r="H1" s="88" t="s">
        <v>320</v>
      </c>
      <c r="U1" s="438" t="s">
        <v>92</v>
      </c>
      <c r="V1" s="438" t="s">
        <v>97</v>
      </c>
      <c r="W1" s="438" t="s">
        <v>93</v>
      </c>
      <c r="X1" s="438" t="s">
        <v>94</v>
      </c>
      <c r="Y1" s="438" t="s">
        <v>95</v>
      </c>
      <c r="Z1" s="438" t="s">
        <v>99</v>
      </c>
      <c r="AA1" s="438" t="s">
        <v>96</v>
      </c>
      <c r="AB1" s="438" t="s">
        <v>311</v>
      </c>
      <c r="AC1" s="438" t="s">
        <v>98</v>
      </c>
      <c r="AO1" s="1363"/>
      <c r="AP1" s="1363"/>
      <c r="AQ1" s="1363"/>
      <c r="AR1" s="1363"/>
      <c r="AS1" s="1363"/>
      <c r="AT1" s="1363"/>
      <c r="AU1" s="1363"/>
      <c r="AV1" s="1363"/>
      <c r="AW1" s="1363"/>
      <c r="AX1" s="1363"/>
      <c r="AY1" s="1363"/>
      <c r="AZ1" s="1363"/>
      <c r="BA1" s="1363"/>
      <c r="BB1" s="1363"/>
      <c r="BC1" s="1363"/>
      <c r="BD1" s="1363"/>
      <c r="BE1" s="1363"/>
      <c r="BF1" s="1363"/>
      <c r="BI1" s="974" t="s">
        <v>312</v>
      </c>
      <c r="BJ1" s="974" t="s">
        <v>313</v>
      </c>
      <c r="BK1" s="974" t="s">
        <v>314</v>
      </c>
      <c r="BL1" s="593" t="s">
        <v>317</v>
      </c>
      <c r="BM1" s="593" t="s">
        <v>318</v>
      </c>
    </row>
    <row s="1369" customFormat="1" customHeight="1" ht="11.25" hidden="1">
      <c r="B2" s="418" t="s">
        <v>18</v>
      </c>
      <c r="F2" s="726"/>
      <c r="AC2" s="415"/>
      <c r="AO2" s="418">
        <f>AO6&lt;=last_year_vis</f>
        <v>0</v>
      </c>
      <c r="AP2" s="418">
        <f>AP6&lt;=last_year_vis</f>
        <v>0</v>
      </c>
      <c r="AQ2" s="418">
        <f>AQ6&lt;=last_year_vis</f>
        <v>0</v>
      </c>
      <c r="AR2" s="418">
        <f>AR6&lt;=last_year_vis</f>
        <v>0</v>
      </c>
      <c r="AS2" s="418">
        <f>AS6&lt;=last_year_vis</f>
        <v>0</v>
      </c>
      <c r="AT2" s="418">
        <f>AT6&lt;=last_year_vis</f>
        <v>0</v>
      </c>
      <c r="AU2" s="418">
        <f>AU6&lt;=last_year_vis</f>
        <v>0</v>
      </c>
      <c r="AV2" s="418">
        <f>AV6&lt;=last_year_vis</f>
        <v>0</v>
      </c>
      <c r="AW2" s="418">
        <f>AW6&lt;=last_year_vis</f>
        <v>0</v>
      </c>
      <c r="AX2" s="418">
        <f>AX6&lt;=last_year_vis</f>
        <v>0</v>
      </c>
      <c r="AY2" s="418">
        <f>AY6&lt;=last_year_vis</f>
        <v>0</v>
      </c>
      <c r="AZ2" s="418">
        <f>AZ6&lt;=last_year_vis</f>
        <v>0</v>
      </c>
      <c r="BA2" s="418">
        <f>BA6&lt;=last_year_vis</f>
        <v>0</v>
      </c>
      <c r="BB2" s="418">
        <f>BB6&lt;=last_year_vis</f>
        <v>0</v>
      </c>
      <c r="BC2" s="418">
        <f>BC6&lt;=last_year_vis</f>
        <v>0</v>
      </c>
      <c r="BD2" s="418">
        <f>BD6&lt;=last_year_vis</f>
        <v>0</v>
      </c>
      <c r="BE2" s="418">
        <f>BE6&lt;=last_year_vis</f>
        <v>0</v>
      </c>
      <c r="BF2" s="418">
        <f>BF6&lt;=last_year_vis</f>
        <v>0</v>
      </c>
      <c r="BI2" s="986"/>
      <c r="BJ2" s="986"/>
      <c r="BK2" s="986"/>
      <c r="BL2" s="991"/>
      <c r="BM2" s="991"/>
    </row>
    <row customHeight="1" ht="11.25" hidden="1">
      <c r="E3" s="88"/>
      <c r="AO3" s="1363"/>
      <c r="AP3" s="1363"/>
      <c r="AQ3" s="1363"/>
      <c r="AR3" s="1363"/>
      <c r="AS3" s="1363"/>
      <c r="AT3" s="1363"/>
      <c r="AU3" s="1363"/>
      <c r="AV3" s="1363"/>
      <c r="AW3" s="1363"/>
      <c r="AX3" s="1363"/>
      <c r="AY3" s="1363"/>
      <c r="AZ3" s="1363"/>
      <c r="BA3" s="1363"/>
      <c r="BB3" s="1363"/>
      <c r="BC3" s="1363"/>
      <c r="BD3" s="1363"/>
      <c r="BE3" s="1363"/>
      <c r="BF3" s="1363"/>
    </row>
    <row customHeight="1" ht="11.25" hidden="1">
      <c r="E4" s="88"/>
      <c r="AO4" s="1363"/>
      <c r="AP4" s="1363"/>
      <c r="AQ4" s="1363"/>
      <c r="AR4" s="1363"/>
      <c r="AS4" s="1363"/>
      <c r="AT4" s="1363"/>
      <c r="AU4" s="1363"/>
      <c r="AV4" s="1363"/>
      <c r="AW4" s="1363"/>
      <c r="AX4" s="1363"/>
      <c r="AY4" s="1363"/>
      <c r="AZ4" s="1363"/>
      <c r="BA4" s="1363"/>
      <c r="BB4" s="1363"/>
      <c r="BC4" s="1363"/>
      <c r="BD4" s="1363"/>
      <c r="BE4" s="1363"/>
      <c r="BF4" s="1363"/>
    </row>
    <row s="1370" customFormat="1" customHeight="1" ht="11.25" hidden="1">
      <c r="A5" s="88"/>
      <c r="B5" s="400"/>
      <c r="C5" s="88"/>
      <c r="D5" s="88"/>
      <c r="E5" s="593" t="s">
        <v>19</v>
      </c>
      <c r="F5" s="727"/>
      <c r="AA5" s="593">
        <v>3</v>
      </c>
      <c r="AB5" s="603">
        <v>11</v>
      </c>
      <c r="AC5" s="606">
        <v>40</v>
      </c>
      <c r="AD5" s="593">
        <v>15</v>
      </c>
      <c r="AE5" s="593">
        <v>15</v>
      </c>
      <c r="AF5" s="593">
        <v>15</v>
      </c>
      <c r="AG5" s="593">
        <v>15</v>
      </c>
      <c r="AH5" s="593">
        <v>17.71</v>
      </c>
      <c r="AI5" s="593">
        <v>15</v>
      </c>
      <c r="AJ5" s="593">
        <v>15</v>
      </c>
      <c r="AK5" s="593">
        <v>15</v>
      </c>
      <c r="AL5" s="593">
        <v>15</v>
      </c>
      <c r="AM5" s="593">
        <v>15</v>
      </c>
      <c r="AN5" s="593">
        <v>15</v>
      </c>
      <c r="AO5" s="593">
        <v>15</v>
      </c>
      <c r="AP5" s="593">
        <v>15</v>
      </c>
      <c r="AQ5" s="593">
        <v>15</v>
      </c>
      <c r="AR5" s="593">
        <v>15</v>
      </c>
      <c r="AS5" s="593">
        <v>15</v>
      </c>
      <c r="AT5" s="593">
        <v>15</v>
      </c>
      <c r="AU5" s="593">
        <v>15</v>
      </c>
      <c r="AV5" s="593">
        <v>15</v>
      </c>
      <c r="AW5" s="593">
        <v>15</v>
      </c>
      <c r="AX5" s="593">
        <v>15</v>
      </c>
      <c r="AY5" s="593">
        <v>15</v>
      </c>
      <c r="AZ5" s="593">
        <v>15</v>
      </c>
      <c r="BA5" s="593">
        <v>15</v>
      </c>
      <c r="BB5" s="593">
        <v>15</v>
      </c>
      <c r="BC5" s="593">
        <v>15</v>
      </c>
      <c r="BD5" s="593">
        <v>15</v>
      </c>
      <c r="BE5" s="593">
        <v>15</v>
      </c>
      <c r="BF5" s="593">
        <v>15</v>
      </c>
      <c r="BG5" s="593">
        <v>3</v>
      </c>
      <c r="BI5" s="974"/>
      <c r="BJ5" s="974"/>
      <c r="BK5" s="974"/>
    </row>
    <row customHeight="1" ht="11.25" hidden="1">
      <c r="A6" s="88" t="s">
        <v>349</v>
      </c>
      <c r="AE6" s="88">
        <f>god-2</f>
        <v>2024</v>
      </c>
      <c r="AF6" s="88">
        <f>god-2</f>
        <v>2024</v>
      </c>
      <c r="AG6" s="88">
        <f>god-2</f>
        <v>2024</v>
      </c>
      <c r="AH6" s="88">
        <f>god-2</f>
        <v>2024</v>
      </c>
      <c r="AI6" s="88">
        <f>god-1</f>
        <v>2025</v>
      </c>
      <c r="AJ6" s="88" cm="1" t="str">
        <f t="array" ref="AJ6:AJ6">god</f>
        <v>2026</v>
      </c>
      <c r="AK6" s="88" cm="1" t="str">
        <f t="array" ref="AK6:AK6">god</f>
        <v>2026</v>
      </c>
      <c r="AL6" s="88" cm="1" t="str">
        <f t="array" ref="AL6:AL6">god</f>
        <v>2026</v>
      </c>
      <c r="AM6" s="88" cm="1" t="str">
        <f t="array" ref="AM6:AM6">god</f>
        <v>2026</v>
      </c>
      <c r="AN6" s="88" cm="1" t="str">
        <f t="array" ref="AN6:AN6">god</f>
        <v>2026</v>
      </c>
      <c r="AO6" s="88">
        <f>god+1</f>
        <v>2027</v>
      </c>
      <c r="AP6" s="88">
        <f>god+2</f>
        <v>2028</v>
      </c>
      <c r="AQ6" s="88">
        <f>god+3</f>
        <v>2029</v>
      </c>
      <c r="AR6" s="88">
        <f>god+4</f>
        <v>2030</v>
      </c>
      <c r="AS6" s="88">
        <f>god+5</f>
        <v>2031</v>
      </c>
      <c r="AT6" s="88">
        <f>god+6</f>
        <v>2032</v>
      </c>
      <c r="AU6" s="88">
        <f>god+7</f>
        <v>2033</v>
      </c>
      <c r="AV6" s="88">
        <f>god+8</f>
        <v>2034</v>
      </c>
      <c r="AW6" s="88">
        <f>god+9</f>
        <v>2035</v>
      </c>
      <c r="AX6" s="88">
        <f>god+1</f>
        <v>2027</v>
      </c>
      <c r="AY6" s="88">
        <f>god+2</f>
        <v>2028</v>
      </c>
      <c r="AZ6" s="88">
        <f>god+3</f>
        <v>2029</v>
      </c>
      <c r="BA6" s="88">
        <f>god+4</f>
        <v>2030</v>
      </c>
      <c r="BB6" s="88">
        <f>god+5</f>
        <v>2031</v>
      </c>
      <c r="BC6" s="88">
        <f>god+6</f>
        <v>2032</v>
      </c>
      <c r="BD6" s="88">
        <f>god+7</f>
        <v>2033</v>
      </c>
      <c r="BE6" s="88">
        <f>god+8</f>
        <v>2034</v>
      </c>
      <c r="BF6" s="88">
        <f>god+9</f>
        <v>2035</v>
      </c>
    </row>
    <row customHeight="1" ht="11.25" hidden="1">
      <c r="A7" s="88" t="s">
        <v>350</v>
      </c>
      <c r="AE7" s="88" cm="1" t="str">
        <f t="array" ref="AE7:AE7">AE25</f>
        <v>Принято органом регулирования</v>
      </c>
      <c r="AF7" s="88" cm="1" t="str">
        <f t="array" ref="AF7:AF7">AF25</f>
        <v>Факт по данным организации</v>
      </c>
      <c r="AG7" s="88" cm="1" t="str">
        <f t="array" ref="AG7:AG7">AG25</f>
        <v>Факт, принятый органом регулирования</v>
      </c>
      <c r="AH7" s="88" t="s">
        <v>353</v>
      </c>
      <c r="AI7" s="88" cm="1" t="str">
        <f t="array" ref="AI7:AI7">AI25</f>
        <v>Принято органом регулирования</v>
      </c>
      <c r="AJ7" s="88" cm="1" t="str">
        <f t="array" ref="AJ7:AJ7">AJ25</f>
        <v>Предложение организации</v>
      </c>
      <c r="AK7" s="88" cm="1" t="str">
        <f t="array" ref="AK7:AK7">AK25</f>
        <v>Принято органом регулирования</v>
      </c>
      <c r="AL7" s="88" cm="1" t="str">
        <f t="array" ref="AL7:AL7">AL25</f>
        <v>% роста / снижения</v>
      </c>
      <c r="AM7" s="88" cm="1" t="str">
        <f t="array" ref="AM7:AM7">AM25</f>
        <v>Отклонение (принято органом регулирования - заявлено организацией)</v>
      </c>
      <c r="AN7" s="88" t="s">
        <v>353</v>
      </c>
      <c r="AO7" s="88" cm="1" t="str">
        <f t="array" ref="AO7:AO7">AO25</f>
        <v>Предложение организации</v>
      </c>
      <c r="AP7" s="88" cm="1" t="str">
        <f t="array" ref="AP7:AP7">AP25</f>
        <v>Предложение организации</v>
      </c>
      <c r="AQ7" s="88" cm="1" t="str">
        <f t="array" ref="AQ7:AQ7">AQ25</f>
        <v>Предложение организации</v>
      </c>
      <c r="AR7" s="88" cm="1" t="str">
        <f t="array" ref="AR7:AR7">AR25</f>
        <v>Предложение организации</v>
      </c>
      <c r="AS7" s="88" cm="1" t="str">
        <f t="array" ref="AS7:AS7">AS25</f>
        <v>Предложение организации</v>
      </c>
      <c r="AT7" s="88" cm="1" t="str">
        <f t="array" ref="AT7:AT7">AT25</f>
        <v>Предложение организации</v>
      </c>
      <c r="AU7" s="88" cm="1" t="str">
        <f t="array" ref="AU7:AU7">AU25</f>
        <v>Предложение организации</v>
      </c>
      <c r="AV7" s="88" cm="1" t="str">
        <f t="array" ref="AV7:AV7">AV25</f>
        <v>Предложение организации</v>
      </c>
      <c r="AW7" s="88" cm="1" t="str">
        <f t="array" ref="AW7:AW7">AW25</f>
        <v>Предложение организации</v>
      </c>
      <c r="AX7" s="88" cm="1" t="str">
        <f t="array" ref="AX7:AX7">AX25</f>
        <v>Принято органом регулирования</v>
      </c>
      <c r="AY7" s="88" cm="1" t="str">
        <f t="array" ref="AY7:AY7">AY25</f>
        <v>Принято органом регулирования</v>
      </c>
      <c r="AZ7" s="88" cm="1" t="str">
        <f t="array" ref="AZ7:AZ7">AZ25</f>
        <v>Принято органом регулирования</v>
      </c>
      <c r="BA7" s="88" cm="1" t="str">
        <f t="array" ref="BA7:BA7">BA25</f>
        <v>Принято органом регулирования</v>
      </c>
      <c r="BB7" s="88" cm="1" t="str">
        <f t="array" ref="BB7:BB7">BB25</f>
        <v>Принято органом регулирования</v>
      </c>
      <c r="BC7" s="88" cm="1" t="str">
        <f t="array" ref="BC7:BC7">BC25</f>
        <v>Принято органом регулирования</v>
      </c>
      <c r="BD7" s="88" cm="1" t="str">
        <f t="array" ref="BD7:BD7">BD25</f>
        <v>Принято органом регулирования</v>
      </c>
      <c r="BE7" s="88" cm="1" t="str">
        <f t="array" ref="BE7:BE7">BE25</f>
        <v>Принято органом регулирования</v>
      </c>
      <c r="BF7" s="88" cm="1" t="str">
        <f t="array" ref="BF7:BF7">BF25</f>
        <v>Принято органом регулирования</v>
      </c>
    </row>
    <row customHeight="1" ht="11.25" hidden="1">
      <c r="AE8" s="88" t="str">
        <f>AE6&amp;AE7</f>
        <v>2024Принято органом регулирования</v>
      </c>
      <c r="AF8" s="88" t="str">
        <f>AF6&amp;AF7</f>
        <v>2024Факт по данным организации</v>
      </c>
      <c r="AG8" s="88" t="str">
        <f>AG6&amp;AG7</f>
        <v>2024Факт, принятый органом регулирования</v>
      </c>
      <c r="AH8" s="88" t="str">
        <f>AH6&amp;AH7</f>
        <v>2024Не определено</v>
      </c>
      <c r="AI8" s="88" t="str">
        <f>AI6&amp;AI7</f>
        <v>2025Принято органом регулирования</v>
      </c>
      <c r="AJ8" s="88" t="str">
        <f>AJ6&amp;AJ7</f>
        <v>2026Предложение организации</v>
      </c>
      <c r="AK8" s="88" t="str">
        <f>AK6&amp;AK7</f>
        <v>2026Принято органом регулирования</v>
      </c>
      <c r="AL8" s="88" t="str">
        <f>AL6&amp;AL7</f>
        <v>2026% роста / снижения</v>
      </c>
      <c r="AM8" s="88" t="str">
        <f>AM6&amp;AM7</f>
        <v>2026Отклонение (принято органом регулирования - заявлено организацией)</v>
      </c>
      <c r="AN8" s="88" t="str">
        <f>AN6&amp;AN7</f>
        <v>2026Не определено</v>
      </c>
      <c r="AO8" s="88" t="str">
        <f>AO6&amp;AO7</f>
        <v>2027Предложение организации</v>
      </c>
      <c r="AP8" s="88" t="str">
        <f>AP6&amp;AP7</f>
        <v>2028Предложение организации</v>
      </c>
      <c r="AQ8" s="88" t="str">
        <f>AQ6&amp;AQ7</f>
        <v>2029Предложение организации</v>
      </c>
      <c r="AR8" s="88" t="str">
        <f>AR6&amp;AR7</f>
        <v>2030Предложение организации</v>
      </c>
      <c r="AS8" s="88" t="str">
        <f>AS6&amp;AS7</f>
        <v>2031Предложение организации</v>
      </c>
      <c r="AT8" s="88" t="str">
        <f>AT6&amp;AT7</f>
        <v>2032Предложение организации</v>
      </c>
      <c r="AU8" s="88" t="str">
        <f>AU6&amp;AU7</f>
        <v>2033Предложение организации</v>
      </c>
      <c r="AV8" s="88" t="str">
        <f>AV6&amp;AV7</f>
        <v>2034Предложение организации</v>
      </c>
      <c r="AW8" s="88" t="str">
        <f>AW6&amp;AW7</f>
        <v>2035Предложение организации</v>
      </c>
      <c r="AX8" s="88" t="str">
        <f>AX6&amp;AX7</f>
        <v>2027Принято органом регулирования</v>
      </c>
      <c r="AY8" s="88" t="str">
        <f>AY6&amp;AY7</f>
        <v>2028Принято органом регулирования</v>
      </c>
      <c r="AZ8" s="88" t="str">
        <f>AZ6&amp;AZ7</f>
        <v>2029Принято органом регулирования</v>
      </c>
      <c r="BA8" s="88" t="str">
        <f>BA6&amp;BA7</f>
        <v>2030Принято органом регулирования</v>
      </c>
      <c r="BB8" s="88" t="str">
        <f>BB6&amp;BB7</f>
        <v>2031Принято органом регулирования</v>
      </c>
      <c r="BC8" s="88" t="str">
        <f>BC6&amp;BC7</f>
        <v>2032Принято органом регулирования</v>
      </c>
      <c r="BD8" s="88" t="str">
        <f>BD6&amp;BD7</f>
        <v>2033Принято органом регулирования</v>
      </c>
      <c r="BE8" s="88" t="str">
        <f>BE6&amp;BE7</f>
        <v>2034Принято органом регулирования</v>
      </c>
      <c r="BF8" s="88" t="str">
        <f>BF6&amp;BF7</f>
        <v>2035Принято органом регулирования</v>
      </c>
    </row>
    <row s="1374" customFormat="1" customHeight="1" ht="11.25" hidden="1">
      <c r="A9" s="974" t="s">
        <v>354</v>
      </c>
      <c r="B9" s="986"/>
      <c r="F9" s="987"/>
      <c r="AB9" s="977"/>
      <c r="AC9" s="988"/>
      <c r="AE9" s="974" cm="1" t="str">
        <f t="array" ref="AE9:AE9">AE6</f>
        <v>2024</v>
      </c>
      <c r="AF9" s="974" cm="1" t="str">
        <f t="array" ref="AF9:AF9">AF6</f>
        <v>2024</v>
      </c>
      <c r="AG9" s="974" cm="1" t="str">
        <f t="array" ref="AG9:AG9">AG6</f>
        <v>2024</v>
      </c>
      <c r="AH9" s="974" cm="1" t="str">
        <f t="array" ref="AH9:AH9">AH6</f>
        <v>2024</v>
      </c>
      <c r="AI9" s="974" cm="1" t="str">
        <f t="array" ref="AI9:AI9">AI6</f>
        <v>2025</v>
      </c>
      <c r="AJ9" s="974" cm="1" t="str">
        <f t="array" ref="AJ9:AJ9">AJ6</f>
        <v>2026</v>
      </c>
      <c r="AK9" s="974" cm="1" t="str">
        <f t="array" ref="AK9:AK9">AK6</f>
        <v>2026</v>
      </c>
      <c r="AL9" s="974" cm="1" t="str">
        <f t="array" ref="AL9:AL9">AL6</f>
        <v>2026</v>
      </c>
      <c r="AM9" s="974" cm="1" t="str">
        <f t="array" ref="AM9:AM9">AM6</f>
        <v>2026</v>
      </c>
      <c r="AN9" s="974" cm="1" t="str">
        <f t="array" ref="AN9:AN9">AN6</f>
        <v>2026</v>
      </c>
      <c r="AO9" s="974" cm="1" t="str">
        <f t="array" ref="AO9:AO9">AO6</f>
        <v>2027</v>
      </c>
      <c r="AP9" s="974" cm="1" t="str">
        <f t="array" ref="AP9:AP9">AP6</f>
        <v>2028</v>
      </c>
      <c r="AQ9" s="974" cm="1" t="str">
        <f t="array" ref="AQ9:AQ9">AQ6</f>
        <v>2029</v>
      </c>
      <c r="AR9" s="974" cm="1" t="str">
        <f t="array" ref="AR9:AR9">AR6</f>
        <v>2030</v>
      </c>
      <c r="AS9" s="974" cm="1" t="str">
        <f t="array" ref="AS9:AS9">AS6</f>
        <v>2031</v>
      </c>
      <c r="AT9" s="974" cm="1" t="str">
        <f t="array" ref="AT9:AT9">AT6</f>
        <v>2032</v>
      </c>
      <c r="AU9" s="974" cm="1" t="str">
        <f t="array" ref="AU9:AU9">AU6</f>
        <v>2033</v>
      </c>
      <c r="AV9" s="974" cm="1" t="str">
        <f t="array" ref="AV9:AV9">AV6</f>
        <v>2034</v>
      </c>
      <c r="AW9" s="974" cm="1" t="str">
        <f t="array" ref="AW9:AW9">AW6</f>
        <v>2035</v>
      </c>
      <c r="AX9" s="974" cm="1" t="str">
        <f t="array" ref="AX9:AX9">AX6</f>
        <v>2027</v>
      </c>
      <c r="AY9" s="974" cm="1" t="str">
        <f t="array" ref="AY9:AY9">AY6</f>
        <v>2028</v>
      </c>
      <c r="AZ9" s="974" cm="1" t="str">
        <f t="array" ref="AZ9:AZ9">AZ6</f>
        <v>2029</v>
      </c>
      <c r="BA9" s="974" cm="1" t="str">
        <f t="array" ref="BA9:BA9">BA6</f>
        <v>2030</v>
      </c>
      <c r="BB9" s="974" cm="1" t="str">
        <f t="array" ref="BB9:BB9">BB6</f>
        <v>2031</v>
      </c>
      <c r="BC9" s="974" cm="1" t="str">
        <f t="array" ref="BC9:BC9">BC6</f>
        <v>2032</v>
      </c>
      <c r="BD9" s="974" cm="1" t="str">
        <f t="array" ref="BD9:BD9">BD6</f>
        <v>2033</v>
      </c>
      <c r="BE9" s="974" cm="1" t="str">
        <f t="array" ref="BE9:BE9">BE6</f>
        <v>2034</v>
      </c>
      <c r="BF9" s="974" cm="1" t="str">
        <f t="array" ref="BF9:BF9">BF6</f>
        <v>2035</v>
      </c>
      <c r="BL9" s="593"/>
      <c r="BM9" s="593"/>
    </row>
    <row s="1374" customFormat="1" customHeight="1" ht="11.25" hidden="1">
      <c r="A10" s="974" t="s">
        <v>355</v>
      </c>
      <c r="B10" s="986"/>
      <c r="F10" s="987"/>
      <c r="AB10" s="977"/>
      <c r="AC10" s="988"/>
      <c r="AE10" s="974" cm="1" t="str">
        <f t="array" ref="AE10:AE10">AE25</f>
        <v>Принято органом регулирования</v>
      </c>
      <c r="AF10" s="974" cm="1" t="str">
        <f t="array" ref="AF10:AF10">AF25</f>
        <v>Факт по данным организации</v>
      </c>
      <c r="AG10" s="974" cm="1" t="str">
        <f t="array" ref="AG10:AG10">AG25</f>
        <v>Факт, принятый органом регулирования</v>
      </c>
      <c r="AI10" s="974" cm="1" t="str">
        <f t="array" ref="AI10:AI10">AI25</f>
        <v>Принято органом регулирования</v>
      </c>
      <c r="AJ10" s="974" cm="1" t="str">
        <f t="array" ref="AJ10:AJ10">AJ25</f>
        <v>Предложение организации</v>
      </c>
      <c r="AK10" s="974" cm="1" t="str">
        <f t="array" ref="AK10:AK10">AK25</f>
        <v>Принято органом регулирования</v>
      </c>
      <c r="AL10" s="974" cm="1" t="str">
        <f t="array" ref="AL10:AL10">AL25</f>
        <v>% роста / снижения</v>
      </c>
      <c r="AM10" s="974" cm="1" t="str">
        <f t="array" ref="AM10:AM10">AM25</f>
        <v>Отклонение (принято органом регулирования - заявлено организацией)</v>
      </c>
      <c r="AO10" s="974" cm="1" t="str">
        <f t="array" ref="AO10:AO10">AO25</f>
        <v>Предложение организации</v>
      </c>
      <c r="AP10" s="974" cm="1" t="str">
        <f t="array" ref="AP10:AP10">AP25</f>
        <v>Предложение организации</v>
      </c>
      <c r="AQ10" s="974" cm="1" t="str">
        <f t="array" ref="AQ10:AQ10">AQ25</f>
        <v>Предложение организации</v>
      </c>
      <c r="AR10" s="974" cm="1" t="str">
        <f t="array" ref="AR10:AR10">AR25</f>
        <v>Предложение организации</v>
      </c>
      <c r="AS10" s="974" cm="1" t="str">
        <f t="array" ref="AS10:AS10">AS25</f>
        <v>Предложение организации</v>
      </c>
      <c r="AT10" s="974" cm="1" t="str">
        <f t="array" ref="AT10:AT10">AT25</f>
        <v>Предложение организации</v>
      </c>
      <c r="AU10" s="974" cm="1" t="str">
        <f t="array" ref="AU10:AU10">AU25</f>
        <v>Предложение организации</v>
      </c>
      <c r="AV10" s="974" cm="1" t="str">
        <f t="array" ref="AV10:AV10">AV25</f>
        <v>Предложение организации</v>
      </c>
      <c r="AW10" s="974" cm="1" t="str">
        <f t="array" ref="AW10:AW10">AW25</f>
        <v>Предложение организации</v>
      </c>
      <c r="AX10" s="974" cm="1" t="str">
        <f t="array" ref="AX10:AX10">AX25</f>
        <v>Принято органом регулирования</v>
      </c>
      <c r="AY10" s="974" cm="1" t="str">
        <f t="array" ref="AY10:AY10">AY25</f>
        <v>Принято органом регулирования</v>
      </c>
      <c r="AZ10" s="974" cm="1" t="str">
        <f t="array" ref="AZ10:AZ10">AZ25</f>
        <v>Принято органом регулирования</v>
      </c>
      <c r="BA10" s="974" cm="1" t="str">
        <f t="array" ref="BA10:BA10">BA25</f>
        <v>Принято органом регулирования</v>
      </c>
      <c r="BB10" s="974" cm="1" t="str">
        <f t="array" ref="BB10:BB10">BB25</f>
        <v>Принято органом регулирования</v>
      </c>
      <c r="BC10" s="974" cm="1" t="str">
        <f t="array" ref="BC10:BC10">BC25</f>
        <v>Принято органом регулирования</v>
      </c>
      <c r="BD10" s="974" cm="1" t="str">
        <f t="array" ref="BD10:BD10">BD25</f>
        <v>Принято органом регулирования</v>
      </c>
      <c r="BE10" s="974" cm="1" t="str">
        <f t="array" ref="BE10:BE10">BE25</f>
        <v>Принято органом регулирования</v>
      </c>
      <c r="BF10" s="974" cm="1" t="str">
        <f t="array" ref="BF10:BF10">BF25</f>
        <v>Принято органом регулирования</v>
      </c>
      <c r="BL10" s="593"/>
      <c r="BM10" s="593"/>
    </row>
    <row s="1374" customFormat="1" customHeight="1" ht="11.25" hidden="1">
      <c r="A11" s="974" t="s">
        <v>356</v>
      </c>
      <c r="B11" s="986"/>
      <c r="F11" s="987"/>
      <c r="AB11" s="977"/>
      <c r="AC11" s="988"/>
      <c r="AH11" s="974" cm="1" t="str">
        <f t="array" ref="AH11:AH11">AH25</f>
        <v>Комментарии</v>
      </c>
      <c r="AN11" s="974" cm="1" t="str">
        <f t="array" ref="AN11:AN11">AN25</f>
        <v>Комментарии</v>
      </c>
      <c r="AO11" s="1374"/>
      <c r="AP11" s="1374"/>
      <c r="AQ11" s="1374"/>
      <c r="AR11" s="1374"/>
      <c r="AS11" s="1374"/>
      <c r="AT11" s="1374"/>
      <c r="AU11" s="1374"/>
      <c r="AV11" s="1374"/>
      <c r="AW11" s="1374"/>
      <c r="AX11" s="1374"/>
      <c r="AY11" s="1374"/>
      <c r="AZ11" s="1374"/>
      <c r="BA11" s="1374"/>
      <c r="BB11" s="1374"/>
      <c r="BC11" s="1374"/>
      <c r="BD11" s="1374"/>
      <c r="BE11" s="1374"/>
      <c r="BF11" s="1374"/>
      <c r="BL11" s="593"/>
      <c r="BM11" s="593"/>
    </row>
    <row s="1374" customFormat="1" customHeight="1" ht="11.25" hidden="1">
      <c r="A12" s="974" t="s">
        <v>327</v>
      </c>
      <c r="B12" s="986"/>
      <c r="F12" s="987"/>
      <c r="AB12" s="977"/>
      <c r="AC12" s="988" t="s">
        <v>314</v>
      </c>
      <c r="AO12" s="1374"/>
      <c r="AP12" s="1374"/>
      <c r="AQ12" s="1374"/>
      <c r="AR12" s="1374"/>
      <c r="AS12" s="1374"/>
      <c r="AT12" s="1374"/>
      <c r="AU12" s="1374"/>
      <c r="AV12" s="1374"/>
      <c r="AW12" s="1374"/>
      <c r="AX12" s="1374"/>
      <c r="AY12" s="1374"/>
      <c r="AZ12" s="1374"/>
      <c r="BA12" s="1374"/>
      <c r="BB12" s="1374"/>
      <c r="BC12" s="1374"/>
      <c r="BD12" s="1374"/>
      <c r="BE12" s="1374"/>
      <c r="BF12" s="1374"/>
      <c r="BL12" s="593"/>
      <c r="BM12" s="593"/>
    </row>
    <row customHeight="1" ht="11.25" hidden="1">
      <c r="AO13" s="1363"/>
      <c r="AP13" s="1363"/>
      <c r="AQ13" s="1363"/>
      <c r="AR13" s="1363"/>
      <c r="AS13" s="1363"/>
      <c r="AT13" s="1363"/>
      <c r="AU13" s="1363"/>
      <c r="AV13" s="1363"/>
      <c r="AW13" s="1363"/>
      <c r="AX13" s="1363"/>
      <c r="AY13" s="1363"/>
      <c r="AZ13" s="1363"/>
      <c r="BA13" s="1363"/>
      <c r="BB13" s="1363"/>
      <c r="BC13" s="1363"/>
      <c r="BD13" s="1363"/>
      <c r="BE13" s="1363"/>
      <c r="BF13" s="1363"/>
    </row>
    <row customHeight="1" ht="11.25" hidden="1">
      <c r="AO14" s="1363"/>
      <c r="AP14" s="1363"/>
      <c r="AQ14" s="1363"/>
      <c r="AR14" s="1363"/>
      <c r="AS14" s="1363"/>
      <c r="AT14" s="1363"/>
      <c r="AU14" s="1363"/>
      <c r="AV14" s="1363"/>
      <c r="AW14" s="1363"/>
      <c r="AX14" s="1363"/>
      <c r="AY14" s="1363"/>
      <c r="AZ14" s="1363"/>
      <c r="BA14" s="1363"/>
      <c r="BB14" s="1363"/>
      <c r="BC14" s="1363"/>
      <c r="BD14" s="1363"/>
      <c r="BE14" s="1363"/>
      <c r="BF14" s="1363"/>
    </row>
    <row customHeight="1" ht="11.25" hidden="1">
      <c r="AO15" s="1363"/>
      <c r="AP15" s="1363"/>
      <c r="AQ15" s="1363"/>
      <c r="AR15" s="1363"/>
      <c r="AS15" s="1363"/>
      <c r="AT15" s="1363"/>
      <c r="AU15" s="1363"/>
      <c r="AV15" s="1363"/>
      <c r="AW15" s="1363"/>
      <c r="AX15" s="1363"/>
      <c r="AY15" s="1363"/>
      <c r="AZ15" s="1363"/>
      <c r="BA15" s="1363"/>
      <c r="BB15" s="1363"/>
      <c r="BC15" s="1363"/>
      <c r="BD15" s="1363"/>
      <c r="BE15" s="1363"/>
      <c r="BF15" s="1363"/>
    </row>
    <row customHeight="1" ht="11.25" hidden="1">
      <c r="AO16" s="1363"/>
      <c r="AP16" s="1363"/>
      <c r="AQ16" s="1363"/>
      <c r="AR16" s="1363"/>
      <c r="AS16" s="1363"/>
      <c r="AT16" s="1363"/>
      <c r="AU16" s="1363"/>
      <c r="AV16" s="1363"/>
      <c r="AW16" s="1363"/>
      <c r="AX16" s="1363"/>
      <c r="AY16" s="1363"/>
      <c r="AZ16" s="1363"/>
      <c r="BA16" s="1363"/>
      <c r="BB16" s="1363"/>
      <c r="BC16" s="1363"/>
      <c r="BD16" s="1363"/>
      <c r="BE16" s="1363"/>
      <c r="BF16" s="1363"/>
    </row>
    <row customHeight="1" ht="11.25" hidden="1">
      <c r="AO17" s="1363"/>
      <c r="AP17" s="1363"/>
      <c r="AQ17" s="1363"/>
      <c r="AR17" s="1363"/>
      <c r="AS17" s="1363"/>
      <c r="AT17" s="1363"/>
      <c r="AU17" s="1363"/>
      <c r="AV17" s="1363"/>
      <c r="AW17" s="1363"/>
      <c r="AX17" s="1363"/>
      <c r="AY17" s="1363"/>
      <c r="AZ17" s="1363"/>
      <c r="BA17" s="1363"/>
      <c r="BB17" s="1363"/>
      <c r="BC17" s="1363"/>
      <c r="BD17" s="1363"/>
      <c r="BE17" s="1363"/>
      <c r="BF17" s="1363"/>
    </row>
    <row customHeight="1" ht="11.25" hidden="1">
      <c r="A18" s="88" t="s">
        <v>357</v>
      </c>
      <c r="AC18" s="106" t="s">
        <v>423</v>
      </c>
      <c r="AO18" s="1363"/>
      <c r="AP18" s="1363"/>
      <c r="AQ18" s="1363"/>
      <c r="AR18" s="1363"/>
      <c r="AS18" s="1363"/>
      <c r="AT18" s="1363"/>
      <c r="AU18" s="1363"/>
      <c r="AV18" s="1363"/>
      <c r="AW18" s="1363"/>
      <c r="AX18" s="1363"/>
      <c r="AY18" s="1363"/>
      <c r="AZ18" s="1363"/>
      <c r="BA18" s="1363"/>
      <c r="BB18" s="1363"/>
      <c r="BC18" s="1363"/>
      <c r="BD18" s="1363"/>
      <c r="BE18" s="1363"/>
      <c r="BF18" s="1363"/>
    </row>
    <row customHeight="1" ht="11.25" hidden="1">
      <c r="AO19" s="1363"/>
      <c r="AP19" s="1363"/>
      <c r="AQ19" s="1363"/>
      <c r="AR19" s="1363"/>
      <c r="AS19" s="1363"/>
      <c r="AT19" s="1363"/>
      <c r="AU19" s="1363"/>
      <c r="AV19" s="1363"/>
      <c r="AW19" s="1363"/>
      <c r="AX19" s="1363"/>
      <c r="AY19" s="1363"/>
      <c r="AZ19" s="1363"/>
      <c r="BA19" s="1363"/>
      <c r="BB19" s="1363"/>
      <c r="BC19" s="1363"/>
      <c r="BD19" s="1363"/>
      <c r="BE19" s="1363"/>
      <c r="BF19" s="1363"/>
    </row>
    <row customHeight="1" ht="11.25" hidden="1">
      <c r="AO20" s="1363"/>
      <c r="AP20" s="1363"/>
      <c r="AQ20" s="1363"/>
      <c r="AR20" s="1363"/>
      <c r="AS20" s="1363"/>
      <c r="AT20" s="1363"/>
      <c r="AU20" s="1363"/>
      <c r="AV20" s="1363"/>
      <c r="AW20" s="1363"/>
      <c r="AX20" s="1363"/>
      <c r="AY20" s="1363"/>
      <c r="AZ20" s="1363"/>
      <c r="BA20" s="1363"/>
      <c r="BB20" s="1363"/>
      <c r="BC20" s="1363"/>
      <c r="BD20" s="1363"/>
      <c r="BE20" s="1363"/>
      <c r="BF20" s="1363"/>
    </row>
    <row customHeight="1" ht="14.625">
      <c r="E21" s="593">
        <v>15</v>
      </c>
      <c r="AA21" s="633"/>
      <c r="AC21" s="50" cm="1" t="str">
        <f t="array" ref="AC21:AC21">tpl_title</f>
        <v>Кемеровская область / 2026 / ОАО «СКЭК» (ИНН:4205153492, КПП:420501001) / ДПР: 2026-2026</v>
      </c>
      <c r="AD21" s="91"/>
      <c r="AE21" s="92"/>
      <c r="AO21" s="1363"/>
      <c r="AP21" s="1363"/>
      <c r="AQ21" s="1363"/>
      <c r="AR21" s="1363"/>
      <c r="AS21" s="1363"/>
      <c r="AT21" s="1363"/>
      <c r="AU21" s="1363"/>
      <c r="AV21" s="1363"/>
      <c r="AW21" s="1363"/>
      <c r="AX21" s="1363"/>
      <c r="AY21" s="1363"/>
      <c r="AZ21" s="1363"/>
      <c r="BA21" s="1363"/>
      <c r="BB21" s="1363"/>
      <c r="BC21" s="1363"/>
      <c r="BD21" s="1363"/>
      <c r="BE21" s="1363"/>
      <c r="BF21" s="1363"/>
    </row>
    <row customHeight="1" ht="21.9375">
      <c r="E22" s="593">
        <v>22.5</v>
      </c>
      <c r="AB22" s="284" t="s">
        <v>41</v>
      </c>
      <c r="AC22" s="159"/>
      <c r="AD22" s="159"/>
      <c r="AE22" s="159"/>
      <c r="AF22" s="159"/>
      <c r="AG22" s="159"/>
      <c r="AH22" s="159"/>
      <c r="AI22" s="160"/>
      <c r="AJ22" s="160"/>
      <c r="AK22" s="160"/>
      <c r="AL22" s="160"/>
      <c r="AM22" s="160"/>
      <c r="AN22" s="160"/>
      <c r="AO22" s="160"/>
      <c r="AP22" s="160"/>
      <c r="AQ22" s="160"/>
      <c r="AR22" s="160"/>
      <c r="AS22" s="160"/>
      <c r="AT22" s="160"/>
      <c r="AU22" s="160"/>
      <c r="AV22" s="160"/>
      <c r="AW22" s="160"/>
      <c r="AX22" s="160"/>
      <c r="AY22" s="160"/>
      <c r="AZ22" s="160"/>
      <c r="BA22" s="160"/>
      <c r="BB22" s="160"/>
      <c r="BC22" s="160"/>
      <c r="BD22" s="160"/>
      <c r="BE22" s="160"/>
      <c r="BF22" s="160"/>
    </row>
    <row s="1494" customFormat="1" customHeight="1" ht="10.96875">
      <c r="B23" s="400"/>
      <c r="E23" s="604">
        <v>11.25</v>
      </c>
      <c r="F23" s="725"/>
      <c r="AA23" s="93"/>
      <c r="AB23" s="94"/>
      <c r="AC23" s="95"/>
      <c r="AD23" s="96"/>
      <c r="AE23" s="97"/>
      <c r="AO23" s="1494"/>
      <c r="AP23" s="1494"/>
      <c r="AQ23" s="1494"/>
      <c r="AR23" s="1494"/>
      <c r="AS23" s="1494"/>
      <c r="AT23" s="1494"/>
      <c r="AU23" s="1494"/>
      <c r="AV23" s="1494"/>
      <c r="AW23" s="1494"/>
      <c r="AX23" s="1494"/>
      <c r="AY23" s="1494"/>
      <c r="AZ23" s="1494"/>
      <c r="BA23" s="1494"/>
      <c r="BB23" s="1494"/>
      <c r="BC23" s="1494"/>
      <c r="BD23" s="1494"/>
      <c r="BE23" s="1494"/>
      <c r="BF23" s="1494"/>
      <c r="BI23" s="989"/>
      <c r="BJ23" s="989"/>
      <c r="BK23" s="989"/>
      <c r="BL23" s="604"/>
      <c r="BM23" s="604"/>
    </row>
    <row customHeight="1" ht="14.625">
      <c r="E24" s="593">
        <v>15</v>
      </c>
      <c r="AB24" s="1512" t="s">
        <v>21</v>
      </c>
      <c r="AC24" s="1512" t="s">
        <v>423</v>
      </c>
      <c r="AD24" s="1512" t="s">
        <v>359</v>
      </c>
      <c r="AE24" s="59" t="str">
        <f>god-2&amp;" год"</f>
        <v>2024 год</v>
      </c>
      <c r="AF24" s="1097" t="str">
        <f>god-2&amp;" год"</f>
        <v>2024 год</v>
      </c>
      <c r="AG24" s="59" t="str">
        <f>god-2&amp;" год"</f>
        <v>2024 год</v>
      </c>
      <c r="AH24" s="59" t="str">
        <f>god-2&amp;" год"</f>
        <v>2024 год</v>
      </c>
      <c r="AI24" s="59" t="str">
        <f>god-1&amp;" год"</f>
        <v>2025 год</v>
      </c>
      <c r="AJ24" s="1097" t="str">
        <f>god&amp;" год"</f>
        <v>2026 год</v>
      </c>
      <c r="AK24" s="59" t="str">
        <f>god&amp;" год"</f>
        <v>2026 год</v>
      </c>
      <c r="AL24" s="59" t="str">
        <f>god&amp;" год"</f>
        <v>2026 год</v>
      </c>
      <c r="AM24" s="59" t="str">
        <f>god&amp;" год"</f>
        <v>2026 год</v>
      </c>
      <c r="AN24" s="59" t="str">
        <f>god&amp;" год"</f>
        <v>2026 год</v>
      </c>
      <c r="AO24" s="1097" t="str">
        <f>god+1&amp;" год"</f>
        <v>2027 год</v>
      </c>
      <c r="AP24" s="1097" t="str">
        <f>god+2&amp;" год"</f>
        <v>2028 год</v>
      </c>
      <c r="AQ24" s="1097" t="str">
        <f>god+3&amp;" год"</f>
        <v>2029 год</v>
      </c>
      <c r="AR24" s="1097" t="str">
        <f>god+4&amp;" год"</f>
        <v>2030 год</v>
      </c>
      <c r="AS24" s="1097" t="str">
        <f>god+5&amp;" год"</f>
        <v>2031 год</v>
      </c>
      <c r="AT24" s="1097" t="str">
        <f>god+6&amp;" год"</f>
        <v>2032 год</v>
      </c>
      <c r="AU24" s="1097" t="str">
        <f>god+7&amp;" год"</f>
        <v>2033 год</v>
      </c>
      <c r="AV24" s="1097" t="str">
        <f>god+8&amp;" год"</f>
        <v>2034 год</v>
      </c>
      <c r="AW24" s="1097" t="str">
        <f>god+9&amp;" год"</f>
        <v>2035 год</v>
      </c>
      <c r="AX24" s="59" t="str">
        <f>god+1&amp;" год"</f>
        <v>2027 год</v>
      </c>
      <c r="AY24" s="59" t="str">
        <f>god+2&amp;" год"</f>
        <v>2028 год</v>
      </c>
      <c r="AZ24" s="59" t="str">
        <f>god+3&amp;" год"</f>
        <v>2029 год</v>
      </c>
      <c r="BA24" s="59" t="str">
        <f>god+4&amp;" год"</f>
        <v>2030 год</v>
      </c>
      <c r="BB24" s="59" t="str">
        <f>god+5&amp;" год"</f>
        <v>2031 год</v>
      </c>
      <c r="BC24" s="59" t="str">
        <f>god+6&amp;" год"</f>
        <v>2032 год</v>
      </c>
      <c r="BD24" s="59" t="str">
        <f>god+7&amp;" год"</f>
        <v>2033 год</v>
      </c>
      <c r="BE24" s="59" t="str">
        <f>god+8&amp;" год"</f>
        <v>2034 год</v>
      </c>
      <c r="BF24" s="59" t="str">
        <f>god+9&amp;" год"</f>
        <v>2035 год</v>
      </c>
    </row>
    <row customHeight="1" ht="67.275">
      <c r="E25" s="593">
        <v>69</v>
      </c>
      <c r="F25" s="725" t="s">
        <v>361</v>
      </c>
      <c r="AB25" s="1512"/>
      <c r="AC25" s="1512"/>
      <c r="AD25" s="1512"/>
      <c r="AE25" s="58" t="s">
        <v>351</v>
      </c>
      <c r="AF25" s="1098" t="s">
        <v>424</v>
      </c>
      <c r="AG25" s="59" t="s">
        <v>425</v>
      </c>
      <c r="AH25" s="59" t="s">
        <v>360</v>
      </c>
      <c r="AI25" s="59" t="s">
        <v>351</v>
      </c>
      <c r="AJ25" s="1096" t="s">
        <v>352</v>
      </c>
      <c r="AK25" s="59" t="s">
        <v>351</v>
      </c>
      <c r="AL25" s="156" t="s">
        <v>426</v>
      </c>
      <c r="AM25" s="156" t="s">
        <v>427</v>
      </c>
      <c r="AN25" s="59" t="s">
        <v>360</v>
      </c>
      <c r="AO25" s="1097" t="s">
        <v>352</v>
      </c>
      <c r="AP25" s="1097" t="s">
        <v>352</v>
      </c>
      <c r="AQ25" s="1097" t="s">
        <v>352</v>
      </c>
      <c r="AR25" s="1097" t="s">
        <v>352</v>
      </c>
      <c r="AS25" s="1097" t="s">
        <v>352</v>
      </c>
      <c r="AT25" s="1097" t="s">
        <v>352</v>
      </c>
      <c r="AU25" s="1097" t="s">
        <v>352</v>
      </c>
      <c r="AV25" s="1097" t="s">
        <v>352</v>
      </c>
      <c r="AW25" s="1097" t="s">
        <v>352</v>
      </c>
      <c r="AX25" s="59" t="s">
        <v>351</v>
      </c>
      <c r="AY25" s="59" t="s">
        <v>351</v>
      </c>
      <c r="AZ25" s="59" t="s">
        <v>351</v>
      </c>
      <c r="BA25" s="59" t="s">
        <v>351</v>
      </c>
      <c r="BB25" s="59" t="s">
        <v>351</v>
      </c>
      <c r="BC25" s="59" t="s">
        <v>351</v>
      </c>
      <c r="BD25" s="59" t="s">
        <v>351</v>
      </c>
      <c r="BE25" s="59" t="s">
        <v>351</v>
      </c>
      <c r="BF25" s="59" t="s">
        <v>351</v>
      </c>
    </row>
    <row s="1624" customFormat="1" customHeight="1" ht="19.5">
      <c r="A26" s="472"/>
      <c r="B26" s="634"/>
      <c r="C26" s="472"/>
      <c r="D26" s="472"/>
      <c r="E26" s="635">
        <v>20</v>
      </c>
      <c r="F26" s="723" t="s">
        <v>428</v>
      </c>
      <c r="G26" s="472"/>
      <c r="H26" s="472"/>
      <c r="I26" s="472"/>
      <c r="J26" s="472"/>
      <c r="K26" s="472"/>
      <c r="L26" s="472"/>
      <c r="M26" s="472"/>
      <c r="N26" s="472"/>
      <c r="O26" s="472"/>
      <c r="P26" s="472"/>
      <c r="Q26" s="472"/>
      <c r="R26" s="472"/>
      <c r="S26" s="472"/>
      <c r="T26" s="472"/>
      <c r="U26" s="472"/>
      <c r="V26" s="472"/>
      <c r="W26" s="472"/>
      <c r="X26" s="472"/>
      <c r="Y26" s="472"/>
      <c r="Z26" s="472"/>
      <c r="AB26" s="56"/>
      <c r="AC26" s="548" t="s">
        <v>429</v>
      </c>
      <c r="AD26" s="102" t="s">
        <v>430</v>
      </c>
      <c r="AE26" s="549"/>
      <c r="AF26" s="549"/>
      <c r="AG26" s="549"/>
      <c r="AH26" s="924"/>
      <c r="AI26" s="549"/>
      <c r="AJ26" s="549"/>
      <c r="AK26" s="549"/>
      <c r="AL26" s="247">
        <f>IF(AI26&lt;&gt;0,AK26/AI26,0)</f>
        <v>0</v>
      </c>
      <c r="AM26" s="246">
        <f>AK26-AJ26</f>
        <v>0</v>
      </c>
      <c r="AN26" s="924"/>
      <c r="AO26" s="1862"/>
      <c r="AP26" s="1862"/>
      <c r="AQ26" s="1862"/>
      <c r="AR26" s="1862"/>
      <c r="AS26" s="1862"/>
      <c r="AT26" s="1862"/>
      <c r="AU26" s="1862"/>
      <c r="AV26" s="1862"/>
      <c r="AW26" s="1862"/>
      <c r="AX26" s="1862"/>
      <c r="AY26" s="1862"/>
      <c r="AZ26" s="1862"/>
      <c r="BA26" s="1862"/>
      <c r="BB26" s="1862"/>
      <c r="BC26" s="1862"/>
      <c r="BD26" s="1862"/>
      <c r="BE26" s="1862"/>
      <c r="BF26" s="1862"/>
      <c r="BI26" s="981"/>
      <c r="BJ26" s="981"/>
      <c r="BK26" s="981"/>
      <c r="BL26" s="599"/>
      <c r="BM26" s="599"/>
    </row>
    <row s="1624" customFormat="1" customHeight="1" ht="11.25" hidden="1">
      <c r="A27" s="472"/>
      <c r="B27" s="634"/>
      <c r="C27" s="472"/>
      <c r="D27" s="472"/>
      <c r="E27" s="842">
        <v>0</v>
      </c>
      <c r="F27" s="723"/>
      <c r="G27" s="472"/>
      <c r="H27" s="472"/>
      <c r="I27" s="472"/>
      <c r="J27" s="472"/>
      <c r="K27" s="472"/>
      <c r="L27" s="472"/>
      <c r="M27" s="472"/>
      <c r="N27" s="472"/>
      <c r="O27" s="472"/>
      <c r="P27" s="472"/>
      <c r="Q27" s="472"/>
      <c r="R27" s="472"/>
      <c r="S27" s="472"/>
      <c r="T27" s="472"/>
      <c r="U27" s="472"/>
      <c r="V27" s="472"/>
      <c r="W27" s="472"/>
      <c r="X27" s="472"/>
      <c r="Y27" s="472"/>
      <c r="Z27" s="472"/>
      <c r="AB27" s="702"/>
      <c r="AC27" s="703"/>
      <c r="AD27" s="485"/>
      <c r="AE27" s="926"/>
      <c r="AF27" s="926"/>
      <c r="AG27" s="926"/>
      <c r="AH27" s="926"/>
      <c r="AI27" s="926"/>
      <c r="AJ27" s="926"/>
      <c r="AK27" s="926"/>
      <c r="AL27" s="926"/>
      <c r="AM27" s="926"/>
      <c r="AN27" s="926"/>
      <c r="AO27" s="926"/>
      <c r="AP27" s="926"/>
      <c r="AQ27" s="926"/>
      <c r="AR27" s="926"/>
      <c r="AS27" s="926"/>
      <c r="AT27" s="926"/>
      <c r="AU27" s="926"/>
      <c r="AV27" s="926"/>
      <c r="AW27" s="926"/>
      <c r="AX27" s="926"/>
      <c r="AY27" s="926"/>
      <c r="AZ27" s="926"/>
      <c r="BA27" s="926"/>
      <c r="BB27" s="926"/>
      <c r="BC27" s="926"/>
      <c r="BD27" s="926"/>
      <c r="BE27" s="926"/>
      <c r="BF27" s="926"/>
      <c r="BI27" s="981"/>
      <c r="BJ27" s="981"/>
      <c r="BK27" s="981"/>
      <c r="BL27" s="599"/>
      <c r="BM27" s="599"/>
    </row>
    <row s="1399" customFormat="1" customHeight="1" ht="14.625" hidden="1">
      <c r="A28" s="1399"/>
      <c r="B28" s="401"/>
      <c r="C28" s="1399"/>
      <c r="D28" s="1399"/>
      <c r="E28" s="605">
        <v>15</v>
      </c>
      <c r="F28" s="725" cm="1" t="str">
        <f t="array" ref="F28:F28">Y28</f>
        <v>0</v>
      </c>
      <c r="G28" s="1399"/>
      <c r="H28" s="1399"/>
      <c r="I28" s="1399"/>
      <c r="J28" s="1399"/>
      <c r="K28" s="1399"/>
      <c r="L28" s="1399"/>
      <c r="M28" s="1399"/>
      <c r="N28" s="1399"/>
      <c r="O28" s="1399"/>
      <c r="P28" s="1399"/>
      <c r="Q28" s="1399"/>
      <c r="R28" s="1399"/>
      <c r="S28" s="1399"/>
      <c r="T28" s="1399"/>
      <c r="U28" s="438">
        <f>Y28&gt;0</f>
        <v>0</v>
      </c>
      <c r="V28" s="1399"/>
      <c r="W28" s="110" t="s">
        <v>267</v>
      </c>
      <c r="X28" s="1399"/>
      <c r="Y28" s="1491">
        <v>0</v>
      </c>
      <c r="Z28" s="1513"/>
      <c r="AA28" s="1399"/>
      <c r="AB28" s="149" cm="1" t="str">
        <f t="array" ref="AB28:AB28">INDEX('Общие сведения'!$AG$179:$AG$208,MATCH($Y28,'Общие сведения'!$Z$179:$Z$208,0))</f>
        <v>Тариф 0 () - тариф на транспортировку сточных вод</v>
      </c>
      <c r="AC28" s="146"/>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399"/>
      <c r="BH28" s="1399"/>
      <c r="BI28" s="990"/>
      <c r="BJ28" s="990"/>
      <c r="BK28" s="990"/>
      <c r="BL28" s="605"/>
      <c r="BM28" s="605"/>
    </row>
    <row customHeight="1" ht="14.625" hidden="1">
      <c r="A29" s="1363"/>
      <c r="B29" s="1369"/>
      <c r="C29" s="1363"/>
      <c r="D29" s="1363"/>
      <c r="E29" s="593">
        <v>15</v>
      </c>
      <c r="F29" s="50" cm="1" t="str">
        <f t="array" ref="F29:F29">OFFSET(E29,-1,1)</f>
        <v>0</v>
      </c>
      <c r="G29" s="88" t="s">
        <v>431</v>
      </c>
      <c r="H29" s="1363"/>
      <c r="I29" s="1363"/>
      <c r="J29" s="1363"/>
      <c r="K29" s="1363"/>
      <c r="L29" s="1363"/>
      <c r="M29" s="1363"/>
      <c r="N29" s="1363"/>
      <c r="O29" s="1363"/>
      <c r="P29" s="1363"/>
      <c r="Q29" s="1363"/>
      <c r="R29" s="1363"/>
      <c r="S29" s="1363"/>
      <c r="T29" s="1363"/>
      <c r="U29" s="438" cm="1" t="str">
        <f t="array" ref="U29:U29">U28</f>
        <v>false</v>
      </c>
      <c r="V29" s="1363"/>
      <c r="W29" s="1363"/>
      <c r="X29" s="1363"/>
      <c r="Y29" s="1491"/>
      <c r="Z29" s="1513"/>
      <c r="AA29" s="1363"/>
      <c r="AB29" s="236"/>
      <c r="AC29" s="237" t="s">
        <v>432</v>
      </c>
      <c r="AD29" s="238"/>
      <c r="AE29" s="238"/>
      <c r="AF29" s="238"/>
      <c r="AG29" s="238"/>
      <c r="AH29" s="238"/>
      <c r="AI29" s="271">
        <f>(1-AI30/100)*(1+AI31/100)*(1+AI33/100)</f>
        <v>1</v>
      </c>
      <c r="AJ29" s="271">
        <f>(1-AJ30/100)*(1+AJ31/100)*(1+AJ33/100)</f>
        <v>1</v>
      </c>
      <c r="AK29" s="271">
        <f>(1-AK30/100)*(1+AK31/100)*(1+AK33/100)</f>
        <v>1</v>
      </c>
      <c r="AL29" s="238"/>
      <c r="AM29" s="238"/>
      <c r="AN29" s="238"/>
      <c r="AO29" s="271">
        <f>(1-AO30/100)*(1+AO31/100)*(1+AO33/100)</f>
        <v>1</v>
      </c>
      <c r="AP29" s="271">
        <f>(1-AP30/100)*(1+AP31/100)*(1+AP33/100)</f>
        <v>1</v>
      </c>
      <c r="AQ29" s="271">
        <f>(1-AQ30/100)*(1+AQ31/100)*(1+AQ33/100)</f>
        <v>1</v>
      </c>
      <c r="AR29" s="271">
        <f>(1-AR30/100)*(1+AR31/100)*(1+AR33/100)</f>
        <v>1</v>
      </c>
      <c r="AS29" s="271">
        <f>(1-AS30/100)*(1+AS31/100)*(1+AS33/100)</f>
        <v>1</v>
      </c>
      <c r="AT29" s="271">
        <f>(1-AT30/100)*(1+AT31/100)*(1+AT33/100)</f>
        <v>1</v>
      </c>
      <c r="AU29" s="271">
        <f>(1-AU30/100)*(1+AU31/100)*(1+AU33/100)</f>
        <v>1</v>
      </c>
      <c r="AV29" s="271">
        <f>(1-AV30/100)*(1+AV31/100)*(1+AV33/100)</f>
        <v>1</v>
      </c>
      <c r="AW29" s="271">
        <f>(1-AW30/100)*(1+AW31/100)*(1+AW33/100)</f>
        <v>1</v>
      </c>
      <c r="AX29" s="271">
        <f>(1-AX30/100)*(1+AX31/100)*(1+AX33/100)</f>
        <v>1</v>
      </c>
      <c r="AY29" s="271">
        <f>(1-AY30/100)*(1+AY31/100)*(1+AY33/100)</f>
        <v>1</v>
      </c>
      <c r="AZ29" s="271">
        <f>(1-AZ30/100)*(1+AZ31/100)*(1+AZ33/100)</f>
        <v>1</v>
      </c>
      <c r="BA29" s="271">
        <f>(1-BA30/100)*(1+BA31/100)*(1+BA33/100)</f>
        <v>1</v>
      </c>
      <c r="BB29" s="271">
        <f>(1-BB30/100)*(1+BB31/100)*(1+BB33/100)</f>
        <v>1</v>
      </c>
      <c r="BC29" s="271">
        <f>(1-BC30/100)*(1+BC31/100)*(1+BC33/100)</f>
        <v>1</v>
      </c>
      <c r="BD29" s="271">
        <f>(1-BD30/100)*(1+BD31/100)*(1+BD33/100)</f>
        <v>1</v>
      </c>
      <c r="BE29" s="271">
        <f>(1-BE30/100)*(1+BE31/100)*(1+BE33/100)</f>
        <v>1</v>
      </c>
      <c r="BF29" s="271">
        <f>(1-BF30/100)*(1+BF31/100)*(1+BF33/100)</f>
        <v>1</v>
      </c>
      <c r="BG29" s="1363"/>
      <c r="BH29" s="1363"/>
      <c r="BI29" s="1374"/>
      <c r="BJ29" s="1374"/>
      <c r="BK29" s="1374"/>
      <c r="BL29" s="1370"/>
      <c r="BM29" s="1370"/>
    </row>
    <row customHeight="1" ht="21.9375" hidden="1">
      <c r="A30" s="1363"/>
      <c r="B30" s="418">
        <f>method_reg&lt;&gt;"Метод экономически обоснованных расходов"</f>
        <v>1</v>
      </c>
      <c r="C30" s="1363"/>
      <c r="D30" s="1363"/>
      <c r="E30" s="593">
        <v>22.5</v>
      </c>
      <c r="F30" s="50" cm="1" t="str">
        <f t="array" ref="F30:F30">OFFSET(E30,-1,1)</f>
        <v>0</v>
      </c>
      <c r="G30" s="88" t="s">
        <v>433</v>
      </c>
      <c r="H30" s="88" t="s">
        <v>434</v>
      </c>
      <c r="I30" s="1363"/>
      <c r="J30" s="1363"/>
      <c r="K30" s="1363"/>
      <c r="L30" s="1363"/>
      <c r="M30" s="1363"/>
      <c r="N30" s="1363"/>
      <c r="O30" s="1363"/>
      <c r="P30" s="1363"/>
      <c r="Q30" s="1363"/>
      <c r="R30" s="1363"/>
      <c r="S30" s="1363"/>
      <c r="T30" s="1363"/>
      <c r="U30" s="438" cm="1" t="str">
        <f t="array" ref="U30:U30">U29</f>
        <v>false</v>
      </c>
      <c r="V30" s="1363"/>
      <c r="W30" s="1363"/>
      <c r="X30" s="1363"/>
      <c r="Y30" s="1491"/>
      <c r="Z30" s="1513"/>
      <c r="AA30" s="1363"/>
      <c r="AB30" s="99">
        <v>1</v>
      </c>
      <c r="AC30" s="100" t="s">
        <v>435</v>
      </c>
      <c r="AD30" s="102" t="s">
        <v>430</v>
      </c>
      <c r="AE30" s="1879"/>
      <c r="AF30" s="1879"/>
      <c r="AG30" s="1879"/>
      <c r="AH30" s="1880"/>
      <c r="AI30" s="1879"/>
      <c r="AJ30" s="1879"/>
      <c r="AK30" s="1879"/>
      <c r="AL30" s="247">
        <f>IF(AI30&lt;&gt;0,AK30/AI30,0)</f>
        <v>0</v>
      </c>
      <c r="AM30" s="246">
        <f>AK30-AJ30</f>
        <v>0</v>
      </c>
      <c r="AN30" s="1880"/>
      <c r="AO30" s="1879"/>
      <c r="AP30" s="1879"/>
      <c r="AQ30" s="1879"/>
      <c r="AR30" s="1879"/>
      <c r="AS30" s="1879"/>
      <c r="AT30" s="1879"/>
      <c r="AU30" s="1879"/>
      <c r="AV30" s="1879"/>
      <c r="AW30" s="1879"/>
      <c r="AX30" s="1879"/>
      <c r="AY30" s="1879"/>
      <c r="AZ30" s="1879"/>
      <c r="BA30" s="1879"/>
      <c r="BB30" s="1879"/>
      <c r="BC30" s="1879"/>
      <c r="BD30" s="1879"/>
      <c r="BE30" s="1879"/>
      <c r="BF30" s="1879"/>
      <c r="BG30" s="1363"/>
      <c r="BH30" s="1363"/>
      <c r="BI30" s="974" t="s">
        <v>436</v>
      </c>
      <c r="BJ30" s="1374"/>
      <c r="BK30" s="1374"/>
      <c r="BL30" s="1370"/>
      <c r="BM30" s="1370"/>
    </row>
    <row customHeight="1" ht="14.625" hidden="1">
      <c r="A31" s="1363"/>
      <c r="B31" s="1369"/>
      <c r="C31" s="1363"/>
      <c r="D31" s="1363"/>
      <c r="E31" s="593">
        <v>15</v>
      </c>
      <c r="F31" s="50" cm="1" t="str">
        <f t="array" ref="F31:F31">OFFSET(E31,-1,1)</f>
        <v>0</v>
      </c>
      <c r="G31" s="88" t="s">
        <v>437</v>
      </c>
      <c r="H31" s="88" t="s">
        <v>438</v>
      </c>
      <c r="I31" s="1363"/>
      <c r="J31" s="1363"/>
      <c r="K31" s="1363"/>
      <c r="L31" s="1363"/>
      <c r="M31" s="1363"/>
      <c r="N31" s="1363"/>
      <c r="O31" s="1363"/>
      <c r="P31" s="1363"/>
      <c r="Q31" s="1363"/>
      <c r="R31" s="1363"/>
      <c r="S31" s="1363"/>
      <c r="T31" s="1363"/>
      <c r="U31" s="438" cm="1" t="str">
        <f t="array" ref="U31:U31">U30</f>
        <v>false</v>
      </c>
      <c r="V31" s="1363"/>
      <c r="W31" s="1363"/>
      <c r="X31" s="1363"/>
      <c r="Y31" s="1491"/>
      <c r="Z31" s="1513"/>
      <c r="AA31" s="1363"/>
      <c r="AB31" s="99">
        <f>IF(B30,2,1)</f>
        <v>2</v>
      </c>
      <c r="AC31" s="101" t="s">
        <v>439</v>
      </c>
      <c r="AD31" s="102" t="s">
        <v>430</v>
      </c>
      <c r="AE31" s="1879"/>
      <c r="AF31" s="1879"/>
      <c r="AG31" s="1879"/>
      <c r="AH31" s="1880"/>
      <c r="AI31" s="1879"/>
      <c r="AJ31" s="1879"/>
      <c r="AK31" s="1879"/>
      <c r="AL31" s="247">
        <f>IF(AI31&lt;&gt;0,AK31/AI31,0)</f>
        <v>0</v>
      </c>
      <c r="AM31" s="246">
        <f>AK31-AJ31</f>
        <v>0</v>
      </c>
      <c r="AN31" s="1880"/>
      <c r="AO31" s="1879"/>
      <c r="AP31" s="1879"/>
      <c r="AQ31" s="1879"/>
      <c r="AR31" s="1879"/>
      <c r="AS31" s="1879"/>
      <c r="AT31" s="1879"/>
      <c r="AU31" s="1879"/>
      <c r="AV31" s="1879"/>
      <c r="AW31" s="1879"/>
      <c r="AX31" s="1879"/>
      <c r="AY31" s="1879"/>
      <c r="AZ31" s="1879"/>
      <c r="BA31" s="1879"/>
      <c r="BB31" s="1879"/>
      <c r="BC31" s="1879"/>
      <c r="BD31" s="1879"/>
      <c r="BE31" s="1879"/>
      <c r="BF31" s="1879"/>
      <c r="BG31" s="1363"/>
      <c r="BH31" s="1363"/>
      <c r="BI31" s="974" t="s">
        <v>440</v>
      </c>
      <c r="BJ31" s="1374"/>
      <c r="BK31" s="1374"/>
      <c r="BL31" s="1370"/>
      <c r="BM31" s="1370"/>
    </row>
    <row customHeight="1" ht="14.625" hidden="1">
      <c r="A32" s="1363"/>
      <c r="B32" s="1369"/>
      <c r="C32" s="1363"/>
      <c r="D32" s="1363"/>
      <c r="E32" s="593">
        <v>15</v>
      </c>
      <c r="F32" s="50" cm="1" t="str">
        <f t="array" ref="F32:F32">OFFSET(E32,-1,1)</f>
        <v>0</v>
      </c>
      <c r="G32" s="1363"/>
      <c r="H32" s="88" t="s">
        <v>441</v>
      </c>
      <c r="I32" s="1363"/>
      <c r="J32" s="1363"/>
      <c r="K32" s="1363"/>
      <c r="L32" s="1363"/>
      <c r="M32" s="1363"/>
      <c r="N32" s="1363"/>
      <c r="O32" s="1363"/>
      <c r="P32" s="1363"/>
      <c r="Q32" s="1363"/>
      <c r="R32" s="1363"/>
      <c r="S32" s="1363"/>
      <c r="T32" s="1363"/>
      <c r="U32" s="438" cm="1" t="str">
        <f t="array" ref="U32:U32">U31</f>
        <v>false</v>
      </c>
      <c r="V32" s="1363"/>
      <c r="W32" s="1363"/>
      <c r="X32" s="1363"/>
      <c r="Y32" s="1491"/>
      <c r="Z32" s="1513"/>
      <c r="AA32" s="1363"/>
      <c r="AB32" s="99">
        <f>AB31+1</f>
        <v>3</v>
      </c>
      <c r="AC32" s="103" t="s">
        <v>442</v>
      </c>
      <c r="AD32" s="102" t="s">
        <v>430</v>
      </c>
      <c r="AE32" s="1879"/>
      <c r="AF32" s="1879"/>
      <c r="AG32" s="1879"/>
      <c r="AH32" s="1880"/>
      <c r="AI32" s="1879"/>
      <c r="AJ32" s="1879"/>
      <c r="AK32" s="1879"/>
      <c r="AL32" s="247">
        <f>IF(AI32&lt;&gt;0,AK32/AI32,0)</f>
        <v>0</v>
      </c>
      <c r="AM32" s="246">
        <f>AK32-AJ32</f>
        <v>0</v>
      </c>
      <c r="AN32" s="1880"/>
      <c r="AO32" s="1879"/>
      <c r="AP32" s="1879"/>
      <c r="AQ32" s="1879"/>
      <c r="AR32" s="1879"/>
      <c r="AS32" s="1879"/>
      <c r="AT32" s="1879"/>
      <c r="AU32" s="1879"/>
      <c r="AV32" s="1879"/>
      <c r="AW32" s="1879"/>
      <c r="AX32" s="1879"/>
      <c r="AY32" s="1879"/>
      <c r="AZ32" s="1879"/>
      <c r="BA32" s="1879"/>
      <c r="BB32" s="1879"/>
      <c r="BC32" s="1879"/>
      <c r="BD32" s="1879"/>
      <c r="BE32" s="1879"/>
      <c r="BF32" s="1879"/>
      <c r="BG32" s="1363"/>
      <c r="BH32" s="1363"/>
      <c r="BI32" s="974" t="s">
        <v>443</v>
      </c>
      <c r="BJ32" s="1374"/>
      <c r="BK32" s="1374"/>
      <c r="BL32" s="1370"/>
      <c r="BM32" s="1370"/>
    </row>
    <row customHeight="1" ht="14.625" hidden="1">
      <c r="A33" s="1363"/>
      <c r="B33" s="418">
        <f>method_reg&lt;&gt;"Метод экономически обоснованных расходов"</f>
        <v>1</v>
      </c>
      <c r="C33" s="1363"/>
      <c r="D33" s="1363"/>
      <c r="E33" s="593">
        <v>15</v>
      </c>
      <c r="F33" s="50" cm="1" t="str">
        <f t="array" ref="F33:F33">OFFSET(E33,-1,1)</f>
        <v>0</v>
      </c>
      <c r="G33" s="88" t="s">
        <v>444</v>
      </c>
      <c r="H33" s="88" t="s">
        <v>445</v>
      </c>
      <c r="I33" s="1363"/>
      <c r="J33" s="1363"/>
      <c r="K33" s="1363"/>
      <c r="L33" s="1363"/>
      <c r="M33" s="1363"/>
      <c r="N33" s="1363"/>
      <c r="O33" s="1363"/>
      <c r="P33" s="1363"/>
      <c r="Q33" s="1363"/>
      <c r="R33" s="1363"/>
      <c r="S33" s="1363"/>
      <c r="T33" s="1363"/>
      <c r="U33" s="438" cm="1" t="str">
        <f t="array" ref="U33:U33">U32</f>
        <v>false</v>
      </c>
      <c r="V33" s="1363"/>
      <c r="W33" s="1363"/>
      <c r="X33" s="1363"/>
      <c r="Y33" s="1491"/>
      <c r="Z33" s="1513"/>
      <c r="AA33" s="1363"/>
      <c r="AB33" s="99">
        <v>4</v>
      </c>
      <c r="AC33" s="101" t="s">
        <v>446</v>
      </c>
      <c r="AD33" s="102" t="s">
        <v>430</v>
      </c>
      <c r="AE33" s="1879"/>
      <c r="AF33" s="1879"/>
      <c r="AG33" s="1879"/>
      <c r="AH33" s="1880"/>
      <c r="AI33" s="1879"/>
      <c r="AJ33" s="1879"/>
      <c r="AK33" s="1879"/>
      <c r="AL33" s="247">
        <f>IF(AI33&lt;&gt;0,AK33/AI33,0)</f>
        <v>0</v>
      </c>
      <c r="AM33" s="246">
        <f>AK33-AJ33</f>
        <v>0</v>
      </c>
      <c r="AN33" s="1880"/>
      <c r="AO33" s="1879"/>
      <c r="AP33" s="1879"/>
      <c r="AQ33" s="1879"/>
      <c r="AR33" s="1879"/>
      <c r="AS33" s="1879"/>
      <c r="AT33" s="1879"/>
      <c r="AU33" s="1879"/>
      <c r="AV33" s="1879"/>
      <c r="AW33" s="1879"/>
      <c r="AX33" s="1879"/>
      <c r="AY33" s="1879"/>
      <c r="AZ33" s="1879"/>
      <c r="BA33" s="1879"/>
      <c r="BB33" s="1879"/>
      <c r="BC33" s="1879"/>
      <c r="BD33" s="1879"/>
      <c r="BE33" s="1879"/>
      <c r="BF33" s="1879"/>
      <c r="BG33" s="1363"/>
      <c r="BH33" s="1363"/>
      <c r="BI33" s="974" t="s">
        <v>447</v>
      </c>
      <c r="BJ33" s="1374"/>
      <c r="BK33" s="1374"/>
      <c r="BL33" s="1370"/>
      <c r="BM33" s="1370"/>
    </row>
    <row s="1353" customFormat="1" customHeight="1" ht="14.625" hidden="1">
      <c r="A34" s="115"/>
      <c r="B34" s="419"/>
      <c r="C34" s="115"/>
      <c r="D34" s="115"/>
      <c r="E34" s="652">
        <v>15</v>
      </c>
      <c r="F34" s="340" cm="1" t="str">
        <f t="array" ref="F34:F34">OFFSET(E34,-1,1)</f>
        <v>0</v>
      </c>
      <c r="G34" s="115"/>
      <c r="H34" s="115"/>
      <c r="I34" s="115"/>
      <c r="J34" s="115"/>
      <c r="K34" s="115"/>
      <c r="L34" s="115"/>
      <c r="M34" s="115"/>
      <c r="N34" s="115"/>
      <c r="O34" s="115"/>
      <c r="P34" s="115"/>
      <c r="Q34" s="115"/>
      <c r="R34" s="115"/>
      <c r="S34" s="115"/>
      <c r="T34" s="115"/>
      <c r="U34" s="438" cm="1" t="str">
        <f t="array" ref="U34:U34">U33</f>
        <v>false</v>
      </c>
      <c r="V34" s="115"/>
      <c r="W34" s="115"/>
      <c r="X34" s="115"/>
      <c r="Y34" s="1491"/>
      <c r="Z34" s="1513"/>
      <c r="AA34" s="115"/>
      <c r="AB34" s="99">
        <v>5</v>
      </c>
      <c r="AC34" s="101" t="s">
        <v>448</v>
      </c>
      <c r="AD34" s="102" t="s">
        <v>430</v>
      </c>
      <c r="AE34" s="1879"/>
      <c r="AF34" s="1879"/>
      <c r="AG34" s="1879"/>
      <c r="AH34" s="1880"/>
      <c r="AI34" s="1879"/>
      <c r="AJ34" s="1879"/>
      <c r="AK34" s="1879"/>
      <c r="AL34" s="247">
        <f>IF(AI34&lt;&gt;0,AK34/AI34,0)</f>
        <v>0</v>
      </c>
      <c r="AM34" s="246">
        <f>AK34-AJ34</f>
        <v>0</v>
      </c>
      <c r="AN34" s="1880"/>
      <c r="AO34" s="1879"/>
      <c r="AP34" s="1879"/>
      <c r="AQ34" s="1879"/>
      <c r="AR34" s="1879"/>
      <c r="AS34" s="1879"/>
      <c r="AT34" s="1879"/>
      <c r="AU34" s="1879"/>
      <c r="AV34" s="1879"/>
      <c r="AW34" s="1879"/>
      <c r="AX34" s="1879"/>
      <c r="AY34" s="1879"/>
      <c r="AZ34" s="1879"/>
      <c r="BA34" s="1879"/>
      <c r="BB34" s="1879"/>
      <c r="BC34" s="1879"/>
      <c r="BD34" s="1879"/>
      <c r="BE34" s="1879"/>
      <c r="BF34" s="1879"/>
      <c r="BG34" s="115"/>
      <c r="BH34" s="115"/>
      <c r="BI34" s="1015" t="s">
        <v>449</v>
      </c>
      <c r="BJ34" s="1015"/>
      <c r="BK34" s="1015"/>
      <c r="BL34" s="652"/>
      <c r="BM34" s="652"/>
    </row>
    <row customHeight="1" ht="14.625" hidden="1">
      <c r="A35" s="1363"/>
      <c r="B35" s="1369"/>
      <c r="C35" s="1363"/>
      <c r="D35" s="1363"/>
      <c r="E35" s="593">
        <v>15</v>
      </c>
      <c r="F35" s="50" cm="1" t="str">
        <f t="array" ref="F35:F35">OFFSET(E35,-1,1)</f>
        <v>0</v>
      </c>
      <c r="G35" s="1363"/>
      <c r="H35" s="1363"/>
      <c r="I35" s="1363"/>
      <c r="J35" s="1363"/>
      <c r="K35" s="1363"/>
      <c r="L35" s="1363"/>
      <c r="M35" s="1363"/>
      <c r="N35" s="1363"/>
      <c r="O35" s="1363"/>
      <c r="P35" s="1363"/>
      <c r="Q35" s="1363"/>
      <c r="R35" s="1363"/>
      <c r="S35" s="1363"/>
      <c r="T35" s="1363"/>
      <c r="U35" s="438" cm="1" t="str">
        <f t="array" ref="U35:U35">U33</f>
        <v>false</v>
      </c>
      <c r="V35" s="1363"/>
      <c r="W35" s="1363"/>
      <c r="X35" s="1363"/>
      <c r="Y35" s="1491"/>
      <c r="Z35" s="1513"/>
      <c r="AA35" s="1363"/>
      <c r="AB35" s="236"/>
      <c r="AC35" s="237" t="s">
        <v>450</v>
      </c>
      <c r="AD35" s="238"/>
      <c r="AE35" s="243"/>
      <c r="AF35" s="243"/>
      <c r="AG35" s="243"/>
      <c r="AH35" s="238"/>
      <c r="AI35" s="243"/>
      <c r="AJ35" s="243"/>
      <c r="AK35" s="243"/>
      <c r="AL35" s="248"/>
      <c r="AM35" s="243"/>
      <c r="AN35" s="238"/>
      <c r="AO35" s="243"/>
      <c r="AP35" s="243"/>
      <c r="AQ35" s="243"/>
      <c r="AR35" s="243"/>
      <c r="AS35" s="243"/>
      <c r="AT35" s="243"/>
      <c r="AU35" s="243"/>
      <c r="AV35" s="243"/>
      <c r="AW35" s="243"/>
      <c r="AX35" s="243"/>
      <c r="AY35" s="243"/>
      <c r="AZ35" s="243"/>
      <c r="BA35" s="243"/>
      <c r="BB35" s="243"/>
      <c r="BC35" s="243"/>
      <c r="BD35" s="243"/>
      <c r="BE35" s="243"/>
      <c r="BF35" s="249"/>
      <c r="BG35" s="1363"/>
      <c r="BH35" s="1363"/>
      <c r="BI35" s="1374"/>
      <c r="BJ35" s="1374"/>
      <c r="BK35" s="1374"/>
      <c r="BL35" s="1370"/>
      <c r="BM35" s="1370"/>
    </row>
    <row customHeight="1" ht="14.625" hidden="1">
      <c r="A36" s="1363"/>
      <c r="B36" s="1369"/>
      <c r="C36" s="1363"/>
      <c r="D36" s="1363"/>
      <c r="E36" s="593">
        <v>15</v>
      </c>
      <c r="F36" s="50" cm="1" t="str">
        <f t="array" ref="F36:F36">OFFSET(E36,-1,1)</f>
        <v>0</v>
      </c>
      <c r="G36" s="88" t="s">
        <v>451</v>
      </c>
      <c r="H36" s="88" t="s">
        <v>452</v>
      </c>
      <c r="I36" s="1363"/>
      <c r="J36" s="1363"/>
      <c r="K36" s="1363"/>
      <c r="L36" s="1363"/>
      <c r="M36" s="1363"/>
      <c r="N36" s="1363"/>
      <c r="O36" s="1363"/>
      <c r="P36" s="1363"/>
      <c r="Q36" s="1363"/>
      <c r="R36" s="1363"/>
      <c r="S36" s="1363"/>
      <c r="T36" s="1363"/>
      <c r="U36" s="438" cm="1" t="str">
        <f t="array" ref="U36:U36">U35</f>
        <v>false</v>
      </c>
      <c r="V36" s="1363"/>
      <c r="W36" s="1363"/>
      <c r="X36" s="1363"/>
      <c r="Y36" s="1491"/>
      <c r="Z36" s="1513"/>
      <c r="AA36" s="1363"/>
      <c r="AB36" s="99">
        <v>1</v>
      </c>
      <c r="AC36" s="101" t="s">
        <v>453</v>
      </c>
      <c r="AD36" s="102" t="s">
        <v>430</v>
      </c>
      <c r="AE36" s="1892"/>
      <c r="AF36" s="1892"/>
      <c r="AG36" s="1892"/>
      <c r="AH36" s="1880"/>
      <c r="AI36" s="1892"/>
      <c r="AJ36" s="1892"/>
      <c r="AK36" s="1892"/>
      <c r="AL36" s="247">
        <f>IF(AI36&lt;&gt;0,AK36/AI36,0)</f>
        <v>0</v>
      </c>
      <c r="AM36" s="246">
        <f>AK36-AJ36</f>
        <v>0</v>
      </c>
      <c r="AN36" s="1880"/>
      <c r="AO36" s="1892"/>
      <c r="AP36" s="1892"/>
      <c r="AQ36" s="1892"/>
      <c r="AR36" s="1892"/>
      <c r="AS36" s="1892"/>
      <c r="AT36" s="1892"/>
      <c r="AU36" s="1892"/>
      <c r="AV36" s="1892"/>
      <c r="AW36" s="1892"/>
      <c r="AX36" s="1892"/>
      <c r="AY36" s="1892"/>
      <c r="AZ36" s="1892"/>
      <c r="BA36" s="1892"/>
      <c r="BB36" s="1892"/>
      <c r="BC36" s="1892"/>
      <c r="BD36" s="1892"/>
      <c r="BE36" s="1892"/>
      <c r="BF36" s="1892"/>
      <c r="BG36" s="1363"/>
      <c r="BH36" s="1363"/>
      <c r="BI36" s="974" t="s">
        <v>454</v>
      </c>
      <c r="BJ36" s="1374"/>
      <c r="BK36" s="1374"/>
      <c r="BL36" s="1370"/>
      <c r="BM36" s="1370"/>
    </row>
    <row customHeight="1" ht="15" hidden="1">
      <c r="A37" s="1363"/>
      <c r="B37" s="1369"/>
      <c r="C37" s="1363"/>
      <c r="D37" s="1363"/>
      <c r="E37" s="593">
        <v>0</v>
      </c>
      <c r="F37" s="50" cm="1" t="str">
        <f t="array" ref="F37:F37">OFFSET(E37,-1,1)</f>
        <v>0</v>
      </c>
      <c r="G37" s="1363"/>
      <c r="H37" s="88" t="s">
        <v>455</v>
      </c>
      <c r="I37" s="1363"/>
      <c r="J37" s="1363"/>
      <c r="K37" s="1363"/>
      <c r="L37" s="1363"/>
      <c r="M37" s="1363"/>
      <c r="N37" s="1363"/>
      <c r="O37" s="1363"/>
      <c r="P37" s="1363"/>
      <c r="Q37" s="1363"/>
      <c r="R37" s="1363"/>
      <c r="S37" s="1363"/>
      <c r="T37" s="1363"/>
      <c r="U37" s="438" cm="1" t="str">
        <f t="array" ref="U37:U37">U36</f>
        <v>false</v>
      </c>
      <c r="V37" s="1363"/>
      <c r="W37" s="1363"/>
      <c r="X37" s="1363"/>
      <c r="Y37" s="1491"/>
      <c r="Z37" s="1513"/>
      <c r="AA37" s="1363"/>
      <c r="AB37" s="99">
        <v>2</v>
      </c>
      <c r="AC37" s="101" t="s">
        <v>429</v>
      </c>
      <c r="AD37" s="102" t="s">
        <v>430</v>
      </c>
      <c r="AE37" s="1892"/>
      <c r="AF37" s="1879"/>
      <c r="AG37" s="1892"/>
      <c r="AH37" s="1880"/>
      <c r="AI37" s="1892"/>
      <c r="AJ37" s="1892"/>
      <c r="AK37" s="1892"/>
      <c r="AL37" s="247">
        <f>IF(AI37&lt;&gt;0,AK37/AI37,0)</f>
        <v>0</v>
      </c>
      <c r="AM37" s="246">
        <f>AK37-AJ37</f>
        <v>0</v>
      </c>
      <c r="AN37" s="1880"/>
      <c r="AO37" s="1892"/>
      <c r="AP37" s="1892"/>
      <c r="AQ37" s="1892"/>
      <c r="AR37" s="1892"/>
      <c r="AS37" s="1892"/>
      <c r="AT37" s="1892"/>
      <c r="AU37" s="1892"/>
      <c r="AV37" s="1892"/>
      <c r="AW37" s="1892"/>
      <c r="AX37" s="1892"/>
      <c r="AY37" s="1892"/>
      <c r="AZ37" s="1892"/>
      <c r="BA37" s="1892"/>
      <c r="BB37" s="1892"/>
      <c r="BC37" s="1892"/>
      <c r="BD37" s="1892"/>
      <c r="BE37" s="1892"/>
      <c r="BF37" s="1892"/>
      <c r="BG37" s="1363"/>
      <c r="BH37" s="1363"/>
      <c r="BI37" s="974" t="s">
        <v>456</v>
      </c>
      <c r="BJ37" s="1374"/>
      <c r="BK37" s="1374"/>
      <c r="BL37" s="1370"/>
      <c r="BM37" s="1370"/>
    </row>
    <row customHeight="1" ht="14.625" hidden="1">
      <c r="A38" s="1363"/>
      <c r="B38" s="1369"/>
      <c r="C38" s="1363"/>
      <c r="D38" s="1363"/>
      <c r="E38" s="593">
        <v>15</v>
      </c>
      <c r="F38" s="50" cm="1" t="str">
        <f t="array" ref="F38:F38">OFFSET(E38,-1,1)</f>
        <v>0</v>
      </c>
      <c r="G38" s="1363"/>
      <c r="H38" s="1363"/>
      <c r="I38" s="1363"/>
      <c r="J38" s="1363"/>
      <c r="K38" s="1363"/>
      <c r="L38" s="1363"/>
      <c r="M38" s="1363"/>
      <c r="N38" s="1363"/>
      <c r="O38" s="1363"/>
      <c r="P38" s="1363"/>
      <c r="Q38" s="1363"/>
      <c r="R38" s="1363"/>
      <c r="S38" s="1363"/>
      <c r="T38" s="1363"/>
      <c r="U38" s="438" cm="1" t="str">
        <f t="array" ref="U38:U38">U37</f>
        <v>false</v>
      </c>
      <c r="V38" s="1363"/>
      <c r="W38" s="1363"/>
      <c r="X38" s="1363"/>
      <c r="Y38" s="1491"/>
      <c r="Z38" s="1513"/>
      <c r="AA38" s="1363"/>
      <c r="AB38" s="581">
        <v>2</v>
      </c>
      <c r="AC38" s="582" t="s">
        <v>457</v>
      </c>
      <c r="AD38" s="60"/>
      <c r="AE38" s="583"/>
      <c r="AF38" s="584"/>
      <c r="AG38" s="585"/>
      <c r="AH38" s="586"/>
      <c r="AI38" s="583"/>
      <c r="AJ38" s="584"/>
      <c r="AK38" s="584"/>
      <c r="AL38" s="587"/>
      <c r="AM38" s="584"/>
      <c r="AN38" s="586"/>
      <c r="AO38" s="583"/>
      <c r="AP38" s="583"/>
      <c r="AQ38" s="583"/>
      <c r="AR38" s="583"/>
      <c r="AS38" s="583"/>
      <c r="AT38" s="583"/>
      <c r="AU38" s="583"/>
      <c r="AV38" s="583"/>
      <c r="AW38" s="583"/>
      <c r="AX38" s="583"/>
      <c r="AY38" s="583"/>
      <c r="AZ38" s="583"/>
      <c r="BA38" s="583"/>
      <c r="BB38" s="583"/>
      <c r="BC38" s="583"/>
      <c r="BD38" s="583"/>
      <c r="BE38" s="583"/>
      <c r="BF38" s="583"/>
      <c r="BG38" s="1363"/>
      <c r="BH38" s="1363"/>
      <c r="BI38" s="974" t="s">
        <v>458</v>
      </c>
      <c r="BJ38" s="1374"/>
      <c r="BK38" s="1374"/>
      <c r="BL38" s="1370"/>
      <c r="BM38" s="1370"/>
    </row>
    <row customHeight="1" ht="21.9375" hidden="1">
      <c r="A39" s="1363"/>
      <c r="B39" s="1369"/>
      <c r="C39" s="1363"/>
      <c r="D39" s="1363"/>
      <c r="E39" s="593">
        <v>22.5</v>
      </c>
      <c r="F39" s="50" cm="1" t="str">
        <f t="array" ref="F39:F39">OFFSET(E39,-1,1)</f>
        <v>0</v>
      </c>
      <c r="G39" s="1363"/>
      <c r="H39" s="88" t="s">
        <v>459</v>
      </c>
      <c r="I39" s="1363"/>
      <c r="J39" s="1363"/>
      <c r="K39" s="1363"/>
      <c r="L39" s="1363"/>
      <c r="M39" s="1363"/>
      <c r="N39" s="1363"/>
      <c r="O39" s="1363"/>
      <c r="P39" s="1363"/>
      <c r="Q39" s="1363"/>
      <c r="R39" s="1363"/>
      <c r="S39" s="1363"/>
      <c r="T39" s="1363"/>
      <c r="U39" s="438" cm="1" t="str">
        <f t="array" ref="U39:U39">U38</f>
        <v>false</v>
      </c>
      <c r="V39" s="1363"/>
      <c r="W39" s="1363"/>
      <c r="X39" s="1363"/>
      <c r="Y39" s="1491"/>
      <c r="Z39" s="1513"/>
      <c r="AA39" s="1363"/>
      <c r="AB39" s="186" t="s">
        <v>460</v>
      </c>
      <c r="AC39" s="180" t="s">
        <v>461</v>
      </c>
      <c r="AD39" s="57" t="s">
        <v>462</v>
      </c>
      <c r="AE39" s="1904"/>
      <c r="AF39" s="1905"/>
      <c r="AG39" s="1906"/>
      <c r="AH39" s="1907"/>
      <c r="AI39" s="1904"/>
      <c r="AJ39" s="1905"/>
      <c r="AK39" s="1905"/>
      <c r="AL39" s="590">
        <f>IF(AI39&lt;&gt;0,AK39/AI39,0)</f>
        <v>0</v>
      </c>
      <c r="AM39" s="591">
        <f>AK39-AJ39</f>
        <v>0</v>
      </c>
      <c r="AN39" s="1907"/>
      <c r="AO39" s="1904"/>
      <c r="AP39" s="1904"/>
      <c r="AQ39" s="1904"/>
      <c r="AR39" s="1904"/>
      <c r="AS39" s="1904"/>
      <c r="AT39" s="1904"/>
      <c r="AU39" s="1904"/>
      <c r="AV39" s="1904"/>
      <c r="AW39" s="1904"/>
      <c r="AX39" s="1904"/>
      <c r="AY39" s="1904"/>
      <c r="AZ39" s="1904"/>
      <c r="BA39" s="1904"/>
      <c r="BB39" s="1904"/>
      <c r="BC39" s="1904"/>
      <c r="BD39" s="1904"/>
      <c r="BE39" s="1904"/>
      <c r="BF39" s="1904"/>
      <c r="BG39" s="1363"/>
      <c r="BH39" s="1363"/>
      <c r="BI39" s="974" t="s">
        <v>463</v>
      </c>
      <c r="BJ39" s="1374"/>
      <c r="BK39" s="1374"/>
      <c r="BL39" s="1370"/>
      <c r="BM39" s="1370"/>
    </row>
    <row customHeight="1" ht="21.9375" hidden="1">
      <c r="A40" s="1363"/>
      <c r="B40" s="1369"/>
      <c r="C40" s="1363"/>
      <c r="D40" s="1363"/>
      <c r="E40" s="593">
        <v>22.5</v>
      </c>
      <c r="F40" s="50" cm="1" t="str">
        <f t="array" ref="F40:F40">OFFSET(E40,-1,1)</f>
        <v>0</v>
      </c>
      <c r="G40" s="1363"/>
      <c r="H40" s="1363"/>
      <c r="I40" s="88" cm="1" t="str">
        <f t="array" ref="I40:I40">AC40</f>
        <v>0</v>
      </c>
      <c r="J40" s="1363"/>
      <c r="K40" s="1363"/>
      <c r="L40" s="1363"/>
      <c r="M40" s="1363"/>
      <c r="N40" s="1363"/>
      <c r="O40" s="1363"/>
      <c r="P40" s="1363"/>
      <c r="Q40" s="1363"/>
      <c r="R40" s="1363"/>
      <c r="S40" s="1363"/>
      <c r="T40" s="1363"/>
      <c r="U40" s="438">
        <f>AND(F40&gt;0,--RIGHT(AB40,1)&gt;1)</f>
        <v>0</v>
      </c>
      <c r="V40" s="1363"/>
      <c r="W40" s="1363"/>
      <c r="X40" s="733" t="s">
        <v>172</v>
      </c>
      <c r="Y40" s="1491"/>
      <c r="Z40" s="1513"/>
      <c r="AA40" s="392" t="s">
        <v>173</v>
      </c>
      <c r="AB40" s="186" t="s">
        <v>460</v>
      </c>
      <c r="AC40" s="1910"/>
      <c r="AD40" s="57" t="s">
        <v>462</v>
      </c>
      <c r="AE40" s="1904"/>
      <c r="AF40" s="1905"/>
      <c r="AG40" s="1906"/>
      <c r="AH40" s="1907"/>
      <c r="AI40" s="1904"/>
      <c r="AJ40" s="1905"/>
      <c r="AK40" s="1905"/>
      <c r="AL40" s="590">
        <f>IF(AI40&lt;&gt;0,AK40/AI40,0)</f>
        <v>0</v>
      </c>
      <c r="AM40" s="591">
        <f>AK40-AJ40</f>
        <v>0</v>
      </c>
      <c r="AN40" s="1907"/>
      <c r="AO40" s="1904"/>
      <c r="AP40" s="1904"/>
      <c r="AQ40" s="1904"/>
      <c r="AR40" s="1904"/>
      <c r="AS40" s="1904"/>
      <c r="AT40" s="1904"/>
      <c r="AU40" s="1904"/>
      <c r="AV40" s="1904"/>
      <c r="AW40" s="1904"/>
      <c r="AX40" s="1904"/>
      <c r="AY40" s="1904"/>
      <c r="AZ40" s="1904"/>
      <c r="BA40" s="1904"/>
      <c r="BB40" s="1904"/>
      <c r="BC40" s="1904"/>
      <c r="BD40" s="1904"/>
      <c r="BE40" s="1904"/>
      <c r="BF40" s="1904"/>
      <c r="BG40" s="1363"/>
      <c r="BH40" s="1363"/>
      <c r="BI40" s="974" t="s">
        <v>463</v>
      </c>
      <c r="BJ40" s="974" t="s">
        <v>464</v>
      </c>
      <c r="BK40" s="974" cm="1" t="str">
        <f t="array" ref="BK40:BK40">AC40</f>
        <v>0</v>
      </c>
      <c r="BL40" s="1370"/>
      <c r="BM40" s="593" t="b">
        <v>1</v>
      </c>
    </row>
    <row customHeight="1" ht="14.625" hidden="1">
      <c r="A41" s="1363"/>
      <c r="B41" s="1369"/>
      <c r="C41" s="1363"/>
      <c r="D41" s="1363"/>
      <c r="E41" s="593">
        <v>15</v>
      </c>
      <c r="F41" s="50" cm="1" t="str">
        <f t="array" ref="F41:F41">OFFSET(E41,-1,1)</f>
        <v>0</v>
      </c>
      <c r="G41" s="1363"/>
      <c r="H41" s="1363"/>
      <c r="I41" s="1363"/>
      <c r="J41" s="1363"/>
      <c r="K41" s="1363"/>
      <c r="L41" s="1363"/>
      <c r="M41" s="1363"/>
      <c r="N41" s="1363"/>
      <c r="O41" s="1363"/>
      <c r="P41" s="1363"/>
      <c r="Q41" s="1363"/>
      <c r="R41" s="1363"/>
      <c r="S41" s="1363"/>
      <c r="T41" s="1363"/>
      <c r="U41" s="438">
        <f>F41&gt;0</f>
        <v>0</v>
      </c>
      <c r="V41" s="1363"/>
      <c r="W41" s="1363"/>
      <c r="X41" s="733" t="s">
        <v>396</v>
      </c>
      <c r="Y41" s="1491"/>
      <c r="Z41" s="1513"/>
      <c r="AA41" s="1363"/>
      <c r="AB41" s="141"/>
      <c r="AC41" s="274" t="s">
        <v>176</v>
      </c>
      <c r="AD41" s="142"/>
      <c r="AE41" s="142"/>
      <c r="AF41" s="142"/>
      <c r="AG41" s="142"/>
      <c r="AH41" s="142"/>
      <c r="AI41" s="142"/>
      <c r="AJ41" s="142"/>
      <c r="AK41" s="142"/>
      <c r="AL41" s="142"/>
      <c r="AM41" s="142"/>
      <c r="AN41" s="142"/>
      <c r="AO41" s="142"/>
      <c r="AP41" s="142"/>
      <c r="AQ41" s="142"/>
      <c r="AR41" s="142"/>
      <c r="AS41" s="142"/>
      <c r="AT41" s="142"/>
      <c r="AU41" s="142"/>
      <c r="AV41" s="142"/>
      <c r="AW41" s="142"/>
      <c r="AX41" s="142"/>
      <c r="AY41" s="142"/>
      <c r="AZ41" s="142"/>
      <c r="BA41" s="142"/>
      <c r="BB41" s="142"/>
      <c r="BC41" s="142"/>
      <c r="BD41" s="142"/>
      <c r="BE41" s="142"/>
      <c r="BF41" s="142"/>
      <c r="BG41" s="1363"/>
      <c r="BH41" s="1363"/>
      <c r="BI41" s="1374"/>
      <c r="BJ41" s="1374"/>
      <c r="BK41" s="1374"/>
      <c r="BL41" s="593" t="s">
        <v>464</v>
      </c>
      <c r="BM41" s="1370"/>
    </row>
    <row customHeight="1" ht="21.9375" hidden="1">
      <c r="A42" s="1363"/>
      <c r="B42" s="1369"/>
      <c r="C42" s="1363"/>
      <c r="D42" s="1363"/>
      <c r="E42" s="593">
        <v>22.5</v>
      </c>
      <c r="F42" s="50" cm="1" t="str">
        <f t="array" ref="F42:F42">OFFSET(E42,-1,1)</f>
        <v>0</v>
      </c>
      <c r="G42" s="1363"/>
      <c r="H42" s="88" t="s">
        <v>465</v>
      </c>
      <c r="I42" s="1363"/>
      <c r="J42" s="1363"/>
      <c r="K42" s="1363"/>
      <c r="L42" s="1363"/>
      <c r="M42" s="1363"/>
      <c r="N42" s="1363"/>
      <c r="O42" s="1363"/>
      <c r="P42" s="1363"/>
      <c r="Q42" s="1363"/>
      <c r="R42" s="1363"/>
      <c r="S42" s="1363"/>
      <c r="T42" s="1363"/>
      <c r="U42" s="438" cm="1" t="str">
        <f t="array" ref="U42:U42">U41</f>
        <v>false</v>
      </c>
      <c r="V42" s="1363"/>
      <c r="W42" s="1363"/>
      <c r="X42" s="1363"/>
      <c r="Y42" s="1491"/>
      <c r="Z42" s="1513"/>
      <c r="AA42" s="1363"/>
      <c r="AB42" s="573" t="s">
        <v>466</v>
      </c>
      <c r="AC42" s="574" t="s">
        <v>467</v>
      </c>
      <c r="AD42" s="570" t="s">
        <v>462</v>
      </c>
      <c r="AE42" s="1914"/>
      <c r="AF42" s="1915"/>
      <c r="AG42" s="1916"/>
      <c r="AH42" s="1917"/>
      <c r="AI42" s="1914"/>
      <c r="AJ42" s="1915"/>
      <c r="AK42" s="1915"/>
      <c r="AL42" s="579">
        <f>IF(AI42&lt;&gt;0,AK42/AI42,0)</f>
        <v>0</v>
      </c>
      <c r="AM42" s="580">
        <f>AK42-AJ42</f>
        <v>0</v>
      </c>
      <c r="AN42" s="1917"/>
      <c r="AO42" s="1914"/>
      <c r="AP42" s="1914"/>
      <c r="AQ42" s="1914"/>
      <c r="AR42" s="1914"/>
      <c r="AS42" s="1914"/>
      <c r="AT42" s="1914"/>
      <c r="AU42" s="1914"/>
      <c r="AV42" s="1914"/>
      <c r="AW42" s="1914"/>
      <c r="AX42" s="1914"/>
      <c r="AY42" s="1914"/>
      <c r="AZ42" s="1914"/>
      <c r="BA42" s="1914"/>
      <c r="BB42" s="1914"/>
      <c r="BC42" s="1914"/>
      <c r="BD42" s="1914"/>
      <c r="BE42" s="1914"/>
      <c r="BF42" s="1914"/>
      <c r="BG42" s="1363"/>
      <c r="BH42" s="1363"/>
      <c r="BI42" s="974" t="s">
        <v>468</v>
      </c>
      <c r="BJ42" s="1374"/>
      <c r="BK42" s="1374"/>
      <c r="BL42" s="1370"/>
      <c r="BM42" s="1370"/>
    </row>
    <row customHeight="1" ht="21.9375" hidden="1">
      <c r="A43" s="1363"/>
      <c r="B43" s="1369"/>
      <c r="C43" s="1363"/>
      <c r="D43" s="1363"/>
      <c r="E43" s="593">
        <v>22.5</v>
      </c>
      <c r="F43" s="50" cm="1" t="str">
        <f t="array" ref="F43:F43">OFFSET(E43,-1,1)</f>
        <v>0</v>
      </c>
      <c r="G43" s="1363"/>
      <c r="H43" s="1363"/>
      <c r="I43" s="88" cm="1" t="str">
        <f t="array" ref="I43:I43">AC43</f>
        <v>0</v>
      </c>
      <c r="J43" s="1363"/>
      <c r="K43" s="1363"/>
      <c r="L43" s="1363"/>
      <c r="M43" s="1363"/>
      <c r="N43" s="1363"/>
      <c r="O43" s="1363"/>
      <c r="P43" s="1363"/>
      <c r="Q43" s="1363"/>
      <c r="R43" s="1363"/>
      <c r="S43" s="1363"/>
      <c r="T43" s="1363"/>
      <c r="U43" s="438">
        <f>AND(F43&gt;0,--RIGHT(AB43,1)&gt;1)</f>
        <v>0</v>
      </c>
      <c r="V43" s="1363"/>
      <c r="W43" s="1363"/>
      <c r="X43" s="733" t="s">
        <v>172</v>
      </c>
      <c r="Y43" s="1491"/>
      <c r="Z43" s="1513"/>
      <c r="AA43" s="392" t="s">
        <v>173</v>
      </c>
      <c r="AB43" s="573" t="s">
        <v>466</v>
      </c>
      <c r="AC43" s="1920"/>
      <c r="AD43" s="570" t="s">
        <v>462</v>
      </c>
      <c r="AE43" s="1914"/>
      <c r="AF43" s="1915"/>
      <c r="AG43" s="1916"/>
      <c r="AH43" s="1917"/>
      <c r="AI43" s="1914"/>
      <c r="AJ43" s="1915"/>
      <c r="AK43" s="1915"/>
      <c r="AL43" s="579">
        <f>IF(AI43&lt;&gt;0,AK43/AI43,0)</f>
        <v>0</v>
      </c>
      <c r="AM43" s="580">
        <f>AK43-AJ43</f>
        <v>0</v>
      </c>
      <c r="AN43" s="1917"/>
      <c r="AO43" s="1914"/>
      <c r="AP43" s="1914"/>
      <c r="AQ43" s="1914"/>
      <c r="AR43" s="1914"/>
      <c r="AS43" s="1914"/>
      <c r="AT43" s="1914"/>
      <c r="AU43" s="1914"/>
      <c r="AV43" s="1914"/>
      <c r="AW43" s="1914"/>
      <c r="AX43" s="1914"/>
      <c r="AY43" s="1914"/>
      <c r="AZ43" s="1914"/>
      <c r="BA43" s="1914"/>
      <c r="BB43" s="1914"/>
      <c r="BC43" s="1914"/>
      <c r="BD43" s="1914"/>
      <c r="BE43" s="1914"/>
      <c r="BF43" s="1914"/>
      <c r="BG43" s="1363"/>
      <c r="BH43" s="1363"/>
      <c r="BI43" s="974" t="s">
        <v>468</v>
      </c>
      <c r="BJ43" s="974" t="s">
        <v>469</v>
      </c>
      <c r="BK43" s="974" cm="1" t="str">
        <f t="array" ref="BK43:BK43">AC43</f>
        <v>0</v>
      </c>
      <c r="BL43" s="1370"/>
      <c r="BM43" s="593" t="b">
        <v>1</v>
      </c>
    </row>
    <row customHeight="1" ht="14.625" hidden="1">
      <c r="A44" s="1363"/>
      <c r="B44" s="1369"/>
      <c r="C44" s="1363"/>
      <c r="D44" s="1363"/>
      <c r="E44" s="593">
        <v>15</v>
      </c>
      <c r="F44" s="50" cm="1" t="str">
        <f t="array" ref="F44:F44">OFFSET(E44,-1,1)</f>
        <v>0</v>
      </c>
      <c r="G44" s="1363"/>
      <c r="H44" s="1363"/>
      <c r="I44" s="1363"/>
      <c r="J44" s="1363"/>
      <c r="K44" s="1363"/>
      <c r="L44" s="1363"/>
      <c r="M44" s="1363"/>
      <c r="N44" s="1363"/>
      <c r="O44" s="1363"/>
      <c r="P44" s="1363"/>
      <c r="Q44" s="1363"/>
      <c r="R44" s="1363"/>
      <c r="S44" s="1363"/>
      <c r="T44" s="1363"/>
      <c r="U44" s="438">
        <f>F44&gt;0</f>
        <v>0</v>
      </c>
      <c r="V44" s="1363"/>
      <c r="W44" s="1363"/>
      <c r="X44" s="733" t="s">
        <v>396</v>
      </c>
      <c r="Y44" s="1491"/>
      <c r="Z44" s="1513"/>
      <c r="AA44" s="1363"/>
      <c r="AB44" s="141"/>
      <c r="AC44" s="274" t="s">
        <v>176</v>
      </c>
      <c r="AD44" s="142"/>
      <c r="AE44" s="142"/>
      <c r="AF44" s="142"/>
      <c r="AG44" s="142"/>
      <c r="AH44" s="142"/>
      <c r="AI44" s="142"/>
      <c r="AJ44" s="142"/>
      <c r="AK44" s="142"/>
      <c r="AL44" s="142"/>
      <c r="AM44" s="142"/>
      <c r="AN44" s="142"/>
      <c r="AO44" s="142"/>
      <c r="AP44" s="142"/>
      <c r="AQ44" s="142"/>
      <c r="AR44" s="142"/>
      <c r="AS44" s="142"/>
      <c r="AT44" s="142"/>
      <c r="AU44" s="142"/>
      <c r="AV44" s="142"/>
      <c r="AW44" s="142"/>
      <c r="AX44" s="142"/>
      <c r="AY44" s="142"/>
      <c r="AZ44" s="142"/>
      <c r="BA44" s="142"/>
      <c r="BB44" s="142"/>
      <c r="BC44" s="142"/>
      <c r="BD44" s="142"/>
      <c r="BE44" s="142"/>
      <c r="BF44" s="142"/>
      <c r="BG44" s="1363"/>
      <c r="BH44" s="1363"/>
      <c r="BI44" s="1374"/>
      <c r="BJ44" s="1374"/>
      <c r="BK44" s="1374"/>
      <c r="BL44" s="593" t="s">
        <v>469</v>
      </c>
      <c r="BM44" s="1370"/>
    </row>
    <row customHeight="1" ht="21.9375" hidden="1">
      <c r="A45" s="1363"/>
      <c r="B45" s="1369"/>
      <c r="C45" s="1363"/>
      <c r="D45" s="1363"/>
      <c r="E45" s="593">
        <v>22.5</v>
      </c>
      <c r="F45" s="50" cm="1" t="str">
        <f t="array" ref="F45:F45">OFFSET(E45,-1,1)</f>
        <v>0</v>
      </c>
      <c r="G45" s="1363"/>
      <c r="H45" s="88" t="s">
        <v>470</v>
      </c>
      <c r="I45" s="1363"/>
      <c r="J45" s="1363"/>
      <c r="K45" s="1363"/>
      <c r="L45" s="1363"/>
      <c r="M45" s="1363"/>
      <c r="N45" s="1363"/>
      <c r="O45" s="1363"/>
      <c r="P45" s="1363"/>
      <c r="Q45" s="1363"/>
      <c r="R45" s="1363"/>
      <c r="S45" s="1363"/>
      <c r="T45" s="1363"/>
      <c r="U45" s="438" cm="1" t="str">
        <f t="array" ref="U45:U45">U44</f>
        <v>false</v>
      </c>
      <c r="V45" s="1363"/>
      <c r="W45" s="1363"/>
      <c r="X45" s="1363"/>
      <c r="Y45" s="1491"/>
      <c r="Z45" s="1513"/>
      <c r="AA45" s="1363"/>
      <c r="AB45" s="89" t="s">
        <v>471</v>
      </c>
      <c r="AC45" s="158" t="s">
        <v>472</v>
      </c>
      <c r="AD45" s="58" t="s">
        <v>462</v>
      </c>
      <c r="AE45" s="1879"/>
      <c r="AF45" s="1892"/>
      <c r="AG45" s="1922"/>
      <c r="AH45" s="1880"/>
      <c r="AI45" s="1879"/>
      <c r="AJ45" s="1892"/>
      <c r="AK45" s="1892"/>
      <c r="AL45" s="247">
        <f>IF(AI45&lt;&gt;0,AK45/AI45,0)</f>
        <v>0</v>
      </c>
      <c r="AM45" s="246">
        <f>AK45-AJ45</f>
        <v>0</v>
      </c>
      <c r="AN45" s="1880"/>
      <c r="AO45" s="1879"/>
      <c r="AP45" s="1879"/>
      <c r="AQ45" s="1879"/>
      <c r="AR45" s="1879"/>
      <c r="AS45" s="1879"/>
      <c r="AT45" s="1879"/>
      <c r="AU45" s="1879"/>
      <c r="AV45" s="1879"/>
      <c r="AW45" s="1879"/>
      <c r="AX45" s="1879"/>
      <c r="AY45" s="1879"/>
      <c r="AZ45" s="1879"/>
      <c r="BA45" s="1879"/>
      <c r="BB45" s="1879"/>
      <c r="BC45" s="1879"/>
      <c r="BD45" s="1879"/>
      <c r="BE45" s="1879"/>
      <c r="BF45" s="1879"/>
      <c r="BG45" s="1363"/>
      <c r="BH45" s="1363"/>
      <c r="BI45" s="974" t="s">
        <v>473</v>
      </c>
      <c r="BJ45" s="1374"/>
      <c r="BK45" s="1374"/>
      <c r="BL45" s="1370"/>
      <c r="BM45" s="1370"/>
    </row>
    <row customHeight="1" ht="21.9375" hidden="1">
      <c r="A46" s="1363"/>
      <c r="B46" s="1369"/>
      <c r="C46" s="1363"/>
      <c r="D46" s="1363"/>
      <c r="E46" s="593">
        <v>22.5</v>
      </c>
      <c r="F46" s="50" cm="1" t="str">
        <f t="array" ref="F46:F46">OFFSET(E46,-1,1)</f>
        <v>0</v>
      </c>
      <c r="G46" s="1363"/>
      <c r="H46" s="1363"/>
      <c r="I46" s="88" cm="1" t="str">
        <f t="array" ref="I46:I46">AC46</f>
        <v>0</v>
      </c>
      <c r="J46" s="1363"/>
      <c r="K46" s="1363"/>
      <c r="L46" s="1363"/>
      <c r="M46" s="1363"/>
      <c r="N46" s="1363"/>
      <c r="O46" s="1363"/>
      <c r="P46" s="1363"/>
      <c r="Q46" s="1363"/>
      <c r="R46" s="1363"/>
      <c r="S46" s="1363"/>
      <c r="T46" s="1363"/>
      <c r="U46" s="438">
        <f>AND(F46&gt;0,--RIGHT(AB46,1)&gt;1)</f>
        <v>0</v>
      </c>
      <c r="V46" s="1363"/>
      <c r="W46" s="1363"/>
      <c r="X46" s="733" t="s">
        <v>172</v>
      </c>
      <c r="Y46" s="1491"/>
      <c r="Z46" s="1513"/>
      <c r="AA46" s="392" t="s">
        <v>173</v>
      </c>
      <c r="AB46" s="89" t="s">
        <v>471</v>
      </c>
      <c r="AC46" s="1923"/>
      <c r="AD46" s="58" t="s">
        <v>462</v>
      </c>
      <c r="AE46" s="1879"/>
      <c r="AF46" s="1892"/>
      <c r="AG46" s="1922"/>
      <c r="AH46" s="1880"/>
      <c r="AI46" s="1879"/>
      <c r="AJ46" s="1892"/>
      <c r="AK46" s="1892"/>
      <c r="AL46" s="247">
        <f>IF(AI46&lt;&gt;0,AK46/AI46,0)</f>
        <v>0</v>
      </c>
      <c r="AM46" s="246">
        <f>AK46-AJ46</f>
        <v>0</v>
      </c>
      <c r="AN46" s="1880"/>
      <c r="AO46" s="1879"/>
      <c r="AP46" s="1879"/>
      <c r="AQ46" s="1879"/>
      <c r="AR46" s="1879"/>
      <c r="AS46" s="1879"/>
      <c r="AT46" s="1879"/>
      <c r="AU46" s="1879"/>
      <c r="AV46" s="1879"/>
      <c r="AW46" s="1879"/>
      <c r="AX46" s="1879"/>
      <c r="AY46" s="1879"/>
      <c r="AZ46" s="1879"/>
      <c r="BA46" s="1879"/>
      <c r="BB46" s="1879"/>
      <c r="BC46" s="1879"/>
      <c r="BD46" s="1879"/>
      <c r="BE46" s="1879"/>
      <c r="BF46" s="1879"/>
      <c r="BG46" s="1363"/>
      <c r="BH46" s="1363"/>
      <c r="BI46" s="974" t="s">
        <v>473</v>
      </c>
      <c r="BJ46" s="974" t="s">
        <v>474</v>
      </c>
      <c r="BK46" s="974" cm="1" t="str">
        <f t="array" ref="BK46:BK46">AC46</f>
        <v>0</v>
      </c>
      <c r="BL46" s="1370"/>
      <c r="BM46" s="593" t="b">
        <v>1</v>
      </c>
    </row>
    <row customHeight="1" ht="14.625" hidden="1">
      <c r="A47" s="1363"/>
      <c r="B47" s="1369"/>
      <c r="C47" s="1363"/>
      <c r="D47" s="1363"/>
      <c r="E47" s="593">
        <v>15</v>
      </c>
      <c r="F47" s="50" cm="1" t="str">
        <f t="array" ref="F47:F47">OFFSET(E47,-1,1)</f>
        <v>0</v>
      </c>
      <c r="G47" s="1363"/>
      <c r="H47" s="1363"/>
      <c r="I47" s="1363"/>
      <c r="J47" s="1363"/>
      <c r="K47" s="1363"/>
      <c r="L47" s="1363"/>
      <c r="M47" s="1363"/>
      <c r="N47" s="1363"/>
      <c r="O47" s="1363"/>
      <c r="P47" s="1363"/>
      <c r="Q47" s="1363"/>
      <c r="R47" s="1363"/>
      <c r="S47" s="1363"/>
      <c r="T47" s="1363"/>
      <c r="U47" s="438">
        <f>F47&gt;0</f>
        <v>0</v>
      </c>
      <c r="V47" s="1363"/>
      <c r="W47" s="1363"/>
      <c r="X47" s="733" t="s">
        <v>396</v>
      </c>
      <c r="Y47" s="1491"/>
      <c r="Z47" s="1513"/>
      <c r="AA47" s="1363"/>
      <c r="AB47" s="141"/>
      <c r="AC47" s="274" t="s">
        <v>176</v>
      </c>
      <c r="AD47" s="142"/>
      <c r="AE47" s="142"/>
      <c r="AF47" s="142"/>
      <c r="AG47" s="142"/>
      <c r="AH47" s="142"/>
      <c r="AI47" s="142"/>
      <c r="AJ47" s="142"/>
      <c r="AK47" s="142"/>
      <c r="AL47" s="142"/>
      <c r="AM47" s="142"/>
      <c r="AN47" s="142"/>
      <c r="AO47" s="142"/>
      <c r="AP47" s="142"/>
      <c r="AQ47" s="142"/>
      <c r="AR47" s="142"/>
      <c r="AS47" s="142"/>
      <c r="AT47" s="142"/>
      <c r="AU47" s="142"/>
      <c r="AV47" s="142"/>
      <c r="AW47" s="142"/>
      <c r="AX47" s="142"/>
      <c r="AY47" s="142"/>
      <c r="AZ47" s="142"/>
      <c r="BA47" s="142"/>
      <c r="BB47" s="142"/>
      <c r="BC47" s="142"/>
      <c r="BD47" s="142"/>
      <c r="BE47" s="142"/>
      <c r="BF47" s="142"/>
      <c r="BG47" s="1363"/>
      <c r="BH47" s="1363"/>
      <c r="BI47" s="1374"/>
      <c r="BJ47" s="1374"/>
      <c r="BK47" s="1374"/>
      <c r="BL47" s="593" t="s">
        <v>474</v>
      </c>
      <c r="BM47" s="1370"/>
    </row>
    <row customHeight="1" ht="21.9375" hidden="1">
      <c r="A48" s="1363"/>
      <c r="B48" s="1369"/>
      <c r="C48" s="1363"/>
      <c r="D48" s="1363"/>
      <c r="E48" s="593">
        <v>22.5</v>
      </c>
      <c r="F48" s="50" cm="1" t="str">
        <f t="array" ref="F48:F48">OFFSET(E48,-1,1)</f>
        <v>0</v>
      </c>
      <c r="G48" s="1363"/>
      <c r="H48" s="88" t="s">
        <v>475</v>
      </c>
      <c r="I48" s="1363"/>
      <c r="J48" s="1363"/>
      <c r="K48" s="1363"/>
      <c r="L48" s="1363"/>
      <c r="M48" s="1363"/>
      <c r="N48" s="1363"/>
      <c r="O48" s="1363"/>
      <c r="P48" s="1363"/>
      <c r="Q48" s="1363"/>
      <c r="R48" s="1363"/>
      <c r="S48" s="1363"/>
      <c r="T48" s="1363"/>
      <c r="U48" s="438" cm="1" t="str">
        <f t="array" ref="U48:U48">U47</f>
        <v>false</v>
      </c>
      <c r="V48" s="1363"/>
      <c r="W48" s="1363"/>
      <c r="X48" s="1363"/>
      <c r="Y48" s="1491"/>
      <c r="Z48" s="1513"/>
      <c r="AA48" s="1363"/>
      <c r="AB48" s="89" t="s">
        <v>476</v>
      </c>
      <c r="AC48" s="158" t="s">
        <v>477</v>
      </c>
      <c r="AD48" s="58" t="s">
        <v>462</v>
      </c>
      <c r="AE48" s="1879"/>
      <c r="AF48" s="1892"/>
      <c r="AG48" s="1922"/>
      <c r="AH48" s="1880"/>
      <c r="AI48" s="1879"/>
      <c r="AJ48" s="1892"/>
      <c r="AK48" s="1892"/>
      <c r="AL48" s="247">
        <f>IF(AI48&lt;&gt;0,AK48/AI48,0)</f>
        <v>0</v>
      </c>
      <c r="AM48" s="246">
        <f>AK48-AJ48</f>
        <v>0</v>
      </c>
      <c r="AN48" s="1880"/>
      <c r="AO48" s="1879"/>
      <c r="AP48" s="1879"/>
      <c r="AQ48" s="1879"/>
      <c r="AR48" s="1879"/>
      <c r="AS48" s="1879"/>
      <c r="AT48" s="1879"/>
      <c r="AU48" s="1879"/>
      <c r="AV48" s="1879"/>
      <c r="AW48" s="1879"/>
      <c r="AX48" s="1879"/>
      <c r="AY48" s="1879"/>
      <c r="AZ48" s="1879"/>
      <c r="BA48" s="1879"/>
      <c r="BB48" s="1879"/>
      <c r="BC48" s="1879"/>
      <c r="BD48" s="1879"/>
      <c r="BE48" s="1879"/>
      <c r="BF48" s="1879"/>
      <c r="BG48" s="1363"/>
      <c r="BH48" s="1363"/>
      <c r="BI48" s="974" t="s">
        <v>478</v>
      </c>
      <c r="BJ48" s="1374"/>
      <c r="BK48" s="1374"/>
      <c r="BL48" s="1370"/>
      <c r="BM48" s="1370"/>
    </row>
    <row customHeight="1" ht="21.9375" hidden="1">
      <c r="A49" s="1363"/>
      <c r="B49" s="1369"/>
      <c r="C49" s="1363"/>
      <c r="D49" s="1363"/>
      <c r="E49" s="593">
        <v>22.5</v>
      </c>
      <c r="F49" s="50" cm="1" t="str">
        <f t="array" ref="F49:F49">OFFSET(E49,-1,1)</f>
        <v>0</v>
      </c>
      <c r="G49" s="1363"/>
      <c r="H49" s="1363"/>
      <c r="I49" s="88" cm="1" t="str">
        <f t="array" ref="I49:I49">AC49</f>
        <v>0</v>
      </c>
      <c r="J49" s="1363"/>
      <c r="K49" s="1363"/>
      <c r="L49" s="1363"/>
      <c r="M49" s="1363"/>
      <c r="N49" s="1363"/>
      <c r="O49" s="1363"/>
      <c r="P49" s="1363"/>
      <c r="Q49" s="1363"/>
      <c r="R49" s="1363"/>
      <c r="S49" s="1363"/>
      <c r="T49" s="1363"/>
      <c r="U49" s="438">
        <f>AND(F49&gt;0,--RIGHT(AB49,1)&gt;1)</f>
        <v>0</v>
      </c>
      <c r="V49" s="1363"/>
      <c r="W49" s="1363"/>
      <c r="X49" s="733" t="s">
        <v>172</v>
      </c>
      <c r="Y49" s="1491"/>
      <c r="Z49" s="1513"/>
      <c r="AA49" s="392" t="s">
        <v>173</v>
      </c>
      <c r="AB49" s="89" t="s">
        <v>476</v>
      </c>
      <c r="AC49" s="1923"/>
      <c r="AD49" s="58" t="s">
        <v>462</v>
      </c>
      <c r="AE49" s="1879"/>
      <c r="AF49" s="1892"/>
      <c r="AG49" s="1922"/>
      <c r="AH49" s="1880"/>
      <c r="AI49" s="1879"/>
      <c r="AJ49" s="1892"/>
      <c r="AK49" s="1892"/>
      <c r="AL49" s="247">
        <f>IF(AI49&lt;&gt;0,AK49/AI49,0)</f>
        <v>0</v>
      </c>
      <c r="AM49" s="246">
        <f>AK49-AJ49</f>
        <v>0</v>
      </c>
      <c r="AN49" s="1880"/>
      <c r="AO49" s="1879"/>
      <c r="AP49" s="1879"/>
      <c r="AQ49" s="1879"/>
      <c r="AR49" s="1879"/>
      <c r="AS49" s="1879"/>
      <c r="AT49" s="1879"/>
      <c r="AU49" s="1879"/>
      <c r="AV49" s="1879"/>
      <c r="AW49" s="1879"/>
      <c r="AX49" s="1879"/>
      <c r="AY49" s="1879"/>
      <c r="AZ49" s="1879"/>
      <c r="BA49" s="1879"/>
      <c r="BB49" s="1879"/>
      <c r="BC49" s="1879"/>
      <c r="BD49" s="1879"/>
      <c r="BE49" s="1879"/>
      <c r="BF49" s="1879"/>
      <c r="BG49" s="1363"/>
      <c r="BH49" s="1363"/>
      <c r="BI49" s="974" t="s">
        <v>478</v>
      </c>
      <c r="BJ49" s="974" t="s">
        <v>479</v>
      </c>
      <c r="BK49" s="974" cm="1" t="str">
        <f t="array" ref="BK49:BK49">AC49</f>
        <v>0</v>
      </c>
      <c r="BL49" s="1370"/>
      <c r="BM49" s="593" t="b">
        <v>1</v>
      </c>
    </row>
    <row customHeight="1" ht="14.625" hidden="1">
      <c r="A50" s="1363"/>
      <c r="B50" s="1369"/>
      <c r="C50" s="1363"/>
      <c r="D50" s="1363"/>
      <c r="E50" s="593">
        <v>15</v>
      </c>
      <c r="F50" s="50" cm="1" t="str">
        <f t="array" ref="F50:F50">OFFSET(E50,-1,1)</f>
        <v>0</v>
      </c>
      <c r="G50" s="1363"/>
      <c r="H50" s="1363"/>
      <c r="I50" s="1363"/>
      <c r="J50" s="1363"/>
      <c r="K50" s="1363"/>
      <c r="L50" s="1363"/>
      <c r="M50" s="1363"/>
      <c r="N50" s="1363"/>
      <c r="O50" s="1363"/>
      <c r="P50" s="1363"/>
      <c r="Q50" s="1363"/>
      <c r="R50" s="1363"/>
      <c r="S50" s="1363"/>
      <c r="T50" s="1363"/>
      <c r="U50" s="438">
        <f>F50&gt;0</f>
        <v>0</v>
      </c>
      <c r="V50" s="1363"/>
      <c r="W50" s="1363"/>
      <c r="X50" s="733" t="s">
        <v>396</v>
      </c>
      <c r="Y50" s="1491"/>
      <c r="Z50" s="1513"/>
      <c r="AA50" s="1363"/>
      <c r="AB50" s="141"/>
      <c r="AC50" s="274" t="s">
        <v>176</v>
      </c>
      <c r="AD50" s="142"/>
      <c r="AE50" s="142"/>
      <c r="AF50" s="142"/>
      <c r="AG50" s="142"/>
      <c r="AH50" s="142"/>
      <c r="AI50" s="142"/>
      <c r="AJ50" s="142"/>
      <c r="AK50" s="142"/>
      <c r="AL50" s="142"/>
      <c r="AM50" s="142"/>
      <c r="AN50" s="142"/>
      <c r="AO50" s="142"/>
      <c r="AP50" s="142"/>
      <c r="AQ50" s="142"/>
      <c r="AR50" s="142"/>
      <c r="AS50" s="142"/>
      <c r="AT50" s="142"/>
      <c r="AU50" s="142"/>
      <c r="AV50" s="142"/>
      <c r="AW50" s="142"/>
      <c r="AX50" s="142"/>
      <c r="AY50" s="142"/>
      <c r="AZ50" s="142"/>
      <c r="BA50" s="142"/>
      <c r="BB50" s="142"/>
      <c r="BC50" s="142"/>
      <c r="BD50" s="142"/>
      <c r="BE50" s="142"/>
      <c r="BF50" s="142"/>
      <c r="BG50" s="1363"/>
      <c r="BH50" s="1363"/>
      <c r="BI50" s="1374"/>
      <c r="BJ50" s="1374"/>
      <c r="BK50" s="1374"/>
      <c r="BL50" s="593" t="s">
        <v>479</v>
      </c>
      <c r="BM50" s="1370"/>
    </row>
    <row customHeight="1" ht="14.625" hidden="1">
      <c r="A51" s="1363"/>
      <c r="B51" s="1369"/>
      <c r="C51" s="1363"/>
      <c r="D51" s="1363"/>
      <c r="E51" s="593">
        <v>15</v>
      </c>
      <c r="F51" s="50" cm="1" t="str">
        <f t="array" ref="F51:F51">OFFSET(E51,-1,1)</f>
        <v>0</v>
      </c>
      <c r="G51" s="1363"/>
      <c r="H51" s="88" t="s">
        <v>325</v>
      </c>
      <c r="I51" s="1363"/>
      <c r="J51" s="1363"/>
      <c r="K51" s="1363"/>
      <c r="L51" s="1363"/>
      <c r="M51" s="1363"/>
      <c r="N51" s="1363"/>
      <c r="O51" s="1363"/>
      <c r="P51" s="1363"/>
      <c r="Q51" s="1363"/>
      <c r="R51" s="1363"/>
      <c r="S51" s="1363"/>
      <c r="T51" s="1363"/>
      <c r="U51" s="438" cm="1" t="str">
        <f t="array" ref="U51:U51">U50</f>
        <v>false</v>
      </c>
      <c r="V51" s="1363"/>
      <c r="W51" s="1363"/>
      <c r="X51" s="1363"/>
      <c r="Y51" s="1491"/>
      <c r="Z51" s="1513"/>
      <c r="AA51" s="1363"/>
      <c r="AB51" s="99">
        <v>3</v>
      </c>
      <c r="AC51" s="105" t="s">
        <v>480</v>
      </c>
      <c r="AD51" s="102" t="s">
        <v>430</v>
      </c>
      <c r="AE51" s="1879"/>
      <c r="AF51" s="1892"/>
      <c r="AG51" s="1922"/>
      <c r="AH51" s="1880"/>
      <c r="AI51" s="1879"/>
      <c r="AJ51" s="1892"/>
      <c r="AK51" s="1892"/>
      <c r="AL51" s="247">
        <f>IF(AI51&lt;&gt;0,AK51/AI51,0)</f>
        <v>0</v>
      </c>
      <c r="AM51" s="246">
        <f>AK51-AJ51</f>
        <v>0</v>
      </c>
      <c r="AN51" s="1880"/>
      <c r="AO51" s="1879"/>
      <c r="AP51" s="1879"/>
      <c r="AQ51" s="1879"/>
      <c r="AR51" s="1879"/>
      <c r="AS51" s="1879"/>
      <c r="AT51" s="1879"/>
      <c r="AU51" s="1879"/>
      <c r="AV51" s="1879"/>
      <c r="AW51" s="1879"/>
      <c r="AX51" s="1879"/>
      <c r="AY51" s="1879"/>
      <c r="AZ51" s="1879"/>
      <c r="BA51" s="1879"/>
      <c r="BB51" s="1879"/>
      <c r="BC51" s="1879"/>
      <c r="BD51" s="1879"/>
      <c r="BE51" s="1879"/>
      <c r="BF51" s="1879"/>
      <c r="BG51" s="1363"/>
      <c r="BH51" s="1363"/>
      <c r="BI51" s="974" t="s">
        <v>481</v>
      </c>
      <c r="BJ51" s="1374"/>
      <c r="BK51" s="1374"/>
      <c r="BL51" s="1370"/>
      <c r="BM51" s="1370"/>
    </row>
    <row customHeight="1" ht="14.625" hidden="1">
      <c r="A52" s="1363"/>
      <c r="B52" s="1369"/>
      <c r="C52" s="1363"/>
      <c r="D52" s="1363"/>
      <c r="E52" s="593">
        <v>15</v>
      </c>
      <c r="F52" s="50" cm="1" t="str">
        <f t="array" ref="F52:F52">OFFSET(E52,-1,1)</f>
        <v>0</v>
      </c>
      <c r="G52" s="1363"/>
      <c r="H52" s="88" t="s">
        <v>324</v>
      </c>
      <c r="I52" s="1363"/>
      <c r="J52" s="1363"/>
      <c r="K52" s="1363"/>
      <c r="L52" s="1363"/>
      <c r="M52" s="1363"/>
      <c r="N52" s="1363"/>
      <c r="O52" s="1363"/>
      <c r="P52" s="1363"/>
      <c r="Q52" s="1363"/>
      <c r="R52" s="1363"/>
      <c r="S52" s="1363"/>
      <c r="T52" s="1363"/>
      <c r="U52" s="438" cm="1" t="str">
        <f t="array" ref="U52:U52">U51</f>
        <v>false</v>
      </c>
      <c r="V52" s="1363"/>
      <c r="W52" s="1363"/>
      <c r="X52" s="1363"/>
      <c r="Y52" s="1491"/>
      <c r="Z52" s="1513"/>
      <c r="AA52" s="1363"/>
      <c r="AB52" s="99">
        <v>4</v>
      </c>
      <c r="AC52" s="105" t="s">
        <v>482</v>
      </c>
      <c r="AD52" s="102" t="s">
        <v>430</v>
      </c>
      <c r="AE52" s="1879"/>
      <c r="AF52" s="1892"/>
      <c r="AG52" s="1922"/>
      <c r="AH52" s="1880"/>
      <c r="AI52" s="1879"/>
      <c r="AJ52" s="1892"/>
      <c r="AK52" s="1892"/>
      <c r="AL52" s="247">
        <f>IF(AI52&lt;&gt;0,AK52/AI52,0)</f>
        <v>0</v>
      </c>
      <c r="AM52" s="246">
        <f>AK52-AJ52</f>
        <v>0</v>
      </c>
      <c r="AN52" s="1880"/>
      <c r="AO52" s="1879"/>
      <c r="AP52" s="1879"/>
      <c r="AQ52" s="1879"/>
      <c r="AR52" s="1879"/>
      <c r="AS52" s="1879"/>
      <c r="AT52" s="1879"/>
      <c r="AU52" s="1879"/>
      <c r="AV52" s="1879"/>
      <c r="AW52" s="1879"/>
      <c r="AX52" s="1879"/>
      <c r="AY52" s="1879"/>
      <c r="AZ52" s="1879"/>
      <c r="BA52" s="1879"/>
      <c r="BB52" s="1879"/>
      <c r="BC52" s="1879"/>
      <c r="BD52" s="1879"/>
      <c r="BE52" s="1879"/>
      <c r="BF52" s="1879"/>
      <c r="BG52" s="1363"/>
      <c r="BH52" s="1363"/>
      <c r="BI52" s="974" t="s">
        <v>483</v>
      </c>
      <c r="BJ52" s="1374"/>
      <c r="BK52" s="1374"/>
      <c r="BL52" s="1370"/>
      <c r="BM52" s="1370"/>
    </row>
    <row customHeight="1" ht="14.625" hidden="1">
      <c r="A53" s="1363"/>
      <c r="B53" s="1369"/>
      <c r="C53" s="1363"/>
      <c r="D53" s="1363"/>
      <c r="E53" s="593">
        <v>15</v>
      </c>
      <c r="F53" s="50" cm="1" t="str">
        <f t="array" ref="F53:F53">OFFSET(E53,-1,1)</f>
        <v>0</v>
      </c>
      <c r="G53" s="1363"/>
      <c r="H53" s="88" t="s">
        <v>484</v>
      </c>
      <c r="I53" s="1363"/>
      <c r="J53" s="1363"/>
      <c r="K53" s="1363"/>
      <c r="L53" s="1363"/>
      <c r="M53" s="1363"/>
      <c r="N53" s="1363"/>
      <c r="O53" s="1363"/>
      <c r="P53" s="1363"/>
      <c r="Q53" s="1363"/>
      <c r="R53" s="1363"/>
      <c r="S53" s="1363"/>
      <c r="T53" s="1363"/>
      <c r="U53" s="438" cm="1" t="str">
        <f t="array" ref="U53:U53">U52</f>
        <v>false</v>
      </c>
      <c r="V53" s="1363"/>
      <c r="W53" s="1363"/>
      <c r="X53" s="1363"/>
      <c r="Y53" s="1491"/>
      <c r="Z53" s="1513"/>
      <c r="AA53" s="1363"/>
      <c r="AB53" s="89" t="s">
        <v>485</v>
      </c>
      <c r="AC53" s="104" t="s">
        <v>486</v>
      </c>
      <c r="AD53" s="102"/>
      <c r="AE53" s="1922"/>
      <c r="AF53" s="1922"/>
      <c r="AG53" s="1922"/>
      <c r="AH53" s="1926"/>
      <c r="AI53" s="1922"/>
      <c r="AJ53" s="1922"/>
      <c r="AK53" s="1922"/>
      <c r="AL53" s="247">
        <f>IF(AI53&lt;&gt;0,AK53/AI53,0)</f>
        <v>0</v>
      </c>
      <c r="AM53" s="246">
        <f>AK53-AJ53</f>
        <v>0</v>
      </c>
      <c r="AN53" s="1926"/>
      <c r="AO53" s="1922"/>
      <c r="AP53" s="1922"/>
      <c r="AQ53" s="1922"/>
      <c r="AR53" s="1922"/>
      <c r="AS53" s="1922"/>
      <c r="AT53" s="1922"/>
      <c r="AU53" s="1922"/>
      <c r="AV53" s="1922"/>
      <c r="AW53" s="1922"/>
      <c r="AX53" s="1922"/>
      <c r="AY53" s="1922"/>
      <c r="AZ53" s="1922"/>
      <c r="BA53" s="1922"/>
      <c r="BB53" s="1922"/>
      <c r="BC53" s="1922"/>
      <c r="BD53" s="1922"/>
      <c r="BE53" s="1922"/>
      <c r="BF53" s="1922"/>
      <c r="BG53" s="1363"/>
      <c r="BH53" s="1363"/>
      <c r="BI53" s="974" t="s">
        <v>487</v>
      </c>
      <c r="BJ53" s="1374"/>
      <c r="BK53" s="1374"/>
      <c r="BL53" s="1370"/>
      <c r="BM53" s="1370"/>
    </row>
    <row customHeight="1" ht="14.625" hidden="1">
      <c r="A54" s="1363"/>
      <c r="B54" s="1369"/>
      <c r="C54" s="1363"/>
      <c r="D54" s="1363"/>
      <c r="E54" s="593">
        <v>15</v>
      </c>
      <c r="F54" s="50" cm="1" t="str">
        <f t="array" ref="F54:F54">OFFSET(E54,-1,1)</f>
        <v>0</v>
      </c>
      <c r="G54" s="1363"/>
      <c r="H54" s="88" t="s">
        <v>488</v>
      </c>
      <c r="I54" s="1363"/>
      <c r="J54" s="1363"/>
      <c r="K54" s="1363"/>
      <c r="L54" s="1363"/>
      <c r="M54" s="1363"/>
      <c r="N54" s="1363"/>
      <c r="O54" s="1363"/>
      <c r="P54" s="1363"/>
      <c r="Q54" s="1363"/>
      <c r="R54" s="1363"/>
      <c r="S54" s="1363"/>
      <c r="T54" s="1363"/>
      <c r="U54" s="438" cm="1" t="str">
        <f t="array" ref="U54:U54">U53</f>
        <v>false</v>
      </c>
      <c r="V54" s="1363"/>
      <c r="W54" s="1363"/>
      <c r="X54" s="1363"/>
      <c r="Y54" s="1491"/>
      <c r="Z54" s="1513"/>
      <c r="AA54" s="1363"/>
      <c r="AB54" s="89" t="s">
        <v>489</v>
      </c>
      <c r="AC54" s="103" t="s">
        <v>490</v>
      </c>
      <c r="AD54" s="102"/>
      <c r="AE54" s="1922"/>
      <c r="AF54" s="1922"/>
      <c r="AG54" s="1922"/>
      <c r="AH54" s="1926"/>
      <c r="AI54" s="1922"/>
      <c r="AJ54" s="1922"/>
      <c r="AK54" s="1922"/>
      <c r="AL54" s="247">
        <f>IF(AI54&lt;&gt;0,AK54/AI54,0)</f>
        <v>0</v>
      </c>
      <c r="AM54" s="246">
        <f>AK54-AJ54</f>
        <v>0</v>
      </c>
      <c r="AN54" s="1926"/>
      <c r="AO54" s="1922"/>
      <c r="AP54" s="1922"/>
      <c r="AQ54" s="1922"/>
      <c r="AR54" s="1922"/>
      <c r="AS54" s="1922"/>
      <c r="AT54" s="1922"/>
      <c r="AU54" s="1922"/>
      <c r="AV54" s="1922"/>
      <c r="AW54" s="1922"/>
      <c r="AX54" s="1922"/>
      <c r="AY54" s="1922"/>
      <c r="AZ54" s="1922"/>
      <c r="BA54" s="1922"/>
      <c r="BB54" s="1922"/>
      <c r="BC54" s="1922"/>
      <c r="BD54" s="1922"/>
      <c r="BE54" s="1922"/>
      <c r="BF54" s="1922"/>
      <c r="BG54" s="1363"/>
      <c r="BH54" s="1363"/>
      <c r="BI54" s="974" t="s">
        <v>491</v>
      </c>
      <c r="BJ54" s="1374"/>
      <c r="BK54" s="1374"/>
      <c r="BL54" s="1370"/>
      <c r="BM54" s="1370"/>
    </row>
    <row s="1927" customFormat="1" customHeight="1" ht="14.25">
      <c r="A55" s="1399"/>
      <c r="B55" s="401"/>
      <c r="C55" s="1399"/>
      <c r="D55" s="1399"/>
      <c r="E55" s="605">
        <v>15</v>
      </c>
      <c r="F55" s="725" cm="1" t="str">
        <f t="array" ref="F55:F55">Y55</f>
        <v>1</v>
      </c>
      <c r="G55" s="1399"/>
      <c r="H55" s="1399"/>
      <c r="I55" s="1399"/>
      <c r="J55" s="1399"/>
      <c r="K55" s="1399"/>
      <c r="L55" s="1399"/>
      <c r="M55" s="1399"/>
      <c r="N55" s="1399"/>
      <c r="O55" s="1399"/>
      <c r="P55" s="1399"/>
      <c r="Q55" s="1399"/>
      <c r="R55" s="1399"/>
      <c r="S55" s="1399"/>
      <c r="T55" s="1399"/>
      <c r="U55" s="438">
        <f>Y55&gt;0</f>
        <v>1</v>
      </c>
      <c r="V55" s="1399"/>
      <c r="W55" s="110" cm="1" t="str">
        <f t="array" ref="W55:W55">'Список объектов'!$AB$30</f>
        <v>Тариф 1 (Водоотведение) - тариф на транспортировку сточных вод</v>
      </c>
      <c r="X55" s="1399"/>
      <c r="Y55" s="1491" t="s">
        <v>281</v>
      </c>
      <c r="Z55" s="1513"/>
      <c r="AA55" s="1399"/>
      <c r="AB55" s="149" cm="1" t="str">
        <f t="array" ref="AB55:AB55">'Список объектов'!$AB$30</f>
        <v>Тариф 1 (Водоотведение) - тариф на транспортировку сточных вод</v>
      </c>
      <c r="AC55" s="146"/>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399"/>
      <c r="BH55" s="1399"/>
      <c r="BI55" s="990"/>
      <c r="BJ55" s="990"/>
      <c r="BK55" s="990"/>
      <c r="BL55" s="605"/>
      <c r="BM55" s="605"/>
    </row>
    <row s="1624" customFormat="1" customHeight="1" ht="14.25">
      <c r="A56" s="1363"/>
      <c r="B56" s="1369"/>
      <c r="C56" s="1363"/>
      <c r="D56" s="1363"/>
      <c r="E56" s="593">
        <v>15</v>
      </c>
      <c r="F56" s="50" cm="1" t="str">
        <f t="array" ref="F56:F56">OFFSET(E56,-1,1)</f>
        <v>1</v>
      </c>
      <c r="G56" s="88" t="s">
        <v>431</v>
      </c>
      <c r="H56" s="1363"/>
      <c r="I56" s="1363"/>
      <c r="J56" s="1363"/>
      <c r="K56" s="1363"/>
      <c r="L56" s="1363"/>
      <c r="M56" s="1363"/>
      <c r="N56" s="1363"/>
      <c r="O56" s="1363"/>
      <c r="P56" s="1363"/>
      <c r="Q56" s="1363"/>
      <c r="R56" s="1363"/>
      <c r="S56" s="1363"/>
      <c r="T56" s="1363"/>
      <c r="U56" s="438" cm="1" t="str">
        <f t="array" ref="U56:U56">U55</f>
        <v>true</v>
      </c>
      <c r="V56" s="1363"/>
      <c r="W56" s="1363"/>
      <c r="X56" s="1363"/>
      <c r="Y56" s="1491"/>
      <c r="Z56" s="1513"/>
      <c r="AA56" s="1363"/>
      <c r="AB56" s="236"/>
      <c r="AC56" s="237" t="s">
        <v>432</v>
      </c>
      <c r="AD56" s="238"/>
      <c r="AE56" s="238"/>
      <c r="AF56" s="238"/>
      <c r="AG56" s="238"/>
      <c r="AH56" s="238"/>
      <c r="AI56" s="271">
        <f>(1-AI57/100)*(1+AI58/100)*(1+AI60/100)</f>
        <v>1</v>
      </c>
      <c r="AJ56" s="271">
        <f>(1-AJ57/100)*(1+AJ58/100)*(1+AJ60/100)</f>
        <v>1</v>
      </c>
      <c r="AK56" s="271">
        <f>(1-AK57/100)*(1+AK58/100)*(1+AK60/100)</f>
        <v>1</v>
      </c>
      <c r="AL56" s="238"/>
      <c r="AM56" s="238"/>
      <c r="AN56" s="238"/>
      <c r="AO56" s="271">
        <f>(1-AO57/100)*(1+AO58/100)*(1+AO60/100)</f>
        <v>1</v>
      </c>
      <c r="AP56" s="271">
        <f>(1-AP57/100)*(1+AP58/100)*(1+AP60/100)</f>
        <v>1</v>
      </c>
      <c r="AQ56" s="271">
        <f>(1-AQ57/100)*(1+AQ58/100)*(1+AQ60/100)</f>
        <v>1</v>
      </c>
      <c r="AR56" s="271">
        <f>(1-AR57/100)*(1+AR58/100)*(1+AR60/100)</f>
        <v>1</v>
      </c>
      <c r="AS56" s="271">
        <f>(1-AS57/100)*(1+AS58/100)*(1+AS60/100)</f>
        <v>1</v>
      </c>
      <c r="AT56" s="271">
        <f>(1-AT57/100)*(1+AT58/100)*(1+AT60/100)</f>
        <v>1</v>
      </c>
      <c r="AU56" s="271">
        <f>(1-AU57/100)*(1+AU58/100)*(1+AU60/100)</f>
        <v>1</v>
      </c>
      <c r="AV56" s="271">
        <f>(1-AV57/100)*(1+AV58/100)*(1+AV60/100)</f>
        <v>1</v>
      </c>
      <c r="AW56" s="271">
        <f>(1-AW57/100)*(1+AW58/100)*(1+AW60/100)</f>
        <v>1</v>
      </c>
      <c r="AX56" s="271">
        <f>(1-AX57/100)*(1+AX58/100)*(1+AX60/100)</f>
        <v>1</v>
      </c>
      <c r="AY56" s="271">
        <f>(1-AY57/100)*(1+AY58/100)*(1+AY60/100)</f>
        <v>1</v>
      </c>
      <c r="AZ56" s="271">
        <f>(1-AZ57/100)*(1+AZ58/100)*(1+AZ60/100)</f>
        <v>1</v>
      </c>
      <c r="BA56" s="271">
        <f>(1-BA57/100)*(1+BA58/100)*(1+BA60/100)</f>
        <v>1</v>
      </c>
      <c r="BB56" s="271">
        <f>(1-BB57/100)*(1+BB58/100)*(1+BB60/100)</f>
        <v>1</v>
      </c>
      <c r="BC56" s="271">
        <f>(1-BC57/100)*(1+BC58/100)*(1+BC60/100)</f>
        <v>1</v>
      </c>
      <c r="BD56" s="271">
        <f>(1-BD57/100)*(1+BD58/100)*(1+BD60/100)</f>
        <v>1</v>
      </c>
      <c r="BE56" s="271">
        <f>(1-BE57/100)*(1+BE58/100)*(1+BE60/100)</f>
        <v>1</v>
      </c>
      <c r="BF56" s="271">
        <f>(1-BF57/100)*(1+BF58/100)*(1+BF60/100)</f>
        <v>1</v>
      </c>
      <c r="BG56" s="1363"/>
      <c r="BH56" s="1363"/>
      <c r="BI56" s="1374"/>
      <c r="BJ56" s="1374"/>
      <c r="BK56" s="1374"/>
      <c r="BL56" s="1370"/>
      <c r="BM56" s="1370"/>
    </row>
    <row s="1624" customFormat="1" customHeight="1" ht="21.75">
      <c r="A57" s="1363"/>
      <c r="B57" s="418">
        <f>method_reg&lt;&gt;"Метод экономически обоснованных расходов"</f>
        <v>1</v>
      </c>
      <c r="C57" s="1363"/>
      <c r="D57" s="1363"/>
      <c r="E57" s="593">
        <v>22.5</v>
      </c>
      <c r="F57" s="50" cm="1" t="str">
        <f t="array" ref="F57:F57">OFFSET(E57,-1,1)</f>
        <v>1</v>
      </c>
      <c r="G57" s="88" t="s">
        <v>433</v>
      </c>
      <c r="H57" s="88" t="s">
        <v>434</v>
      </c>
      <c r="I57" s="1363"/>
      <c r="J57" s="1363"/>
      <c r="K57" s="1363"/>
      <c r="L57" s="1363"/>
      <c r="M57" s="1363"/>
      <c r="N57" s="1363"/>
      <c r="O57" s="1363"/>
      <c r="P57" s="1363"/>
      <c r="Q57" s="1363"/>
      <c r="R57" s="1363"/>
      <c r="S57" s="1363"/>
      <c r="T57" s="1363"/>
      <c r="U57" s="438" cm="1" t="str">
        <f t="array" ref="U57:U57">U56</f>
        <v>true</v>
      </c>
      <c r="V57" s="1363"/>
      <c r="W57" s="1363"/>
      <c r="X57" s="1363"/>
      <c r="Y57" s="1491"/>
      <c r="Z57" s="1513"/>
      <c r="AA57" s="1363"/>
      <c r="AB57" s="99">
        <v>1</v>
      </c>
      <c r="AC57" s="100" t="s">
        <v>435</v>
      </c>
      <c r="AD57" s="102" t="s">
        <v>430</v>
      </c>
      <c r="AE57" s="242"/>
      <c r="AF57" s="242"/>
      <c r="AG57" s="242"/>
      <c r="AH57" s="166"/>
      <c r="AI57" s="242"/>
      <c r="AJ57" s="242"/>
      <c r="AK57" s="242"/>
      <c r="AL57" s="247">
        <f>IF(AI57&lt;&gt;0,AK57/AI57,0)</f>
        <v>0</v>
      </c>
      <c r="AM57" s="246">
        <f>AK57-AJ57</f>
        <v>0</v>
      </c>
      <c r="AN57" s="166"/>
      <c r="AO57" s="242"/>
      <c r="AP57" s="242"/>
      <c r="AQ57" s="242"/>
      <c r="AR57" s="242"/>
      <c r="AS57" s="242"/>
      <c r="AT57" s="242"/>
      <c r="AU57" s="242"/>
      <c r="AV57" s="242"/>
      <c r="AW57" s="242"/>
      <c r="AX57" s="242"/>
      <c r="AY57" s="242"/>
      <c r="AZ57" s="242"/>
      <c r="BA57" s="242"/>
      <c r="BB57" s="242"/>
      <c r="BC57" s="242"/>
      <c r="BD57" s="242"/>
      <c r="BE57" s="242"/>
      <c r="BF57" s="242"/>
      <c r="BG57" s="1363"/>
      <c r="BH57" s="1363"/>
      <c r="BI57" s="974" t="s">
        <v>436</v>
      </c>
      <c r="BJ57" s="1374"/>
      <c r="BK57" s="1374"/>
      <c r="BL57" s="1370"/>
      <c r="BM57" s="1370"/>
    </row>
    <row s="1624" customFormat="1" customHeight="1" ht="14.25">
      <c r="A58" s="1363"/>
      <c r="B58" s="1369"/>
      <c r="C58" s="1363"/>
      <c r="D58" s="1363"/>
      <c r="E58" s="593">
        <v>15</v>
      </c>
      <c r="F58" s="50" cm="1" t="str">
        <f t="array" ref="F58:F58">OFFSET(E58,-1,1)</f>
        <v>1</v>
      </c>
      <c r="G58" s="88" t="s">
        <v>437</v>
      </c>
      <c r="H58" s="88" t="s">
        <v>438</v>
      </c>
      <c r="I58" s="1363"/>
      <c r="J58" s="1363"/>
      <c r="K58" s="1363"/>
      <c r="L58" s="1363"/>
      <c r="M58" s="1363"/>
      <c r="N58" s="1363"/>
      <c r="O58" s="1363"/>
      <c r="P58" s="1363"/>
      <c r="Q58" s="1363"/>
      <c r="R58" s="1363"/>
      <c r="S58" s="1363"/>
      <c r="T58" s="1363"/>
      <c r="U58" s="438" cm="1" t="str">
        <f t="array" ref="U58:U58">U57</f>
        <v>true</v>
      </c>
      <c r="V58" s="1363"/>
      <c r="W58" s="1363"/>
      <c r="X58" s="1363"/>
      <c r="Y58" s="1491"/>
      <c r="Z58" s="1513"/>
      <c r="AA58" s="1363"/>
      <c r="AB58" s="99">
        <f>IF(B57,2,1)</f>
        <v>2</v>
      </c>
      <c r="AC58" s="101" t="s">
        <v>439</v>
      </c>
      <c r="AD58" s="102" t="s">
        <v>430</v>
      </c>
      <c r="AE58" s="242"/>
      <c r="AF58" s="242"/>
      <c r="AG58" s="242"/>
      <c r="AH58" s="166"/>
      <c r="AI58" s="242"/>
      <c r="AJ58" s="242"/>
      <c r="AK58" s="242"/>
      <c r="AL58" s="247">
        <f>IF(AI58&lt;&gt;0,AK58/AI58,0)</f>
        <v>0</v>
      </c>
      <c r="AM58" s="246">
        <f>AK58-AJ58</f>
        <v>0</v>
      </c>
      <c r="AN58" s="166"/>
      <c r="AO58" s="242"/>
      <c r="AP58" s="242"/>
      <c r="AQ58" s="242"/>
      <c r="AR58" s="242"/>
      <c r="AS58" s="242"/>
      <c r="AT58" s="242"/>
      <c r="AU58" s="242"/>
      <c r="AV58" s="242"/>
      <c r="AW58" s="242"/>
      <c r="AX58" s="242"/>
      <c r="AY58" s="242"/>
      <c r="AZ58" s="242"/>
      <c r="BA58" s="242"/>
      <c r="BB58" s="242"/>
      <c r="BC58" s="242"/>
      <c r="BD58" s="242"/>
      <c r="BE58" s="242"/>
      <c r="BF58" s="242"/>
      <c r="BG58" s="1363"/>
      <c r="BH58" s="1363"/>
      <c r="BI58" s="974" t="s">
        <v>440</v>
      </c>
      <c r="BJ58" s="1374"/>
      <c r="BK58" s="1374"/>
      <c r="BL58" s="1370"/>
      <c r="BM58" s="1370"/>
    </row>
    <row s="1624" customFormat="1" customHeight="1" ht="14.25">
      <c r="A59" s="1363"/>
      <c r="B59" s="1369"/>
      <c r="C59" s="1363"/>
      <c r="D59" s="1363"/>
      <c r="E59" s="593">
        <v>15</v>
      </c>
      <c r="F59" s="50" cm="1" t="str">
        <f t="array" ref="F59:F59">OFFSET(E59,-1,1)</f>
        <v>1</v>
      </c>
      <c r="G59" s="1363"/>
      <c r="H59" s="88" t="s">
        <v>441</v>
      </c>
      <c r="I59" s="1363"/>
      <c r="J59" s="1363"/>
      <c r="K59" s="1363"/>
      <c r="L59" s="1363"/>
      <c r="M59" s="1363"/>
      <c r="N59" s="1363"/>
      <c r="O59" s="1363"/>
      <c r="P59" s="1363"/>
      <c r="Q59" s="1363"/>
      <c r="R59" s="1363"/>
      <c r="S59" s="1363"/>
      <c r="T59" s="1363"/>
      <c r="U59" s="438" cm="1" t="str">
        <f t="array" ref="U59:U59">U58</f>
        <v>true</v>
      </c>
      <c r="V59" s="1363"/>
      <c r="W59" s="1363"/>
      <c r="X59" s="1363"/>
      <c r="Y59" s="1491"/>
      <c r="Z59" s="1513"/>
      <c r="AA59" s="1363"/>
      <c r="AB59" s="99">
        <f>AB58+1</f>
        <v>3</v>
      </c>
      <c r="AC59" s="103" t="s">
        <v>442</v>
      </c>
      <c r="AD59" s="102" t="s">
        <v>430</v>
      </c>
      <c r="AE59" s="242"/>
      <c r="AF59" s="242"/>
      <c r="AG59" s="242"/>
      <c r="AH59" s="166"/>
      <c r="AI59" s="242"/>
      <c r="AJ59" s="242"/>
      <c r="AK59" s="242"/>
      <c r="AL59" s="247">
        <f>IF(AI59&lt;&gt;0,AK59/AI59,0)</f>
        <v>0</v>
      </c>
      <c r="AM59" s="246">
        <f>AK59-AJ59</f>
        <v>0</v>
      </c>
      <c r="AN59" s="166"/>
      <c r="AO59" s="242"/>
      <c r="AP59" s="242"/>
      <c r="AQ59" s="242"/>
      <c r="AR59" s="242"/>
      <c r="AS59" s="242"/>
      <c r="AT59" s="242"/>
      <c r="AU59" s="242"/>
      <c r="AV59" s="242"/>
      <c r="AW59" s="242"/>
      <c r="AX59" s="242"/>
      <c r="AY59" s="242"/>
      <c r="AZ59" s="242"/>
      <c r="BA59" s="242"/>
      <c r="BB59" s="242"/>
      <c r="BC59" s="242"/>
      <c r="BD59" s="242"/>
      <c r="BE59" s="242"/>
      <c r="BF59" s="242"/>
      <c r="BG59" s="1363"/>
      <c r="BH59" s="1363"/>
      <c r="BI59" s="974" t="s">
        <v>443</v>
      </c>
      <c r="BJ59" s="1374"/>
      <c r="BK59" s="1374"/>
      <c r="BL59" s="1370"/>
      <c r="BM59" s="1370"/>
    </row>
    <row s="1624" customFormat="1" customHeight="1" ht="14.25">
      <c r="A60" s="1363"/>
      <c r="B60" s="418">
        <f>method_reg&lt;&gt;"Метод экономически обоснованных расходов"</f>
        <v>1</v>
      </c>
      <c r="C60" s="1363"/>
      <c r="D60" s="1363"/>
      <c r="E60" s="593">
        <v>15</v>
      </c>
      <c r="F60" s="50" cm="1" t="str">
        <f t="array" ref="F60:F60">OFFSET(E60,-1,1)</f>
        <v>1</v>
      </c>
      <c r="G60" s="88" t="s">
        <v>444</v>
      </c>
      <c r="H60" s="88" t="s">
        <v>445</v>
      </c>
      <c r="I60" s="1363"/>
      <c r="J60" s="1363"/>
      <c r="K60" s="1363"/>
      <c r="L60" s="1363"/>
      <c r="M60" s="1363"/>
      <c r="N60" s="1363"/>
      <c r="O60" s="1363"/>
      <c r="P60" s="1363"/>
      <c r="Q60" s="1363"/>
      <c r="R60" s="1363"/>
      <c r="S60" s="1363"/>
      <c r="T60" s="1363"/>
      <c r="U60" s="438" cm="1" t="str">
        <f t="array" ref="U60:U60">U59</f>
        <v>true</v>
      </c>
      <c r="V60" s="1363"/>
      <c r="W60" s="1363"/>
      <c r="X60" s="1363"/>
      <c r="Y60" s="1491"/>
      <c r="Z60" s="1513"/>
      <c r="AA60" s="1363"/>
      <c r="AB60" s="99">
        <v>4</v>
      </c>
      <c r="AC60" s="101" t="s">
        <v>446</v>
      </c>
      <c r="AD60" s="102" t="s">
        <v>430</v>
      </c>
      <c r="AE60" s="242"/>
      <c r="AF60" s="242"/>
      <c r="AG60" s="242"/>
      <c r="AH60" s="166"/>
      <c r="AI60" s="242"/>
      <c r="AJ60" s="242"/>
      <c r="AK60" s="242"/>
      <c r="AL60" s="247">
        <f>IF(AI60&lt;&gt;0,AK60/AI60,0)</f>
        <v>0</v>
      </c>
      <c r="AM60" s="246">
        <f>AK60-AJ60</f>
        <v>0</v>
      </c>
      <c r="AN60" s="166"/>
      <c r="AO60" s="242"/>
      <c r="AP60" s="242"/>
      <c r="AQ60" s="242"/>
      <c r="AR60" s="242"/>
      <c r="AS60" s="242"/>
      <c r="AT60" s="242"/>
      <c r="AU60" s="242"/>
      <c r="AV60" s="242"/>
      <c r="AW60" s="242"/>
      <c r="AX60" s="242"/>
      <c r="AY60" s="242"/>
      <c r="AZ60" s="242"/>
      <c r="BA60" s="242"/>
      <c r="BB60" s="242"/>
      <c r="BC60" s="242"/>
      <c r="BD60" s="242"/>
      <c r="BE60" s="242"/>
      <c r="BF60" s="242"/>
      <c r="BG60" s="1363"/>
      <c r="BH60" s="1363"/>
      <c r="BI60" s="974" t="s">
        <v>447</v>
      </c>
      <c r="BJ60" s="1374"/>
      <c r="BK60" s="1374"/>
      <c r="BL60" s="1370"/>
      <c r="BM60" s="1370"/>
    </row>
    <row s="1353" customFormat="1" customHeight="1" ht="14.25">
      <c r="A61" s="115"/>
      <c r="B61" s="419"/>
      <c r="C61" s="115"/>
      <c r="D61" s="115"/>
      <c r="E61" s="652">
        <v>15</v>
      </c>
      <c r="F61" s="340" cm="1" t="str">
        <f t="array" ref="F61:F61">OFFSET(E61,-1,1)</f>
        <v>1</v>
      </c>
      <c r="G61" s="115"/>
      <c r="H61" s="115"/>
      <c r="I61" s="115"/>
      <c r="J61" s="115"/>
      <c r="K61" s="115"/>
      <c r="L61" s="115"/>
      <c r="M61" s="115"/>
      <c r="N61" s="115"/>
      <c r="O61" s="115"/>
      <c r="P61" s="115"/>
      <c r="Q61" s="115"/>
      <c r="R61" s="115"/>
      <c r="S61" s="115"/>
      <c r="T61" s="115"/>
      <c r="U61" s="438" cm="1" t="str">
        <f t="array" ref="U61:U61">U60</f>
        <v>true</v>
      </c>
      <c r="V61" s="115"/>
      <c r="W61" s="115"/>
      <c r="X61" s="115"/>
      <c r="Y61" s="1491"/>
      <c r="Z61" s="1513"/>
      <c r="AA61" s="115"/>
      <c r="AB61" s="99">
        <v>5</v>
      </c>
      <c r="AC61" s="101" t="s">
        <v>448</v>
      </c>
      <c r="AD61" s="102" t="s">
        <v>430</v>
      </c>
      <c r="AE61" s="242"/>
      <c r="AF61" s="242"/>
      <c r="AG61" s="242"/>
      <c r="AH61" s="166"/>
      <c r="AI61" s="242"/>
      <c r="AJ61" s="242"/>
      <c r="AK61" s="242"/>
      <c r="AL61" s="247">
        <f>IF(AI61&lt;&gt;0,AK61/AI61,0)</f>
        <v>0</v>
      </c>
      <c r="AM61" s="246">
        <f>AK61-AJ61</f>
        <v>0</v>
      </c>
      <c r="AN61" s="166"/>
      <c r="AO61" s="242"/>
      <c r="AP61" s="242"/>
      <c r="AQ61" s="242"/>
      <c r="AR61" s="242"/>
      <c r="AS61" s="242"/>
      <c r="AT61" s="242"/>
      <c r="AU61" s="242"/>
      <c r="AV61" s="242"/>
      <c r="AW61" s="242"/>
      <c r="AX61" s="242"/>
      <c r="AY61" s="242"/>
      <c r="AZ61" s="242"/>
      <c r="BA61" s="242"/>
      <c r="BB61" s="242"/>
      <c r="BC61" s="242"/>
      <c r="BD61" s="242"/>
      <c r="BE61" s="242"/>
      <c r="BF61" s="242"/>
      <c r="BG61" s="115"/>
      <c r="BH61" s="115"/>
      <c r="BI61" s="1015" t="s">
        <v>449</v>
      </c>
      <c r="BJ61" s="1015"/>
      <c r="BK61" s="1015"/>
      <c r="BL61" s="652"/>
      <c r="BM61" s="652"/>
    </row>
    <row s="1624" customFormat="1" customHeight="1" ht="14.25">
      <c r="A62" s="1363"/>
      <c r="B62" s="1369"/>
      <c r="C62" s="1363"/>
      <c r="D62" s="1363"/>
      <c r="E62" s="593">
        <v>15</v>
      </c>
      <c r="F62" s="50" cm="1" t="str">
        <f t="array" ref="F62:F62">OFFSET(E62,-1,1)</f>
        <v>1</v>
      </c>
      <c r="G62" s="1363"/>
      <c r="H62" s="1363"/>
      <c r="I62" s="1363"/>
      <c r="J62" s="1363"/>
      <c r="K62" s="1363"/>
      <c r="L62" s="1363"/>
      <c r="M62" s="1363"/>
      <c r="N62" s="1363"/>
      <c r="O62" s="1363"/>
      <c r="P62" s="1363"/>
      <c r="Q62" s="1363"/>
      <c r="R62" s="1363"/>
      <c r="S62" s="1363"/>
      <c r="T62" s="1363"/>
      <c r="U62" s="438" cm="1" t="str">
        <f t="array" ref="U62:U62">U60</f>
        <v>true</v>
      </c>
      <c r="V62" s="1363"/>
      <c r="W62" s="1363"/>
      <c r="X62" s="1363"/>
      <c r="Y62" s="1491"/>
      <c r="Z62" s="1513"/>
      <c r="AA62" s="1363"/>
      <c r="AB62" s="236"/>
      <c r="AC62" s="237" t="s">
        <v>450</v>
      </c>
      <c r="AD62" s="238"/>
      <c r="AE62" s="243"/>
      <c r="AF62" s="243"/>
      <c r="AG62" s="243"/>
      <c r="AH62" s="238"/>
      <c r="AI62" s="243"/>
      <c r="AJ62" s="243"/>
      <c r="AK62" s="243"/>
      <c r="AL62" s="248"/>
      <c r="AM62" s="243"/>
      <c r="AN62" s="238"/>
      <c r="AO62" s="243"/>
      <c r="AP62" s="243"/>
      <c r="AQ62" s="243"/>
      <c r="AR62" s="243"/>
      <c r="AS62" s="243"/>
      <c r="AT62" s="243"/>
      <c r="AU62" s="243"/>
      <c r="AV62" s="243"/>
      <c r="AW62" s="243"/>
      <c r="AX62" s="243"/>
      <c r="AY62" s="243"/>
      <c r="AZ62" s="243"/>
      <c r="BA62" s="243"/>
      <c r="BB62" s="243"/>
      <c r="BC62" s="243"/>
      <c r="BD62" s="243"/>
      <c r="BE62" s="243"/>
      <c r="BF62" s="249"/>
      <c r="BG62" s="1363"/>
      <c r="BH62" s="1363"/>
      <c r="BI62" s="1374"/>
      <c r="BJ62" s="1374"/>
      <c r="BK62" s="1374"/>
      <c r="BL62" s="1370"/>
      <c r="BM62" s="1370"/>
    </row>
    <row s="1624" customFormat="1" customHeight="1" ht="14.25">
      <c r="A63" s="1363"/>
      <c r="B63" s="1369"/>
      <c r="C63" s="1363"/>
      <c r="D63" s="1363"/>
      <c r="E63" s="593">
        <v>15</v>
      </c>
      <c r="F63" s="50" cm="1" t="str">
        <f t="array" ref="F63:F63">OFFSET(E63,-1,1)</f>
        <v>1</v>
      </c>
      <c r="G63" s="88" t="s">
        <v>451</v>
      </c>
      <c r="H63" s="88" t="s">
        <v>452</v>
      </c>
      <c r="I63" s="1363"/>
      <c r="J63" s="1363"/>
      <c r="K63" s="1363"/>
      <c r="L63" s="1363"/>
      <c r="M63" s="1363"/>
      <c r="N63" s="1363"/>
      <c r="O63" s="1363"/>
      <c r="P63" s="1363"/>
      <c r="Q63" s="1363"/>
      <c r="R63" s="1363"/>
      <c r="S63" s="1363"/>
      <c r="T63" s="1363"/>
      <c r="U63" s="438" cm="1" t="str">
        <f t="array" ref="U63:U63">U62</f>
        <v>true</v>
      </c>
      <c r="V63" s="1363"/>
      <c r="W63" s="1363"/>
      <c r="X63" s="1363"/>
      <c r="Y63" s="1491"/>
      <c r="Z63" s="1513"/>
      <c r="AA63" s="1363"/>
      <c r="AB63" s="99">
        <v>1</v>
      </c>
      <c r="AC63" s="101" t="s">
        <v>453</v>
      </c>
      <c r="AD63" s="102" t="s">
        <v>430</v>
      </c>
      <c r="AE63" s="244"/>
      <c r="AF63" s="244"/>
      <c r="AG63" s="244"/>
      <c r="AH63" s="166"/>
      <c r="AI63" s="244"/>
      <c r="AJ63" s="244"/>
      <c r="AK63" s="244"/>
      <c r="AL63" s="247">
        <f>IF(AI63&lt;&gt;0,AK63/AI63,0)</f>
        <v>0</v>
      </c>
      <c r="AM63" s="246">
        <f>AK63-AJ63</f>
        <v>0</v>
      </c>
      <c r="AN63" s="166"/>
      <c r="AO63" s="244"/>
      <c r="AP63" s="244"/>
      <c r="AQ63" s="244"/>
      <c r="AR63" s="244"/>
      <c r="AS63" s="244"/>
      <c r="AT63" s="244"/>
      <c r="AU63" s="244"/>
      <c r="AV63" s="244"/>
      <c r="AW63" s="244"/>
      <c r="AX63" s="244"/>
      <c r="AY63" s="244"/>
      <c r="AZ63" s="244"/>
      <c r="BA63" s="244"/>
      <c r="BB63" s="244"/>
      <c r="BC63" s="244"/>
      <c r="BD63" s="244"/>
      <c r="BE63" s="244"/>
      <c r="BF63" s="244"/>
      <c r="BG63" s="1363"/>
      <c r="BH63" s="1363"/>
      <c r="BI63" s="974" t="s">
        <v>454</v>
      </c>
      <c r="BJ63" s="1374"/>
      <c r="BK63" s="1374"/>
      <c r="BL63" s="1370"/>
      <c r="BM63" s="1370"/>
    </row>
    <row s="1624" customFormat="1" customHeight="1" ht="15" hidden="1">
      <c r="A64" s="1363"/>
      <c r="B64" s="1369"/>
      <c r="C64" s="1363"/>
      <c r="D64" s="1363"/>
      <c r="E64" s="593">
        <v>0</v>
      </c>
      <c r="F64" s="50" cm="1" t="str">
        <f t="array" ref="F64:F64">OFFSET(E64,-1,1)</f>
        <v>1</v>
      </c>
      <c r="G64" s="1363"/>
      <c r="H64" s="88" t="s">
        <v>455</v>
      </c>
      <c r="I64" s="1363"/>
      <c r="J64" s="1363"/>
      <c r="K64" s="1363"/>
      <c r="L64" s="1363"/>
      <c r="M64" s="1363"/>
      <c r="N64" s="1363"/>
      <c r="O64" s="1363"/>
      <c r="P64" s="1363"/>
      <c r="Q64" s="1363"/>
      <c r="R64" s="1363"/>
      <c r="S64" s="1363"/>
      <c r="T64" s="1363"/>
      <c r="U64" s="438" cm="1" t="str">
        <f t="array" ref="U64:U64">U63</f>
        <v>true</v>
      </c>
      <c r="V64" s="1363"/>
      <c r="W64" s="1363"/>
      <c r="X64" s="1363"/>
      <c r="Y64" s="1491"/>
      <c r="Z64" s="1513"/>
      <c r="AA64" s="1363"/>
      <c r="AB64" s="99">
        <v>2</v>
      </c>
      <c r="AC64" s="101" t="s">
        <v>429</v>
      </c>
      <c r="AD64" s="102" t="s">
        <v>430</v>
      </c>
      <c r="AE64" s="1892"/>
      <c r="AF64" s="1879"/>
      <c r="AG64" s="1892"/>
      <c r="AH64" s="1880"/>
      <c r="AI64" s="1892"/>
      <c r="AJ64" s="1892"/>
      <c r="AK64" s="1892"/>
      <c r="AL64" s="247">
        <f>IF(AI64&lt;&gt;0,AK64/AI64,0)</f>
        <v>0</v>
      </c>
      <c r="AM64" s="246">
        <f>AK64-AJ64</f>
        <v>0</v>
      </c>
      <c r="AN64" s="1880"/>
      <c r="AO64" s="1892"/>
      <c r="AP64" s="1892"/>
      <c r="AQ64" s="1892"/>
      <c r="AR64" s="1892"/>
      <c r="AS64" s="1892"/>
      <c r="AT64" s="1892"/>
      <c r="AU64" s="1892"/>
      <c r="AV64" s="1892"/>
      <c r="AW64" s="1892"/>
      <c r="AX64" s="1892"/>
      <c r="AY64" s="1892"/>
      <c r="AZ64" s="1892"/>
      <c r="BA64" s="1892"/>
      <c r="BB64" s="1892"/>
      <c r="BC64" s="1892"/>
      <c r="BD64" s="1892"/>
      <c r="BE64" s="1892"/>
      <c r="BF64" s="1892"/>
      <c r="BG64" s="1363"/>
      <c r="BH64" s="1363"/>
      <c r="BI64" s="974" t="s">
        <v>456</v>
      </c>
      <c r="BJ64" s="1374"/>
      <c r="BK64" s="1374"/>
      <c r="BL64" s="1370"/>
      <c r="BM64" s="1370"/>
    </row>
    <row s="1624" customFormat="1" customHeight="1" ht="14.25">
      <c r="A65" s="1363"/>
      <c r="B65" s="1369"/>
      <c r="C65" s="1363"/>
      <c r="D65" s="1363"/>
      <c r="E65" s="593">
        <v>15</v>
      </c>
      <c r="F65" s="50" cm="1" t="str">
        <f t="array" ref="F65:F65">OFFSET(E65,-1,1)</f>
        <v>1</v>
      </c>
      <c r="G65" s="1363"/>
      <c r="H65" s="1363"/>
      <c r="I65" s="1363"/>
      <c r="J65" s="1363"/>
      <c r="K65" s="1363"/>
      <c r="L65" s="1363"/>
      <c r="M65" s="1363"/>
      <c r="N65" s="1363"/>
      <c r="O65" s="1363"/>
      <c r="P65" s="1363"/>
      <c r="Q65" s="1363"/>
      <c r="R65" s="1363"/>
      <c r="S65" s="1363"/>
      <c r="T65" s="1363"/>
      <c r="U65" s="438" cm="1" t="str">
        <f t="array" ref="U65:U65">U64</f>
        <v>true</v>
      </c>
      <c r="V65" s="1363"/>
      <c r="W65" s="1363"/>
      <c r="X65" s="1363"/>
      <c r="Y65" s="1491"/>
      <c r="Z65" s="1513"/>
      <c r="AA65" s="1363"/>
      <c r="AB65" s="581">
        <v>2</v>
      </c>
      <c r="AC65" s="582" t="s">
        <v>457</v>
      </c>
      <c r="AD65" s="60"/>
      <c r="AE65" s="583"/>
      <c r="AF65" s="584"/>
      <c r="AG65" s="585"/>
      <c r="AH65" s="586"/>
      <c r="AI65" s="583"/>
      <c r="AJ65" s="584"/>
      <c r="AK65" s="584"/>
      <c r="AL65" s="587"/>
      <c r="AM65" s="584"/>
      <c r="AN65" s="586"/>
      <c r="AO65" s="583"/>
      <c r="AP65" s="583"/>
      <c r="AQ65" s="583"/>
      <c r="AR65" s="583"/>
      <c r="AS65" s="583"/>
      <c r="AT65" s="583"/>
      <c r="AU65" s="583"/>
      <c r="AV65" s="583"/>
      <c r="AW65" s="583"/>
      <c r="AX65" s="583"/>
      <c r="AY65" s="583"/>
      <c r="AZ65" s="583"/>
      <c r="BA65" s="583"/>
      <c r="BB65" s="583"/>
      <c r="BC65" s="583"/>
      <c r="BD65" s="583"/>
      <c r="BE65" s="583"/>
      <c r="BF65" s="583"/>
      <c r="BG65" s="1363"/>
      <c r="BH65" s="1363"/>
      <c r="BI65" s="974" t="s">
        <v>458</v>
      </c>
      <c r="BJ65" s="1374"/>
      <c r="BK65" s="1374"/>
      <c r="BL65" s="1370"/>
      <c r="BM65" s="1370"/>
    </row>
    <row s="1624" customFormat="1" customHeight="1" ht="21.75">
      <c r="A66" s="1363"/>
      <c r="B66" s="1369"/>
      <c r="C66" s="1363"/>
      <c r="D66" s="1363"/>
      <c r="E66" s="593">
        <v>22.5</v>
      </c>
      <c r="F66" s="50" cm="1" t="str">
        <f t="array" ref="F66:F66">OFFSET(E66,-1,1)</f>
        <v>1</v>
      </c>
      <c r="G66" s="1363"/>
      <c r="H66" s="88" t="s">
        <v>459</v>
      </c>
      <c r="I66" s="1363"/>
      <c r="J66" s="1363"/>
      <c r="K66" s="1363"/>
      <c r="L66" s="1363"/>
      <c r="M66" s="1363"/>
      <c r="N66" s="1363"/>
      <c r="O66" s="1363"/>
      <c r="P66" s="1363"/>
      <c r="Q66" s="1363"/>
      <c r="R66" s="1363"/>
      <c r="S66" s="1363"/>
      <c r="T66" s="1363"/>
      <c r="U66" s="438" cm="1" t="str">
        <f t="array" ref="U66:U66">U65</f>
        <v>true</v>
      </c>
      <c r="V66" s="1363"/>
      <c r="W66" s="1363"/>
      <c r="X66" s="1363"/>
      <c r="Y66" s="1491"/>
      <c r="Z66" s="1513"/>
      <c r="AA66" s="1363"/>
      <c r="AB66" s="186" t="s">
        <v>460</v>
      </c>
      <c r="AC66" s="180" t="s">
        <v>461</v>
      </c>
      <c r="AD66" s="57" t="s">
        <v>462</v>
      </c>
      <c r="AE66" s="273"/>
      <c r="AF66" s="588"/>
      <c r="AG66" s="589"/>
      <c r="AH66" s="275"/>
      <c r="AI66" s="273"/>
      <c r="AJ66" s="588"/>
      <c r="AK66" s="588"/>
      <c r="AL66" s="590">
        <f>IF(AI66&lt;&gt;0,AK66/AI66,0)</f>
        <v>0</v>
      </c>
      <c r="AM66" s="591">
        <f>AK66-AJ66</f>
        <v>0</v>
      </c>
      <c r="AN66" s="275"/>
      <c r="AO66" s="273"/>
      <c r="AP66" s="273"/>
      <c r="AQ66" s="273"/>
      <c r="AR66" s="273"/>
      <c r="AS66" s="273"/>
      <c r="AT66" s="273"/>
      <c r="AU66" s="273"/>
      <c r="AV66" s="273"/>
      <c r="AW66" s="273"/>
      <c r="AX66" s="273"/>
      <c r="AY66" s="273"/>
      <c r="AZ66" s="273"/>
      <c r="BA66" s="273"/>
      <c r="BB66" s="273"/>
      <c r="BC66" s="273"/>
      <c r="BD66" s="273"/>
      <c r="BE66" s="273"/>
      <c r="BF66" s="273"/>
      <c r="BG66" s="1363"/>
      <c r="BH66" s="1363"/>
      <c r="BI66" s="974" t="s">
        <v>463</v>
      </c>
      <c r="BJ66" s="1374"/>
      <c r="BK66" s="1374"/>
      <c r="BL66" s="1370"/>
      <c r="BM66" s="1370"/>
    </row>
    <row s="1624" customFormat="1" customHeight="1" ht="21.75" hidden="1">
      <c r="A67" s="1363"/>
      <c r="B67" s="1369"/>
      <c r="C67" s="1363"/>
      <c r="D67" s="1363"/>
      <c r="E67" s="593">
        <v>22.5</v>
      </c>
      <c r="F67" s="50" cm="1" t="str">
        <f t="array" ref="F67:F67">OFFSET(E67,-1,1)</f>
        <v>1</v>
      </c>
      <c r="G67" s="1363"/>
      <c r="H67" s="1363"/>
      <c r="I67" s="88" cm="1" t="str">
        <f t="array" ref="I67:I67">AC67</f>
        <v>0</v>
      </c>
      <c r="J67" s="1363"/>
      <c r="K67" s="1363"/>
      <c r="L67" s="1363"/>
      <c r="M67" s="1363"/>
      <c r="N67" s="1363"/>
      <c r="O67" s="1363"/>
      <c r="P67" s="1363"/>
      <c r="Q67" s="1363"/>
      <c r="R67" s="1363"/>
      <c r="S67" s="1363"/>
      <c r="T67" s="1363"/>
      <c r="U67" s="438">
        <f>AND(F67&gt;0,--RIGHT(AB67,1)&gt;1)</f>
        <v>0</v>
      </c>
      <c r="V67" s="1363"/>
      <c r="W67" s="1363"/>
      <c r="X67" s="733" t="s">
        <v>172</v>
      </c>
      <c r="Y67" s="1491"/>
      <c r="Z67" s="1513"/>
      <c r="AA67" s="392" t="s">
        <v>173</v>
      </c>
      <c r="AB67" s="186" t="s">
        <v>460</v>
      </c>
      <c r="AC67" s="1910"/>
      <c r="AD67" s="57" t="s">
        <v>462</v>
      </c>
      <c r="AE67" s="1904"/>
      <c r="AF67" s="1905"/>
      <c r="AG67" s="1906"/>
      <c r="AH67" s="1907"/>
      <c r="AI67" s="1904"/>
      <c r="AJ67" s="1905"/>
      <c r="AK67" s="1905"/>
      <c r="AL67" s="590">
        <f>IF(AI67&lt;&gt;0,AK67/AI67,0)</f>
        <v>0</v>
      </c>
      <c r="AM67" s="591">
        <f>AK67-AJ67</f>
        <v>0</v>
      </c>
      <c r="AN67" s="1907"/>
      <c r="AO67" s="1904"/>
      <c r="AP67" s="1904"/>
      <c r="AQ67" s="1904"/>
      <c r="AR67" s="1904"/>
      <c r="AS67" s="1904"/>
      <c r="AT67" s="1904"/>
      <c r="AU67" s="1904"/>
      <c r="AV67" s="1904"/>
      <c r="AW67" s="1904"/>
      <c r="AX67" s="1904"/>
      <c r="AY67" s="1904"/>
      <c r="AZ67" s="1904"/>
      <c r="BA67" s="1904"/>
      <c r="BB67" s="1904"/>
      <c r="BC67" s="1904"/>
      <c r="BD67" s="1904"/>
      <c r="BE67" s="1904"/>
      <c r="BF67" s="1904"/>
      <c r="BG67" s="1363"/>
      <c r="BH67" s="1363"/>
      <c r="BI67" s="974" t="s">
        <v>463</v>
      </c>
      <c r="BJ67" s="974" t="s">
        <v>464</v>
      </c>
      <c r="BK67" s="974" cm="1" t="str">
        <f t="array" ref="BK67:BK67">AC67</f>
        <v>0</v>
      </c>
      <c r="BL67" s="1370"/>
      <c r="BM67" s="593" t="b">
        <v>1</v>
      </c>
    </row>
    <row s="1624" customFormat="1" customHeight="1" ht="14.25">
      <c r="A68" s="1363"/>
      <c r="B68" s="1369"/>
      <c r="C68" s="1363"/>
      <c r="D68" s="1363"/>
      <c r="E68" s="593">
        <v>15</v>
      </c>
      <c r="F68" s="50" cm="1" t="str">
        <f t="array" ref="F68:F68">OFFSET(E68,-1,1)</f>
        <v>1</v>
      </c>
      <c r="G68" s="1363"/>
      <c r="H68" s="1363"/>
      <c r="I68" s="1363"/>
      <c r="J68" s="1363"/>
      <c r="K68" s="1363"/>
      <c r="L68" s="1363"/>
      <c r="M68" s="1363"/>
      <c r="N68" s="1363"/>
      <c r="O68" s="1363"/>
      <c r="P68" s="1363"/>
      <c r="Q68" s="1363"/>
      <c r="R68" s="1363"/>
      <c r="S68" s="1363"/>
      <c r="T68" s="1363"/>
      <c r="U68" s="438">
        <f>F68&gt;0</f>
        <v>1</v>
      </c>
      <c r="V68" s="1363"/>
      <c r="W68" s="1363"/>
      <c r="X68" s="733" t="s">
        <v>396</v>
      </c>
      <c r="Y68" s="1491"/>
      <c r="Z68" s="1513"/>
      <c r="AA68" s="1363"/>
      <c r="AB68" s="141"/>
      <c r="AC68" s="274" t="s">
        <v>176</v>
      </c>
      <c r="AD68" s="142"/>
      <c r="AE68" s="142"/>
      <c r="AF68" s="142"/>
      <c r="AG68" s="142"/>
      <c r="AH68" s="142"/>
      <c r="AI68" s="142"/>
      <c r="AJ68" s="142"/>
      <c r="AK68" s="142"/>
      <c r="AL68" s="142"/>
      <c r="AM68" s="142"/>
      <c r="AN68" s="142"/>
      <c r="AO68" s="142"/>
      <c r="AP68" s="142"/>
      <c r="AQ68" s="142"/>
      <c r="AR68" s="142"/>
      <c r="AS68" s="142"/>
      <c r="AT68" s="142"/>
      <c r="AU68" s="142"/>
      <c r="AV68" s="142"/>
      <c r="AW68" s="142"/>
      <c r="AX68" s="142"/>
      <c r="AY68" s="142"/>
      <c r="AZ68" s="142"/>
      <c r="BA68" s="142"/>
      <c r="BB68" s="142"/>
      <c r="BC68" s="142"/>
      <c r="BD68" s="142"/>
      <c r="BE68" s="142"/>
      <c r="BF68" s="142"/>
      <c r="BG68" s="1363"/>
      <c r="BH68" s="1363"/>
      <c r="BI68" s="1374"/>
      <c r="BJ68" s="1374"/>
      <c r="BK68" s="1374"/>
      <c r="BL68" s="593" t="s">
        <v>464</v>
      </c>
      <c r="BM68" s="1370"/>
    </row>
    <row s="1624" customFormat="1" customHeight="1" ht="21.75">
      <c r="A69" s="1363"/>
      <c r="B69" s="1369"/>
      <c r="C69" s="1363"/>
      <c r="D69" s="1363"/>
      <c r="E69" s="593">
        <v>22.5</v>
      </c>
      <c r="F69" s="50" cm="1" t="str">
        <f t="array" ref="F69:F69">OFFSET(E69,-1,1)</f>
        <v>1</v>
      </c>
      <c r="G69" s="1363"/>
      <c r="H69" s="88" t="s">
        <v>465</v>
      </c>
      <c r="I69" s="1363"/>
      <c r="J69" s="1363"/>
      <c r="K69" s="1363"/>
      <c r="L69" s="1363"/>
      <c r="M69" s="1363"/>
      <c r="N69" s="1363"/>
      <c r="O69" s="1363"/>
      <c r="P69" s="1363"/>
      <c r="Q69" s="1363"/>
      <c r="R69" s="1363"/>
      <c r="S69" s="1363"/>
      <c r="T69" s="1363"/>
      <c r="U69" s="438" cm="1" t="str">
        <f t="array" ref="U69:U69">U68</f>
        <v>true</v>
      </c>
      <c r="V69" s="1363"/>
      <c r="W69" s="1363"/>
      <c r="X69" s="1363"/>
      <c r="Y69" s="1491"/>
      <c r="Z69" s="1513"/>
      <c r="AA69" s="1363"/>
      <c r="AB69" s="573" t="s">
        <v>466</v>
      </c>
      <c r="AC69" s="574" t="s">
        <v>467</v>
      </c>
      <c r="AD69" s="570" t="s">
        <v>462</v>
      </c>
      <c r="AE69" s="575"/>
      <c r="AF69" s="576"/>
      <c r="AG69" s="577"/>
      <c r="AH69" s="578"/>
      <c r="AI69" s="575"/>
      <c r="AJ69" s="576"/>
      <c r="AK69" s="576"/>
      <c r="AL69" s="579">
        <f>IF(AI69&lt;&gt;0,AK69/AI69,0)</f>
        <v>0</v>
      </c>
      <c r="AM69" s="580">
        <f>AK69-AJ69</f>
        <v>0</v>
      </c>
      <c r="AN69" s="578"/>
      <c r="AO69" s="575"/>
      <c r="AP69" s="575"/>
      <c r="AQ69" s="575"/>
      <c r="AR69" s="575"/>
      <c r="AS69" s="575"/>
      <c r="AT69" s="575"/>
      <c r="AU69" s="575"/>
      <c r="AV69" s="575"/>
      <c r="AW69" s="575"/>
      <c r="AX69" s="575"/>
      <c r="AY69" s="575"/>
      <c r="AZ69" s="575"/>
      <c r="BA69" s="575"/>
      <c r="BB69" s="575"/>
      <c r="BC69" s="575"/>
      <c r="BD69" s="575"/>
      <c r="BE69" s="575"/>
      <c r="BF69" s="575"/>
      <c r="BG69" s="1363"/>
      <c r="BH69" s="1363"/>
      <c r="BI69" s="974" t="s">
        <v>468</v>
      </c>
      <c r="BJ69" s="1374"/>
      <c r="BK69" s="1374"/>
      <c r="BL69" s="1370"/>
      <c r="BM69" s="1370"/>
    </row>
    <row s="1624" customFormat="1" customHeight="1" ht="21.75" hidden="1">
      <c r="A70" s="1363"/>
      <c r="B70" s="1369"/>
      <c r="C70" s="1363"/>
      <c r="D70" s="1363"/>
      <c r="E70" s="593">
        <v>22.5</v>
      </c>
      <c r="F70" s="50" cm="1" t="str">
        <f t="array" ref="F70:F70">OFFSET(E70,-1,1)</f>
        <v>1</v>
      </c>
      <c r="G70" s="1363"/>
      <c r="H70" s="1363"/>
      <c r="I70" s="88" cm="1" t="str">
        <f t="array" ref="I70:I70">AC70</f>
        <v>0</v>
      </c>
      <c r="J70" s="1363"/>
      <c r="K70" s="1363"/>
      <c r="L70" s="1363"/>
      <c r="M70" s="1363"/>
      <c r="N70" s="1363"/>
      <c r="O70" s="1363"/>
      <c r="P70" s="1363"/>
      <c r="Q70" s="1363"/>
      <c r="R70" s="1363"/>
      <c r="S70" s="1363"/>
      <c r="T70" s="1363"/>
      <c r="U70" s="438">
        <f>AND(F70&gt;0,--RIGHT(AB70,1)&gt;1)</f>
        <v>0</v>
      </c>
      <c r="V70" s="1363"/>
      <c r="W70" s="1363"/>
      <c r="X70" s="733" t="s">
        <v>172</v>
      </c>
      <c r="Y70" s="1491"/>
      <c r="Z70" s="1513"/>
      <c r="AA70" s="392" t="s">
        <v>173</v>
      </c>
      <c r="AB70" s="573" t="s">
        <v>466</v>
      </c>
      <c r="AC70" s="1920"/>
      <c r="AD70" s="570" t="s">
        <v>462</v>
      </c>
      <c r="AE70" s="1914"/>
      <c r="AF70" s="1915"/>
      <c r="AG70" s="1916"/>
      <c r="AH70" s="1917"/>
      <c r="AI70" s="1914"/>
      <c r="AJ70" s="1915"/>
      <c r="AK70" s="1915"/>
      <c r="AL70" s="579">
        <f>IF(AI70&lt;&gt;0,AK70/AI70,0)</f>
        <v>0</v>
      </c>
      <c r="AM70" s="580">
        <f>AK70-AJ70</f>
        <v>0</v>
      </c>
      <c r="AN70" s="1917"/>
      <c r="AO70" s="1914"/>
      <c r="AP70" s="1914"/>
      <c r="AQ70" s="1914"/>
      <c r="AR70" s="1914"/>
      <c r="AS70" s="1914"/>
      <c r="AT70" s="1914"/>
      <c r="AU70" s="1914"/>
      <c r="AV70" s="1914"/>
      <c r="AW70" s="1914"/>
      <c r="AX70" s="1914"/>
      <c r="AY70" s="1914"/>
      <c r="AZ70" s="1914"/>
      <c r="BA70" s="1914"/>
      <c r="BB70" s="1914"/>
      <c r="BC70" s="1914"/>
      <c r="BD70" s="1914"/>
      <c r="BE70" s="1914"/>
      <c r="BF70" s="1914"/>
      <c r="BG70" s="1363"/>
      <c r="BH70" s="1363"/>
      <c r="BI70" s="974" t="s">
        <v>468</v>
      </c>
      <c r="BJ70" s="974" t="s">
        <v>469</v>
      </c>
      <c r="BK70" s="974" cm="1" t="str">
        <f t="array" ref="BK70:BK70">AC70</f>
        <v>0</v>
      </c>
      <c r="BL70" s="1370"/>
      <c r="BM70" s="593" t="b">
        <v>1</v>
      </c>
    </row>
    <row s="1624" customFormat="1" customHeight="1" ht="14.25">
      <c r="A71" s="1363"/>
      <c r="B71" s="1369"/>
      <c r="C71" s="1363"/>
      <c r="D71" s="1363"/>
      <c r="E71" s="593">
        <v>15</v>
      </c>
      <c r="F71" s="50" cm="1" t="str">
        <f t="array" ref="F71:F71">OFFSET(E71,-1,1)</f>
        <v>1</v>
      </c>
      <c r="G71" s="1363"/>
      <c r="H71" s="1363"/>
      <c r="I71" s="1363"/>
      <c r="J71" s="1363"/>
      <c r="K71" s="1363"/>
      <c r="L71" s="1363"/>
      <c r="M71" s="1363"/>
      <c r="N71" s="1363"/>
      <c r="O71" s="1363"/>
      <c r="P71" s="1363"/>
      <c r="Q71" s="1363"/>
      <c r="R71" s="1363"/>
      <c r="S71" s="1363"/>
      <c r="T71" s="1363"/>
      <c r="U71" s="438">
        <f>F71&gt;0</f>
        <v>1</v>
      </c>
      <c r="V71" s="1363"/>
      <c r="W71" s="1363"/>
      <c r="X71" s="733" t="s">
        <v>396</v>
      </c>
      <c r="Y71" s="1491"/>
      <c r="Z71" s="1513"/>
      <c r="AA71" s="1363"/>
      <c r="AB71" s="141"/>
      <c r="AC71" s="274" t="s">
        <v>176</v>
      </c>
      <c r="AD71" s="142"/>
      <c r="AE71" s="142"/>
      <c r="AF71" s="142"/>
      <c r="AG71" s="142"/>
      <c r="AH71" s="142"/>
      <c r="AI71" s="142"/>
      <c r="AJ71" s="142"/>
      <c r="AK71" s="142"/>
      <c r="AL71" s="142"/>
      <c r="AM71" s="142"/>
      <c r="AN71" s="142"/>
      <c r="AO71" s="142"/>
      <c r="AP71" s="142"/>
      <c r="AQ71" s="142"/>
      <c r="AR71" s="142"/>
      <c r="AS71" s="142"/>
      <c r="AT71" s="142"/>
      <c r="AU71" s="142"/>
      <c r="AV71" s="142"/>
      <c r="AW71" s="142"/>
      <c r="AX71" s="142"/>
      <c r="AY71" s="142"/>
      <c r="AZ71" s="142"/>
      <c r="BA71" s="142"/>
      <c r="BB71" s="142"/>
      <c r="BC71" s="142"/>
      <c r="BD71" s="142"/>
      <c r="BE71" s="142"/>
      <c r="BF71" s="142"/>
      <c r="BG71" s="1363"/>
      <c r="BH71" s="1363"/>
      <c r="BI71" s="1374"/>
      <c r="BJ71" s="1374"/>
      <c r="BK71" s="1374"/>
      <c r="BL71" s="593" t="s">
        <v>469</v>
      </c>
      <c r="BM71" s="1370"/>
    </row>
    <row s="1624" customFormat="1" customHeight="1" ht="21.75">
      <c r="A72" s="1363"/>
      <c r="B72" s="1369"/>
      <c r="C72" s="1363"/>
      <c r="D72" s="1363"/>
      <c r="E72" s="593">
        <v>22.5</v>
      </c>
      <c r="F72" s="50" cm="1" t="str">
        <f t="array" ref="F72:F72">OFFSET(E72,-1,1)</f>
        <v>1</v>
      </c>
      <c r="G72" s="1363"/>
      <c r="H72" s="88" t="s">
        <v>470</v>
      </c>
      <c r="I72" s="1363"/>
      <c r="J72" s="1363"/>
      <c r="K72" s="1363"/>
      <c r="L72" s="1363"/>
      <c r="M72" s="1363"/>
      <c r="N72" s="1363"/>
      <c r="O72" s="1363"/>
      <c r="P72" s="1363"/>
      <c r="Q72" s="1363"/>
      <c r="R72" s="1363"/>
      <c r="S72" s="1363"/>
      <c r="T72" s="1363"/>
      <c r="U72" s="438" cm="1" t="str">
        <f t="array" ref="U72:U72">U71</f>
        <v>true</v>
      </c>
      <c r="V72" s="1363"/>
      <c r="W72" s="1363"/>
      <c r="X72" s="1363"/>
      <c r="Y72" s="1491"/>
      <c r="Z72" s="1513"/>
      <c r="AA72" s="1363"/>
      <c r="AB72" s="89" t="s">
        <v>471</v>
      </c>
      <c r="AC72" s="158" t="s">
        <v>472</v>
      </c>
      <c r="AD72" s="58" t="s">
        <v>462</v>
      </c>
      <c r="AE72" s="242"/>
      <c r="AF72" s="244"/>
      <c r="AG72" s="245"/>
      <c r="AH72" s="166"/>
      <c r="AI72" s="242"/>
      <c r="AJ72" s="244"/>
      <c r="AK72" s="244"/>
      <c r="AL72" s="247">
        <f>IF(AI72&lt;&gt;0,AK72/AI72,0)</f>
        <v>0</v>
      </c>
      <c r="AM72" s="246">
        <f>AK72-AJ72</f>
        <v>0</v>
      </c>
      <c r="AN72" s="166"/>
      <c r="AO72" s="242"/>
      <c r="AP72" s="242"/>
      <c r="AQ72" s="242"/>
      <c r="AR72" s="242"/>
      <c r="AS72" s="242"/>
      <c r="AT72" s="242"/>
      <c r="AU72" s="242"/>
      <c r="AV72" s="242"/>
      <c r="AW72" s="242"/>
      <c r="AX72" s="242"/>
      <c r="AY72" s="242"/>
      <c r="AZ72" s="242"/>
      <c r="BA72" s="242"/>
      <c r="BB72" s="242"/>
      <c r="BC72" s="242"/>
      <c r="BD72" s="242"/>
      <c r="BE72" s="242"/>
      <c r="BF72" s="242"/>
      <c r="BG72" s="1363"/>
      <c r="BH72" s="1363"/>
      <c r="BI72" s="974" t="s">
        <v>473</v>
      </c>
      <c r="BJ72" s="1374"/>
      <c r="BK72" s="1374"/>
      <c r="BL72" s="1370"/>
      <c r="BM72" s="1370"/>
    </row>
    <row s="1624" customFormat="1" customHeight="1" ht="21.75" hidden="1">
      <c r="A73" s="1363"/>
      <c r="B73" s="1369"/>
      <c r="C73" s="1363"/>
      <c r="D73" s="1363"/>
      <c r="E73" s="593">
        <v>22.5</v>
      </c>
      <c r="F73" s="50" cm="1" t="str">
        <f t="array" ref="F73:F73">OFFSET(E73,-1,1)</f>
        <v>1</v>
      </c>
      <c r="G73" s="1363"/>
      <c r="H73" s="1363"/>
      <c r="I73" s="88" cm="1" t="str">
        <f t="array" ref="I73:I73">AC73</f>
        <v>0</v>
      </c>
      <c r="J73" s="1363"/>
      <c r="K73" s="1363"/>
      <c r="L73" s="1363"/>
      <c r="M73" s="1363"/>
      <c r="N73" s="1363"/>
      <c r="O73" s="1363"/>
      <c r="P73" s="1363"/>
      <c r="Q73" s="1363"/>
      <c r="R73" s="1363"/>
      <c r="S73" s="1363"/>
      <c r="T73" s="1363"/>
      <c r="U73" s="438">
        <f>AND(F73&gt;0,--RIGHT(AB73,1)&gt;1)</f>
        <v>0</v>
      </c>
      <c r="V73" s="1363"/>
      <c r="W73" s="1363"/>
      <c r="X73" s="733" t="s">
        <v>172</v>
      </c>
      <c r="Y73" s="1491"/>
      <c r="Z73" s="1513"/>
      <c r="AA73" s="392" t="s">
        <v>173</v>
      </c>
      <c r="AB73" s="89" t="s">
        <v>471</v>
      </c>
      <c r="AC73" s="1923"/>
      <c r="AD73" s="58" t="s">
        <v>462</v>
      </c>
      <c r="AE73" s="1879"/>
      <c r="AF73" s="1892"/>
      <c r="AG73" s="1922"/>
      <c r="AH73" s="1880"/>
      <c r="AI73" s="1879"/>
      <c r="AJ73" s="1892"/>
      <c r="AK73" s="1892"/>
      <c r="AL73" s="247">
        <f>IF(AI73&lt;&gt;0,AK73/AI73,0)</f>
        <v>0</v>
      </c>
      <c r="AM73" s="246">
        <f>AK73-AJ73</f>
        <v>0</v>
      </c>
      <c r="AN73" s="1880"/>
      <c r="AO73" s="1879"/>
      <c r="AP73" s="1879"/>
      <c r="AQ73" s="1879"/>
      <c r="AR73" s="1879"/>
      <c r="AS73" s="1879"/>
      <c r="AT73" s="1879"/>
      <c r="AU73" s="1879"/>
      <c r="AV73" s="1879"/>
      <c r="AW73" s="1879"/>
      <c r="AX73" s="1879"/>
      <c r="AY73" s="1879"/>
      <c r="AZ73" s="1879"/>
      <c r="BA73" s="1879"/>
      <c r="BB73" s="1879"/>
      <c r="BC73" s="1879"/>
      <c r="BD73" s="1879"/>
      <c r="BE73" s="1879"/>
      <c r="BF73" s="1879"/>
      <c r="BG73" s="1363"/>
      <c r="BH73" s="1363"/>
      <c r="BI73" s="974" t="s">
        <v>473</v>
      </c>
      <c r="BJ73" s="974" t="s">
        <v>474</v>
      </c>
      <c r="BK73" s="974" cm="1" t="str">
        <f t="array" ref="BK73:BK73">AC73</f>
        <v>0</v>
      </c>
      <c r="BL73" s="1370"/>
      <c r="BM73" s="593" t="b">
        <v>1</v>
      </c>
    </row>
    <row s="1624" customFormat="1" customHeight="1" ht="14.25">
      <c r="A74" s="1363"/>
      <c r="B74" s="1369"/>
      <c r="C74" s="1363"/>
      <c r="D74" s="1363"/>
      <c r="E74" s="593">
        <v>15</v>
      </c>
      <c r="F74" s="50" cm="1" t="str">
        <f t="array" ref="F74:F74">OFFSET(E74,-1,1)</f>
        <v>1</v>
      </c>
      <c r="G74" s="1363"/>
      <c r="H74" s="1363"/>
      <c r="I74" s="1363"/>
      <c r="J74" s="1363"/>
      <c r="K74" s="1363"/>
      <c r="L74" s="1363"/>
      <c r="M74" s="1363"/>
      <c r="N74" s="1363"/>
      <c r="O74" s="1363"/>
      <c r="P74" s="1363"/>
      <c r="Q74" s="1363"/>
      <c r="R74" s="1363"/>
      <c r="S74" s="1363"/>
      <c r="T74" s="1363"/>
      <c r="U74" s="438">
        <f>F74&gt;0</f>
        <v>1</v>
      </c>
      <c r="V74" s="1363"/>
      <c r="W74" s="1363"/>
      <c r="X74" s="733" t="s">
        <v>396</v>
      </c>
      <c r="Y74" s="1491"/>
      <c r="Z74" s="1513"/>
      <c r="AA74" s="1363"/>
      <c r="AB74" s="141"/>
      <c r="AC74" s="274" t="s">
        <v>176</v>
      </c>
      <c r="AD74" s="142"/>
      <c r="AE74" s="142"/>
      <c r="AF74" s="142"/>
      <c r="AG74" s="142"/>
      <c r="AH74" s="142"/>
      <c r="AI74" s="142"/>
      <c r="AJ74" s="142"/>
      <c r="AK74" s="142"/>
      <c r="AL74" s="142"/>
      <c r="AM74" s="142"/>
      <c r="AN74" s="142"/>
      <c r="AO74" s="142"/>
      <c r="AP74" s="142"/>
      <c r="AQ74" s="142"/>
      <c r="AR74" s="142"/>
      <c r="AS74" s="142"/>
      <c r="AT74" s="142"/>
      <c r="AU74" s="142"/>
      <c r="AV74" s="142"/>
      <c r="AW74" s="142"/>
      <c r="AX74" s="142"/>
      <c r="AY74" s="142"/>
      <c r="AZ74" s="142"/>
      <c r="BA74" s="142"/>
      <c r="BB74" s="142"/>
      <c r="BC74" s="142"/>
      <c r="BD74" s="142"/>
      <c r="BE74" s="142"/>
      <c r="BF74" s="142"/>
      <c r="BG74" s="1363"/>
      <c r="BH74" s="1363"/>
      <c r="BI74" s="1374"/>
      <c r="BJ74" s="1374"/>
      <c r="BK74" s="1374"/>
      <c r="BL74" s="593" t="s">
        <v>474</v>
      </c>
      <c r="BM74" s="1370"/>
    </row>
    <row s="1624" customFormat="1" customHeight="1" ht="21.75">
      <c r="A75" s="1363"/>
      <c r="B75" s="1369"/>
      <c r="C75" s="1363"/>
      <c r="D75" s="1363"/>
      <c r="E75" s="593">
        <v>22.5</v>
      </c>
      <c r="F75" s="50" cm="1" t="str">
        <f t="array" ref="F75:F75">OFFSET(E75,-1,1)</f>
        <v>1</v>
      </c>
      <c r="G75" s="1363"/>
      <c r="H75" s="88" t="s">
        <v>475</v>
      </c>
      <c r="I75" s="1363"/>
      <c r="J75" s="1363"/>
      <c r="K75" s="1363"/>
      <c r="L75" s="1363"/>
      <c r="M75" s="1363"/>
      <c r="N75" s="1363"/>
      <c r="O75" s="1363"/>
      <c r="P75" s="1363"/>
      <c r="Q75" s="1363"/>
      <c r="R75" s="1363"/>
      <c r="S75" s="1363"/>
      <c r="T75" s="1363"/>
      <c r="U75" s="438" cm="1" t="str">
        <f t="array" ref="U75:U75">U74</f>
        <v>true</v>
      </c>
      <c r="V75" s="1363"/>
      <c r="W75" s="1363"/>
      <c r="X75" s="1363"/>
      <c r="Y75" s="1491"/>
      <c r="Z75" s="1513"/>
      <c r="AA75" s="1363"/>
      <c r="AB75" s="89" t="s">
        <v>476</v>
      </c>
      <c r="AC75" s="158" t="s">
        <v>477</v>
      </c>
      <c r="AD75" s="58" t="s">
        <v>462</v>
      </c>
      <c r="AE75" s="242"/>
      <c r="AF75" s="244"/>
      <c r="AG75" s="245"/>
      <c r="AH75" s="166"/>
      <c r="AI75" s="242"/>
      <c r="AJ75" s="244"/>
      <c r="AK75" s="244"/>
      <c r="AL75" s="247">
        <f>IF(AI75&lt;&gt;0,AK75/AI75,0)</f>
        <v>0</v>
      </c>
      <c r="AM75" s="246">
        <f>AK75-AJ75</f>
        <v>0</v>
      </c>
      <c r="AN75" s="166"/>
      <c r="AO75" s="242"/>
      <c r="AP75" s="242"/>
      <c r="AQ75" s="242"/>
      <c r="AR75" s="242"/>
      <c r="AS75" s="242"/>
      <c r="AT75" s="242"/>
      <c r="AU75" s="242"/>
      <c r="AV75" s="242"/>
      <c r="AW75" s="242"/>
      <c r="AX75" s="242"/>
      <c r="AY75" s="242"/>
      <c r="AZ75" s="242"/>
      <c r="BA75" s="242"/>
      <c r="BB75" s="242"/>
      <c r="BC75" s="242"/>
      <c r="BD75" s="242"/>
      <c r="BE75" s="242"/>
      <c r="BF75" s="242"/>
      <c r="BG75" s="1363"/>
      <c r="BH75" s="1363"/>
      <c r="BI75" s="974" t="s">
        <v>478</v>
      </c>
      <c r="BJ75" s="1374"/>
      <c r="BK75" s="1374"/>
      <c r="BL75" s="1370"/>
      <c r="BM75" s="1370"/>
    </row>
    <row s="1624" customFormat="1" customHeight="1" ht="21.75" hidden="1">
      <c r="A76" s="1363"/>
      <c r="B76" s="1369"/>
      <c r="C76" s="1363"/>
      <c r="D76" s="1363"/>
      <c r="E76" s="593">
        <v>22.5</v>
      </c>
      <c r="F76" s="50" cm="1" t="str">
        <f t="array" ref="F76:F76">OFFSET(E76,-1,1)</f>
        <v>1</v>
      </c>
      <c r="G76" s="1363"/>
      <c r="H76" s="1363"/>
      <c r="I76" s="88" cm="1" t="str">
        <f t="array" ref="I76:I76">AC76</f>
        <v>0</v>
      </c>
      <c r="J76" s="1363"/>
      <c r="K76" s="1363"/>
      <c r="L76" s="1363"/>
      <c r="M76" s="1363"/>
      <c r="N76" s="1363"/>
      <c r="O76" s="1363"/>
      <c r="P76" s="1363"/>
      <c r="Q76" s="1363"/>
      <c r="R76" s="1363"/>
      <c r="S76" s="1363"/>
      <c r="T76" s="1363"/>
      <c r="U76" s="438">
        <f>AND(F76&gt;0,--RIGHT(AB76,1)&gt;1)</f>
        <v>0</v>
      </c>
      <c r="V76" s="1363"/>
      <c r="W76" s="1363"/>
      <c r="X76" s="733" t="s">
        <v>172</v>
      </c>
      <c r="Y76" s="1491"/>
      <c r="Z76" s="1513"/>
      <c r="AA76" s="392" t="s">
        <v>173</v>
      </c>
      <c r="AB76" s="89" t="s">
        <v>476</v>
      </c>
      <c r="AC76" s="1923"/>
      <c r="AD76" s="58" t="s">
        <v>462</v>
      </c>
      <c r="AE76" s="1879"/>
      <c r="AF76" s="1892"/>
      <c r="AG76" s="1922"/>
      <c r="AH76" s="1880"/>
      <c r="AI76" s="1879"/>
      <c r="AJ76" s="1892"/>
      <c r="AK76" s="1892"/>
      <c r="AL76" s="247">
        <f>IF(AI76&lt;&gt;0,AK76/AI76,0)</f>
        <v>0</v>
      </c>
      <c r="AM76" s="246">
        <f>AK76-AJ76</f>
        <v>0</v>
      </c>
      <c r="AN76" s="1880"/>
      <c r="AO76" s="1879"/>
      <c r="AP76" s="1879"/>
      <c r="AQ76" s="1879"/>
      <c r="AR76" s="1879"/>
      <c r="AS76" s="1879"/>
      <c r="AT76" s="1879"/>
      <c r="AU76" s="1879"/>
      <c r="AV76" s="1879"/>
      <c r="AW76" s="1879"/>
      <c r="AX76" s="1879"/>
      <c r="AY76" s="1879"/>
      <c r="AZ76" s="1879"/>
      <c r="BA76" s="1879"/>
      <c r="BB76" s="1879"/>
      <c r="BC76" s="1879"/>
      <c r="BD76" s="1879"/>
      <c r="BE76" s="1879"/>
      <c r="BF76" s="1879"/>
      <c r="BG76" s="1363"/>
      <c r="BH76" s="1363"/>
      <c r="BI76" s="974" t="s">
        <v>478</v>
      </c>
      <c r="BJ76" s="974" t="s">
        <v>479</v>
      </c>
      <c r="BK76" s="974" cm="1" t="str">
        <f t="array" ref="BK76:BK76">AC76</f>
        <v>0</v>
      </c>
      <c r="BL76" s="1370"/>
      <c r="BM76" s="593" t="b">
        <v>1</v>
      </c>
    </row>
    <row s="1624" customFormat="1" customHeight="1" ht="14.25">
      <c r="A77" s="1363"/>
      <c r="B77" s="1369"/>
      <c r="C77" s="1363"/>
      <c r="D77" s="1363"/>
      <c r="E77" s="593">
        <v>15</v>
      </c>
      <c r="F77" s="50" cm="1" t="str">
        <f t="array" ref="F77:F77">OFFSET(E77,-1,1)</f>
        <v>1</v>
      </c>
      <c r="G77" s="1363"/>
      <c r="H77" s="1363"/>
      <c r="I77" s="1363"/>
      <c r="J77" s="1363"/>
      <c r="K77" s="1363"/>
      <c r="L77" s="1363"/>
      <c r="M77" s="1363"/>
      <c r="N77" s="1363"/>
      <c r="O77" s="1363"/>
      <c r="P77" s="1363"/>
      <c r="Q77" s="1363"/>
      <c r="R77" s="1363"/>
      <c r="S77" s="1363"/>
      <c r="T77" s="1363"/>
      <c r="U77" s="438">
        <f>F77&gt;0</f>
        <v>1</v>
      </c>
      <c r="V77" s="1363"/>
      <c r="W77" s="1363"/>
      <c r="X77" s="733" t="s">
        <v>396</v>
      </c>
      <c r="Y77" s="1491"/>
      <c r="Z77" s="1513"/>
      <c r="AA77" s="1363"/>
      <c r="AB77" s="141"/>
      <c r="AC77" s="274" t="s">
        <v>176</v>
      </c>
      <c r="AD77" s="142"/>
      <c r="AE77" s="142"/>
      <c r="AF77" s="142"/>
      <c r="AG77" s="142"/>
      <c r="AH77" s="142"/>
      <c r="AI77" s="142"/>
      <c r="AJ77" s="142"/>
      <c r="AK77" s="142"/>
      <c r="AL77" s="142"/>
      <c r="AM77" s="142"/>
      <c r="AN77" s="142"/>
      <c r="AO77" s="142"/>
      <c r="AP77" s="142"/>
      <c r="AQ77" s="142"/>
      <c r="AR77" s="142"/>
      <c r="AS77" s="142"/>
      <c r="AT77" s="142"/>
      <c r="AU77" s="142"/>
      <c r="AV77" s="142"/>
      <c r="AW77" s="142"/>
      <c r="AX77" s="142"/>
      <c r="AY77" s="142"/>
      <c r="AZ77" s="142"/>
      <c r="BA77" s="142"/>
      <c r="BB77" s="142"/>
      <c r="BC77" s="142"/>
      <c r="BD77" s="142"/>
      <c r="BE77" s="142"/>
      <c r="BF77" s="142"/>
      <c r="BG77" s="1363"/>
      <c r="BH77" s="1363"/>
      <c r="BI77" s="1374"/>
      <c r="BJ77" s="1374"/>
      <c r="BK77" s="1374"/>
      <c r="BL77" s="593" t="s">
        <v>479</v>
      </c>
      <c r="BM77" s="1370"/>
    </row>
    <row s="1624" customFormat="1" customHeight="1" ht="14.25">
      <c r="A78" s="1363"/>
      <c r="B78" s="1369"/>
      <c r="C78" s="1363"/>
      <c r="D78" s="1363"/>
      <c r="E78" s="593">
        <v>15</v>
      </c>
      <c r="F78" s="50" cm="1" t="str">
        <f t="array" ref="F78:F78">OFFSET(E78,-1,1)</f>
        <v>1</v>
      </c>
      <c r="G78" s="1363"/>
      <c r="H78" s="88" t="s">
        <v>325</v>
      </c>
      <c r="I78" s="1363"/>
      <c r="J78" s="1363"/>
      <c r="K78" s="1363"/>
      <c r="L78" s="1363"/>
      <c r="M78" s="1363"/>
      <c r="N78" s="1363"/>
      <c r="O78" s="1363"/>
      <c r="P78" s="1363"/>
      <c r="Q78" s="1363"/>
      <c r="R78" s="1363"/>
      <c r="S78" s="1363"/>
      <c r="T78" s="1363"/>
      <c r="U78" s="438" cm="1" t="str">
        <f t="array" ref="U78:U78">U77</f>
        <v>true</v>
      </c>
      <c r="V78" s="1363"/>
      <c r="W78" s="1363"/>
      <c r="X78" s="1363"/>
      <c r="Y78" s="1491"/>
      <c r="Z78" s="1513"/>
      <c r="AA78" s="1363"/>
      <c r="AB78" s="99">
        <v>3</v>
      </c>
      <c r="AC78" s="105" t="s">
        <v>480</v>
      </c>
      <c r="AD78" s="102" t="s">
        <v>430</v>
      </c>
      <c r="AE78" s="242"/>
      <c r="AF78" s="244"/>
      <c r="AG78" s="245"/>
      <c r="AH78" s="166"/>
      <c r="AI78" s="242"/>
      <c r="AJ78" s="244"/>
      <c r="AK78" s="244"/>
      <c r="AL78" s="247">
        <f>IF(AI78&lt;&gt;0,AK78/AI78,0)</f>
        <v>0</v>
      </c>
      <c r="AM78" s="246">
        <f>AK78-AJ78</f>
        <v>0</v>
      </c>
      <c r="AN78" s="166"/>
      <c r="AO78" s="242"/>
      <c r="AP78" s="242"/>
      <c r="AQ78" s="242"/>
      <c r="AR78" s="242"/>
      <c r="AS78" s="242"/>
      <c r="AT78" s="242"/>
      <c r="AU78" s="242"/>
      <c r="AV78" s="242"/>
      <c r="AW78" s="242"/>
      <c r="AX78" s="242"/>
      <c r="AY78" s="242"/>
      <c r="AZ78" s="242"/>
      <c r="BA78" s="242"/>
      <c r="BB78" s="242"/>
      <c r="BC78" s="242"/>
      <c r="BD78" s="242"/>
      <c r="BE78" s="242"/>
      <c r="BF78" s="242"/>
      <c r="BG78" s="1363"/>
      <c r="BH78" s="1363"/>
      <c r="BI78" s="974" t="s">
        <v>481</v>
      </c>
      <c r="BJ78" s="1374"/>
      <c r="BK78" s="1374"/>
      <c r="BL78" s="1370"/>
      <c r="BM78" s="1370"/>
    </row>
    <row s="1624" customFormat="1" customHeight="1" ht="14.25">
      <c r="A79" s="1363"/>
      <c r="B79" s="1369"/>
      <c r="C79" s="1363"/>
      <c r="D79" s="1363"/>
      <c r="E79" s="593">
        <v>15</v>
      </c>
      <c r="F79" s="50" cm="1" t="str">
        <f t="array" ref="F79:F79">OFFSET(E79,-1,1)</f>
        <v>1</v>
      </c>
      <c r="G79" s="1363"/>
      <c r="H79" s="88" t="s">
        <v>324</v>
      </c>
      <c r="I79" s="1363"/>
      <c r="J79" s="1363"/>
      <c r="K79" s="1363"/>
      <c r="L79" s="1363"/>
      <c r="M79" s="1363"/>
      <c r="N79" s="1363"/>
      <c r="O79" s="1363"/>
      <c r="P79" s="1363"/>
      <c r="Q79" s="1363"/>
      <c r="R79" s="1363"/>
      <c r="S79" s="1363"/>
      <c r="T79" s="1363"/>
      <c r="U79" s="438" cm="1" t="str">
        <f t="array" ref="U79:U79">U78</f>
        <v>true</v>
      </c>
      <c r="V79" s="1363"/>
      <c r="W79" s="1363"/>
      <c r="X79" s="1363"/>
      <c r="Y79" s="1491"/>
      <c r="Z79" s="1513"/>
      <c r="AA79" s="1363"/>
      <c r="AB79" s="99">
        <v>4</v>
      </c>
      <c r="AC79" s="105" t="s">
        <v>482</v>
      </c>
      <c r="AD79" s="102" t="s">
        <v>430</v>
      </c>
      <c r="AE79" s="242"/>
      <c r="AF79" s="244"/>
      <c r="AG79" s="245"/>
      <c r="AH79" s="166"/>
      <c r="AI79" s="242"/>
      <c r="AJ79" s="244"/>
      <c r="AK79" s="244"/>
      <c r="AL79" s="247">
        <f>IF(AI79&lt;&gt;0,AK79/AI79,0)</f>
        <v>0</v>
      </c>
      <c r="AM79" s="246">
        <f>AK79-AJ79</f>
        <v>0</v>
      </c>
      <c r="AN79" s="166"/>
      <c r="AO79" s="242"/>
      <c r="AP79" s="242"/>
      <c r="AQ79" s="242"/>
      <c r="AR79" s="242"/>
      <c r="AS79" s="242"/>
      <c r="AT79" s="242"/>
      <c r="AU79" s="242"/>
      <c r="AV79" s="242"/>
      <c r="AW79" s="242"/>
      <c r="AX79" s="242"/>
      <c r="AY79" s="242"/>
      <c r="AZ79" s="242"/>
      <c r="BA79" s="242"/>
      <c r="BB79" s="242"/>
      <c r="BC79" s="242"/>
      <c r="BD79" s="242"/>
      <c r="BE79" s="242"/>
      <c r="BF79" s="242"/>
      <c r="BG79" s="1363"/>
      <c r="BH79" s="1363"/>
      <c r="BI79" s="974" t="s">
        <v>483</v>
      </c>
      <c r="BJ79" s="1374"/>
      <c r="BK79" s="1374"/>
      <c r="BL79" s="1370"/>
      <c r="BM79" s="1370"/>
    </row>
    <row s="1624" customFormat="1" customHeight="1" ht="14.25">
      <c r="A80" s="1363"/>
      <c r="B80" s="1369"/>
      <c r="C80" s="1363"/>
      <c r="D80" s="1363"/>
      <c r="E80" s="593">
        <v>15</v>
      </c>
      <c r="F80" s="50" cm="1" t="str">
        <f t="array" ref="F80:F80">OFFSET(E80,-1,1)</f>
        <v>1</v>
      </c>
      <c r="G80" s="1363"/>
      <c r="H80" s="88" t="s">
        <v>484</v>
      </c>
      <c r="I80" s="1363"/>
      <c r="J80" s="1363"/>
      <c r="K80" s="1363"/>
      <c r="L80" s="1363"/>
      <c r="M80" s="1363"/>
      <c r="N80" s="1363"/>
      <c r="O80" s="1363"/>
      <c r="P80" s="1363"/>
      <c r="Q80" s="1363"/>
      <c r="R80" s="1363"/>
      <c r="S80" s="1363"/>
      <c r="T80" s="1363"/>
      <c r="U80" s="438" cm="1" t="str">
        <f t="array" ref="U80:U80">U79</f>
        <v>true</v>
      </c>
      <c r="V80" s="1363"/>
      <c r="W80" s="1363"/>
      <c r="X80" s="1363"/>
      <c r="Y80" s="1491"/>
      <c r="Z80" s="1513"/>
      <c r="AA80" s="1363"/>
      <c r="AB80" s="89" t="s">
        <v>485</v>
      </c>
      <c r="AC80" s="104" t="s">
        <v>486</v>
      </c>
      <c r="AD80" s="102"/>
      <c r="AE80" s="245"/>
      <c r="AF80" s="245"/>
      <c r="AG80" s="245"/>
      <c r="AH80" s="250"/>
      <c r="AI80" s="245"/>
      <c r="AJ80" s="245"/>
      <c r="AK80" s="245"/>
      <c r="AL80" s="247">
        <f>IF(AI80&lt;&gt;0,AK80/AI80,0)</f>
        <v>0</v>
      </c>
      <c r="AM80" s="246">
        <f>AK80-AJ80</f>
        <v>0</v>
      </c>
      <c r="AN80" s="250"/>
      <c r="AO80" s="245"/>
      <c r="AP80" s="245"/>
      <c r="AQ80" s="245"/>
      <c r="AR80" s="245"/>
      <c r="AS80" s="245"/>
      <c r="AT80" s="245"/>
      <c r="AU80" s="245"/>
      <c r="AV80" s="245"/>
      <c r="AW80" s="245"/>
      <c r="AX80" s="245"/>
      <c r="AY80" s="245"/>
      <c r="AZ80" s="245"/>
      <c r="BA80" s="245"/>
      <c r="BB80" s="245"/>
      <c r="BC80" s="245"/>
      <c r="BD80" s="245"/>
      <c r="BE80" s="245"/>
      <c r="BF80" s="245"/>
      <c r="BG80" s="1363"/>
      <c r="BH80" s="1363"/>
      <c r="BI80" s="974" t="s">
        <v>487</v>
      </c>
      <c r="BJ80" s="1374"/>
      <c r="BK80" s="1374"/>
      <c r="BL80" s="1370"/>
      <c r="BM80" s="1370"/>
    </row>
    <row s="1624" customFormat="1" customHeight="1" ht="14.25">
      <c r="A81" s="1363"/>
      <c r="B81" s="1369"/>
      <c r="C81" s="1363"/>
      <c r="D81" s="1363"/>
      <c r="E81" s="593">
        <v>15</v>
      </c>
      <c r="F81" s="50" cm="1" t="str">
        <f t="array" ref="F81:F81">OFFSET(E81,-1,1)</f>
        <v>1</v>
      </c>
      <c r="G81" s="1363"/>
      <c r="H81" s="88" t="s">
        <v>488</v>
      </c>
      <c r="I81" s="1363"/>
      <c r="J81" s="1363"/>
      <c r="K81" s="1363"/>
      <c r="L81" s="1363"/>
      <c r="M81" s="1363"/>
      <c r="N81" s="1363"/>
      <c r="O81" s="1363"/>
      <c r="P81" s="1363"/>
      <c r="Q81" s="1363"/>
      <c r="R81" s="1363"/>
      <c r="S81" s="1363"/>
      <c r="T81" s="1363"/>
      <c r="U81" s="438" cm="1" t="str">
        <f t="array" ref="U81:U81">U80</f>
        <v>true</v>
      </c>
      <c r="V81" s="1363"/>
      <c r="W81" s="1363"/>
      <c r="X81" s="1363"/>
      <c r="Y81" s="1491"/>
      <c r="Z81" s="1513"/>
      <c r="AA81" s="1363"/>
      <c r="AB81" s="89" t="s">
        <v>489</v>
      </c>
      <c r="AC81" s="103" t="s">
        <v>490</v>
      </c>
      <c r="AD81" s="102"/>
      <c r="AE81" s="245"/>
      <c r="AF81" s="245"/>
      <c r="AG81" s="245"/>
      <c r="AH81" s="250"/>
      <c r="AI81" s="245"/>
      <c r="AJ81" s="245"/>
      <c r="AK81" s="245"/>
      <c r="AL81" s="247">
        <f>IF(AI81&lt;&gt;0,AK81/AI81,0)</f>
        <v>0</v>
      </c>
      <c r="AM81" s="246">
        <f>AK81-AJ81</f>
        <v>0</v>
      </c>
      <c r="AN81" s="250"/>
      <c r="AO81" s="245"/>
      <c r="AP81" s="245"/>
      <c r="AQ81" s="245"/>
      <c r="AR81" s="245"/>
      <c r="AS81" s="245"/>
      <c r="AT81" s="245"/>
      <c r="AU81" s="245"/>
      <c r="AV81" s="245"/>
      <c r="AW81" s="245"/>
      <c r="AX81" s="245"/>
      <c r="AY81" s="245"/>
      <c r="AZ81" s="245"/>
      <c r="BA81" s="245"/>
      <c r="BB81" s="245"/>
      <c r="BC81" s="245"/>
      <c r="BD81" s="245"/>
      <c r="BE81" s="245"/>
      <c r="BF81" s="245"/>
      <c r="BG81" s="1363"/>
      <c r="BH81" s="1363"/>
      <c r="BI81" s="974" t="s">
        <v>491</v>
      </c>
      <c r="BJ81" s="1374"/>
      <c r="BK81" s="1374"/>
      <c r="BL81" s="1370"/>
      <c r="BM81" s="1370"/>
    </row>
    <row customHeight="1" ht="10.96875">
      <c r="E82" s="593">
        <v>11.25</v>
      </c>
      <c r="V82" s="88" t="s">
        <v>176</v>
      </c>
      <c r="W82" s="106" t="s">
        <v>492</v>
      </c>
      <c r="AO82" s="1363"/>
      <c r="AP82" s="1363"/>
      <c r="AQ82" s="1363"/>
      <c r="AR82" s="1363"/>
      <c r="AS82" s="1363"/>
      <c r="AT82" s="1363"/>
      <c r="AU82" s="1363"/>
      <c r="AV82" s="1363"/>
      <c r="AW82" s="1363"/>
      <c r="AX82" s="1363"/>
      <c r="AY82" s="1363"/>
      <c r="AZ82" s="1363"/>
      <c r="BA82" s="1363"/>
      <c r="BB82" s="1363"/>
      <c r="BC82" s="1363"/>
      <c r="BD82" s="1363"/>
      <c r="BE82" s="1363"/>
      <c r="BF82" s="1363"/>
      <c r="BG82" s="88"/>
    </row>
  </sheetData>
  <sheetProtection formatColumns="0" formatRows="0" insertRows="0" deleteColumns="0" deleteRows="0" sort="0" autoFilter="0" insertColumns="1"/>
  <mergeCells count="7">
    <mergeCell ref="AB24:AB25"/>
    <mergeCell ref="AC24:AC25"/>
    <mergeCell ref="AD24:AD25"/>
    <mergeCell ref="Y28:Y54"/>
    <mergeCell ref="Z28:Z54"/>
    <mergeCell ref="Y55:Y81"/>
    <mergeCell ref="Z55:Z81"/>
  </mergeCells>
  <dataValidations count="2">
    <dataValidation allowBlank="1" showErrorMessage="1" errorTitle="Ошибка" error="Допускается ввод только неотрицательных чисел!" sqref="AH26 AN26 AE27:BF27"/>
    <dataValidation type="decimal" allowBlank="1" showErrorMessage="1" errorTitle="Ошибка" error="Допускается ввод только неотрицательных чисел!" sqref="AI36:AK37 AE42:AG43 AI42:AK43 AX26:BE26 AE36:AG37 AE26:AG26 AO36:BF37 AO42:BF43 AO26:AS26 AI26:AM26 AI39:AK40 AO39:BF40 BF45:BF54 BF57:BF59 BF61 BF63:BF64 BF66:BF67 BF69:BF70 BF72:BF81 BE45:BE54 BE57:BE59 BE61 BE63:BE64 BE66:BE67 BE69:BE70 BE72:BE81 BD45:BD54 BD57:BD59 BD61 BD63:BD64 BD66:BD67 BD69:BD70 BD72:BD81 BC45:BC54 BC57:BC59 BC61 BC63:BC64 BC66:BC67 BC69:BC70 BC72:BC81 BB45:BB54 BB57:BB59 BB61 BB63:BB64 BB66:BB67 BB69:BB70 BB72:BB81 BA45:BA54 BA57:BA59 BA61 BA63:BA64 BA66:BA67 BA69:BA70 BA72:BA81 AZ45:AZ54 AZ57:AZ59 AZ61 AZ63:AZ64 AZ66:AZ67 AZ69:AZ70 AZ72:AZ81 AY45:AY54 AY57:AY59 AY61 AY63:AY64 AY66:AY67 AY69:AY70 AY72:AY81 AX45:AX54 AX57:AX59 AX61 AX63:AX64 AX66:AX67 AX69:AX70 AX72:AX81 AW45:AW54 AW57:AW59 AW61 AW63:AW64 AW66:AW67 AW69:AW70 AW72:AW81 AV45:AV54 AV57:AV59 AV61 AV63:AV64 AV66:AV67 AV69:AV70 AV72:AV81 AU45:AU54 AU57:AU59 AU61 AU63:AU64 AU66:AU67 AU69:AU70 AU72:AU81 AT45:AT54 AT57:AT59 AT61 AT63:AT64 AT66:AT67 AT69:AT70 AT72:AT81 AS45:AS54 AS57:AS59 AS61 AS63:AS64 AS66:AS67 AS69:AS70 AS72:AS81 AR45:AR54 AR57:AR59 AR61 AR63:AR64 AR66:AR67 AR69:AR70 AR72:AR81 AQ45:AQ54 AQ57:AQ59 AQ61 AQ63:AQ64 AQ66:AQ67 AQ69:AQ70 AQ72:AQ81 AP45:AP54 AP57:AP59 AP61 AP63:AP64 AP66:AP67 AP69:AP70 AP72:AP81 AO45:AO54 AO57:AO59 AO61 AO63:AO64 AO66:AO67 AO69:AO70 AO72:AO81 AG45:AG54 AG57:AG59 AG61 AG63:AG64 AG66:AG67 AG69:AG70 AG72:AG81 AF45:AF54 AF57:AF59 AF61 AF63:AF64 AF66:AF67 AF69:AF70 AF72:AF81 AE45:AE54 AE57:AE59 AE61 AE63:AE64 AE66:AE67 AE69:AE70 AE72:AE81 AK45:AK54 AK57:AK59 AK61 AK63:AK64 AK66:AK67 AK69:AK70 AK72:AK81 AJ45:AJ54 AJ57:AJ59 AJ61 AJ63:AJ64 AJ66:AJ67 AJ69:AJ70 AJ72:AJ81 AI45:AI54 AI57:AI59 AI61 AI63:AI64 AI66:AI67 AI69:AI70 AI72:AI81 AE39:AG40 AG30:AG32 AG34 AF30:AF32 AF34 AE30:AE32 AE34 AK30:AK32 AK34 AJ30:AJ32 AJ34 AI30:AI32 AI34 BF30:BF32 BF34 BE30:BE32 BE34 BD30:BD32 BD34 BC30:BC32 BC34 BB30:BB32 BB34 BA30:BA32 BA34 AZ30:AZ32 AZ34 AY30:AY32 AY34 AX30:AX32 AX34 AW30:AW32 AW34 AV30:AV32 AV34 AU30:AU32 AU34 AT30:AT32 AT34 AS30:AS32 AS34 AR30:AR32 AR34 AQ30:AQ32 AQ34 AP30:AP32 AP34 AO30:AO32 AO34">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569</vt:i4>
      </vt:variant>
    </vt:vector>
  </HeadingPairs>
  <TitlesOfParts>
    <vt:vector size="611" baseType="lpstr">
      <vt:lpstr>Информация JSON</vt:lpstr>
      <vt:lpstr>Инструкция</vt:lpstr>
      <vt:lpstr>Пояснения</vt:lpstr>
      <vt:lpstr>Список листов</vt:lpstr>
      <vt:lpstr>Общие сведения</vt:lpstr>
      <vt:lpstr>Список территорий</vt:lpstr>
      <vt:lpstr>Перечень объектов</vt:lpstr>
      <vt:lpstr>Список объектов</vt:lpstr>
      <vt:lpstr>Сценарии</vt:lpstr>
      <vt:lpstr>ИИКА</vt:lpstr>
      <vt:lpstr>Баланс</vt:lpstr>
      <vt:lpstr>Условные метры</vt:lpstr>
      <vt:lpstr>Сырье и материалы</vt:lpstr>
      <vt:lpstr>ЭЭ</vt:lpstr>
      <vt:lpstr>Амортизация</vt:lpstr>
      <vt:lpstr>Аренда</vt:lpstr>
      <vt:lpstr>Амортизация (аналог)</vt:lpstr>
      <vt:lpstr>Покупка</vt:lpstr>
      <vt:lpstr>ФОТ</vt:lpstr>
      <vt:lpstr>Административные</vt:lpstr>
      <vt:lpstr>Сбытовые расходы ГО</vt:lpstr>
      <vt:lpstr>Налоги</vt:lpstr>
      <vt:lpstr>ИП + источники</vt:lpstr>
      <vt:lpstr>Экономия_корр</vt:lpstr>
      <vt:lpstr>Плата за негативное возд</vt:lpstr>
      <vt:lpstr>Корректировка НВВ</vt:lpstr>
      <vt:lpstr>ТМ</vt:lpstr>
      <vt:lpstr>Калькуляция (МЭОР)</vt:lpstr>
      <vt:lpstr>Калькуляция (МИ)</vt:lpstr>
      <vt:lpstr>Калькуляция (МИ корр)</vt:lpstr>
      <vt:lpstr>ДПР</vt:lpstr>
      <vt:lpstr>ДПР (концессии)</vt:lpstr>
      <vt:lpstr>ГО</vt:lpstr>
      <vt:lpstr>Калькуляция (МСА)</vt:lpstr>
      <vt:lpstr>Комментарии</vt:lpstr>
      <vt:lpstr>REESTR_MO</vt:lpstr>
      <vt:lpstr>REESTR_ORG</vt:lpstr>
      <vt:lpstr>REESTR_OBJECT</vt:lpstr>
      <vt:lpstr>REESTR_ROIV_OMS</vt:lpstr>
      <vt:lpstr>REESTR_TARIFF</vt:lpstr>
      <vt:lpstr>DICTIONARIES</vt:lpstr>
      <vt:lpstr>TEHSHEET</vt:lpstr>
      <vt:lpstr>'Список территорий'!_ФильтрБазыДанных</vt:lpstr>
      <vt:lpstr>AdminExpenses_LOAD_2</vt:lpstr>
      <vt:lpstr>AdminExpenses_pIns_comm</vt:lpstr>
      <vt:lpstr>AdminExpenses_vis_flags</vt:lpstr>
      <vt:lpstr>AdminiExpenses_LOAD_1</vt:lpstr>
      <vt:lpstr>Amortization_LOAD_1</vt:lpstr>
      <vt:lpstr>Amortization_LOAD_2</vt:lpstr>
      <vt:lpstr>Amortization_pIns_comm</vt:lpstr>
      <vt:lpstr>Amortization_vis_flags</vt:lpstr>
      <vt:lpstr>AUTHORIZED_PERSON_EMAIL</vt:lpstr>
      <vt:lpstr>AUTHORIZED_PERSON_FIO</vt:lpstr>
      <vt:lpstr>AUTHORIZED_PERSON_PHONE</vt:lpstr>
      <vt:lpstr>AUTHORIZED_PERSON_POSITION</vt:lpstr>
      <vt:lpstr>Balance_vis_flags</vt:lpstr>
      <vt:lpstr>Calculation_LOAD_1</vt:lpstr>
      <vt:lpstr>Calculation_LOAD_2</vt:lpstr>
      <vt:lpstr>Calculation_pIns_comm</vt:lpstr>
      <vt:lpstr>Calculation_vis_flags</vt:lpstr>
      <vt:lpstr>Calculation_vis_flags2</vt:lpstr>
      <vt:lpstr>code</vt:lpstr>
      <vt:lpstr>COLDVSNA_TRANSP_VTOV</vt:lpstr>
      <vt:lpstr>COLDVSNA_VDET_LIST</vt:lpstr>
      <vt:lpstr>COLDVSNA_VTARIFF</vt:lpstr>
      <vt:lpstr>COLDVSNA_VTOV</vt:lpstr>
      <vt:lpstr>diametr_list</vt:lpstr>
      <vt:lpstr>diametr_list_vo</vt:lpstr>
      <vt:lpstr>diametr_list_vs</vt:lpstr>
      <vt:lpstr>DOCUMENT_TYPES</vt:lpstr>
      <vt:lpstr>DPR_check_range1</vt:lpstr>
      <vt:lpstr>DPR_ee_divide</vt:lpstr>
      <vt:lpstr>dpr_list</vt:lpstr>
      <vt:lpstr>DPR_LOAD_1</vt:lpstr>
      <vt:lpstr>DPR_pIns_comm</vt:lpstr>
      <vt:lpstr>DPR_vis_flags</vt:lpstr>
      <vt:lpstr>DPR_vis_flags2</vt:lpstr>
      <vt:lpstr>DPRConcessions_LOAD_1</vt:lpstr>
      <vt:lpstr>DPRConcessions_pIns_comm</vt:lpstr>
      <vt:lpstr>DPRConcessions_vis_flags</vt:lpstr>
      <vt:lpstr>DPRConcessions_vis_flags2</vt:lpstr>
      <vt:lpstr>Electricity_LOAD_1</vt:lpstr>
      <vt:lpstr>Electricity_vis_flags</vt:lpstr>
      <vt:lpstr>entityName</vt:lpstr>
      <vt:lpstr>et_AdminExpenses_tariff</vt:lpstr>
      <vt:lpstr>et_Amortization_tariff</vt:lpstr>
      <vt:lpstr>et_Balance_tariff_vo</vt:lpstr>
      <vt:lpstr>et_Balance_tariff_vo_transp</vt:lpstr>
      <vt:lpstr>et_Balance_tariff_vs</vt:lpstr>
      <vt:lpstr>et_Balance_tariff_vs_transp</vt:lpstr>
      <vt:lpstr>et_Calculation_tariff</vt:lpstr>
      <vt:lpstr>et_DPR_tariff_vs</vt:lpstr>
      <vt:lpstr>et_DPRConcessions_block</vt:lpstr>
      <vt:lpstr>et_DPRConcessions_tariff</vt:lpstr>
      <vt:lpstr>et_GeneralInfo_fio</vt:lpstr>
      <vt:lpstr>et_GeneralInfo_tariff</vt:lpstr>
      <vt:lpstr>et_InvestmentSources_tariff</vt:lpstr>
      <vt:lpstr>et_NegativeImpactFee_tariff</vt:lpstr>
      <vt:lpstr>et_NVVCorrection_tariff</vt:lpstr>
      <vt:lpstr>et_ObjectList_obj</vt:lpstr>
      <vt:lpstr>et_ObjectList_tariff_vs</vt:lpstr>
      <vt:lpstr>et_Purchase_org2</vt:lpstr>
      <vt:lpstr>et_Purchase_org3</vt:lpstr>
      <vt:lpstr>et_Purchase_org4</vt:lpstr>
      <vt:lpstr>et_Purchase_org5</vt:lpstr>
      <vt:lpstr>et_Purchase_tariff</vt:lpstr>
      <vt:lpstr>et_Reagents_reagent</vt:lpstr>
      <vt:lpstr>et_Reagents_tariff</vt:lpstr>
      <vt:lpstr>et_Rent_tariff</vt:lpstr>
      <vt:lpstr>et_SalesExpensesGO_1</vt:lpstr>
      <vt:lpstr>et_SalesExpensesGO_tariff</vt:lpstr>
      <vt:lpstr>et_SavingsCorrection_tariff</vt:lpstr>
      <vt:lpstr>et_Scenarios_tariff</vt:lpstr>
      <vt:lpstr>et_tariff_Iika</vt:lpstr>
      <vt:lpstr>et_Taxes_tariff</vt:lpstr>
      <vt:lpstr>et_TerritoryList_tariff</vt:lpstr>
      <vt:lpstr>et_TM_tariff</vt:lpstr>
      <vt:lpstr>et_TM_tariff_transp</vt:lpstr>
      <vt:lpstr>et_WageFund_dolj</vt:lpstr>
      <vt:lpstr>et_WageFund_tariff</vt:lpstr>
      <vt:lpstr>FIRST_TIME_REG</vt:lpstr>
      <vt:lpstr>first_year</vt:lpstr>
      <vt:lpstr>flag_end_AdminExpenses</vt:lpstr>
      <vt:lpstr>flag_end_AmorAnalog</vt:lpstr>
      <vt:lpstr>flag_end_Amortization</vt:lpstr>
      <vt:lpstr>flag_end_Balance</vt:lpstr>
      <vt:lpstr>flag_end_CalcMeor</vt:lpstr>
      <vt:lpstr>flag_end_CalcMiCorr</vt:lpstr>
      <vt:lpstr>flag_end_Calculation</vt:lpstr>
      <vt:lpstr>flag_end_Comments</vt:lpstr>
      <vt:lpstr>flag_end_DPR</vt:lpstr>
      <vt:lpstr>flag_end_DPRConcessions</vt:lpstr>
      <vt:lpstr>flag_end_Electricity</vt:lpstr>
      <vt:lpstr>flag_end_Explanations</vt:lpstr>
      <vt:lpstr>flag_end_GeneralInfo</vt:lpstr>
      <vt:lpstr>flag_end_GO</vt:lpstr>
      <vt:lpstr>flag_end_iika</vt:lpstr>
      <vt:lpstr>flag_end_InvestmentSources</vt:lpstr>
      <vt:lpstr>flag_end_NegativeImpactFee</vt:lpstr>
      <vt:lpstr>flag_end_NVVCorrection</vt:lpstr>
      <vt:lpstr>flag_end_ObjectList</vt:lpstr>
      <vt:lpstr>flag_end_Objects</vt:lpstr>
      <vt:lpstr>flag_end_Purchase</vt:lpstr>
      <vt:lpstr>flag_end_Reagents</vt:lpstr>
      <vt:lpstr>flag_end_Rent</vt:lpstr>
      <vt:lpstr>flag_end_SalesExpensesGO</vt:lpstr>
      <vt:lpstr>flag_end_SavingsCorrection</vt:lpstr>
      <vt:lpstr>flag_end_Scenarios</vt:lpstr>
      <vt:lpstr>flag_end_SheetList</vt:lpstr>
      <vt:lpstr>flag_end_TariffCalcMsa</vt:lpstr>
      <vt:lpstr>flag_end_Taxes</vt:lpstr>
      <vt:lpstr>flag_end_TerritoryList</vt:lpstr>
      <vt:lpstr>flag_end_TM</vt:lpstr>
      <vt:lpstr>flag_end_uslmetr</vt:lpstr>
      <vt:lpstr>flag_end_WageFund</vt:lpstr>
      <vt:lpstr>flag_size_AdminExpenses</vt:lpstr>
      <vt:lpstr>flag_size_AmorAnalog</vt:lpstr>
      <vt:lpstr>flag_size_Amortization</vt:lpstr>
      <vt:lpstr>flag_size_Balance</vt:lpstr>
      <vt:lpstr>flag_size_CalcMeor</vt:lpstr>
      <vt:lpstr>flag_size_CalcMiCorr</vt:lpstr>
      <vt:lpstr>flag_size_Calculation</vt:lpstr>
      <vt:lpstr>flag_size_Comments</vt:lpstr>
      <vt:lpstr>flag_size_DPR</vt:lpstr>
      <vt:lpstr>flag_size_DPRConcessions</vt:lpstr>
      <vt:lpstr>flag_size_Electricity</vt:lpstr>
      <vt:lpstr>flag_size_Explanations</vt:lpstr>
      <vt:lpstr>flag_size_GeneralInfo</vt:lpstr>
      <vt:lpstr>flag_size_GO</vt:lpstr>
      <vt:lpstr>flag_size_iika</vt:lpstr>
      <vt:lpstr>flag_size_InvestmentSources</vt:lpstr>
      <vt:lpstr>flag_size_NegativeImpactFee</vt:lpstr>
      <vt:lpstr>flag_size_NVVCorrection</vt:lpstr>
      <vt:lpstr>flag_size_ObjectList</vt:lpstr>
      <vt:lpstr>flag_size_Objects</vt:lpstr>
      <vt:lpstr>flag_size_Purchase</vt:lpstr>
      <vt:lpstr>flag_size_Reagents</vt:lpstr>
      <vt:lpstr>flag_size_Rent</vt:lpstr>
      <vt:lpstr>flag_size_SalesExpensesGO</vt:lpstr>
      <vt:lpstr>flag_size_SavingsCorrection</vt:lpstr>
      <vt:lpstr>flag_size_Scenarios</vt:lpstr>
      <vt:lpstr>flag_size_SheetList</vt:lpstr>
      <vt:lpstr>flag_size_TariffCalcMsa</vt:lpstr>
      <vt:lpstr>flag_size_Taxes</vt:lpstr>
      <vt:lpstr>flag_size_TerritoryList</vt:lpstr>
      <vt:lpstr>flag_size_TM</vt:lpstr>
      <vt:lpstr>flag_size_uslmetr</vt:lpstr>
      <vt:lpstr>flag_size_WageFund</vt:lpstr>
      <vt:lpstr>flag_start_AdminExpenses</vt:lpstr>
      <vt:lpstr>flag_start_AmorAnalog</vt:lpstr>
      <vt:lpstr>flag_start_Amortization</vt:lpstr>
      <vt:lpstr>flag_start_Balance</vt:lpstr>
      <vt:lpstr>flag_start_CalcMeor</vt:lpstr>
      <vt:lpstr>flag_start_CalcMiCorr</vt:lpstr>
      <vt:lpstr>flag_start_Calculation</vt:lpstr>
      <vt:lpstr>flag_start_Comments</vt:lpstr>
      <vt:lpstr>flag_start_DPR</vt:lpstr>
      <vt:lpstr>flag_start_DPRConcessions</vt:lpstr>
      <vt:lpstr>flag_start_Electricity</vt:lpstr>
      <vt:lpstr>flag_start_Explanations</vt:lpstr>
      <vt:lpstr>flag_start_GeneralInfo</vt:lpstr>
      <vt:lpstr>flag_start_GO</vt:lpstr>
      <vt:lpstr>flag_start_iika</vt:lpstr>
      <vt:lpstr>flag_start_InvestmentSources</vt:lpstr>
      <vt:lpstr>flag_start_NegativeImpactFee</vt:lpstr>
      <vt:lpstr>flag_start_NVVCorrection</vt:lpstr>
      <vt:lpstr>flag_start_ObjectList</vt:lpstr>
      <vt:lpstr>flag_start_Objects</vt:lpstr>
      <vt:lpstr>flag_start_Purchase</vt:lpstr>
      <vt:lpstr>flag_start_Reagents</vt:lpstr>
      <vt:lpstr>flag_start_Rent</vt:lpstr>
      <vt:lpstr>flag_start_SalesExpensesGO</vt:lpstr>
      <vt:lpstr>flag_start_SavingsCorrection</vt:lpstr>
      <vt:lpstr>flag_start_Scenarios</vt:lpstr>
      <vt:lpstr>flag_start_SheetList</vt:lpstr>
      <vt:lpstr>flag_start_TariffCalcMsa</vt:lpstr>
      <vt:lpstr>flag_start_Taxes</vt:lpstr>
      <vt:lpstr>flag_start_TerritoryList</vt:lpstr>
      <vt:lpstr>flag_start_TM</vt:lpstr>
      <vt:lpstr>flag_start_uslmetr</vt:lpstr>
      <vt:lpstr>flag_start_WageFund</vt:lpstr>
      <vt:lpstr>flag_vis_AdminExpenses</vt:lpstr>
      <vt:lpstr>flag_vis_AmorAnalog</vt:lpstr>
      <vt:lpstr>flag_vis_Amortization</vt:lpstr>
      <vt:lpstr>flag_vis_Balance</vt:lpstr>
      <vt:lpstr>flag_vis_CalcMeor</vt:lpstr>
      <vt:lpstr>flag_vis_CalcMiCorr</vt:lpstr>
      <vt:lpstr>flag_vis_Calculation</vt:lpstr>
      <vt:lpstr>flag_vis_Comments</vt:lpstr>
      <vt:lpstr>flag_vis_DPR</vt:lpstr>
      <vt:lpstr>flag_vis_DPRConcessions</vt:lpstr>
      <vt:lpstr>flag_vis_Electricity</vt:lpstr>
      <vt:lpstr>flag_vis_Explanations</vt:lpstr>
      <vt:lpstr>flag_vis_GeneralInfo</vt:lpstr>
      <vt:lpstr>flag_vis_GO</vt:lpstr>
      <vt:lpstr>flag_vis_iika</vt:lpstr>
      <vt:lpstr>flag_vis_Instruction</vt:lpstr>
      <vt:lpstr>flag_vis_InvestmentSources</vt:lpstr>
      <vt:lpstr>flag_vis_NegativeImpactFee</vt:lpstr>
      <vt:lpstr>flag_vis_NVVCorrection</vt:lpstr>
      <vt:lpstr>flag_vis_ObjectList</vt:lpstr>
      <vt:lpstr>flag_vis_Objects</vt:lpstr>
      <vt:lpstr>flag_vis_Purchase</vt:lpstr>
      <vt:lpstr>flag_vis_Reagents</vt:lpstr>
      <vt:lpstr>flag_vis_Rent</vt:lpstr>
      <vt:lpstr>flag_vis_SalesExpensesGO</vt:lpstr>
      <vt:lpstr>flag_vis_SavingsCorrection</vt:lpstr>
      <vt:lpstr>flag_vis_Scenarios</vt:lpstr>
      <vt:lpstr>flag_vis_SheetList</vt:lpstr>
      <vt:lpstr>flag_vis_TariffCalcMsa</vt:lpstr>
      <vt:lpstr>flag_vis_Taxes</vt:lpstr>
      <vt:lpstr>flag_vis_TerritoryList</vt:lpstr>
      <vt:lpstr>flag_vis_TM</vt:lpstr>
      <vt:lpstr>flag_vis_uslmetr</vt:lpstr>
      <vt:lpstr>flag_vis_WageFund</vt:lpstr>
      <vt:lpstr>GeneralInfo_check_area</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GeneralInfo_vis_flags</vt:lpstr>
      <vt:lpstr>glubina_list</vt:lpstr>
      <vt:lpstr>GO_INN</vt:lpstr>
      <vt:lpstr>GO_KPP</vt:lpstr>
      <vt:lpstr>GO_ORG</vt:lpstr>
      <vt:lpstr>god</vt:lpstr>
      <vt:lpstr>grunt_list</vt:lpstr>
      <vt:lpstr>HAS_DOC2</vt:lpstr>
      <vt:lpstr>HAS_DOC2_block</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inn</vt:lpstr>
      <vt:lpstr>InsB_GeneralInfo_tariff</vt:lpstr>
      <vt:lpstr>InvestmentSources_is_one_block</vt:lpstr>
      <vt:lpstr>InvestmentSources_LOAD_1</vt:lpstr>
      <vt:lpstr>InvestmentSources_LOAD_2</vt:lpstr>
      <vt:lpstr>InvestmentSources_pIns_comm</vt:lpstr>
      <vt:lpstr>InvestmentSources_vis_flags</vt:lpstr>
      <vt:lpstr>InvestmentSources_vis_flags2</vt:lpstr>
      <vt:lpstr>isBlocked_CalcMiCorr</vt:lpstr>
      <vt:lpstr>ist_info_build_list</vt:lpstr>
      <vt:lpstr>kpp</vt:lpstr>
      <vt:lpstr>last_year</vt:lpstr>
      <vt:lpstr>last_year_vis</vt:lpstr>
      <vt:lpstr>LIST_MR_MO_OKTMO</vt:lpstr>
      <vt:lpstr>List04_LOAD_1</vt:lpstr>
      <vt:lpstr>List04_pIns_comm</vt:lpstr>
      <vt:lpstr>List05_LOAD_1</vt:lpstr>
      <vt:lpstr>List05_pIns_comm</vt:lpstr>
      <vt:lpstr>List06_LOAD_1</vt:lpstr>
      <vt:lpstr>List06_pIns_comm</vt:lpstr>
      <vt:lpstr>List07_LOAD_1</vt:lpstr>
      <vt:lpstr>List07_pIns_comm</vt:lpstr>
      <vt:lpstr>List15_LOAD_1</vt:lpstr>
      <vt:lpstr>List15_LOAD_2</vt:lpstr>
      <vt:lpstr>List15_pIns_comm</vt:lpstr>
      <vt:lpstr>List15_vis_flags</vt:lpstr>
      <vt:lpstr>List15_vis_flags2</vt:lpstr>
      <vt:lpstr>material_list</vt:lpstr>
      <vt:lpstr>method_list</vt:lpstr>
      <vt:lpstr>method_reg</vt:lpstr>
      <vt:lpstr>metod_list</vt:lpstr>
      <vt:lpstr>MO_END_DATE</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MO_LIST_29</vt:lpstr>
      <vt:lpstr>MO_LIST_3</vt:lpstr>
      <vt:lpstr>MO_LIST_4</vt:lpstr>
      <vt:lpstr>MO_LIST_5</vt:lpstr>
      <vt:lpstr>MO_LIST_6</vt:lpstr>
      <vt:lpstr>MO_LIST_7</vt:lpstr>
      <vt:lpstr>MO_LIST_8</vt:lpstr>
      <vt:lpstr>MO_LIST_9</vt:lpstr>
      <vt:lpstr>MO_START_DATE</vt:lpstr>
      <vt:lpstr>MONTH_LIST</vt:lpstr>
      <vt:lpstr>MR_LIST</vt:lpstr>
      <vt:lpstr>NALOG_SYSTEM_LIST</vt:lpstr>
      <vt:lpstr>NDS</vt:lpstr>
      <vt:lpstr>NegativeImpactFee_LOAD_1</vt:lpstr>
      <vt:lpstr>NegativeImpactFee_pIns_comm</vt:lpstr>
      <vt:lpstr>NONPRIVATE_OWNERSHIP_TYPE</vt:lpstr>
      <vt:lpstr>NVVCorrection_LOAD_1</vt:lpstr>
      <vt:lpstr>NVVCorrection_LOAD_2</vt:lpstr>
      <vt:lpstr>NVVCorrection_pIns_comm</vt:lpstr>
      <vt:lpstr>NVVCorrection_vis_flags</vt:lpstr>
      <vt:lpstr>ObjectList_LOAD_1</vt:lpstr>
      <vt:lpstr>ObjectList_LOAD_3</vt:lpstr>
      <vt:lpstr>ObjectList_object_range</vt:lpstr>
      <vt:lpstr>ObjectList_osn_ekpl_range</vt:lpstr>
      <vt:lpstr>OGRN</vt:lpstr>
      <vt:lpstr>OIV_LIST</vt:lpstr>
      <vt:lpstr>okopf</vt:lpstr>
      <vt:lpstr>okopf_list</vt:lpstr>
      <vt:lpstr>okpo</vt:lpstr>
      <vt:lpstr>OKTMO_VS_TYPE_LIST</vt:lpstr>
      <vt:lpstr>onlyOneYear</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pIns_AdminExpenses_1</vt:lpstr>
      <vt:lpstr>pIns_Electricity_tariff</vt:lpstr>
      <vt:lpstr>pIns_Electricity_voltage</vt:lpstr>
      <vt:lpstr>pIns_Iika</vt:lpstr>
      <vt:lpstr>pIns_InvestmentSources_tariff</vt:lpstr>
      <vt:lpstr>pIns_List04_tariff</vt:lpstr>
      <vt:lpstr>pIns_List05_tariff</vt:lpstr>
      <vt:lpstr>pIns_List07_tariff</vt:lpstr>
      <vt:lpstr>pIns_List15_1</vt:lpstr>
      <vt:lpstr>pIns_List15_tariff</vt:lpstr>
      <vt:lpstr>pIns_ObjectList_obj</vt:lpstr>
      <vt:lpstr>pIns_Purchase_postav</vt:lpstr>
      <vt:lpstr>pIns_Reagents_reagent</vt:lpstr>
      <vt:lpstr>pIns_Reagents_tariff</vt:lpstr>
      <vt:lpstr>pIns_SalesExpensesGO_1</vt:lpstr>
      <vt:lpstr>pIns_Taxes_nalog</vt:lpstr>
      <vt:lpstr>pIns_TM_tariff</vt:lpstr>
      <vt:lpstr>pIns_WageFund_dolj</vt:lpstr>
      <vt:lpstr>plat_nds</vt:lpstr>
      <vt:lpstr>Purchase_LOAD_1</vt:lpstr>
      <vt:lpstr>Purchase_LOAD_2</vt:lpstr>
      <vt:lpstr>Purchase_pIns_comm</vt:lpstr>
      <vt:lpstr>Purchase_vis_flags</vt:lpstr>
      <vt:lpstr>Reagents_LOAD_1</vt:lpstr>
      <vt:lpstr>Reagents_LOAD_2</vt:lpstr>
      <vt:lpstr>Reagents_pIns_comm</vt:lpstr>
      <vt:lpstr>Reagents_vis_flags</vt:lpstr>
      <vt:lpstr>REESTR_OBJECT_LIST</vt:lpstr>
      <vt:lpstr>REESTR_ORG_RANGE</vt:lpstr>
      <vt:lpstr>REGION</vt:lpstr>
      <vt:lpstr>region_id</vt:lpstr>
      <vt:lpstr>region_name</vt:lpstr>
      <vt:lpstr>Rent_LOAD_1</vt:lpstr>
      <vt:lpstr>Rent_LOAD_2</vt:lpstr>
      <vt:lpstr>Rent_pIns_comm</vt:lpstr>
      <vt:lpstr>Rent_vis_flags</vt:lpstr>
      <vt:lpstr>roiv_oms</vt:lpstr>
      <vt:lpstr>roiv_oms_list</vt:lpstr>
      <vt:lpstr>rst_org_id</vt:lpstr>
      <vt:lpstr>SalesExpensesGO_LOAD_1</vt:lpstr>
      <vt:lpstr>SalesExpensesGO_LOAD_2</vt:lpstr>
      <vt:lpstr>SalesExpensesGO_pIns_comm</vt:lpstr>
      <vt:lpstr>SalesExpensesGO_vis_flags</vt:lpstr>
      <vt:lpstr>SavingsCorrection_LOAD_1</vt:lpstr>
      <vt:lpstr>SavingsCorrection_LOAD_2</vt:lpstr>
      <vt:lpstr>SavingsCorrection_pIns_comm</vt:lpstr>
      <vt:lpstr>SavingsCorrection_vis_flags</vt:lpstr>
      <vt:lpstr>SAX_PARSER_FEATURE</vt:lpstr>
      <vt:lpstr>Scenarios_LOAD_1</vt:lpstr>
      <vt:lpstr>Scenarios_LOAD_2</vt:lpstr>
      <vt:lpstr>Scenarios_LOAD_3</vt:lpstr>
      <vt:lpstr>Scenarios_LOAD_COM_1</vt:lpstr>
      <vt:lpstr>Scenarios_LOAD_COM_2</vt:lpstr>
      <vt:lpstr>Scenarios_vis_flags</vt:lpstr>
      <vt:lpstr>Scenarios_vis_flags2</vt:lpstr>
      <vt:lpstr>sphere_list</vt:lpstr>
      <vt:lpstr>STATE_SHARE</vt:lpstr>
      <vt:lpstr>STATE_SHARE_EXISTENCE</vt:lpstr>
      <vt:lpstr>STATE_SHARE_VALUE</vt:lpstr>
      <vt:lpstr>STATUS_GO</vt:lpstr>
      <vt:lpstr>STATUS_GO_block</vt:lpstr>
      <vt:lpstr>subsidiary</vt:lpstr>
      <vt:lpstr>subsidiary_list</vt:lpstr>
      <vt:lpstr>support_docs_list</vt:lpstr>
      <vt:lpstr>TARIFF_CALC_METHOD</vt:lpstr>
      <vt:lpstr>tariff_del</vt:lpstr>
      <vt:lpstr>tariff_type_list</vt:lpstr>
      <vt:lpstr>tax_system</vt:lpstr>
      <vt:lpstr>Taxes_LOAD_1</vt:lpstr>
      <vt:lpstr>Taxes_LOAD_2</vt:lpstr>
      <vt:lpstr>Taxes_pIns_comm</vt:lpstr>
      <vt:lpstr>Taxes_vis_flags</vt:lpstr>
      <vt:lpstr>TemplateState</vt:lpstr>
      <vt:lpstr>TerritoryList_mo_column</vt:lpstr>
      <vt:lpstr>TerritoryList_mr_column</vt:lpstr>
      <vt:lpstr>TM_LOAD_1</vt:lpstr>
      <vt:lpstr>TM_pIns_comm</vt:lpstr>
      <vt:lpstr>TM_vis_flags</vt:lpstr>
      <vt:lpstr>TM_vis_flags2</vt:lpstr>
      <vt:lpstr>tpl_title</vt:lpstr>
      <vt:lpstr>tplCode</vt:lpstr>
      <vt:lpstr>VALUABLE_STATE_SHARE</vt:lpstr>
      <vt:lpstr>VDET_END_DATE</vt:lpstr>
      <vt:lpstr>VDET_START_DATE</vt:lpstr>
      <vt:lpstr>version</vt:lpstr>
      <vt:lpstr>VOLTAGE_LEVEL_list</vt:lpstr>
      <vt:lpstr>VOLTAGE_LEVEL2_list</vt:lpstr>
      <vt:lpstr>VOTV_VDET_LIST</vt:lpstr>
      <vt:lpstr>VOTV_VTARIFF</vt:lpstr>
      <vt:lpstr>VOTV_VTOV</vt:lpstr>
      <vt:lpstr>WageFund_LOAD_1</vt:lpstr>
      <vt:lpstr>WageFund_LOAD_2</vt:lpstr>
      <vt:lpstr>WageFund_pIns_comm</vt:lpstr>
      <vt:lpstr>WageFund_vis_flags</vt:lpstr>
      <vt:lpstr>wsAdmins_json_coms</vt:lpstr>
      <vt:lpstr>wsAdmins_preload</vt:lpstr>
      <vt:lpstr>wsAdmins_preload_coms</vt:lpstr>
      <vt:lpstr>wsAdmins_preload_full</vt:lpstr>
      <vt:lpstr>wsAdmins_preload_json</vt:lpstr>
      <vt:lpstr>wsAmor_json_coms</vt:lpstr>
      <vt:lpstr>wsAmor_preload</vt:lpstr>
      <vt:lpstr>wsAmor_preload_coms</vt:lpstr>
      <vt:lpstr>wsAmor_preload_full</vt:lpstr>
      <vt:lpstr>wsAmor_preload_json</vt:lpstr>
      <vt:lpstr>wsAmorAnalog_json_coms</vt:lpstr>
      <vt:lpstr>wsAmorAnalog_preload</vt:lpstr>
      <vt:lpstr>wsAmorAnalog_preload_json</vt:lpstr>
      <vt:lpstr>wsBalance_json_coms</vt:lpstr>
      <vt:lpstr>wsBalance_preload</vt:lpstr>
      <vt:lpstr>wsBalance_preload_coms</vt:lpstr>
      <vt:lpstr>wsBalance_preload_full</vt:lpstr>
      <vt:lpstr>wsBalance_preload_json</vt:lpstr>
      <vt:lpstr>wsComments_json_coms</vt:lpstr>
      <vt:lpstr>wsDPR_json_coms</vt:lpstr>
      <vt:lpstr>wsDPR_preload</vt:lpstr>
      <vt:lpstr>wsDPR_preload_json</vt:lpstr>
      <vt:lpstr>wsDPRconc_json_coms</vt:lpstr>
      <vt:lpstr>wsDPRconc_preload</vt:lpstr>
      <vt:lpstr>wsDPRconc_preload_json</vt:lpstr>
      <vt:lpstr>wsEE_json_coms</vt:lpstr>
      <vt:lpstr>wsEe_preload</vt:lpstr>
      <vt:lpstr>wsEE_preload_coms</vt:lpstr>
      <vt:lpstr>wsEE_preload_full</vt:lpstr>
      <vt:lpstr>wsEE_preload_json</vt:lpstr>
      <vt:lpstr>wsGO_json_coms</vt:lpstr>
      <vt:lpstr>wsGO_preload</vt:lpstr>
      <vt:lpstr>wsGO_preload_json</vt:lpstr>
      <vt:lpstr>wsIika_preload_json</vt:lpstr>
      <vt:lpstr>wsIPSources_json_coms</vt:lpstr>
      <vt:lpstr>wsIPSources_preload</vt:lpstr>
      <vt:lpstr>wsIPSources_preload_coms</vt:lpstr>
      <vt:lpstr>wsIPSources_preload_full</vt:lpstr>
      <vt:lpstr>wsIPSources_preload_json</vt:lpstr>
      <vt:lpstr>wsMeorCalc_json_coms</vt:lpstr>
      <vt:lpstr>wsMeorCalc_preload</vt:lpstr>
      <vt:lpstr>wsMeorCalc_preload_coms</vt:lpstr>
      <vt:lpstr>wsMeorCalc_preload_full</vt:lpstr>
      <vt:lpstr>wsMeorCalc_preload_json</vt:lpstr>
      <vt:lpstr>wsMiCalc_json_coms</vt:lpstr>
      <vt:lpstr>wsMiCalc_preload</vt:lpstr>
      <vt:lpstr>wsMiCalc_preload_coms</vt:lpstr>
      <vt:lpstr>wsMiCalc_preload_full</vt:lpstr>
      <vt:lpstr>wsMiCalc_preload_json</vt:lpstr>
      <vt:lpstr>wsMiCalcCorr_json_coms</vt:lpstr>
      <vt:lpstr>wsMiCalcCorr_preload</vt:lpstr>
      <vt:lpstr>wsMiCalcCorr_preload_coms</vt:lpstr>
      <vt:lpstr>wsMiCalcCorr_preload_full</vt:lpstr>
      <vt:lpstr>wsMiCalcCorr_preload_json</vt:lpstr>
      <vt:lpstr>wsMsaCalc_json_coms</vt:lpstr>
      <vt:lpstr>wsMsaCalc_preload</vt:lpstr>
      <vt:lpstr>wsMsaCalc_preload_full</vt:lpstr>
      <vt:lpstr>wsMsaCalc_preload_json</vt:lpstr>
      <vt:lpstr>wsNegativePays_json_coms</vt:lpstr>
      <vt:lpstr>wsNegativePays_preload</vt:lpstr>
      <vt:lpstr>wsNegativePays_preload_json</vt:lpstr>
      <vt:lpstr>wsNvvCorr_json_coms</vt:lpstr>
      <vt:lpstr>wsNvvCorr_preload</vt:lpstr>
      <vt:lpstr>wsNvvCorr_preload_coms</vt:lpstr>
      <vt:lpstr>wsNvvCorr_preload_json</vt:lpstr>
      <vt:lpstr>wsObjectList_preload_json</vt:lpstr>
      <vt:lpstr>wsObjects_json_coms</vt:lpstr>
      <vt:lpstr>wsObjects_preload</vt:lpstr>
      <vt:lpstr>wsObjects_preload_full</vt:lpstr>
      <vt:lpstr>wsObjects_preload_json</vt:lpstr>
      <vt:lpstr>wsPurchase_json_coms</vt:lpstr>
      <vt:lpstr>wsPurchase_preload</vt:lpstr>
      <vt:lpstr>wsPurchase_preload_coms</vt:lpstr>
      <vt:lpstr>wsPurchase_preload_full</vt:lpstr>
      <vt:lpstr>wsPurchase_preload_json</vt:lpstr>
      <vt:lpstr>wsReagents_json_coms</vt:lpstr>
      <vt:lpstr>wsReagents_preload</vt:lpstr>
      <vt:lpstr>wsReagents_preload_coms</vt:lpstr>
      <vt:lpstr>wsReagents_preload_full</vt:lpstr>
      <vt:lpstr>wsReagents_preload_json</vt:lpstr>
      <vt:lpstr>wsRent_json_coms</vt:lpstr>
      <vt:lpstr>wsRent_preload</vt:lpstr>
      <vt:lpstr>wsRent_preload_coms</vt:lpstr>
      <vt:lpstr>wsRent_preload_full</vt:lpstr>
      <vt:lpstr>wsRent_preload_json</vt:lpstr>
      <vt:lpstr>wsSavingsCorr_json_coms</vt:lpstr>
      <vt:lpstr>wsSavingsCorr_preload</vt:lpstr>
      <vt:lpstr>wsSavingsCorr_preload_coms</vt:lpstr>
      <vt:lpstr>wsSavingsCorr_preload_full</vt:lpstr>
      <vt:lpstr>wsSavingsCorr_preload_json</vt:lpstr>
      <vt:lpstr>wsScenarios_preload</vt:lpstr>
      <vt:lpstr>wsScenarios_preload_coms</vt:lpstr>
      <vt:lpstr>wsScenarios_preload_full</vt:lpstr>
      <vt:lpstr>wsScenarios_preload_json</vt:lpstr>
      <vt:lpstr>wsSellingCosts_json_coms</vt:lpstr>
      <vt:lpstr>wsSellingCosts_preload</vt:lpstr>
      <vt:lpstr>wsSellingCosts_preload_coms</vt:lpstr>
      <vt:lpstr>wsSellingCosts_preload_full</vt:lpstr>
      <vt:lpstr>wsSellingCosts_preload_json</vt:lpstr>
      <vt:lpstr>wsTaxes_json_coms</vt:lpstr>
      <vt:lpstr>wsTaxes_preload</vt:lpstr>
      <vt:lpstr>wsTaxes_preload_coms</vt:lpstr>
      <vt:lpstr>wsTaxes_preload_full</vt:lpstr>
      <vt:lpstr>wsTaxes_preload_json</vt:lpstr>
      <vt:lpstr>wsTerritoryList_preload</vt:lpstr>
      <vt:lpstr>wsTerritoryList_preload_json</vt:lpstr>
      <vt:lpstr>wsTM_json_coms</vt:lpstr>
      <vt:lpstr>wsTM_preload</vt:lpstr>
      <vt:lpstr>wsTM_preload_full</vt:lpstr>
      <vt:lpstr>wsTM_preload_json</vt:lpstr>
      <vt:lpstr>wsUslMetr_json_coms</vt:lpstr>
      <vt:lpstr>wsUslMetr_preload</vt:lpstr>
      <vt:lpstr>wsUslMetr_preload_json</vt:lpstr>
      <vt:lpstr>wsWageFund_json_coms</vt:lpstr>
      <vt:lpstr>wsWageFund_preload</vt:lpstr>
      <vt:lpstr>wsWageFund_preload_coms</vt:lpstr>
      <vt:lpstr>wsWageFund_preload_full</vt:lpstr>
      <vt:lpstr>wsWageFund_preload_json</vt:lpstr>
      <vt:lpstr>XML_MR_MO_OKTMO_LIST_TAG_NAMES</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 / водоотведения методом индексации (первый год ДПР)</dc:title>
  <dc:subject>Экспертное заключение об установлении тарифов в сфере холодного водоснабжения / 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2026-01-22T12:01:30Z</dcterms:modified>
</cp:coreProperties>
</file>

<file path=docProps/custom.xml><?xml version="1.0" encoding="utf-8"?>
<Properties xmlns="http://schemas.openxmlformats.org/officeDocument/2006/custom-properties" xmlns:vt="http://schemas.openxmlformats.org/officeDocument/2006/docPropsVTypes"/>
</file>